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checkCompatibility="1" defaultThemeVersion="166925"/>
  <mc:AlternateContent xmlns:mc="http://schemas.openxmlformats.org/markup-compatibility/2006">
    <mc:Choice Requires="x15">
      <x15ac:absPath xmlns:x15ac="http://schemas.microsoft.com/office/spreadsheetml/2010/11/ac" url="C:\Users\markb\Dropbox\VTTA\"/>
    </mc:Choice>
  </mc:AlternateContent>
  <xr:revisionPtr revIDLastSave="0" documentId="13_ncr:1_{1F2E1FB5-EC9F-4A6A-A376-9275D18B267E}" xr6:coauthVersionLast="47" xr6:coauthVersionMax="47" xr10:uidLastSave="{00000000-0000-0000-0000-000000000000}"/>
  <workbookProtection workbookAlgorithmName="SHA-512" workbookHashValue="mJ/k2cqoOTDDc/4ub0kKC3VJ6epsvLaPCbJOWr/V4i+a5k+fpYqwTcoBoIzLvx3VCg/kbs7IzJGtNYGS3rc3fw==" workbookSaltValue="IxvvSMW+mrcb7XJNLQT96Q==" workbookSpinCount="100000" lockStructure="1"/>
  <bookViews>
    <workbookView xWindow="-120" yWindow="-120" windowWidth="20730" windowHeight="11310" tabRatio="954" firstSheet="11" activeTab="11" xr2:uid="{9CA3EEE8-91AB-4ABF-921D-6EDBF5FFFC46}"/>
  </bookViews>
  <sheets>
    <sheet name="Title" sheetId="54" state="hidden" r:id="rId1"/>
    <sheet name="Introduction" sheetId="37" state="hidden" r:id="rId2"/>
    <sheet name="Ratios" sheetId="40" state="hidden" r:id="rId3"/>
    <sheet name="Open Solo Bike Adjustment" sheetId="47" state="hidden" r:id="rId4"/>
    <sheet name="Female Solo Bike Adjustment" sheetId="48" state="hidden" r:id="rId5"/>
    <sheet name="Open Solo Trike Adjustment" sheetId="49" state="hidden" r:id="rId6"/>
    <sheet name="Female Solo Trike Adjustment" sheetId="50" state="hidden" r:id="rId7"/>
    <sheet name="Open Tandem Bike Adjustment" sheetId="46" state="hidden" r:id="rId8"/>
    <sheet name="Female Tandem Bike Adjustment" sheetId="45" state="hidden" r:id="rId9"/>
    <sheet name="Open Tandem Trike Adjustment" sheetId="43" state="hidden" r:id="rId10"/>
    <sheet name="Female Tandem Trike Adjustment" sheetId="42" state="hidden" r:id="rId11"/>
    <sheet name="Zwift25" sheetId="59" r:id="rId12"/>
    <sheet name="Zwift50" sheetId="60" r:id="rId13"/>
    <sheet name="Zwift100" sheetId="61" r:id="rId14"/>
    <sheet name="All Solo Adjustments" sheetId="51" state="hidden" r:id="rId15"/>
    <sheet name="Stds" sheetId="62" state="hidden" r:id="rId16"/>
    <sheet name="All Solo Standards" sheetId="38" state="hidden" r:id="rId17"/>
    <sheet name="All Tandem Adjustments" sheetId="52" state="hidden" r:id="rId18"/>
    <sheet name="All Tandem Standards" sheetId="39" state="hidden" r:id="rId19"/>
    <sheet name="All Solo Adjustments Source" sheetId="55" state="hidden" r:id="rId20"/>
    <sheet name="All Tandem Adjustments Source" sheetId="56" state="hidden" r:id="rId21"/>
    <sheet name="Open Solo Bicycle Standards" sheetId="28" state="hidden" r:id="rId22"/>
    <sheet name="Female Solo Bicycle Standards" sheetId="29" state="hidden" r:id="rId23"/>
    <sheet name="Open Solo Tricycle Standards" sheetId="30" state="hidden" r:id="rId24"/>
    <sheet name="Female Solo Tricycle Standards" sheetId="31" state="hidden" r:id="rId25"/>
    <sheet name="Open Tandem Bicycle Standards" sheetId="34" state="hidden" r:id="rId26"/>
    <sheet name="Female Tandem Bicycle Standards" sheetId="33" state="hidden" r:id="rId27"/>
    <sheet name="Open Tandem Tricycle Standards" sheetId="35" state="hidden" r:id="rId28"/>
    <sheet name="Female Tandem Tricycle Standard" sheetId="36" state="hidden" r:id="rId29"/>
    <sheet name="All Solo Standards Source" sheetId="57" state="hidden" r:id="rId30"/>
    <sheet name="All Tandem Standards Source" sheetId="58" state="hidden" r:id="rId31"/>
  </sheets>
  <definedNames>
    <definedName name="_xlnm._FilterDatabase" localSheetId="25" hidden="1">'Open Tandem Bicycle Standards'!$A$1:$S$1</definedName>
    <definedName name="_xlnm._FilterDatabase" localSheetId="15" hidden="1">Stds!$A$1:$AP$2187</definedName>
    <definedName name="_xlnm._FilterDatabase" localSheetId="11" hidden="1">Zwift25!$A$1:$G$29</definedName>
    <definedName name="Revision">Introduction!$B$2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59" l="1"/>
  <c r="D4" i="59"/>
  <c r="D5" i="59"/>
  <c r="D6" i="59"/>
  <c r="D7" i="59"/>
  <c r="D8" i="59"/>
  <c r="D9" i="59"/>
  <c r="D10" i="59"/>
  <c r="D11" i="59"/>
  <c r="D12" i="59"/>
  <c r="D13" i="59"/>
  <c r="D14" i="59"/>
  <c r="D15" i="59"/>
  <c r="D16" i="59"/>
  <c r="D17" i="59"/>
  <c r="D18" i="59"/>
  <c r="D19" i="59"/>
  <c r="D20" i="59"/>
  <c r="D21" i="59"/>
  <c r="D22" i="59"/>
  <c r="D23" i="59"/>
  <c r="D24" i="59"/>
  <c r="D25" i="59"/>
  <c r="D26" i="59"/>
  <c r="D27" i="59"/>
  <c r="D28" i="59"/>
  <c r="D29" i="59"/>
  <c r="D2" i="59"/>
  <c r="E5" i="59"/>
  <c r="F5" i="59" s="1"/>
  <c r="E6" i="59"/>
  <c r="F6" i="59" s="1"/>
  <c r="E9" i="59"/>
  <c r="F9" i="59" s="1"/>
  <c r="E10" i="59"/>
  <c r="F10" i="59" s="1"/>
  <c r="E11" i="59"/>
  <c r="E13" i="59"/>
  <c r="F13" i="59" s="1"/>
  <c r="E14" i="59"/>
  <c r="E15" i="59"/>
  <c r="F15" i="59" s="1"/>
  <c r="E17" i="59"/>
  <c r="F17" i="59" s="1"/>
  <c r="E18" i="59"/>
  <c r="F18" i="59" s="1"/>
  <c r="E19" i="59"/>
  <c r="F19" i="59" s="1"/>
  <c r="E20" i="59"/>
  <c r="F20" i="59" s="1"/>
  <c r="E22" i="59"/>
  <c r="F22" i="59" s="1"/>
  <c r="E24" i="59"/>
  <c r="E25" i="59"/>
  <c r="F25" i="59" s="1"/>
  <c r="E27" i="59"/>
  <c r="F27" i="59" s="1"/>
  <c r="E28" i="59"/>
  <c r="F28" i="59" s="1"/>
  <c r="E29" i="59"/>
  <c r="F29" i="59" s="1"/>
  <c r="E4" i="59"/>
  <c r="F4" i="59" s="1"/>
  <c r="F11" i="59"/>
  <c r="F14" i="59"/>
  <c r="F24" i="59"/>
  <c r="L3" i="62"/>
  <c r="L4" i="62"/>
  <c r="L5" i="62"/>
  <c r="L6" i="62"/>
  <c r="L7" i="62"/>
  <c r="L8" i="62"/>
  <c r="L9" i="62"/>
  <c r="L10" i="62"/>
  <c r="L11" i="62"/>
  <c r="L12" i="62"/>
  <c r="L13" i="62"/>
  <c r="L14" i="62"/>
  <c r="L15" i="62"/>
  <c r="L16" i="62"/>
  <c r="L17" i="62"/>
  <c r="L18" i="62"/>
  <c r="L19" i="62"/>
  <c r="L20" i="62"/>
  <c r="L21" i="62"/>
  <c r="L22" i="62"/>
  <c r="L23" i="62"/>
  <c r="L24" i="62"/>
  <c r="L25" i="62"/>
  <c r="L26" i="62"/>
  <c r="L27" i="62"/>
  <c r="L28" i="62"/>
  <c r="L29" i="62"/>
  <c r="L30" i="62"/>
  <c r="L31" i="62"/>
  <c r="L32" i="62"/>
  <c r="L33" i="62"/>
  <c r="L34" i="62"/>
  <c r="L35" i="62"/>
  <c r="L36" i="62"/>
  <c r="L37" i="62"/>
  <c r="L38" i="62"/>
  <c r="L39" i="62"/>
  <c r="L40" i="62"/>
  <c r="L41" i="62"/>
  <c r="L42" i="62"/>
  <c r="L43" i="62"/>
  <c r="L44" i="62"/>
  <c r="L45" i="62"/>
  <c r="L46" i="62"/>
  <c r="L47" i="62"/>
  <c r="L48" i="62"/>
  <c r="L49" i="62"/>
  <c r="L50" i="62"/>
  <c r="L51" i="62"/>
  <c r="L52" i="62"/>
  <c r="L53" i="62"/>
  <c r="L54" i="62"/>
  <c r="L55" i="62"/>
  <c r="L56" i="62"/>
  <c r="L57" i="62"/>
  <c r="L58" i="62"/>
  <c r="L59" i="62"/>
  <c r="L60" i="62"/>
  <c r="L61" i="62"/>
  <c r="L62" i="62"/>
  <c r="L63" i="62"/>
  <c r="L64" i="62"/>
  <c r="L65" i="62"/>
  <c r="L66" i="62"/>
  <c r="L67" i="62"/>
  <c r="L68" i="62"/>
  <c r="L69" i="62"/>
  <c r="L70" i="62"/>
  <c r="L71" i="62"/>
  <c r="L72" i="62"/>
  <c r="L73" i="62"/>
  <c r="L74" i="62"/>
  <c r="L75" i="62"/>
  <c r="L76" i="62"/>
  <c r="L77" i="62"/>
  <c r="L78" i="62"/>
  <c r="L79" i="62"/>
  <c r="L80" i="62"/>
  <c r="L81" i="62"/>
  <c r="L82" i="62"/>
  <c r="L83" i="62"/>
  <c r="L84" i="62"/>
  <c r="L85" i="62"/>
  <c r="L86" i="62"/>
  <c r="L87" i="62"/>
  <c r="L88" i="62"/>
  <c r="L89" i="62"/>
  <c r="L90" i="62"/>
  <c r="L91" i="62"/>
  <c r="L92" i="62"/>
  <c r="L93" i="62"/>
  <c r="L94" i="62"/>
  <c r="L95" i="62"/>
  <c r="L96" i="62"/>
  <c r="L97" i="62"/>
  <c r="L98" i="62"/>
  <c r="L99" i="62"/>
  <c r="L100" i="62"/>
  <c r="L101" i="62"/>
  <c r="L102" i="62"/>
  <c r="L103" i="62"/>
  <c r="L104" i="62"/>
  <c r="L105" i="62"/>
  <c r="L106" i="62"/>
  <c r="L107" i="62"/>
  <c r="L108" i="62"/>
  <c r="L109" i="62"/>
  <c r="L110" i="62"/>
  <c r="L111" i="62"/>
  <c r="L112" i="62"/>
  <c r="L113" i="62"/>
  <c r="L114" i="62"/>
  <c r="L115" i="62"/>
  <c r="L116" i="62"/>
  <c r="L117" i="62"/>
  <c r="L118" i="62"/>
  <c r="L119" i="62"/>
  <c r="L120" i="62"/>
  <c r="L121" i="62"/>
  <c r="L122" i="62"/>
  <c r="L123" i="62"/>
  <c r="L124" i="62"/>
  <c r="L125" i="62"/>
  <c r="L126" i="62"/>
  <c r="L127" i="62"/>
  <c r="L128" i="62"/>
  <c r="L129" i="62"/>
  <c r="L130" i="62"/>
  <c r="L131" i="62"/>
  <c r="L132" i="62"/>
  <c r="L133" i="62"/>
  <c r="L134" i="62"/>
  <c r="L135" i="62"/>
  <c r="L136" i="62"/>
  <c r="L137" i="62"/>
  <c r="L138" i="62"/>
  <c r="L139" i="62"/>
  <c r="L140" i="62"/>
  <c r="L141" i="62"/>
  <c r="L142" i="62"/>
  <c r="L143" i="62"/>
  <c r="L144" i="62"/>
  <c r="L145" i="62"/>
  <c r="L146" i="62"/>
  <c r="L147" i="62"/>
  <c r="L148" i="62"/>
  <c r="L149" i="62"/>
  <c r="L150" i="62"/>
  <c r="L151" i="62"/>
  <c r="L152" i="62"/>
  <c r="L153" i="62"/>
  <c r="L154" i="62"/>
  <c r="L155" i="62"/>
  <c r="L156" i="62"/>
  <c r="L157" i="62"/>
  <c r="L158" i="62"/>
  <c r="L159" i="62"/>
  <c r="L160" i="62"/>
  <c r="L161" i="62"/>
  <c r="L162" i="62"/>
  <c r="L163" i="62"/>
  <c r="L164" i="62"/>
  <c r="L165" i="62"/>
  <c r="L166" i="62"/>
  <c r="L167" i="62"/>
  <c r="L168" i="62"/>
  <c r="L169" i="62"/>
  <c r="L170" i="62"/>
  <c r="L171" i="62"/>
  <c r="L172" i="62"/>
  <c r="L173" i="62"/>
  <c r="L174" i="62"/>
  <c r="L175" i="62"/>
  <c r="L176" i="62"/>
  <c r="L177" i="62"/>
  <c r="L178" i="62"/>
  <c r="L179" i="62"/>
  <c r="L180" i="62"/>
  <c r="L181" i="62"/>
  <c r="L182" i="62"/>
  <c r="L183" i="62"/>
  <c r="L184" i="62"/>
  <c r="L185" i="62"/>
  <c r="L186" i="62"/>
  <c r="L187" i="62"/>
  <c r="L188" i="62"/>
  <c r="L189" i="62"/>
  <c r="L190" i="62"/>
  <c r="L191" i="62"/>
  <c r="L192" i="62"/>
  <c r="L193" i="62"/>
  <c r="L194" i="62"/>
  <c r="L195" i="62"/>
  <c r="L196" i="62"/>
  <c r="L197" i="62"/>
  <c r="L198" i="62"/>
  <c r="L199" i="62"/>
  <c r="L200" i="62"/>
  <c r="L201" i="62"/>
  <c r="L202" i="62"/>
  <c r="L203" i="62"/>
  <c r="L204" i="62"/>
  <c r="L205" i="62"/>
  <c r="L206" i="62"/>
  <c r="L207" i="62"/>
  <c r="L208" i="62"/>
  <c r="L209" i="62"/>
  <c r="L210" i="62"/>
  <c r="L211" i="62"/>
  <c r="L212" i="62"/>
  <c r="L213" i="62"/>
  <c r="L214" i="62"/>
  <c r="L215" i="62"/>
  <c r="L216" i="62"/>
  <c r="L217" i="62"/>
  <c r="L218" i="62"/>
  <c r="L219" i="62"/>
  <c r="L220" i="62"/>
  <c r="L221" i="62"/>
  <c r="L222" i="62"/>
  <c r="L223" i="62"/>
  <c r="L224" i="62"/>
  <c r="L225" i="62"/>
  <c r="L226" i="62"/>
  <c r="L227" i="62"/>
  <c r="L228" i="62"/>
  <c r="L229" i="62"/>
  <c r="L230" i="62"/>
  <c r="L231" i="62"/>
  <c r="L232" i="62"/>
  <c r="L233" i="62"/>
  <c r="L234" i="62"/>
  <c r="L235" i="62"/>
  <c r="L236" i="62"/>
  <c r="L237" i="62"/>
  <c r="L238" i="62"/>
  <c r="L239" i="62"/>
  <c r="L240" i="62"/>
  <c r="L241" i="62"/>
  <c r="L242" i="62"/>
  <c r="L243" i="62"/>
  <c r="L244" i="62"/>
  <c r="L245" i="62"/>
  <c r="L246" i="62"/>
  <c r="L247" i="62"/>
  <c r="L248" i="62"/>
  <c r="L249" i="62"/>
  <c r="L250" i="62"/>
  <c r="L251" i="62"/>
  <c r="L252" i="62"/>
  <c r="L253" i="62"/>
  <c r="L254" i="62"/>
  <c r="L255" i="62"/>
  <c r="L256" i="62"/>
  <c r="L257" i="62"/>
  <c r="L258" i="62"/>
  <c r="L259" i="62"/>
  <c r="L260" i="62"/>
  <c r="L261" i="62"/>
  <c r="L262" i="62"/>
  <c r="L263" i="62"/>
  <c r="L264" i="62"/>
  <c r="L265" i="62"/>
  <c r="L266" i="62"/>
  <c r="L267" i="62"/>
  <c r="L268" i="62"/>
  <c r="L269" i="62"/>
  <c r="L270" i="62"/>
  <c r="L271" i="62"/>
  <c r="L272" i="62"/>
  <c r="L273" i="62"/>
  <c r="L274" i="62"/>
  <c r="L275" i="62"/>
  <c r="L276" i="62"/>
  <c r="L277" i="62"/>
  <c r="L278" i="62"/>
  <c r="L279" i="62"/>
  <c r="L280" i="62"/>
  <c r="L281" i="62"/>
  <c r="L282" i="62"/>
  <c r="L283" i="62"/>
  <c r="L284" i="62"/>
  <c r="L285" i="62"/>
  <c r="L286" i="62"/>
  <c r="L287" i="62"/>
  <c r="L288" i="62"/>
  <c r="L289" i="62"/>
  <c r="L290" i="62"/>
  <c r="L291" i="62"/>
  <c r="L292" i="62"/>
  <c r="L293" i="62"/>
  <c r="L294" i="62"/>
  <c r="L295" i="62"/>
  <c r="L296" i="62"/>
  <c r="L297" i="62"/>
  <c r="L298" i="62"/>
  <c r="L299" i="62"/>
  <c r="L300" i="62"/>
  <c r="L301" i="62"/>
  <c r="L302" i="62"/>
  <c r="L303" i="62"/>
  <c r="L304" i="62"/>
  <c r="L305" i="62"/>
  <c r="L306" i="62"/>
  <c r="L307" i="62"/>
  <c r="L308" i="62"/>
  <c r="L309" i="62"/>
  <c r="L310" i="62"/>
  <c r="L311" i="62"/>
  <c r="L312" i="62"/>
  <c r="L313" i="62"/>
  <c r="L314" i="62"/>
  <c r="L315" i="62"/>
  <c r="L316" i="62"/>
  <c r="L317" i="62"/>
  <c r="L318" i="62"/>
  <c r="L319" i="62"/>
  <c r="L320" i="62"/>
  <c r="L321" i="62"/>
  <c r="L322" i="62"/>
  <c r="L323" i="62"/>
  <c r="L324" i="62"/>
  <c r="L325" i="62"/>
  <c r="L326" i="62"/>
  <c r="L327" i="62"/>
  <c r="L328" i="62"/>
  <c r="L329" i="62"/>
  <c r="L330" i="62"/>
  <c r="L331" i="62"/>
  <c r="L332" i="62"/>
  <c r="L333" i="62"/>
  <c r="L334" i="62"/>
  <c r="L335" i="62"/>
  <c r="L336" i="62"/>
  <c r="L337" i="62"/>
  <c r="L338" i="62"/>
  <c r="L339" i="62"/>
  <c r="L340" i="62"/>
  <c r="L341" i="62"/>
  <c r="L342" i="62"/>
  <c r="L343" i="62"/>
  <c r="L344" i="62"/>
  <c r="L345" i="62"/>
  <c r="L346" i="62"/>
  <c r="L347" i="62"/>
  <c r="L348" i="62"/>
  <c r="L349" i="62"/>
  <c r="L350" i="62"/>
  <c r="L351" i="62"/>
  <c r="L352" i="62"/>
  <c r="L353" i="62"/>
  <c r="L354" i="62"/>
  <c r="L355" i="62"/>
  <c r="L356" i="62"/>
  <c r="L357" i="62"/>
  <c r="L358" i="62"/>
  <c r="L359" i="62"/>
  <c r="L360" i="62"/>
  <c r="L361" i="62"/>
  <c r="L362" i="62"/>
  <c r="L363" i="62"/>
  <c r="L364" i="62"/>
  <c r="L365" i="62"/>
  <c r="L366" i="62"/>
  <c r="L367" i="62"/>
  <c r="L368" i="62"/>
  <c r="L369" i="62"/>
  <c r="L370" i="62"/>
  <c r="L371" i="62"/>
  <c r="L372" i="62"/>
  <c r="L373" i="62"/>
  <c r="L374" i="62"/>
  <c r="L375" i="62"/>
  <c r="L376" i="62"/>
  <c r="L377" i="62"/>
  <c r="L378" i="62"/>
  <c r="L379" i="62"/>
  <c r="L380" i="62"/>
  <c r="L381" i="62"/>
  <c r="L382" i="62"/>
  <c r="L383" i="62"/>
  <c r="L384" i="62"/>
  <c r="L385" i="62"/>
  <c r="L386" i="62"/>
  <c r="L387" i="62"/>
  <c r="L388" i="62"/>
  <c r="L389" i="62"/>
  <c r="L390" i="62"/>
  <c r="L391" i="62"/>
  <c r="L392" i="62"/>
  <c r="L393" i="62"/>
  <c r="L394" i="62"/>
  <c r="L395" i="62"/>
  <c r="L396" i="62"/>
  <c r="L397" i="62"/>
  <c r="L398" i="62"/>
  <c r="L399" i="62"/>
  <c r="L400" i="62"/>
  <c r="L401" i="62"/>
  <c r="L402" i="62"/>
  <c r="L403" i="62"/>
  <c r="L404" i="62"/>
  <c r="L405" i="62"/>
  <c r="L406" i="62"/>
  <c r="L407" i="62"/>
  <c r="L408" i="62"/>
  <c r="L409" i="62"/>
  <c r="L410" i="62"/>
  <c r="L411" i="62"/>
  <c r="L412" i="62"/>
  <c r="L413" i="62"/>
  <c r="L414" i="62"/>
  <c r="L415" i="62"/>
  <c r="L416" i="62"/>
  <c r="L417" i="62"/>
  <c r="L418" i="62"/>
  <c r="L419" i="62"/>
  <c r="L420" i="62"/>
  <c r="L421" i="62"/>
  <c r="L422" i="62"/>
  <c r="L423" i="62"/>
  <c r="L424" i="62"/>
  <c r="L425" i="62"/>
  <c r="L426" i="62"/>
  <c r="L427" i="62"/>
  <c r="L428" i="62"/>
  <c r="L429" i="62"/>
  <c r="L430" i="62"/>
  <c r="L431" i="62"/>
  <c r="L432" i="62"/>
  <c r="L433" i="62"/>
  <c r="L434" i="62"/>
  <c r="L435" i="62"/>
  <c r="L436" i="62"/>
  <c r="L437" i="62"/>
  <c r="L438" i="62"/>
  <c r="L439" i="62"/>
  <c r="L440" i="62"/>
  <c r="L441" i="62"/>
  <c r="L442" i="62"/>
  <c r="L443" i="62"/>
  <c r="L444" i="62"/>
  <c r="L445" i="62"/>
  <c r="L446" i="62"/>
  <c r="L447" i="62"/>
  <c r="L448" i="62"/>
  <c r="L449" i="62"/>
  <c r="L450" i="62"/>
  <c r="L451" i="62"/>
  <c r="L452" i="62"/>
  <c r="L453" i="62"/>
  <c r="L454" i="62"/>
  <c r="L455" i="62"/>
  <c r="L456" i="62"/>
  <c r="L457" i="62"/>
  <c r="L458" i="62"/>
  <c r="L459" i="62"/>
  <c r="L460" i="62"/>
  <c r="L461" i="62"/>
  <c r="L462" i="62"/>
  <c r="L463" i="62"/>
  <c r="L464" i="62"/>
  <c r="L465" i="62"/>
  <c r="L466" i="62"/>
  <c r="L467" i="62"/>
  <c r="L468" i="62"/>
  <c r="L469" i="62"/>
  <c r="L470" i="62"/>
  <c r="L471" i="62"/>
  <c r="L472" i="62"/>
  <c r="L473" i="62"/>
  <c r="L474" i="62"/>
  <c r="L475" i="62"/>
  <c r="L476" i="62"/>
  <c r="L477" i="62"/>
  <c r="L478" i="62"/>
  <c r="L479" i="62"/>
  <c r="L480" i="62"/>
  <c r="L481" i="62"/>
  <c r="L482" i="62"/>
  <c r="L483" i="62"/>
  <c r="L484" i="62"/>
  <c r="L485" i="62"/>
  <c r="L486" i="62"/>
  <c r="L487" i="62"/>
  <c r="L488" i="62"/>
  <c r="L489" i="62"/>
  <c r="L490" i="62"/>
  <c r="L491" i="62"/>
  <c r="L492" i="62"/>
  <c r="L493" i="62"/>
  <c r="L494" i="62"/>
  <c r="L495" i="62"/>
  <c r="L496" i="62"/>
  <c r="L497" i="62"/>
  <c r="L498" i="62"/>
  <c r="L499" i="62"/>
  <c r="L500" i="62"/>
  <c r="L501" i="62"/>
  <c r="L502" i="62"/>
  <c r="L503" i="62"/>
  <c r="L504" i="62"/>
  <c r="L505" i="62"/>
  <c r="L506" i="62"/>
  <c r="L507" i="62"/>
  <c r="L508" i="62"/>
  <c r="L509" i="62"/>
  <c r="L510" i="62"/>
  <c r="L511" i="62"/>
  <c r="L512" i="62"/>
  <c r="L513" i="62"/>
  <c r="L514" i="62"/>
  <c r="L515" i="62"/>
  <c r="L516" i="62"/>
  <c r="L517" i="62"/>
  <c r="L518" i="62"/>
  <c r="L519" i="62"/>
  <c r="L520" i="62"/>
  <c r="L521" i="62"/>
  <c r="L522" i="62"/>
  <c r="L523" i="62"/>
  <c r="L524" i="62"/>
  <c r="L525" i="62"/>
  <c r="L526" i="62"/>
  <c r="L527" i="62"/>
  <c r="L528" i="62"/>
  <c r="L529" i="62"/>
  <c r="L530" i="62"/>
  <c r="L531" i="62"/>
  <c r="L532" i="62"/>
  <c r="L533" i="62"/>
  <c r="L534" i="62"/>
  <c r="L535" i="62"/>
  <c r="L536" i="62"/>
  <c r="L537" i="62"/>
  <c r="L538" i="62"/>
  <c r="L539" i="62"/>
  <c r="L540" i="62"/>
  <c r="L541" i="62"/>
  <c r="L542" i="62"/>
  <c r="L543" i="62"/>
  <c r="L544" i="62"/>
  <c r="L545" i="62"/>
  <c r="L546" i="62"/>
  <c r="L547" i="62"/>
  <c r="L548" i="62"/>
  <c r="L549" i="62"/>
  <c r="L550" i="62"/>
  <c r="L551" i="62"/>
  <c r="L552" i="62"/>
  <c r="L553" i="62"/>
  <c r="L554" i="62"/>
  <c r="L555" i="62"/>
  <c r="L556" i="62"/>
  <c r="L557" i="62"/>
  <c r="L558" i="62"/>
  <c r="L559" i="62"/>
  <c r="L560" i="62"/>
  <c r="L561" i="62"/>
  <c r="L562" i="62"/>
  <c r="L563" i="62"/>
  <c r="L564" i="62"/>
  <c r="L565" i="62"/>
  <c r="L566" i="62"/>
  <c r="L567" i="62"/>
  <c r="L568" i="62"/>
  <c r="L569" i="62"/>
  <c r="L570" i="62"/>
  <c r="L571" i="62"/>
  <c r="L572" i="62"/>
  <c r="L573" i="62"/>
  <c r="L574" i="62"/>
  <c r="L575" i="62"/>
  <c r="L576" i="62"/>
  <c r="L577" i="62"/>
  <c r="L578" i="62"/>
  <c r="L579" i="62"/>
  <c r="L580" i="62"/>
  <c r="L581" i="62"/>
  <c r="L582" i="62"/>
  <c r="L583" i="62"/>
  <c r="L584" i="62"/>
  <c r="L585" i="62"/>
  <c r="L586" i="62"/>
  <c r="L587" i="62"/>
  <c r="L588" i="62"/>
  <c r="L589" i="62"/>
  <c r="L590" i="62"/>
  <c r="L591" i="62"/>
  <c r="L592" i="62"/>
  <c r="L593" i="62"/>
  <c r="L594" i="62"/>
  <c r="L595" i="62"/>
  <c r="L596" i="62"/>
  <c r="L597" i="62"/>
  <c r="L598" i="62"/>
  <c r="L599" i="62"/>
  <c r="L600" i="62"/>
  <c r="L601" i="62"/>
  <c r="L602" i="62"/>
  <c r="L603" i="62"/>
  <c r="L604" i="62"/>
  <c r="L605" i="62"/>
  <c r="L606" i="62"/>
  <c r="L607" i="62"/>
  <c r="L608" i="62"/>
  <c r="L609" i="62"/>
  <c r="L610" i="62"/>
  <c r="L611" i="62"/>
  <c r="L612" i="62"/>
  <c r="L613" i="62"/>
  <c r="L614" i="62"/>
  <c r="L615" i="62"/>
  <c r="L616" i="62"/>
  <c r="L617" i="62"/>
  <c r="L618" i="62"/>
  <c r="L619" i="62"/>
  <c r="L620" i="62"/>
  <c r="L621" i="62"/>
  <c r="L622" i="62"/>
  <c r="L623" i="62"/>
  <c r="L624" i="62"/>
  <c r="L625" i="62"/>
  <c r="L626" i="62"/>
  <c r="L627" i="62"/>
  <c r="L628" i="62"/>
  <c r="L629" i="62"/>
  <c r="L630" i="62"/>
  <c r="L631" i="62"/>
  <c r="L632" i="62"/>
  <c r="L633" i="62"/>
  <c r="L634" i="62"/>
  <c r="L635" i="62"/>
  <c r="L636" i="62"/>
  <c r="L637" i="62"/>
  <c r="L638" i="62"/>
  <c r="L639" i="62"/>
  <c r="L640" i="62"/>
  <c r="L641" i="62"/>
  <c r="L642" i="62"/>
  <c r="L643" i="62"/>
  <c r="L644" i="62"/>
  <c r="L645" i="62"/>
  <c r="L646" i="62"/>
  <c r="L647" i="62"/>
  <c r="L648" i="62"/>
  <c r="L649" i="62"/>
  <c r="L650" i="62"/>
  <c r="L651" i="62"/>
  <c r="L652" i="62"/>
  <c r="L653" i="62"/>
  <c r="L654" i="62"/>
  <c r="L655" i="62"/>
  <c r="L656" i="62"/>
  <c r="L657" i="62"/>
  <c r="L658" i="62"/>
  <c r="L659" i="62"/>
  <c r="L660" i="62"/>
  <c r="L661" i="62"/>
  <c r="L662" i="62"/>
  <c r="L663" i="62"/>
  <c r="L664" i="62"/>
  <c r="L665" i="62"/>
  <c r="L666" i="62"/>
  <c r="L667" i="62"/>
  <c r="L668" i="62"/>
  <c r="L669" i="62"/>
  <c r="L670" i="62"/>
  <c r="L671" i="62"/>
  <c r="L672" i="62"/>
  <c r="L673" i="62"/>
  <c r="L674" i="62"/>
  <c r="L675" i="62"/>
  <c r="L676" i="62"/>
  <c r="L677" i="62"/>
  <c r="L678" i="62"/>
  <c r="L679" i="62"/>
  <c r="L680" i="62"/>
  <c r="L681" i="62"/>
  <c r="L682" i="62"/>
  <c r="L683" i="62"/>
  <c r="L684" i="62"/>
  <c r="L685" i="62"/>
  <c r="L686" i="62"/>
  <c r="L687" i="62"/>
  <c r="L688" i="62"/>
  <c r="L689" i="62"/>
  <c r="L690" i="62"/>
  <c r="L691" i="62"/>
  <c r="L692" i="62"/>
  <c r="L693" i="62"/>
  <c r="L694" i="62"/>
  <c r="L695" i="62"/>
  <c r="L696" i="62"/>
  <c r="L697" i="62"/>
  <c r="L698" i="62"/>
  <c r="L699" i="62"/>
  <c r="L700" i="62"/>
  <c r="L701" i="62"/>
  <c r="L702" i="62"/>
  <c r="L703" i="62"/>
  <c r="L704" i="62"/>
  <c r="L705" i="62"/>
  <c r="L706" i="62"/>
  <c r="L707" i="62"/>
  <c r="L708" i="62"/>
  <c r="L709" i="62"/>
  <c r="L710" i="62"/>
  <c r="L711" i="62"/>
  <c r="L712" i="62"/>
  <c r="L713" i="62"/>
  <c r="L714" i="62"/>
  <c r="L715" i="62"/>
  <c r="L716" i="62"/>
  <c r="L717" i="62"/>
  <c r="L718" i="62"/>
  <c r="L719" i="62"/>
  <c r="L720" i="62"/>
  <c r="L721" i="62"/>
  <c r="L722" i="62"/>
  <c r="L723" i="62"/>
  <c r="L724" i="62"/>
  <c r="L725" i="62"/>
  <c r="L726" i="62"/>
  <c r="L727" i="62"/>
  <c r="L728" i="62"/>
  <c r="L729" i="62"/>
  <c r="L730" i="62"/>
  <c r="L731" i="62"/>
  <c r="L732" i="62"/>
  <c r="L733" i="62"/>
  <c r="L734" i="62"/>
  <c r="L735" i="62"/>
  <c r="L736" i="62"/>
  <c r="L737" i="62"/>
  <c r="L738" i="62"/>
  <c r="L739" i="62"/>
  <c r="L740" i="62"/>
  <c r="L741" i="62"/>
  <c r="L742" i="62"/>
  <c r="L743" i="62"/>
  <c r="L744" i="62"/>
  <c r="L745" i="62"/>
  <c r="L746" i="62"/>
  <c r="L747" i="62"/>
  <c r="L748" i="62"/>
  <c r="L749" i="62"/>
  <c r="L750" i="62"/>
  <c r="L751" i="62"/>
  <c r="L752" i="62"/>
  <c r="L753" i="62"/>
  <c r="L754" i="62"/>
  <c r="L755" i="62"/>
  <c r="L756" i="62"/>
  <c r="L757" i="62"/>
  <c r="L758" i="62"/>
  <c r="L759" i="62"/>
  <c r="L760" i="62"/>
  <c r="L761" i="62"/>
  <c r="L762" i="62"/>
  <c r="L763" i="62"/>
  <c r="L764" i="62"/>
  <c r="L765" i="62"/>
  <c r="L766" i="62"/>
  <c r="L767" i="62"/>
  <c r="L768" i="62"/>
  <c r="L769" i="62"/>
  <c r="L770" i="62"/>
  <c r="L771" i="62"/>
  <c r="L772" i="62"/>
  <c r="L773" i="62"/>
  <c r="L774" i="62"/>
  <c r="L775" i="62"/>
  <c r="L776" i="62"/>
  <c r="L777" i="62"/>
  <c r="L778" i="62"/>
  <c r="L779" i="62"/>
  <c r="L780" i="62"/>
  <c r="L781" i="62"/>
  <c r="L782" i="62"/>
  <c r="L783" i="62"/>
  <c r="L784" i="62"/>
  <c r="L785" i="62"/>
  <c r="L786" i="62"/>
  <c r="L787" i="62"/>
  <c r="L788" i="62"/>
  <c r="L789" i="62"/>
  <c r="L790" i="62"/>
  <c r="L791" i="62"/>
  <c r="L792" i="62"/>
  <c r="L793" i="62"/>
  <c r="L794" i="62"/>
  <c r="L795" i="62"/>
  <c r="L796" i="62"/>
  <c r="L797" i="62"/>
  <c r="L798" i="62"/>
  <c r="L799" i="62"/>
  <c r="L800" i="62"/>
  <c r="L801" i="62"/>
  <c r="L802" i="62"/>
  <c r="L803" i="62"/>
  <c r="L804" i="62"/>
  <c r="L805" i="62"/>
  <c r="L806" i="62"/>
  <c r="L807" i="62"/>
  <c r="L808" i="62"/>
  <c r="L809" i="62"/>
  <c r="L810" i="62"/>
  <c r="L811" i="62"/>
  <c r="L812" i="62"/>
  <c r="L813" i="62"/>
  <c r="L814" i="62"/>
  <c r="L815" i="62"/>
  <c r="L816" i="62"/>
  <c r="L817" i="62"/>
  <c r="L818" i="62"/>
  <c r="L819" i="62"/>
  <c r="L820" i="62"/>
  <c r="L821" i="62"/>
  <c r="L822" i="62"/>
  <c r="L823" i="62"/>
  <c r="L824" i="62"/>
  <c r="L825" i="62"/>
  <c r="L826" i="62"/>
  <c r="L827" i="62"/>
  <c r="L828" i="62"/>
  <c r="L829" i="62"/>
  <c r="L830" i="62"/>
  <c r="L831" i="62"/>
  <c r="L832" i="62"/>
  <c r="L833" i="62"/>
  <c r="L834" i="62"/>
  <c r="L835" i="62"/>
  <c r="L836" i="62"/>
  <c r="L837" i="62"/>
  <c r="L838" i="62"/>
  <c r="L839" i="62"/>
  <c r="L840" i="62"/>
  <c r="L841" i="62"/>
  <c r="L842" i="62"/>
  <c r="L843" i="62"/>
  <c r="L844" i="62"/>
  <c r="L845" i="62"/>
  <c r="L846" i="62"/>
  <c r="L847" i="62"/>
  <c r="L848" i="62"/>
  <c r="L849" i="62"/>
  <c r="L850" i="62"/>
  <c r="L851" i="62"/>
  <c r="L852" i="62"/>
  <c r="L853" i="62"/>
  <c r="L854" i="62"/>
  <c r="L855" i="62"/>
  <c r="L856" i="62"/>
  <c r="L857" i="62"/>
  <c r="L858" i="62"/>
  <c r="L859" i="62"/>
  <c r="L860" i="62"/>
  <c r="L861" i="62"/>
  <c r="L862" i="62"/>
  <c r="L863" i="62"/>
  <c r="L864" i="62"/>
  <c r="L865" i="62"/>
  <c r="L866" i="62"/>
  <c r="L867" i="62"/>
  <c r="L868" i="62"/>
  <c r="L869" i="62"/>
  <c r="L870" i="62"/>
  <c r="L871" i="62"/>
  <c r="L872" i="62"/>
  <c r="L873" i="62"/>
  <c r="L874" i="62"/>
  <c r="L875" i="62"/>
  <c r="L876" i="62"/>
  <c r="L877" i="62"/>
  <c r="L878" i="62"/>
  <c r="L879" i="62"/>
  <c r="L880" i="62"/>
  <c r="L881" i="62"/>
  <c r="L882" i="62"/>
  <c r="L883" i="62"/>
  <c r="L884" i="62"/>
  <c r="L885" i="62"/>
  <c r="L886" i="62"/>
  <c r="L887" i="62"/>
  <c r="L888" i="62"/>
  <c r="L889" i="62"/>
  <c r="L890" i="62"/>
  <c r="L891" i="62"/>
  <c r="L892" i="62"/>
  <c r="L893" i="62"/>
  <c r="L894" i="62"/>
  <c r="L895" i="62"/>
  <c r="L896" i="62"/>
  <c r="L897" i="62"/>
  <c r="L898" i="62"/>
  <c r="L899" i="62"/>
  <c r="L900" i="62"/>
  <c r="L901" i="62"/>
  <c r="L902" i="62"/>
  <c r="L903" i="62"/>
  <c r="L904" i="62"/>
  <c r="L905" i="62"/>
  <c r="L906" i="62"/>
  <c r="L907" i="62"/>
  <c r="L908" i="62"/>
  <c r="L909" i="62"/>
  <c r="L910" i="62"/>
  <c r="L911" i="62"/>
  <c r="L912" i="62"/>
  <c r="L913" i="62"/>
  <c r="L914" i="62"/>
  <c r="L915" i="62"/>
  <c r="L916" i="62"/>
  <c r="L917" i="62"/>
  <c r="L918" i="62"/>
  <c r="L919" i="62"/>
  <c r="L920" i="62"/>
  <c r="L921" i="62"/>
  <c r="L922" i="62"/>
  <c r="L923" i="62"/>
  <c r="L924" i="62"/>
  <c r="L925" i="62"/>
  <c r="L926" i="62"/>
  <c r="L927" i="62"/>
  <c r="L928" i="62"/>
  <c r="L929" i="62"/>
  <c r="L930" i="62"/>
  <c r="L931" i="62"/>
  <c r="L932" i="62"/>
  <c r="L933" i="62"/>
  <c r="L934" i="62"/>
  <c r="L935" i="62"/>
  <c r="L936" i="62"/>
  <c r="L937" i="62"/>
  <c r="L938" i="62"/>
  <c r="L939" i="62"/>
  <c r="L940" i="62"/>
  <c r="L941" i="62"/>
  <c r="L942" i="62"/>
  <c r="L943" i="62"/>
  <c r="L944" i="62"/>
  <c r="L945" i="62"/>
  <c r="L946" i="62"/>
  <c r="L947" i="62"/>
  <c r="L948" i="62"/>
  <c r="L949" i="62"/>
  <c r="L950" i="62"/>
  <c r="L951" i="62"/>
  <c r="L952" i="62"/>
  <c r="L953" i="62"/>
  <c r="L954" i="62"/>
  <c r="L955" i="62"/>
  <c r="L956" i="62"/>
  <c r="L957" i="62"/>
  <c r="L958" i="62"/>
  <c r="L959" i="62"/>
  <c r="L960" i="62"/>
  <c r="L961" i="62"/>
  <c r="L962" i="62"/>
  <c r="L963" i="62"/>
  <c r="L964" i="62"/>
  <c r="L965" i="62"/>
  <c r="L966" i="62"/>
  <c r="L967" i="62"/>
  <c r="L968" i="62"/>
  <c r="L969" i="62"/>
  <c r="L970" i="62"/>
  <c r="L971" i="62"/>
  <c r="L972" i="62"/>
  <c r="L973" i="62"/>
  <c r="L974" i="62"/>
  <c r="L975" i="62"/>
  <c r="L976" i="62"/>
  <c r="L977" i="62"/>
  <c r="L978" i="62"/>
  <c r="L979" i="62"/>
  <c r="L980" i="62"/>
  <c r="L981" i="62"/>
  <c r="L982" i="62"/>
  <c r="L983" i="62"/>
  <c r="L984" i="62"/>
  <c r="L985" i="62"/>
  <c r="L986" i="62"/>
  <c r="L987" i="62"/>
  <c r="L988" i="62"/>
  <c r="L989" i="62"/>
  <c r="L990" i="62"/>
  <c r="L991" i="62"/>
  <c r="L992" i="62"/>
  <c r="L993" i="62"/>
  <c r="L994" i="62"/>
  <c r="L995" i="62"/>
  <c r="L996" i="62"/>
  <c r="L997" i="62"/>
  <c r="L998" i="62"/>
  <c r="L999" i="62"/>
  <c r="L1000" i="62"/>
  <c r="L1001" i="62"/>
  <c r="L1002" i="62"/>
  <c r="L1003" i="62"/>
  <c r="L1004" i="62"/>
  <c r="L1005" i="62"/>
  <c r="L1006" i="62"/>
  <c r="L1007" i="62"/>
  <c r="L1008" i="62"/>
  <c r="L1009" i="62"/>
  <c r="L1010" i="62"/>
  <c r="L1011" i="62"/>
  <c r="L1012" i="62"/>
  <c r="L1013" i="62"/>
  <c r="L1014" i="62"/>
  <c r="L1015" i="62"/>
  <c r="L1016" i="62"/>
  <c r="L1017" i="62"/>
  <c r="L1018" i="62"/>
  <c r="L1019" i="62"/>
  <c r="L1020" i="62"/>
  <c r="L1021" i="62"/>
  <c r="L1022" i="62"/>
  <c r="L1023" i="62"/>
  <c r="L1024" i="62"/>
  <c r="L1025" i="62"/>
  <c r="L1026" i="62"/>
  <c r="L1027" i="62"/>
  <c r="L1028" i="62"/>
  <c r="L1029" i="62"/>
  <c r="L1030" i="62"/>
  <c r="L1031" i="62"/>
  <c r="L1032" i="62"/>
  <c r="L1033" i="62"/>
  <c r="L1034" i="62"/>
  <c r="L1035" i="62"/>
  <c r="L1036" i="62"/>
  <c r="L1037" i="62"/>
  <c r="L1038" i="62"/>
  <c r="L1039" i="62"/>
  <c r="L1040" i="62"/>
  <c r="L1041" i="62"/>
  <c r="L1042" i="62"/>
  <c r="L1043" i="62"/>
  <c r="L1044" i="62"/>
  <c r="L1045" i="62"/>
  <c r="L1046" i="62"/>
  <c r="L1047" i="62"/>
  <c r="L1048" i="62"/>
  <c r="L1049" i="62"/>
  <c r="L1050" i="62"/>
  <c r="L1051" i="62"/>
  <c r="L1052" i="62"/>
  <c r="L1053" i="62"/>
  <c r="L1054" i="62"/>
  <c r="L1055" i="62"/>
  <c r="L1056" i="62"/>
  <c r="L1057" i="62"/>
  <c r="L1058" i="62"/>
  <c r="L1059" i="62"/>
  <c r="L1060" i="62"/>
  <c r="L1061" i="62"/>
  <c r="L1062" i="62"/>
  <c r="L1063" i="62"/>
  <c r="L1064" i="62"/>
  <c r="L1065" i="62"/>
  <c r="L1066" i="62"/>
  <c r="L1067" i="62"/>
  <c r="L1068" i="62"/>
  <c r="L1069" i="62"/>
  <c r="L1070" i="62"/>
  <c r="L1071" i="62"/>
  <c r="L1072" i="62"/>
  <c r="L1073" i="62"/>
  <c r="L1074" i="62"/>
  <c r="L1075" i="62"/>
  <c r="L1076" i="62"/>
  <c r="L1077" i="62"/>
  <c r="L1078" i="62"/>
  <c r="L1079" i="62"/>
  <c r="L1080" i="62"/>
  <c r="L1081" i="62"/>
  <c r="L1082" i="62"/>
  <c r="L1083" i="62"/>
  <c r="L1084" i="62"/>
  <c r="L1085" i="62"/>
  <c r="L1086" i="62"/>
  <c r="L1087" i="62"/>
  <c r="L1088" i="62"/>
  <c r="L1089" i="62"/>
  <c r="L1090" i="62"/>
  <c r="L1091" i="62"/>
  <c r="L1092" i="62"/>
  <c r="L1093" i="62"/>
  <c r="L1094" i="62"/>
  <c r="L1095" i="62"/>
  <c r="L1096" i="62"/>
  <c r="L1097" i="62"/>
  <c r="L1098" i="62"/>
  <c r="L1099" i="62"/>
  <c r="L1100" i="62"/>
  <c r="L1101" i="62"/>
  <c r="L1102" i="62"/>
  <c r="L1103" i="62"/>
  <c r="L1104" i="62"/>
  <c r="L1105" i="62"/>
  <c r="L1106" i="62"/>
  <c r="L1107" i="62"/>
  <c r="L1108" i="62"/>
  <c r="L1109" i="62"/>
  <c r="L1110" i="62"/>
  <c r="L1111" i="62"/>
  <c r="L1112" i="62"/>
  <c r="L1113" i="62"/>
  <c r="L1114" i="62"/>
  <c r="L1115" i="62"/>
  <c r="L1116" i="62"/>
  <c r="L1117" i="62"/>
  <c r="L1118" i="62"/>
  <c r="L1119" i="62"/>
  <c r="L1120" i="62"/>
  <c r="L1121" i="62"/>
  <c r="L1122" i="62"/>
  <c r="L1123" i="62"/>
  <c r="L1124" i="62"/>
  <c r="L1125" i="62"/>
  <c r="L1126" i="62"/>
  <c r="L1127" i="62"/>
  <c r="L1128" i="62"/>
  <c r="L1129" i="62"/>
  <c r="L1130" i="62"/>
  <c r="L1131" i="62"/>
  <c r="L1132" i="62"/>
  <c r="L1133" i="62"/>
  <c r="L1134" i="62"/>
  <c r="L1135" i="62"/>
  <c r="L1136" i="62"/>
  <c r="L1137" i="62"/>
  <c r="L1138" i="62"/>
  <c r="L1139" i="62"/>
  <c r="L1140" i="62"/>
  <c r="L1141" i="62"/>
  <c r="L1142" i="62"/>
  <c r="L1143" i="62"/>
  <c r="L1144" i="62"/>
  <c r="L1145" i="62"/>
  <c r="L1146" i="62"/>
  <c r="L1147" i="62"/>
  <c r="L1148" i="62"/>
  <c r="L1149" i="62"/>
  <c r="L1150" i="62"/>
  <c r="L1151" i="62"/>
  <c r="L1152" i="62"/>
  <c r="L1153" i="62"/>
  <c r="L1154" i="62"/>
  <c r="L1155" i="62"/>
  <c r="L1156" i="62"/>
  <c r="L1157" i="62"/>
  <c r="L1158" i="62"/>
  <c r="L1159" i="62"/>
  <c r="L1160" i="62"/>
  <c r="L1161" i="62"/>
  <c r="L1162" i="62"/>
  <c r="L1163" i="62"/>
  <c r="L1164" i="62"/>
  <c r="L1165" i="62"/>
  <c r="L1166" i="62"/>
  <c r="L1167" i="62"/>
  <c r="L1168" i="62"/>
  <c r="L1169" i="62"/>
  <c r="L1170" i="62"/>
  <c r="L1171" i="62"/>
  <c r="L1172" i="62"/>
  <c r="L1173" i="62"/>
  <c r="L1174" i="62"/>
  <c r="L1175" i="62"/>
  <c r="L1176" i="62"/>
  <c r="L1177" i="62"/>
  <c r="L1178" i="62"/>
  <c r="L1179" i="62"/>
  <c r="L1180" i="62"/>
  <c r="L1181" i="62"/>
  <c r="L1182" i="62"/>
  <c r="L1183" i="62"/>
  <c r="L1184" i="62"/>
  <c r="L1185" i="62"/>
  <c r="L1186" i="62"/>
  <c r="L1187" i="62"/>
  <c r="L1188" i="62"/>
  <c r="L1189" i="62"/>
  <c r="L1190" i="62"/>
  <c r="L1191" i="62"/>
  <c r="L1192" i="62"/>
  <c r="L1193" i="62"/>
  <c r="L1194" i="62"/>
  <c r="L1195" i="62"/>
  <c r="L1196" i="62"/>
  <c r="L1197" i="62"/>
  <c r="L1198" i="62"/>
  <c r="L1199" i="62"/>
  <c r="L1200" i="62"/>
  <c r="L1201" i="62"/>
  <c r="L1202" i="62"/>
  <c r="L1203" i="62"/>
  <c r="L1204" i="62"/>
  <c r="L1205" i="62"/>
  <c r="L1206" i="62"/>
  <c r="L1207" i="62"/>
  <c r="L1208" i="62"/>
  <c r="L1209" i="62"/>
  <c r="L1210" i="62"/>
  <c r="L1211" i="62"/>
  <c r="L1212" i="62"/>
  <c r="L1213" i="62"/>
  <c r="L1214" i="62"/>
  <c r="L1215" i="62"/>
  <c r="L1216" i="62"/>
  <c r="L1217" i="62"/>
  <c r="L1218" i="62"/>
  <c r="L1219" i="62"/>
  <c r="L1220" i="62"/>
  <c r="L1221" i="62"/>
  <c r="L1222" i="62"/>
  <c r="L1223" i="62"/>
  <c r="L1224" i="62"/>
  <c r="L1225" i="62"/>
  <c r="L1226" i="62"/>
  <c r="L1227" i="62"/>
  <c r="L1228" i="62"/>
  <c r="L1229" i="62"/>
  <c r="L1230" i="62"/>
  <c r="L1231" i="62"/>
  <c r="L1232" i="62"/>
  <c r="L1233" i="62"/>
  <c r="L1234" i="62"/>
  <c r="L1235" i="62"/>
  <c r="L1236" i="62"/>
  <c r="L1237" i="62"/>
  <c r="L1238" i="62"/>
  <c r="L1239" i="62"/>
  <c r="L1240" i="62"/>
  <c r="L1241" i="62"/>
  <c r="L1242" i="62"/>
  <c r="L1243" i="62"/>
  <c r="L1244" i="62"/>
  <c r="L1245" i="62"/>
  <c r="L1246" i="62"/>
  <c r="L1247" i="62"/>
  <c r="L1248" i="62"/>
  <c r="L1249" i="62"/>
  <c r="L1250" i="62"/>
  <c r="L1251" i="62"/>
  <c r="L1252" i="62"/>
  <c r="L1253" i="62"/>
  <c r="L1254" i="62"/>
  <c r="L1255" i="62"/>
  <c r="L1256" i="62"/>
  <c r="L1257" i="62"/>
  <c r="L1258" i="62"/>
  <c r="L1259" i="62"/>
  <c r="L1260" i="62"/>
  <c r="L1261" i="62"/>
  <c r="L1262" i="62"/>
  <c r="L1263" i="62"/>
  <c r="L1264" i="62"/>
  <c r="L1265" i="62"/>
  <c r="L1266" i="62"/>
  <c r="L1267" i="62"/>
  <c r="L1268" i="62"/>
  <c r="L1269" i="62"/>
  <c r="L1270" i="62"/>
  <c r="L1271" i="62"/>
  <c r="L1272" i="62"/>
  <c r="L1273" i="62"/>
  <c r="L1274" i="62"/>
  <c r="L1275" i="62"/>
  <c r="L1276" i="62"/>
  <c r="L1277" i="62"/>
  <c r="L1278" i="62"/>
  <c r="L1279" i="62"/>
  <c r="L1280" i="62"/>
  <c r="L1281" i="62"/>
  <c r="L1282" i="62"/>
  <c r="L1283" i="62"/>
  <c r="L1284" i="62"/>
  <c r="L1285" i="62"/>
  <c r="L1286" i="62"/>
  <c r="L1287" i="62"/>
  <c r="L1288" i="62"/>
  <c r="L1289" i="62"/>
  <c r="L1290" i="62"/>
  <c r="L1291" i="62"/>
  <c r="L1292" i="62"/>
  <c r="L1293" i="62"/>
  <c r="L1294" i="62"/>
  <c r="L1295" i="62"/>
  <c r="L1296" i="62"/>
  <c r="L1297" i="62"/>
  <c r="L1298" i="62"/>
  <c r="L1299" i="62"/>
  <c r="L1300" i="62"/>
  <c r="L1301" i="62"/>
  <c r="L1302" i="62"/>
  <c r="L1303" i="62"/>
  <c r="L1304" i="62"/>
  <c r="L1305" i="62"/>
  <c r="L1306" i="62"/>
  <c r="L1307" i="62"/>
  <c r="L1308" i="62"/>
  <c r="L1309" i="62"/>
  <c r="L1310" i="62"/>
  <c r="L1311" i="62"/>
  <c r="L1312" i="62"/>
  <c r="L1313" i="62"/>
  <c r="L1314" i="62"/>
  <c r="L1315" i="62"/>
  <c r="L1316" i="62"/>
  <c r="L1317" i="62"/>
  <c r="L1318" i="62"/>
  <c r="L1319" i="62"/>
  <c r="L1320" i="62"/>
  <c r="L1321" i="62"/>
  <c r="L1322" i="62"/>
  <c r="L1323" i="62"/>
  <c r="L1324" i="62"/>
  <c r="L1325" i="62"/>
  <c r="L1326" i="62"/>
  <c r="L1327" i="62"/>
  <c r="L1328" i="62"/>
  <c r="L1329" i="62"/>
  <c r="L1330" i="62"/>
  <c r="L1331" i="62"/>
  <c r="L1332" i="62"/>
  <c r="L1333" i="62"/>
  <c r="L1334" i="62"/>
  <c r="L1335" i="62"/>
  <c r="L1336" i="62"/>
  <c r="L1337" i="62"/>
  <c r="L1338" i="62"/>
  <c r="L1339" i="62"/>
  <c r="L1340" i="62"/>
  <c r="L1341" i="62"/>
  <c r="L1342" i="62"/>
  <c r="L1343" i="62"/>
  <c r="L1344" i="62"/>
  <c r="L1345" i="62"/>
  <c r="L1346" i="62"/>
  <c r="L1347" i="62"/>
  <c r="L1348" i="62"/>
  <c r="L1349" i="62"/>
  <c r="L1350" i="62"/>
  <c r="L1351" i="62"/>
  <c r="L1352" i="62"/>
  <c r="L1353" i="62"/>
  <c r="L1354" i="62"/>
  <c r="L1355" i="62"/>
  <c r="L1356" i="62"/>
  <c r="L1357" i="62"/>
  <c r="L1358" i="62"/>
  <c r="L1359" i="62"/>
  <c r="L1360" i="62"/>
  <c r="L1361" i="62"/>
  <c r="L1362" i="62"/>
  <c r="L1363" i="62"/>
  <c r="L1364" i="62"/>
  <c r="L1365" i="62"/>
  <c r="L1366" i="62"/>
  <c r="L1367" i="62"/>
  <c r="L1368" i="62"/>
  <c r="L1369" i="62"/>
  <c r="L1370" i="62"/>
  <c r="L1371" i="62"/>
  <c r="L1372" i="62"/>
  <c r="L1373" i="62"/>
  <c r="L1374" i="62"/>
  <c r="L1375" i="62"/>
  <c r="L1376" i="62"/>
  <c r="L1377" i="62"/>
  <c r="L1378" i="62"/>
  <c r="L1379" i="62"/>
  <c r="L1380" i="62"/>
  <c r="L1381" i="62"/>
  <c r="L1382" i="62"/>
  <c r="L1383" i="62"/>
  <c r="L1384" i="62"/>
  <c r="L1385" i="62"/>
  <c r="L1386" i="62"/>
  <c r="L1387" i="62"/>
  <c r="L1388" i="62"/>
  <c r="L1389" i="62"/>
  <c r="L1390" i="62"/>
  <c r="L1391" i="62"/>
  <c r="L1392" i="62"/>
  <c r="L1393" i="62"/>
  <c r="L1394" i="62"/>
  <c r="L1395" i="62"/>
  <c r="L1396" i="62"/>
  <c r="L1397" i="62"/>
  <c r="L1398" i="62"/>
  <c r="L1399" i="62"/>
  <c r="L1400" i="62"/>
  <c r="L1401" i="62"/>
  <c r="L1402" i="62"/>
  <c r="L1403" i="62"/>
  <c r="L1404" i="62"/>
  <c r="L1405" i="62"/>
  <c r="L1406" i="62"/>
  <c r="L1407" i="62"/>
  <c r="L1408" i="62"/>
  <c r="L1409" i="62"/>
  <c r="L1410" i="62"/>
  <c r="L1411" i="62"/>
  <c r="L1412" i="62"/>
  <c r="L1413" i="62"/>
  <c r="L1414" i="62"/>
  <c r="L1415" i="62"/>
  <c r="L1416" i="62"/>
  <c r="L1417" i="62"/>
  <c r="L1418" i="62"/>
  <c r="L1419" i="62"/>
  <c r="L1420" i="62"/>
  <c r="L1421" i="62"/>
  <c r="L1422" i="62"/>
  <c r="L1423" i="62"/>
  <c r="L1424" i="62"/>
  <c r="L1425" i="62"/>
  <c r="L1426" i="62"/>
  <c r="L1427" i="62"/>
  <c r="L1428" i="62"/>
  <c r="L1429" i="62"/>
  <c r="L1430" i="62"/>
  <c r="L1431" i="62"/>
  <c r="L1432" i="62"/>
  <c r="L1433" i="62"/>
  <c r="L1434" i="62"/>
  <c r="L1435" i="62"/>
  <c r="L1436" i="62"/>
  <c r="L1437" i="62"/>
  <c r="L1438" i="62"/>
  <c r="L1439" i="62"/>
  <c r="L1440" i="62"/>
  <c r="L1441" i="62"/>
  <c r="L1442" i="62"/>
  <c r="L1443" i="62"/>
  <c r="L1444" i="62"/>
  <c r="L1445" i="62"/>
  <c r="L1446" i="62"/>
  <c r="L1447" i="62"/>
  <c r="L1448" i="62"/>
  <c r="L1449" i="62"/>
  <c r="L1450" i="62"/>
  <c r="L1451" i="62"/>
  <c r="L1452" i="62"/>
  <c r="L1453" i="62"/>
  <c r="L1454" i="62"/>
  <c r="L1455" i="62"/>
  <c r="L1456" i="62"/>
  <c r="L1457" i="62"/>
  <c r="L1458" i="62"/>
  <c r="L1459" i="62"/>
  <c r="L1460" i="62"/>
  <c r="L1461" i="62"/>
  <c r="L1462" i="62"/>
  <c r="L1463" i="62"/>
  <c r="L1464" i="62"/>
  <c r="L1465" i="62"/>
  <c r="L1466" i="62"/>
  <c r="L1467" i="62"/>
  <c r="L1468" i="62"/>
  <c r="L1469" i="62"/>
  <c r="L1470" i="62"/>
  <c r="L1471" i="62"/>
  <c r="L1472" i="62"/>
  <c r="L1473" i="62"/>
  <c r="L1474" i="62"/>
  <c r="L1475" i="62"/>
  <c r="L1476" i="62"/>
  <c r="L1477" i="62"/>
  <c r="L1478" i="62"/>
  <c r="L1479" i="62"/>
  <c r="L1480" i="62"/>
  <c r="L1481" i="62"/>
  <c r="L1482" i="62"/>
  <c r="L1483" i="62"/>
  <c r="L1484" i="62"/>
  <c r="L1485" i="62"/>
  <c r="L1486" i="62"/>
  <c r="L1487" i="62"/>
  <c r="L1488" i="62"/>
  <c r="L1489" i="62"/>
  <c r="L1490" i="62"/>
  <c r="L1491" i="62"/>
  <c r="L1492" i="62"/>
  <c r="L1493" i="62"/>
  <c r="L1494" i="62"/>
  <c r="L1495" i="62"/>
  <c r="L1496" i="62"/>
  <c r="L1497" i="62"/>
  <c r="L1498" i="62"/>
  <c r="L1499" i="62"/>
  <c r="L1500" i="62"/>
  <c r="L1501" i="62"/>
  <c r="L1502" i="62"/>
  <c r="L1503" i="62"/>
  <c r="L1504" i="62"/>
  <c r="L1505" i="62"/>
  <c r="L1506" i="62"/>
  <c r="L1507" i="62"/>
  <c r="L1508" i="62"/>
  <c r="L1509" i="62"/>
  <c r="L1510" i="62"/>
  <c r="L1511" i="62"/>
  <c r="L1512" i="62"/>
  <c r="L1513" i="62"/>
  <c r="L1514" i="62"/>
  <c r="L1515" i="62"/>
  <c r="L1516" i="62"/>
  <c r="L1517" i="62"/>
  <c r="L1518" i="62"/>
  <c r="L1519" i="62"/>
  <c r="L1520" i="62"/>
  <c r="L1521" i="62"/>
  <c r="L1522" i="62"/>
  <c r="L1523" i="62"/>
  <c r="L1524" i="62"/>
  <c r="L1525" i="62"/>
  <c r="L1526" i="62"/>
  <c r="L1527" i="62"/>
  <c r="L1528" i="62"/>
  <c r="L1529" i="62"/>
  <c r="L1530" i="62"/>
  <c r="L1531" i="62"/>
  <c r="L1532" i="62"/>
  <c r="L1533" i="62"/>
  <c r="L1534" i="62"/>
  <c r="L1535" i="62"/>
  <c r="L1536" i="62"/>
  <c r="L1537" i="62"/>
  <c r="L1538" i="62"/>
  <c r="L1539" i="62"/>
  <c r="L1540" i="62"/>
  <c r="L1541" i="62"/>
  <c r="L1542" i="62"/>
  <c r="L1543" i="62"/>
  <c r="L1544" i="62"/>
  <c r="L1545" i="62"/>
  <c r="L1546" i="62"/>
  <c r="L1547" i="62"/>
  <c r="L1548" i="62"/>
  <c r="L1549" i="62"/>
  <c r="L1550" i="62"/>
  <c r="L1551" i="62"/>
  <c r="L1552" i="62"/>
  <c r="L1553" i="62"/>
  <c r="L1554" i="62"/>
  <c r="L1555" i="62"/>
  <c r="L1556" i="62"/>
  <c r="L1557" i="62"/>
  <c r="L1558" i="62"/>
  <c r="L1559" i="62"/>
  <c r="L1560" i="62"/>
  <c r="L1561" i="62"/>
  <c r="L1562" i="62"/>
  <c r="L1563" i="62"/>
  <c r="L1564" i="62"/>
  <c r="L1565" i="62"/>
  <c r="L1566" i="62"/>
  <c r="L1567" i="62"/>
  <c r="L1568" i="62"/>
  <c r="L1569" i="62"/>
  <c r="L1570" i="62"/>
  <c r="L1571" i="62"/>
  <c r="L1572" i="62"/>
  <c r="L1573" i="62"/>
  <c r="L1574" i="62"/>
  <c r="L1575" i="62"/>
  <c r="L1576" i="62"/>
  <c r="L1577" i="62"/>
  <c r="L1578" i="62"/>
  <c r="L1579" i="62"/>
  <c r="L1580" i="62"/>
  <c r="L1581" i="62"/>
  <c r="L1582" i="62"/>
  <c r="L1583" i="62"/>
  <c r="L1584" i="62"/>
  <c r="L1585" i="62"/>
  <c r="L1586" i="62"/>
  <c r="L1587" i="62"/>
  <c r="L1588" i="62"/>
  <c r="L1589" i="62"/>
  <c r="L1590" i="62"/>
  <c r="L1591" i="62"/>
  <c r="L1592" i="62"/>
  <c r="L1593" i="62"/>
  <c r="L1594" i="62"/>
  <c r="L1595" i="62"/>
  <c r="L1596" i="62"/>
  <c r="L1597" i="62"/>
  <c r="L1598" i="62"/>
  <c r="L1599" i="62"/>
  <c r="L1600" i="62"/>
  <c r="L1601" i="62"/>
  <c r="L1602" i="62"/>
  <c r="L1603" i="62"/>
  <c r="L1604" i="62"/>
  <c r="L1605" i="62"/>
  <c r="L1606" i="62"/>
  <c r="L1607" i="62"/>
  <c r="L1608" i="62"/>
  <c r="L1609" i="62"/>
  <c r="L1610" i="62"/>
  <c r="L1611" i="62"/>
  <c r="L1612" i="62"/>
  <c r="L1613" i="62"/>
  <c r="L1614" i="62"/>
  <c r="L1615" i="62"/>
  <c r="L1616" i="62"/>
  <c r="L1617" i="62"/>
  <c r="L1618" i="62"/>
  <c r="L1619" i="62"/>
  <c r="L1620" i="62"/>
  <c r="L1621" i="62"/>
  <c r="L1622" i="62"/>
  <c r="L1623" i="62"/>
  <c r="L1624" i="62"/>
  <c r="L1625" i="62"/>
  <c r="L1626" i="62"/>
  <c r="L1627" i="62"/>
  <c r="L1628" i="62"/>
  <c r="L1629" i="62"/>
  <c r="L1630" i="62"/>
  <c r="L1631" i="62"/>
  <c r="L1632" i="62"/>
  <c r="L1633" i="62"/>
  <c r="L1634" i="62"/>
  <c r="L1635" i="62"/>
  <c r="L1636" i="62"/>
  <c r="L1637" i="62"/>
  <c r="L1638" i="62"/>
  <c r="L1639" i="62"/>
  <c r="L1640" i="62"/>
  <c r="L1641" i="62"/>
  <c r="L1642" i="62"/>
  <c r="L1643" i="62"/>
  <c r="L1644" i="62"/>
  <c r="L1645" i="62"/>
  <c r="L1646" i="62"/>
  <c r="L1647" i="62"/>
  <c r="L1648" i="62"/>
  <c r="L1649" i="62"/>
  <c r="L1650" i="62"/>
  <c r="L1651" i="62"/>
  <c r="L1652" i="62"/>
  <c r="L1653" i="62"/>
  <c r="L1654" i="62"/>
  <c r="L1655" i="62"/>
  <c r="L1656" i="62"/>
  <c r="L1657" i="62"/>
  <c r="L1658" i="62"/>
  <c r="L1659" i="62"/>
  <c r="L1660" i="62"/>
  <c r="L1661" i="62"/>
  <c r="L1662" i="62"/>
  <c r="L1663" i="62"/>
  <c r="L1664" i="62"/>
  <c r="L1665" i="62"/>
  <c r="L1666" i="62"/>
  <c r="L1667" i="62"/>
  <c r="L1668" i="62"/>
  <c r="L1669" i="62"/>
  <c r="L1670" i="62"/>
  <c r="L1671" i="62"/>
  <c r="L1672" i="62"/>
  <c r="L1673" i="62"/>
  <c r="L1674" i="62"/>
  <c r="L1675" i="62"/>
  <c r="L1676" i="62"/>
  <c r="L1677" i="62"/>
  <c r="L1678" i="62"/>
  <c r="L1679" i="62"/>
  <c r="L1680" i="62"/>
  <c r="L1681" i="62"/>
  <c r="L1682" i="62"/>
  <c r="L1683" i="62"/>
  <c r="L1684" i="62"/>
  <c r="L1685" i="62"/>
  <c r="L1686" i="62"/>
  <c r="L1687" i="62"/>
  <c r="L1688" i="62"/>
  <c r="L1689" i="62"/>
  <c r="L1690" i="62"/>
  <c r="L1691" i="62"/>
  <c r="L1692" i="62"/>
  <c r="L1693" i="62"/>
  <c r="L1694" i="62"/>
  <c r="L1695" i="62"/>
  <c r="L1696" i="62"/>
  <c r="L1697" i="62"/>
  <c r="L1698" i="62"/>
  <c r="L1699" i="62"/>
  <c r="L1700" i="62"/>
  <c r="L1701" i="62"/>
  <c r="L1702" i="62"/>
  <c r="L1703" i="62"/>
  <c r="L1704" i="62"/>
  <c r="L1705" i="62"/>
  <c r="L1706" i="62"/>
  <c r="L1707" i="62"/>
  <c r="L1708" i="62"/>
  <c r="L1709" i="62"/>
  <c r="L1710" i="62"/>
  <c r="L1711" i="62"/>
  <c r="L1712" i="62"/>
  <c r="L1713" i="62"/>
  <c r="L1714" i="62"/>
  <c r="L1715" i="62"/>
  <c r="L1716" i="62"/>
  <c r="L1717" i="62"/>
  <c r="L1718" i="62"/>
  <c r="L1719" i="62"/>
  <c r="L1720" i="62"/>
  <c r="L1721" i="62"/>
  <c r="L1722" i="62"/>
  <c r="L1723" i="62"/>
  <c r="L1724" i="62"/>
  <c r="L1725" i="62"/>
  <c r="L1726" i="62"/>
  <c r="L1727" i="62"/>
  <c r="L1728" i="62"/>
  <c r="L1729" i="62"/>
  <c r="L1730" i="62"/>
  <c r="L1731" i="62"/>
  <c r="L1732" i="62"/>
  <c r="L1733" i="62"/>
  <c r="L1734" i="62"/>
  <c r="L1735" i="62"/>
  <c r="L1736" i="62"/>
  <c r="L1737" i="62"/>
  <c r="L1738" i="62"/>
  <c r="L1739" i="62"/>
  <c r="L1740" i="62"/>
  <c r="L1741" i="62"/>
  <c r="L1742" i="62"/>
  <c r="L1743" i="62"/>
  <c r="L1744" i="62"/>
  <c r="L1745" i="62"/>
  <c r="L1746" i="62"/>
  <c r="L1747" i="62"/>
  <c r="L1748" i="62"/>
  <c r="L1749" i="62"/>
  <c r="L1750" i="62"/>
  <c r="L1751" i="62"/>
  <c r="L1752" i="62"/>
  <c r="L1753" i="62"/>
  <c r="L1754" i="62"/>
  <c r="L1755" i="62"/>
  <c r="L1756" i="62"/>
  <c r="L1757" i="62"/>
  <c r="L1758" i="62"/>
  <c r="L1759" i="62"/>
  <c r="L1760" i="62"/>
  <c r="L1761" i="62"/>
  <c r="L1762" i="62"/>
  <c r="L1763" i="62"/>
  <c r="L1764" i="62"/>
  <c r="L1765" i="62"/>
  <c r="L1766" i="62"/>
  <c r="L1767" i="62"/>
  <c r="L1768" i="62"/>
  <c r="L1769" i="62"/>
  <c r="L1770" i="62"/>
  <c r="L1771" i="62"/>
  <c r="L1772" i="62"/>
  <c r="L1773" i="62"/>
  <c r="L1774" i="62"/>
  <c r="L1775" i="62"/>
  <c r="L1776" i="62"/>
  <c r="L1777" i="62"/>
  <c r="L1778" i="62"/>
  <c r="L1779" i="62"/>
  <c r="L1780" i="62"/>
  <c r="L1781" i="62"/>
  <c r="L1782" i="62"/>
  <c r="L1783" i="62"/>
  <c r="L1784" i="62"/>
  <c r="L1785" i="62"/>
  <c r="L1786" i="62"/>
  <c r="L1787" i="62"/>
  <c r="L1788" i="62"/>
  <c r="L1789" i="62"/>
  <c r="L1790" i="62"/>
  <c r="L1791" i="62"/>
  <c r="L1792" i="62"/>
  <c r="L1793" i="62"/>
  <c r="L1794" i="62"/>
  <c r="L1795" i="62"/>
  <c r="L1796" i="62"/>
  <c r="L1797" i="62"/>
  <c r="L1798" i="62"/>
  <c r="L1799" i="62"/>
  <c r="L1800" i="62"/>
  <c r="L1801" i="62"/>
  <c r="L1802" i="62"/>
  <c r="L1803" i="62"/>
  <c r="L1804" i="62"/>
  <c r="L1805" i="62"/>
  <c r="L1806" i="62"/>
  <c r="L1807" i="62"/>
  <c r="L1808" i="62"/>
  <c r="L1809" i="62"/>
  <c r="L1810" i="62"/>
  <c r="L1811" i="62"/>
  <c r="L1812" i="62"/>
  <c r="L1813" i="62"/>
  <c r="L1814" i="62"/>
  <c r="L1815" i="62"/>
  <c r="L1816" i="62"/>
  <c r="L1817" i="62"/>
  <c r="L1818" i="62"/>
  <c r="L1819" i="62"/>
  <c r="L1820" i="62"/>
  <c r="L1821" i="62"/>
  <c r="L1822" i="62"/>
  <c r="L1823" i="62"/>
  <c r="L1824" i="62"/>
  <c r="L1825" i="62"/>
  <c r="L1826" i="62"/>
  <c r="L1827" i="62"/>
  <c r="L1828" i="62"/>
  <c r="L1829" i="62"/>
  <c r="L1830" i="62"/>
  <c r="L1831" i="62"/>
  <c r="L1832" i="62"/>
  <c r="L1833" i="62"/>
  <c r="L1834" i="62"/>
  <c r="L1835" i="62"/>
  <c r="L1836" i="62"/>
  <c r="L1837" i="62"/>
  <c r="L1838" i="62"/>
  <c r="L1839" i="62"/>
  <c r="L1840" i="62"/>
  <c r="L1841" i="62"/>
  <c r="L1842" i="62"/>
  <c r="L1843" i="62"/>
  <c r="L1844" i="62"/>
  <c r="L1845" i="62"/>
  <c r="L1846" i="62"/>
  <c r="L1847" i="62"/>
  <c r="L1848" i="62"/>
  <c r="L1849" i="62"/>
  <c r="L1850" i="62"/>
  <c r="L1851" i="62"/>
  <c r="L1852" i="62"/>
  <c r="L1853" i="62"/>
  <c r="L1854" i="62"/>
  <c r="L1855" i="62"/>
  <c r="L1856" i="62"/>
  <c r="L1857" i="62"/>
  <c r="L1858" i="62"/>
  <c r="L1859" i="62"/>
  <c r="L1860" i="62"/>
  <c r="L1861" i="62"/>
  <c r="L1862" i="62"/>
  <c r="L1863" i="62"/>
  <c r="L1864" i="62"/>
  <c r="L1865" i="62"/>
  <c r="L1866" i="62"/>
  <c r="L1867" i="62"/>
  <c r="L1868" i="62"/>
  <c r="L1869" i="62"/>
  <c r="L1870" i="62"/>
  <c r="L1871" i="62"/>
  <c r="L1872" i="62"/>
  <c r="L1873" i="62"/>
  <c r="L1874" i="62"/>
  <c r="L1875" i="62"/>
  <c r="L1876" i="62"/>
  <c r="L1877" i="62"/>
  <c r="L1878" i="62"/>
  <c r="L1879" i="62"/>
  <c r="L1880" i="62"/>
  <c r="L1881" i="62"/>
  <c r="L1882" i="62"/>
  <c r="L1883" i="62"/>
  <c r="L1884" i="62"/>
  <c r="L1885" i="62"/>
  <c r="L1886" i="62"/>
  <c r="L1887" i="62"/>
  <c r="L1888" i="62"/>
  <c r="L1889" i="62"/>
  <c r="L1890" i="62"/>
  <c r="L1891" i="62"/>
  <c r="L1892" i="62"/>
  <c r="L1893" i="62"/>
  <c r="L1894" i="62"/>
  <c r="L1895" i="62"/>
  <c r="L1896" i="62"/>
  <c r="L1897" i="62"/>
  <c r="L1898" i="62"/>
  <c r="L1899" i="62"/>
  <c r="L1900" i="62"/>
  <c r="L1901" i="62"/>
  <c r="L1902" i="62"/>
  <c r="L1903" i="62"/>
  <c r="L1904" i="62"/>
  <c r="L1905" i="62"/>
  <c r="L1906" i="62"/>
  <c r="L1907" i="62"/>
  <c r="L1908" i="62"/>
  <c r="L1909" i="62"/>
  <c r="L1910" i="62"/>
  <c r="L1911" i="62"/>
  <c r="L1912" i="62"/>
  <c r="L1913" i="62"/>
  <c r="L1914" i="62"/>
  <c r="L1915" i="62"/>
  <c r="L1916" i="62"/>
  <c r="L1917" i="62"/>
  <c r="L1918" i="62"/>
  <c r="L1919" i="62"/>
  <c r="L1920" i="62"/>
  <c r="L1921" i="62"/>
  <c r="L1922" i="62"/>
  <c r="L1923" i="62"/>
  <c r="L1924" i="62"/>
  <c r="L1925" i="62"/>
  <c r="L1926" i="62"/>
  <c r="L1927" i="62"/>
  <c r="L1928" i="62"/>
  <c r="L1929" i="62"/>
  <c r="L1930" i="62"/>
  <c r="L1931" i="62"/>
  <c r="L1932" i="62"/>
  <c r="L1933" i="62"/>
  <c r="L1934" i="62"/>
  <c r="L1935" i="62"/>
  <c r="L1936" i="62"/>
  <c r="L1937" i="62"/>
  <c r="L1938" i="62"/>
  <c r="L1939" i="62"/>
  <c r="L1940" i="62"/>
  <c r="L1941" i="62"/>
  <c r="L1942" i="62"/>
  <c r="L1943" i="62"/>
  <c r="L1944" i="62"/>
  <c r="L1945" i="62"/>
  <c r="L1946" i="62"/>
  <c r="L1947" i="62"/>
  <c r="L1948" i="62"/>
  <c r="L1949" i="62"/>
  <c r="L1950" i="62"/>
  <c r="L1951" i="62"/>
  <c r="L1952" i="62"/>
  <c r="L1953" i="62"/>
  <c r="L1954" i="62"/>
  <c r="L1955" i="62"/>
  <c r="L1956" i="62"/>
  <c r="L1957" i="62"/>
  <c r="L1958" i="62"/>
  <c r="L1959" i="62"/>
  <c r="L1960" i="62"/>
  <c r="L1961" i="62"/>
  <c r="L1962" i="62"/>
  <c r="L1963" i="62"/>
  <c r="L1964" i="62"/>
  <c r="L1965" i="62"/>
  <c r="L1966" i="62"/>
  <c r="L1967" i="62"/>
  <c r="L1968" i="62"/>
  <c r="L1969" i="62"/>
  <c r="L1970" i="62"/>
  <c r="L1971" i="62"/>
  <c r="L1972" i="62"/>
  <c r="L1973" i="62"/>
  <c r="L1974" i="62"/>
  <c r="L1975" i="62"/>
  <c r="L1976" i="62"/>
  <c r="L1977" i="62"/>
  <c r="L1978" i="62"/>
  <c r="L1979" i="62"/>
  <c r="L1980" i="62"/>
  <c r="L1981" i="62"/>
  <c r="L1982" i="62"/>
  <c r="L1983" i="62"/>
  <c r="L1984" i="62"/>
  <c r="L1985" i="62"/>
  <c r="L1986" i="62"/>
  <c r="L1987" i="62"/>
  <c r="L1988" i="62"/>
  <c r="L1989" i="62"/>
  <c r="L1990" i="62"/>
  <c r="L1991" i="62"/>
  <c r="L1992" i="62"/>
  <c r="L1993" i="62"/>
  <c r="L1994" i="62"/>
  <c r="L1995" i="62"/>
  <c r="L1996" i="62"/>
  <c r="L1997" i="62"/>
  <c r="L1998" i="62"/>
  <c r="L1999" i="62"/>
  <c r="L2000" i="62"/>
  <c r="L2001" i="62"/>
  <c r="L2002" i="62"/>
  <c r="L2003" i="62"/>
  <c r="L2004" i="62"/>
  <c r="L2005" i="62"/>
  <c r="L2006" i="62"/>
  <c r="L2007" i="62"/>
  <c r="L2008" i="62"/>
  <c r="L2009" i="62"/>
  <c r="L2010" i="62"/>
  <c r="L2011" i="62"/>
  <c r="L2012" i="62"/>
  <c r="L2013" i="62"/>
  <c r="L2014" i="62"/>
  <c r="L2015" i="62"/>
  <c r="L2016" i="62"/>
  <c r="L2017" i="62"/>
  <c r="L2018" i="62"/>
  <c r="L2019" i="62"/>
  <c r="L2020" i="62"/>
  <c r="L2021" i="62"/>
  <c r="L2022" i="62"/>
  <c r="L2023" i="62"/>
  <c r="L2024" i="62"/>
  <c r="L2025" i="62"/>
  <c r="L2026" i="62"/>
  <c r="L2027" i="62"/>
  <c r="L2028" i="62"/>
  <c r="L2029" i="62"/>
  <c r="L2030" i="62"/>
  <c r="L2031" i="62"/>
  <c r="L2032" i="62"/>
  <c r="L2033" i="62"/>
  <c r="L2034" i="62"/>
  <c r="L2035" i="62"/>
  <c r="L2036" i="62"/>
  <c r="L2037" i="62"/>
  <c r="L2038" i="62"/>
  <c r="L2039" i="62"/>
  <c r="L2040" i="62"/>
  <c r="L2041" i="62"/>
  <c r="L2042" i="62"/>
  <c r="L2043" i="62"/>
  <c r="L2044" i="62"/>
  <c r="L2045" i="62"/>
  <c r="L2046" i="62"/>
  <c r="L2047" i="62"/>
  <c r="L2048" i="62"/>
  <c r="L2049" i="62"/>
  <c r="L2050" i="62"/>
  <c r="L2051" i="62"/>
  <c r="L2052" i="62"/>
  <c r="L2053" i="62"/>
  <c r="L2054" i="62"/>
  <c r="L2055" i="62"/>
  <c r="L2056" i="62"/>
  <c r="L2057" i="62"/>
  <c r="L2058" i="62"/>
  <c r="L2059" i="62"/>
  <c r="L2060" i="62"/>
  <c r="L2061" i="62"/>
  <c r="L2062" i="62"/>
  <c r="L2063" i="62"/>
  <c r="L2064" i="62"/>
  <c r="L2065" i="62"/>
  <c r="L2066" i="62"/>
  <c r="L2067" i="62"/>
  <c r="L2068" i="62"/>
  <c r="L2069" i="62"/>
  <c r="L2070" i="62"/>
  <c r="L2071" i="62"/>
  <c r="L2072" i="62"/>
  <c r="L2073" i="62"/>
  <c r="L2074" i="62"/>
  <c r="L2075" i="62"/>
  <c r="L2076" i="62"/>
  <c r="L2077" i="62"/>
  <c r="L2078" i="62"/>
  <c r="L2079" i="62"/>
  <c r="L2080" i="62"/>
  <c r="L2081" i="62"/>
  <c r="L2082" i="62"/>
  <c r="L2083" i="62"/>
  <c r="L2084" i="62"/>
  <c r="L2085" i="62"/>
  <c r="L2086" i="62"/>
  <c r="L2087" i="62"/>
  <c r="L2088" i="62"/>
  <c r="L2089" i="62"/>
  <c r="L2090" i="62"/>
  <c r="L2091" i="62"/>
  <c r="L2092" i="62"/>
  <c r="L2093" i="62"/>
  <c r="L2094" i="62"/>
  <c r="L2095" i="62"/>
  <c r="L2096" i="62"/>
  <c r="L2097" i="62"/>
  <c r="L2098" i="62"/>
  <c r="L2099" i="62"/>
  <c r="L2100" i="62"/>
  <c r="L2101" i="62"/>
  <c r="L2102" i="62"/>
  <c r="L2103" i="62"/>
  <c r="L2104" i="62"/>
  <c r="L2105" i="62"/>
  <c r="L2106" i="62"/>
  <c r="L2107" i="62"/>
  <c r="L2108" i="62"/>
  <c r="L2109" i="62"/>
  <c r="L2110" i="62"/>
  <c r="L2111" i="62"/>
  <c r="L2112" i="62"/>
  <c r="L2113" i="62"/>
  <c r="L2114" i="62"/>
  <c r="L2115" i="62"/>
  <c r="L2116" i="62"/>
  <c r="L2117" i="62"/>
  <c r="L2118" i="62"/>
  <c r="L2119" i="62"/>
  <c r="L2120" i="62"/>
  <c r="L2121" i="62"/>
  <c r="L2122" i="62"/>
  <c r="L2123" i="62"/>
  <c r="L2124" i="62"/>
  <c r="L2125" i="62"/>
  <c r="L2126" i="62"/>
  <c r="L2127" i="62"/>
  <c r="L2128" i="62"/>
  <c r="L2129" i="62"/>
  <c r="L2130" i="62"/>
  <c r="L2131" i="62"/>
  <c r="L2132" i="62"/>
  <c r="L2133" i="62"/>
  <c r="L2134" i="62"/>
  <c r="L2135" i="62"/>
  <c r="L2136" i="62"/>
  <c r="L2137" i="62"/>
  <c r="L2138" i="62"/>
  <c r="L2139" i="62"/>
  <c r="L2140" i="62"/>
  <c r="L2141" i="62"/>
  <c r="L2142" i="62"/>
  <c r="L2143" i="62"/>
  <c r="L2144" i="62"/>
  <c r="L2145" i="62"/>
  <c r="L2146" i="62"/>
  <c r="L2147" i="62"/>
  <c r="L2148" i="62"/>
  <c r="L2149" i="62"/>
  <c r="L2150" i="62"/>
  <c r="L2151" i="62"/>
  <c r="L2152" i="62"/>
  <c r="L2153" i="62"/>
  <c r="L2154" i="62"/>
  <c r="L2155" i="62"/>
  <c r="L2156" i="62"/>
  <c r="L2157" i="62"/>
  <c r="L2158" i="62"/>
  <c r="L2159" i="62"/>
  <c r="L2160" i="62"/>
  <c r="L2161" i="62"/>
  <c r="L2162" i="62"/>
  <c r="L2163" i="62"/>
  <c r="L2164" i="62"/>
  <c r="L2165" i="62"/>
  <c r="L2166" i="62"/>
  <c r="L2167" i="62"/>
  <c r="L2168" i="62"/>
  <c r="L2169" i="62"/>
  <c r="L2170" i="62"/>
  <c r="L2171" i="62"/>
  <c r="L2172" i="62"/>
  <c r="L2173" i="62"/>
  <c r="L2174" i="62"/>
  <c r="L2175" i="62"/>
  <c r="L2176" i="62"/>
  <c r="L2177" i="62"/>
  <c r="L2178" i="62"/>
  <c r="L2179" i="62"/>
  <c r="L2180" i="62"/>
  <c r="L2181" i="62"/>
  <c r="L2182" i="62"/>
  <c r="L2183" i="62"/>
  <c r="L2184" i="62"/>
  <c r="L2185" i="62"/>
  <c r="L2186" i="62"/>
  <c r="L2187" i="62"/>
  <c r="L2" i="62"/>
  <c r="A2" i="62" l="1"/>
  <c r="Z2" i="62"/>
  <c r="AA2" i="62"/>
  <c r="A3" i="62"/>
  <c r="Z3" i="62"/>
  <c r="AA3" i="62"/>
  <c r="A4" i="62"/>
  <c r="Z4" i="62"/>
  <c r="AA4" i="62"/>
  <c r="A5" i="62"/>
  <c r="Z5" i="62"/>
  <c r="AA5" i="62"/>
  <c r="A6" i="62"/>
  <c r="Z6" i="62"/>
  <c r="AA6" i="62"/>
  <c r="A7" i="62"/>
  <c r="Z7" i="62"/>
  <c r="AA7" i="62"/>
  <c r="A8" i="62"/>
  <c r="Z8" i="62"/>
  <c r="AA8" i="62"/>
  <c r="A9" i="62"/>
  <c r="Z9" i="62"/>
  <c r="AA9" i="62"/>
  <c r="A10" i="62"/>
  <c r="Z10" i="62"/>
  <c r="AA10" i="62"/>
  <c r="A11" i="62"/>
  <c r="Z11" i="62"/>
  <c r="AA11" i="62"/>
  <c r="A12" i="62"/>
  <c r="Z12" i="62"/>
  <c r="AA12" i="62"/>
  <c r="A13" i="62"/>
  <c r="Z13" i="62"/>
  <c r="AA13" i="62"/>
  <c r="A14" i="62"/>
  <c r="Z14" i="62"/>
  <c r="AA14" i="62"/>
  <c r="A15" i="62"/>
  <c r="Z15" i="62"/>
  <c r="AA15" i="62"/>
  <c r="A16" i="62"/>
  <c r="Z16" i="62"/>
  <c r="AA16" i="62"/>
  <c r="A17" i="62"/>
  <c r="Z17" i="62"/>
  <c r="AA17" i="62"/>
  <c r="A18" i="62"/>
  <c r="Z18" i="62"/>
  <c r="AA18" i="62"/>
  <c r="A19" i="62"/>
  <c r="Z19" i="62"/>
  <c r="AA19" i="62"/>
  <c r="A20" i="62"/>
  <c r="Z20" i="62"/>
  <c r="AA20" i="62"/>
  <c r="A21" i="62"/>
  <c r="Z21" i="62"/>
  <c r="AA21" i="62"/>
  <c r="A22" i="62"/>
  <c r="Z22" i="62"/>
  <c r="AA22" i="62"/>
  <c r="A23" i="62"/>
  <c r="Z23" i="62"/>
  <c r="AA23" i="62"/>
  <c r="A24" i="62"/>
  <c r="Z24" i="62"/>
  <c r="AA24" i="62"/>
  <c r="A25" i="62"/>
  <c r="Z25" i="62"/>
  <c r="AA25" i="62"/>
  <c r="A26" i="62"/>
  <c r="Z26" i="62"/>
  <c r="AA26" i="62"/>
  <c r="A27" i="62"/>
  <c r="Z27" i="62"/>
  <c r="AA27" i="62"/>
  <c r="A28" i="62"/>
  <c r="Z28" i="62"/>
  <c r="AA28" i="62"/>
  <c r="A29" i="62"/>
  <c r="Z29" i="62"/>
  <c r="AA29" i="62"/>
  <c r="A30" i="62"/>
  <c r="Z30" i="62"/>
  <c r="AA30" i="62"/>
  <c r="A31" i="62"/>
  <c r="Z31" i="62"/>
  <c r="AA31" i="62"/>
  <c r="A32" i="62"/>
  <c r="Z32" i="62"/>
  <c r="AA32" i="62"/>
  <c r="A33" i="62"/>
  <c r="Z33" i="62"/>
  <c r="AA33" i="62"/>
  <c r="A34" i="62"/>
  <c r="Z34" i="62"/>
  <c r="AA34" i="62"/>
  <c r="A35" i="62"/>
  <c r="Z35" i="62"/>
  <c r="AA35" i="62"/>
  <c r="A36" i="62"/>
  <c r="Z36" i="62"/>
  <c r="AA36" i="62"/>
  <c r="A37" i="62"/>
  <c r="Z37" i="62"/>
  <c r="AA37" i="62"/>
  <c r="A38" i="62"/>
  <c r="Z38" i="62"/>
  <c r="AA38" i="62"/>
  <c r="A39" i="62"/>
  <c r="Z39" i="62"/>
  <c r="AA39" i="62"/>
  <c r="A40" i="62"/>
  <c r="Z40" i="62"/>
  <c r="AA40" i="62"/>
  <c r="A41" i="62"/>
  <c r="Z41" i="62"/>
  <c r="AA41" i="62"/>
  <c r="A42" i="62"/>
  <c r="Z42" i="62"/>
  <c r="AA42" i="62"/>
  <c r="A43" i="62"/>
  <c r="Z43" i="62"/>
  <c r="AA43" i="62"/>
  <c r="A44" i="62"/>
  <c r="Z44" i="62"/>
  <c r="AA44" i="62"/>
  <c r="A45" i="62"/>
  <c r="Z45" i="62"/>
  <c r="AA45" i="62"/>
  <c r="A46" i="62"/>
  <c r="Z46" i="62"/>
  <c r="AA46" i="62"/>
  <c r="A47" i="62"/>
  <c r="Z47" i="62"/>
  <c r="AA47" i="62"/>
  <c r="A48" i="62"/>
  <c r="Z48" i="62"/>
  <c r="AA48" i="62"/>
  <c r="A49" i="62"/>
  <c r="Z49" i="62"/>
  <c r="AA49" i="62"/>
  <c r="A50" i="62"/>
  <c r="Z50" i="62"/>
  <c r="AA50" i="62"/>
  <c r="A51" i="62"/>
  <c r="Z51" i="62"/>
  <c r="AA51" i="62"/>
  <c r="A52" i="62"/>
  <c r="Z52" i="62"/>
  <c r="AA52" i="62"/>
  <c r="A53" i="62"/>
  <c r="Z53" i="62"/>
  <c r="AA53" i="62"/>
  <c r="A54" i="62"/>
  <c r="Z54" i="62"/>
  <c r="AA54" i="62"/>
  <c r="A55" i="62"/>
  <c r="Z55" i="62"/>
  <c r="AA55" i="62"/>
  <c r="A56" i="62"/>
  <c r="Z56" i="62"/>
  <c r="AA56" i="62"/>
  <c r="A57" i="62"/>
  <c r="Z57" i="62"/>
  <c r="AA57" i="62"/>
  <c r="A58" i="62"/>
  <c r="Z58" i="62"/>
  <c r="AA58" i="62"/>
  <c r="A59" i="62"/>
  <c r="Z59" i="62"/>
  <c r="AA59" i="62"/>
  <c r="A60" i="62"/>
  <c r="Z60" i="62"/>
  <c r="AA60" i="62"/>
  <c r="A61" i="62"/>
  <c r="Z61" i="62"/>
  <c r="AA61" i="62"/>
  <c r="A62" i="62"/>
  <c r="Z62" i="62"/>
  <c r="AA62" i="62"/>
  <c r="A63" i="62"/>
  <c r="Z63" i="62"/>
  <c r="AA63" i="62"/>
  <c r="A64" i="62"/>
  <c r="Z64" i="62"/>
  <c r="AA64" i="62"/>
  <c r="A65" i="62"/>
  <c r="Z65" i="62"/>
  <c r="AA65" i="62"/>
  <c r="A66" i="62"/>
  <c r="Z66" i="62"/>
  <c r="AA66" i="62"/>
  <c r="A67" i="62"/>
  <c r="Z67" i="62"/>
  <c r="AA67" i="62"/>
  <c r="A68" i="62"/>
  <c r="Z68" i="62"/>
  <c r="AA68" i="62"/>
  <c r="A69" i="62"/>
  <c r="Z69" i="62"/>
  <c r="AA69" i="62"/>
  <c r="A70" i="62"/>
  <c r="Z70" i="62"/>
  <c r="AA70" i="62"/>
  <c r="A71" i="62"/>
  <c r="Z71" i="62"/>
  <c r="AA71" i="62"/>
  <c r="A72" i="62"/>
  <c r="Z72" i="62"/>
  <c r="AA72" i="62"/>
  <c r="A73" i="62"/>
  <c r="Z73" i="62"/>
  <c r="AA73" i="62"/>
  <c r="A74" i="62"/>
  <c r="Z74" i="62"/>
  <c r="AA74" i="62"/>
  <c r="A75" i="62"/>
  <c r="Z75" i="62"/>
  <c r="AA75" i="62"/>
  <c r="A76" i="62"/>
  <c r="Z76" i="62"/>
  <c r="AA76" i="62"/>
  <c r="A77" i="62"/>
  <c r="Z77" i="62"/>
  <c r="AA77" i="62"/>
  <c r="A78" i="62"/>
  <c r="Z78" i="62"/>
  <c r="AA78" i="62"/>
  <c r="A79" i="62"/>
  <c r="Z79" i="62"/>
  <c r="AA79" i="62"/>
  <c r="A80" i="62"/>
  <c r="Z80" i="62"/>
  <c r="AA80" i="62"/>
  <c r="A81" i="62"/>
  <c r="Z81" i="62"/>
  <c r="AA81" i="62"/>
  <c r="A82" i="62"/>
  <c r="Z82" i="62"/>
  <c r="AA82" i="62"/>
  <c r="A83" i="62"/>
  <c r="Z83" i="62"/>
  <c r="AA83" i="62"/>
  <c r="A84" i="62"/>
  <c r="Z84" i="62"/>
  <c r="AA84" i="62"/>
  <c r="A85" i="62"/>
  <c r="Z85" i="62"/>
  <c r="AA85" i="62"/>
  <c r="A86" i="62"/>
  <c r="Z86" i="62"/>
  <c r="AA86" i="62"/>
  <c r="A87" i="62"/>
  <c r="Z87" i="62"/>
  <c r="AA87" i="62"/>
  <c r="A88" i="62"/>
  <c r="Z88" i="62"/>
  <c r="AA88" i="62"/>
  <c r="A89" i="62"/>
  <c r="Z89" i="62"/>
  <c r="AA89" i="62"/>
  <c r="A90" i="62"/>
  <c r="Z90" i="62"/>
  <c r="AA90" i="62"/>
  <c r="A91" i="62"/>
  <c r="Z91" i="62"/>
  <c r="AA91" i="62"/>
  <c r="A92" i="62"/>
  <c r="Z92" i="62"/>
  <c r="AA92" i="62"/>
  <c r="A93" i="62"/>
  <c r="Z93" i="62"/>
  <c r="AA93" i="62"/>
  <c r="A94" i="62"/>
  <c r="Z94" i="62"/>
  <c r="AA94" i="62"/>
  <c r="A95" i="62"/>
  <c r="Z95" i="62"/>
  <c r="AA95" i="62"/>
  <c r="A96" i="62"/>
  <c r="Z96" i="62"/>
  <c r="AA96" i="62"/>
  <c r="A97" i="62"/>
  <c r="Z97" i="62"/>
  <c r="AA97" i="62"/>
  <c r="A98" i="62"/>
  <c r="Z98" i="62"/>
  <c r="AA98" i="62"/>
  <c r="A99" i="62"/>
  <c r="Z99" i="62"/>
  <c r="AA99" i="62"/>
  <c r="A100" i="62"/>
  <c r="Z100" i="62"/>
  <c r="AA100" i="62"/>
  <c r="A101" i="62"/>
  <c r="Z101" i="62"/>
  <c r="AA101" i="62"/>
  <c r="A102" i="62"/>
  <c r="Z102" i="62"/>
  <c r="AA102" i="62"/>
  <c r="A103" i="62"/>
  <c r="Z103" i="62"/>
  <c r="AA103" i="62"/>
  <c r="A104" i="62"/>
  <c r="Z104" i="62"/>
  <c r="AA104" i="62"/>
  <c r="A105" i="62"/>
  <c r="Z105" i="62"/>
  <c r="AA105" i="62"/>
  <c r="A106" i="62"/>
  <c r="Z106" i="62"/>
  <c r="AA106" i="62"/>
  <c r="A107" i="62"/>
  <c r="Z107" i="62"/>
  <c r="AA107" i="62"/>
  <c r="A108" i="62"/>
  <c r="Z108" i="62"/>
  <c r="AA108" i="62"/>
  <c r="A109" i="62"/>
  <c r="Z109" i="62"/>
  <c r="AA109" i="62"/>
  <c r="A110" i="62"/>
  <c r="Z110" i="62"/>
  <c r="AA110" i="62"/>
  <c r="A111" i="62"/>
  <c r="Z111" i="62"/>
  <c r="AA111" i="62"/>
  <c r="A112" i="62"/>
  <c r="Z112" i="62"/>
  <c r="AA112" i="62"/>
  <c r="A113" i="62"/>
  <c r="Z113" i="62"/>
  <c r="AA113" i="62"/>
  <c r="A114" i="62"/>
  <c r="Z114" i="62"/>
  <c r="AA114" i="62"/>
  <c r="A115" i="62"/>
  <c r="Z115" i="62"/>
  <c r="AA115" i="62"/>
  <c r="A116" i="62"/>
  <c r="Z116" i="62"/>
  <c r="AA116" i="62"/>
  <c r="A117" i="62"/>
  <c r="Z117" i="62"/>
  <c r="AA117" i="62"/>
  <c r="A118" i="62"/>
  <c r="Z118" i="62"/>
  <c r="AA118" i="62"/>
  <c r="A119" i="62"/>
  <c r="Z119" i="62"/>
  <c r="AA119" i="62"/>
  <c r="A120" i="62"/>
  <c r="Z120" i="62"/>
  <c r="AA120" i="62"/>
  <c r="A121" i="62"/>
  <c r="Z121" i="62"/>
  <c r="AA121" i="62"/>
  <c r="A122" i="62"/>
  <c r="Z122" i="62"/>
  <c r="AA122" i="62"/>
  <c r="A123" i="62"/>
  <c r="Z123" i="62"/>
  <c r="AA123" i="62"/>
  <c r="A124" i="62"/>
  <c r="Z124" i="62"/>
  <c r="AA124" i="62"/>
  <c r="A125" i="62"/>
  <c r="Z125" i="62"/>
  <c r="AA125" i="62"/>
  <c r="A126" i="62"/>
  <c r="Z126" i="62"/>
  <c r="AA126" i="62"/>
  <c r="A127" i="62"/>
  <c r="Z127" i="62"/>
  <c r="AA127" i="62"/>
  <c r="A128" i="62"/>
  <c r="Z128" i="62"/>
  <c r="AA128" i="62"/>
  <c r="A129" i="62"/>
  <c r="Z129" i="62"/>
  <c r="AA129" i="62"/>
  <c r="A130" i="62"/>
  <c r="Z130" i="62"/>
  <c r="AA130" i="62"/>
  <c r="A131" i="62"/>
  <c r="Z131" i="62"/>
  <c r="AA131" i="62"/>
  <c r="A132" i="62"/>
  <c r="Z132" i="62"/>
  <c r="AA132" i="62"/>
  <c r="A133" i="62"/>
  <c r="Z133" i="62"/>
  <c r="AA133" i="62"/>
  <c r="A134" i="62"/>
  <c r="Z134" i="62"/>
  <c r="AA134" i="62"/>
  <c r="A135" i="62"/>
  <c r="Z135" i="62"/>
  <c r="AA135" i="62"/>
  <c r="A136" i="62"/>
  <c r="Z136" i="62"/>
  <c r="AA136" i="62"/>
  <c r="A137" i="62"/>
  <c r="Z137" i="62"/>
  <c r="AA137" i="62"/>
  <c r="A138" i="62"/>
  <c r="Z138" i="62"/>
  <c r="AA138" i="62"/>
  <c r="A139" i="62"/>
  <c r="Z139" i="62"/>
  <c r="AA139" i="62"/>
  <c r="A140" i="62"/>
  <c r="Z140" i="62"/>
  <c r="AA140" i="62"/>
  <c r="A141" i="62"/>
  <c r="Z141" i="62"/>
  <c r="AA141" i="62"/>
  <c r="A142" i="62"/>
  <c r="Z142" i="62"/>
  <c r="AA142" i="62"/>
  <c r="A143" i="62"/>
  <c r="Z143" i="62"/>
  <c r="AA143" i="62"/>
  <c r="A144" i="62"/>
  <c r="Z144" i="62"/>
  <c r="AA144" i="62"/>
  <c r="A145" i="62"/>
  <c r="Z145" i="62"/>
  <c r="AA145" i="62"/>
  <c r="A146" i="62"/>
  <c r="Z146" i="62"/>
  <c r="AA146" i="62"/>
  <c r="A147" i="62"/>
  <c r="Z147" i="62"/>
  <c r="AA147" i="62"/>
  <c r="A148" i="62"/>
  <c r="Z148" i="62"/>
  <c r="AA148" i="62"/>
  <c r="A149" i="62"/>
  <c r="Z149" i="62"/>
  <c r="AA149" i="62"/>
  <c r="A150" i="62"/>
  <c r="Z150" i="62"/>
  <c r="AA150" i="62"/>
  <c r="A151" i="62"/>
  <c r="Z151" i="62"/>
  <c r="AA151" i="62"/>
  <c r="A152" i="62"/>
  <c r="Z152" i="62"/>
  <c r="AA152" i="62"/>
  <c r="A153" i="62"/>
  <c r="Z153" i="62"/>
  <c r="AA153" i="62"/>
  <c r="A154" i="62"/>
  <c r="Z154" i="62"/>
  <c r="AA154" i="62"/>
  <c r="A155" i="62"/>
  <c r="Z155" i="62"/>
  <c r="AA155" i="62"/>
  <c r="A156" i="62"/>
  <c r="Z156" i="62"/>
  <c r="AA156" i="62"/>
  <c r="A157" i="62"/>
  <c r="Z157" i="62"/>
  <c r="AA157" i="62"/>
  <c r="A158" i="62"/>
  <c r="Z158" i="62"/>
  <c r="AA158" i="62"/>
  <c r="A159" i="62"/>
  <c r="Z159" i="62"/>
  <c r="AA159" i="62"/>
  <c r="A160" i="62"/>
  <c r="Z160" i="62"/>
  <c r="AA160" i="62"/>
  <c r="A161" i="62"/>
  <c r="Z161" i="62"/>
  <c r="AA161" i="62"/>
  <c r="A162" i="62"/>
  <c r="Z162" i="62"/>
  <c r="AA162" i="62"/>
  <c r="A163" i="62"/>
  <c r="Z163" i="62"/>
  <c r="AA163" i="62"/>
  <c r="A164" i="62"/>
  <c r="Z164" i="62"/>
  <c r="AA164" i="62"/>
  <c r="A165" i="62"/>
  <c r="Z165" i="62"/>
  <c r="AA165" i="62"/>
  <c r="A166" i="62"/>
  <c r="Z166" i="62"/>
  <c r="AA166" i="62"/>
  <c r="A167" i="62"/>
  <c r="Z167" i="62"/>
  <c r="AA167" i="62"/>
  <c r="A168" i="62"/>
  <c r="Z168" i="62"/>
  <c r="AA168" i="62"/>
  <c r="A169" i="62"/>
  <c r="Z169" i="62"/>
  <c r="AA169" i="62"/>
  <c r="A170" i="62"/>
  <c r="Z170" i="62"/>
  <c r="AA170" i="62"/>
  <c r="A171" i="62"/>
  <c r="Z171" i="62"/>
  <c r="AA171" i="62"/>
  <c r="A172" i="62"/>
  <c r="Z172" i="62"/>
  <c r="AA172" i="62"/>
  <c r="A173" i="62"/>
  <c r="Z173" i="62"/>
  <c r="AA173" i="62"/>
  <c r="A174" i="62"/>
  <c r="Z174" i="62"/>
  <c r="AA174" i="62"/>
  <c r="A175" i="62"/>
  <c r="Z175" i="62"/>
  <c r="AA175" i="62"/>
  <c r="A176" i="62"/>
  <c r="Z176" i="62"/>
  <c r="AA176" i="62"/>
  <c r="A177" i="62"/>
  <c r="Z177" i="62"/>
  <c r="AA177" i="62"/>
  <c r="A178" i="62"/>
  <c r="Z178" i="62"/>
  <c r="AA178" i="62"/>
  <c r="A179" i="62"/>
  <c r="Z179" i="62"/>
  <c r="AA179" i="62"/>
  <c r="A180" i="62"/>
  <c r="Z180" i="62"/>
  <c r="AA180" i="62"/>
  <c r="A181" i="62"/>
  <c r="Z181" i="62"/>
  <c r="AA181" i="62"/>
  <c r="A182" i="62"/>
  <c r="Z182" i="62"/>
  <c r="AA182" i="62"/>
  <c r="A183" i="62"/>
  <c r="Z183" i="62"/>
  <c r="AA183" i="62"/>
  <c r="A184" i="62"/>
  <c r="Z184" i="62"/>
  <c r="AA184" i="62"/>
  <c r="A185" i="62"/>
  <c r="Z185" i="62"/>
  <c r="AA185" i="62"/>
  <c r="A186" i="62"/>
  <c r="Z186" i="62"/>
  <c r="AA186" i="62"/>
  <c r="A187" i="62"/>
  <c r="Z187" i="62"/>
  <c r="AA187" i="62"/>
  <c r="A188" i="62"/>
  <c r="Z188" i="62"/>
  <c r="AA188" i="62"/>
  <c r="A189" i="62"/>
  <c r="Z189" i="62"/>
  <c r="AA189" i="62"/>
  <c r="A190" i="62"/>
  <c r="Z190" i="62"/>
  <c r="AA190" i="62"/>
  <c r="A191" i="62"/>
  <c r="Z191" i="62"/>
  <c r="AA191" i="62"/>
  <c r="A192" i="62"/>
  <c r="Z192" i="62"/>
  <c r="AA192" i="62"/>
  <c r="A193" i="62"/>
  <c r="Z193" i="62"/>
  <c r="AA193" i="62"/>
  <c r="A194" i="62"/>
  <c r="Z194" i="62"/>
  <c r="AA194" i="62"/>
  <c r="A195" i="62"/>
  <c r="Z195" i="62"/>
  <c r="AA195" i="62"/>
  <c r="A196" i="62"/>
  <c r="Z196" i="62"/>
  <c r="AA196" i="62"/>
  <c r="A197" i="62"/>
  <c r="Z197" i="62"/>
  <c r="AA197" i="62"/>
  <c r="A198" i="62"/>
  <c r="Z198" i="62"/>
  <c r="AA198" i="62"/>
  <c r="A199" i="62"/>
  <c r="Z199" i="62"/>
  <c r="AA199" i="62"/>
  <c r="A200" i="62"/>
  <c r="Z200" i="62"/>
  <c r="AA200" i="62"/>
  <c r="A201" i="62"/>
  <c r="Z201" i="62"/>
  <c r="AA201" i="62"/>
  <c r="A202" i="62"/>
  <c r="Z202" i="62"/>
  <c r="AA202" i="62"/>
  <c r="A203" i="62"/>
  <c r="Z203" i="62"/>
  <c r="AA203" i="62"/>
  <c r="A204" i="62"/>
  <c r="Z204" i="62"/>
  <c r="AA204" i="62"/>
  <c r="A205" i="62"/>
  <c r="Z205" i="62"/>
  <c r="AA205" i="62"/>
  <c r="A206" i="62"/>
  <c r="Z206" i="62"/>
  <c r="AA206" i="62"/>
  <c r="A207" i="62"/>
  <c r="Z207" i="62"/>
  <c r="AA207" i="62"/>
  <c r="A208" i="62"/>
  <c r="Z208" i="62"/>
  <c r="AA208" i="62"/>
  <c r="A209" i="62"/>
  <c r="Z209" i="62"/>
  <c r="AA209" i="62"/>
  <c r="A210" i="62"/>
  <c r="Z210" i="62"/>
  <c r="AA210" i="62"/>
  <c r="A211" i="62"/>
  <c r="Z211" i="62"/>
  <c r="AA211" i="62"/>
  <c r="A212" i="62"/>
  <c r="Z212" i="62"/>
  <c r="AA212" i="62"/>
  <c r="A213" i="62"/>
  <c r="Z213" i="62"/>
  <c r="AA213" i="62"/>
  <c r="A214" i="62"/>
  <c r="Z214" i="62"/>
  <c r="AA214" i="62"/>
  <c r="A215" i="62"/>
  <c r="Z215" i="62"/>
  <c r="AA215" i="62"/>
  <c r="A216" i="62"/>
  <c r="Z216" i="62"/>
  <c r="AA216" i="62"/>
  <c r="A217" i="62"/>
  <c r="Z217" i="62"/>
  <c r="AA217" i="62"/>
  <c r="A218" i="62"/>
  <c r="Z218" i="62"/>
  <c r="AA218" i="62"/>
  <c r="A219" i="62"/>
  <c r="Z219" i="62"/>
  <c r="AA219" i="62"/>
  <c r="A220" i="62"/>
  <c r="Z220" i="62"/>
  <c r="AA220" i="62"/>
  <c r="A221" i="62"/>
  <c r="Z221" i="62"/>
  <c r="AA221" i="62"/>
  <c r="A222" i="62"/>
  <c r="Z222" i="62"/>
  <c r="AA222" i="62"/>
  <c r="A223" i="62"/>
  <c r="Z223" i="62"/>
  <c r="AA223" i="62"/>
  <c r="A224" i="62"/>
  <c r="Z224" i="62"/>
  <c r="AA224" i="62"/>
  <c r="A225" i="62"/>
  <c r="Z225" i="62"/>
  <c r="AA225" i="62"/>
  <c r="A226" i="62"/>
  <c r="Z226" i="62"/>
  <c r="AA226" i="62"/>
  <c r="A227" i="62"/>
  <c r="Z227" i="62"/>
  <c r="AA227" i="62"/>
  <c r="A228" i="62"/>
  <c r="Z228" i="62"/>
  <c r="AA228" i="62"/>
  <c r="A229" i="62"/>
  <c r="Z229" i="62"/>
  <c r="AA229" i="62"/>
  <c r="A230" i="62"/>
  <c r="Z230" i="62"/>
  <c r="AA230" i="62"/>
  <c r="A231" i="62"/>
  <c r="Z231" i="62"/>
  <c r="AA231" i="62"/>
  <c r="A232" i="62"/>
  <c r="Z232" i="62"/>
  <c r="AA232" i="62"/>
  <c r="A233" i="62"/>
  <c r="Z233" i="62"/>
  <c r="AA233" i="62"/>
  <c r="A234" i="62"/>
  <c r="Z234" i="62"/>
  <c r="AA234" i="62"/>
  <c r="A235" i="62"/>
  <c r="Z235" i="62"/>
  <c r="AA235" i="62"/>
  <c r="A236" i="62"/>
  <c r="Z236" i="62"/>
  <c r="AA236" i="62"/>
  <c r="A237" i="62"/>
  <c r="Z237" i="62"/>
  <c r="AA237" i="62"/>
  <c r="A238" i="62"/>
  <c r="Z238" i="62"/>
  <c r="AA238" i="62"/>
  <c r="A239" i="62"/>
  <c r="Z239" i="62"/>
  <c r="AA239" i="62"/>
  <c r="A240" i="62"/>
  <c r="Z240" i="62"/>
  <c r="AA240" i="62"/>
  <c r="A241" i="62"/>
  <c r="Z241" i="62"/>
  <c r="AA241" i="62"/>
  <c r="A242" i="62"/>
  <c r="Z242" i="62"/>
  <c r="AA242" i="62"/>
  <c r="A243" i="62"/>
  <c r="Z243" i="62"/>
  <c r="AA243" i="62"/>
  <c r="A244" i="62"/>
  <c r="Z244" i="62"/>
  <c r="AA244" i="62"/>
  <c r="A245" i="62"/>
  <c r="Z245" i="62"/>
  <c r="AA245" i="62"/>
  <c r="A246" i="62"/>
  <c r="Z246" i="62"/>
  <c r="AA246" i="62"/>
  <c r="A247" i="62"/>
  <c r="Z247" i="62"/>
  <c r="AA247" i="62"/>
  <c r="A248" i="62"/>
  <c r="Z248" i="62"/>
  <c r="AA248" i="62"/>
  <c r="A249" i="62"/>
  <c r="Z249" i="62"/>
  <c r="AA249" i="62"/>
  <c r="A250" i="62"/>
  <c r="Z250" i="62"/>
  <c r="AA250" i="62"/>
  <c r="A251" i="62"/>
  <c r="Z251" i="62"/>
  <c r="AA251" i="62"/>
  <c r="A252" i="62"/>
  <c r="Z252" i="62"/>
  <c r="AA252" i="62"/>
  <c r="A253" i="62"/>
  <c r="Z253" i="62"/>
  <c r="AA253" i="62"/>
  <c r="A254" i="62"/>
  <c r="Z254" i="62"/>
  <c r="AA254" i="62"/>
  <c r="A255" i="62"/>
  <c r="Z255" i="62"/>
  <c r="AA255" i="62"/>
  <c r="A256" i="62"/>
  <c r="Z256" i="62"/>
  <c r="AA256" i="62"/>
  <c r="A257" i="62"/>
  <c r="Z257" i="62"/>
  <c r="AA257" i="62"/>
  <c r="A258" i="62"/>
  <c r="Z258" i="62"/>
  <c r="AA258" i="62"/>
  <c r="A259" i="62"/>
  <c r="Z259" i="62"/>
  <c r="AA259" i="62"/>
  <c r="A260" i="62"/>
  <c r="Z260" i="62"/>
  <c r="AA260" i="62"/>
  <c r="A261" i="62"/>
  <c r="Z261" i="62"/>
  <c r="AA261" i="62"/>
  <c r="A262" i="62"/>
  <c r="Z262" i="62"/>
  <c r="AA262" i="62"/>
  <c r="A263" i="62"/>
  <c r="Z263" i="62"/>
  <c r="AA263" i="62"/>
  <c r="A264" i="62"/>
  <c r="Z264" i="62"/>
  <c r="AA264" i="62"/>
  <c r="A265" i="62"/>
  <c r="Z265" i="62"/>
  <c r="AA265" i="62"/>
  <c r="A266" i="62"/>
  <c r="Z266" i="62"/>
  <c r="AA266" i="62"/>
  <c r="A267" i="62"/>
  <c r="Z267" i="62"/>
  <c r="AA267" i="62"/>
  <c r="A268" i="62"/>
  <c r="Z268" i="62"/>
  <c r="AA268" i="62"/>
  <c r="A269" i="62"/>
  <c r="Z269" i="62"/>
  <c r="AA269" i="62"/>
  <c r="A270" i="62"/>
  <c r="Z270" i="62"/>
  <c r="AA270" i="62"/>
  <c r="A271" i="62"/>
  <c r="Z271" i="62"/>
  <c r="AA271" i="62"/>
  <c r="A272" i="62"/>
  <c r="Z272" i="62"/>
  <c r="AA272" i="62"/>
  <c r="A273" i="62"/>
  <c r="Z273" i="62"/>
  <c r="AA273" i="62"/>
  <c r="A274" i="62"/>
  <c r="Z274" i="62"/>
  <c r="AA274" i="62"/>
  <c r="A275" i="62"/>
  <c r="Z275" i="62"/>
  <c r="AA275" i="62"/>
  <c r="A276" i="62"/>
  <c r="Z276" i="62"/>
  <c r="AA276" i="62"/>
  <c r="A277" i="62"/>
  <c r="Z277" i="62"/>
  <c r="AA277" i="62"/>
  <c r="A278" i="62"/>
  <c r="Z278" i="62"/>
  <c r="AA278" i="62"/>
  <c r="A279" i="62"/>
  <c r="Z279" i="62"/>
  <c r="AA279" i="62"/>
  <c r="A280" i="62"/>
  <c r="Z280" i="62"/>
  <c r="AA280" i="62"/>
  <c r="A281" i="62"/>
  <c r="Z281" i="62"/>
  <c r="AA281" i="62"/>
  <c r="A282" i="62"/>
  <c r="Z282" i="62"/>
  <c r="AA282" i="62"/>
  <c r="A283" i="62"/>
  <c r="Z283" i="62"/>
  <c r="AA283" i="62"/>
  <c r="A284" i="62"/>
  <c r="Z284" i="62"/>
  <c r="AA284" i="62"/>
  <c r="A285" i="62"/>
  <c r="Z285" i="62"/>
  <c r="AA285" i="62"/>
  <c r="A286" i="62"/>
  <c r="Z286" i="62"/>
  <c r="AA286" i="62"/>
  <c r="A287" i="62"/>
  <c r="Z287" i="62"/>
  <c r="AA287" i="62"/>
  <c r="A288" i="62"/>
  <c r="Z288" i="62"/>
  <c r="AA288" i="62"/>
  <c r="A289" i="62"/>
  <c r="Z289" i="62"/>
  <c r="AA289" i="62"/>
  <c r="A290" i="62"/>
  <c r="Z290" i="62"/>
  <c r="AA290" i="62"/>
  <c r="A291" i="62"/>
  <c r="Z291" i="62"/>
  <c r="AA291" i="62"/>
  <c r="A292" i="62"/>
  <c r="Z292" i="62"/>
  <c r="AA292" i="62"/>
  <c r="A293" i="62"/>
  <c r="Z293" i="62"/>
  <c r="AA293" i="62"/>
  <c r="A294" i="62"/>
  <c r="Z294" i="62"/>
  <c r="AA294" i="62"/>
  <c r="A295" i="62"/>
  <c r="Z295" i="62"/>
  <c r="AA295" i="62"/>
  <c r="A296" i="62"/>
  <c r="Z296" i="62"/>
  <c r="AA296" i="62"/>
  <c r="A297" i="62"/>
  <c r="Z297" i="62"/>
  <c r="AA297" i="62"/>
  <c r="A298" i="62"/>
  <c r="Z298" i="62"/>
  <c r="AA298" i="62"/>
  <c r="A299" i="62"/>
  <c r="Z299" i="62"/>
  <c r="AA299" i="62"/>
  <c r="A300" i="62"/>
  <c r="Z300" i="62"/>
  <c r="AA300" i="62"/>
  <c r="A301" i="62"/>
  <c r="Z301" i="62"/>
  <c r="AA301" i="62"/>
  <c r="A302" i="62"/>
  <c r="Z302" i="62"/>
  <c r="AA302" i="62"/>
  <c r="A303" i="62"/>
  <c r="Z303" i="62"/>
  <c r="AA303" i="62"/>
  <c r="A304" i="62"/>
  <c r="Z304" i="62"/>
  <c r="AA304" i="62"/>
  <c r="A305" i="62"/>
  <c r="Z305" i="62"/>
  <c r="AA305" i="62"/>
  <c r="A306" i="62"/>
  <c r="Z306" i="62"/>
  <c r="AA306" i="62"/>
  <c r="A307" i="62"/>
  <c r="Z307" i="62"/>
  <c r="AA307" i="62"/>
  <c r="A308" i="62"/>
  <c r="Z308" i="62"/>
  <c r="AA308" i="62"/>
  <c r="A309" i="62"/>
  <c r="Z309" i="62"/>
  <c r="AA309" i="62"/>
  <c r="A310" i="62"/>
  <c r="Z310" i="62"/>
  <c r="AA310" i="62"/>
  <c r="A311" i="62"/>
  <c r="Z311" i="62"/>
  <c r="AA311" i="62"/>
  <c r="A312" i="62"/>
  <c r="Z312" i="62"/>
  <c r="AA312" i="62"/>
  <c r="A313" i="62"/>
  <c r="Z313" i="62"/>
  <c r="AA313" i="62"/>
  <c r="A314" i="62"/>
  <c r="Z314" i="62"/>
  <c r="AA314" i="62"/>
  <c r="A315" i="62"/>
  <c r="Z315" i="62"/>
  <c r="AA315" i="62"/>
  <c r="A316" i="62"/>
  <c r="Z316" i="62"/>
  <c r="AA316" i="62"/>
  <c r="A317" i="62"/>
  <c r="Z317" i="62"/>
  <c r="AA317" i="62"/>
  <c r="A318" i="62"/>
  <c r="Z318" i="62"/>
  <c r="AA318" i="62"/>
  <c r="A319" i="62"/>
  <c r="Z319" i="62"/>
  <c r="AA319" i="62"/>
  <c r="A320" i="62"/>
  <c r="Z320" i="62"/>
  <c r="AA320" i="62"/>
  <c r="A321" i="62"/>
  <c r="Z321" i="62"/>
  <c r="AA321" i="62"/>
  <c r="A322" i="62"/>
  <c r="Z322" i="62"/>
  <c r="AA322" i="62"/>
  <c r="A323" i="62"/>
  <c r="Z323" i="62"/>
  <c r="AA323" i="62"/>
  <c r="A324" i="62"/>
  <c r="Z324" i="62"/>
  <c r="AA324" i="62"/>
  <c r="A325" i="62"/>
  <c r="Z325" i="62"/>
  <c r="AA325" i="62"/>
  <c r="A326" i="62"/>
  <c r="Z326" i="62"/>
  <c r="AA326" i="62"/>
  <c r="A327" i="62"/>
  <c r="Z327" i="62"/>
  <c r="AA327" i="62"/>
  <c r="A328" i="62"/>
  <c r="Z328" i="62"/>
  <c r="AA328" i="62"/>
  <c r="A329" i="62"/>
  <c r="Z329" i="62"/>
  <c r="AA329" i="62"/>
  <c r="A330" i="62"/>
  <c r="Z330" i="62"/>
  <c r="AA330" i="62"/>
  <c r="A331" i="62"/>
  <c r="Z331" i="62"/>
  <c r="AA331" i="62"/>
  <c r="A332" i="62"/>
  <c r="Z332" i="62"/>
  <c r="AA332" i="62"/>
  <c r="A333" i="62"/>
  <c r="Z333" i="62"/>
  <c r="AA333" i="62"/>
  <c r="A334" i="62"/>
  <c r="Z334" i="62"/>
  <c r="AA334" i="62"/>
  <c r="A335" i="62"/>
  <c r="Z335" i="62"/>
  <c r="AA335" i="62"/>
  <c r="A336" i="62"/>
  <c r="Z336" i="62"/>
  <c r="AA336" i="62"/>
  <c r="A337" i="62"/>
  <c r="Z337" i="62"/>
  <c r="AA337" i="62"/>
  <c r="A338" i="62"/>
  <c r="Z338" i="62"/>
  <c r="AA338" i="62"/>
  <c r="A339" i="62"/>
  <c r="Z339" i="62"/>
  <c r="AA339" i="62"/>
  <c r="A340" i="62"/>
  <c r="Z340" i="62"/>
  <c r="AA340" i="62"/>
  <c r="A341" i="62"/>
  <c r="Z341" i="62"/>
  <c r="AA341" i="62"/>
  <c r="A342" i="62"/>
  <c r="Z342" i="62"/>
  <c r="AA342" i="62"/>
  <c r="A343" i="62"/>
  <c r="Z343" i="62"/>
  <c r="AA343" i="62"/>
  <c r="A344" i="62"/>
  <c r="Z344" i="62"/>
  <c r="AA344" i="62"/>
  <c r="A345" i="62"/>
  <c r="Z345" i="62"/>
  <c r="AA345" i="62"/>
  <c r="A346" i="62"/>
  <c r="Z346" i="62"/>
  <c r="AA346" i="62"/>
  <c r="A347" i="62"/>
  <c r="Z347" i="62"/>
  <c r="AA347" i="62"/>
  <c r="A348" i="62"/>
  <c r="Z348" i="62"/>
  <c r="AA348" i="62"/>
  <c r="A349" i="62"/>
  <c r="Z349" i="62"/>
  <c r="AA349" i="62"/>
  <c r="A350" i="62"/>
  <c r="Z350" i="62"/>
  <c r="AA350" i="62"/>
  <c r="A351" i="62"/>
  <c r="Z351" i="62"/>
  <c r="AA351" i="62"/>
  <c r="A352" i="62"/>
  <c r="Z352" i="62"/>
  <c r="AA352" i="62"/>
  <c r="A353" i="62"/>
  <c r="Z353" i="62"/>
  <c r="AA353" i="62"/>
  <c r="A354" i="62"/>
  <c r="Z354" i="62"/>
  <c r="AA354" i="62"/>
  <c r="A355" i="62"/>
  <c r="Z355" i="62"/>
  <c r="AA355" i="62"/>
  <c r="A356" i="62"/>
  <c r="Z356" i="62"/>
  <c r="AA356" i="62"/>
  <c r="A357" i="62"/>
  <c r="Z357" i="62"/>
  <c r="AA357" i="62"/>
  <c r="A358" i="62"/>
  <c r="Z358" i="62"/>
  <c r="AA358" i="62"/>
  <c r="A359" i="62"/>
  <c r="Z359" i="62"/>
  <c r="AA359" i="62"/>
  <c r="A360" i="62"/>
  <c r="Z360" i="62"/>
  <c r="AA360" i="62"/>
  <c r="A361" i="62"/>
  <c r="Z361" i="62"/>
  <c r="AA361" i="62"/>
  <c r="A362" i="62"/>
  <c r="Z362" i="62"/>
  <c r="AA362" i="62"/>
  <c r="A363" i="62"/>
  <c r="Z363" i="62"/>
  <c r="AA363" i="62"/>
  <c r="A364" i="62"/>
  <c r="Z364" i="62"/>
  <c r="AA364" i="62"/>
  <c r="A365" i="62"/>
  <c r="Z365" i="62"/>
  <c r="AA365" i="62"/>
  <c r="A366" i="62"/>
  <c r="Z366" i="62"/>
  <c r="AA366" i="62"/>
  <c r="A367" i="62"/>
  <c r="Z367" i="62"/>
  <c r="AA367" i="62"/>
  <c r="A368" i="62"/>
  <c r="Z368" i="62"/>
  <c r="AA368" i="62"/>
  <c r="A369" i="62"/>
  <c r="Z369" i="62"/>
  <c r="AA369" i="62"/>
  <c r="A370" i="62"/>
  <c r="Z370" i="62"/>
  <c r="AA370" i="62"/>
  <c r="A371" i="62"/>
  <c r="Z371" i="62"/>
  <c r="AA371" i="62"/>
  <c r="A372" i="62"/>
  <c r="Z372" i="62"/>
  <c r="AA372" i="62"/>
  <c r="A373" i="62"/>
  <c r="Z373" i="62"/>
  <c r="AA373" i="62"/>
  <c r="A374" i="62"/>
  <c r="Z374" i="62"/>
  <c r="AA374" i="62"/>
  <c r="A375" i="62"/>
  <c r="Z375" i="62"/>
  <c r="AA375" i="62"/>
  <c r="A376" i="62"/>
  <c r="Z376" i="62"/>
  <c r="AA376" i="62"/>
  <c r="A377" i="62"/>
  <c r="Z377" i="62"/>
  <c r="AA377" i="62"/>
  <c r="A378" i="62"/>
  <c r="Z378" i="62"/>
  <c r="AA378" i="62"/>
  <c r="A379" i="62"/>
  <c r="Z379" i="62"/>
  <c r="AA379" i="62"/>
  <c r="A380" i="62"/>
  <c r="Z380" i="62"/>
  <c r="AA380" i="62"/>
  <c r="A381" i="62"/>
  <c r="Z381" i="62"/>
  <c r="AA381" i="62"/>
  <c r="A382" i="62"/>
  <c r="Z382" i="62"/>
  <c r="AA382" i="62"/>
  <c r="A383" i="62"/>
  <c r="Z383" i="62"/>
  <c r="AA383" i="62"/>
  <c r="A384" i="62"/>
  <c r="Z384" i="62"/>
  <c r="AA384" i="62"/>
  <c r="A385" i="62"/>
  <c r="Z385" i="62"/>
  <c r="AA385" i="62"/>
  <c r="A386" i="62"/>
  <c r="Z386" i="62"/>
  <c r="AA386" i="62"/>
  <c r="A387" i="62"/>
  <c r="Z387" i="62"/>
  <c r="AA387" i="62"/>
  <c r="A388" i="62"/>
  <c r="Z388" i="62"/>
  <c r="AA388" i="62"/>
  <c r="A389" i="62"/>
  <c r="Z389" i="62"/>
  <c r="AA389" i="62"/>
  <c r="A390" i="62"/>
  <c r="Z390" i="62"/>
  <c r="AA390" i="62"/>
  <c r="A391" i="62"/>
  <c r="Z391" i="62"/>
  <c r="AA391" i="62"/>
  <c r="A392" i="62"/>
  <c r="Z392" i="62"/>
  <c r="AA392" i="62"/>
  <c r="A393" i="62"/>
  <c r="Z393" i="62"/>
  <c r="AA393" i="62"/>
  <c r="A394" i="62"/>
  <c r="Z394" i="62"/>
  <c r="AA394" i="62"/>
  <c r="A395" i="62"/>
  <c r="Z395" i="62"/>
  <c r="AA395" i="62"/>
  <c r="A396" i="62"/>
  <c r="Z396" i="62"/>
  <c r="AA396" i="62"/>
  <c r="A397" i="62"/>
  <c r="Z397" i="62"/>
  <c r="AA397" i="62"/>
  <c r="A398" i="62"/>
  <c r="Z398" i="62"/>
  <c r="AA398" i="62"/>
  <c r="A399" i="62"/>
  <c r="Z399" i="62"/>
  <c r="AA399" i="62"/>
  <c r="A400" i="62"/>
  <c r="Z400" i="62"/>
  <c r="AA400" i="62"/>
  <c r="A401" i="62"/>
  <c r="Z401" i="62"/>
  <c r="AA401" i="62"/>
  <c r="A402" i="62"/>
  <c r="Z402" i="62"/>
  <c r="AA402" i="62"/>
  <c r="A403" i="62"/>
  <c r="Z403" i="62"/>
  <c r="AA403" i="62"/>
  <c r="A404" i="62"/>
  <c r="Z404" i="62"/>
  <c r="AA404" i="62"/>
  <c r="A405" i="62"/>
  <c r="Z405" i="62"/>
  <c r="AA405" i="62"/>
  <c r="A406" i="62"/>
  <c r="Z406" i="62"/>
  <c r="AA406" i="62"/>
  <c r="A407" i="62"/>
  <c r="Z407" i="62"/>
  <c r="AA407" i="62"/>
  <c r="A408" i="62"/>
  <c r="Z408" i="62"/>
  <c r="AA408" i="62"/>
  <c r="A409" i="62"/>
  <c r="Z409" i="62"/>
  <c r="AA409" i="62"/>
  <c r="A410" i="62"/>
  <c r="Z410" i="62"/>
  <c r="AA410" i="62"/>
  <c r="A411" i="62"/>
  <c r="Z411" i="62"/>
  <c r="AA411" i="62"/>
  <c r="A412" i="62"/>
  <c r="Z412" i="62"/>
  <c r="AA412" i="62"/>
  <c r="A413" i="62"/>
  <c r="Z413" i="62"/>
  <c r="AA413" i="62"/>
  <c r="A414" i="62"/>
  <c r="Z414" i="62"/>
  <c r="AA414" i="62"/>
  <c r="A415" i="62"/>
  <c r="Z415" i="62"/>
  <c r="AA415" i="62"/>
  <c r="A416" i="62"/>
  <c r="Z416" i="62"/>
  <c r="AA416" i="62"/>
  <c r="A417" i="62"/>
  <c r="Z417" i="62"/>
  <c r="AA417" i="62"/>
  <c r="A418" i="62"/>
  <c r="Z418" i="62"/>
  <c r="AA418" i="62"/>
  <c r="A419" i="62"/>
  <c r="Z419" i="62"/>
  <c r="AA419" i="62"/>
  <c r="A420" i="62"/>
  <c r="Z420" i="62"/>
  <c r="AA420" i="62"/>
  <c r="A421" i="62"/>
  <c r="Z421" i="62"/>
  <c r="AA421" i="62"/>
  <c r="A422" i="62"/>
  <c r="Z422" i="62"/>
  <c r="AA422" i="62"/>
  <c r="A423" i="62"/>
  <c r="Z423" i="62"/>
  <c r="AA423" i="62"/>
  <c r="A424" i="62"/>
  <c r="Z424" i="62"/>
  <c r="AA424" i="62"/>
  <c r="A425" i="62"/>
  <c r="Z425" i="62"/>
  <c r="AA425" i="62"/>
  <c r="A426" i="62"/>
  <c r="Z426" i="62"/>
  <c r="AA426" i="62"/>
  <c r="A427" i="62"/>
  <c r="Z427" i="62"/>
  <c r="AA427" i="62"/>
  <c r="A428" i="62"/>
  <c r="Z428" i="62"/>
  <c r="AA428" i="62"/>
  <c r="A429" i="62"/>
  <c r="Z429" i="62"/>
  <c r="AA429" i="62"/>
  <c r="A430" i="62"/>
  <c r="Z430" i="62"/>
  <c r="AA430" i="62"/>
  <c r="A431" i="62"/>
  <c r="Z431" i="62"/>
  <c r="AA431" i="62"/>
  <c r="A432" i="62"/>
  <c r="Z432" i="62"/>
  <c r="AA432" i="62"/>
  <c r="A433" i="62"/>
  <c r="Z433" i="62"/>
  <c r="AA433" i="62"/>
  <c r="A434" i="62"/>
  <c r="Z434" i="62"/>
  <c r="AA434" i="62"/>
  <c r="A435" i="62"/>
  <c r="Z435" i="62"/>
  <c r="AA435" i="62"/>
  <c r="A436" i="62"/>
  <c r="Z436" i="62"/>
  <c r="AA436" i="62"/>
  <c r="A437" i="62"/>
  <c r="Z437" i="62"/>
  <c r="AA437" i="62"/>
  <c r="A438" i="62"/>
  <c r="Z438" i="62"/>
  <c r="AA438" i="62"/>
  <c r="A439" i="62"/>
  <c r="Z439" i="62"/>
  <c r="AA439" i="62"/>
  <c r="A440" i="62"/>
  <c r="Z440" i="62"/>
  <c r="AA440" i="62"/>
  <c r="A441" i="62"/>
  <c r="Z441" i="62"/>
  <c r="AA441" i="62"/>
  <c r="A442" i="62"/>
  <c r="Z442" i="62"/>
  <c r="AA442" i="62"/>
  <c r="A443" i="62"/>
  <c r="Z443" i="62"/>
  <c r="AA443" i="62"/>
  <c r="A444" i="62"/>
  <c r="Z444" i="62"/>
  <c r="AA444" i="62"/>
  <c r="A445" i="62"/>
  <c r="Z445" i="62"/>
  <c r="AA445" i="62"/>
  <c r="A446" i="62"/>
  <c r="Z446" i="62"/>
  <c r="AA446" i="62"/>
  <c r="A447" i="62"/>
  <c r="Z447" i="62"/>
  <c r="AA447" i="62"/>
  <c r="A448" i="62"/>
  <c r="Z448" i="62"/>
  <c r="AA448" i="62"/>
  <c r="A449" i="62"/>
  <c r="Z449" i="62"/>
  <c r="AA449" i="62"/>
  <c r="A450" i="62"/>
  <c r="Z450" i="62"/>
  <c r="AA450" i="62"/>
  <c r="A451" i="62"/>
  <c r="Z451" i="62"/>
  <c r="AA451" i="62"/>
  <c r="A452" i="62"/>
  <c r="Z452" i="62"/>
  <c r="AA452" i="62"/>
  <c r="A453" i="62"/>
  <c r="Z453" i="62"/>
  <c r="AA453" i="62"/>
  <c r="A454" i="62"/>
  <c r="Z454" i="62"/>
  <c r="AA454" i="62"/>
  <c r="A455" i="62"/>
  <c r="Z455" i="62"/>
  <c r="AA455" i="62"/>
  <c r="A456" i="62"/>
  <c r="Z456" i="62"/>
  <c r="AA456" i="62"/>
  <c r="A457" i="62"/>
  <c r="Z457" i="62"/>
  <c r="AA457" i="62"/>
  <c r="A458" i="62"/>
  <c r="Z458" i="62"/>
  <c r="AA458" i="62"/>
  <c r="A459" i="62"/>
  <c r="Z459" i="62"/>
  <c r="AA459" i="62"/>
  <c r="A460" i="62"/>
  <c r="Z460" i="62"/>
  <c r="AA460" i="62"/>
  <c r="A461" i="62"/>
  <c r="Z461" i="62"/>
  <c r="AA461" i="62"/>
  <c r="A462" i="62"/>
  <c r="Z462" i="62"/>
  <c r="AA462" i="62"/>
  <c r="A463" i="62"/>
  <c r="Z463" i="62"/>
  <c r="AA463" i="62"/>
  <c r="A464" i="62"/>
  <c r="Z464" i="62"/>
  <c r="AA464" i="62"/>
  <c r="A465" i="62"/>
  <c r="Z465" i="62"/>
  <c r="AA465" i="62"/>
  <c r="A466" i="62"/>
  <c r="Z466" i="62"/>
  <c r="AA466" i="62"/>
  <c r="A467" i="62"/>
  <c r="Z467" i="62"/>
  <c r="AA467" i="62"/>
  <c r="A468" i="62"/>
  <c r="Z468" i="62"/>
  <c r="AA468" i="62"/>
  <c r="A469" i="62"/>
  <c r="Z469" i="62"/>
  <c r="AA469" i="62"/>
  <c r="A470" i="62"/>
  <c r="Z470" i="62"/>
  <c r="AA470" i="62"/>
  <c r="A471" i="62"/>
  <c r="Z471" i="62"/>
  <c r="AA471" i="62"/>
  <c r="A472" i="62"/>
  <c r="Z472" i="62"/>
  <c r="AA472" i="62"/>
  <c r="A473" i="62"/>
  <c r="Z473" i="62"/>
  <c r="AA473" i="62"/>
  <c r="A474" i="62"/>
  <c r="Z474" i="62"/>
  <c r="AA474" i="62"/>
  <c r="A475" i="62"/>
  <c r="Z475" i="62"/>
  <c r="AA475" i="62"/>
  <c r="A476" i="62"/>
  <c r="Z476" i="62"/>
  <c r="AA476" i="62"/>
  <c r="A477" i="62"/>
  <c r="Z477" i="62"/>
  <c r="AA477" i="62"/>
  <c r="A478" i="62"/>
  <c r="Z478" i="62"/>
  <c r="AA478" i="62"/>
  <c r="A479" i="62"/>
  <c r="Z479" i="62"/>
  <c r="AA479" i="62"/>
  <c r="A480" i="62"/>
  <c r="Z480" i="62"/>
  <c r="AA480" i="62"/>
  <c r="A481" i="62"/>
  <c r="Z481" i="62"/>
  <c r="AA481" i="62"/>
  <c r="A482" i="62"/>
  <c r="Z482" i="62"/>
  <c r="AA482" i="62"/>
  <c r="A483" i="62"/>
  <c r="Z483" i="62"/>
  <c r="AA483" i="62"/>
  <c r="A484" i="62"/>
  <c r="Z484" i="62"/>
  <c r="AA484" i="62"/>
  <c r="A485" i="62"/>
  <c r="Z485" i="62"/>
  <c r="AA485" i="62"/>
  <c r="A486" i="62"/>
  <c r="Z486" i="62"/>
  <c r="AA486" i="62"/>
  <c r="A487" i="62"/>
  <c r="Z487" i="62"/>
  <c r="AA487" i="62"/>
  <c r="A488" i="62"/>
  <c r="Z488" i="62"/>
  <c r="AA488" i="62"/>
  <c r="A489" i="62"/>
  <c r="Z489" i="62"/>
  <c r="AA489" i="62"/>
  <c r="A490" i="62"/>
  <c r="Z490" i="62"/>
  <c r="AA490" i="62"/>
  <c r="A491" i="62"/>
  <c r="Z491" i="62"/>
  <c r="AA491" i="62"/>
  <c r="A492" i="62"/>
  <c r="Z492" i="62"/>
  <c r="AA492" i="62"/>
  <c r="A493" i="62"/>
  <c r="Z493" i="62"/>
  <c r="AA493" i="62"/>
  <c r="A494" i="62"/>
  <c r="Z494" i="62"/>
  <c r="AA494" i="62"/>
  <c r="A495" i="62"/>
  <c r="Z495" i="62"/>
  <c r="AA495" i="62"/>
  <c r="A496" i="62"/>
  <c r="Z496" i="62"/>
  <c r="AA496" i="62"/>
  <c r="A497" i="62"/>
  <c r="Z497" i="62"/>
  <c r="AA497" i="62"/>
  <c r="A498" i="62"/>
  <c r="Z498" i="62"/>
  <c r="AA498" i="62"/>
  <c r="A499" i="62"/>
  <c r="Z499" i="62"/>
  <c r="AA499" i="62"/>
  <c r="A500" i="62"/>
  <c r="Z500" i="62"/>
  <c r="AA500" i="62"/>
  <c r="A501" i="62"/>
  <c r="Z501" i="62"/>
  <c r="AA501" i="62"/>
  <c r="A502" i="62"/>
  <c r="Z502" i="62"/>
  <c r="AA502" i="62"/>
  <c r="A503" i="62"/>
  <c r="Z503" i="62"/>
  <c r="AA503" i="62"/>
  <c r="A504" i="62"/>
  <c r="Z504" i="62"/>
  <c r="AA504" i="62"/>
  <c r="A505" i="62"/>
  <c r="Z505" i="62"/>
  <c r="AA505" i="62"/>
  <c r="A506" i="62"/>
  <c r="Z506" i="62"/>
  <c r="AA506" i="62"/>
  <c r="A507" i="62"/>
  <c r="Z507" i="62"/>
  <c r="AA507" i="62"/>
  <c r="A508" i="62"/>
  <c r="Z508" i="62"/>
  <c r="AA508" i="62"/>
  <c r="A509" i="62"/>
  <c r="Z509" i="62"/>
  <c r="AA509" i="62"/>
  <c r="A510" i="62"/>
  <c r="Z510" i="62"/>
  <c r="AA510" i="62"/>
  <c r="A511" i="62"/>
  <c r="Z511" i="62"/>
  <c r="AA511" i="62"/>
  <c r="A512" i="62"/>
  <c r="Z512" i="62"/>
  <c r="AA512" i="62"/>
  <c r="A513" i="62"/>
  <c r="Z513" i="62"/>
  <c r="AA513" i="62"/>
  <c r="A514" i="62"/>
  <c r="Z514" i="62"/>
  <c r="AA514" i="62"/>
  <c r="A515" i="62"/>
  <c r="Z515" i="62"/>
  <c r="AA515" i="62"/>
  <c r="A516" i="62"/>
  <c r="Z516" i="62"/>
  <c r="AA516" i="62"/>
  <c r="A517" i="62"/>
  <c r="Z517" i="62"/>
  <c r="AA517" i="62"/>
  <c r="A518" i="62"/>
  <c r="Z518" i="62"/>
  <c r="AA518" i="62"/>
  <c r="A519" i="62"/>
  <c r="Z519" i="62"/>
  <c r="AA519" i="62"/>
  <c r="A520" i="62"/>
  <c r="Z520" i="62"/>
  <c r="AA520" i="62"/>
  <c r="A521" i="62"/>
  <c r="Z521" i="62"/>
  <c r="AA521" i="62"/>
  <c r="A522" i="62"/>
  <c r="Z522" i="62"/>
  <c r="AA522" i="62"/>
  <c r="A523" i="62"/>
  <c r="Z523" i="62"/>
  <c r="AA523" i="62"/>
  <c r="A524" i="62"/>
  <c r="Z524" i="62"/>
  <c r="AA524" i="62"/>
  <c r="A525" i="62"/>
  <c r="Z525" i="62"/>
  <c r="AA525" i="62"/>
  <c r="A526" i="62"/>
  <c r="Z526" i="62"/>
  <c r="AA526" i="62"/>
  <c r="A527" i="62"/>
  <c r="Z527" i="62"/>
  <c r="AA527" i="62"/>
  <c r="A528" i="62"/>
  <c r="Z528" i="62"/>
  <c r="AA528" i="62"/>
  <c r="A529" i="62"/>
  <c r="Z529" i="62"/>
  <c r="AA529" i="62"/>
  <c r="A530" i="62"/>
  <c r="Z530" i="62"/>
  <c r="AA530" i="62"/>
  <c r="A531" i="62"/>
  <c r="Z531" i="62"/>
  <c r="AA531" i="62"/>
  <c r="A532" i="62"/>
  <c r="Z532" i="62"/>
  <c r="AA532" i="62"/>
  <c r="A533" i="62"/>
  <c r="Z533" i="62"/>
  <c r="AA533" i="62"/>
  <c r="A534" i="62"/>
  <c r="Z534" i="62"/>
  <c r="AA534" i="62"/>
  <c r="A535" i="62"/>
  <c r="Z535" i="62"/>
  <c r="AA535" i="62"/>
  <c r="A536" i="62"/>
  <c r="Z536" i="62"/>
  <c r="AA536" i="62"/>
  <c r="A537" i="62"/>
  <c r="Z537" i="62"/>
  <c r="AA537" i="62"/>
  <c r="A538" i="62"/>
  <c r="Z538" i="62"/>
  <c r="AA538" i="62"/>
  <c r="A539" i="62"/>
  <c r="Z539" i="62"/>
  <c r="AA539" i="62"/>
  <c r="A540" i="62"/>
  <c r="Z540" i="62"/>
  <c r="AA540" i="62"/>
  <c r="A541" i="62"/>
  <c r="Z541" i="62"/>
  <c r="AA541" i="62"/>
  <c r="A542" i="62"/>
  <c r="Z542" i="62"/>
  <c r="AA542" i="62"/>
  <c r="A543" i="62"/>
  <c r="Z543" i="62"/>
  <c r="AA543" i="62"/>
  <c r="A544" i="62"/>
  <c r="Z544" i="62"/>
  <c r="AA544" i="62"/>
  <c r="A545" i="62"/>
  <c r="Z545" i="62"/>
  <c r="AA545" i="62"/>
  <c r="A546" i="62"/>
  <c r="Z546" i="62"/>
  <c r="AA546" i="62"/>
  <c r="A547" i="62"/>
  <c r="Z547" i="62"/>
  <c r="AA547" i="62"/>
  <c r="A548" i="62"/>
  <c r="Z548" i="62"/>
  <c r="AA548" i="62"/>
  <c r="A549" i="62"/>
  <c r="Z549" i="62"/>
  <c r="AA549" i="62"/>
  <c r="A550" i="62"/>
  <c r="Z550" i="62"/>
  <c r="AA550" i="62"/>
  <c r="A551" i="62"/>
  <c r="Z551" i="62"/>
  <c r="AA551" i="62"/>
  <c r="A552" i="62"/>
  <c r="Z552" i="62"/>
  <c r="AA552" i="62"/>
  <c r="A553" i="62"/>
  <c r="Z553" i="62"/>
  <c r="AA553" i="62"/>
  <c r="A554" i="62"/>
  <c r="Z554" i="62"/>
  <c r="AA554" i="62"/>
  <c r="A555" i="62"/>
  <c r="Z555" i="62"/>
  <c r="AA555" i="62"/>
  <c r="A556" i="62"/>
  <c r="Z556" i="62"/>
  <c r="AA556" i="62"/>
  <c r="A557" i="62"/>
  <c r="Z557" i="62"/>
  <c r="AA557" i="62"/>
  <c r="A558" i="62"/>
  <c r="Z558" i="62"/>
  <c r="AA558" i="62"/>
  <c r="A559" i="62"/>
  <c r="Z559" i="62"/>
  <c r="AA559" i="62"/>
  <c r="A560" i="62"/>
  <c r="Z560" i="62"/>
  <c r="AA560" i="62"/>
  <c r="A561" i="62"/>
  <c r="Z561" i="62"/>
  <c r="AA561" i="62"/>
  <c r="A562" i="62"/>
  <c r="Z562" i="62"/>
  <c r="AA562" i="62"/>
  <c r="A563" i="62"/>
  <c r="Z563" i="62"/>
  <c r="AA563" i="62"/>
  <c r="A564" i="62"/>
  <c r="Z564" i="62"/>
  <c r="AA564" i="62"/>
  <c r="A565" i="62"/>
  <c r="Z565" i="62"/>
  <c r="AA565" i="62"/>
  <c r="A566" i="62"/>
  <c r="Z566" i="62"/>
  <c r="AA566" i="62"/>
  <c r="A567" i="62"/>
  <c r="Z567" i="62"/>
  <c r="AA567" i="62"/>
  <c r="A568" i="62"/>
  <c r="Z568" i="62"/>
  <c r="AA568" i="62"/>
  <c r="A569" i="62"/>
  <c r="Z569" i="62"/>
  <c r="AA569" i="62"/>
  <c r="A570" i="62"/>
  <c r="Z570" i="62"/>
  <c r="AA570" i="62"/>
  <c r="A571" i="62"/>
  <c r="Z571" i="62"/>
  <c r="AA571" i="62"/>
  <c r="A572" i="62"/>
  <c r="Z572" i="62"/>
  <c r="AA572" i="62"/>
  <c r="A573" i="62"/>
  <c r="Z573" i="62"/>
  <c r="AA573" i="62"/>
  <c r="A574" i="62"/>
  <c r="Z574" i="62"/>
  <c r="AA574" i="62"/>
  <c r="A575" i="62"/>
  <c r="Z575" i="62"/>
  <c r="AA575" i="62"/>
  <c r="A576" i="62"/>
  <c r="Z576" i="62"/>
  <c r="AA576" i="62"/>
  <c r="A577" i="62"/>
  <c r="Z577" i="62"/>
  <c r="AA577" i="62"/>
  <c r="A578" i="62"/>
  <c r="Z578" i="62"/>
  <c r="AA578" i="62"/>
  <c r="A579" i="62"/>
  <c r="Z579" i="62"/>
  <c r="AA579" i="62"/>
  <c r="A580" i="62"/>
  <c r="Z580" i="62"/>
  <c r="AA580" i="62"/>
  <c r="A581" i="62"/>
  <c r="Z581" i="62"/>
  <c r="AA581" i="62"/>
  <c r="A582" i="62"/>
  <c r="Z582" i="62"/>
  <c r="AA582" i="62"/>
  <c r="A583" i="62"/>
  <c r="Z583" i="62"/>
  <c r="AA583" i="62"/>
  <c r="A584" i="62"/>
  <c r="Z584" i="62"/>
  <c r="AA584" i="62"/>
  <c r="A585" i="62"/>
  <c r="Z585" i="62"/>
  <c r="AA585" i="62"/>
  <c r="A586" i="62"/>
  <c r="Z586" i="62"/>
  <c r="AA586" i="62"/>
  <c r="A587" i="62"/>
  <c r="Z587" i="62"/>
  <c r="AA587" i="62"/>
  <c r="A588" i="62"/>
  <c r="Z588" i="62"/>
  <c r="AA588" i="62"/>
  <c r="A589" i="62"/>
  <c r="Z589" i="62"/>
  <c r="AA589" i="62"/>
  <c r="A590" i="62"/>
  <c r="Z590" i="62"/>
  <c r="AA590" i="62"/>
  <c r="A591" i="62"/>
  <c r="Z591" i="62"/>
  <c r="AA591" i="62"/>
  <c r="A592" i="62"/>
  <c r="Z592" i="62"/>
  <c r="AA592" i="62"/>
  <c r="A593" i="62"/>
  <c r="Z593" i="62"/>
  <c r="AA593" i="62"/>
  <c r="A594" i="62"/>
  <c r="Z594" i="62"/>
  <c r="AA594" i="62"/>
  <c r="A595" i="62"/>
  <c r="Z595" i="62"/>
  <c r="AA595" i="62"/>
  <c r="A596" i="62"/>
  <c r="Z596" i="62"/>
  <c r="AA596" i="62"/>
  <c r="A597" i="62"/>
  <c r="Z597" i="62"/>
  <c r="AA597" i="62"/>
  <c r="A598" i="62"/>
  <c r="Z598" i="62"/>
  <c r="AA598" i="62"/>
  <c r="A599" i="62"/>
  <c r="Z599" i="62"/>
  <c r="AA599" i="62"/>
  <c r="A600" i="62"/>
  <c r="Z600" i="62"/>
  <c r="AA600" i="62"/>
  <c r="A601" i="62"/>
  <c r="Z601" i="62"/>
  <c r="AA601" i="62"/>
  <c r="A602" i="62"/>
  <c r="Z602" i="62"/>
  <c r="AA602" i="62"/>
  <c r="A603" i="62"/>
  <c r="Z603" i="62"/>
  <c r="AA603" i="62"/>
  <c r="A604" i="62"/>
  <c r="Z604" i="62"/>
  <c r="AA604" i="62"/>
  <c r="A605" i="62"/>
  <c r="Z605" i="62"/>
  <c r="AA605" i="62"/>
  <c r="A606" i="62"/>
  <c r="Z606" i="62"/>
  <c r="AA606" i="62"/>
  <c r="A607" i="62"/>
  <c r="Z607" i="62"/>
  <c r="AA607" i="62"/>
  <c r="A608" i="62"/>
  <c r="Z608" i="62"/>
  <c r="AA608" i="62"/>
  <c r="A609" i="62"/>
  <c r="Z609" i="62"/>
  <c r="AA609" i="62"/>
  <c r="A610" i="62"/>
  <c r="Z610" i="62"/>
  <c r="AA610" i="62"/>
  <c r="A611" i="62"/>
  <c r="Z611" i="62"/>
  <c r="AA611" i="62"/>
  <c r="A612" i="62"/>
  <c r="Z612" i="62"/>
  <c r="AA612" i="62"/>
  <c r="A613" i="62"/>
  <c r="Z613" i="62"/>
  <c r="AA613" i="62"/>
  <c r="A614" i="62"/>
  <c r="Z614" i="62"/>
  <c r="AA614" i="62"/>
  <c r="A615" i="62"/>
  <c r="Z615" i="62"/>
  <c r="AA615" i="62"/>
  <c r="A616" i="62"/>
  <c r="Z616" i="62"/>
  <c r="AA616" i="62"/>
  <c r="A617" i="62"/>
  <c r="Z617" i="62"/>
  <c r="AA617" i="62"/>
  <c r="A618" i="62"/>
  <c r="Z618" i="62"/>
  <c r="AA618" i="62"/>
  <c r="A619" i="62"/>
  <c r="Z619" i="62"/>
  <c r="AA619" i="62"/>
  <c r="A620" i="62"/>
  <c r="Z620" i="62"/>
  <c r="AA620" i="62"/>
  <c r="A621" i="62"/>
  <c r="Z621" i="62"/>
  <c r="AA621" i="62"/>
  <c r="A622" i="62"/>
  <c r="Z622" i="62"/>
  <c r="AA622" i="62"/>
  <c r="A623" i="62"/>
  <c r="Z623" i="62"/>
  <c r="AA623" i="62"/>
  <c r="A624" i="62"/>
  <c r="Z624" i="62"/>
  <c r="AA624" i="62"/>
  <c r="A625" i="62"/>
  <c r="Z625" i="62"/>
  <c r="AA625" i="62"/>
  <c r="A626" i="62"/>
  <c r="Z626" i="62"/>
  <c r="AA626" i="62"/>
  <c r="A627" i="62"/>
  <c r="Z627" i="62"/>
  <c r="AA627" i="62"/>
  <c r="A628" i="62"/>
  <c r="Z628" i="62"/>
  <c r="AA628" i="62"/>
  <c r="A629" i="62"/>
  <c r="Z629" i="62"/>
  <c r="AA629" i="62"/>
  <c r="A630" i="62"/>
  <c r="Z630" i="62"/>
  <c r="AA630" i="62"/>
  <c r="A631" i="62"/>
  <c r="Z631" i="62"/>
  <c r="AA631" i="62"/>
  <c r="A632" i="62"/>
  <c r="Z632" i="62"/>
  <c r="AA632" i="62"/>
  <c r="A633" i="62"/>
  <c r="Z633" i="62"/>
  <c r="AA633" i="62"/>
  <c r="A634" i="62"/>
  <c r="Z634" i="62"/>
  <c r="AA634" i="62"/>
  <c r="A635" i="62"/>
  <c r="Z635" i="62"/>
  <c r="AA635" i="62"/>
  <c r="A636" i="62"/>
  <c r="Z636" i="62"/>
  <c r="AA636" i="62"/>
  <c r="A637" i="62"/>
  <c r="Z637" i="62"/>
  <c r="AA637" i="62"/>
  <c r="A638" i="62"/>
  <c r="Z638" i="62"/>
  <c r="AA638" i="62"/>
  <c r="A639" i="62"/>
  <c r="Z639" i="62"/>
  <c r="AA639" i="62"/>
  <c r="A640" i="62"/>
  <c r="Z640" i="62"/>
  <c r="AA640" i="62"/>
  <c r="A641" i="62"/>
  <c r="Z641" i="62"/>
  <c r="AA641" i="62"/>
  <c r="A642" i="62"/>
  <c r="Z642" i="62"/>
  <c r="AA642" i="62"/>
  <c r="A643" i="62"/>
  <c r="Z643" i="62"/>
  <c r="AA643" i="62"/>
  <c r="A644" i="62"/>
  <c r="Z644" i="62"/>
  <c r="AA644" i="62"/>
  <c r="A645" i="62"/>
  <c r="Z645" i="62"/>
  <c r="AA645" i="62"/>
  <c r="A646" i="62"/>
  <c r="Z646" i="62"/>
  <c r="AA646" i="62"/>
  <c r="A647" i="62"/>
  <c r="Z647" i="62"/>
  <c r="AA647" i="62"/>
  <c r="A648" i="62"/>
  <c r="Z648" i="62"/>
  <c r="AA648" i="62"/>
  <c r="A649" i="62"/>
  <c r="Z649" i="62"/>
  <c r="AA649" i="62"/>
  <c r="A650" i="62"/>
  <c r="Z650" i="62"/>
  <c r="AA650" i="62"/>
  <c r="A651" i="62"/>
  <c r="Z651" i="62"/>
  <c r="AA651" i="62"/>
  <c r="A652" i="62"/>
  <c r="Z652" i="62"/>
  <c r="AA652" i="62"/>
  <c r="A653" i="62"/>
  <c r="Z653" i="62"/>
  <c r="AA653" i="62"/>
  <c r="A654" i="62"/>
  <c r="Z654" i="62"/>
  <c r="AA654" i="62"/>
  <c r="A655" i="62"/>
  <c r="Z655" i="62"/>
  <c r="AA655" i="62"/>
  <c r="A656" i="62"/>
  <c r="Z656" i="62"/>
  <c r="AA656" i="62"/>
  <c r="A657" i="62"/>
  <c r="Z657" i="62"/>
  <c r="AA657" i="62"/>
  <c r="A658" i="62"/>
  <c r="Z658" i="62"/>
  <c r="AA658" i="62"/>
  <c r="A659" i="62"/>
  <c r="Z659" i="62"/>
  <c r="AA659" i="62"/>
  <c r="A660" i="62"/>
  <c r="Z660" i="62"/>
  <c r="AA660" i="62"/>
  <c r="A661" i="62"/>
  <c r="Z661" i="62"/>
  <c r="AA661" i="62"/>
  <c r="A662" i="62"/>
  <c r="Z662" i="62"/>
  <c r="AA662" i="62"/>
  <c r="A663" i="62"/>
  <c r="Z663" i="62"/>
  <c r="AA663" i="62"/>
  <c r="A664" i="62"/>
  <c r="Z664" i="62"/>
  <c r="AA664" i="62"/>
  <c r="A665" i="62"/>
  <c r="Z665" i="62"/>
  <c r="AA665" i="62"/>
  <c r="A666" i="62"/>
  <c r="Z666" i="62"/>
  <c r="AA666" i="62"/>
  <c r="A667" i="62"/>
  <c r="Z667" i="62"/>
  <c r="AA667" i="62"/>
  <c r="A668" i="62"/>
  <c r="Z668" i="62"/>
  <c r="AA668" i="62"/>
  <c r="A669" i="62"/>
  <c r="Z669" i="62"/>
  <c r="AA669" i="62"/>
  <c r="A670" i="62"/>
  <c r="Z670" i="62"/>
  <c r="AA670" i="62"/>
  <c r="A671" i="62"/>
  <c r="Z671" i="62"/>
  <c r="AA671" i="62"/>
  <c r="A672" i="62"/>
  <c r="Z672" i="62"/>
  <c r="AA672" i="62"/>
  <c r="A673" i="62"/>
  <c r="Z673" i="62"/>
  <c r="AA673" i="62"/>
  <c r="A674" i="62"/>
  <c r="Z674" i="62"/>
  <c r="AA674" i="62"/>
  <c r="A675" i="62"/>
  <c r="Z675" i="62"/>
  <c r="AA675" i="62"/>
  <c r="A676" i="62"/>
  <c r="Z676" i="62"/>
  <c r="AA676" i="62"/>
  <c r="A677" i="62"/>
  <c r="Z677" i="62"/>
  <c r="AA677" i="62"/>
  <c r="A678" i="62"/>
  <c r="Z678" i="62"/>
  <c r="AA678" i="62"/>
  <c r="A679" i="62"/>
  <c r="Z679" i="62"/>
  <c r="AA679" i="62"/>
  <c r="A680" i="62"/>
  <c r="Z680" i="62"/>
  <c r="AA680" i="62"/>
  <c r="A681" i="62"/>
  <c r="Z681" i="62"/>
  <c r="AA681" i="62"/>
  <c r="A682" i="62"/>
  <c r="Z682" i="62"/>
  <c r="AA682" i="62"/>
  <c r="A683" i="62"/>
  <c r="Z683" i="62"/>
  <c r="AA683" i="62"/>
  <c r="A684" i="62"/>
  <c r="Z684" i="62"/>
  <c r="AA684" i="62"/>
  <c r="A685" i="62"/>
  <c r="Z685" i="62"/>
  <c r="AA685" i="62"/>
  <c r="A686" i="62"/>
  <c r="Z686" i="62"/>
  <c r="AA686" i="62"/>
  <c r="A687" i="62"/>
  <c r="Z687" i="62"/>
  <c r="AA687" i="62"/>
  <c r="A688" i="62"/>
  <c r="Z688" i="62"/>
  <c r="AA688" i="62"/>
  <c r="A689" i="62"/>
  <c r="Z689" i="62"/>
  <c r="AA689" i="62"/>
  <c r="A690" i="62"/>
  <c r="Z690" i="62"/>
  <c r="AA690" i="62"/>
  <c r="A691" i="62"/>
  <c r="Z691" i="62"/>
  <c r="AA691" i="62"/>
  <c r="A692" i="62"/>
  <c r="Z692" i="62"/>
  <c r="AA692" i="62"/>
  <c r="A693" i="62"/>
  <c r="Z693" i="62"/>
  <c r="AA693" i="62"/>
  <c r="A694" i="62"/>
  <c r="Z694" i="62"/>
  <c r="AA694" i="62"/>
  <c r="A695" i="62"/>
  <c r="Z695" i="62"/>
  <c r="AA695" i="62"/>
  <c r="A696" i="62"/>
  <c r="Z696" i="62"/>
  <c r="AA696" i="62"/>
  <c r="A697" i="62"/>
  <c r="Z697" i="62"/>
  <c r="AA697" i="62"/>
  <c r="A698" i="62"/>
  <c r="Z698" i="62"/>
  <c r="AA698" i="62"/>
  <c r="A699" i="62"/>
  <c r="Z699" i="62"/>
  <c r="AA699" i="62"/>
  <c r="A700" i="62"/>
  <c r="Z700" i="62"/>
  <c r="AA700" i="62"/>
  <c r="A701" i="62"/>
  <c r="Z701" i="62"/>
  <c r="AA701" i="62"/>
  <c r="A702" i="62"/>
  <c r="Z702" i="62"/>
  <c r="AA702" i="62"/>
  <c r="A703" i="62"/>
  <c r="Z703" i="62"/>
  <c r="AA703" i="62"/>
  <c r="A704" i="62"/>
  <c r="Z704" i="62"/>
  <c r="AA704" i="62"/>
  <c r="A705" i="62"/>
  <c r="Z705" i="62"/>
  <c r="AA705" i="62"/>
  <c r="A706" i="62"/>
  <c r="Z706" i="62"/>
  <c r="AA706" i="62"/>
  <c r="A707" i="62"/>
  <c r="Z707" i="62"/>
  <c r="AA707" i="62"/>
  <c r="A708" i="62"/>
  <c r="Z708" i="62"/>
  <c r="AA708" i="62"/>
  <c r="A709" i="62"/>
  <c r="Z709" i="62"/>
  <c r="AA709" i="62"/>
  <c r="A710" i="62"/>
  <c r="Z710" i="62"/>
  <c r="AA710" i="62"/>
  <c r="A711" i="62"/>
  <c r="Z711" i="62"/>
  <c r="AA711" i="62"/>
  <c r="A712" i="62"/>
  <c r="Z712" i="62"/>
  <c r="AA712" i="62"/>
  <c r="A713" i="62"/>
  <c r="Z713" i="62"/>
  <c r="AA713" i="62"/>
  <c r="A714" i="62"/>
  <c r="Z714" i="62"/>
  <c r="AA714" i="62"/>
  <c r="A715" i="62"/>
  <c r="Z715" i="62"/>
  <c r="AA715" i="62"/>
  <c r="A716" i="62"/>
  <c r="Z716" i="62"/>
  <c r="AA716" i="62"/>
  <c r="A717" i="62"/>
  <c r="Z717" i="62"/>
  <c r="AA717" i="62"/>
  <c r="A718" i="62"/>
  <c r="Z718" i="62"/>
  <c r="AA718" i="62"/>
  <c r="A719" i="62"/>
  <c r="Z719" i="62"/>
  <c r="AA719" i="62"/>
  <c r="A720" i="62"/>
  <c r="Z720" i="62"/>
  <c r="AA720" i="62"/>
  <c r="A721" i="62"/>
  <c r="Z721" i="62"/>
  <c r="AA721" i="62"/>
  <c r="A722" i="62"/>
  <c r="Z722" i="62"/>
  <c r="AA722" i="62"/>
  <c r="A723" i="62"/>
  <c r="Z723" i="62"/>
  <c r="AA723" i="62"/>
  <c r="A724" i="62"/>
  <c r="Z724" i="62"/>
  <c r="AA724" i="62"/>
  <c r="A725" i="62"/>
  <c r="Z725" i="62"/>
  <c r="AA725" i="62"/>
  <c r="A726" i="62"/>
  <c r="Z726" i="62"/>
  <c r="AA726" i="62"/>
  <c r="A727" i="62"/>
  <c r="Z727" i="62"/>
  <c r="AA727" i="62"/>
  <c r="A728" i="62"/>
  <c r="Z728" i="62"/>
  <c r="AA728" i="62"/>
  <c r="A729" i="62"/>
  <c r="Z729" i="62"/>
  <c r="AA729" i="62"/>
  <c r="A730" i="62"/>
  <c r="Z730" i="62"/>
  <c r="AA730" i="62"/>
  <c r="A731" i="62"/>
  <c r="Z731" i="62"/>
  <c r="AA731" i="62"/>
  <c r="A732" i="62"/>
  <c r="Z732" i="62"/>
  <c r="AA732" i="62"/>
  <c r="A733" i="62"/>
  <c r="Z733" i="62"/>
  <c r="AA733" i="62"/>
  <c r="A734" i="62"/>
  <c r="Z734" i="62"/>
  <c r="AA734" i="62"/>
  <c r="A735" i="62"/>
  <c r="Z735" i="62"/>
  <c r="AA735" i="62"/>
  <c r="A736" i="62"/>
  <c r="Z736" i="62"/>
  <c r="AA736" i="62"/>
  <c r="A737" i="62"/>
  <c r="Z737" i="62"/>
  <c r="AA737" i="62"/>
  <c r="A738" i="62"/>
  <c r="Z738" i="62"/>
  <c r="AA738" i="62"/>
  <c r="A739" i="62"/>
  <c r="Z739" i="62"/>
  <c r="AA739" i="62"/>
  <c r="A740" i="62"/>
  <c r="Z740" i="62"/>
  <c r="AA740" i="62"/>
  <c r="A741" i="62"/>
  <c r="Z741" i="62"/>
  <c r="AA741" i="62"/>
  <c r="A742" i="62"/>
  <c r="Z742" i="62"/>
  <c r="AA742" i="62"/>
  <c r="A743" i="62"/>
  <c r="Z743" i="62"/>
  <c r="AA743" i="62"/>
  <c r="A744" i="62"/>
  <c r="Z744" i="62"/>
  <c r="AA744" i="62"/>
  <c r="A745" i="62"/>
  <c r="Z745" i="62"/>
  <c r="AA745" i="62"/>
  <c r="A746" i="62"/>
  <c r="Z746" i="62"/>
  <c r="AA746" i="62"/>
  <c r="A747" i="62"/>
  <c r="Z747" i="62"/>
  <c r="AA747" i="62"/>
  <c r="A748" i="62"/>
  <c r="Z748" i="62"/>
  <c r="AA748" i="62"/>
  <c r="A749" i="62"/>
  <c r="Z749" i="62"/>
  <c r="AA749" i="62"/>
  <c r="A750" i="62"/>
  <c r="Z750" i="62"/>
  <c r="AA750" i="62"/>
  <c r="A751" i="62"/>
  <c r="Z751" i="62"/>
  <c r="AA751" i="62"/>
  <c r="A752" i="62"/>
  <c r="Z752" i="62"/>
  <c r="AA752" i="62"/>
  <c r="A753" i="62"/>
  <c r="Z753" i="62"/>
  <c r="AA753" i="62"/>
  <c r="A754" i="62"/>
  <c r="Z754" i="62"/>
  <c r="AA754" i="62"/>
  <c r="A755" i="62"/>
  <c r="Z755" i="62"/>
  <c r="AA755" i="62"/>
  <c r="A756" i="62"/>
  <c r="Z756" i="62"/>
  <c r="AA756" i="62"/>
  <c r="A757" i="62"/>
  <c r="Z757" i="62"/>
  <c r="AA757" i="62"/>
  <c r="A758" i="62"/>
  <c r="Z758" i="62"/>
  <c r="AA758" i="62"/>
  <c r="A759" i="62"/>
  <c r="Z759" i="62"/>
  <c r="AA759" i="62"/>
  <c r="A760" i="62"/>
  <c r="Z760" i="62"/>
  <c r="AA760" i="62"/>
  <c r="A761" i="62"/>
  <c r="Z761" i="62"/>
  <c r="AA761" i="62"/>
  <c r="A762" i="62"/>
  <c r="Z762" i="62"/>
  <c r="AA762" i="62"/>
  <c r="A763" i="62"/>
  <c r="Z763" i="62"/>
  <c r="AA763" i="62"/>
  <c r="A764" i="62"/>
  <c r="Z764" i="62"/>
  <c r="AA764" i="62"/>
  <c r="A765" i="62"/>
  <c r="Z765" i="62"/>
  <c r="AA765" i="62"/>
  <c r="A766" i="62"/>
  <c r="Z766" i="62"/>
  <c r="AA766" i="62"/>
  <c r="A767" i="62"/>
  <c r="Z767" i="62"/>
  <c r="AA767" i="62"/>
  <c r="A768" i="62"/>
  <c r="Z768" i="62"/>
  <c r="AA768" i="62"/>
  <c r="A769" i="62"/>
  <c r="Z769" i="62"/>
  <c r="AA769" i="62"/>
  <c r="A770" i="62"/>
  <c r="Z770" i="62"/>
  <c r="AA770" i="62"/>
  <c r="A771" i="62"/>
  <c r="Z771" i="62"/>
  <c r="AA771" i="62"/>
  <c r="A772" i="62"/>
  <c r="Z772" i="62"/>
  <c r="AA772" i="62"/>
  <c r="A773" i="62"/>
  <c r="Z773" i="62"/>
  <c r="AA773" i="62"/>
  <c r="A774" i="62"/>
  <c r="Z774" i="62"/>
  <c r="AA774" i="62"/>
  <c r="A775" i="62"/>
  <c r="Z775" i="62"/>
  <c r="AA775" i="62"/>
  <c r="A776" i="62"/>
  <c r="Z776" i="62"/>
  <c r="AA776" i="62"/>
  <c r="A777" i="62"/>
  <c r="Z777" i="62"/>
  <c r="AA777" i="62"/>
  <c r="A778" i="62"/>
  <c r="Z778" i="62"/>
  <c r="AA778" i="62"/>
  <c r="A779" i="62"/>
  <c r="Z779" i="62"/>
  <c r="AA779" i="62"/>
  <c r="A780" i="62"/>
  <c r="Z780" i="62"/>
  <c r="AA780" i="62"/>
  <c r="A781" i="62"/>
  <c r="Z781" i="62"/>
  <c r="AA781" i="62"/>
  <c r="A782" i="62"/>
  <c r="Z782" i="62"/>
  <c r="AA782" i="62"/>
  <c r="A783" i="62"/>
  <c r="Z783" i="62"/>
  <c r="AA783" i="62"/>
  <c r="A784" i="62"/>
  <c r="Z784" i="62"/>
  <c r="AA784" i="62"/>
  <c r="A785" i="62"/>
  <c r="Z785" i="62"/>
  <c r="AA785" i="62"/>
  <c r="A786" i="62"/>
  <c r="Z786" i="62"/>
  <c r="AA786" i="62"/>
  <c r="A787" i="62"/>
  <c r="Z787" i="62"/>
  <c r="AA787" i="62"/>
  <c r="A788" i="62"/>
  <c r="Z788" i="62"/>
  <c r="AA788" i="62"/>
  <c r="A789" i="62"/>
  <c r="Z789" i="62"/>
  <c r="AA789" i="62"/>
  <c r="A790" i="62"/>
  <c r="Z790" i="62"/>
  <c r="AA790" i="62"/>
  <c r="A791" i="62"/>
  <c r="Z791" i="62"/>
  <c r="AA791" i="62"/>
  <c r="A792" i="62"/>
  <c r="Z792" i="62"/>
  <c r="AA792" i="62"/>
  <c r="A793" i="62"/>
  <c r="Z793" i="62"/>
  <c r="AA793" i="62"/>
  <c r="A794" i="62"/>
  <c r="Z794" i="62"/>
  <c r="AA794" i="62"/>
  <c r="A795" i="62"/>
  <c r="Z795" i="62"/>
  <c r="AA795" i="62"/>
  <c r="A796" i="62"/>
  <c r="Z796" i="62"/>
  <c r="AA796" i="62"/>
  <c r="A797" i="62"/>
  <c r="Z797" i="62"/>
  <c r="AA797" i="62"/>
  <c r="A798" i="62"/>
  <c r="Z798" i="62"/>
  <c r="AA798" i="62"/>
  <c r="A799" i="62"/>
  <c r="Z799" i="62"/>
  <c r="AA799" i="62"/>
  <c r="A800" i="62"/>
  <c r="Z800" i="62"/>
  <c r="AA800" i="62"/>
  <c r="A801" i="62"/>
  <c r="Z801" i="62"/>
  <c r="AA801" i="62"/>
  <c r="A802" i="62"/>
  <c r="Z802" i="62"/>
  <c r="AA802" i="62"/>
  <c r="A803" i="62"/>
  <c r="Z803" i="62"/>
  <c r="AA803" i="62"/>
  <c r="A804" i="62"/>
  <c r="Z804" i="62"/>
  <c r="AA804" i="62"/>
  <c r="A805" i="62"/>
  <c r="Z805" i="62"/>
  <c r="AA805" i="62"/>
  <c r="A806" i="62"/>
  <c r="Z806" i="62"/>
  <c r="AA806" i="62"/>
  <c r="A807" i="62"/>
  <c r="Z807" i="62"/>
  <c r="AA807" i="62"/>
  <c r="A808" i="62"/>
  <c r="Z808" i="62"/>
  <c r="AA808" i="62"/>
  <c r="A809" i="62"/>
  <c r="Z809" i="62"/>
  <c r="AA809" i="62"/>
  <c r="A810" i="62"/>
  <c r="Z810" i="62"/>
  <c r="AA810" i="62"/>
  <c r="A811" i="62"/>
  <c r="Z811" i="62"/>
  <c r="AA811" i="62"/>
  <c r="A812" i="62"/>
  <c r="Z812" i="62"/>
  <c r="AA812" i="62"/>
  <c r="A813" i="62"/>
  <c r="Z813" i="62"/>
  <c r="AA813" i="62"/>
  <c r="A814" i="62"/>
  <c r="Z814" i="62"/>
  <c r="AA814" i="62"/>
  <c r="A815" i="62"/>
  <c r="Z815" i="62"/>
  <c r="AA815" i="62"/>
  <c r="A816" i="62"/>
  <c r="Z816" i="62"/>
  <c r="AA816" i="62"/>
  <c r="A817" i="62"/>
  <c r="Z817" i="62"/>
  <c r="AA817" i="62"/>
  <c r="A818" i="62"/>
  <c r="Z818" i="62"/>
  <c r="AA818" i="62"/>
  <c r="A819" i="62"/>
  <c r="Z819" i="62"/>
  <c r="AA819" i="62"/>
  <c r="A820" i="62"/>
  <c r="Z820" i="62"/>
  <c r="AA820" i="62"/>
  <c r="A821" i="62"/>
  <c r="Z821" i="62"/>
  <c r="AA821" i="62"/>
  <c r="A822" i="62"/>
  <c r="Z822" i="62"/>
  <c r="AA822" i="62"/>
  <c r="A823" i="62"/>
  <c r="Z823" i="62"/>
  <c r="AA823" i="62"/>
  <c r="A824" i="62"/>
  <c r="Z824" i="62"/>
  <c r="AA824" i="62"/>
  <c r="A825" i="62"/>
  <c r="Z825" i="62"/>
  <c r="AA825" i="62"/>
  <c r="A826" i="62"/>
  <c r="Z826" i="62"/>
  <c r="AA826" i="62"/>
  <c r="A827" i="62"/>
  <c r="Z827" i="62"/>
  <c r="AA827" i="62"/>
  <c r="A828" i="62"/>
  <c r="Z828" i="62"/>
  <c r="AA828" i="62"/>
  <c r="A829" i="62"/>
  <c r="Z829" i="62"/>
  <c r="AA829" i="62"/>
  <c r="A830" i="62"/>
  <c r="Z830" i="62"/>
  <c r="AA830" i="62"/>
  <c r="A831" i="62"/>
  <c r="Z831" i="62"/>
  <c r="AA831" i="62"/>
  <c r="A832" i="62"/>
  <c r="Z832" i="62"/>
  <c r="AA832" i="62"/>
  <c r="A833" i="62"/>
  <c r="Z833" i="62"/>
  <c r="AA833" i="62"/>
  <c r="A834" i="62"/>
  <c r="Z834" i="62"/>
  <c r="AA834" i="62"/>
  <c r="A835" i="62"/>
  <c r="Z835" i="62"/>
  <c r="AA835" i="62"/>
  <c r="A836" i="62"/>
  <c r="Z836" i="62"/>
  <c r="AA836" i="62"/>
  <c r="A837" i="62"/>
  <c r="Z837" i="62"/>
  <c r="AA837" i="62"/>
  <c r="A838" i="62"/>
  <c r="Z838" i="62"/>
  <c r="AA838" i="62"/>
  <c r="A839" i="62"/>
  <c r="Z839" i="62"/>
  <c r="AA839" i="62"/>
  <c r="A840" i="62"/>
  <c r="Z840" i="62"/>
  <c r="AA840" i="62"/>
  <c r="A841" i="62"/>
  <c r="Z841" i="62"/>
  <c r="AA841" i="62"/>
  <c r="A842" i="62"/>
  <c r="Z842" i="62"/>
  <c r="AA842" i="62"/>
  <c r="A843" i="62"/>
  <c r="Z843" i="62"/>
  <c r="AA843" i="62"/>
  <c r="A844" i="62"/>
  <c r="Z844" i="62"/>
  <c r="AA844" i="62"/>
  <c r="A845" i="62"/>
  <c r="Z845" i="62"/>
  <c r="AA845" i="62"/>
  <c r="A846" i="62"/>
  <c r="Z846" i="62"/>
  <c r="AA846" i="62"/>
  <c r="A847" i="62"/>
  <c r="Z847" i="62"/>
  <c r="AA847" i="62"/>
  <c r="A848" i="62"/>
  <c r="Z848" i="62"/>
  <c r="AA848" i="62"/>
  <c r="A849" i="62"/>
  <c r="Z849" i="62"/>
  <c r="AA849" i="62"/>
  <c r="A850" i="62"/>
  <c r="Z850" i="62"/>
  <c r="AA850" i="62"/>
  <c r="A851" i="62"/>
  <c r="Z851" i="62"/>
  <c r="AA851" i="62"/>
  <c r="A852" i="62"/>
  <c r="Z852" i="62"/>
  <c r="AA852" i="62"/>
  <c r="A853" i="62"/>
  <c r="Z853" i="62"/>
  <c r="AA853" i="62"/>
  <c r="A854" i="62"/>
  <c r="Z854" i="62"/>
  <c r="AA854" i="62"/>
  <c r="A855" i="62"/>
  <c r="Z855" i="62"/>
  <c r="AA855" i="62"/>
  <c r="A856" i="62"/>
  <c r="Z856" i="62"/>
  <c r="AA856" i="62"/>
  <c r="A857" i="62"/>
  <c r="Z857" i="62"/>
  <c r="AA857" i="62"/>
  <c r="A858" i="62"/>
  <c r="Z858" i="62"/>
  <c r="AA858" i="62"/>
  <c r="A859" i="62"/>
  <c r="Z859" i="62"/>
  <c r="AA859" i="62"/>
  <c r="A860" i="62"/>
  <c r="Z860" i="62"/>
  <c r="AA860" i="62"/>
  <c r="A861" i="62"/>
  <c r="Z861" i="62"/>
  <c r="AA861" i="62"/>
  <c r="A862" i="62"/>
  <c r="Z862" i="62"/>
  <c r="AA862" i="62"/>
  <c r="A863" i="62"/>
  <c r="Z863" i="62"/>
  <c r="AA863" i="62"/>
  <c r="A864" i="62"/>
  <c r="Z864" i="62"/>
  <c r="AA864" i="62"/>
  <c r="A865" i="62"/>
  <c r="Z865" i="62"/>
  <c r="AA865" i="62"/>
  <c r="A866" i="62"/>
  <c r="Z866" i="62"/>
  <c r="AA866" i="62"/>
  <c r="A867" i="62"/>
  <c r="Z867" i="62"/>
  <c r="AA867" i="62"/>
  <c r="A868" i="62"/>
  <c r="Z868" i="62"/>
  <c r="AA868" i="62"/>
  <c r="A869" i="62"/>
  <c r="Z869" i="62"/>
  <c r="AA869" i="62"/>
  <c r="A870" i="62"/>
  <c r="Z870" i="62"/>
  <c r="AA870" i="62"/>
  <c r="A871" i="62"/>
  <c r="Z871" i="62"/>
  <c r="AA871" i="62"/>
  <c r="A872" i="62"/>
  <c r="Z872" i="62"/>
  <c r="AA872" i="62"/>
  <c r="A873" i="62"/>
  <c r="Z873" i="62"/>
  <c r="AA873" i="62"/>
  <c r="A874" i="62"/>
  <c r="Z874" i="62"/>
  <c r="AA874" i="62"/>
  <c r="A875" i="62"/>
  <c r="Z875" i="62"/>
  <c r="AA875" i="62"/>
  <c r="A876" i="62"/>
  <c r="Z876" i="62"/>
  <c r="AA876" i="62"/>
  <c r="A877" i="62"/>
  <c r="Z877" i="62"/>
  <c r="AA877" i="62"/>
  <c r="A878" i="62"/>
  <c r="Z878" i="62"/>
  <c r="AA878" i="62"/>
  <c r="A879" i="62"/>
  <c r="Z879" i="62"/>
  <c r="AA879" i="62"/>
  <c r="A880" i="62"/>
  <c r="Z880" i="62"/>
  <c r="AA880" i="62"/>
  <c r="A881" i="62"/>
  <c r="Z881" i="62"/>
  <c r="AA881" i="62"/>
  <c r="A882" i="62"/>
  <c r="Z882" i="62"/>
  <c r="AA882" i="62"/>
  <c r="A883" i="62"/>
  <c r="Z883" i="62"/>
  <c r="AA883" i="62"/>
  <c r="A884" i="62"/>
  <c r="Z884" i="62"/>
  <c r="AA884" i="62"/>
  <c r="A885" i="62"/>
  <c r="Z885" i="62"/>
  <c r="AA885" i="62"/>
  <c r="A886" i="62"/>
  <c r="Z886" i="62"/>
  <c r="AA886" i="62"/>
  <c r="A887" i="62"/>
  <c r="Z887" i="62"/>
  <c r="AA887" i="62"/>
  <c r="A888" i="62"/>
  <c r="Z888" i="62"/>
  <c r="AA888" i="62"/>
  <c r="A889" i="62"/>
  <c r="Z889" i="62"/>
  <c r="AA889" i="62"/>
  <c r="A890" i="62"/>
  <c r="Z890" i="62"/>
  <c r="AA890" i="62"/>
  <c r="A891" i="62"/>
  <c r="Z891" i="62"/>
  <c r="AA891" i="62"/>
  <c r="A892" i="62"/>
  <c r="Z892" i="62"/>
  <c r="AA892" i="62"/>
  <c r="A893" i="62"/>
  <c r="Z893" i="62"/>
  <c r="AA893" i="62"/>
  <c r="A894" i="62"/>
  <c r="Z894" i="62"/>
  <c r="AA894" i="62"/>
  <c r="A895" i="62"/>
  <c r="Z895" i="62"/>
  <c r="AA895" i="62"/>
  <c r="A896" i="62"/>
  <c r="Z896" i="62"/>
  <c r="AA896" i="62"/>
  <c r="A897" i="62"/>
  <c r="Z897" i="62"/>
  <c r="AA897" i="62"/>
  <c r="A898" i="62"/>
  <c r="Z898" i="62"/>
  <c r="AA898" i="62"/>
  <c r="A899" i="62"/>
  <c r="Z899" i="62"/>
  <c r="AA899" i="62"/>
  <c r="A900" i="62"/>
  <c r="Z900" i="62"/>
  <c r="AA900" i="62"/>
  <c r="A901" i="62"/>
  <c r="Z901" i="62"/>
  <c r="AA901" i="62"/>
  <c r="A902" i="62"/>
  <c r="Z902" i="62"/>
  <c r="AA902" i="62"/>
  <c r="A903" i="62"/>
  <c r="Z903" i="62"/>
  <c r="AA903" i="62"/>
  <c r="A904" i="62"/>
  <c r="Z904" i="62"/>
  <c r="AA904" i="62"/>
  <c r="A905" i="62"/>
  <c r="Z905" i="62"/>
  <c r="AA905" i="62"/>
  <c r="A906" i="62"/>
  <c r="Z906" i="62"/>
  <c r="AA906" i="62"/>
  <c r="A907" i="62"/>
  <c r="Z907" i="62"/>
  <c r="AA907" i="62"/>
  <c r="A908" i="62"/>
  <c r="Z908" i="62"/>
  <c r="AA908" i="62"/>
  <c r="A909" i="62"/>
  <c r="Z909" i="62"/>
  <c r="AA909" i="62"/>
  <c r="A910" i="62"/>
  <c r="Z910" i="62"/>
  <c r="AA910" i="62"/>
  <c r="A911" i="62"/>
  <c r="Z911" i="62"/>
  <c r="AA911" i="62"/>
  <c r="A912" i="62"/>
  <c r="Z912" i="62"/>
  <c r="AA912" i="62"/>
  <c r="A913" i="62"/>
  <c r="Z913" i="62"/>
  <c r="AA913" i="62"/>
  <c r="A914" i="62"/>
  <c r="Z914" i="62"/>
  <c r="AA914" i="62"/>
  <c r="A915" i="62"/>
  <c r="Z915" i="62"/>
  <c r="AA915" i="62"/>
  <c r="A916" i="62"/>
  <c r="Z916" i="62"/>
  <c r="AA916" i="62"/>
  <c r="A917" i="62"/>
  <c r="Z917" i="62"/>
  <c r="AA917" i="62"/>
  <c r="A918" i="62"/>
  <c r="Z918" i="62"/>
  <c r="AA918" i="62"/>
  <c r="A919" i="62"/>
  <c r="Z919" i="62"/>
  <c r="AA919" i="62"/>
  <c r="A920" i="62"/>
  <c r="Z920" i="62"/>
  <c r="AA920" i="62"/>
  <c r="A921" i="62"/>
  <c r="Z921" i="62"/>
  <c r="AA921" i="62"/>
  <c r="A922" i="62"/>
  <c r="Z922" i="62"/>
  <c r="AA922" i="62"/>
  <c r="A923" i="62"/>
  <c r="Z923" i="62"/>
  <c r="AA923" i="62"/>
  <c r="A924" i="62"/>
  <c r="Z924" i="62"/>
  <c r="AA924" i="62"/>
  <c r="A925" i="62"/>
  <c r="Z925" i="62"/>
  <c r="AA925" i="62"/>
  <c r="A926" i="62"/>
  <c r="Z926" i="62"/>
  <c r="AA926" i="62"/>
  <c r="A927" i="62"/>
  <c r="Z927" i="62"/>
  <c r="AA927" i="62"/>
  <c r="A928" i="62"/>
  <c r="Z928" i="62"/>
  <c r="AA928" i="62"/>
  <c r="A929" i="62"/>
  <c r="Z929" i="62"/>
  <c r="AA929" i="62"/>
  <c r="A930" i="62"/>
  <c r="Z930" i="62"/>
  <c r="AA930" i="62"/>
  <c r="A931" i="62"/>
  <c r="Z931" i="62"/>
  <c r="AA931" i="62"/>
  <c r="A932" i="62"/>
  <c r="Z932" i="62"/>
  <c r="AA932" i="62"/>
  <c r="A933" i="62"/>
  <c r="Z933" i="62"/>
  <c r="AA933" i="62"/>
  <c r="A934" i="62"/>
  <c r="Z934" i="62"/>
  <c r="AA934" i="62"/>
  <c r="A935" i="62"/>
  <c r="Z935" i="62"/>
  <c r="AA935" i="62"/>
  <c r="A936" i="62"/>
  <c r="Z936" i="62"/>
  <c r="AA936" i="62"/>
  <c r="A937" i="62"/>
  <c r="Z937" i="62"/>
  <c r="AA937" i="62"/>
  <c r="A938" i="62"/>
  <c r="Z938" i="62"/>
  <c r="AA938" i="62"/>
  <c r="A939" i="62"/>
  <c r="Z939" i="62"/>
  <c r="AA939" i="62"/>
  <c r="A940" i="62"/>
  <c r="Z940" i="62"/>
  <c r="AA940" i="62"/>
  <c r="A941" i="62"/>
  <c r="Z941" i="62"/>
  <c r="AA941" i="62"/>
  <c r="A942" i="62"/>
  <c r="Z942" i="62"/>
  <c r="AA942" i="62"/>
  <c r="A943" i="62"/>
  <c r="Z943" i="62"/>
  <c r="AA943" i="62"/>
  <c r="A944" i="62"/>
  <c r="Z944" i="62"/>
  <c r="AA944" i="62"/>
  <c r="A945" i="62"/>
  <c r="Z945" i="62"/>
  <c r="AA945" i="62"/>
  <c r="A946" i="62"/>
  <c r="Z946" i="62"/>
  <c r="AA946" i="62"/>
  <c r="A947" i="62"/>
  <c r="Z947" i="62"/>
  <c r="AA947" i="62"/>
  <c r="A948" i="62"/>
  <c r="Z948" i="62"/>
  <c r="AA948" i="62"/>
  <c r="A949" i="62"/>
  <c r="Z949" i="62"/>
  <c r="AA949" i="62"/>
  <c r="A950" i="62"/>
  <c r="Z950" i="62"/>
  <c r="AA950" i="62"/>
  <c r="A951" i="62"/>
  <c r="Z951" i="62"/>
  <c r="AA951" i="62"/>
  <c r="A952" i="62"/>
  <c r="Z952" i="62"/>
  <c r="AA952" i="62"/>
  <c r="A953" i="62"/>
  <c r="Z953" i="62"/>
  <c r="AA953" i="62"/>
  <c r="A954" i="62"/>
  <c r="Z954" i="62"/>
  <c r="AA954" i="62"/>
  <c r="A955" i="62"/>
  <c r="Z955" i="62"/>
  <c r="AA955" i="62"/>
  <c r="A956" i="62"/>
  <c r="Z956" i="62"/>
  <c r="AA956" i="62"/>
  <c r="A957" i="62"/>
  <c r="Z957" i="62"/>
  <c r="AA957" i="62"/>
  <c r="A958" i="62"/>
  <c r="Z958" i="62"/>
  <c r="AA958" i="62"/>
  <c r="A959" i="62"/>
  <c r="Z959" i="62"/>
  <c r="AA959" i="62"/>
  <c r="A960" i="62"/>
  <c r="Z960" i="62"/>
  <c r="AA960" i="62"/>
  <c r="A961" i="62"/>
  <c r="Z961" i="62"/>
  <c r="AA961" i="62"/>
  <c r="A962" i="62"/>
  <c r="Z962" i="62"/>
  <c r="AA962" i="62"/>
  <c r="A963" i="62"/>
  <c r="Z963" i="62"/>
  <c r="AA963" i="62"/>
  <c r="A964" i="62"/>
  <c r="Z964" i="62"/>
  <c r="AA964" i="62"/>
  <c r="A965" i="62"/>
  <c r="Z965" i="62"/>
  <c r="AA965" i="62"/>
  <c r="A966" i="62"/>
  <c r="Z966" i="62"/>
  <c r="AA966" i="62"/>
  <c r="A967" i="62"/>
  <c r="Z967" i="62"/>
  <c r="AA967" i="62"/>
  <c r="A968" i="62"/>
  <c r="Z968" i="62"/>
  <c r="AA968" i="62"/>
  <c r="A969" i="62"/>
  <c r="Z969" i="62"/>
  <c r="AA969" i="62"/>
  <c r="A970" i="62"/>
  <c r="Z970" i="62"/>
  <c r="AA970" i="62"/>
  <c r="A971" i="62"/>
  <c r="Z971" i="62"/>
  <c r="AA971" i="62"/>
  <c r="A972" i="62"/>
  <c r="Z972" i="62"/>
  <c r="AA972" i="62"/>
  <c r="A973" i="62"/>
  <c r="Z973" i="62"/>
  <c r="AA973" i="62"/>
  <c r="A974" i="62"/>
  <c r="Z974" i="62"/>
  <c r="AA974" i="62"/>
  <c r="A975" i="62"/>
  <c r="Z975" i="62"/>
  <c r="AA975" i="62"/>
  <c r="A976" i="62"/>
  <c r="Z976" i="62"/>
  <c r="AA976" i="62"/>
  <c r="A977" i="62"/>
  <c r="Z977" i="62"/>
  <c r="AA977" i="62"/>
  <c r="A978" i="62"/>
  <c r="Z978" i="62"/>
  <c r="AA978" i="62"/>
  <c r="A979" i="62"/>
  <c r="Z979" i="62"/>
  <c r="AA979" i="62"/>
  <c r="A980" i="62"/>
  <c r="Z980" i="62"/>
  <c r="AA980" i="62"/>
  <c r="A981" i="62"/>
  <c r="Z981" i="62"/>
  <c r="AA981" i="62"/>
  <c r="A982" i="62"/>
  <c r="Z982" i="62"/>
  <c r="AA982" i="62"/>
  <c r="A983" i="62"/>
  <c r="Z983" i="62"/>
  <c r="AA983" i="62"/>
  <c r="A984" i="62"/>
  <c r="Z984" i="62"/>
  <c r="AA984" i="62"/>
  <c r="A985" i="62"/>
  <c r="Z985" i="62"/>
  <c r="AA985" i="62"/>
  <c r="A986" i="62"/>
  <c r="Z986" i="62"/>
  <c r="AA986" i="62"/>
  <c r="A987" i="62"/>
  <c r="Z987" i="62"/>
  <c r="AA987" i="62"/>
  <c r="A988" i="62"/>
  <c r="Z988" i="62"/>
  <c r="AA988" i="62"/>
  <c r="A989" i="62"/>
  <c r="Z989" i="62"/>
  <c r="AA989" i="62"/>
  <c r="A990" i="62"/>
  <c r="Z990" i="62"/>
  <c r="AA990" i="62"/>
  <c r="A991" i="62"/>
  <c r="Z991" i="62"/>
  <c r="AA991" i="62"/>
  <c r="A992" i="62"/>
  <c r="Z992" i="62"/>
  <c r="AA992" i="62"/>
  <c r="A993" i="62"/>
  <c r="Z993" i="62"/>
  <c r="AA993" i="62"/>
  <c r="A994" i="62"/>
  <c r="Z994" i="62"/>
  <c r="AA994" i="62"/>
  <c r="A995" i="62"/>
  <c r="Z995" i="62"/>
  <c r="AA995" i="62"/>
  <c r="A996" i="62"/>
  <c r="Z996" i="62"/>
  <c r="AA996" i="62"/>
  <c r="A997" i="62"/>
  <c r="Z997" i="62"/>
  <c r="AA997" i="62"/>
  <c r="A998" i="62"/>
  <c r="Z998" i="62"/>
  <c r="AA998" i="62"/>
  <c r="A999" i="62"/>
  <c r="Z999" i="62"/>
  <c r="AA999" i="62"/>
  <c r="A1000" i="62"/>
  <c r="Z1000" i="62"/>
  <c r="AA1000" i="62"/>
  <c r="A1001" i="62"/>
  <c r="Z1001" i="62"/>
  <c r="AA1001" i="62"/>
  <c r="A1002" i="62"/>
  <c r="Z1002" i="62"/>
  <c r="AA1002" i="62"/>
  <c r="A1003" i="62"/>
  <c r="Z1003" i="62"/>
  <c r="AA1003" i="62"/>
  <c r="A1004" i="62"/>
  <c r="Z1004" i="62"/>
  <c r="AA1004" i="62"/>
  <c r="A1005" i="62"/>
  <c r="Z1005" i="62"/>
  <c r="AA1005" i="62"/>
  <c r="A1006" i="62"/>
  <c r="Z1006" i="62"/>
  <c r="AA1006" i="62"/>
  <c r="A1007" i="62"/>
  <c r="Z1007" i="62"/>
  <c r="AA1007" i="62"/>
  <c r="A1008" i="62"/>
  <c r="Z1008" i="62"/>
  <c r="AA1008" i="62"/>
  <c r="A1009" i="62"/>
  <c r="Z1009" i="62"/>
  <c r="AA1009" i="62"/>
  <c r="A1010" i="62"/>
  <c r="Z1010" i="62"/>
  <c r="AA1010" i="62"/>
  <c r="A1011" i="62"/>
  <c r="Z1011" i="62"/>
  <c r="AA1011" i="62"/>
  <c r="A1012" i="62"/>
  <c r="Z1012" i="62"/>
  <c r="AA1012" i="62"/>
  <c r="A1013" i="62"/>
  <c r="Z1013" i="62"/>
  <c r="AA1013" i="62"/>
  <c r="A1014" i="62"/>
  <c r="Z1014" i="62"/>
  <c r="AA1014" i="62"/>
  <c r="A1015" i="62"/>
  <c r="Z1015" i="62"/>
  <c r="AA1015" i="62"/>
  <c r="A1016" i="62"/>
  <c r="Z1016" i="62"/>
  <c r="AA1016" i="62"/>
  <c r="A1017" i="62"/>
  <c r="Z1017" i="62"/>
  <c r="AA1017" i="62"/>
  <c r="A1018" i="62"/>
  <c r="Z1018" i="62"/>
  <c r="AA1018" i="62"/>
  <c r="A1019" i="62"/>
  <c r="Z1019" i="62"/>
  <c r="AA1019" i="62"/>
  <c r="A1020" i="62"/>
  <c r="Z1020" i="62"/>
  <c r="AA1020" i="62"/>
  <c r="A1021" i="62"/>
  <c r="Z1021" i="62"/>
  <c r="AA1021" i="62"/>
  <c r="A1022" i="62"/>
  <c r="Z1022" i="62"/>
  <c r="AA1022" i="62"/>
  <c r="A1023" i="62"/>
  <c r="Z1023" i="62"/>
  <c r="AA1023" i="62"/>
  <c r="A1024" i="62"/>
  <c r="Z1024" i="62"/>
  <c r="AA1024" i="62"/>
  <c r="A1025" i="62"/>
  <c r="Z1025" i="62"/>
  <c r="AA1025" i="62"/>
  <c r="A1026" i="62"/>
  <c r="Z1026" i="62"/>
  <c r="AA1026" i="62"/>
  <c r="A1027" i="62"/>
  <c r="Z1027" i="62"/>
  <c r="AA1027" i="62"/>
  <c r="A1028" i="62"/>
  <c r="Z1028" i="62"/>
  <c r="AA1028" i="62"/>
  <c r="A1029" i="62"/>
  <c r="Z1029" i="62"/>
  <c r="AA1029" i="62"/>
  <c r="A1030" i="62"/>
  <c r="Z1030" i="62"/>
  <c r="AA1030" i="62"/>
  <c r="A1031" i="62"/>
  <c r="Z1031" i="62"/>
  <c r="AA1031" i="62"/>
  <c r="A1032" i="62"/>
  <c r="Z1032" i="62"/>
  <c r="AA1032" i="62"/>
  <c r="A1033" i="62"/>
  <c r="Z1033" i="62"/>
  <c r="AA1033" i="62"/>
  <c r="A1034" i="62"/>
  <c r="Z1034" i="62"/>
  <c r="AA1034" i="62"/>
  <c r="A1035" i="62"/>
  <c r="Z1035" i="62"/>
  <c r="AA1035" i="62"/>
  <c r="A1036" i="62"/>
  <c r="Z1036" i="62"/>
  <c r="AA1036" i="62"/>
  <c r="A1037" i="62"/>
  <c r="Z1037" i="62"/>
  <c r="AA1037" i="62"/>
  <c r="A1038" i="62"/>
  <c r="Z1038" i="62"/>
  <c r="AA1038" i="62"/>
  <c r="A1039" i="62"/>
  <c r="Z1039" i="62"/>
  <c r="AA1039" i="62"/>
  <c r="A1040" i="62"/>
  <c r="Z1040" i="62"/>
  <c r="AA1040" i="62"/>
  <c r="A1041" i="62"/>
  <c r="Z1041" i="62"/>
  <c r="AA1041" i="62"/>
  <c r="A1042" i="62"/>
  <c r="Z1042" i="62"/>
  <c r="AA1042" i="62"/>
  <c r="A1043" i="62"/>
  <c r="Z1043" i="62"/>
  <c r="AA1043" i="62"/>
  <c r="A1044" i="62"/>
  <c r="Z1044" i="62"/>
  <c r="AA1044" i="62"/>
  <c r="A1045" i="62"/>
  <c r="Z1045" i="62"/>
  <c r="AA1045" i="62"/>
  <c r="A1046" i="62"/>
  <c r="Z1046" i="62"/>
  <c r="AA1046" i="62"/>
  <c r="A1047" i="62"/>
  <c r="Z1047" i="62"/>
  <c r="AA1047" i="62"/>
  <c r="A1048" i="62"/>
  <c r="Z1048" i="62"/>
  <c r="AA1048" i="62"/>
  <c r="A1049" i="62"/>
  <c r="Z1049" i="62"/>
  <c r="AA1049" i="62"/>
  <c r="A1050" i="62"/>
  <c r="Z1050" i="62"/>
  <c r="AA1050" i="62"/>
  <c r="A1051" i="62"/>
  <c r="Z1051" i="62"/>
  <c r="AA1051" i="62"/>
  <c r="A1052" i="62"/>
  <c r="Z1052" i="62"/>
  <c r="AA1052" i="62"/>
  <c r="A1053" i="62"/>
  <c r="Z1053" i="62"/>
  <c r="AA1053" i="62"/>
  <c r="A1054" i="62"/>
  <c r="Z1054" i="62"/>
  <c r="AA1054" i="62"/>
  <c r="A1055" i="62"/>
  <c r="Z1055" i="62"/>
  <c r="AA1055" i="62"/>
  <c r="A1056" i="62"/>
  <c r="Z1056" i="62"/>
  <c r="AA1056" i="62"/>
  <c r="A1057" i="62"/>
  <c r="Z1057" i="62"/>
  <c r="AA1057" i="62"/>
  <c r="A1058" i="62"/>
  <c r="Z1058" i="62"/>
  <c r="AA1058" i="62"/>
  <c r="A1059" i="62"/>
  <c r="Z1059" i="62"/>
  <c r="AA1059" i="62"/>
  <c r="A1060" i="62"/>
  <c r="Z1060" i="62"/>
  <c r="AA1060" i="62"/>
  <c r="A1061" i="62"/>
  <c r="Z1061" i="62"/>
  <c r="AA1061" i="62"/>
  <c r="A1062" i="62"/>
  <c r="Z1062" i="62"/>
  <c r="AA1062" i="62"/>
  <c r="A1063" i="62"/>
  <c r="Z1063" i="62"/>
  <c r="AA1063" i="62"/>
  <c r="A1064" i="62"/>
  <c r="Z1064" i="62"/>
  <c r="AA1064" i="62"/>
  <c r="A1065" i="62"/>
  <c r="Z1065" i="62"/>
  <c r="AA1065" i="62"/>
  <c r="A1066" i="62"/>
  <c r="Z1066" i="62"/>
  <c r="AA1066" i="62"/>
  <c r="A1067" i="62"/>
  <c r="Z1067" i="62"/>
  <c r="AA1067" i="62"/>
  <c r="A1068" i="62"/>
  <c r="Z1068" i="62"/>
  <c r="AA1068" i="62"/>
  <c r="A1069" i="62"/>
  <c r="Z1069" i="62"/>
  <c r="AA1069" i="62"/>
  <c r="A1070" i="62"/>
  <c r="Z1070" i="62"/>
  <c r="AA1070" i="62"/>
  <c r="A1071" i="62"/>
  <c r="Z1071" i="62"/>
  <c r="AA1071" i="62"/>
  <c r="A1072" i="62"/>
  <c r="Z1072" i="62"/>
  <c r="AA1072" i="62"/>
  <c r="A1073" i="62"/>
  <c r="Z1073" i="62"/>
  <c r="AA1073" i="62"/>
  <c r="A1074" i="62"/>
  <c r="Z1074" i="62"/>
  <c r="AA1074" i="62"/>
  <c r="A1075" i="62"/>
  <c r="Z1075" i="62"/>
  <c r="AA1075" i="62"/>
  <c r="A1076" i="62"/>
  <c r="Z1076" i="62"/>
  <c r="AA1076" i="62"/>
  <c r="A1077" i="62"/>
  <c r="Z1077" i="62"/>
  <c r="AA1077" i="62"/>
  <c r="A1078" i="62"/>
  <c r="Z1078" i="62"/>
  <c r="AA1078" i="62"/>
  <c r="A1079" i="62"/>
  <c r="Z1079" i="62"/>
  <c r="AA1079" i="62"/>
  <c r="A1080" i="62"/>
  <c r="Z1080" i="62"/>
  <c r="AA1080" i="62"/>
  <c r="A1081" i="62"/>
  <c r="Z1081" i="62"/>
  <c r="AA1081" i="62"/>
  <c r="A1082" i="62"/>
  <c r="Z1082" i="62"/>
  <c r="AA1082" i="62"/>
  <c r="A1083" i="62"/>
  <c r="Z1083" i="62"/>
  <c r="AA1083" i="62"/>
  <c r="A1084" i="62"/>
  <c r="Z1084" i="62"/>
  <c r="AA1084" i="62"/>
  <c r="A1085" i="62"/>
  <c r="Z1085" i="62"/>
  <c r="AA1085" i="62"/>
  <c r="A1086" i="62"/>
  <c r="Z1086" i="62"/>
  <c r="AA1086" i="62"/>
  <c r="A1087" i="62"/>
  <c r="Z1087" i="62"/>
  <c r="AA1087" i="62"/>
  <c r="A1088" i="62"/>
  <c r="Z1088" i="62"/>
  <c r="AA1088" i="62"/>
  <c r="A1089" i="62"/>
  <c r="Z1089" i="62"/>
  <c r="AA1089" i="62"/>
  <c r="A1090" i="62"/>
  <c r="Z1090" i="62"/>
  <c r="AA1090" i="62"/>
  <c r="A1091" i="62"/>
  <c r="Z1091" i="62"/>
  <c r="AA1091" i="62"/>
  <c r="A1092" i="62"/>
  <c r="Z1092" i="62"/>
  <c r="AA1092" i="62"/>
  <c r="A1093" i="62"/>
  <c r="Z1093" i="62"/>
  <c r="AA1093" i="62"/>
  <c r="A1094" i="62"/>
  <c r="Z1094" i="62"/>
  <c r="AA1094" i="62"/>
  <c r="A1095" i="62"/>
  <c r="Z1095" i="62"/>
  <c r="AA1095" i="62"/>
  <c r="A1096" i="62"/>
  <c r="Z1096" i="62"/>
  <c r="AA1096" i="62"/>
  <c r="A1097" i="62"/>
  <c r="Z1097" i="62"/>
  <c r="AA1097" i="62"/>
  <c r="A1098" i="62"/>
  <c r="Z1098" i="62"/>
  <c r="AA1098" i="62"/>
  <c r="A1099" i="62"/>
  <c r="Z1099" i="62"/>
  <c r="AA1099" i="62"/>
  <c r="A1100" i="62"/>
  <c r="Z1100" i="62"/>
  <c r="AA1100" i="62"/>
  <c r="A1101" i="62"/>
  <c r="Z1101" i="62"/>
  <c r="AA1101" i="62"/>
  <c r="A1102" i="62"/>
  <c r="Z1102" i="62"/>
  <c r="AA1102" i="62"/>
  <c r="A1103" i="62"/>
  <c r="Z1103" i="62"/>
  <c r="AA1103" i="62"/>
  <c r="A1104" i="62"/>
  <c r="Z1104" i="62"/>
  <c r="AA1104" i="62"/>
  <c r="A1105" i="62"/>
  <c r="Z1105" i="62"/>
  <c r="AA1105" i="62"/>
  <c r="A1106" i="62"/>
  <c r="Z1106" i="62"/>
  <c r="AA1106" i="62"/>
  <c r="A1107" i="62"/>
  <c r="Z1107" i="62"/>
  <c r="AA1107" i="62"/>
  <c r="A1108" i="62"/>
  <c r="Z1108" i="62"/>
  <c r="AA1108" i="62"/>
  <c r="A1109" i="62"/>
  <c r="Z1109" i="62"/>
  <c r="AA1109" i="62"/>
  <c r="A1110" i="62"/>
  <c r="Z1110" i="62"/>
  <c r="AA1110" i="62"/>
  <c r="A1111" i="62"/>
  <c r="Z1111" i="62"/>
  <c r="AA1111" i="62"/>
  <c r="A1112" i="62"/>
  <c r="Z1112" i="62"/>
  <c r="AA1112" i="62"/>
  <c r="A1113" i="62"/>
  <c r="Z1113" i="62"/>
  <c r="AA1113" i="62"/>
  <c r="A1114" i="62"/>
  <c r="Z1114" i="62"/>
  <c r="AA1114" i="62"/>
  <c r="A1115" i="62"/>
  <c r="Z1115" i="62"/>
  <c r="AA1115" i="62"/>
  <c r="A1116" i="62"/>
  <c r="Z1116" i="62"/>
  <c r="AA1116" i="62"/>
  <c r="A1117" i="62"/>
  <c r="Z1117" i="62"/>
  <c r="AA1117" i="62"/>
  <c r="A1118" i="62"/>
  <c r="Z1118" i="62"/>
  <c r="AA1118" i="62"/>
  <c r="A1119" i="62"/>
  <c r="Z1119" i="62"/>
  <c r="AA1119" i="62"/>
  <c r="A1120" i="62"/>
  <c r="Z1120" i="62"/>
  <c r="AA1120" i="62"/>
  <c r="A1121" i="62"/>
  <c r="Z1121" i="62"/>
  <c r="AA1121" i="62"/>
  <c r="A1122" i="62"/>
  <c r="Z1122" i="62"/>
  <c r="AA1122" i="62"/>
  <c r="A1123" i="62"/>
  <c r="Z1123" i="62"/>
  <c r="AA1123" i="62"/>
  <c r="A1124" i="62"/>
  <c r="Z1124" i="62"/>
  <c r="AA1124" i="62"/>
  <c r="A1125" i="62"/>
  <c r="Z1125" i="62"/>
  <c r="AA1125" i="62"/>
  <c r="A1126" i="62"/>
  <c r="Z1126" i="62"/>
  <c r="AA1126" i="62"/>
  <c r="A1127" i="62"/>
  <c r="Z1127" i="62"/>
  <c r="AA1127" i="62"/>
  <c r="A1128" i="62"/>
  <c r="Z1128" i="62"/>
  <c r="AA1128" i="62"/>
  <c r="A1129" i="62"/>
  <c r="Z1129" i="62"/>
  <c r="AA1129" i="62"/>
  <c r="A1130" i="62"/>
  <c r="Z1130" i="62"/>
  <c r="AA1130" i="62"/>
  <c r="A1131" i="62"/>
  <c r="Z1131" i="62"/>
  <c r="AA1131" i="62"/>
  <c r="A1132" i="62"/>
  <c r="Z1132" i="62"/>
  <c r="AA1132" i="62"/>
  <c r="A1133" i="62"/>
  <c r="Z1133" i="62"/>
  <c r="AA1133" i="62"/>
  <c r="A1134" i="62"/>
  <c r="Z1134" i="62"/>
  <c r="AA1134" i="62"/>
  <c r="A1135" i="62"/>
  <c r="Z1135" i="62"/>
  <c r="AA1135" i="62"/>
  <c r="A1136" i="62"/>
  <c r="Z1136" i="62"/>
  <c r="AA1136" i="62"/>
  <c r="A1137" i="62"/>
  <c r="Z1137" i="62"/>
  <c r="AA1137" i="62"/>
  <c r="A1138" i="62"/>
  <c r="Z1138" i="62"/>
  <c r="AA1138" i="62"/>
  <c r="A1139" i="62"/>
  <c r="Z1139" i="62"/>
  <c r="AA1139" i="62"/>
  <c r="A1140" i="62"/>
  <c r="Z1140" i="62"/>
  <c r="AA1140" i="62"/>
  <c r="A1141" i="62"/>
  <c r="Z1141" i="62"/>
  <c r="AA1141" i="62"/>
  <c r="A1142" i="62"/>
  <c r="Z1142" i="62"/>
  <c r="AA1142" i="62"/>
  <c r="A1143" i="62"/>
  <c r="Z1143" i="62"/>
  <c r="AA1143" i="62"/>
  <c r="A1144" i="62"/>
  <c r="Z1144" i="62"/>
  <c r="AA1144" i="62"/>
  <c r="A1145" i="62"/>
  <c r="Z1145" i="62"/>
  <c r="AA1145" i="62"/>
  <c r="A1146" i="62"/>
  <c r="Z1146" i="62"/>
  <c r="AA1146" i="62"/>
  <c r="A1147" i="62"/>
  <c r="Z1147" i="62"/>
  <c r="AA1147" i="62"/>
  <c r="A1148" i="62"/>
  <c r="Z1148" i="62"/>
  <c r="AA1148" i="62"/>
  <c r="A1149" i="62"/>
  <c r="Z1149" i="62"/>
  <c r="AA1149" i="62"/>
  <c r="A1150" i="62"/>
  <c r="Z1150" i="62"/>
  <c r="AA1150" i="62"/>
  <c r="A1151" i="62"/>
  <c r="Z1151" i="62"/>
  <c r="AA1151" i="62"/>
  <c r="A1152" i="62"/>
  <c r="Z1152" i="62"/>
  <c r="AA1152" i="62"/>
  <c r="A1153" i="62"/>
  <c r="Z1153" i="62"/>
  <c r="AA1153" i="62"/>
  <c r="A1154" i="62"/>
  <c r="Z1154" i="62"/>
  <c r="AA1154" i="62"/>
  <c r="A1155" i="62"/>
  <c r="Z1155" i="62"/>
  <c r="AA1155" i="62"/>
  <c r="A1156" i="62"/>
  <c r="Z1156" i="62"/>
  <c r="AA1156" i="62"/>
  <c r="A1157" i="62"/>
  <c r="Z1157" i="62"/>
  <c r="AA1157" i="62"/>
  <c r="A1158" i="62"/>
  <c r="Z1158" i="62"/>
  <c r="AA1158" i="62"/>
  <c r="A1159" i="62"/>
  <c r="Z1159" i="62"/>
  <c r="AA1159" i="62"/>
  <c r="A1160" i="62"/>
  <c r="Z1160" i="62"/>
  <c r="AA1160" i="62"/>
  <c r="A1161" i="62"/>
  <c r="Z1161" i="62"/>
  <c r="AA1161" i="62"/>
  <c r="A1162" i="62"/>
  <c r="Z1162" i="62"/>
  <c r="AA1162" i="62"/>
  <c r="A1163" i="62"/>
  <c r="Z1163" i="62"/>
  <c r="AA1163" i="62"/>
  <c r="A1164" i="62"/>
  <c r="Z1164" i="62"/>
  <c r="AA1164" i="62"/>
  <c r="A1165" i="62"/>
  <c r="Z1165" i="62"/>
  <c r="AA1165" i="62"/>
  <c r="A1166" i="62"/>
  <c r="Z1166" i="62"/>
  <c r="AA1166" i="62"/>
  <c r="A1167" i="62"/>
  <c r="Z1167" i="62"/>
  <c r="AA1167" i="62"/>
  <c r="A1168" i="62"/>
  <c r="Z1168" i="62"/>
  <c r="AA1168" i="62"/>
  <c r="A1169" i="62"/>
  <c r="Z1169" i="62"/>
  <c r="AA1169" i="62"/>
  <c r="A1170" i="62"/>
  <c r="Z1170" i="62"/>
  <c r="AA1170" i="62"/>
  <c r="A1171" i="62"/>
  <c r="Z1171" i="62"/>
  <c r="AA1171" i="62"/>
  <c r="A1172" i="62"/>
  <c r="Z1172" i="62"/>
  <c r="AA1172" i="62"/>
  <c r="A1173" i="62"/>
  <c r="Z1173" i="62"/>
  <c r="AA1173" i="62"/>
  <c r="A1174" i="62"/>
  <c r="Z1174" i="62"/>
  <c r="AA1174" i="62"/>
  <c r="A1175" i="62"/>
  <c r="Z1175" i="62"/>
  <c r="AA1175" i="62"/>
  <c r="A1176" i="62"/>
  <c r="Z1176" i="62"/>
  <c r="AA1176" i="62"/>
  <c r="A1177" i="62"/>
  <c r="Z1177" i="62"/>
  <c r="AA1177" i="62"/>
  <c r="A1178" i="62"/>
  <c r="Z1178" i="62"/>
  <c r="AA1178" i="62"/>
  <c r="A1179" i="62"/>
  <c r="Z1179" i="62"/>
  <c r="AA1179" i="62"/>
  <c r="A1180" i="62"/>
  <c r="Z1180" i="62"/>
  <c r="AA1180" i="62"/>
  <c r="A1181" i="62"/>
  <c r="Z1181" i="62"/>
  <c r="AA1181" i="62"/>
  <c r="A1182" i="62"/>
  <c r="Z1182" i="62"/>
  <c r="AA1182" i="62"/>
  <c r="A1183" i="62"/>
  <c r="Z1183" i="62"/>
  <c r="AA1183" i="62"/>
  <c r="A1184" i="62"/>
  <c r="Z1184" i="62"/>
  <c r="AA1184" i="62"/>
  <c r="A1185" i="62"/>
  <c r="Z1185" i="62"/>
  <c r="AA1185" i="62"/>
  <c r="A1186" i="62"/>
  <c r="Z1186" i="62"/>
  <c r="AA1186" i="62"/>
  <c r="A1187" i="62"/>
  <c r="Z1187" i="62"/>
  <c r="AA1187" i="62"/>
  <c r="A1188" i="62"/>
  <c r="Z1188" i="62"/>
  <c r="AA1188" i="62"/>
  <c r="A1189" i="62"/>
  <c r="Z1189" i="62"/>
  <c r="AA1189" i="62"/>
  <c r="A1190" i="62"/>
  <c r="Z1190" i="62"/>
  <c r="AA1190" i="62"/>
  <c r="A1191" i="62"/>
  <c r="Z1191" i="62"/>
  <c r="AA1191" i="62"/>
  <c r="A1192" i="62"/>
  <c r="Z1192" i="62"/>
  <c r="AA1192" i="62"/>
  <c r="A1193" i="62"/>
  <c r="Z1193" i="62"/>
  <c r="AA1193" i="62"/>
  <c r="A1194" i="62"/>
  <c r="Z1194" i="62"/>
  <c r="AA1194" i="62"/>
  <c r="A1195" i="62"/>
  <c r="Z1195" i="62"/>
  <c r="AA1195" i="62"/>
  <c r="A1196" i="62"/>
  <c r="Z1196" i="62"/>
  <c r="AA1196" i="62"/>
  <c r="A1197" i="62"/>
  <c r="Z1197" i="62"/>
  <c r="AA1197" i="62"/>
  <c r="A1198" i="62"/>
  <c r="Z1198" i="62"/>
  <c r="AA1198" i="62"/>
  <c r="A1199" i="62"/>
  <c r="Z1199" i="62"/>
  <c r="AA1199" i="62"/>
  <c r="A1200" i="62"/>
  <c r="Z1200" i="62"/>
  <c r="AA1200" i="62"/>
  <c r="A1201" i="62"/>
  <c r="Z1201" i="62"/>
  <c r="AA1201" i="62"/>
  <c r="A1202" i="62"/>
  <c r="Z1202" i="62"/>
  <c r="AA1202" i="62"/>
  <c r="A1203" i="62"/>
  <c r="Z1203" i="62"/>
  <c r="AA1203" i="62"/>
  <c r="A1204" i="62"/>
  <c r="Z1204" i="62"/>
  <c r="AA1204" i="62"/>
  <c r="A1205" i="62"/>
  <c r="Z1205" i="62"/>
  <c r="AA1205" i="62"/>
  <c r="A1206" i="62"/>
  <c r="Z1206" i="62"/>
  <c r="AA1206" i="62"/>
  <c r="A1207" i="62"/>
  <c r="Z1207" i="62"/>
  <c r="AA1207" i="62"/>
  <c r="A1208" i="62"/>
  <c r="Z1208" i="62"/>
  <c r="AA1208" i="62"/>
  <c r="A1209" i="62"/>
  <c r="Z1209" i="62"/>
  <c r="AA1209" i="62"/>
  <c r="A1210" i="62"/>
  <c r="Z1210" i="62"/>
  <c r="AA1210" i="62"/>
  <c r="A1211" i="62"/>
  <c r="Z1211" i="62"/>
  <c r="AA1211" i="62"/>
  <c r="A1212" i="62"/>
  <c r="Z1212" i="62"/>
  <c r="AA1212" i="62"/>
  <c r="A1213" i="62"/>
  <c r="Z1213" i="62"/>
  <c r="AA1213" i="62"/>
  <c r="A1214" i="62"/>
  <c r="Z1214" i="62"/>
  <c r="AA1214" i="62"/>
  <c r="A1215" i="62"/>
  <c r="Z1215" i="62"/>
  <c r="AA1215" i="62"/>
  <c r="A1216" i="62"/>
  <c r="Z1216" i="62"/>
  <c r="AA1216" i="62"/>
  <c r="A1217" i="62"/>
  <c r="Z1217" i="62"/>
  <c r="AA1217" i="62"/>
  <c r="A1218" i="62"/>
  <c r="Z1218" i="62"/>
  <c r="AA1218" i="62"/>
  <c r="A1219" i="62"/>
  <c r="Z1219" i="62"/>
  <c r="AA1219" i="62"/>
  <c r="A1220" i="62"/>
  <c r="Z1220" i="62"/>
  <c r="AA1220" i="62"/>
  <c r="A1221" i="62"/>
  <c r="Z1221" i="62"/>
  <c r="AA1221" i="62"/>
  <c r="A1222" i="62"/>
  <c r="Z1222" i="62"/>
  <c r="AA1222" i="62"/>
  <c r="A1223" i="62"/>
  <c r="Z1223" i="62"/>
  <c r="AA1223" i="62"/>
  <c r="A1224" i="62"/>
  <c r="Z1224" i="62"/>
  <c r="AA1224" i="62"/>
  <c r="A1225" i="62"/>
  <c r="Z1225" i="62"/>
  <c r="AA1225" i="62"/>
  <c r="A1226" i="62"/>
  <c r="Z1226" i="62"/>
  <c r="AA1226" i="62"/>
  <c r="A1227" i="62"/>
  <c r="Z1227" i="62"/>
  <c r="AA1227" i="62"/>
  <c r="A1228" i="62"/>
  <c r="Z1228" i="62"/>
  <c r="AA1228" i="62"/>
  <c r="A1229" i="62"/>
  <c r="Z1229" i="62"/>
  <c r="AA1229" i="62"/>
  <c r="A1230" i="62"/>
  <c r="Z1230" i="62"/>
  <c r="AA1230" i="62"/>
  <c r="A1231" i="62"/>
  <c r="Z1231" i="62"/>
  <c r="AA1231" i="62"/>
  <c r="A1232" i="62"/>
  <c r="Z1232" i="62"/>
  <c r="AA1232" i="62"/>
  <c r="A1233" i="62"/>
  <c r="Z1233" i="62"/>
  <c r="AA1233" i="62"/>
  <c r="A1234" i="62"/>
  <c r="Z1234" i="62"/>
  <c r="AA1234" i="62"/>
  <c r="A1235" i="62"/>
  <c r="Z1235" i="62"/>
  <c r="AA1235" i="62"/>
  <c r="A1236" i="62"/>
  <c r="Z1236" i="62"/>
  <c r="AA1236" i="62"/>
  <c r="A1237" i="62"/>
  <c r="Z1237" i="62"/>
  <c r="AA1237" i="62"/>
  <c r="A1238" i="62"/>
  <c r="Z1238" i="62"/>
  <c r="AA1238" i="62"/>
  <c r="A1239" i="62"/>
  <c r="Z1239" i="62"/>
  <c r="AA1239" i="62"/>
  <c r="A1240" i="62"/>
  <c r="Z1240" i="62"/>
  <c r="AA1240" i="62"/>
  <c r="A1241" i="62"/>
  <c r="Z1241" i="62"/>
  <c r="AA1241" i="62"/>
  <c r="A1242" i="62"/>
  <c r="Z1242" i="62"/>
  <c r="AA1242" i="62"/>
  <c r="A1243" i="62"/>
  <c r="Z1243" i="62"/>
  <c r="AA1243" i="62"/>
  <c r="A1244" i="62"/>
  <c r="Z1244" i="62"/>
  <c r="AA1244" i="62"/>
  <c r="A1245" i="62"/>
  <c r="Z1245" i="62"/>
  <c r="AA1245" i="62"/>
  <c r="A1246" i="62"/>
  <c r="Z1246" i="62"/>
  <c r="AA1246" i="62"/>
  <c r="A1247" i="62"/>
  <c r="Z1247" i="62"/>
  <c r="AA1247" i="62"/>
  <c r="A1248" i="62"/>
  <c r="Z1248" i="62"/>
  <c r="AA1248" i="62"/>
  <c r="A1249" i="62"/>
  <c r="Z1249" i="62"/>
  <c r="AA1249" i="62"/>
  <c r="A1250" i="62"/>
  <c r="Z1250" i="62"/>
  <c r="AA1250" i="62"/>
  <c r="A1251" i="62"/>
  <c r="Z1251" i="62"/>
  <c r="AA1251" i="62"/>
  <c r="A1252" i="62"/>
  <c r="Z1252" i="62"/>
  <c r="AA1252" i="62"/>
  <c r="A1253" i="62"/>
  <c r="Z1253" i="62"/>
  <c r="AA1253" i="62"/>
  <c r="A1254" i="62"/>
  <c r="Z1254" i="62"/>
  <c r="AA1254" i="62"/>
  <c r="A1255" i="62"/>
  <c r="Z1255" i="62"/>
  <c r="AA1255" i="62"/>
  <c r="A1256" i="62"/>
  <c r="Z1256" i="62"/>
  <c r="AA1256" i="62"/>
  <c r="A1257" i="62"/>
  <c r="Z1257" i="62"/>
  <c r="AA1257" i="62"/>
  <c r="A1258" i="62"/>
  <c r="Z1258" i="62"/>
  <c r="AA1258" i="62"/>
  <c r="A1259" i="62"/>
  <c r="Z1259" i="62"/>
  <c r="AA1259" i="62"/>
  <c r="A1260" i="62"/>
  <c r="Z1260" i="62"/>
  <c r="AA1260" i="62"/>
  <c r="A1261" i="62"/>
  <c r="Z1261" i="62"/>
  <c r="AA1261" i="62"/>
  <c r="A1262" i="62"/>
  <c r="Z1262" i="62"/>
  <c r="AA1262" i="62"/>
  <c r="A1263" i="62"/>
  <c r="Z1263" i="62"/>
  <c r="AA1263" i="62"/>
  <c r="A1264" i="62"/>
  <c r="Z1264" i="62"/>
  <c r="AA1264" i="62"/>
  <c r="A1265" i="62"/>
  <c r="Z1265" i="62"/>
  <c r="AA1265" i="62"/>
  <c r="A1266" i="62"/>
  <c r="Z1266" i="62"/>
  <c r="AA1266" i="62"/>
  <c r="A1267" i="62"/>
  <c r="Z1267" i="62"/>
  <c r="AA1267" i="62"/>
  <c r="A1268" i="62"/>
  <c r="Z1268" i="62"/>
  <c r="AA1268" i="62"/>
  <c r="A1269" i="62"/>
  <c r="Z1269" i="62"/>
  <c r="AA1269" i="62"/>
  <c r="A1270" i="62"/>
  <c r="Z1270" i="62"/>
  <c r="AA1270" i="62"/>
  <c r="A1271" i="62"/>
  <c r="Z1271" i="62"/>
  <c r="AA1271" i="62"/>
  <c r="A1272" i="62"/>
  <c r="Z1272" i="62"/>
  <c r="AA1272" i="62"/>
  <c r="A1273" i="62"/>
  <c r="Z1273" i="62"/>
  <c r="AA1273" i="62"/>
  <c r="A1274" i="62"/>
  <c r="Z1274" i="62"/>
  <c r="AA1274" i="62"/>
  <c r="A1275" i="62"/>
  <c r="Z1275" i="62"/>
  <c r="AA1275" i="62"/>
  <c r="A1276" i="62"/>
  <c r="Z1276" i="62"/>
  <c r="AA1276" i="62"/>
  <c r="A1277" i="62"/>
  <c r="Z1277" i="62"/>
  <c r="AA1277" i="62"/>
  <c r="A1278" i="62"/>
  <c r="Z1278" i="62"/>
  <c r="AA1278" i="62"/>
  <c r="A1279" i="62"/>
  <c r="Z1279" i="62"/>
  <c r="AA1279" i="62"/>
  <c r="A1280" i="62"/>
  <c r="Z1280" i="62"/>
  <c r="AA1280" i="62"/>
  <c r="A1281" i="62"/>
  <c r="Z1281" i="62"/>
  <c r="AA1281" i="62"/>
  <c r="A1282" i="62"/>
  <c r="Z1282" i="62"/>
  <c r="AA1282" i="62"/>
  <c r="A1283" i="62"/>
  <c r="Z1283" i="62"/>
  <c r="AA1283" i="62"/>
  <c r="A1284" i="62"/>
  <c r="Z1284" i="62"/>
  <c r="AA1284" i="62"/>
  <c r="A1285" i="62"/>
  <c r="Z1285" i="62"/>
  <c r="AA1285" i="62"/>
  <c r="A1286" i="62"/>
  <c r="Z1286" i="62"/>
  <c r="AA1286" i="62"/>
  <c r="A1287" i="62"/>
  <c r="Z1287" i="62"/>
  <c r="AA1287" i="62"/>
  <c r="A1288" i="62"/>
  <c r="Z1288" i="62"/>
  <c r="AA1288" i="62"/>
  <c r="A1289" i="62"/>
  <c r="Z1289" i="62"/>
  <c r="AA1289" i="62"/>
  <c r="A1290" i="62"/>
  <c r="Z1290" i="62"/>
  <c r="AA1290" i="62"/>
  <c r="A1291" i="62"/>
  <c r="Z1291" i="62"/>
  <c r="AA1291" i="62"/>
  <c r="A1292" i="62"/>
  <c r="Z1292" i="62"/>
  <c r="AA1292" i="62"/>
  <c r="A1293" i="62"/>
  <c r="Z1293" i="62"/>
  <c r="AA1293" i="62"/>
  <c r="A1294" i="62"/>
  <c r="Z1294" i="62"/>
  <c r="AA1294" i="62"/>
  <c r="A1295" i="62"/>
  <c r="Z1295" i="62"/>
  <c r="AA1295" i="62"/>
  <c r="A1296" i="62"/>
  <c r="Z1296" i="62"/>
  <c r="AA1296" i="62"/>
  <c r="A1297" i="62"/>
  <c r="Z1297" i="62"/>
  <c r="AA1297" i="62"/>
  <c r="A1298" i="62"/>
  <c r="Z1298" i="62"/>
  <c r="AA1298" i="62"/>
  <c r="A1299" i="62"/>
  <c r="Z1299" i="62"/>
  <c r="AA1299" i="62"/>
  <c r="A1300" i="62"/>
  <c r="Z1300" i="62"/>
  <c r="AA1300" i="62"/>
  <c r="A1301" i="62"/>
  <c r="Z1301" i="62"/>
  <c r="AA1301" i="62"/>
  <c r="A1302" i="62"/>
  <c r="Z1302" i="62"/>
  <c r="AA1302" i="62"/>
  <c r="A1303" i="62"/>
  <c r="Z1303" i="62"/>
  <c r="AA1303" i="62"/>
  <c r="A1304" i="62"/>
  <c r="Z1304" i="62"/>
  <c r="AA1304" i="62"/>
  <c r="A1305" i="62"/>
  <c r="Z1305" i="62"/>
  <c r="AA1305" i="62"/>
  <c r="A1306" i="62"/>
  <c r="Z1306" i="62"/>
  <c r="AA1306" i="62"/>
  <c r="A1307" i="62"/>
  <c r="Z1307" i="62"/>
  <c r="AA1307" i="62"/>
  <c r="A1308" i="62"/>
  <c r="Z1308" i="62"/>
  <c r="AA1308" i="62"/>
  <c r="A1309" i="62"/>
  <c r="Z1309" i="62"/>
  <c r="AA1309" i="62"/>
  <c r="A1310" i="62"/>
  <c r="Z1310" i="62"/>
  <c r="AA1310" i="62"/>
  <c r="A1311" i="62"/>
  <c r="Z1311" i="62"/>
  <c r="AA1311" i="62"/>
  <c r="A1312" i="62"/>
  <c r="Z1312" i="62"/>
  <c r="AA1312" i="62"/>
  <c r="A1313" i="62"/>
  <c r="Z1313" i="62"/>
  <c r="AA1313" i="62"/>
  <c r="A1314" i="62"/>
  <c r="Z1314" i="62"/>
  <c r="AA1314" i="62"/>
  <c r="A1315" i="62"/>
  <c r="Z1315" i="62"/>
  <c r="AA1315" i="62"/>
  <c r="A1316" i="62"/>
  <c r="Z1316" i="62"/>
  <c r="AA1316" i="62"/>
  <c r="A1317" i="62"/>
  <c r="Z1317" i="62"/>
  <c r="AA1317" i="62"/>
  <c r="A1318" i="62"/>
  <c r="Z1318" i="62"/>
  <c r="AA1318" i="62"/>
  <c r="A1319" i="62"/>
  <c r="Z1319" i="62"/>
  <c r="AA1319" i="62"/>
  <c r="A1320" i="62"/>
  <c r="Z1320" i="62"/>
  <c r="AA1320" i="62"/>
  <c r="A1321" i="62"/>
  <c r="Z1321" i="62"/>
  <c r="AA1321" i="62"/>
  <c r="A1322" i="62"/>
  <c r="Z1322" i="62"/>
  <c r="AA1322" i="62"/>
  <c r="A1323" i="62"/>
  <c r="Z1323" i="62"/>
  <c r="AA1323" i="62"/>
  <c r="A1324" i="62"/>
  <c r="Z1324" i="62"/>
  <c r="AA1324" i="62"/>
  <c r="A1325" i="62"/>
  <c r="Z1325" i="62"/>
  <c r="AA1325" i="62"/>
  <c r="A1326" i="62"/>
  <c r="Z1326" i="62"/>
  <c r="AA1326" i="62"/>
  <c r="A1327" i="62"/>
  <c r="Z1327" i="62"/>
  <c r="AA1327" i="62"/>
  <c r="A1328" i="62"/>
  <c r="Z1328" i="62"/>
  <c r="AA1328" i="62"/>
  <c r="A1329" i="62"/>
  <c r="Z1329" i="62"/>
  <c r="AA1329" i="62"/>
  <c r="A1330" i="62"/>
  <c r="Z1330" i="62"/>
  <c r="AA1330" i="62"/>
  <c r="A1331" i="62"/>
  <c r="Z1331" i="62"/>
  <c r="AA1331" i="62"/>
  <c r="A1332" i="62"/>
  <c r="Z1332" i="62"/>
  <c r="AA1332" i="62"/>
  <c r="A1333" i="62"/>
  <c r="Z1333" i="62"/>
  <c r="AA1333" i="62"/>
  <c r="A1334" i="62"/>
  <c r="Z1334" i="62"/>
  <c r="AA1334" i="62"/>
  <c r="A1335" i="62"/>
  <c r="Z1335" i="62"/>
  <c r="AA1335" i="62"/>
  <c r="A1336" i="62"/>
  <c r="Z1336" i="62"/>
  <c r="AA1336" i="62"/>
  <c r="A1337" i="62"/>
  <c r="Z1337" i="62"/>
  <c r="AA1337" i="62"/>
  <c r="A1338" i="62"/>
  <c r="Z1338" i="62"/>
  <c r="AA1338" i="62"/>
  <c r="A1339" i="62"/>
  <c r="Z1339" i="62"/>
  <c r="AA1339" i="62"/>
  <c r="A1340" i="62"/>
  <c r="Z1340" i="62"/>
  <c r="AA1340" i="62"/>
  <c r="A1341" i="62"/>
  <c r="Z1341" i="62"/>
  <c r="AA1341" i="62"/>
  <c r="A1342" i="62"/>
  <c r="Z1342" i="62"/>
  <c r="AA1342" i="62"/>
  <c r="A1343" i="62"/>
  <c r="Z1343" i="62"/>
  <c r="AA1343" i="62"/>
  <c r="A1344" i="62"/>
  <c r="Z1344" i="62"/>
  <c r="AA1344" i="62"/>
  <c r="A1345" i="62"/>
  <c r="Z1345" i="62"/>
  <c r="AA1345" i="62"/>
  <c r="A1346" i="62"/>
  <c r="Z1346" i="62"/>
  <c r="AA1346" i="62"/>
  <c r="A1347" i="62"/>
  <c r="Z1347" i="62"/>
  <c r="AA1347" i="62"/>
  <c r="A1348" i="62"/>
  <c r="Z1348" i="62"/>
  <c r="AA1348" i="62"/>
  <c r="A1349" i="62"/>
  <c r="Z1349" i="62"/>
  <c r="AA1349" i="62"/>
  <c r="A1350" i="62"/>
  <c r="Z1350" i="62"/>
  <c r="AA1350" i="62"/>
  <c r="A1351" i="62"/>
  <c r="Z1351" i="62"/>
  <c r="AA1351" i="62"/>
  <c r="A1352" i="62"/>
  <c r="Z1352" i="62"/>
  <c r="AA1352" i="62"/>
  <c r="A1353" i="62"/>
  <c r="Z1353" i="62"/>
  <c r="AA1353" i="62"/>
  <c r="A1354" i="62"/>
  <c r="Z1354" i="62"/>
  <c r="AA1354" i="62"/>
  <c r="A1355" i="62"/>
  <c r="Z1355" i="62"/>
  <c r="AA1355" i="62"/>
  <c r="A1356" i="62"/>
  <c r="Z1356" i="62"/>
  <c r="AA1356" i="62"/>
  <c r="A1357" i="62"/>
  <c r="Z1357" i="62"/>
  <c r="AA1357" i="62"/>
  <c r="A1358" i="62"/>
  <c r="Z1358" i="62"/>
  <c r="AA1358" i="62"/>
  <c r="A1359" i="62"/>
  <c r="Z1359" i="62"/>
  <c r="AA1359" i="62"/>
  <c r="A1360" i="62"/>
  <c r="Z1360" i="62"/>
  <c r="AA1360" i="62"/>
  <c r="A1361" i="62"/>
  <c r="Z1361" i="62"/>
  <c r="AA1361" i="62"/>
  <c r="A1362" i="62"/>
  <c r="Z1362" i="62"/>
  <c r="AA1362" i="62"/>
  <c r="A1363" i="62"/>
  <c r="Z1363" i="62"/>
  <c r="AA1363" i="62"/>
  <c r="A1364" i="62"/>
  <c r="Z1364" i="62"/>
  <c r="AA1364" i="62"/>
  <c r="A1365" i="62"/>
  <c r="Z1365" i="62"/>
  <c r="AA1365" i="62"/>
  <c r="A1366" i="62"/>
  <c r="Z1366" i="62"/>
  <c r="AA1366" i="62"/>
  <c r="A1367" i="62"/>
  <c r="Z1367" i="62"/>
  <c r="AA1367" i="62"/>
  <c r="A1368" i="62"/>
  <c r="Z1368" i="62"/>
  <c r="AA1368" i="62"/>
  <c r="A1369" i="62"/>
  <c r="Z1369" i="62"/>
  <c r="AA1369" i="62"/>
  <c r="A1370" i="62"/>
  <c r="Z1370" i="62"/>
  <c r="AA1370" i="62"/>
  <c r="A1371" i="62"/>
  <c r="Z1371" i="62"/>
  <c r="AA1371" i="62"/>
  <c r="A1372" i="62"/>
  <c r="Z1372" i="62"/>
  <c r="AA1372" i="62"/>
  <c r="A1373" i="62"/>
  <c r="Z1373" i="62"/>
  <c r="AA1373" i="62"/>
  <c r="A1374" i="62"/>
  <c r="Z1374" i="62"/>
  <c r="AA1374" i="62"/>
  <c r="A1375" i="62"/>
  <c r="Z1375" i="62"/>
  <c r="AA1375" i="62"/>
  <c r="A1376" i="62"/>
  <c r="Z1376" i="62"/>
  <c r="AA1376" i="62"/>
  <c r="A1377" i="62"/>
  <c r="Z1377" i="62"/>
  <c r="AA1377" i="62"/>
  <c r="A1378" i="62"/>
  <c r="Z1378" i="62"/>
  <c r="AA1378" i="62"/>
  <c r="A1379" i="62"/>
  <c r="Z1379" i="62"/>
  <c r="AA1379" i="62"/>
  <c r="A1380" i="62"/>
  <c r="Z1380" i="62"/>
  <c r="AA1380" i="62"/>
  <c r="A1381" i="62"/>
  <c r="Z1381" i="62"/>
  <c r="AA1381" i="62"/>
  <c r="A1382" i="62"/>
  <c r="Z1382" i="62"/>
  <c r="AA1382" i="62"/>
  <c r="A1383" i="62"/>
  <c r="Z1383" i="62"/>
  <c r="AA1383" i="62"/>
  <c r="A1384" i="62"/>
  <c r="Z1384" i="62"/>
  <c r="AA1384" i="62"/>
  <c r="A1385" i="62"/>
  <c r="Z1385" i="62"/>
  <c r="AA1385" i="62"/>
  <c r="A1386" i="62"/>
  <c r="Z1386" i="62"/>
  <c r="AA1386" i="62"/>
  <c r="A1387" i="62"/>
  <c r="Z1387" i="62"/>
  <c r="AA1387" i="62"/>
  <c r="A1388" i="62"/>
  <c r="Z1388" i="62"/>
  <c r="AA1388" i="62"/>
  <c r="A1389" i="62"/>
  <c r="Z1389" i="62"/>
  <c r="AA1389" i="62"/>
  <c r="A1390" i="62"/>
  <c r="Z1390" i="62"/>
  <c r="AA1390" i="62"/>
  <c r="A1391" i="62"/>
  <c r="Z1391" i="62"/>
  <c r="AA1391" i="62"/>
  <c r="A1392" i="62"/>
  <c r="Z1392" i="62"/>
  <c r="AA1392" i="62"/>
  <c r="A1393" i="62"/>
  <c r="Z1393" i="62"/>
  <c r="AA1393" i="62"/>
  <c r="A1394" i="62"/>
  <c r="Z1394" i="62"/>
  <c r="AA1394" i="62"/>
  <c r="A1395" i="62"/>
  <c r="Z1395" i="62"/>
  <c r="AA1395" i="62"/>
  <c r="A1396" i="62"/>
  <c r="Z1396" i="62"/>
  <c r="AA1396" i="62"/>
  <c r="A1397" i="62"/>
  <c r="Z1397" i="62"/>
  <c r="AA1397" i="62"/>
  <c r="A1398" i="62"/>
  <c r="Z1398" i="62"/>
  <c r="AA1398" i="62"/>
  <c r="A1399" i="62"/>
  <c r="Z1399" i="62"/>
  <c r="AA1399" i="62"/>
  <c r="A1400" i="62"/>
  <c r="Z1400" i="62"/>
  <c r="AA1400" i="62"/>
  <c r="A1401" i="62"/>
  <c r="Z1401" i="62"/>
  <c r="AA1401" i="62"/>
  <c r="A1402" i="62"/>
  <c r="Z1402" i="62"/>
  <c r="AA1402" i="62"/>
  <c r="A1403" i="62"/>
  <c r="Z1403" i="62"/>
  <c r="AA1403" i="62"/>
  <c r="A1404" i="62"/>
  <c r="Z1404" i="62"/>
  <c r="AA1404" i="62"/>
  <c r="A1405" i="62"/>
  <c r="Z1405" i="62"/>
  <c r="AA1405" i="62"/>
  <c r="A1406" i="62"/>
  <c r="Z1406" i="62"/>
  <c r="AA1406" i="62"/>
  <c r="A1407" i="62"/>
  <c r="Z1407" i="62"/>
  <c r="AA1407" i="62"/>
  <c r="A1408" i="62"/>
  <c r="Z1408" i="62"/>
  <c r="AA1408" i="62"/>
  <c r="A1409" i="62"/>
  <c r="Z1409" i="62"/>
  <c r="AA1409" i="62"/>
  <c r="A1410" i="62"/>
  <c r="Z1410" i="62"/>
  <c r="AA1410" i="62"/>
  <c r="A1411" i="62"/>
  <c r="Z1411" i="62"/>
  <c r="AA1411" i="62"/>
  <c r="A1412" i="62"/>
  <c r="Z1412" i="62"/>
  <c r="AA1412" i="62"/>
  <c r="A1413" i="62"/>
  <c r="Z1413" i="62"/>
  <c r="AA1413" i="62"/>
  <c r="A1414" i="62"/>
  <c r="Z1414" i="62"/>
  <c r="AA1414" i="62"/>
  <c r="A1415" i="62"/>
  <c r="Z1415" i="62"/>
  <c r="AA1415" i="62"/>
  <c r="A1416" i="62"/>
  <c r="Z1416" i="62"/>
  <c r="AA1416" i="62"/>
  <c r="A1417" i="62"/>
  <c r="Z1417" i="62"/>
  <c r="AA1417" i="62"/>
  <c r="A1418" i="62"/>
  <c r="Z1418" i="62"/>
  <c r="AA1418" i="62"/>
  <c r="A1419" i="62"/>
  <c r="Z1419" i="62"/>
  <c r="AA1419" i="62"/>
  <c r="A1420" i="62"/>
  <c r="Z1420" i="62"/>
  <c r="AA1420" i="62"/>
  <c r="A1421" i="62"/>
  <c r="Z1421" i="62"/>
  <c r="AA1421" i="62"/>
  <c r="A1422" i="62"/>
  <c r="Z1422" i="62"/>
  <c r="AA1422" i="62"/>
  <c r="A1423" i="62"/>
  <c r="Z1423" i="62"/>
  <c r="AA1423" i="62"/>
  <c r="A1424" i="62"/>
  <c r="Z1424" i="62"/>
  <c r="AA1424" i="62"/>
  <c r="A1425" i="62"/>
  <c r="Z1425" i="62"/>
  <c r="AA1425" i="62"/>
  <c r="A1426" i="62"/>
  <c r="Z1426" i="62"/>
  <c r="AA1426" i="62"/>
  <c r="A1427" i="62"/>
  <c r="Z1427" i="62"/>
  <c r="AA1427" i="62"/>
  <c r="A1428" i="62"/>
  <c r="Z1428" i="62"/>
  <c r="AA1428" i="62"/>
  <c r="A1429" i="62"/>
  <c r="Z1429" i="62"/>
  <c r="AA1429" i="62"/>
  <c r="A1430" i="62"/>
  <c r="Z1430" i="62"/>
  <c r="AA1430" i="62"/>
  <c r="A1431" i="62"/>
  <c r="Z1431" i="62"/>
  <c r="AA1431" i="62"/>
  <c r="A1432" i="62"/>
  <c r="Z1432" i="62"/>
  <c r="AA1432" i="62"/>
  <c r="A1433" i="62"/>
  <c r="Z1433" i="62"/>
  <c r="AA1433" i="62"/>
  <c r="A1434" i="62"/>
  <c r="Z1434" i="62"/>
  <c r="AA1434" i="62"/>
  <c r="A1435" i="62"/>
  <c r="Z1435" i="62"/>
  <c r="AA1435" i="62"/>
  <c r="A1436" i="62"/>
  <c r="Z1436" i="62"/>
  <c r="AA1436" i="62"/>
  <c r="A1437" i="62"/>
  <c r="Z1437" i="62"/>
  <c r="AA1437" i="62"/>
  <c r="A1438" i="62"/>
  <c r="Z1438" i="62"/>
  <c r="AA1438" i="62"/>
  <c r="A1439" i="62"/>
  <c r="Z1439" i="62"/>
  <c r="AA1439" i="62"/>
  <c r="A1440" i="62"/>
  <c r="Z1440" i="62"/>
  <c r="AA1440" i="62"/>
  <c r="A1441" i="62"/>
  <c r="Z1441" i="62"/>
  <c r="AA1441" i="62"/>
  <c r="A1442" i="62"/>
  <c r="Z1442" i="62"/>
  <c r="AA1442" i="62"/>
  <c r="A1443" i="62"/>
  <c r="Z1443" i="62"/>
  <c r="AA1443" i="62"/>
  <c r="A1444" i="62"/>
  <c r="Z1444" i="62"/>
  <c r="AA1444" i="62"/>
  <c r="A1445" i="62"/>
  <c r="Z1445" i="62"/>
  <c r="AA1445" i="62"/>
  <c r="A1446" i="62"/>
  <c r="Z1446" i="62"/>
  <c r="AA1446" i="62"/>
  <c r="A1447" i="62"/>
  <c r="Z1447" i="62"/>
  <c r="AA1447" i="62"/>
  <c r="A1448" i="62"/>
  <c r="Z1448" i="62"/>
  <c r="AA1448" i="62"/>
  <c r="A1449" i="62"/>
  <c r="Z1449" i="62"/>
  <c r="AA1449" i="62"/>
  <c r="A1450" i="62"/>
  <c r="Z1450" i="62"/>
  <c r="AA1450" i="62"/>
  <c r="A1451" i="62"/>
  <c r="Z1451" i="62"/>
  <c r="AA1451" i="62"/>
  <c r="A1452" i="62"/>
  <c r="Z1452" i="62"/>
  <c r="AA1452" i="62"/>
  <c r="A1453" i="62"/>
  <c r="Z1453" i="62"/>
  <c r="AA1453" i="62"/>
  <c r="A1454" i="62"/>
  <c r="Z1454" i="62"/>
  <c r="AA1454" i="62"/>
  <c r="A1455" i="62"/>
  <c r="Z1455" i="62"/>
  <c r="AA1455" i="62"/>
  <c r="A1456" i="62"/>
  <c r="Z1456" i="62"/>
  <c r="AA1456" i="62"/>
  <c r="A1457" i="62"/>
  <c r="Z1457" i="62"/>
  <c r="AA1457" i="62"/>
  <c r="A1458" i="62"/>
  <c r="Z1458" i="62"/>
  <c r="AA1458" i="62"/>
  <c r="A1459" i="62"/>
  <c r="Z1459" i="62"/>
  <c r="AA1459" i="62"/>
  <c r="A1460" i="62"/>
  <c r="Z1460" i="62"/>
  <c r="AA1460" i="62"/>
  <c r="A1461" i="62"/>
  <c r="Z1461" i="62"/>
  <c r="AA1461" i="62"/>
  <c r="A1462" i="62"/>
  <c r="Z1462" i="62"/>
  <c r="AA1462" i="62"/>
  <c r="A1463" i="62"/>
  <c r="Z1463" i="62"/>
  <c r="AA1463" i="62"/>
  <c r="A1464" i="62"/>
  <c r="Z1464" i="62"/>
  <c r="AA1464" i="62"/>
  <c r="A1465" i="62"/>
  <c r="Z1465" i="62"/>
  <c r="AA1465" i="62"/>
  <c r="A1466" i="62"/>
  <c r="Z1466" i="62"/>
  <c r="AA1466" i="62"/>
  <c r="A1467" i="62"/>
  <c r="Z1467" i="62"/>
  <c r="AA1467" i="62"/>
  <c r="A1468" i="62"/>
  <c r="Z1468" i="62"/>
  <c r="AA1468" i="62"/>
  <c r="A1469" i="62"/>
  <c r="Z1469" i="62"/>
  <c r="AA1469" i="62"/>
  <c r="A1470" i="62"/>
  <c r="Z1470" i="62"/>
  <c r="AA1470" i="62"/>
  <c r="A1471" i="62"/>
  <c r="Z1471" i="62"/>
  <c r="AA1471" i="62"/>
  <c r="A1472" i="62"/>
  <c r="Z1472" i="62"/>
  <c r="AA1472" i="62"/>
  <c r="A1473" i="62"/>
  <c r="Z1473" i="62"/>
  <c r="AA1473" i="62"/>
  <c r="A1474" i="62"/>
  <c r="Z1474" i="62"/>
  <c r="AA1474" i="62"/>
  <c r="A1475" i="62"/>
  <c r="Z1475" i="62"/>
  <c r="AA1475" i="62"/>
  <c r="A1476" i="62"/>
  <c r="Z1476" i="62"/>
  <c r="AA1476" i="62"/>
  <c r="A1477" i="62"/>
  <c r="Z1477" i="62"/>
  <c r="AA1477" i="62"/>
  <c r="A1478" i="62"/>
  <c r="Z1478" i="62"/>
  <c r="AA1478" i="62"/>
  <c r="A1479" i="62"/>
  <c r="Z1479" i="62"/>
  <c r="AA1479" i="62"/>
  <c r="A1480" i="62"/>
  <c r="Z1480" i="62"/>
  <c r="AA1480" i="62"/>
  <c r="A1481" i="62"/>
  <c r="Z1481" i="62"/>
  <c r="AA1481" i="62"/>
  <c r="A1482" i="62"/>
  <c r="Z1482" i="62"/>
  <c r="AA1482" i="62"/>
  <c r="A1483" i="62"/>
  <c r="Z1483" i="62"/>
  <c r="AA1483" i="62"/>
  <c r="A1484" i="62"/>
  <c r="Z1484" i="62"/>
  <c r="AA1484" i="62"/>
  <c r="A1485" i="62"/>
  <c r="Z1485" i="62"/>
  <c r="AA1485" i="62"/>
  <c r="A1486" i="62"/>
  <c r="Z1486" i="62"/>
  <c r="AA1486" i="62"/>
  <c r="A1487" i="62"/>
  <c r="Z1487" i="62"/>
  <c r="AA1487" i="62"/>
  <c r="A1488" i="62"/>
  <c r="Z1488" i="62"/>
  <c r="AA1488" i="62"/>
  <c r="A1489" i="62"/>
  <c r="Z1489" i="62"/>
  <c r="AA1489" i="62"/>
  <c r="A1490" i="62"/>
  <c r="Z1490" i="62"/>
  <c r="AA1490" i="62"/>
  <c r="A1491" i="62"/>
  <c r="Z1491" i="62"/>
  <c r="AA1491" i="62"/>
  <c r="A1492" i="62"/>
  <c r="Z1492" i="62"/>
  <c r="AA1492" i="62"/>
  <c r="A1493" i="62"/>
  <c r="Z1493" i="62"/>
  <c r="AA1493" i="62"/>
  <c r="A1494" i="62"/>
  <c r="Z1494" i="62"/>
  <c r="AA1494" i="62"/>
  <c r="A1495" i="62"/>
  <c r="Z1495" i="62"/>
  <c r="AA1495" i="62"/>
  <c r="A1496" i="62"/>
  <c r="Z1496" i="62"/>
  <c r="AA1496" i="62"/>
  <c r="A1497" i="62"/>
  <c r="Z1497" i="62"/>
  <c r="AA1497" i="62"/>
  <c r="A1498" i="62"/>
  <c r="Z1498" i="62"/>
  <c r="AA1498" i="62"/>
  <c r="A1499" i="62"/>
  <c r="Z1499" i="62"/>
  <c r="AA1499" i="62"/>
  <c r="A1500" i="62"/>
  <c r="Z1500" i="62"/>
  <c r="AA1500" i="62"/>
  <c r="A1501" i="62"/>
  <c r="Z1501" i="62"/>
  <c r="AA1501" i="62"/>
  <c r="A1502" i="62"/>
  <c r="Z1502" i="62"/>
  <c r="AA1502" i="62"/>
  <c r="A1503" i="62"/>
  <c r="Z1503" i="62"/>
  <c r="AA1503" i="62"/>
  <c r="A1504" i="62"/>
  <c r="Z1504" i="62"/>
  <c r="AA1504" i="62"/>
  <c r="A1505" i="62"/>
  <c r="Z1505" i="62"/>
  <c r="AA1505" i="62"/>
  <c r="A1506" i="62"/>
  <c r="Z1506" i="62"/>
  <c r="AA1506" i="62"/>
  <c r="A1507" i="62"/>
  <c r="Z1507" i="62"/>
  <c r="AA1507" i="62"/>
  <c r="A1508" i="62"/>
  <c r="Z1508" i="62"/>
  <c r="AA1508" i="62"/>
  <c r="A1509" i="62"/>
  <c r="Z1509" i="62"/>
  <c r="AA1509" i="62"/>
  <c r="A1510" i="62"/>
  <c r="Z1510" i="62"/>
  <c r="AA1510" i="62"/>
  <c r="A1511" i="62"/>
  <c r="Z1511" i="62"/>
  <c r="AA1511" i="62"/>
  <c r="A1512" i="62"/>
  <c r="Z1512" i="62"/>
  <c r="AA1512" i="62"/>
  <c r="A1513" i="62"/>
  <c r="Z1513" i="62"/>
  <c r="AA1513" i="62"/>
  <c r="A1514" i="62"/>
  <c r="Z1514" i="62"/>
  <c r="AA1514" i="62"/>
  <c r="A1515" i="62"/>
  <c r="Z1515" i="62"/>
  <c r="AA1515" i="62"/>
  <c r="A1516" i="62"/>
  <c r="Z1516" i="62"/>
  <c r="AA1516" i="62"/>
  <c r="A1517" i="62"/>
  <c r="Z1517" i="62"/>
  <c r="AA1517" i="62"/>
  <c r="A1518" i="62"/>
  <c r="Z1518" i="62"/>
  <c r="AA1518" i="62"/>
  <c r="A1519" i="62"/>
  <c r="Z1519" i="62"/>
  <c r="AA1519" i="62"/>
  <c r="A1520" i="62"/>
  <c r="Z1520" i="62"/>
  <c r="AA1520" i="62"/>
  <c r="A1521" i="62"/>
  <c r="Z1521" i="62"/>
  <c r="AA1521" i="62"/>
  <c r="A1522" i="62"/>
  <c r="Z1522" i="62"/>
  <c r="AA1522" i="62"/>
  <c r="A1523" i="62"/>
  <c r="Z1523" i="62"/>
  <c r="AA1523" i="62"/>
  <c r="A1524" i="62"/>
  <c r="Z1524" i="62"/>
  <c r="AA1524" i="62"/>
  <c r="A1525" i="62"/>
  <c r="Z1525" i="62"/>
  <c r="AA1525" i="62"/>
  <c r="A1526" i="62"/>
  <c r="Z1526" i="62"/>
  <c r="AA1526" i="62"/>
  <c r="A1527" i="62"/>
  <c r="Z1527" i="62"/>
  <c r="AA1527" i="62"/>
  <c r="A1528" i="62"/>
  <c r="Z1528" i="62"/>
  <c r="AA1528" i="62"/>
  <c r="A1529" i="62"/>
  <c r="Z1529" i="62"/>
  <c r="AA1529" i="62"/>
  <c r="A1530" i="62"/>
  <c r="Z1530" i="62"/>
  <c r="AA1530" i="62"/>
  <c r="A1531" i="62"/>
  <c r="Z1531" i="62"/>
  <c r="AA1531" i="62"/>
  <c r="A1532" i="62"/>
  <c r="Z1532" i="62"/>
  <c r="AA1532" i="62"/>
  <c r="A1533" i="62"/>
  <c r="Z1533" i="62"/>
  <c r="AA1533" i="62"/>
  <c r="A1534" i="62"/>
  <c r="Z1534" i="62"/>
  <c r="AA1534" i="62"/>
  <c r="A1535" i="62"/>
  <c r="Z1535" i="62"/>
  <c r="AA1535" i="62"/>
  <c r="A1536" i="62"/>
  <c r="Z1536" i="62"/>
  <c r="AA1536" i="62"/>
  <c r="A1537" i="62"/>
  <c r="Z1537" i="62"/>
  <c r="AA1537" i="62"/>
  <c r="A1538" i="62"/>
  <c r="Z1538" i="62"/>
  <c r="AA1538" i="62"/>
  <c r="A1539" i="62"/>
  <c r="Z1539" i="62"/>
  <c r="AA1539" i="62"/>
  <c r="A1540" i="62"/>
  <c r="Z1540" i="62"/>
  <c r="AA1540" i="62"/>
  <c r="A1541" i="62"/>
  <c r="Z1541" i="62"/>
  <c r="AA1541" i="62"/>
  <c r="A1542" i="62"/>
  <c r="Z1542" i="62"/>
  <c r="AA1542" i="62"/>
  <c r="A1543" i="62"/>
  <c r="Z1543" i="62"/>
  <c r="AA1543" i="62"/>
  <c r="A1544" i="62"/>
  <c r="Z1544" i="62"/>
  <c r="AA1544" i="62"/>
  <c r="A1545" i="62"/>
  <c r="Z1545" i="62"/>
  <c r="AA1545" i="62"/>
  <c r="A1546" i="62"/>
  <c r="Z1546" i="62"/>
  <c r="AA1546" i="62"/>
  <c r="A1547" i="62"/>
  <c r="Z1547" i="62"/>
  <c r="AA1547" i="62"/>
  <c r="A1548" i="62"/>
  <c r="Z1548" i="62"/>
  <c r="AA1548" i="62"/>
  <c r="A1549" i="62"/>
  <c r="Z1549" i="62"/>
  <c r="AA1549" i="62"/>
  <c r="A1550" i="62"/>
  <c r="Z1550" i="62"/>
  <c r="AA1550" i="62"/>
  <c r="A1551" i="62"/>
  <c r="Z1551" i="62"/>
  <c r="AA1551" i="62"/>
  <c r="A1552" i="62"/>
  <c r="Z1552" i="62"/>
  <c r="AA1552" i="62"/>
  <c r="A1553" i="62"/>
  <c r="Z1553" i="62"/>
  <c r="AA1553" i="62"/>
  <c r="A1554" i="62"/>
  <c r="Z1554" i="62"/>
  <c r="AA1554" i="62"/>
  <c r="A1555" i="62"/>
  <c r="Z1555" i="62"/>
  <c r="AA1555" i="62"/>
  <c r="A1556" i="62"/>
  <c r="Z1556" i="62"/>
  <c r="AA1556" i="62"/>
  <c r="A1557" i="62"/>
  <c r="Z1557" i="62"/>
  <c r="AA1557" i="62"/>
  <c r="A1558" i="62"/>
  <c r="Z1558" i="62"/>
  <c r="AA1558" i="62"/>
  <c r="A1559" i="62"/>
  <c r="Z1559" i="62"/>
  <c r="AA1559" i="62"/>
  <c r="A1560" i="62"/>
  <c r="Z1560" i="62"/>
  <c r="AA1560" i="62"/>
  <c r="A1561" i="62"/>
  <c r="Z1561" i="62"/>
  <c r="AA1561" i="62"/>
  <c r="A1562" i="62"/>
  <c r="Z1562" i="62"/>
  <c r="AA1562" i="62"/>
  <c r="A1563" i="62"/>
  <c r="Z1563" i="62"/>
  <c r="AA1563" i="62"/>
  <c r="A1564" i="62"/>
  <c r="Z1564" i="62"/>
  <c r="AA1564" i="62"/>
  <c r="A1565" i="62"/>
  <c r="Z1565" i="62"/>
  <c r="AA1565" i="62"/>
  <c r="A1566" i="62"/>
  <c r="Z1566" i="62"/>
  <c r="AA1566" i="62"/>
  <c r="A1567" i="62"/>
  <c r="Z1567" i="62"/>
  <c r="AA1567" i="62"/>
  <c r="A1568" i="62"/>
  <c r="Z1568" i="62"/>
  <c r="AA1568" i="62"/>
  <c r="A1569" i="62"/>
  <c r="Z1569" i="62"/>
  <c r="AA1569" i="62"/>
  <c r="A1570" i="62"/>
  <c r="Z1570" i="62"/>
  <c r="AA1570" i="62"/>
  <c r="A1571" i="62"/>
  <c r="Z1571" i="62"/>
  <c r="AA1571" i="62"/>
  <c r="A1572" i="62"/>
  <c r="Z1572" i="62"/>
  <c r="AA1572" i="62"/>
  <c r="A1573" i="62"/>
  <c r="Z1573" i="62"/>
  <c r="AA1573" i="62"/>
  <c r="A1574" i="62"/>
  <c r="Z1574" i="62"/>
  <c r="AA1574" i="62"/>
  <c r="A1575" i="62"/>
  <c r="Z1575" i="62"/>
  <c r="AA1575" i="62"/>
  <c r="A1576" i="62"/>
  <c r="Z1576" i="62"/>
  <c r="AA1576" i="62"/>
  <c r="A1577" i="62"/>
  <c r="Z1577" i="62"/>
  <c r="AA1577" i="62"/>
  <c r="A1578" i="62"/>
  <c r="Z1578" i="62"/>
  <c r="AA1578" i="62"/>
  <c r="A1579" i="62"/>
  <c r="Z1579" i="62"/>
  <c r="AA1579" i="62"/>
  <c r="A1580" i="62"/>
  <c r="Z1580" i="62"/>
  <c r="AA1580" i="62"/>
  <c r="A1581" i="62"/>
  <c r="Z1581" i="62"/>
  <c r="AA1581" i="62"/>
  <c r="A1582" i="62"/>
  <c r="Z1582" i="62"/>
  <c r="AA1582" i="62"/>
  <c r="A1583" i="62"/>
  <c r="Z1583" i="62"/>
  <c r="AA1583" i="62"/>
  <c r="A1584" i="62"/>
  <c r="Z1584" i="62"/>
  <c r="AA1584" i="62"/>
  <c r="A1585" i="62"/>
  <c r="Z1585" i="62"/>
  <c r="AA1585" i="62"/>
  <c r="A1586" i="62"/>
  <c r="Z1586" i="62"/>
  <c r="AA1586" i="62"/>
  <c r="A1587" i="62"/>
  <c r="Z1587" i="62"/>
  <c r="AA1587" i="62"/>
  <c r="A1588" i="62"/>
  <c r="Z1588" i="62"/>
  <c r="AA1588" i="62"/>
  <c r="A1589" i="62"/>
  <c r="Z1589" i="62"/>
  <c r="AA1589" i="62"/>
  <c r="A1590" i="62"/>
  <c r="Z1590" i="62"/>
  <c r="AA1590" i="62"/>
  <c r="A1591" i="62"/>
  <c r="Z1591" i="62"/>
  <c r="AA1591" i="62"/>
  <c r="A1592" i="62"/>
  <c r="Z1592" i="62"/>
  <c r="AA1592" i="62"/>
  <c r="A1593" i="62"/>
  <c r="Z1593" i="62"/>
  <c r="AA1593" i="62"/>
  <c r="A1594" i="62"/>
  <c r="Z1594" i="62"/>
  <c r="AA1594" i="62"/>
  <c r="A1595" i="62"/>
  <c r="Z1595" i="62"/>
  <c r="AA1595" i="62"/>
  <c r="A1596" i="62"/>
  <c r="Z1596" i="62"/>
  <c r="AA1596" i="62"/>
  <c r="A1597" i="62"/>
  <c r="Z1597" i="62"/>
  <c r="AA1597" i="62"/>
  <c r="A1598" i="62"/>
  <c r="Z1598" i="62"/>
  <c r="AA1598" i="62"/>
  <c r="A1599" i="62"/>
  <c r="Z1599" i="62"/>
  <c r="AA1599" i="62"/>
  <c r="A1600" i="62"/>
  <c r="Z1600" i="62"/>
  <c r="AA1600" i="62"/>
  <c r="A1601" i="62"/>
  <c r="Z1601" i="62"/>
  <c r="AA1601" i="62"/>
  <c r="A1602" i="62"/>
  <c r="Z1602" i="62"/>
  <c r="AA1602" i="62"/>
  <c r="A1603" i="62"/>
  <c r="Z1603" i="62"/>
  <c r="AA1603" i="62"/>
  <c r="A1604" i="62"/>
  <c r="Z1604" i="62"/>
  <c r="AA1604" i="62"/>
  <c r="A1605" i="62"/>
  <c r="Z1605" i="62"/>
  <c r="AA1605" i="62"/>
  <c r="A1606" i="62"/>
  <c r="Z1606" i="62"/>
  <c r="AA1606" i="62"/>
  <c r="A1607" i="62"/>
  <c r="Z1607" i="62"/>
  <c r="AA1607" i="62"/>
  <c r="A1608" i="62"/>
  <c r="Z1608" i="62"/>
  <c r="AA1608" i="62"/>
  <c r="A1609" i="62"/>
  <c r="Z1609" i="62"/>
  <c r="AA1609" i="62"/>
  <c r="A1610" i="62"/>
  <c r="Z1610" i="62"/>
  <c r="AA1610" i="62"/>
  <c r="A1611" i="62"/>
  <c r="Z1611" i="62"/>
  <c r="AA1611" i="62"/>
  <c r="A1612" i="62"/>
  <c r="Z1612" i="62"/>
  <c r="AA1612" i="62"/>
  <c r="A1613" i="62"/>
  <c r="Z1613" i="62"/>
  <c r="AA1613" i="62"/>
  <c r="A1614" i="62"/>
  <c r="Z1614" i="62"/>
  <c r="AA1614" i="62"/>
  <c r="A1615" i="62"/>
  <c r="Z1615" i="62"/>
  <c r="AA1615" i="62"/>
  <c r="A1616" i="62"/>
  <c r="Z1616" i="62"/>
  <c r="AA1616" i="62"/>
  <c r="A1617" i="62"/>
  <c r="Z1617" i="62"/>
  <c r="AA1617" i="62"/>
  <c r="A1618" i="62"/>
  <c r="Z1618" i="62"/>
  <c r="AA1618" i="62"/>
  <c r="A1619" i="62"/>
  <c r="Z1619" i="62"/>
  <c r="AA1619" i="62"/>
  <c r="A1620" i="62"/>
  <c r="Z1620" i="62"/>
  <c r="AA1620" i="62"/>
  <c r="A1621" i="62"/>
  <c r="Z1621" i="62"/>
  <c r="AA1621" i="62"/>
  <c r="A1622" i="62"/>
  <c r="Z1622" i="62"/>
  <c r="AA1622" i="62"/>
  <c r="A1623" i="62"/>
  <c r="Z1623" i="62"/>
  <c r="AA1623" i="62"/>
  <c r="A1624" i="62"/>
  <c r="Z1624" i="62"/>
  <c r="AA1624" i="62"/>
  <c r="A1625" i="62"/>
  <c r="Z1625" i="62"/>
  <c r="AA1625" i="62"/>
  <c r="A1626" i="62"/>
  <c r="Z1626" i="62"/>
  <c r="AA1626" i="62"/>
  <c r="A1627" i="62"/>
  <c r="Z1627" i="62"/>
  <c r="AA1627" i="62"/>
  <c r="A1628" i="62"/>
  <c r="Z1628" i="62"/>
  <c r="AA1628" i="62"/>
  <c r="A1629" i="62"/>
  <c r="Z1629" i="62"/>
  <c r="AA1629" i="62"/>
  <c r="A1630" i="62"/>
  <c r="Z1630" i="62"/>
  <c r="AA1630" i="62"/>
  <c r="A1631" i="62"/>
  <c r="Z1631" i="62"/>
  <c r="AA1631" i="62"/>
  <c r="A1632" i="62"/>
  <c r="Z1632" i="62"/>
  <c r="AA1632" i="62"/>
  <c r="A1633" i="62"/>
  <c r="Z1633" i="62"/>
  <c r="AA1633" i="62"/>
  <c r="A1634" i="62"/>
  <c r="Z1634" i="62"/>
  <c r="AA1634" i="62"/>
  <c r="A1635" i="62"/>
  <c r="Z1635" i="62"/>
  <c r="AA1635" i="62"/>
  <c r="A1636" i="62"/>
  <c r="Z1636" i="62"/>
  <c r="AA1636" i="62"/>
  <c r="A1637" i="62"/>
  <c r="Z1637" i="62"/>
  <c r="AA1637" i="62"/>
  <c r="A1638" i="62"/>
  <c r="Z1638" i="62"/>
  <c r="AA1638" i="62"/>
  <c r="A1639" i="62"/>
  <c r="Z1639" i="62"/>
  <c r="AA1639" i="62"/>
  <c r="A1640" i="62"/>
  <c r="Z1640" i="62"/>
  <c r="AA1640" i="62"/>
  <c r="A1641" i="62"/>
  <c r="Z1641" i="62"/>
  <c r="AA1641" i="62"/>
  <c r="A1642" i="62"/>
  <c r="Z1642" i="62"/>
  <c r="AA1642" i="62"/>
  <c r="A1643" i="62"/>
  <c r="Z1643" i="62"/>
  <c r="AA1643" i="62"/>
  <c r="A1644" i="62"/>
  <c r="Z1644" i="62"/>
  <c r="AA1644" i="62"/>
  <c r="A1645" i="62"/>
  <c r="Z1645" i="62"/>
  <c r="AA1645" i="62"/>
  <c r="A1646" i="62"/>
  <c r="Z1646" i="62"/>
  <c r="AA1646" i="62"/>
  <c r="A1647" i="62"/>
  <c r="Z1647" i="62"/>
  <c r="AA1647" i="62"/>
  <c r="A1648" i="62"/>
  <c r="Z1648" i="62"/>
  <c r="AA1648" i="62"/>
  <c r="A1649" i="62"/>
  <c r="Z1649" i="62"/>
  <c r="AA1649" i="62"/>
  <c r="A1650" i="62"/>
  <c r="Z1650" i="62"/>
  <c r="AA1650" i="62"/>
  <c r="A1651" i="62"/>
  <c r="Z1651" i="62"/>
  <c r="AA1651" i="62"/>
  <c r="A1652" i="62"/>
  <c r="Z1652" i="62"/>
  <c r="AA1652" i="62"/>
  <c r="A1653" i="62"/>
  <c r="Z1653" i="62"/>
  <c r="AA1653" i="62"/>
  <c r="A1654" i="62"/>
  <c r="Z1654" i="62"/>
  <c r="AA1654" i="62"/>
  <c r="A1655" i="62"/>
  <c r="Z1655" i="62"/>
  <c r="AA1655" i="62"/>
  <c r="A1656" i="62"/>
  <c r="Z1656" i="62"/>
  <c r="AA1656" i="62"/>
  <c r="A1657" i="62"/>
  <c r="Z1657" i="62"/>
  <c r="AA1657" i="62"/>
  <c r="A1658" i="62"/>
  <c r="Z1658" i="62"/>
  <c r="AA1658" i="62"/>
  <c r="A1659" i="62"/>
  <c r="Z1659" i="62"/>
  <c r="AA1659" i="62"/>
  <c r="A1660" i="62"/>
  <c r="Z1660" i="62"/>
  <c r="AA1660" i="62"/>
  <c r="A1661" i="62"/>
  <c r="Z1661" i="62"/>
  <c r="AA1661" i="62"/>
  <c r="A1662" i="62"/>
  <c r="Z1662" i="62"/>
  <c r="AA1662" i="62"/>
  <c r="A1663" i="62"/>
  <c r="Z1663" i="62"/>
  <c r="AA1663" i="62"/>
  <c r="A1664" i="62"/>
  <c r="Z1664" i="62"/>
  <c r="AA1664" i="62"/>
  <c r="A1665" i="62"/>
  <c r="Z1665" i="62"/>
  <c r="AA1665" i="62"/>
  <c r="A1666" i="62"/>
  <c r="Z1666" i="62"/>
  <c r="AA1666" i="62"/>
  <c r="A1667" i="62"/>
  <c r="Z1667" i="62"/>
  <c r="AA1667" i="62"/>
  <c r="A1668" i="62"/>
  <c r="Z1668" i="62"/>
  <c r="AA1668" i="62"/>
  <c r="A1669" i="62"/>
  <c r="Z1669" i="62"/>
  <c r="AA1669" i="62"/>
  <c r="A1670" i="62"/>
  <c r="Z1670" i="62"/>
  <c r="AA1670" i="62"/>
  <c r="A1671" i="62"/>
  <c r="Z1671" i="62"/>
  <c r="AA1671" i="62"/>
  <c r="A1672" i="62"/>
  <c r="Z1672" i="62"/>
  <c r="AA1672" i="62"/>
  <c r="A1673" i="62"/>
  <c r="Z1673" i="62"/>
  <c r="AA1673" i="62"/>
  <c r="A1674" i="62"/>
  <c r="Z1674" i="62"/>
  <c r="AA1674" i="62"/>
  <c r="A1675" i="62"/>
  <c r="Z1675" i="62"/>
  <c r="AA1675" i="62"/>
  <c r="A1676" i="62"/>
  <c r="Z1676" i="62"/>
  <c r="AA1676" i="62"/>
  <c r="A1677" i="62"/>
  <c r="Z1677" i="62"/>
  <c r="AA1677" i="62"/>
  <c r="A1678" i="62"/>
  <c r="Z1678" i="62"/>
  <c r="AA1678" i="62"/>
  <c r="A1679" i="62"/>
  <c r="Z1679" i="62"/>
  <c r="AA1679" i="62"/>
  <c r="A1680" i="62"/>
  <c r="Z1680" i="62"/>
  <c r="AA1680" i="62"/>
  <c r="A1681" i="62"/>
  <c r="Z1681" i="62"/>
  <c r="AA1681" i="62"/>
  <c r="A1682" i="62"/>
  <c r="Z1682" i="62"/>
  <c r="AA1682" i="62"/>
  <c r="A1683" i="62"/>
  <c r="Z1683" i="62"/>
  <c r="AA1683" i="62"/>
  <c r="A1684" i="62"/>
  <c r="Z1684" i="62"/>
  <c r="AA1684" i="62"/>
  <c r="A1685" i="62"/>
  <c r="Z1685" i="62"/>
  <c r="AA1685" i="62"/>
  <c r="A1686" i="62"/>
  <c r="Z1686" i="62"/>
  <c r="AA1686" i="62"/>
  <c r="A1687" i="62"/>
  <c r="Z1687" i="62"/>
  <c r="AA1687" i="62"/>
  <c r="A1688" i="62"/>
  <c r="Z1688" i="62"/>
  <c r="AA1688" i="62"/>
  <c r="A1689" i="62"/>
  <c r="Z1689" i="62"/>
  <c r="AA1689" i="62"/>
  <c r="A1690" i="62"/>
  <c r="Z1690" i="62"/>
  <c r="AA1690" i="62"/>
  <c r="A1691" i="62"/>
  <c r="Z1691" i="62"/>
  <c r="AA1691" i="62"/>
  <c r="A1692" i="62"/>
  <c r="Z1692" i="62"/>
  <c r="AA1692" i="62"/>
  <c r="A1693" i="62"/>
  <c r="Z1693" i="62"/>
  <c r="AA1693" i="62"/>
  <c r="A1694" i="62"/>
  <c r="Z1694" i="62"/>
  <c r="AA1694" i="62"/>
  <c r="A1695" i="62"/>
  <c r="Z1695" i="62"/>
  <c r="AA1695" i="62"/>
  <c r="A1696" i="62"/>
  <c r="Z1696" i="62"/>
  <c r="AA1696" i="62"/>
  <c r="A1697" i="62"/>
  <c r="Z1697" i="62"/>
  <c r="AA1697" i="62"/>
  <c r="A1698" i="62"/>
  <c r="Z1698" i="62"/>
  <c r="AA1698" i="62"/>
  <c r="A1699" i="62"/>
  <c r="Z1699" i="62"/>
  <c r="AA1699" i="62"/>
  <c r="A1700" i="62"/>
  <c r="Z1700" i="62"/>
  <c r="AA1700" i="62"/>
  <c r="A1701" i="62"/>
  <c r="Z1701" i="62"/>
  <c r="AA1701" i="62"/>
  <c r="A1702" i="62"/>
  <c r="Z1702" i="62"/>
  <c r="AA1702" i="62"/>
  <c r="A1703" i="62"/>
  <c r="Z1703" i="62"/>
  <c r="AA1703" i="62"/>
  <c r="A1704" i="62"/>
  <c r="Z1704" i="62"/>
  <c r="AA1704" i="62"/>
  <c r="A1705" i="62"/>
  <c r="Z1705" i="62"/>
  <c r="AA1705" i="62"/>
  <c r="A1706" i="62"/>
  <c r="Z1706" i="62"/>
  <c r="AA1706" i="62"/>
  <c r="A1707" i="62"/>
  <c r="Z1707" i="62"/>
  <c r="AA1707" i="62"/>
  <c r="A1708" i="62"/>
  <c r="Z1708" i="62"/>
  <c r="AA1708" i="62"/>
  <c r="A1709" i="62"/>
  <c r="Z1709" i="62"/>
  <c r="AA1709" i="62"/>
  <c r="A1710" i="62"/>
  <c r="Z1710" i="62"/>
  <c r="AA1710" i="62"/>
  <c r="A1711" i="62"/>
  <c r="Z1711" i="62"/>
  <c r="AA1711" i="62"/>
  <c r="A1712" i="62"/>
  <c r="Z1712" i="62"/>
  <c r="AA1712" i="62"/>
  <c r="A1713" i="62"/>
  <c r="Z1713" i="62"/>
  <c r="AA1713" i="62"/>
  <c r="A1714" i="62"/>
  <c r="Z1714" i="62"/>
  <c r="AA1714" i="62"/>
  <c r="A1715" i="62"/>
  <c r="Z1715" i="62"/>
  <c r="AA1715" i="62"/>
  <c r="A1716" i="62"/>
  <c r="Z1716" i="62"/>
  <c r="AA1716" i="62"/>
  <c r="A1717" i="62"/>
  <c r="X1717" i="62"/>
  <c r="Z1717" i="62"/>
  <c r="AA1717" i="62"/>
  <c r="A1718" i="62"/>
  <c r="Z1718" i="62"/>
  <c r="AA1718" i="62"/>
  <c r="A1719" i="62"/>
  <c r="Z1719" i="62"/>
  <c r="AA1719" i="62"/>
  <c r="A1720" i="62"/>
  <c r="Z1720" i="62"/>
  <c r="AA1720" i="62"/>
  <c r="A1721" i="62"/>
  <c r="Z1721" i="62"/>
  <c r="AA1721" i="62"/>
  <c r="A1722" i="62"/>
  <c r="Z1722" i="62"/>
  <c r="AA1722" i="62"/>
  <c r="A1723" i="62"/>
  <c r="Z1723" i="62"/>
  <c r="AA1723" i="62"/>
  <c r="A1724" i="62"/>
  <c r="Z1724" i="62"/>
  <c r="AA1724" i="62"/>
  <c r="A1725" i="62"/>
  <c r="Z1725" i="62"/>
  <c r="AA1725" i="62"/>
  <c r="A1726" i="62"/>
  <c r="Z1726" i="62"/>
  <c r="AA1726" i="62"/>
  <c r="A1727" i="62"/>
  <c r="Z1727" i="62"/>
  <c r="AA1727" i="62"/>
  <c r="A1728" i="62"/>
  <c r="Z1728" i="62"/>
  <c r="AA1728" i="62"/>
  <c r="A1729" i="62"/>
  <c r="Z1729" i="62"/>
  <c r="AA1729" i="62"/>
  <c r="A1730" i="62"/>
  <c r="Z1730" i="62"/>
  <c r="AA1730" i="62"/>
  <c r="A1731" i="62"/>
  <c r="Z1731" i="62"/>
  <c r="AA1731" i="62"/>
  <c r="A1732" i="62"/>
  <c r="Z1732" i="62"/>
  <c r="AA1732" i="62"/>
  <c r="A1733" i="62"/>
  <c r="Z1733" i="62"/>
  <c r="AA1733" i="62"/>
  <c r="A1734" i="62"/>
  <c r="Z1734" i="62"/>
  <c r="AA1734" i="62"/>
  <c r="A1735" i="62"/>
  <c r="Z1735" i="62"/>
  <c r="AA1735" i="62"/>
  <c r="A1736" i="62"/>
  <c r="Z1736" i="62"/>
  <c r="AA1736" i="62"/>
  <c r="A1737" i="62"/>
  <c r="Z1737" i="62"/>
  <c r="AA1737" i="62"/>
  <c r="A1738" i="62"/>
  <c r="Z1738" i="62"/>
  <c r="AA1738" i="62"/>
  <c r="A1739" i="62"/>
  <c r="Z1739" i="62"/>
  <c r="AA1739" i="62"/>
  <c r="A1740" i="62"/>
  <c r="Z1740" i="62"/>
  <c r="AA1740" i="62"/>
  <c r="A1741" i="62"/>
  <c r="Z1741" i="62"/>
  <c r="AA1741" i="62"/>
  <c r="A1742" i="62"/>
  <c r="Z1742" i="62"/>
  <c r="AA1742" i="62"/>
  <c r="A1743" i="62"/>
  <c r="Z1743" i="62"/>
  <c r="AA1743" i="62"/>
  <c r="A1744" i="62"/>
  <c r="Z1744" i="62"/>
  <c r="AA1744" i="62"/>
  <c r="A1745" i="62"/>
  <c r="Z1745" i="62"/>
  <c r="AA1745" i="62"/>
  <c r="A1746" i="62"/>
  <c r="Z1746" i="62"/>
  <c r="AA1746" i="62"/>
  <c r="A1747" i="62"/>
  <c r="Z1747" i="62"/>
  <c r="AA1747" i="62"/>
  <c r="A1748" i="62"/>
  <c r="Z1748" i="62"/>
  <c r="AA1748" i="62"/>
  <c r="A1749" i="62"/>
  <c r="Z1749" i="62"/>
  <c r="AA1749" i="62"/>
  <c r="A1750" i="62"/>
  <c r="Z1750" i="62"/>
  <c r="AA1750" i="62"/>
  <c r="A1751" i="62"/>
  <c r="Z1751" i="62"/>
  <c r="AA1751" i="62"/>
  <c r="A1752" i="62"/>
  <c r="Z1752" i="62"/>
  <c r="AA1752" i="62"/>
  <c r="A1753" i="62"/>
  <c r="Z1753" i="62"/>
  <c r="AA1753" i="62"/>
  <c r="A1754" i="62"/>
  <c r="Z1754" i="62"/>
  <c r="AA1754" i="62"/>
  <c r="A1755" i="62"/>
  <c r="Z1755" i="62"/>
  <c r="AA1755" i="62"/>
  <c r="A1756" i="62"/>
  <c r="Z1756" i="62"/>
  <c r="AA1756" i="62"/>
  <c r="A1757" i="62"/>
  <c r="Z1757" i="62"/>
  <c r="AA1757" i="62"/>
  <c r="A1758" i="62"/>
  <c r="Z1758" i="62"/>
  <c r="AA1758" i="62"/>
  <c r="A1759" i="62"/>
  <c r="Z1759" i="62"/>
  <c r="AA1759" i="62"/>
  <c r="A1760" i="62"/>
  <c r="Z1760" i="62"/>
  <c r="AA1760" i="62"/>
  <c r="A1761" i="62"/>
  <c r="Z1761" i="62"/>
  <c r="AA1761" i="62"/>
  <c r="A1762" i="62"/>
  <c r="Z1762" i="62"/>
  <c r="AA1762" i="62"/>
  <c r="A1763" i="62"/>
  <c r="Z1763" i="62"/>
  <c r="AA1763" i="62"/>
  <c r="A1764" i="62"/>
  <c r="Z1764" i="62"/>
  <c r="AA1764" i="62"/>
  <c r="A1765" i="62"/>
  <c r="Z1765" i="62"/>
  <c r="AA1765" i="62"/>
  <c r="A1766" i="62"/>
  <c r="Z1766" i="62"/>
  <c r="AA1766" i="62"/>
  <c r="A1767" i="62"/>
  <c r="Z1767" i="62"/>
  <c r="AA1767" i="62"/>
  <c r="A1768" i="62"/>
  <c r="Z1768" i="62"/>
  <c r="AA1768" i="62"/>
  <c r="A1769" i="62"/>
  <c r="Z1769" i="62"/>
  <c r="AA1769" i="62"/>
  <c r="A1770" i="62"/>
  <c r="Z1770" i="62"/>
  <c r="AA1770" i="62"/>
  <c r="A1771" i="62"/>
  <c r="Z1771" i="62"/>
  <c r="AA1771" i="62"/>
  <c r="A1772" i="62"/>
  <c r="Z1772" i="62"/>
  <c r="AA1772" i="62"/>
  <c r="A1773" i="62"/>
  <c r="Z1773" i="62"/>
  <c r="AA1773" i="62"/>
  <c r="A1774" i="62"/>
  <c r="Z1774" i="62"/>
  <c r="AA1774" i="62"/>
  <c r="A1775" i="62"/>
  <c r="Z1775" i="62"/>
  <c r="AA1775" i="62"/>
  <c r="A1776" i="62"/>
  <c r="Z1776" i="62"/>
  <c r="AA1776" i="62"/>
  <c r="A1777" i="62"/>
  <c r="Z1777" i="62"/>
  <c r="AA1777" i="62"/>
  <c r="A1778" i="62"/>
  <c r="Z1778" i="62"/>
  <c r="AA1778" i="62"/>
  <c r="A1779" i="62"/>
  <c r="Z1779" i="62"/>
  <c r="AA1779" i="62"/>
  <c r="A1780" i="62"/>
  <c r="Z1780" i="62"/>
  <c r="AA1780" i="62"/>
  <c r="A1781" i="62"/>
  <c r="Z1781" i="62"/>
  <c r="AA1781" i="62"/>
  <c r="A1782" i="62"/>
  <c r="Z1782" i="62"/>
  <c r="AA1782" i="62"/>
  <c r="A1783" i="62"/>
  <c r="Z1783" i="62"/>
  <c r="AA1783" i="62"/>
  <c r="A1784" i="62"/>
  <c r="Z1784" i="62"/>
  <c r="AA1784" i="62"/>
  <c r="A1785" i="62"/>
  <c r="Z1785" i="62"/>
  <c r="AA1785" i="62"/>
  <c r="A1786" i="62"/>
  <c r="Z1786" i="62"/>
  <c r="AA1786" i="62"/>
  <c r="A1787" i="62"/>
  <c r="Z1787" i="62"/>
  <c r="AA1787" i="62"/>
  <c r="A1788" i="62"/>
  <c r="Z1788" i="62"/>
  <c r="AA1788" i="62"/>
  <c r="A1789" i="62"/>
  <c r="Z1789" i="62"/>
  <c r="AA1789" i="62"/>
  <c r="A1790" i="62"/>
  <c r="Z1790" i="62"/>
  <c r="AA1790" i="62"/>
  <c r="A1791" i="62"/>
  <c r="Z1791" i="62"/>
  <c r="AA1791" i="62"/>
  <c r="A1792" i="62"/>
  <c r="Z1792" i="62"/>
  <c r="AA1792" i="62"/>
  <c r="A1793" i="62"/>
  <c r="Z1793" i="62"/>
  <c r="AA1793" i="62"/>
  <c r="A1794" i="62"/>
  <c r="Z1794" i="62"/>
  <c r="AA1794" i="62"/>
  <c r="A1795" i="62"/>
  <c r="Z1795" i="62"/>
  <c r="AA1795" i="62"/>
  <c r="A1796" i="62"/>
  <c r="Z1796" i="62"/>
  <c r="AA1796" i="62"/>
  <c r="A1797" i="62"/>
  <c r="Z1797" i="62"/>
  <c r="AA1797" i="62"/>
  <c r="A1798" i="62"/>
  <c r="Z1798" i="62"/>
  <c r="AA1798" i="62"/>
  <c r="A1799" i="62"/>
  <c r="Z1799" i="62"/>
  <c r="AA1799" i="62"/>
  <c r="A1800" i="62"/>
  <c r="Z1800" i="62"/>
  <c r="AA1800" i="62"/>
  <c r="A1801" i="62"/>
  <c r="Z1801" i="62"/>
  <c r="AA1801" i="62"/>
  <c r="A1802" i="62"/>
  <c r="Z1802" i="62"/>
  <c r="AA1802" i="62"/>
  <c r="A1803" i="62"/>
  <c r="Z1803" i="62"/>
  <c r="AA1803" i="62"/>
  <c r="A1804" i="62"/>
  <c r="Z1804" i="62"/>
  <c r="AA1804" i="62"/>
  <c r="A1805" i="62"/>
  <c r="Z1805" i="62"/>
  <c r="AA1805" i="62"/>
  <c r="A1806" i="62"/>
  <c r="Z1806" i="62"/>
  <c r="AA1806" i="62"/>
  <c r="A1807" i="62"/>
  <c r="Z1807" i="62"/>
  <c r="AA1807" i="62"/>
  <c r="A1808" i="62"/>
  <c r="Z1808" i="62"/>
  <c r="AA1808" i="62"/>
  <c r="A1809" i="62"/>
  <c r="Z1809" i="62"/>
  <c r="AA1809" i="62"/>
  <c r="A1810" i="62"/>
  <c r="Z1810" i="62"/>
  <c r="AA1810" i="62"/>
  <c r="A1811" i="62"/>
  <c r="Z1811" i="62"/>
  <c r="AA1811" i="62"/>
  <c r="A1812" i="62"/>
  <c r="Z1812" i="62"/>
  <c r="AA1812" i="62"/>
  <c r="A1813" i="62"/>
  <c r="Z1813" i="62"/>
  <c r="AA1813" i="62"/>
  <c r="A1814" i="62"/>
  <c r="Z1814" i="62"/>
  <c r="AA1814" i="62"/>
  <c r="A1815" i="62"/>
  <c r="Z1815" i="62"/>
  <c r="AA1815" i="62"/>
  <c r="A1816" i="62"/>
  <c r="Z1816" i="62"/>
  <c r="AA1816" i="62"/>
  <c r="A1817" i="62"/>
  <c r="Z1817" i="62"/>
  <c r="AA1817" i="62"/>
  <c r="A1818" i="62"/>
  <c r="Z1818" i="62"/>
  <c r="AA1818" i="62"/>
  <c r="A1819" i="62"/>
  <c r="Z1819" i="62"/>
  <c r="AA1819" i="62"/>
  <c r="A1820" i="62"/>
  <c r="Z1820" i="62"/>
  <c r="AA1820" i="62"/>
  <c r="A1821" i="62"/>
  <c r="Z1821" i="62"/>
  <c r="AA1821" i="62"/>
  <c r="A1822" i="62"/>
  <c r="Z1822" i="62"/>
  <c r="AA1822" i="62"/>
  <c r="A1823" i="62"/>
  <c r="Z1823" i="62"/>
  <c r="AA1823" i="62"/>
  <c r="A1824" i="62"/>
  <c r="Z1824" i="62"/>
  <c r="AA1824" i="62"/>
  <c r="A1825" i="62"/>
  <c r="Z1825" i="62"/>
  <c r="AA1825" i="62"/>
  <c r="A1826" i="62"/>
  <c r="Z1826" i="62"/>
  <c r="AA1826" i="62"/>
  <c r="A1827" i="62"/>
  <c r="Z1827" i="62"/>
  <c r="AA1827" i="62"/>
  <c r="A1828" i="62"/>
  <c r="Z1828" i="62"/>
  <c r="AA1828" i="62"/>
  <c r="A1829" i="62"/>
  <c r="Z1829" i="62"/>
  <c r="AA1829" i="62"/>
  <c r="A1830" i="62"/>
  <c r="Z1830" i="62"/>
  <c r="AA1830" i="62"/>
  <c r="A1831" i="62"/>
  <c r="Z1831" i="62"/>
  <c r="AA1831" i="62"/>
  <c r="A1832" i="62"/>
  <c r="Z1832" i="62"/>
  <c r="AA1832" i="62"/>
  <c r="A1833" i="62"/>
  <c r="Z1833" i="62"/>
  <c r="AA1833" i="62"/>
  <c r="A1834" i="62"/>
  <c r="Z1834" i="62"/>
  <c r="AA1834" i="62"/>
  <c r="A1835" i="62"/>
  <c r="Z1835" i="62"/>
  <c r="AA1835" i="62"/>
  <c r="A1836" i="62"/>
  <c r="Z1836" i="62"/>
  <c r="AA1836" i="62"/>
  <c r="A1837" i="62"/>
  <c r="Z1837" i="62"/>
  <c r="AA1837" i="62"/>
  <c r="A1838" i="62"/>
  <c r="Z1838" i="62"/>
  <c r="AA1838" i="62"/>
  <c r="A1839" i="62"/>
  <c r="Z1839" i="62"/>
  <c r="AA1839" i="62"/>
  <c r="A1840" i="62"/>
  <c r="Z1840" i="62"/>
  <c r="AA1840" i="62"/>
  <c r="A1841" i="62"/>
  <c r="Z1841" i="62"/>
  <c r="AA1841" i="62"/>
  <c r="A1842" i="62"/>
  <c r="Z1842" i="62"/>
  <c r="AA1842" i="62"/>
  <c r="A1843" i="62"/>
  <c r="Z1843" i="62"/>
  <c r="AA1843" i="62"/>
  <c r="A1844" i="62"/>
  <c r="Z1844" i="62"/>
  <c r="AA1844" i="62"/>
  <c r="A1845" i="62"/>
  <c r="Z1845" i="62"/>
  <c r="AA1845" i="62"/>
  <c r="A1846" i="62"/>
  <c r="Z1846" i="62"/>
  <c r="AA1846" i="62"/>
  <c r="A1847" i="62"/>
  <c r="Z1847" i="62"/>
  <c r="AA1847" i="62"/>
  <c r="A1848" i="62"/>
  <c r="Z1848" i="62"/>
  <c r="AA1848" i="62"/>
  <c r="A1849" i="62"/>
  <c r="Z1849" i="62"/>
  <c r="AA1849" i="62"/>
  <c r="A1850" i="62"/>
  <c r="Z1850" i="62"/>
  <c r="AA1850" i="62"/>
  <c r="A1851" i="62"/>
  <c r="Z1851" i="62"/>
  <c r="AA1851" i="62"/>
  <c r="A1852" i="62"/>
  <c r="Z1852" i="62"/>
  <c r="AA1852" i="62"/>
  <c r="A1853" i="62"/>
  <c r="Z1853" i="62"/>
  <c r="AA1853" i="62"/>
  <c r="A1854" i="62"/>
  <c r="Z1854" i="62"/>
  <c r="AA1854" i="62"/>
  <c r="A1855" i="62"/>
  <c r="Z1855" i="62"/>
  <c r="AA1855" i="62"/>
  <c r="A1856" i="62"/>
  <c r="Z1856" i="62"/>
  <c r="AA1856" i="62"/>
  <c r="A1857" i="62"/>
  <c r="Z1857" i="62"/>
  <c r="AA1857" i="62"/>
  <c r="A1858" i="62"/>
  <c r="Z1858" i="62"/>
  <c r="AA1858" i="62"/>
  <c r="A1859" i="62"/>
  <c r="Z1859" i="62"/>
  <c r="AA1859" i="62"/>
  <c r="A1860" i="62"/>
  <c r="Z1860" i="62"/>
  <c r="AA1860" i="62"/>
  <c r="A1861" i="62"/>
  <c r="Z1861" i="62"/>
  <c r="AA1861" i="62"/>
  <c r="A1862" i="62"/>
  <c r="Z1862" i="62"/>
  <c r="AA1862" i="62"/>
  <c r="A1863" i="62"/>
  <c r="Z1863" i="62"/>
  <c r="AA1863" i="62"/>
  <c r="A1864" i="62"/>
  <c r="Z1864" i="62"/>
  <c r="AA1864" i="62"/>
  <c r="A1865" i="62"/>
  <c r="Z1865" i="62"/>
  <c r="AA1865" i="62"/>
  <c r="A1866" i="62"/>
  <c r="Z1866" i="62"/>
  <c r="AA1866" i="62"/>
  <c r="A1867" i="62"/>
  <c r="Z1867" i="62"/>
  <c r="AA1867" i="62"/>
  <c r="A1868" i="62"/>
  <c r="Z1868" i="62"/>
  <c r="AA1868" i="62"/>
  <c r="A1869" i="62"/>
  <c r="Z1869" i="62"/>
  <c r="AA1869" i="62"/>
  <c r="A1870" i="62"/>
  <c r="Z1870" i="62"/>
  <c r="AA1870" i="62"/>
  <c r="A1871" i="62"/>
  <c r="Z1871" i="62"/>
  <c r="AA1871" i="62"/>
  <c r="A1872" i="62"/>
  <c r="Z1872" i="62"/>
  <c r="AA1872" i="62"/>
  <c r="A1873" i="62"/>
  <c r="Z1873" i="62"/>
  <c r="AA1873" i="62"/>
  <c r="A1874" i="62"/>
  <c r="Z1874" i="62"/>
  <c r="AA1874" i="62"/>
  <c r="A1875" i="62"/>
  <c r="Z1875" i="62"/>
  <c r="AA1875" i="62"/>
  <c r="A1876" i="62"/>
  <c r="Z1876" i="62"/>
  <c r="AA1876" i="62"/>
  <c r="A1877" i="62"/>
  <c r="Z1877" i="62"/>
  <c r="AA1877" i="62"/>
  <c r="A1878" i="62"/>
  <c r="Z1878" i="62"/>
  <c r="AA1878" i="62"/>
  <c r="A1879" i="62"/>
  <c r="Z1879" i="62"/>
  <c r="AA1879" i="62"/>
  <c r="A1880" i="62"/>
  <c r="Z1880" i="62"/>
  <c r="AA1880" i="62"/>
  <c r="A1881" i="62"/>
  <c r="Z1881" i="62"/>
  <c r="AA1881" i="62"/>
  <c r="A1882" i="62"/>
  <c r="Z1882" i="62"/>
  <c r="AA1882" i="62"/>
  <c r="A1883" i="62"/>
  <c r="Z1883" i="62"/>
  <c r="AA1883" i="62"/>
  <c r="A1884" i="62"/>
  <c r="Z1884" i="62"/>
  <c r="AA1884" i="62"/>
  <c r="A1885" i="62"/>
  <c r="Z1885" i="62"/>
  <c r="AA1885" i="62"/>
  <c r="A1886" i="62"/>
  <c r="Z1886" i="62"/>
  <c r="AA1886" i="62"/>
  <c r="A1887" i="62"/>
  <c r="Z1887" i="62"/>
  <c r="AA1887" i="62"/>
  <c r="A1888" i="62"/>
  <c r="Z1888" i="62"/>
  <c r="AA1888" i="62"/>
  <c r="A1889" i="62"/>
  <c r="Z1889" i="62"/>
  <c r="AA1889" i="62"/>
  <c r="A1890" i="62"/>
  <c r="Z1890" i="62"/>
  <c r="AA1890" i="62"/>
  <c r="A1891" i="62"/>
  <c r="Z1891" i="62"/>
  <c r="AA1891" i="62"/>
  <c r="A1892" i="62"/>
  <c r="Z1892" i="62"/>
  <c r="AA1892" i="62"/>
  <c r="A1893" i="62"/>
  <c r="Z1893" i="62"/>
  <c r="AA1893" i="62"/>
  <c r="A1894" i="62"/>
  <c r="Z1894" i="62"/>
  <c r="AA1894" i="62"/>
  <c r="A1895" i="62"/>
  <c r="Z1895" i="62"/>
  <c r="AA1895" i="62"/>
  <c r="A1896" i="62"/>
  <c r="Z1896" i="62"/>
  <c r="AA1896" i="62"/>
  <c r="A1897" i="62"/>
  <c r="Z1897" i="62"/>
  <c r="AA1897" i="62"/>
  <c r="A1898" i="62"/>
  <c r="Z1898" i="62"/>
  <c r="AA1898" i="62"/>
  <c r="A1899" i="62"/>
  <c r="Z1899" i="62"/>
  <c r="AA1899" i="62"/>
  <c r="A1900" i="62"/>
  <c r="Z1900" i="62"/>
  <c r="AA1900" i="62"/>
  <c r="A1901" i="62"/>
  <c r="Z1901" i="62"/>
  <c r="AA1901" i="62"/>
  <c r="A1902" i="62"/>
  <c r="Z1902" i="62"/>
  <c r="AA1902" i="62"/>
  <c r="A1903" i="62"/>
  <c r="Z1903" i="62"/>
  <c r="AA1903" i="62"/>
  <c r="A1904" i="62"/>
  <c r="Z1904" i="62"/>
  <c r="AA1904" i="62"/>
  <c r="A1905" i="62"/>
  <c r="Z1905" i="62"/>
  <c r="AA1905" i="62"/>
  <c r="A1906" i="62"/>
  <c r="Z1906" i="62"/>
  <c r="AA1906" i="62"/>
  <c r="A1907" i="62"/>
  <c r="Z1907" i="62"/>
  <c r="AA1907" i="62"/>
  <c r="A1908" i="62"/>
  <c r="Z1908" i="62"/>
  <c r="AA1908" i="62"/>
  <c r="A1909" i="62"/>
  <c r="Z1909" i="62"/>
  <c r="AA1909" i="62"/>
  <c r="A1910" i="62"/>
  <c r="Z1910" i="62"/>
  <c r="AA1910" i="62"/>
  <c r="A1911" i="62"/>
  <c r="Z1911" i="62"/>
  <c r="AA1911" i="62"/>
  <c r="A1912" i="62"/>
  <c r="Z1912" i="62"/>
  <c r="AA1912" i="62"/>
  <c r="A1913" i="62"/>
  <c r="Z1913" i="62"/>
  <c r="AA1913" i="62"/>
  <c r="A1914" i="62"/>
  <c r="Z1914" i="62"/>
  <c r="AA1914" i="62"/>
  <c r="A1915" i="62"/>
  <c r="Z1915" i="62"/>
  <c r="AA1915" i="62"/>
  <c r="A1916" i="62"/>
  <c r="Z1916" i="62"/>
  <c r="AA1916" i="62"/>
  <c r="A1917" i="62"/>
  <c r="Z1917" i="62"/>
  <c r="AA1917" i="62"/>
  <c r="A1918" i="62"/>
  <c r="Z1918" i="62"/>
  <c r="AA1918" i="62"/>
  <c r="A1919" i="62"/>
  <c r="Z1919" i="62"/>
  <c r="AA1919" i="62"/>
  <c r="A1920" i="62"/>
  <c r="Z1920" i="62"/>
  <c r="AA1920" i="62"/>
  <c r="A1921" i="62"/>
  <c r="Z1921" i="62"/>
  <c r="AA1921" i="62"/>
  <c r="A1922" i="62"/>
  <c r="Z1922" i="62"/>
  <c r="AA1922" i="62"/>
  <c r="A1923" i="62"/>
  <c r="Z1923" i="62"/>
  <c r="AA1923" i="62"/>
  <c r="A1924" i="62"/>
  <c r="Z1924" i="62"/>
  <c r="AA1924" i="62"/>
  <c r="A1925" i="62"/>
  <c r="Z1925" i="62"/>
  <c r="AA1925" i="62"/>
  <c r="A1926" i="62"/>
  <c r="Z1926" i="62"/>
  <c r="AA1926" i="62"/>
  <c r="A1927" i="62"/>
  <c r="Z1927" i="62"/>
  <c r="AA1927" i="62"/>
  <c r="A1928" i="62"/>
  <c r="Z1928" i="62"/>
  <c r="AA1928" i="62"/>
  <c r="A1929" i="62"/>
  <c r="Z1929" i="62"/>
  <c r="AA1929" i="62"/>
  <c r="A1930" i="62"/>
  <c r="Z1930" i="62"/>
  <c r="AA1930" i="62"/>
  <c r="A1931" i="62"/>
  <c r="Z1931" i="62"/>
  <c r="AA1931" i="62"/>
  <c r="A1932" i="62"/>
  <c r="Z1932" i="62"/>
  <c r="AA1932" i="62"/>
  <c r="A1933" i="62"/>
  <c r="Z1933" i="62"/>
  <c r="AA1933" i="62"/>
  <c r="A1934" i="62"/>
  <c r="Z1934" i="62"/>
  <c r="AA1934" i="62"/>
  <c r="A1935" i="62"/>
  <c r="Z1935" i="62"/>
  <c r="AA1935" i="62"/>
  <c r="A1936" i="62"/>
  <c r="Z1936" i="62"/>
  <c r="AA1936" i="62"/>
  <c r="A1937" i="62"/>
  <c r="Z1937" i="62"/>
  <c r="AA1937" i="62"/>
  <c r="A1938" i="62"/>
  <c r="Z1938" i="62"/>
  <c r="AA1938" i="62"/>
  <c r="A1939" i="62"/>
  <c r="Z1939" i="62"/>
  <c r="AA1939" i="62"/>
  <c r="A1940" i="62"/>
  <c r="Z1940" i="62"/>
  <c r="AA1940" i="62"/>
  <c r="A1941" i="62"/>
  <c r="Z1941" i="62"/>
  <c r="AA1941" i="62"/>
  <c r="A1942" i="62"/>
  <c r="Z1942" i="62"/>
  <c r="AA1942" i="62"/>
  <c r="A1943" i="62"/>
  <c r="Z1943" i="62"/>
  <c r="AA1943" i="62"/>
  <c r="A1944" i="62"/>
  <c r="Z1944" i="62"/>
  <c r="AA1944" i="62"/>
  <c r="A1945" i="62"/>
  <c r="Z1945" i="62"/>
  <c r="AA1945" i="62"/>
  <c r="A1946" i="62"/>
  <c r="Z1946" i="62"/>
  <c r="AA1946" i="62"/>
  <c r="A1947" i="62"/>
  <c r="Z1947" i="62"/>
  <c r="AA1947" i="62"/>
  <c r="A1948" i="62"/>
  <c r="Z1948" i="62"/>
  <c r="AA1948" i="62"/>
  <c r="A1949" i="62"/>
  <c r="Z1949" i="62"/>
  <c r="AA1949" i="62"/>
  <c r="A1950" i="62"/>
  <c r="Z1950" i="62"/>
  <c r="AA1950" i="62"/>
  <c r="A1951" i="62"/>
  <c r="Z1951" i="62"/>
  <c r="AA1951" i="62"/>
  <c r="A1952" i="62"/>
  <c r="Z1952" i="62"/>
  <c r="AA1952" i="62"/>
  <c r="A1953" i="62"/>
  <c r="Z1953" i="62"/>
  <c r="AA1953" i="62"/>
  <c r="A1954" i="62"/>
  <c r="Z1954" i="62"/>
  <c r="AA1954" i="62"/>
  <c r="A1955" i="62"/>
  <c r="Z1955" i="62"/>
  <c r="AA1955" i="62"/>
  <c r="A1956" i="62"/>
  <c r="Z1956" i="62"/>
  <c r="AA1956" i="62"/>
  <c r="A1957" i="62"/>
  <c r="Z1957" i="62"/>
  <c r="AA1957" i="62"/>
  <c r="A1958" i="62"/>
  <c r="Z1958" i="62"/>
  <c r="AA1958" i="62"/>
  <c r="A1959" i="62"/>
  <c r="Z1959" i="62"/>
  <c r="AA1959" i="62"/>
  <c r="A1960" i="62"/>
  <c r="Z1960" i="62"/>
  <c r="AA1960" i="62"/>
  <c r="A1961" i="62"/>
  <c r="Z1961" i="62"/>
  <c r="AA1961" i="62"/>
  <c r="A1962" i="62"/>
  <c r="Z1962" i="62"/>
  <c r="AA1962" i="62"/>
  <c r="A1963" i="62"/>
  <c r="Z1963" i="62"/>
  <c r="AA1963" i="62"/>
  <c r="A1964" i="62"/>
  <c r="Z1964" i="62"/>
  <c r="AA1964" i="62"/>
  <c r="A1965" i="62"/>
  <c r="Z1965" i="62"/>
  <c r="AA1965" i="62"/>
  <c r="A1966" i="62"/>
  <c r="Z1966" i="62"/>
  <c r="AA1966" i="62"/>
  <c r="A1967" i="62"/>
  <c r="Z1967" i="62"/>
  <c r="AA1967" i="62"/>
  <c r="A1968" i="62"/>
  <c r="Z1968" i="62"/>
  <c r="AA1968" i="62"/>
  <c r="A1969" i="62"/>
  <c r="Z1969" i="62"/>
  <c r="AA1969" i="62"/>
  <c r="A1970" i="62"/>
  <c r="Z1970" i="62"/>
  <c r="AA1970" i="62"/>
  <c r="A1971" i="62"/>
  <c r="Z1971" i="62"/>
  <c r="AA1971" i="62"/>
  <c r="A1972" i="62"/>
  <c r="Z1972" i="62"/>
  <c r="AA1972" i="62"/>
  <c r="A1973" i="62"/>
  <c r="Z1973" i="62"/>
  <c r="AA1973" i="62"/>
  <c r="A1974" i="62"/>
  <c r="Z1974" i="62"/>
  <c r="AA1974" i="62"/>
  <c r="A1975" i="62"/>
  <c r="Z1975" i="62"/>
  <c r="AA1975" i="62"/>
  <c r="A1976" i="62"/>
  <c r="Z1976" i="62"/>
  <c r="AA1976" i="62"/>
  <c r="A1977" i="62"/>
  <c r="Z1977" i="62"/>
  <c r="AA1977" i="62"/>
  <c r="A1978" i="62"/>
  <c r="Z1978" i="62"/>
  <c r="AA1978" i="62"/>
  <c r="A1979" i="62"/>
  <c r="Z1979" i="62"/>
  <c r="AA1979" i="62"/>
  <c r="A1980" i="62"/>
  <c r="Z1980" i="62"/>
  <c r="AA1980" i="62"/>
  <c r="A1981" i="62"/>
  <c r="Z1981" i="62"/>
  <c r="AA1981" i="62"/>
  <c r="A1982" i="62"/>
  <c r="Z1982" i="62"/>
  <c r="AA1982" i="62"/>
  <c r="A1983" i="62"/>
  <c r="Z1983" i="62"/>
  <c r="AA1983" i="62"/>
  <c r="A1984" i="62"/>
  <c r="Z1984" i="62"/>
  <c r="AA1984" i="62"/>
  <c r="A1985" i="62"/>
  <c r="Z1985" i="62"/>
  <c r="AA1985" i="62"/>
  <c r="A1986" i="62"/>
  <c r="Z1986" i="62"/>
  <c r="AA1986" i="62"/>
  <c r="A1987" i="62"/>
  <c r="Z1987" i="62"/>
  <c r="AA1987" i="62"/>
  <c r="A1988" i="62"/>
  <c r="Z1988" i="62"/>
  <c r="AA1988" i="62"/>
  <c r="A1989" i="62"/>
  <c r="Z1989" i="62"/>
  <c r="AA1989" i="62"/>
  <c r="A1990" i="62"/>
  <c r="Z1990" i="62"/>
  <c r="AA1990" i="62"/>
  <c r="A1991" i="62"/>
  <c r="Z1991" i="62"/>
  <c r="AA1991" i="62"/>
  <c r="A1992" i="62"/>
  <c r="Z1992" i="62"/>
  <c r="AA1992" i="62"/>
  <c r="A1993" i="62"/>
  <c r="Z1993" i="62"/>
  <c r="AA1993" i="62"/>
  <c r="A1994" i="62"/>
  <c r="Z1994" i="62"/>
  <c r="AA1994" i="62"/>
  <c r="A1995" i="62"/>
  <c r="Z1995" i="62"/>
  <c r="AA1995" i="62"/>
  <c r="A1996" i="62"/>
  <c r="Z1996" i="62"/>
  <c r="AA1996" i="62"/>
  <c r="A1997" i="62"/>
  <c r="Z1997" i="62"/>
  <c r="AA1997" i="62"/>
  <c r="A1998" i="62"/>
  <c r="Z1998" i="62"/>
  <c r="AA1998" i="62"/>
  <c r="A1999" i="62"/>
  <c r="Z1999" i="62"/>
  <c r="AA1999" i="62"/>
  <c r="A2000" i="62"/>
  <c r="Z2000" i="62"/>
  <c r="AA2000" i="62"/>
  <c r="A2001" i="62"/>
  <c r="Z2001" i="62"/>
  <c r="AA2001" i="62"/>
  <c r="A2002" i="62"/>
  <c r="Z2002" i="62"/>
  <c r="AA2002" i="62"/>
  <c r="A2003" i="62"/>
  <c r="Z2003" i="62"/>
  <c r="AA2003" i="62"/>
  <c r="A2004" i="62"/>
  <c r="Z2004" i="62"/>
  <c r="AA2004" i="62"/>
  <c r="A2005" i="62"/>
  <c r="Z2005" i="62"/>
  <c r="AA2005" i="62"/>
  <c r="A2006" i="62"/>
  <c r="Z2006" i="62"/>
  <c r="AA2006" i="62"/>
  <c r="A2007" i="62"/>
  <c r="Z2007" i="62"/>
  <c r="AA2007" i="62"/>
  <c r="A2008" i="62"/>
  <c r="Z2008" i="62"/>
  <c r="AA2008" i="62"/>
  <c r="A2009" i="62"/>
  <c r="Z2009" i="62"/>
  <c r="AA2009" i="62"/>
  <c r="A2010" i="62"/>
  <c r="Z2010" i="62"/>
  <c r="AA2010" i="62"/>
  <c r="A2011" i="62"/>
  <c r="Z2011" i="62"/>
  <c r="AA2011" i="62"/>
  <c r="A2012" i="62"/>
  <c r="Z2012" i="62"/>
  <c r="AA2012" i="62"/>
  <c r="A2013" i="62"/>
  <c r="Z2013" i="62"/>
  <c r="AA2013" i="62"/>
  <c r="A2014" i="62"/>
  <c r="Z2014" i="62"/>
  <c r="AA2014" i="62"/>
  <c r="A2015" i="62"/>
  <c r="Z2015" i="62"/>
  <c r="AA2015" i="62"/>
  <c r="A2016" i="62"/>
  <c r="Z2016" i="62"/>
  <c r="AA2016" i="62"/>
  <c r="A2017" i="62"/>
  <c r="Z2017" i="62"/>
  <c r="AA2017" i="62"/>
  <c r="A2018" i="62"/>
  <c r="Z2018" i="62"/>
  <c r="AA2018" i="62"/>
  <c r="A2019" i="62"/>
  <c r="Z2019" i="62"/>
  <c r="AA2019" i="62"/>
  <c r="A2020" i="62"/>
  <c r="Z2020" i="62"/>
  <c r="AA2020" i="62"/>
  <c r="A2021" i="62"/>
  <c r="Z2021" i="62"/>
  <c r="AA2021" i="62"/>
  <c r="A2022" i="62"/>
  <c r="Z2022" i="62"/>
  <c r="AA2022" i="62"/>
  <c r="A2023" i="62"/>
  <c r="Z2023" i="62"/>
  <c r="AA2023" i="62"/>
  <c r="A2024" i="62"/>
  <c r="Z2024" i="62"/>
  <c r="AA2024" i="62"/>
  <c r="A2025" i="62"/>
  <c r="Z2025" i="62"/>
  <c r="AA2025" i="62"/>
  <c r="A2026" i="62"/>
  <c r="Z2026" i="62"/>
  <c r="AA2026" i="62"/>
  <c r="A2027" i="62"/>
  <c r="Z2027" i="62"/>
  <c r="AA2027" i="62"/>
  <c r="A2028" i="62"/>
  <c r="Z2028" i="62"/>
  <c r="AA2028" i="62"/>
  <c r="A2029" i="62"/>
  <c r="Z2029" i="62"/>
  <c r="AA2029" i="62"/>
  <c r="A2030" i="62"/>
  <c r="Z2030" i="62"/>
  <c r="AA2030" i="62"/>
  <c r="A2031" i="62"/>
  <c r="Z2031" i="62"/>
  <c r="AA2031" i="62"/>
  <c r="A2032" i="62"/>
  <c r="Z2032" i="62"/>
  <c r="AA2032" i="62"/>
  <c r="A2033" i="62"/>
  <c r="Z2033" i="62"/>
  <c r="AA2033" i="62"/>
  <c r="A2034" i="62"/>
  <c r="Z2034" i="62"/>
  <c r="AA2034" i="62"/>
  <c r="A2035" i="62"/>
  <c r="Z2035" i="62"/>
  <c r="AA2035" i="62"/>
  <c r="A2036" i="62"/>
  <c r="Z2036" i="62"/>
  <c r="AA2036" i="62"/>
  <c r="A2037" i="62"/>
  <c r="Z2037" i="62"/>
  <c r="AA2037" i="62"/>
  <c r="A2038" i="62"/>
  <c r="Z2038" i="62"/>
  <c r="AA2038" i="62"/>
  <c r="A2039" i="62"/>
  <c r="Z2039" i="62"/>
  <c r="AA2039" i="62"/>
  <c r="A2040" i="62"/>
  <c r="Z2040" i="62"/>
  <c r="AA2040" i="62"/>
  <c r="A2041" i="62"/>
  <c r="Z2041" i="62"/>
  <c r="AA2041" i="62"/>
  <c r="A2042" i="62"/>
  <c r="Z2042" i="62"/>
  <c r="AA2042" i="62"/>
  <c r="A2043" i="62"/>
  <c r="Z2043" i="62"/>
  <c r="AA2043" i="62"/>
  <c r="A2044" i="62"/>
  <c r="Z2044" i="62"/>
  <c r="AA2044" i="62"/>
  <c r="A2045" i="62"/>
  <c r="Z2045" i="62"/>
  <c r="AA2045" i="62"/>
  <c r="A2046" i="62"/>
  <c r="Z2046" i="62"/>
  <c r="AA2046" i="62"/>
  <c r="A2047" i="62"/>
  <c r="Z2047" i="62"/>
  <c r="AA2047" i="62"/>
  <c r="A2048" i="62"/>
  <c r="Z2048" i="62"/>
  <c r="AA2048" i="62"/>
  <c r="A2049" i="62"/>
  <c r="Z2049" i="62"/>
  <c r="AA2049" i="62"/>
  <c r="A2050" i="62"/>
  <c r="Z2050" i="62"/>
  <c r="AA2050" i="62"/>
  <c r="A2051" i="62"/>
  <c r="Z2051" i="62"/>
  <c r="AA2051" i="62"/>
  <c r="A2052" i="62"/>
  <c r="Z2052" i="62"/>
  <c r="AA2052" i="62"/>
  <c r="A2053" i="62"/>
  <c r="Z2053" i="62"/>
  <c r="AA2053" i="62"/>
  <c r="A2054" i="62"/>
  <c r="Z2054" i="62"/>
  <c r="AA2054" i="62"/>
  <c r="A2055" i="62"/>
  <c r="Z2055" i="62"/>
  <c r="AA2055" i="62"/>
  <c r="A2056" i="62"/>
  <c r="Z2056" i="62"/>
  <c r="AA2056" i="62"/>
  <c r="A2057" i="62"/>
  <c r="Z2057" i="62"/>
  <c r="AA2057" i="62"/>
  <c r="A2058" i="62"/>
  <c r="Z2058" i="62"/>
  <c r="AA2058" i="62"/>
  <c r="A2059" i="62"/>
  <c r="Z2059" i="62"/>
  <c r="AA2059" i="62"/>
  <c r="A2060" i="62"/>
  <c r="Z2060" i="62"/>
  <c r="AA2060" i="62"/>
  <c r="A2061" i="62"/>
  <c r="Z2061" i="62"/>
  <c r="AA2061" i="62"/>
  <c r="A2062" i="62"/>
  <c r="Z2062" i="62"/>
  <c r="AA2062" i="62"/>
  <c r="A2063" i="62"/>
  <c r="Z2063" i="62"/>
  <c r="AA2063" i="62"/>
  <c r="A2064" i="62"/>
  <c r="Z2064" i="62"/>
  <c r="AA2064" i="62"/>
  <c r="A2065" i="62"/>
  <c r="Z2065" i="62"/>
  <c r="AA2065" i="62"/>
  <c r="A2066" i="62"/>
  <c r="Z2066" i="62"/>
  <c r="AA2066" i="62"/>
  <c r="A2067" i="62"/>
  <c r="Z2067" i="62"/>
  <c r="AA2067" i="62"/>
  <c r="A2068" i="62"/>
  <c r="Z2068" i="62"/>
  <c r="AA2068" i="62"/>
  <c r="A2069" i="62"/>
  <c r="Z2069" i="62"/>
  <c r="AA2069" i="62"/>
  <c r="A2070" i="62"/>
  <c r="Z2070" i="62"/>
  <c r="AA2070" i="62"/>
  <c r="A2071" i="62"/>
  <c r="Z2071" i="62"/>
  <c r="AA2071" i="62"/>
  <c r="A2072" i="62"/>
  <c r="Z2072" i="62"/>
  <c r="AA2072" i="62"/>
  <c r="A2073" i="62"/>
  <c r="Z2073" i="62"/>
  <c r="AA2073" i="62"/>
  <c r="A2074" i="62"/>
  <c r="Z2074" i="62"/>
  <c r="AA2074" i="62"/>
  <c r="A2075" i="62"/>
  <c r="Z2075" i="62"/>
  <c r="AA2075" i="62"/>
  <c r="A2076" i="62"/>
  <c r="Z2076" i="62"/>
  <c r="AA2076" i="62"/>
  <c r="A2077" i="62"/>
  <c r="Z2077" i="62"/>
  <c r="AA2077" i="62"/>
  <c r="A2078" i="62"/>
  <c r="Z2078" i="62"/>
  <c r="AA2078" i="62"/>
  <c r="A2079" i="62"/>
  <c r="Z2079" i="62"/>
  <c r="AA2079" i="62"/>
  <c r="A2080" i="62"/>
  <c r="Z2080" i="62"/>
  <c r="AA2080" i="62"/>
  <c r="A2081" i="62"/>
  <c r="Z2081" i="62"/>
  <c r="AA2081" i="62"/>
  <c r="A2082" i="62"/>
  <c r="Z2082" i="62"/>
  <c r="AA2082" i="62"/>
  <c r="A2083" i="62"/>
  <c r="Z2083" i="62"/>
  <c r="AA2083" i="62"/>
  <c r="A2084" i="62"/>
  <c r="Z2084" i="62"/>
  <c r="AA2084" i="62"/>
  <c r="A2085" i="62"/>
  <c r="Z2085" i="62"/>
  <c r="AA2085" i="62"/>
  <c r="A2086" i="62"/>
  <c r="Z2086" i="62"/>
  <c r="AA2086" i="62"/>
  <c r="A2087" i="62"/>
  <c r="Z2087" i="62"/>
  <c r="AA2087" i="62"/>
  <c r="A2088" i="62"/>
  <c r="Z2088" i="62"/>
  <c r="AA2088" i="62"/>
  <c r="A2089" i="62"/>
  <c r="Z2089" i="62"/>
  <c r="AA2089" i="62"/>
  <c r="A2090" i="62"/>
  <c r="Z2090" i="62"/>
  <c r="AA2090" i="62"/>
  <c r="A2091" i="62"/>
  <c r="Z2091" i="62"/>
  <c r="AA2091" i="62"/>
  <c r="A2092" i="62"/>
  <c r="Z2092" i="62"/>
  <c r="AA2092" i="62"/>
  <c r="A2093" i="62"/>
  <c r="Z2093" i="62"/>
  <c r="AA2093" i="62"/>
  <c r="A2094" i="62"/>
  <c r="Z2094" i="62"/>
  <c r="AA2094" i="62"/>
  <c r="A2095" i="62"/>
  <c r="Z2095" i="62"/>
  <c r="AA2095" i="62"/>
  <c r="A2096" i="62"/>
  <c r="Z2096" i="62"/>
  <c r="AA2096" i="62"/>
  <c r="A2097" i="62"/>
  <c r="Z2097" i="62"/>
  <c r="AA2097" i="62"/>
  <c r="A2098" i="62"/>
  <c r="Z2098" i="62"/>
  <c r="AA2098" i="62"/>
  <c r="A2099" i="62"/>
  <c r="Z2099" i="62"/>
  <c r="AA2099" i="62"/>
  <c r="A2100" i="62"/>
  <c r="Z2100" i="62"/>
  <c r="AA2100" i="62"/>
  <c r="A2101" i="62"/>
  <c r="Z2101" i="62"/>
  <c r="AA2101" i="62"/>
  <c r="A2102" i="62"/>
  <c r="Z2102" i="62"/>
  <c r="AA2102" i="62"/>
  <c r="A2103" i="62"/>
  <c r="Z2103" i="62"/>
  <c r="AA2103" i="62"/>
  <c r="A2104" i="62"/>
  <c r="Z2104" i="62"/>
  <c r="AA2104" i="62"/>
  <c r="A2105" i="62"/>
  <c r="Z2105" i="62"/>
  <c r="AA2105" i="62"/>
  <c r="A2106" i="62"/>
  <c r="Z2106" i="62"/>
  <c r="AA2106" i="62"/>
  <c r="A2107" i="62"/>
  <c r="Z2107" i="62"/>
  <c r="AA2107" i="62"/>
  <c r="A2108" i="62"/>
  <c r="Z2108" i="62"/>
  <c r="AA2108" i="62"/>
  <c r="A2109" i="62"/>
  <c r="Z2109" i="62"/>
  <c r="AA2109" i="62"/>
  <c r="A2110" i="62"/>
  <c r="Z2110" i="62"/>
  <c r="AA2110" i="62"/>
  <c r="A2111" i="62"/>
  <c r="Z2111" i="62"/>
  <c r="AA2111" i="62"/>
  <c r="A2112" i="62"/>
  <c r="Z2112" i="62"/>
  <c r="AA2112" i="62"/>
  <c r="A2113" i="62"/>
  <c r="Z2113" i="62"/>
  <c r="AA2113" i="62"/>
  <c r="A2114" i="62"/>
  <c r="Z2114" i="62"/>
  <c r="AA2114" i="62"/>
  <c r="A2115" i="62"/>
  <c r="Z2115" i="62"/>
  <c r="AA2115" i="62"/>
  <c r="A2116" i="62"/>
  <c r="Z2116" i="62"/>
  <c r="AA2116" i="62"/>
  <c r="A2117" i="62"/>
  <c r="Z2117" i="62"/>
  <c r="AA2117" i="62"/>
  <c r="A2118" i="62"/>
  <c r="Z2118" i="62"/>
  <c r="AA2118" i="62"/>
  <c r="A2119" i="62"/>
  <c r="Z2119" i="62"/>
  <c r="AA2119" i="62"/>
  <c r="A2120" i="62"/>
  <c r="Z2120" i="62"/>
  <c r="AA2120" i="62"/>
  <c r="A2121" i="62"/>
  <c r="Z2121" i="62"/>
  <c r="AA2121" i="62"/>
  <c r="A2122" i="62"/>
  <c r="Z2122" i="62"/>
  <c r="AA2122" i="62"/>
  <c r="A2123" i="62"/>
  <c r="Z2123" i="62"/>
  <c r="AA2123" i="62"/>
  <c r="A2124" i="62"/>
  <c r="Z2124" i="62"/>
  <c r="AA2124" i="62"/>
  <c r="A2125" i="62"/>
  <c r="Z2125" i="62"/>
  <c r="AA2125" i="62"/>
  <c r="A2126" i="62"/>
  <c r="Z2126" i="62"/>
  <c r="AA2126" i="62"/>
  <c r="A2127" i="62"/>
  <c r="Z2127" i="62"/>
  <c r="AA2127" i="62"/>
  <c r="A2128" i="62"/>
  <c r="Z2128" i="62"/>
  <c r="AA2128" i="62"/>
  <c r="A2129" i="62"/>
  <c r="Z2129" i="62"/>
  <c r="AA2129" i="62"/>
  <c r="A2130" i="62"/>
  <c r="Z2130" i="62"/>
  <c r="AA2130" i="62"/>
  <c r="A2131" i="62"/>
  <c r="Z2131" i="62"/>
  <c r="AA2131" i="62"/>
  <c r="A2132" i="62"/>
  <c r="Z2132" i="62"/>
  <c r="AA2132" i="62"/>
  <c r="A2133" i="62"/>
  <c r="Z2133" i="62"/>
  <c r="AA2133" i="62"/>
  <c r="A2134" i="62"/>
  <c r="Z2134" i="62"/>
  <c r="AA2134" i="62"/>
  <c r="A2135" i="62"/>
  <c r="Z2135" i="62"/>
  <c r="AA2135" i="62"/>
  <c r="A2136" i="62"/>
  <c r="Z2136" i="62"/>
  <c r="AA2136" i="62"/>
  <c r="A2137" i="62"/>
  <c r="Z2137" i="62"/>
  <c r="AA2137" i="62"/>
  <c r="A2138" i="62"/>
  <c r="Z2138" i="62"/>
  <c r="AA2138" i="62"/>
  <c r="A2139" i="62"/>
  <c r="Z2139" i="62"/>
  <c r="AA2139" i="62"/>
  <c r="A2140" i="62"/>
  <c r="Z2140" i="62"/>
  <c r="AA2140" i="62"/>
  <c r="A2141" i="62"/>
  <c r="Z2141" i="62"/>
  <c r="AA2141" i="62"/>
  <c r="A2142" i="62"/>
  <c r="Z2142" i="62"/>
  <c r="AA2142" i="62"/>
  <c r="A2143" i="62"/>
  <c r="Z2143" i="62"/>
  <c r="AA2143" i="62"/>
  <c r="A2144" i="62"/>
  <c r="Z2144" i="62"/>
  <c r="AA2144" i="62"/>
  <c r="A2145" i="62"/>
  <c r="Z2145" i="62"/>
  <c r="AA2145" i="62"/>
  <c r="A2146" i="62"/>
  <c r="Z2146" i="62"/>
  <c r="AA2146" i="62"/>
  <c r="A2147" i="62"/>
  <c r="Z2147" i="62"/>
  <c r="AA2147" i="62"/>
  <c r="A2148" i="62"/>
  <c r="Z2148" i="62"/>
  <c r="AA2148" i="62"/>
  <c r="A2149" i="62"/>
  <c r="Z2149" i="62"/>
  <c r="AA2149" i="62"/>
  <c r="A2150" i="62"/>
  <c r="Z2150" i="62"/>
  <c r="AA2150" i="62"/>
  <c r="A2151" i="62"/>
  <c r="Z2151" i="62"/>
  <c r="AA2151" i="62"/>
  <c r="A2152" i="62"/>
  <c r="Z2152" i="62"/>
  <c r="AA2152" i="62"/>
  <c r="A2153" i="62"/>
  <c r="Z2153" i="62"/>
  <c r="AA2153" i="62"/>
  <c r="A2154" i="62"/>
  <c r="Z2154" i="62"/>
  <c r="AA2154" i="62"/>
  <c r="A2155" i="62"/>
  <c r="Z2155" i="62"/>
  <c r="AA2155" i="62"/>
  <c r="A2156" i="62"/>
  <c r="Z2156" i="62"/>
  <c r="AA2156" i="62"/>
  <c r="A2157" i="62"/>
  <c r="Z2157" i="62"/>
  <c r="AA2157" i="62"/>
  <c r="A2158" i="62"/>
  <c r="Z2158" i="62"/>
  <c r="AA2158" i="62"/>
  <c r="A2159" i="62"/>
  <c r="Z2159" i="62"/>
  <c r="AA2159" i="62"/>
  <c r="A2160" i="62"/>
  <c r="Z2160" i="62"/>
  <c r="AA2160" i="62"/>
  <c r="A2161" i="62"/>
  <c r="Z2161" i="62"/>
  <c r="AA2161" i="62"/>
  <c r="A2162" i="62"/>
  <c r="Z2162" i="62"/>
  <c r="AA2162" i="62"/>
  <c r="A2163" i="62"/>
  <c r="Z2163" i="62"/>
  <c r="AA2163" i="62"/>
  <c r="A2164" i="62"/>
  <c r="Z2164" i="62"/>
  <c r="AA2164" i="62"/>
  <c r="A2165" i="62"/>
  <c r="Z2165" i="62"/>
  <c r="AA2165" i="62"/>
  <c r="A2166" i="62"/>
  <c r="Z2166" i="62"/>
  <c r="AA2166" i="62"/>
  <c r="A2167" i="62"/>
  <c r="Z2167" i="62"/>
  <c r="AA2167" i="62"/>
  <c r="A2168" i="62"/>
  <c r="Z2168" i="62"/>
  <c r="AA2168" i="62"/>
  <c r="A2169" i="62"/>
  <c r="Z2169" i="62"/>
  <c r="AA2169" i="62"/>
  <c r="A2170" i="62"/>
  <c r="Z2170" i="62"/>
  <c r="AA2170" i="62"/>
  <c r="A2171" i="62"/>
  <c r="Z2171" i="62"/>
  <c r="AA2171" i="62"/>
  <c r="A2172" i="62"/>
  <c r="Z2172" i="62"/>
  <c r="AA2172" i="62"/>
  <c r="A2173" i="62"/>
  <c r="Z2173" i="62"/>
  <c r="AA2173" i="62"/>
  <c r="A2174" i="62"/>
  <c r="Z2174" i="62"/>
  <c r="AA2174" i="62"/>
  <c r="A2175" i="62"/>
  <c r="Z2175" i="62"/>
  <c r="AA2175" i="62"/>
  <c r="A2176" i="62"/>
  <c r="Z2176" i="62"/>
  <c r="AA2176" i="62"/>
  <c r="A2177" i="62"/>
  <c r="Z2177" i="62"/>
  <c r="AA2177" i="62"/>
  <c r="A2178" i="62"/>
  <c r="Z2178" i="62"/>
  <c r="AA2178" i="62"/>
  <c r="A2179" i="62"/>
  <c r="Z2179" i="62"/>
  <c r="AA2179" i="62"/>
  <c r="A2180" i="62"/>
  <c r="Z2180" i="62"/>
  <c r="AA2180" i="62"/>
  <c r="A2181" i="62"/>
  <c r="Z2181" i="62"/>
  <c r="AA2181" i="62"/>
  <c r="A2182" i="62"/>
  <c r="Z2182" i="62"/>
  <c r="AA2182" i="62"/>
  <c r="A2183" i="62"/>
  <c r="Z2183" i="62"/>
  <c r="AA2183" i="62"/>
  <c r="A2184" i="62"/>
  <c r="Z2184" i="62"/>
  <c r="AA2184" i="62"/>
  <c r="A2185" i="62"/>
  <c r="Z2185" i="62"/>
  <c r="AA2185" i="62"/>
  <c r="A2186" i="62"/>
  <c r="Z2186" i="62"/>
  <c r="AA2186" i="62"/>
  <c r="A2187" i="62"/>
  <c r="Z2187" i="62"/>
  <c r="AA2187" i="62"/>
  <c r="L3" i="36"/>
  <c r="M3" i="36"/>
  <c r="N3" i="36"/>
  <c r="O3" i="36"/>
  <c r="P3" i="36"/>
  <c r="Q3" i="36"/>
  <c r="R3" i="36"/>
  <c r="S3" i="36"/>
  <c r="L4" i="36"/>
  <c r="M4" i="36"/>
  <c r="N4" i="36"/>
  <c r="O4" i="36"/>
  <c r="P4" i="36"/>
  <c r="Q4" i="36"/>
  <c r="R4" i="36"/>
  <c r="S4" i="36"/>
  <c r="L5" i="36"/>
  <c r="M5" i="36"/>
  <c r="N5" i="36"/>
  <c r="O5" i="36"/>
  <c r="P5" i="36"/>
  <c r="Q5" i="36"/>
  <c r="R5" i="36"/>
  <c r="S5" i="36"/>
  <c r="L6" i="36"/>
  <c r="M6" i="36"/>
  <c r="N6" i="36"/>
  <c r="O6" i="36"/>
  <c r="P6" i="36"/>
  <c r="Q6" i="36"/>
  <c r="R6" i="36"/>
  <c r="S6" i="36"/>
  <c r="L7" i="36"/>
  <c r="M7" i="36"/>
  <c r="N7" i="36"/>
  <c r="O7" i="36"/>
  <c r="P7" i="36"/>
  <c r="Q7" i="36"/>
  <c r="R7" i="36"/>
  <c r="S7" i="36"/>
  <c r="L8" i="36"/>
  <c r="M8" i="36"/>
  <c r="N8" i="36"/>
  <c r="O8" i="36"/>
  <c r="P8" i="36"/>
  <c r="Q8" i="36"/>
  <c r="R8" i="36"/>
  <c r="S8" i="36"/>
  <c r="L9" i="36"/>
  <c r="M9" i="36"/>
  <c r="N9" i="36"/>
  <c r="O9" i="36"/>
  <c r="P9" i="36"/>
  <c r="Q9" i="36"/>
  <c r="R9" i="36"/>
  <c r="S9" i="36"/>
  <c r="L10" i="36"/>
  <c r="M10" i="36"/>
  <c r="N10" i="36"/>
  <c r="O10" i="36"/>
  <c r="P10" i="36"/>
  <c r="Q10" i="36"/>
  <c r="R10" i="36"/>
  <c r="S10" i="36"/>
  <c r="L11" i="36"/>
  <c r="M11" i="36"/>
  <c r="N11" i="36"/>
  <c r="O11" i="36"/>
  <c r="P11" i="36"/>
  <c r="Q11" i="36"/>
  <c r="R11" i="36"/>
  <c r="S11" i="36"/>
  <c r="L12" i="36"/>
  <c r="M12" i="36"/>
  <c r="N12" i="36"/>
  <c r="O12" i="36"/>
  <c r="P12" i="36"/>
  <c r="Q12" i="36"/>
  <c r="R12" i="36"/>
  <c r="S12" i="36"/>
  <c r="L13" i="36"/>
  <c r="M13" i="36"/>
  <c r="N13" i="36"/>
  <c r="O13" i="36"/>
  <c r="P13" i="36"/>
  <c r="Q13" i="36"/>
  <c r="R13" i="36"/>
  <c r="S13" i="36"/>
  <c r="L14" i="36"/>
  <c r="M14" i="36"/>
  <c r="N14" i="36"/>
  <c r="O14" i="36"/>
  <c r="P14" i="36"/>
  <c r="Q14" i="36"/>
  <c r="R14" i="36"/>
  <c r="S14" i="36"/>
  <c r="L15" i="36"/>
  <c r="M15" i="36"/>
  <c r="N15" i="36"/>
  <c r="O15" i="36"/>
  <c r="P15" i="36"/>
  <c r="Q15" i="36"/>
  <c r="R15" i="36"/>
  <c r="S15" i="36"/>
  <c r="L16" i="36"/>
  <c r="M16" i="36"/>
  <c r="N16" i="36"/>
  <c r="O16" i="36"/>
  <c r="P16" i="36"/>
  <c r="Q16" i="36"/>
  <c r="R16" i="36"/>
  <c r="S16" i="36"/>
  <c r="L17" i="36"/>
  <c r="M17" i="36"/>
  <c r="N17" i="36"/>
  <c r="O17" i="36"/>
  <c r="P17" i="36"/>
  <c r="Q17" i="36"/>
  <c r="R17" i="36"/>
  <c r="S17" i="36"/>
  <c r="L18" i="36"/>
  <c r="M18" i="36"/>
  <c r="N18" i="36"/>
  <c r="O18" i="36"/>
  <c r="P18" i="36"/>
  <c r="Q18" i="36"/>
  <c r="R18" i="36"/>
  <c r="S18" i="36"/>
  <c r="L19" i="36"/>
  <c r="M19" i="36"/>
  <c r="N19" i="36"/>
  <c r="O19" i="36"/>
  <c r="P19" i="36"/>
  <c r="Q19" i="36"/>
  <c r="R19" i="36"/>
  <c r="S19" i="36"/>
  <c r="L20" i="36"/>
  <c r="M20" i="36"/>
  <c r="N20" i="36"/>
  <c r="O20" i="36"/>
  <c r="P20" i="36"/>
  <c r="Q20" i="36"/>
  <c r="R20" i="36"/>
  <c r="S20" i="36"/>
  <c r="L21" i="36"/>
  <c r="M21" i="36"/>
  <c r="N21" i="36"/>
  <c r="O21" i="36"/>
  <c r="P21" i="36"/>
  <c r="Q21" i="36"/>
  <c r="R21" i="36"/>
  <c r="S21" i="36"/>
  <c r="L22" i="36"/>
  <c r="M22" i="36"/>
  <c r="N22" i="36"/>
  <c r="O22" i="36"/>
  <c r="P22" i="36"/>
  <c r="Q22" i="36"/>
  <c r="R22" i="36"/>
  <c r="S22" i="36"/>
  <c r="L23" i="36"/>
  <c r="M23" i="36"/>
  <c r="N23" i="36"/>
  <c r="O23" i="36"/>
  <c r="P23" i="36"/>
  <c r="Q23" i="36"/>
  <c r="R23" i="36"/>
  <c r="S23" i="36"/>
  <c r="L24" i="36"/>
  <c r="M24" i="36"/>
  <c r="N24" i="36"/>
  <c r="O24" i="36"/>
  <c r="P24" i="36"/>
  <c r="Q24" i="36"/>
  <c r="R24" i="36"/>
  <c r="S24" i="36"/>
  <c r="L25" i="36"/>
  <c r="M25" i="36"/>
  <c r="N25" i="36"/>
  <c r="O25" i="36"/>
  <c r="P25" i="36"/>
  <c r="Q25" i="36"/>
  <c r="R25" i="36"/>
  <c r="S25" i="36"/>
  <c r="L26" i="36"/>
  <c r="M26" i="36"/>
  <c r="N26" i="36"/>
  <c r="O26" i="36"/>
  <c r="P26" i="36"/>
  <c r="Q26" i="36"/>
  <c r="R26" i="36"/>
  <c r="S26" i="36"/>
  <c r="L27" i="36"/>
  <c r="M27" i="36"/>
  <c r="N27" i="36"/>
  <c r="O27" i="36"/>
  <c r="P27" i="36"/>
  <c r="Q27" i="36"/>
  <c r="R27" i="36"/>
  <c r="S27" i="36"/>
  <c r="L28" i="36"/>
  <c r="M28" i="36"/>
  <c r="N28" i="36"/>
  <c r="O28" i="36"/>
  <c r="P28" i="36"/>
  <c r="Q28" i="36"/>
  <c r="R28" i="36"/>
  <c r="S28" i="36"/>
  <c r="L29" i="36"/>
  <c r="M29" i="36"/>
  <c r="N29" i="36"/>
  <c r="O29" i="36"/>
  <c r="P29" i="36"/>
  <c r="Q29" i="36"/>
  <c r="R29" i="36"/>
  <c r="S29" i="36"/>
  <c r="S2" i="36"/>
  <c r="R2" i="36"/>
  <c r="M2" i="36"/>
  <c r="N2" i="36"/>
  <c r="O2" i="36"/>
  <c r="P2" i="36"/>
  <c r="Q2" i="36"/>
  <c r="L2" i="36"/>
  <c r="K3" i="31"/>
  <c r="K4" i="31"/>
  <c r="K5" i="31"/>
  <c r="K6" i="31"/>
  <c r="K7" i="31"/>
  <c r="K8" i="31"/>
  <c r="K9" i="31"/>
  <c r="K10" i="31"/>
  <c r="K11" i="31"/>
  <c r="K12" i="31"/>
  <c r="K13" i="31"/>
  <c r="K14" i="31"/>
  <c r="K15" i="31"/>
  <c r="K16" i="31"/>
  <c r="K17" i="31"/>
  <c r="K18" i="31"/>
  <c r="K19" i="31"/>
  <c r="K20" i="31"/>
  <c r="K21" i="31"/>
  <c r="K22" i="31"/>
  <c r="K23" i="31"/>
  <c r="K24" i="31"/>
  <c r="K25" i="31"/>
  <c r="K26" i="31"/>
  <c r="K27" i="31"/>
  <c r="K28" i="31"/>
  <c r="K29" i="31"/>
  <c r="K2" i="3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2" i="31"/>
  <c r="K3" i="30"/>
  <c r="K4" i="30"/>
  <c r="K5" i="30"/>
  <c r="K6" i="30"/>
  <c r="K7" i="30"/>
  <c r="K8" i="30"/>
  <c r="K9" i="30"/>
  <c r="K10" i="30"/>
  <c r="K11" i="30"/>
  <c r="K12" i="30"/>
  <c r="K13" i="30"/>
  <c r="K14" i="30"/>
  <c r="K15" i="30"/>
  <c r="K16" i="30"/>
  <c r="K17" i="30"/>
  <c r="K18" i="30"/>
  <c r="K19" i="30"/>
  <c r="K20" i="30"/>
  <c r="K21" i="30"/>
  <c r="K22" i="30"/>
  <c r="K23" i="30"/>
  <c r="K24" i="30"/>
  <c r="K25" i="30"/>
  <c r="K26" i="30"/>
  <c r="K27" i="30"/>
  <c r="K28" i="30"/>
  <c r="K29" i="30"/>
  <c r="K2" i="30"/>
  <c r="A3" i="30"/>
  <c r="A4" i="30"/>
  <c r="A5" i="30"/>
  <c r="A6" i="30"/>
  <c r="A7" i="30"/>
  <c r="A8" i="30"/>
  <c r="A9" i="30"/>
  <c r="A10" i="30"/>
  <c r="A11" i="30"/>
  <c r="A12" i="30"/>
  <c r="A13" i="30"/>
  <c r="A14" i="30"/>
  <c r="A15" i="30"/>
  <c r="A16" i="30"/>
  <c r="A17" i="30"/>
  <c r="A18" i="30"/>
  <c r="A19" i="30"/>
  <c r="A20" i="30"/>
  <c r="A21" i="30"/>
  <c r="A22" i="30"/>
  <c r="A23" i="30"/>
  <c r="A24" i="30"/>
  <c r="A25" i="30"/>
  <c r="A26" i="30"/>
  <c r="A27" i="30"/>
  <c r="A28" i="30"/>
  <c r="A29" i="30"/>
  <c r="A2" i="30"/>
  <c r="K3" i="29"/>
  <c r="K4" i="29"/>
  <c r="K5" i="29"/>
  <c r="K6" i="29"/>
  <c r="K7" i="29"/>
  <c r="K8" i="29"/>
  <c r="K9" i="29"/>
  <c r="K10" i="29"/>
  <c r="K11" i="29"/>
  <c r="K12" i="29"/>
  <c r="K13" i="29"/>
  <c r="K14" i="29"/>
  <c r="K15" i="29"/>
  <c r="K16" i="29"/>
  <c r="K17" i="29"/>
  <c r="K18" i="29"/>
  <c r="K19" i="29"/>
  <c r="K20" i="29"/>
  <c r="K21" i="29"/>
  <c r="K22" i="29"/>
  <c r="K23" i="29"/>
  <c r="K24" i="29"/>
  <c r="K25" i="29"/>
  <c r="K26" i="29"/>
  <c r="K27" i="29"/>
  <c r="K28" i="29"/>
  <c r="K29" i="29"/>
  <c r="K2" i="29"/>
  <c r="A3" i="29"/>
  <c r="A4" i="29"/>
  <c r="A5" i="29"/>
  <c r="A6" i="29"/>
  <c r="A7" i="29"/>
  <c r="A8" i="29"/>
  <c r="A9" i="29"/>
  <c r="A10" i="29"/>
  <c r="A11" i="29"/>
  <c r="A12" i="29"/>
  <c r="A13" i="29"/>
  <c r="A14" i="29"/>
  <c r="A15" i="29"/>
  <c r="A16" i="29"/>
  <c r="A17" i="29"/>
  <c r="A18" i="29"/>
  <c r="A19" i="29"/>
  <c r="A20" i="29"/>
  <c r="A21" i="29"/>
  <c r="A22" i="29"/>
  <c r="A23" i="29"/>
  <c r="A24" i="29"/>
  <c r="A25" i="29"/>
  <c r="A26" i="29"/>
  <c r="A27" i="29"/>
  <c r="A28" i="29"/>
  <c r="A29" i="29"/>
  <c r="A2" i="29"/>
  <c r="K3" i="28"/>
  <c r="K4" i="28"/>
  <c r="K5" i="28"/>
  <c r="K6" i="28"/>
  <c r="K7" i="28"/>
  <c r="K8" i="28"/>
  <c r="K9" i="28"/>
  <c r="K10" i="28"/>
  <c r="K11" i="28"/>
  <c r="K12" i="28"/>
  <c r="K13" i="28"/>
  <c r="K14" i="28"/>
  <c r="K15" i="28"/>
  <c r="K16" i="28"/>
  <c r="K17" i="28"/>
  <c r="K18" i="28"/>
  <c r="K19" i="28"/>
  <c r="K20" i="28"/>
  <c r="K21" i="28"/>
  <c r="K22" i="28"/>
  <c r="K23" i="28"/>
  <c r="K24" i="28"/>
  <c r="K25" i="28"/>
  <c r="K26" i="28"/>
  <c r="K27" i="28"/>
  <c r="K28" i="28"/>
  <c r="K29" i="28"/>
  <c r="K2" i="28"/>
  <c r="A3" i="28"/>
  <c r="A4" i="28"/>
  <c r="A5" i="28"/>
  <c r="A6" i="28"/>
  <c r="A7" i="28"/>
  <c r="A8" i="28"/>
  <c r="A9" i="28"/>
  <c r="A10" i="28"/>
  <c r="A11" i="28"/>
  <c r="A12" i="28"/>
  <c r="A13" i="28"/>
  <c r="A14" i="28"/>
  <c r="A15" i="28"/>
  <c r="A16" i="28"/>
  <c r="A17" i="28"/>
  <c r="A18" i="28"/>
  <c r="A19" i="28"/>
  <c r="A20" i="28"/>
  <c r="A21" i="28"/>
  <c r="A22" i="28"/>
  <c r="A23" i="28"/>
  <c r="A24" i="28"/>
  <c r="A25" i="28"/>
  <c r="A26" i="28"/>
  <c r="A27" i="28"/>
  <c r="A28" i="28"/>
  <c r="A29" i="28"/>
  <c r="A2" i="28"/>
  <c r="K3" i="36"/>
  <c r="K4" i="36"/>
  <c r="K5" i="36"/>
  <c r="K6" i="36"/>
  <c r="K7" i="36"/>
  <c r="K8" i="36"/>
  <c r="K9" i="36"/>
  <c r="K10" i="36"/>
  <c r="K11" i="36"/>
  <c r="K12" i="36"/>
  <c r="K13" i="36"/>
  <c r="K14" i="36"/>
  <c r="K15" i="36"/>
  <c r="K16" i="36"/>
  <c r="K17" i="36"/>
  <c r="K18" i="36"/>
  <c r="K19" i="36"/>
  <c r="K20" i="36"/>
  <c r="K21" i="36"/>
  <c r="K22" i="36"/>
  <c r="K23" i="36"/>
  <c r="K24" i="36"/>
  <c r="K25" i="36"/>
  <c r="K26" i="36"/>
  <c r="K27" i="36"/>
  <c r="K28" i="36"/>
  <c r="K29" i="36"/>
  <c r="K2" i="36"/>
  <c r="A3" i="36"/>
  <c r="A4" i="36"/>
  <c r="A5" i="36"/>
  <c r="A6" i="36"/>
  <c r="A7" i="36"/>
  <c r="A8" i="36"/>
  <c r="A9" i="36"/>
  <c r="A10" i="36"/>
  <c r="A11" i="36"/>
  <c r="A12" i="36"/>
  <c r="A13" i="36"/>
  <c r="A14" i="36"/>
  <c r="A15" i="36"/>
  <c r="A16" i="36"/>
  <c r="A17" i="36"/>
  <c r="A18" i="36"/>
  <c r="A19" i="36"/>
  <c r="A20" i="36"/>
  <c r="A21" i="36"/>
  <c r="A22" i="36"/>
  <c r="A23" i="36"/>
  <c r="A24" i="36"/>
  <c r="A25" i="36"/>
  <c r="A26" i="36"/>
  <c r="A27" i="36"/>
  <c r="A28" i="36"/>
  <c r="A29" i="36"/>
  <c r="A2" i="36"/>
  <c r="K3" i="35"/>
  <c r="K4" i="35"/>
  <c r="K5" i="35"/>
  <c r="K6" i="35"/>
  <c r="K7" i="35"/>
  <c r="K8" i="35"/>
  <c r="K9" i="35"/>
  <c r="K10" i="35"/>
  <c r="K11" i="35"/>
  <c r="K12" i="35"/>
  <c r="K13" i="35"/>
  <c r="K14" i="35"/>
  <c r="K15" i="35"/>
  <c r="K16" i="35"/>
  <c r="K17" i="35"/>
  <c r="K18" i="35"/>
  <c r="K19" i="35"/>
  <c r="K20" i="35"/>
  <c r="K21" i="35"/>
  <c r="K22" i="35"/>
  <c r="K23" i="35"/>
  <c r="K24" i="35"/>
  <c r="K25" i="35"/>
  <c r="K26" i="35"/>
  <c r="K27" i="35"/>
  <c r="K28" i="35"/>
  <c r="K29" i="35"/>
  <c r="K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2" i="35"/>
  <c r="K3" i="34"/>
  <c r="K4" i="34"/>
  <c r="K5" i="34"/>
  <c r="K6" i="34"/>
  <c r="K7" i="34"/>
  <c r="K8" i="34"/>
  <c r="K9" i="34"/>
  <c r="K10" i="34"/>
  <c r="K11" i="34"/>
  <c r="K12" i="34"/>
  <c r="K13" i="34"/>
  <c r="K14" i="34"/>
  <c r="K15" i="34"/>
  <c r="K16" i="34"/>
  <c r="K17" i="34"/>
  <c r="K18" i="34"/>
  <c r="K19" i="34"/>
  <c r="K20" i="34"/>
  <c r="K21" i="34"/>
  <c r="K22" i="34"/>
  <c r="K23" i="34"/>
  <c r="K24" i="34"/>
  <c r="K25" i="34"/>
  <c r="K26" i="34"/>
  <c r="K27" i="34"/>
  <c r="K28" i="34"/>
  <c r="K29" i="34"/>
  <c r="K2" i="34"/>
  <c r="A3" i="34"/>
  <c r="A4" i="34"/>
  <c r="A5" i="34"/>
  <c r="A6" i="34"/>
  <c r="A7" i="34"/>
  <c r="A8" i="34"/>
  <c r="A9" i="34"/>
  <c r="A10" i="34"/>
  <c r="A11" i="34"/>
  <c r="A12" i="34"/>
  <c r="A13" i="34"/>
  <c r="A14" i="34"/>
  <c r="A15" i="34"/>
  <c r="A16" i="34"/>
  <c r="A17" i="34"/>
  <c r="A18" i="34"/>
  <c r="A19" i="34"/>
  <c r="A20" i="34"/>
  <c r="A21" i="34"/>
  <c r="A22" i="34"/>
  <c r="A23" i="34"/>
  <c r="A24" i="34"/>
  <c r="A25" i="34"/>
  <c r="A26" i="34"/>
  <c r="A27" i="34"/>
  <c r="A28" i="34"/>
  <c r="A29" i="34"/>
  <c r="A2" i="34"/>
  <c r="K3" i="33"/>
  <c r="K4" i="33"/>
  <c r="K5" i="33"/>
  <c r="K6" i="33"/>
  <c r="K7" i="33"/>
  <c r="K8" i="33"/>
  <c r="K9" i="33"/>
  <c r="K10" i="33"/>
  <c r="K11" i="33"/>
  <c r="K12" i="33"/>
  <c r="K13" i="33"/>
  <c r="K14" i="33"/>
  <c r="K15" i="33"/>
  <c r="K16" i="33"/>
  <c r="K17" i="33"/>
  <c r="K18" i="33"/>
  <c r="K19" i="33"/>
  <c r="K20" i="33"/>
  <c r="K21" i="33"/>
  <c r="K22" i="33"/>
  <c r="K23" i="33"/>
  <c r="K24" i="33"/>
  <c r="K25" i="33"/>
  <c r="K26" i="33"/>
  <c r="K27" i="33"/>
  <c r="K28" i="33"/>
  <c r="K29" i="33"/>
  <c r="K2" i="33"/>
  <c r="A3" i="33"/>
  <c r="A4" i="33"/>
  <c r="A5" i="33"/>
  <c r="A6" i="33"/>
  <c r="A7" i="33"/>
  <c r="A8" i="33"/>
  <c r="A9" i="33"/>
  <c r="A10" i="33"/>
  <c r="A11" i="33"/>
  <c r="A12" i="33"/>
  <c r="A13" i="33"/>
  <c r="A14" i="33"/>
  <c r="A15" i="33"/>
  <c r="A16" i="33"/>
  <c r="A17" i="33"/>
  <c r="A18" i="33"/>
  <c r="A19" i="33"/>
  <c r="A20" i="33"/>
  <c r="A21" i="33"/>
  <c r="A22" i="33"/>
  <c r="A23" i="33"/>
  <c r="A24" i="33"/>
  <c r="A25" i="33"/>
  <c r="A26" i="33"/>
  <c r="A27" i="33"/>
  <c r="A28" i="33"/>
  <c r="A29" i="33"/>
  <c r="A2" i="33"/>
  <c r="B5" i="39"/>
  <c r="J5" i="39"/>
  <c r="R5" i="39"/>
  <c r="Z5" i="39"/>
  <c r="C5" i="39"/>
  <c r="K5" i="39"/>
  <c r="S5" i="39"/>
  <c r="AA5" i="39"/>
  <c r="D5" i="39"/>
  <c r="L5" i="39"/>
  <c r="T5" i="39"/>
  <c r="AB5" i="39"/>
  <c r="E5" i="39"/>
  <c r="M5" i="39"/>
  <c r="U5" i="39"/>
  <c r="AC5" i="39"/>
  <c r="F5" i="39"/>
  <c r="N5" i="39"/>
  <c r="V5" i="39"/>
  <c r="AD5" i="39"/>
  <c r="G5" i="39"/>
  <c r="O5" i="39"/>
  <c r="W5" i="39"/>
  <c r="AE5" i="39"/>
  <c r="H5" i="39"/>
  <c r="P5" i="39"/>
  <c r="X5" i="39"/>
  <c r="AF5" i="39"/>
  <c r="I5" i="39"/>
  <c r="Q5" i="39"/>
  <c r="Y5" i="39"/>
  <c r="AG5" i="39"/>
  <c r="B6" i="39"/>
  <c r="J6" i="39"/>
  <c r="R6" i="39"/>
  <c r="Z6" i="39"/>
  <c r="C6" i="39"/>
  <c r="K6" i="39"/>
  <c r="S6" i="39"/>
  <c r="AA6" i="39"/>
  <c r="D6" i="39"/>
  <c r="L6" i="39"/>
  <c r="T6" i="39"/>
  <c r="AB6" i="39"/>
  <c r="E6" i="39"/>
  <c r="M6" i="39"/>
  <c r="U6" i="39"/>
  <c r="AC6" i="39"/>
  <c r="F6" i="39"/>
  <c r="N6" i="39"/>
  <c r="V6" i="39"/>
  <c r="AD6" i="39"/>
  <c r="G6" i="39"/>
  <c r="O6" i="39"/>
  <c r="W6" i="39"/>
  <c r="AE6" i="39"/>
  <c r="H6" i="39"/>
  <c r="P6" i="39"/>
  <c r="X6" i="39"/>
  <c r="AF6" i="39"/>
  <c r="I6" i="39"/>
  <c r="Q6" i="39"/>
  <c r="Y6" i="39"/>
  <c r="AG6" i="39"/>
  <c r="B7" i="39"/>
  <c r="J7" i="39"/>
  <c r="R7" i="39"/>
  <c r="Z7" i="39"/>
  <c r="C7" i="39"/>
  <c r="K7" i="39"/>
  <c r="S7" i="39"/>
  <c r="AA7" i="39"/>
  <c r="D7" i="39"/>
  <c r="L7" i="39"/>
  <c r="T7" i="39"/>
  <c r="AB7" i="39"/>
  <c r="E7" i="39"/>
  <c r="M7" i="39"/>
  <c r="U7" i="39"/>
  <c r="AC7" i="39"/>
  <c r="F7" i="39"/>
  <c r="N7" i="39"/>
  <c r="V7" i="39"/>
  <c r="AD7" i="39"/>
  <c r="G7" i="39"/>
  <c r="O7" i="39"/>
  <c r="W7" i="39"/>
  <c r="AE7" i="39"/>
  <c r="H7" i="39"/>
  <c r="P7" i="39"/>
  <c r="X7" i="39"/>
  <c r="AF7" i="39"/>
  <c r="I7" i="39"/>
  <c r="Q7" i="39"/>
  <c r="Y7" i="39"/>
  <c r="AG7" i="39"/>
  <c r="B8" i="39"/>
  <c r="J8" i="39"/>
  <c r="R8" i="39"/>
  <c r="Z8" i="39"/>
  <c r="C8" i="39"/>
  <c r="K8" i="39"/>
  <c r="S8" i="39"/>
  <c r="AA8" i="39"/>
  <c r="D8" i="39"/>
  <c r="L8" i="39"/>
  <c r="T8" i="39"/>
  <c r="AB8" i="39"/>
  <c r="E8" i="39"/>
  <c r="M8" i="39"/>
  <c r="U8" i="39"/>
  <c r="AC8" i="39"/>
  <c r="F8" i="39"/>
  <c r="N8" i="39"/>
  <c r="V8" i="39"/>
  <c r="AD8" i="39"/>
  <c r="G8" i="39"/>
  <c r="O8" i="39"/>
  <c r="W8" i="39"/>
  <c r="AE8" i="39"/>
  <c r="H8" i="39"/>
  <c r="P8" i="39"/>
  <c r="X8" i="39"/>
  <c r="AF8" i="39"/>
  <c r="I8" i="39"/>
  <c r="Q8" i="39"/>
  <c r="Y8" i="39"/>
  <c r="AG8" i="39"/>
  <c r="B9" i="39"/>
  <c r="J9" i="39"/>
  <c r="R9" i="39"/>
  <c r="Z9" i="39"/>
  <c r="C9" i="39"/>
  <c r="K9" i="39"/>
  <c r="S9" i="39"/>
  <c r="AA9" i="39"/>
  <c r="D9" i="39"/>
  <c r="L9" i="39"/>
  <c r="T9" i="39"/>
  <c r="AB9" i="39"/>
  <c r="E9" i="39"/>
  <c r="M9" i="39"/>
  <c r="U9" i="39"/>
  <c r="AC9" i="39"/>
  <c r="F9" i="39"/>
  <c r="N9" i="39"/>
  <c r="V9" i="39"/>
  <c r="AD9" i="39"/>
  <c r="G9" i="39"/>
  <c r="O9" i="39"/>
  <c r="W9" i="39"/>
  <c r="AE9" i="39"/>
  <c r="H9" i="39"/>
  <c r="P9" i="39"/>
  <c r="X9" i="39"/>
  <c r="AF9" i="39"/>
  <c r="I9" i="39"/>
  <c r="Q9" i="39"/>
  <c r="Y9" i="39"/>
  <c r="AG9" i="39"/>
  <c r="B10" i="39"/>
  <c r="J10" i="39"/>
  <c r="R10" i="39"/>
  <c r="Z10" i="39"/>
  <c r="C10" i="39"/>
  <c r="K10" i="39"/>
  <c r="S10" i="39"/>
  <c r="AA10" i="39"/>
  <c r="D10" i="39"/>
  <c r="L10" i="39"/>
  <c r="T10" i="39"/>
  <c r="AB10" i="39"/>
  <c r="E10" i="39"/>
  <c r="M10" i="39"/>
  <c r="U10" i="39"/>
  <c r="AC10" i="39"/>
  <c r="F10" i="39"/>
  <c r="N10" i="39"/>
  <c r="V10" i="39"/>
  <c r="AD10" i="39"/>
  <c r="G10" i="39"/>
  <c r="O10" i="39"/>
  <c r="W10" i="39"/>
  <c r="AE10" i="39"/>
  <c r="H10" i="39"/>
  <c r="P10" i="39"/>
  <c r="X10" i="39"/>
  <c r="AF10" i="39"/>
  <c r="I10" i="39"/>
  <c r="Q10" i="39"/>
  <c r="Y10" i="39"/>
  <c r="AG10" i="39"/>
  <c r="B11" i="39"/>
  <c r="J11" i="39"/>
  <c r="R11" i="39"/>
  <c r="Z11" i="39"/>
  <c r="C11" i="39"/>
  <c r="K11" i="39"/>
  <c r="S11" i="39"/>
  <c r="AA11" i="39"/>
  <c r="D11" i="39"/>
  <c r="L11" i="39"/>
  <c r="T11" i="39"/>
  <c r="AB11" i="39"/>
  <c r="E11" i="39"/>
  <c r="M11" i="39"/>
  <c r="U11" i="39"/>
  <c r="AC11" i="39"/>
  <c r="F11" i="39"/>
  <c r="N11" i="39"/>
  <c r="V11" i="39"/>
  <c r="AD11" i="39"/>
  <c r="G11" i="39"/>
  <c r="O11" i="39"/>
  <c r="W11" i="39"/>
  <c r="AE11" i="39"/>
  <c r="H11" i="39"/>
  <c r="P11" i="39"/>
  <c r="X11" i="39"/>
  <c r="AF11" i="39"/>
  <c r="I11" i="39"/>
  <c r="Q11" i="39"/>
  <c r="Y11" i="39"/>
  <c r="AG11" i="39"/>
  <c r="B12" i="39"/>
  <c r="J12" i="39"/>
  <c r="R12" i="39"/>
  <c r="Z12" i="39"/>
  <c r="C12" i="39"/>
  <c r="K12" i="39"/>
  <c r="S12" i="39"/>
  <c r="AA12" i="39"/>
  <c r="D12" i="39"/>
  <c r="L12" i="39"/>
  <c r="T12" i="39"/>
  <c r="AB12" i="39"/>
  <c r="E12" i="39"/>
  <c r="M12" i="39"/>
  <c r="U12" i="39"/>
  <c r="AC12" i="39"/>
  <c r="F12" i="39"/>
  <c r="N12" i="39"/>
  <c r="V12" i="39"/>
  <c r="AD12" i="39"/>
  <c r="G12" i="39"/>
  <c r="O12" i="39"/>
  <c r="W12" i="39"/>
  <c r="AE12" i="39"/>
  <c r="H12" i="39"/>
  <c r="P12" i="39"/>
  <c r="X12" i="39"/>
  <c r="AF12" i="39"/>
  <c r="I12" i="39"/>
  <c r="Q12" i="39"/>
  <c r="Y12" i="39"/>
  <c r="AG12" i="39"/>
  <c r="B13" i="39"/>
  <c r="J13" i="39"/>
  <c r="R13" i="39"/>
  <c r="Z13" i="39"/>
  <c r="C13" i="39"/>
  <c r="K13" i="39"/>
  <c r="S13" i="39"/>
  <c r="AA13" i="39"/>
  <c r="D13" i="39"/>
  <c r="L13" i="39"/>
  <c r="T13" i="39"/>
  <c r="AB13" i="39"/>
  <c r="E13" i="39"/>
  <c r="M13" i="39"/>
  <c r="U13" i="39"/>
  <c r="AC13" i="39"/>
  <c r="F13" i="39"/>
  <c r="N13" i="39"/>
  <c r="V13" i="39"/>
  <c r="AD13" i="39"/>
  <c r="G13" i="39"/>
  <c r="O13" i="39"/>
  <c r="W13" i="39"/>
  <c r="AE13" i="39"/>
  <c r="H13" i="39"/>
  <c r="P13" i="39"/>
  <c r="X13" i="39"/>
  <c r="AF13" i="39"/>
  <c r="I13" i="39"/>
  <c r="Q13" i="39"/>
  <c r="Y13" i="39"/>
  <c r="AG13" i="39"/>
  <c r="B14" i="39"/>
  <c r="J14" i="39"/>
  <c r="R14" i="39"/>
  <c r="Z14" i="39"/>
  <c r="C14" i="39"/>
  <c r="K14" i="39"/>
  <c r="S14" i="39"/>
  <c r="AA14" i="39"/>
  <c r="D14" i="39"/>
  <c r="L14" i="39"/>
  <c r="T14" i="39"/>
  <c r="AB14" i="39"/>
  <c r="E14" i="39"/>
  <c r="M14" i="39"/>
  <c r="U14" i="39"/>
  <c r="AC14" i="39"/>
  <c r="F14" i="39"/>
  <c r="N14" i="39"/>
  <c r="V14" i="39"/>
  <c r="AD14" i="39"/>
  <c r="G14" i="39"/>
  <c r="O14" i="39"/>
  <c r="W14" i="39"/>
  <c r="AE14" i="39"/>
  <c r="H14" i="39"/>
  <c r="P14" i="39"/>
  <c r="X14" i="39"/>
  <c r="AF14" i="39"/>
  <c r="I14" i="39"/>
  <c r="Q14" i="39"/>
  <c r="Y14" i="39"/>
  <c r="AG14" i="39"/>
  <c r="B15" i="39"/>
  <c r="J15" i="39"/>
  <c r="R15" i="39"/>
  <c r="Z15" i="39"/>
  <c r="C15" i="39"/>
  <c r="K15" i="39"/>
  <c r="S15" i="39"/>
  <c r="AA15" i="39"/>
  <c r="D15" i="39"/>
  <c r="L15" i="39"/>
  <c r="T15" i="39"/>
  <c r="AB15" i="39"/>
  <c r="E15" i="39"/>
  <c r="M15" i="39"/>
  <c r="U15" i="39"/>
  <c r="AC15" i="39"/>
  <c r="F15" i="39"/>
  <c r="N15" i="39"/>
  <c r="V15" i="39"/>
  <c r="AD15" i="39"/>
  <c r="G15" i="39"/>
  <c r="O15" i="39"/>
  <c r="W15" i="39"/>
  <c r="AE15" i="39"/>
  <c r="H15" i="39"/>
  <c r="P15" i="39"/>
  <c r="X15" i="39"/>
  <c r="AF15" i="39"/>
  <c r="I15" i="39"/>
  <c r="Q15" i="39"/>
  <c r="Y15" i="39"/>
  <c r="AG15" i="39"/>
  <c r="B16" i="39"/>
  <c r="J16" i="39"/>
  <c r="R16" i="39"/>
  <c r="Z16" i="39"/>
  <c r="C16" i="39"/>
  <c r="K16" i="39"/>
  <c r="S16" i="39"/>
  <c r="AA16" i="39"/>
  <c r="D16" i="39"/>
  <c r="L16" i="39"/>
  <c r="T16" i="39"/>
  <c r="AB16" i="39"/>
  <c r="E16" i="39"/>
  <c r="M16" i="39"/>
  <c r="U16" i="39"/>
  <c r="AC16" i="39"/>
  <c r="F16" i="39"/>
  <c r="N16" i="39"/>
  <c r="V16" i="39"/>
  <c r="AD16" i="39"/>
  <c r="G16" i="39"/>
  <c r="O16" i="39"/>
  <c r="W16" i="39"/>
  <c r="AE16" i="39"/>
  <c r="H16" i="39"/>
  <c r="P16" i="39"/>
  <c r="X16" i="39"/>
  <c r="AF16" i="39"/>
  <c r="I16" i="39"/>
  <c r="Q16" i="39"/>
  <c r="Y16" i="39"/>
  <c r="AG16" i="39"/>
  <c r="B17" i="39"/>
  <c r="J17" i="39"/>
  <c r="R17" i="39"/>
  <c r="Z17" i="39"/>
  <c r="C17" i="39"/>
  <c r="K17" i="39"/>
  <c r="S17" i="39"/>
  <c r="AA17" i="39"/>
  <c r="D17" i="39"/>
  <c r="L17" i="39"/>
  <c r="T17" i="39"/>
  <c r="AB17" i="39"/>
  <c r="E17" i="39"/>
  <c r="M17" i="39"/>
  <c r="U17" i="39"/>
  <c r="AC17" i="39"/>
  <c r="F17" i="39"/>
  <c r="N17" i="39"/>
  <c r="V17" i="39"/>
  <c r="AD17" i="39"/>
  <c r="G17" i="39"/>
  <c r="O17" i="39"/>
  <c r="W17" i="39"/>
  <c r="AE17" i="39"/>
  <c r="H17" i="39"/>
  <c r="P17" i="39"/>
  <c r="X17" i="39"/>
  <c r="AF17" i="39"/>
  <c r="I17" i="39"/>
  <c r="Q17" i="39"/>
  <c r="Y17" i="39"/>
  <c r="AG17" i="39"/>
  <c r="B18" i="39"/>
  <c r="J18" i="39"/>
  <c r="R18" i="39"/>
  <c r="Z18" i="39"/>
  <c r="C18" i="39"/>
  <c r="K18" i="39"/>
  <c r="S18" i="39"/>
  <c r="AA18" i="39"/>
  <c r="D18" i="39"/>
  <c r="L18" i="39"/>
  <c r="T18" i="39"/>
  <c r="AB18" i="39"/>
  <c r="E18" i="39"/>
  <c r="M18" i="39"/>
  <c r="U18" i="39"/>
  <c r="AC18" i="39"/>
  <c r="F18" i="39"/>
  <c r="N18" i="39"/>
  <c r="V18" i="39"/>
  <c r="AD18" i="39"/>
  <c r="G18" i="39"/>
  <c r="O18" i="39"/>
  <c r="W18" i="39"/>
  <c r="AE18" i="39"/>
  <c r="H18" i="39"/>
  <c r="P18" i="39"/>
  <c r="X18" i="39"/>
  <c r="AF18" i="39"/>
  <c r="I18" i="39"/>
  <c r="Q18" i="39"/>
  <c r="Y18" i="39"/>
  <c r="AG18" i="39"/>
  <c r="B19" i="39"/>
  <c r="J19" i="39"/>
  <c r="R19" i="39"/>
  <c r="Z19" i="39"/>
  <c r="C19" i="39"/>
  <c r="K19" i="39"/>
  <c r="S19" i="39"/>
  <c r="AA19" i="39"/>
  <c r="D19" i="39"/>
  <c r="L19" i="39"/>
  <c r="T19" i="39"/>
  <c r="AB19" i="39"/>
  <c r="E19" i="39"/>
  <c r="M19" i="39"/>
  <c r="U19" i="39"/>
  <c r="AC19" i="39"/>
  <c r="F19" i="39"/>
  <c r="N19" i="39"/>
  <c r="V19" i="39"/>
  <c r="AD19" i="39"/>
  <c r="G19" i="39"/>
  <c r="O19" i="39"/>
  <c r="W19" i="39"/>
  <c r="AE19" i="39"/>
  <c r="H19" i="39"/>
  <c r="P19" i="39"/>
  <c r="X19" i="39"/>
  <c r="AF19" i="39"/>
  <c r="I19" i="39"/>
  <c r="Q19" i="39"/>
  <c r="Y19" i="39"/>
  <c r="AG19" i="39"/>
  <c r="B20" i="39"/>
  <c r="J20" i="39"/>
  <c r="R20" i="39"/>
  <c r="Z20" i="39"/>
  <c r="C20" i="39"/>
  <c r="K20" i="39"/>
  <c r="S20" i="39"/>
  <c r="AA20" i="39"/>
  <c r="D20" i="39"/>
  <c r="L20" i="39"/>
  <c r="T20" i="39"/>
  <c r="AB20" i="39"/>
  <c r="E20" i="39"/>
  <c r="M20" i="39"/>
  <c r="U20" i="39"/>
  <c r="AC20" i="39"/>
  <c r="F20" i="39"/>
  <c r="N20" i="39"/>
  <c r="V20" i="39"/>
  <c r="AD20" i="39"/>
  <c r="G20" i="39"/>
  <c r="O20" i="39"/>
  <c r="W20" i="39"/>
  <c r="AE20" i="39"/>
  <c r="H20" i="39"/>
  <c r="P20" i="39"/>
  <c r="X20" i="39"/>
  <c r="AF20" i="39"/>
  <c r="I20" i="39"/>
  <c r="Q20" i="39"/>
  <c r="Y20" i="39"/>
  <c r="AG20" i="39"/>
  <c r="B21" i="39"/>
  <c r="J21" i="39"/>
  <c r="R21" i="39"/>
  <c r="Z21" i="39"/>
  <c r="C21" i="39"/>
  <c r="K21" i="39"/>
  <c r="S21" i="39"/>
  <c r="AA21" i="39"/>
  <c r="D21" i="39"/>
  <c r="L21" i="39"/>
  <c r="T21" i="39"/>
  <c r="AB21" i="39"/>
  <c r="E21" i="39"/>
  <c r="M21" i="39"/>
  <c r="U21" i="39"/>
  <c r="AC21" i="39"/>
  <c r="F21" i="39"/>
  <c r="N21" i="39"/>
  <c r="V21" i="39"/>
  <c r="AD21" i="39"/>
  <c r="G21" i="39"/>
  <c r="O21" i="39"/>
  <c r="W21" i="39"/>
  <c r="AE21" i="39"/>
  <c r="H21" i="39"/>
  <c r="P21" i="39"/>
  <c r="X21" i="39"/>
  <c r="AF21" i="39"/>
  <c r="I21" i="39"/>
  <c r="Q21" i="39"/>
  <c r="Y21" i="39"/>
  <c r="AG21" i="39"/>
  <c r="B22" i="39"/>
  <c r="J22" i="39"/>
  <c r="R22" i="39"/>
  <c r="Z22" i="39"/>
  <c r="C22" i="39"/>
  <c r="K22" i="39"/>
  <c r="S22" i="39"/>
  <c r="AA22" i="39"/>
  <c r="D22" i="39"/>
  <c r="L22" i="39"/>
  <c r="T22" i="39"/>
  <c r="AB22" i="39"/>
  <c r="E22" i="39"/>
  <c r="M22" i="39"/>
  <c r="U22" i="39"/>
  <c r="AC22" i="39"/>
  <c r="F22" i="39"/>
  <c r="N22" i="39"/>
  <c r="V22" i="39"/>
  <c r="AD22" i="39"/>
  <c r="G22" i="39"/>
  <c r="O22" i="39"/>
  <c r="W22" i="39"/>
  <c r="AE22" i="39"/>
  <c r="H22" i="39"/>
  <c r="P22" i="39"/>
  <c r="X22" i="39"/>
  <c r="AF22" i="39"/>
  <c r="I22" i="39"/>
  <c r="Q22" i="39"/>
  <c r="Y22" i="39"/>
  <c r="AG22" i="39"/>
  <c r="B23" i="39"/>
  <c r="J23" i="39"/>
  <c r="R23" i="39"/>
  <c r="Z23" i="39"/>
  <c r="C23" i="39"/>
  <c r="K23" i="39"/>
  <c r="S23" i="39"/>
  <c r="AA23" i="39"/>
  <c r="D23" i="39"/>
  <c r="L23" i="39"/>
  <c r="T23" i="39"/>
  <c r="AB23" i="39"/>
  <c r="E23" i="39"/>
  <c r="M23" i="39"/>
  <c r="U23" i="39"/>
  <c r="AC23" i="39"/>
  <c r="F23" i="39"/>
  <c r="N23" i="39"/>
  <c r="V23" i="39"/>
  <c r="AD23" i="39"/>
  <c r="G23" i="39"/>
  <c r="O23" i="39"/>
  <c r="W23" i="39"/>
  <c r="AE23" i="39"/>
  <c r="H23" i="39"/>
  <c r="P23" i="39"/>
  <c r="X23" i="39"/>
  <c r="AF23" i="39"/>
  <c r="I23" i="39"/>
  <c r="Q23" i="39"/>
  <c r="Y23" i="39"/>
  <c r="AG23" i="39"/>
  <c r="B24" i="39"/>
  <c r="J24" i="39"/>
  <c r="R24" i="39"/>
  <c r="Z24" i="39"/>
  <c r="C24" i="39"/>
  <c r="K24" i="39"/>
  <c r="S24" i="39"/>
  <c r="AA24" i="39"/>
  <c r="D24" i="39"/>
  <c r="L24" i="39"/>
  <c r="T24" i="39"/>
  <c r="AB24" i="39"/>
  <c r="E24" i="39"/>
  <c r="M24" i="39"/>
  <c r="U24" i="39"/>
  <c r="AC24" i="39"/>
  <c r="F24" i="39"/>
  <c r="N24" i="39"/>
  <c r="V24" i="39"/>
  <c r="AD24" i="39"/>
  <c r="G24" i="39"/>
  <c r="O24" i="39"/>
  <c r="W24" i="39"/>
  <c r="AE24" i="39"/>
  <c r="H24" i="39"/>
  <c r="P24" i="39"/>
  <c r="X24" i="39"/>
  <c r="AF24" i="39"/>
  <c r="I24" i="39"/>
  <c r="Q24" i="39"/>
  <c r="Y24" i="39"/>
  <c r="AG24" i="39"/>
  <c r="B25" i="39"/>
  <c r="J25" i="39"/>
  <c r="R25" i="39"/>
  <c r="Z25" i="39"/>
  <c r="C25" i="39"/>
  <c r="K25" i="39"/>
  <c r="S25" i="39"/>
  <c r="AA25" i="39"/>
  <c r="D25" i="39"/>
  <c r="L25" i="39"/>
  <c r="T25" i="39"/>
  <c r="AB25" i="39"/>
  <c r="E25" i="39"/>
  <c r="M25" i="39"/>
  <c r="U25" i="39"/>
  <c r="AC25" i="39"/>
  <c r="F25" i="39"/>
  <c r="N25" i="39"/>
  <c r="V25" i="39"/>
  <c r="AD25" i="39"/>
  <c r="G25" i="39"/>
  <c r="O25" i="39"/>
  <c r="W25" i="39"/>
  <c r="AE25" i="39"/>
  <c r="H25" i="39"/>
  <c r="P25" i="39"/>
  <c r="X25" i="39"/>
  <c r="AF25" i="39"/>
  <c r="I25" i="39"/>
  <c r="Q25" i="39"/>
  <c r="Y25" i="39"/>
  <c r="AG25" i="39"/>
  <c r="B26" i="39"/>
  <c r="J26" i="39"/>
  <c r="R26" i="39"/>
  <c r="Z26" i="39"/>
  <c r="C26" i="39"/>
  <c r="K26" i="39"/>
  <c r="S26" i="39"/>
  <c r="AA26" i="39"/>
  <c r="D26" i="39"/>
  <c r="L26" i="39"/>
  <c r="T26" i="39"/>
  <c r="AB26" i="39"/>
  <c r="E26" i="39"/>
  <c r="M26" i="39"/>
  <c r="U26" i="39"/>
  <c r="AC26" i="39"/>
  <c r="F26" i="39"/>
  <c r="N26" i="39"/>
  <c r="V26" i="39"/>
  <c r="AD26" i="39"/>
  <c r="G26" i="39"/>
  <c r="O26" i="39"/>
  <c r="W26" i="39"/>
  <c r="AE26" i="39"/>
  <c r="H26" i="39"/>
  <c r="P26" i="39"/>
  <c r="X26" i="39"/>
  <c r="AF26" i="39"/>
  <c r="I26" i="39"/>
  <c r="Q26" i="39"/>
  <c r="Y26" i="39"/>
  <c r="AG26" i="39"/>
  <c r="B27" i="39"/>
  <c r="J27" i="39"/>
  <c r="R27" i="39"/>
  <c r="Z27" i="39"/>
  <c r="C27" i="39"/>
  <c r="K27" i="39"/>
  <c r="S27" i="39"/>
  <c r="AA27" i="39"/>
  <c r="D27" i="39"/>
  <c r="L27" i="39"/>
  <c r="T27" i="39"/>
  <c r="AB27" i="39"/>
  <c r="E27" i="39"/>
  <c r="M27" i="39"/>
  <c r="U27" i="39"/>
  <c r="AC27" i="39"/>
  <c r="F27" i="39"/>
  <c r="N27" i="39"/>
  <c r="V27" i="39"/>
  <c r="AD27" i="39"/>
  <c r="G27" i="39"/>
  <c r="O27" i="39"/>
  <c r="W27" i="39"/>
  <c r="AE27" i="39"/>
  <c r="H27" i="39"/>
  <c r="P27" i="39"/>
  <c r="X27" i="39"/>
  <c r="AF27" i="39"/>
  <c r="I27" i="39"/>
  <c r="Q27" i="39"/>
  <c r="Y27" i="39"/>
  <c r="AG27" i="39"/>
  <c r="B28" i="39"/>
  <c r="J28" i="39"/>
  <c r="R28" i="39"/>
  <c r="Z28" i="39"/>
  <c r="C28" i="39"/>
  <c r="K28" i="39"/>
  <c r="S28" i="39"/>
  <c r="AA28" i="39"/>
  <c r="D28" i="39"/>
  <c r="L28" i="39"/>
  <c r="T28" i="39"/>
  <c r="AB28" i="39"/>
  <c r="E28" i="39"/>
  <c r="M28" i="39"/>
  <c r="U28" i="39"/>
  <c r="AC28" i="39"/>
  <c r="F28" i="39"/>
  <c r="N28" i="39"/>
  <c r="V28" i="39"/>
  <c r="AD28" i="39"/>
  <c r="G28" i="39"/>
  <c r="O28" i="39"/>
  <c r="W28" i="39"/>
  <c r="AE28" i="39"/>
  <c r="H28" i="39"/>
  <c r="P28" i="39"/>
  <c r="X28" i="39"/>
  <c r="AF28" i="39"/>
  <c r="I28" i="39"/>
  <c r="Q28" i="39"/>
  <c r="Y28" i="39"/>
  <c r="AG28" i="39"/>
  <c r="B29" i="39"/>
  <c r="J29" i="39"/>
  <c r="R29" i="39"/>
  <c r="Z29" i="39"/>
  <c r="C29" i="39"/>
  <c r="K29" i="39"/>
  <c r="S29" i="39"/>
  <c r="AA29" i="39"/>
  <c r="D29" i="39"/>
  <c r="L29" i="39"/>
  <c r="T29" i="39"/>
  <c r="AB29" i="39"/>
  <c r="E29" i="39"/>
  <c r="M29" i="39"/>
  <c r="U29" i="39"/>
  <c r="AC29" i="39"/>
  <c r="F29" i="39"/>
  <c r="N29" i="39"/>
  <c r="V29" i="39"/>
  <c r="AD29" i="39"/>
  <c r="G29" i="39"/>
  <c r="O29" i="39"/>
  <c r="W29" i="39"/>
  <c r="AE29" i="39"/>
  <c r="H29" i="39"/>
  <c r="P29" i="39"/>
  <c r="X29" i="39"/>
  <c r="AF29" i="39"/>
  <c r="I29" i="39"/>
  <c r="Q29" i="39"/>
  <c r="Y29" i="39"/>
  <c r="AG29" i="39"/>
  <c r="B30" i="39"/>
  <c r="J30" i="39"/>
  <c r="R30" i="39"/>
  <c r="Z30" i="39"/>
  <c r="C30" i="39"/>
  <c r="K30" i="39"/>
  <c r="S30" i="39"/>
  <c r="AA30" i="39"/>
  <c r="D30" i="39"/>
  <c r="L30" i="39"/>
  <c r="T30" i="39"/>
  <c r="AB30" i="39"/>
  <c r="E30" i="39"/>
  <c r="M30" i="39"/>
  <c r="U30" i="39"/>
  <c r="AC30" i="39"/>
  <c r="F30" i="39"/>
  <c r="N30" i="39"/>
  <c r="V30" i="39"/>
  <c r="AD30" i="39"/>
  <c r="G30" i="39"/>
  <c r="O30" i="39"/>
  <c r="W30" i="39"/>
  <c r="AE30" i="39"/>
  <c r="H30" i="39"/>
  <c r="P30" i="39"/>
  <c r="X30" i="39"/>
  <c r="AF30" i="39"/>
  <c r="I30" i="39"/>
  <c r="Q30" i="39"/>
  <c r="Y30" i="39"/>
  <c r="AG30" i="39"/>
  <c r="B31" i="39"/>
  <c r="J31" i="39"/>
  <c r="R31" i="39"/>
  <c r="Z31" i="39"/>
  <c r="C31" i="39"/>
  <c r="K31" i="39"/>
  <c r="S31" i="39"/>
  <c r="AA31" i="39"/>
  <c r="D31" i="39"/>
  <c r="L31" i="39"/>
  <c r="T31" i="39"/>
  <c r="AB31" i="39"/>
  <c r="E31" i="39"/>
  <c r="M31" i="39"/>
  <c r="U31" i="39"/>
  <c r="AC31" i="39"/>
  <c r="F31" i="39"/>
  <c r="N31" i="39"/>
  <c r="V31" i="39"/>
  <c r="AD31" i="39"/>
  <c r="G31" i="39"/>
  <c r="O31" i="39"/>
  <c r="W31" i="39"/>
  <c r="AE31" i="39"/>
  <c r="H31" i="39"/>
  <c r="P31" i="39"/>
  <c r="X31" i="39"/>
  <c r="AF31" i="39"/>
  <c r="I31" i="39"/>
  <c r="Q31" i="39"/>
  <c r="Y31" i="39"/>
  <c r="AG31" i="39"/>
  <c r="B32" i="39"/>
  <c r="J32" i="39"/>
  <c r="R32" i="39"/>
  <c r="Z32" i="39"/>
  <c r="C32" i="39"/>
  <c r="K32" i="39"/>
  <c r="S32" i="39"/>
  <c r="AA32" i="39"/>
  <c r="D32" i="39"/>
  <c r="L32" i="39"/>
  <c r="T32" i="39"/>
  <c r="AB32" i="39"/>
  <c r="E32" i="39"/>
  <c r="M32" i="39"/>
  <c r="U32" i="39"/>
  <c r="AC32" i="39"/>
  <c r="F32" i="39"/>
  <c r="N32" i="39"/>
  <c r="V32" i="39"/>
  <c r="AD32" i="39"/>
  <c r="G32" i="39"/>
  <c r="O32" i="39"/>
  <c r="W32" i="39"/>
  <c r="AE32" i="39"/>
  <c r="H32" i="39"/>
  <c r="P32" i="39"/>
  <c r="X32" i="39"/>
  <c r="AF32" i="39"/>
  <c r="I32" i="39"/>
  <c r="Q32" i="39"/>
  <c r="Y32" i="39"/>
  <c r="AG32" i="39"/>
  <c r="B33" i="39"/>
  <c r="B2" i="34" s="1"/>
  <c r="J33" i="39"/>
  <c r="B2" i="33" s="1"/>
  <c r="R33" i="39"/>
  <c r="B2" i="35" s="1"/>
  <c r="Z33" i="39"/>
  <c r="B2" i="36" s="1"/>
  <c r="C33" i="39"/>
  <c r="C2" i="34" s="1"/>
  <c r="K33" i="39"/>
  <c r="C2" i="33" s="1"/>
  <c r="S33" i="39"/>
  <c r="C2" i="35" s="1"/>
  <c r="AA33" i="39"/>
  <c r="D33" i="39"/>
  <c r="D2" i="34" s="1"/>
  <c r="L33" i="39"/>
  <c r="D2" i="33" s="1"/>
  <c r="T33" i="39"/>
  <c r="D2" i="35" s="1"/>
  <c r="AB33" i="39"/>
  <c r="E33" i="39"/>
  <c r="E2" i="34" s="1"/>
  <c r="M33" i="39"/>
  <c r="E2" i="33" s="1"/>
  <c r="U33" i="39"/>
  <c r="E2" i="35" s="1"/>
  <c r="AC33" i="39"/>
  <c r="F33" i="39"/>
  <c r="F2" i="34" s="1"/>
  <c r="N33" i="39"/>
  <c r="F2" i="33" s="1"/>
  <c r="V33" i="39"/>
  <c r="F2" i="35" s="1"/>
  <c r="AD33" i="39"/>
  <c r="G33" i="39"/>
  <c r="G2" i="34" s="1"/>
  <c r="O33" i="39"/>
  <c r="G2" i="33" s="1"/>
  <c r="W33" i="39"/>
  <c r="G2" i="35" s="1"/>
  <c r="AE33" i="39"/>
  <c r="H33" i="39"/>
  <c r="H2" i="34" s="1"/>
  <c r="P33" i="39"/>
  <c r="H2" i="33" s="1"/>
  <c r="X33" i="39"/>
  <c r="H2" i="35" s="1"/>
  <c r="AF33" i="39"/>
  <c r="I33" i="39"/>
  <c r="I2" i="34" s="1"/>
  <c r="Q33" i="39"/>
  <c r="I2" i="33" s="1"/>
  <c r="Y33" i="39"/>
  <c r="I2" i="35" s="1"/>
  <c r="AG33" i="39"/>
  <c r="B34" i="39"/>
  <c r="B3" i="34" s="1"/>
  <c r="J34" i="39"/>
  <c r="B3" i="33" s="1"/>
  <c r="R34" i="39"/>
  <c r="B3" i="35" s="1"/>
  <c r="Z34" i="39"/>
  <c r="C34" i="39"/>
  <c r="C3" i="34" s="1"/>
  <c r="K34" i="39"/>
  <c r="C3" i="33" s="1"/>
  <c r="S34" i="39"/>
  <c r="C3" i="35" s="1"/>
  <c r="AA34" i="39"/>
  <c r="C3" i="36" s="1"/>
  <c r="D34" i="39"/>
  <c r="D3" i="34" s="1"/>
  <c r="L34" i="39"/>
  <c r="D3" i="33" s="1"/>
  <c r="T34" i="39"/>
  <c r="D3" i="35" s="1"/>
  <c r="AB34" i="39"/>
  <c r="E34" i="39"/>
  <c r="E3" i="34" s="1"/>
  <c r="M34" i="39"/>
  <c r="E3" i="33" s="1"/>
  <c r="U34" i="39"/>
  <c r="E3" i="35" s="1"/>
  <c r="AC34" i="39"/>
  <c r="F34" i="39"/>
  <c r="F3" i="34" s="1"/>
  <c r="N34" i="39"/>
  <c r="F3" i="33" s="1"/>
  <c r="V34" i="39"/>
  <c r="F3" i="35" s="1"/>
  <c r="AD34" i="39"/>
  <c r="G34" i="39"/>
  <c r="G3" i="34" s="1"/>
  <c r="O34" i="39"/>
  <c r="G3" i="33" s="1"/>
  <c r="W34" i="39"/>
  <c r="G3" i="35" s="1"/>
  <c r="AE34" i="39"/>
  <c r="H34" i="39"/>
  <c r="H3" i="34" s="1"/>
  <c r="P34" i="39"/>
  <c r="H3" i="33" s="1"/>
  <c r="X34" i="39"/>
  <c r="H3" i="35" s="1"/>
  <c r="AF34" i="39"/>
  <c r="I34" i="39"/>
  <c r="I3" i="34" s="1"/>
  <c r="Q34" i="39"/>
  <c r="I3" i="33" s="1"/>
  <c r="Y34" i="39"/>
  <c r="I3" i="35" s="1"/>
  <c r="AG34" i="39"/>
  <c r="B35" i="39"/>
  <c r="B4" i="34" s="1"/>
  <c r="J35" i="39"/>
  <c r="B4" i="33" s="1"/>
  <c r="R35" i="39"/>
  <c r="B4" i="35" s="1"/>
  <c r="Z35" i="39"/>
  <c r="B4" i="36" s="1"/>
  <c r="C35" i="39"/>
  <c r="C4" i="34" s="1"/>
  <c r="K35" i="39"/>
  <c r="C4" i="33" s="1"/>
  <c r="S35" i="39"/>
  <c r="C4" i="35" s="1"/>
  <c r="AA35" i="39"/>
  <c r="D35" i="39"/>
  <c r="D4" i="34" s="1"/>
  <c r="L35" i="39"/>
  <c r="D4" i="33" s="1"/>
  <c r="T35" i="39"/>
  <c r="D4" i="35" s="1"/>
  <c r="AB35" i="39"/>
  <c r="E35" i="39"/>
  <c r="E4" i="34" s="1"/>
  <c r="M35" i="39"/>
  <c r="E4" i="33" s="1"/>
  <c r="U35" i="39"/>
  <c r="E4" i="35" s="1"/>
  <c r="AC35" i="39"/>
  <c r="F35" i="39"/>
  <c r="F4" i="34" s="1"/>
  <c r="N35" i="39"/>
  <c r="F4" i="33" s="1"/>
  <c r="V35" i="39"/>
  <c r="F4" i="35" s="1"/>
  <c r="AD35" i="39"/>
  <c r="G35" i="39"/>
  <c r="G4" i="34" s="1"/>
  <c r="O35" i="39"/>
  <c r="G4" i="33" s="1"/>
  <c r="W35" i="39"/>
  <c r="G4" i="35" s="1"/>
  <c r="AE35" i="39"/>
  <c r="H35" i="39"/>
  <c r="H4" i="34" s="1"/>
  <c r="P35" i="39"/>
  <c r="H4" i="33" s="1"/>
  <c r="X35" i="39"/>
  <c r="H4" i="35" s="1"/>
  <c r="AF35" i="39"/>
  <c r="I35" i="39"/>
  <c r="I4" i="34" s="1"/>
  <c r="Q35" i="39"/>
  <c r="I4" i="33" s="1"/>
  <c r="Y35" i="39"/>
  <c r="I4" i="35" s="1"/>
  <c r="AG35" i="39"/>
  <c r="B36" i="39"/>
  <c r="B5" i="34" s="1"/>
  <c r="J36" i="39"/>
  <c r="B5" i="33" s="1"/>
  <c r="R36" i="39"/>
  <c r="B5" i="35" s="1"/>
  <c r="Z36" i="39"/>
  <c r="C36" i="39"/>
  <c r="C5" i="34" s="1"/>
  <c r="K36" i="39"/>
  <c r="C5" i="33" s="1"/>
  <c r="S36" i="39"/>
  <c r="C5" i="35" s="1"/>
  <c r="AA36" i="39"/>
  <c r="D36" i="39"/>
  <c r="D5" i="34" s="1"/>
  <c r="L36" i="39"/>
  <c r="D5" i="33" s="1"/>
  <c r="T36" i="39"/>
  <c r="D5" i="35" s="1"/>
  <c r="AB36" i="39"/>
  <c r="E36" i="39"/>
  <c r="E5" i="34" s="1"/>
  <c r="M36" i="39"/>
  <c r="E5" i="33" s="1"/>
  <c r="U36" i="39"/>
  <c r="E5" i="35" s="1"/>
  <c r="AC36" i="39"/>
  <c r="F36" i="39"/>
  <c r="F5" i="34" s="1"/>
  <c r="N36" i="39"/>
  <c r="F5" i="33" s="1"/>
  <c r="V36" i="39"/>
  <c r="F5" i="35" s="1"/>
  <c r="AD36" i="39"/>
  <c r="G36" i="39"/>
  <c r="G5" i="34" s="1"/>
  <c r="O36" i="39"/>
  <c r="G5" i="33" s="1"/>
  <c r="W36" i="39"/>
  <c r="G5" i="35" s="1"/>
  <c r="AE36" i="39"/>
  <c r="H36" i="39"/>
  <c r="H5" i="34" s="1"/>
  <c r="P36" i="39"/>
  <c r="H5" i="33" s="1"/>
  <c r="X36" i="39"/>
  <c r="H5" i="35" s="1"/>
  <c r="AF36" i="39"/>
  <c r="I36" i="39"/>
  <c r="I5" i="34" s="1"/>
  <c r="Q36" i="39"/>
  <c r="I5" i="33" s="1"/>
  <c r="Y36" i="39"/>
  <c r="I5" i="35" s="1"/>
  <c r="AG36" i="39"/>
  <c r="I5" i="36" s="1"/>
  <c r="B37" i="39"/>
  <c r="B6" i="34" s="1"/>
  <c r="J37" i="39"/>
  <c r="B6" i="33" s="1"/>
  <c r="R37" i="39"/>
  <c r="B6" i="35" s="1"/>
  <c r="Z37" i="39"/>
  <c r="C37" i="39"/>
  <c r="C6" i="34" s="1"/>
  <c r="K37" i="39"/>
  <c r="C6" i="33" s="1"/>
  <c r="S37" i="39"/>
  <c r="C6" i="35" s="1"/>
  <c r="AA37" i="39"/>
  <c r="D37" i="39"/>
  <c r="D6" i="34" s="1"/>
  <c r="L37" i="39"/>
  <c r="D6" i="33" s="1"/>
  <c r="T37" i="39"/>
  <c r="D6" i="35" s="1"/>
  <c r="AB37" i="39"/>
  <c r="E37" i="39"/>
  <c r="E6" i="34" s="1"/>
  <c r="M37" i="39"/>
  <c r="E6" i="33" s="1"/>
  <c r="U37" i="39"/>
  <c r="E6" i="35" s="1"/>
  <c r="AC37" i="39"/>
  <c r="F37" i="39"/>
  <c r="F6" i="34" s="1"/>
  <c r="N37" i="39"/>
  <c r="F6" i="33" s="1"/>
  <c r="V37" i="39"/>
  <c r="F6" i="35" s="1"/>
  <c r="AD37" i="39"/>
  <c r="G37" i="39"/>
  <c r="G6" i="34" s="1"/>
  <c r="O37" i="39"/>
  <c r="G6" i="33" s="1"/>
  <c r="W37" i="39"/>
  <c r="G6" i="35" s="1"/>
  <c r="AE37" i="39"/>
  <c r="H37" i="39"/>
  <c r="H6" i="34" s="1"/>
  <c r="P37" i="39"/>
  <c r="H6" i="33" s="1"/>
  <c r="X37" i="39"/>
  <c r="H6" i="35" s="1"/>
  <c r="AF37" i="39"/>
  <c r="H6" i="36" s="1"/>
  <c r="I37" i="39"/>
  <c r="I6" i="34" s="1"/>
  <c r="Q37" i="39"/>
  <c r="I6" i="33" s="1"/>
  <c r="Y37" i="39"/>
  <c r="I6" i="35" s="1"/>
  <c r="AG37" i="39"/>
  <c r="B38" i="39"/>
  <c r="B7" i="34" s="1"/>
  <c r="J38" i="39"/>
  <c r="B7" i="33" s="1"/>
  <c r="R38" i="39"/>
  <c r="B7" i="35" s="1"/>
  <c r="Z38" i="39"/>
  <c r="C38" i="39"/>
  <c r="C7" i="34" s="1"/>
  <c r="K38" i="39"/>
  <c r="C7" i="33" s="1"/>
  <c r="S38" i="39"/>
  <c r="C7" i="35" s="1"/>
  <c r="AA38" i="39"/>
  <c r="D38" i="39"/>
  <c r="D7" i="34" s="1"/>
  <c r="L38" i="39"/>
  <c r="D7" i="33" s="1"/>
  <c r="T38" i="39"/>
  <c r="D7" i="35" s="1"/>
  <c r="AB38" i="39"/>
  <c r="E38" i="39"/>
  <c r="E7" i="34" s="1"/>
  <c r="M38" i="39"/>
  <c r="E7" i="33" s="1"/>
  <c r="U38" i="39"/>
  <c r="E7" i="35" s="1"/>
  <c r="AC38" i="39"/>
  <c r="F38" i="39"/>
  <c r="F7" i="34" s="1"/>
  <c r="N38" i="39"/>
  <c r="F7" i="33" s="1"/>
  <c r="V38" i="39"/>
  <c r="F7" i="35" s="1"/>
  <c r="AD38" i="39"/>
  <c r="G38" i="39"/>
  <c r="G7" i="34" s="1"/>
  <c r="O38" i="39"/>
  <c r="G7" i="33" s="1"/>
  <c r="W38" i="39"/>
  <c r="G7" i="35" s="1"/>
  <c r="AE38" i="39"/>
  <c r="G7" i="36" s="1"/>
  <c r="H38" i="39"/>
  <c r="H7" i="34" s="1"/>
  <c r="P38" i="39"/>
  <c r="H7" i="33" s="1"/>
  <c r="X38" i="39"/>
  <c r="H7" i="35" s="1"/>
  <c r="AF38" i="39"/>
  <c r="I38" i="39"/>
  <c r="I7" i="34" s="1"/>
  <c r="Q38" i="39"/>
  <c r="I7" i="33" s="1"/>
  <c r="Y38" i="39"/>
  <c r="I7" i="35" s="1"/>
  <c r="AG38" i="39"/>
  <c r="B39" i="39"/>
  <c r="B8" i="34" s="1"/>
  <c r="J39" i="39"/>
  <c r="B8" i="33" s="1"/>
  <c r="R39" i="39"/>
  <c r="B8" i="35" s="1"/>
  <c r="Z39" i="39"/>
  <c r="C39" i="39"/>
  <c r="C8" i="34" s="1"/>
  <c r="K39" i="39"/>
  <c r="C8" i="33" s="1"/>
  <c r="S39" i="39"/>
  <c r="C8" i="35" s="1"/>
  <c r="AA39" i="39"/>
  <c r="D39" i="39"/>
  <c r="D8" i="34" s="1"/>
  <c r="L39" i="39"/>
  <c r="D8" i="33" s="1"/>
  <c r="T39" i="39"/>
  <c r="D8" i="35" s="1"/>
  <c r="AB39" i="39"/>
  <c r="E39" i="39"/>
  <c r="E8" i="34" s="1"/>
  <c r="M39" i="39"/>
  <c r="E8" i="33" s="1"/>
  <c r="U39" i="39"/>
  <c r="E8" i="35" s="1"/>
  <c r="AC39" i="39"/>
  <c r="F39" i="39"/>
  <c r="F8" i="34" s="1"/>
  <c r="N39" i="39"/>
  <c r="F8" i="33" s="1"/>
  <c r="V39" i="39"/>
  <c r="F8" i="35" s="1"/>
  <c r="AD39" i="39"/>
  <c r="F8" i="36" s="1"/>
  <c r="G39" i="39"/>
  <c r="G8" i="34" s="1"/>
  <c r="O39" i="39"/>
  <c r="G8" i="33" s="1"/>
  <c r="W39" i="39"/>
  <c r="G8" i="35" s="1"/>
  <c r="AE39" i="39"/>
  <c r="H39" i="39"/>
  <c r="H8" i="34" s="1"/>
  <c r="P39" i="39"/>
  <c r="H8" i="33" s="1"/>
  <c r="X39" i="39"/>
  <c r="H8" i="35" s="1"/>
  <c r="AF39" i="39"/>
  <c r="I39" i="39"/>
  <c r="I8" i="34" s="1"/>
  <c r="Q39" i="39"/>
  <c r="I8" i="33" s="1"/>
  <c r="Y39" i="39"/>
  <c r="I8" i="35" s="1"/>
  <c r="AG39" i="39"/>
  <c r="B40" i="39"/>
  <c r="B9" i="34" s="1"/>
  <c r="J40" i="39"/>
  <c r="B9" i="33" s="1"/>
  <c r="R40" i="39"/>
  <c r="B9" i="35" s="1"/>
  <c r="Z40" i="39"/>
  <c r="C40" i="39"/>
  <c r="C9" i="34" s="1"/>
  <c r="K40" i="39"/>
  <c r="C9" i="33" s="1"/>
  <c r="S40" i="39"/>
  <c r="C9" i="35" s="1"/>
  <c r="AA40" i="39"/>
  <c r="D40" i="39"/>
  <c r="D9" i="34" s="1"/>
  <c r="L40" i="39"/>
  <c r="D9" i="33" s="1"/>
  <c r="T40" i="39"/>
  <c r="D9" i="35" s="1"/>
  <c r="AB40" i="39"/>
  <c r="E40" i="39"/>
  <c r="E9" i="34" s="1"/>
  <c r="M40" i="39"/>
  <c r="E9" i="33" s="1"/>
  <c r="U40" i="39"/>
  <c r="E9" i="35" s="1"/>
  <c r="AC40" i="39"/>
  <c r="E9" i="36" s="1"/>
  <c r="F40" i="39"/>
  <c r="F9" i="34" s="1"/>
  <c r="N40" i="39"/>
  <c r="F9" i="33" s="1"/>
  <c r="V40" i="39"/>
  <c r="F9" i="35" s="1"/>
  <c r="AD40" i="39"/>
  <c r="G40" i="39"/>
  <c r="G9" i="34" s="1"/>
  <c r="O40" i="39"/>
  <c r="G9" i="33" s="1"/>
  <c r="W40" i="39"/>
  <c r="G9" i="35" s="1"/>
  <c r="AE40" i="39"/>
  <c r="H40" i="39"/>
  <c r="H9" i="34" s="1"/>
  <c r="P40" i="39"/>
  <c r="H9" i="33" s="1"/>
  <c r="X40" i="39"/>
  <c r="H9" i="35" s="1"/>
  <c r="AF40" i="39"/>
  <c r="I40" i="39"/>
  <c r="I9" i="34" s="1"/>
  <c r="Q40" i="39"/>
  <c r="I9" i="33" s="1"/>
  <c r="Y40" i="39"/>
  <c r="I9" i="35" s="1"/>
  <c r="AG40" i="39"/>
  <c r="B41" i="39"/>
  <c r="B10" i="34" s="1"/>
  <c r="J41" i="39"/>
  <c r="B10" i="33" s="1"/>
  <c r="R41" i="39"/>
  <c r="B10" i="35" s="1"/>
  <c r="Z41" i="39"/>
  <c r="C41" i="39"/>
  <c r="C10" i="34" s="1"/>
  <c r="K41" i="39"/>
  <c r="C10" i="33" s="1"/>
  <c r="S41" i="39"/>
  <c r="C10" i="35" s="1"/>
  <c r="AA41" i="39"/>
  <c r="D41" i="39"/>
  <c r="D10" i="34" s="1"/>
  <c r="L41" i="39"/>
  <c r="D10" i="33" s="1"/>
  <c r="T41" i="39"/>
  <c r="D10" i="35" s="1"/>
  <c r="AB41" i="39"/>
  <c r="D10" i="36" s="1"/>
  <c r="E41" i="39"/>
  <c r="E10" i="34" s="1"/>
  <c r="M41" i="39"/>
  <c r="E10" i="33" s="1"/>
  <c r="U41" i="39"/>
  <c r="E10" i="35" s="1"/>
  <c r="AC41" i="39"/>
  <c r="F41" i="39"/>
  <c r="F10" i="34" s="1"/>
  <c r="N41" i="39"/>
  <c r="F10" i="33" s="1"/>
  <c r="V41" i="39"/>
  <c r="F10" i="35" s="1"/>
  <c r="AD41" i="39"/>
  <c r="G41" i="39"/>
  <c r="G10" i="34" s="1"/>
  <c r="O41" i="39"/>
  <c r="G10" i="33" s="1"/>
  <c r="W41" i="39"/>
  <c r="G10" i="35" s="1"/>
  <c r="AE41" i="39"/>
  <c r="H41" i="39"/>
  <c r="H10" i="34" s="1"/>
  <c r="P41" i="39"/>
  <c r="H10" i="33" s="1"/>
  <c r="X41" i="39"/>
  <c r="H10" i="35" s="1"/>
  <c r="AF41" i="39"/>
  <c r="I41" i="39"/>
  <c r="I10" i="34" s="1"/>
  <c r="Q41" i="39"/>
  <c r="I10" i="33" s="1"/>
  <c r="Y41" i="39"/>
  <c r="I10" i="35" s="1"/>
  <c r="AG41" i="39"/>
  <c r="B42" i="39"/>
  <c r="B11" i="34" s="1"/>
  <c r="J42" i="39"/>
  <c r="B11" i="33" s="1"/>
  <c r="R42" i="39"/>
  <c r="B11" i="35" s="1"/>
  <c r="Z42" i="39"/>
  <c r="C42" i="39"/>
  <c r="C11" i="34" s="1"/>
  <c r="K42" i="39"/>
  <c r="C11" i="33" s="1"/>
  <c r="S42" i="39"/>
  <c r="C11" i="35" s="1"/>
  <c r="AA42" i="39"/>
  <c r="C11" i="36" s="1"/>
  <c r="D42" i="39"/>
  <c r="D11" i="34" s="1"/>
  <c r="L42" i="39"/>
  <c r="D11" i="33" s="1"/>
  <c r="T42" i="39"/>
  <c r="D11" i="35" s="1"/>
  <c r="AB42" i="39"/>
  <c r="E42" i="39"/>
  <c r="E11" i="34" s="1"/>
  <c r="M42" i="39"/>
  <c r="E11" i="33" s="1"/>
  <c r="U42" i="39"/>
  <c r="E11" i="35" s="1"/>
  <c r="AC42" i="39"/>
  <c r="F42" i="39"/>
  <c r="F11" i="34" s="1"/>
  <c r="N42" i="39"/>
  <c r="F11" i="33" s="1"/>
  <c r="V42" i="39"/>
  <c r="F11" i="35" s="1"/>
  <c r="AD42" i="39"/>
  <c r="G42" i="39"/>
  <c r="G11" i="34" s="1"/>
  <c r="O42" i="39"/>
  <c r="G11" i="33" s="1"/>
  <c r="W42" i="39"/>
  <c r="G11" i="35" s="1"/>
  <c r="AE42" i="39"/>
  <c r="H42" i="39"/>
  <c r="H11" i="34" s="1"/>
  <c r="P42" i="39"/>
  <c r="H11" i="33" s="1"/>
  <c r="X42" i="39"/>
  <c r="H11" i="35" s="1"/>
  <c r="AF42" i="39"/>
  <c r="I42" i="39"/>
  <c r="I11" i="34" s="1"/>
  <c r="Q42" i="39"/>
  <c r="I11" i="33" s="1"/>
  <c r="Y42" i="39"/>
  <c r="I11" i="35" s="1"/>
  <c r="AG42" i="39"/>
  <c r="B43" i="39"/>
  <c r="B12" i="34" s="1"/>
  <c r="J43" i="39"/>
  <c r="B12" i="33" s="1"/>
  <c r="R43" i="39"/>
  <c r="B12" i="35" s="1"/>
  <c r="Z43" i="39"/>
  <c r="B12" i="36" s="1"/>
  <c r="C43" i="39"/>
  <c r="C12" i="34" s="1"/>
  <c r="K43" i="39"/>
  <c r="C12" i="33" s="1"/>
  <c r="S43" i="39"/>
  <c r="C12" i="35" s="1"/>
  <c r="AA43" i="39"/>
  <c r="D43" i="39"/>
  <c r="D12" i="34" s="1"/>
  <c r="L43" i="39"/>
  <c r="D12" i="33" s="1"/>
  <c r="T43" i="39"/>
  <c r="D12" i="35" s="1"/>
  <c r="AB43" i="39"/>
  <c r="E43" i="39"/>
  <c r="E12" i="34" s="1"/>
  <c r="M43" i="39"/>
  <c r="E12" i="33" s="1"/>
  <c r="U43" i="39"/>
  <c r="E12" i="35" s="1"/>
  <c r="AC43" i="39"/>
  <c r="F43" i="39"/>
  <c r="F12" i="34" s="1"/>
  <c r="N43" i="39"/>
  <c r="F12" i="33" s="1"/>
  <c r="V43" i="39"/>
  <c r="F12" i="35" s="1"/>
  <c r="AD43" i="39"/>
  <c r="G43" i="39"/>
  <c r="G12" i="34" s="1"/>
  <c r="O43" i="39"/>
  <c r="G12" i="33" s="1"/>
  <c r="W43" i="39"/>
  <c r="G12" i="35" s="1"/>
  <c r="AE43" i="39"/>
  <c r="H43" i="39"/>
  <c r="H12" i="34" s="1"/>
  <c r="P43" i="39"/>
  <c r="H12" i="33" s="1"/>
  <c r="X43" i="39"/>
  <c r="H12" i="35" s="1"/>
  <c r="AF43" i="39"/>
  <c r="I43" i="39"/>
  <c r="I12" i="34" s="1"/>
  <c r="Q43" i="39"/>
  <c r="I12" i="33" s="1"/>
  <c r="Y43" i="39"/>
  <c r="I12" i="35" s="1"/>
  <c r="AG43" i="39"/>
  <c r="B44" i="39"/>
  <c r="B13" i="34" s="1"/>
  <c r="J44" i="39"/>
  <c r="B13" i="33" s="1"/>
  <c r="R44" i="39"/>
  <c r="B13" i="35" s="1"/>
  <c r="Z44" i="39"/>
  <c r="C44" i="39"/>
  <c r="C13" i="34" s="1"/>
  <c r="K44" i="39"/>
  <c r="C13" i="33" s="1"/>
  <c r="S44" i="39"/>
  <c r="C13" i="35" s="1"/>
  <c r="AA44" i="39"/>
  <c r="D44" i="39"/>
  <c r="D13" i="34" s="1"/>
  <c r="L44" i="39"/>
  <c r="D13" i="33" s="1"/>
  <c r="T44" i="39"/>
  <c r="D13" i="35" s="1"/>
  <c r="AB44" i="39"/>
  <c r="E44" i="39"/>
  <c r="E13" i="34" s="1"/>
  <c r="M44" i="39"/>
  <c r="E13" i="33" s="1"/>
  <c r="U44" i="39"/>
  <c r="E13" i="35" s="1"/>
  <c r="AC44" i="39"/>
  <c r="F44" i="39"/>
  <c r="F13" i="34" s="1"/>
  <c r="N44" i="39"/>
  <c r="F13" i="33" s="1"/>
  <c r="V44" i="39"/>
  <c r="F13" i="35" s="1"/>
  <c r="AD44" i="39"/>
  <c r="G44" i="39"/>
  <c r="G13" i="34" s="1"/>
  <c r="O44" i="39"/>
  <c r="G13" i="33" s="1"/>
  <c r="W44" i="39"/>
  <c r="G13" i="35" s="1"/>
  <c r="AE44" i="39"/>
  <c r="H44" i="39"/>
  <c r="H13" i="34" s="1"/>
  <c r="P44" i="39"/>
  <c r="H13" i="33" s="1"/>
  <c r="X44" i="39"/>
  <c r="H13" i="35" s="1"/>
  <c r="AF44" i="39"/>
  <c r="I44" i="39"/>
  <c r="I13" i="34" s="1"/>
  <c r="Q44" i="39"/>
  <c r="I13" i="33" s="1"/>
  <c r="Y44" i="39"/>
  <c r="I13" i="35" s="1"/>
  <c r="AG44" i="39"/>
  <c r="I13" i="36" s="1"/>
  <c r="B45" i="39"/>
  <c r="B14" i="34" s="1"/>
  <c r="J45" i="39"/>
  <c r="B14" i="33" s="1"/>
  <c r="R45" i="39"/>
  <c r="B14" i="35" s="1"/>
  <c r="Z45" i="39"/>
  <c r="C45" i="39"/>
  <c r="C14" i="34" s="1"/>
  <c r="K45" i="39"/>
  <c r="C14" i="33" s="1"/>
  <c r="S45" i="39"/>
  <c r="C14" i="35" s="1"/>
  <c r="AA45" i="39"/>
  <c r="D45" i="39"/>
  <c r="D14" i="34" s="1"/>
  <c r="L45" i="39"/>
  <c r="D14" i="33" s="1"/>
  <c r="T45" i="39"/>
  <c r="D14" i="35" s="1"/>
  <c r="AB45" i="39"/>
  <c r="E45" i="39"/>
  <c r="E14" i="34" s="1"/>
  <c r="M45" i="39"/>
  <c r="E14" i="33" s="1"/>
  <c r="U45" i="39"/>
  <c r="E14" i="35" s="1"/>
  <c r="AC45" i="39"/>
  <c r="F45" i="39"/>
  <c r="F14" i="34" s="1"/>
  <c r="N45" i="39"/>
  <c r="F14" i="33" s="1"/>
  <c r="V45" i="39"/>
  <c r="F14" i="35" s="1"/>
  <c r="AD45" i="39"/>
  <c r="G45" i="39"/>
  <c r="G14" i="34" s="1"/>
  <c r="O45" i="39"/>
  <c r="G14" i="33" s="1"/>
  <c r="W45" i="39"/>
  <c r="G14" i="35" s="1"/>
  <c r="AE45" i="39"/>
  <c r="H45" i="39"/>
  <c r="H14" i="34" s="1"/>
  <c r="P45" i="39"/>
  <c r="H14" i="33" s="1"/>
  <c r="X45" i="39"/>
  <c r="H14" i="35" s="1"/>
  <c r="AF45" i="39"/>
  <c r="H14" i="36" s="1"/>
  <c r="I45" i="39"/>
  <c r="I14" i="34" s="1"/>
  <c r="Q45" i="39"/>
  <c r="I14" i="33" s="1"/>
  <c r="Y45" i="39"/>
  <c r="I14" i="35" s="1"/>
  <c r="AG45" i="39"/>
  <c r="B46" i="39"/>
  <c r="B15" i="34" s="1"/>
  <c r="J46" i="39"/>
  <c r="B15" i="33" s="1"/>
  <c r="R46" i="39"/>
  <c r="B15" i="35" s="1"/>
  <c r="Z46" i="39"/>
  <c r="C46" i="39"/>
  <c r="C15" i="34" s="1"/>
  <c r="K46" i="39"/>
  <c r="C15" i="33" s="1"/>
  <c r="S46" i="39"/>
  <c r="C15" i="35" s="1"/>
  <c r="AA46" i="39"/>
  <c r="D46" i="39"/>
  <c r="D15" i="34" s="1"/>
  <c r="L46" i="39"/>
  <c r="D15" i="33" s="1"/>
  <c r="T46" i="39"/>
  <c r="D15" i="35" s="1"/>
  <c r="AB46" i="39"/>
  <c r="E46" i="39"/>
  <c r="E15" i="34" s="1"/>
  <c r="M46" i="39"/>
  <c r="E15" i="33" s="1"/>
  <c r="U46" i="39"/>
  <c r="E15" i="35" s="1"/>
  <c r="AC46" i="39"/>
  <c r="F46" i="39"/>
  <c r="F15" i="34" s="1"/>
  <c r="N46" i="39"/>
  <c r="F15" i="33" s="1"/>
  <c r="V46" i="39"/>
  <c r="F15" i="35" s="1"/>
  <c r="AD46" i="39"/>
  <c r="G46" i="39"/>
  <c r="G15" i="34" s="1"/>
  <c r="O46" i="39"/>
  <c r="G15" i="33" s="1"/>
  <c r="W46" i="39"/>
  <c r="G15" i="35" s="1"/>
  <c r="AE46" i="39"/>
  <c r="G15" i="36" s="1"/>
  <c r="H46" i="39"/>
  <c r="H15" i="34" s="1"/>
  <c r="P46" i="39"/>
  <c r="H15" i="33" s="1"/>
  <c r="X46" i="39"/>
  <c r="H15" i="35" s="1"/>
  <c r="AF46" i="39"/>
  <c r="I46" i="39"/>
  <c r="I15" i="34" s="1"/>
  <c r="Q46" i="39"/>
  <c r="I15" i="33" s="1"/>
  <c r="Y46" i="39"/>
  <c r="I15" i="35" s="1"/>
  <c r="AG46" i="39"/>
  <c r="B47" i="39"/>
  <c r="B16" i="34" s="1"/>
  <c r="J47" i="39"/>
  <c r="B16" i="33" s="1"/>
  <c r="R47" i="39"/>
  <c r="B16" i="35" s="1"/>
  <c r="Z47" i="39"/>
  <c r="C47" i="39"/>
  <c r="C16" i="34" s="1"/>
  <c r="K47" i="39"/>
  <c r="C16" i="33" s="1"/>
  <c r="S47" i="39"/>
  <c r="C16" i="35" s="1"/>
  <c r="AA47" i="39"/>
  <c r="D47" i="39"/>
  <c r="D16" i="34" s="1"/>
  <c r="L47" i="39"/>
  <c r="D16" i="33" s="1"/>
  <c r="T47" i="39"/>
  <c r="D16" i="35" s="1"/>
  <c r="AB47" i="39"/>
  <c r="E47" i="39"/>
  <c r="E16" i="34" s="1"/>
  <c r="M47" i="39"/>
  <c r="E16" i="33" s="1"/>
  <c r="U47" i="39"/>
  <c r="E16" i="35" s="1"/>
  <c r="AC47" i="39"/>
  <c r="F47" i="39"/>
  <c r="F16" i="34" s="1"/>
  <c r="N47" i="39"/>
  <c r="F16" i="33" s="1"/>
  <c r="V47" i="39"/>
  <c r="F16" i="35" s="1"/>
  <c r="AD47" i="39"/>
  <c r="F16" i="36" s="1"/>
  <c r="G47" i="39"/>
  <c r="G16" i="34" s="1"/>
  <c r="O47" i="39"/>
  <c r="G16" i="33" s="1"/>
  <c r="W47" i="39"/>
  <c r="G16" i="35" s="1"/>
  <c r="AE47" i="39"/>
  <c r="H47" i="39"/>
  <c r="H16" i="34" s="1"/>
  <c r="P47" i="39"/>
  <c r="H16" i="33" s="1"/>
  <c r="X47" i="39"/>
  <c r="H16" i="35" s="1"/>
  <c r="AF47" i="39"/>
  <c r="I47" i="39"/>
  <c r="I16" i="34" s="1"/>
  <c r="Q47" i="39"/>
  <c r="I16" i="33" s="1"/>
  <c r="Y47" i="39"/>
  <c r="I16" i="35" s="1"/>
  <c r="AG47" i="39"/>
  <c r="B48" i="39"/>
  <c r="B17" i="34" s="1"/>
  <c r="J48" i="39"/>
  <c r="B17" i="33" s="1"/>
  <c r="R48" i="39"/>
  <c r="B17" i="35" s="1"/>
  <c r="Z48" i="39"/>
  <c r="C48" i="39"/>
  <c r="C17" i="34" s="1"/>
  <c r="K48" i="39"/>
  <c r="C17" i="33" s="1"/>
  <c r="S48" i="39"/>
  <c r="C17" i="35" s="1"/>
  <c r="AA48" i="39"/>
  <c r="D48" i="39"/>
  <c r="D17" i="34" s="1"/>
  <c r="L48" i="39"/>
  <c r="D17" i="33" s="1"/>
  <c r="T48" i="39"/>
  <c r="D17" i="35" s="1"/>
  <c r="AB48" i="39"/>
  <c r="E48" i="39"/>
  <c r="E17" i="34" s="1"/>
  <c r="M48" i="39"/>
  <c r="E17" i="33" s="1"/>
  <c r="U48" i="39"/>
  <c r="E17" i="35" s="1"/>
  <c r="AC48" i="39"/>
  <c r="E17" i="36" s="1"/>
  <c r="F48" i="39"/>
  <c r="F17" i="34" s="1"/>
  <c r="N48" i="39"/>
  <c r="F17" i="33" s="1"/>
  <c r="V48" i="39"/>
  <c r="F17" i="35" s="1"/>
  <c r="AD48" i="39"/>
  <c r="G48" i="39"/>
  <c r="G17" i="34" s="1"/>
  <c r="O48" i="39"/>
  <c r="G17" i="33" s="1"/>
  <c r="W48" i="39"/>
  <c r="G17" i="35" s="1"/>
  <c r="AE48" i="39"/>
  <c r="H48" i="39"/>
  <c r="H17" i="34" s="1"/>
  <c r="P48" i="39"/>
  <c r="H17" i="33" s="1"/>
  <c r="X48" i="39"/>
  <c r="H17" i="35" s="1"/>
  <c r="AF48" i="39"/>
  <c r="I48" i="39"/>
  <c r="I17" i="34" s="1"/>
  <c r="Q48" i="39"/>
  <c r="I17" i="33" s="1"/>
  <c r="Y48" i="39"/>
  <c r="I17" i="35" s="1"/>
  <c r="AG48" i="39"/>
  <c r="B49" i="39"/>
  <c r="B18" i="34" s="1"/>
  <c r="J49" i="39"/>
  <c r="B18" i="33" s="1"/>
  <c r="R49" i="39"/>
  <c r="B18" i="35" s="1"/>
  <c r="Z49" i="39"/>
  <c r="C49" i="39"/>
  <c r="C18" i="34" s="1"/>
  <c r="K49" i="39"/>
  <c r="C18" i="33" s="1"/>
  <c r="S49" i="39"/>
  <c r="C18" i="35" s="1"/>
  <c r="AA49" i="39"/>
  <c r="D49" i="39"/>
  <c r="D18" i="34" s="1"/>
  <c r="L49" i="39"/>
  <c r="D18" i="33" s="1"/>
  <c r="T49" i="39"/>
  <c r="D18" i="35" s="1"/>
  <c r="AB49" i="39"/>
  <c r="D18" i="36" s="1"/>
  <c r="E49" i="39"/>
  <c r="E18" i="34" s="1"/>
  <c r="M49" i="39"/>
  <c r="E18" i="33" s="1"/>
  <c r="U49" i="39"/>
  <c r="E18" i="35" s="1"/>
  <c r="AC49" i="39"/>
  <c r="F49" i="39"/>
  <c r="F18" i="34" s="1"/>
  <c r="N49" i="39"/>
  <c r="F18" i="33" s="1"/>
  <c r="V49" i="39"/>
  <c r="F18" i="35" s="1"/>
  <c r="AD49" i="39"/>
  <c r="G49" i="39"/>
  <c r="G18" i="34" s="1"/>
  <c r="O49" i="39"/>
  <c r="G18" i="33" s="1"/>
  <c r="W49" i="39"/>
  <c r="G18" i="35" s="1"/>
  <c r="AE49" i="39"/>
  <c r="H49" i="39"/>
  <c r="H18" i="34" s="1"/>
  <c r="P49" i="39"/>
  <c r="H18" i="33" s="1"/>
  <c r="X49" i="39"/>
  <c r="H18" i="35" s="1"/>
  <c r="AF49" i="39"/>
  <c r="I49" i="39"/>
  <c r="I18" i="34" s="1"/>
  <c r="Q49" i="39"/>
  <c r="I18" i="33" s="1"/>
  <c r="Y49" i="39"/>
  <c r="I18" i="35" s="1"/>
  <c r="AG49" i="39"/>
  <c r="B50" i="39"/>
  <c r="B19" i="34" s="1"/>
  <c r="J50" i="39"/>
  <c r="B19" i="33" s="1"/>
  <c r="R50" i="39"/>
  <c r="B19" i="35" s="1"/>
  <c r="Z50" i="39"/>
  <c r="C50" i="39"/>
  <c r="C19" i="34" s="1"/>
  <c r="K50" i="39"/>
  <c r="C19" i="33" s="1"/>
  <c r="S50" i="39"/>
  <c r="C19" i="35" s="1"/>
  <c r="AA50" i="39"/>
  <c r="C19" i="36" s="1"/>
  <c r="D50" i="39"/>
  <c r="D19" i="34" s="1"/>
  <c r="L50" i="39"/>
  <c r="D19" i="33" s="1"/>
  <c r="T50" i="39"/>
  <c r="D19" i="35" s="1"/>
  <c r="AB50" i="39"/>
  <c r="E50" i="39"/>
  <c r="E19" i="34" s="1"/>
  <c r="M50" i="39"/>
  <c r="E19" i="33" s="1"/>
  <c r="U50" i="39"/>
  <c r="E19" i="35" s="1"/>
  <c r="AC50" i="39"/>
  <c r="F50" i="39"/>
  <c r="F19" i="34" s="1"/>
  <c r="N50" i="39"/>
  <c r="F19" i="33" s="1"/>
  <c r="V50" i="39"/>
  <c r="F19" i="35" s="1"/>
  <c r="AD50" i="39"/>
  <c r="G50" i="39"/>
  <c r="G19" i="34" s="1"/>
  <c r="O50" i="39"/>
  <c r="G19" i="33" s="1"/>
  <c r="W50" i="39"/>
  <c r="G19" i="35" s="1"/>
  <c r="AE50" i="39"/>
  <c r="H50" i="39"/>
  <c r="H19" i="34" s="1"/>
  <c r="P50" i="39"/>
  <c r="H19" i="33" s="1"/>
  <c r="X50" i="39"/>
  <c r="H19" i="35" s="1"/>
  <c r="AF50" i="39"/>
  <c r="I50" i="39"/>
  <c r="I19" i="34" s="1"/>
  <c r="Q50" i="39"/>
  <c r="I19" i="33" s="1"/>
  <c r="Y50" i="39"/>
  <c r="I19" i="35" s="1"/>
  <c r="AG50" i="39"/>
  <c r="B51" i="39"/>
  <c r="B20" i="34" s="1"/>
  <c r="J51" i="39"/>
  <c r="B20" i="33" s="1"/>
  <c r="R51" i="39"/>
  <c r="B20" i="35" s="1"/>
  <c r="Z51" i="39"/>
  <c r="B20" i="36" s="1"/>
  <c r="C51" i="39"/>
  <c r="C20" i="34" s="1"/>
  <c r="K51" i="39"/>
  <c r="C20" i="33" s="1"/>
  <c r="S51" i="39"/>
  <c r="C20" i="35" s="1"/>
  <c r="AA51" i="39"/>
  <c r="D51" i="39"/>
  <c r="D20" i="34" s="1"/>
  <c r="L51" i="39"/>
  <c r="D20" i="33" s="1"/>
  <c r="T51" i="39"/>
  <c r="D20" i="35" s="1"/>
  <c r="AB51" i="39"/>
  <c r="E51" i="39"/>
  <c r="E20" i="34" s="1"/>
  <c r="M51" i="39"/>
  <c r="E20" i="33" s="1"/>
  <c r="U51" i="39"/>
  <c r="E20" i="35" s="1"/>
  <c r="AC51" i="39"/>
  <c r="F51" i="39"/>
  <c r="F20" i="34" s="1"/>
  <c r="N51" i="39"/>
  <c r="F20" i="33" s="1"/>
  <c r="V51" i="39"/>
  <c r="F20" i="35" s="1"/>
  <c r="AD51" i="39"/>
  <c r="G51" i="39"/>
  <c r="G20" i="34" s="1"/>
  <c r="O51" i="39"/>
  <c r="G20" i="33" s="1"/>
  <c r="W51" i="39"/>
  <c r="G20" i="35" s="1"/>
  <c r="AE51" i="39"/>
  <c r="H51" i="39"/>
  <c r="H20" i="34" s="1"/>
  <c r="P51" i="39"/>
  <c r="H20" i="33" s="1"/>
  <c r="X51" i="39"/>
  <c r="H20" i="35" s="1"/>
  <c r="AF51" i="39"/>
  <c r="I51" i="39"/>
  <c r="I20" i="34" s="1"/>
  <c r="Q51" i="39"/>
  <c r="I20" i="33" s="1"/>
  <c r="Y51" i="39"/>
  <c r="I20" i="35" s="1"/>
  <c r="AG51" i="39"/>
  <c r="B52" i="39"/>
  <c r="B21" i="34" s="1"/>
  <c r="J52" i="39"/>
  <c r="B21" i="33" s="1"/>
  <c r="R52" i="39"/>
  <c r="B21" i="35" s="1"/>
  <c r="Z52" i="39"/>
  <c r="C52" i="39"/>
  <c r="C21" i="34" s="1"/>
  <c r="K52" i="39"/>
  <c r="C21" i="33" s="1"/>
  <c r="S52" i="39"/>
  <c r="C21" i="35" s="1"/>
  <c r="AA52" i="39"/>
  <c r="D52" i="39"/>
  <c r="D21" i="34" s="1"/>
  <c r="L52" i="39"/>
  <c r="D21" i="33" s="1"/>
  <c r="T52" i="39"/>
  <c r="D21" i="35" s="1"/>
  <c r="AB52" i="39"/>
  <c r="E52" i="39"/>
  <c r="E21" i="34" s="1"/>
  <c r="M52" i="39"/>
  <c r="E21" i="33" s="1"/>
  <c r="U52" i="39"/>
  <c r="E21" i="35" s="1"/>
  <c r="AC52" i="39"/>
  <c r="F52" i="39"/>
  <c r="F21" i="34" s="1"/>
  <c r="N52" i="39"/>
  <c r="F21" i="33" s="1"/>
  <c r="V52" i="39"/>
  <c r="F21" i="35" s="1"/>
  <c r="AD52" i="39"/>
  <c r="G52" i="39"/>
  <c r="G21" i="34" s="1"/>
  <c r="O52" i="39"/>
  <c r="G21" i="33" s="1"/>
  <c r="W52" i="39"/>
  <c r="G21" i="35" s="1"/>
  <c r="AE52" i="39"/>
  <c r="H52" i="39"/>
  <c r="H21" i="34" s="1"/>
  <c r="P52" i="39"/>
  <c r="H21" i="33" s="1"/>
  <c r="X52" i="39"/>
  <c r="H21" i="35" s="1"/>
  <c r="AF52" i="39"/>
  <c r="I52" i="39"/>
  <c r="I21" i="34" s="1"/>
  <c r="Q52" i="39"/>
  <c r="I21" i="33" s="1"/>
  <c r="Y52" i="39"/>
  <c r="I21" i="35" s="1"/>
  <c r="AG52" i="39"/>
  <c r="I21" i="36" s="1"/>
  <c r="B53" i="39"/>
  <c r="B22" i="34" s="1"/>
  <c r="J53" i="39"/>
  <c r="B22" i="33" s="1"/>
  <c r="R53" i="39"/>
  <c r="B22" i="35" s="1"/>
  <c r="Z53" i="39"/>
  <c r="C53" i="39"/>
  <c r="C22" i="34" s="1"/>
  <c r="K53" i="39"/>
  <c r="C22" i="33" s="1"/>
  <c r="S53" i="39"/>
  <c r="C22" i="35" s="1"/>
  <c r="AA53" i="39"/>
  <c r="D53" i="39"/>
  <c r="D22" i="34" s="1"/>
  <c r="L53" i="39"/>
  <c r="D22" i="33" s="1"/>
  <c r="T53" i="39"/>
  <c r="D22" i="35" s="1"/>
  <c r="AB53" i="39"/>
  <c r="E53" i="39"/>
  <c r="E22" i="34" s="1"/>
  <c r="M53" i="39"/>
  <c r="E22" i="33" s="1"/>
  <c r="U53" i="39"/>
  <c r="E22" i="35" s="1"/>
  <c r="AC53" i="39"/>
  <c r="F53" i="39"/>
  <c r="F22" i="34" s="1"/>
  <c r="N53" i="39"/>
  <c r="F22" i="33" s="1"/>
  <c r="V53" i="39"/>
  <c r="F22" i="35" s="1"/>
  <c r="AD53" i="39"/>
  <c r="G53" i="39"/>
  <c r="G22" i="34" s="1"/>
  <c r="O53" i="39"/>
  <c r="G22" i="33" s="1"/>
  <c r="W53" i="39"/>
  <c r="G22" i="35" s="1"/>
  <c r="AE53" i="39"/>
  <c r="H53" i="39"/>
  <c r="H22" i="34" s="1"/>
  <c r="P53" i="39"/>
  <c r="H22" i="33" s="1"/>
  <c r="X53" i="39"/>
  <c r="H22" i="35" s="1"/>
  <c r="AF53" i="39"/>
  <c r="H22" i="36" s="1"/>
  <c r="I53" i="39"/>
  <c r="I22" i="34" s="1"/>
  <c r="Q53" i="39"/>
  <c r="I22" i="33" s="1"/>
  <c r="Y53" i="39"/>
  <c r="I22" i="35" s="1"/>
  <c r="AG53" i="39"/>
  <c r="B54" i="39"/>
  <c r="B23" i="34" s="1"/>
  <c r="J54" i="39"/>
  <c r="B23" i="33" s="1"/>
  <c r="R54" i="39"/>
  <c r="B23" i="35" s="1"/>
  <c r="Z54" i="39"/>
  <c r="C54" i="39"/>
  <c r="C23" i="34" s="1"/>
  <c r="K54" i="39"/>
  <c r="C23" i="33" s="1"/>
  <c r="S54" i="39"/>
  <c r="C23" i="35" s="1"/>
  <c r="AA54" i="39"/>
  <c r="D54" i="39"/>
  <c r="D23" i="34" s="1"/>
  <c r="L54" i="39"/>
  <c r="D23" i="33" s="1"/>
  <c r="T54" i="39"/>
  <c r="D23" i="35" s="1"/>
  <c r="AB54" i="39"/>
  <c r="E54" i="39"/>
  <c r="E23" i="34" s="1"/>
  <c r="M54" i="39"/>
  <c r="E23" i="33" s="1"/>
  <c r="U54" i="39"/>
  <c r="E23" i="35" s="1"/>
  <c r="AC54" i="39"/>
  <c r="F54" i="39"/>
  <c r="F23" i="34" s="1"/>
  <c r="N54" i="39"/>
  <c r="F23" i="33" s="1"/>
  <c r="V54" i="39"/>
  <c r="F23" i="35" s="1"/>
  <c r="AD54" i="39"/>
  <c r="G54" i="39"/>
  <c r="G23" i="34" s="1"/>
  <c r="O54" i="39"/>
  <c r="G23" i="33" s="1"/>
  <c r="W54" i="39"/>
  <c r="G23" i="35" s="1"/>
  <c r="AE54" i="39"/>
  <c r="G23" i="36" s="1"/>
  <c r="H54" i="39"/>
  <c r="H23" i="34" s="1"/>
  <c r="P54" i="39"/>
  <c r="H23" i="33" s="1"/>
  <c r="X54" i="39"/>
  <c r="H23" i="35" s="1"/>
  <c r="AF54" i="39"/>
  <c r="I54" i="39"/>
  <c r="I23" i="34" s="1"/>
  <c r="Q54" i="39"/>
  <c r="I23" i="33" s="1"/>
  <c r="Y54" i="39"/>
  <c r="I23" i="35" s="1"/>
  <c r="AG54" i="39"/>
  <c r="B55" i="39"/>
  <c r="B24" i="34" s="1"/>
  <c r="J55" i="39"/>
  <c r="B24" i="33" s="1"/>
  <c r="R55" i="39"/>
  <c r="B24" i="35" s="1"/>
  <c r="Z55" i="39"/>
  <c r="C55" i="39"/>
  <c r="C24" i="34" s="1"/>
  <c r="K55" i="39"/>
  <c r="C24" i="33" s="1"/>
  <c r="S55" i="39"/>
  <c r="C24" i="35" s="1"/>
  <c r="AA55" i="39"/>
  <c r="D55" i="39"/>
  <c r="D24" i="34" s="1"/>
  <c r="L55" i="39"/>
  <c r="D24" i="33" s="1"/>
  <c r="T55" i="39"/>
  <c r="D24" i="35" s="1"/>
  <c r="AB55" i="39"/>
  <c r="E55" i="39"/>
  <c r="E24" i="34" s="1"/>
  <c r="M55" i="39"/>
  <c r="E24" i="33" s="1"/>
  <c r="U55" i="39"/>
  <c r="E24" i="35" s="1"/>
  <c r="AC55" i="39"/>
  <c r="F55" i="39"/>
  <c r="F24" i="34" s="1"/>
  <c r="N55" i="39"/>
  <c r="F24" i="33" s="1"/>
  <c r="V55" i="39"/>
  <c r="F24" i="35" s="1"/>
  <c r="AD55" i="39"/>
  <c r="F24" i="36" s="1"/>
  <c r="G55" i="39"/>
  <c r="G24" i="34" s="1"/>
  <c r="O55" i="39"/>
  <c r="G24" i="33" s="1"/>
  <c r="W55" i="39"/>
  <c r="G24" i="35" s="1"/>
  <c r="AE55" i="39"/>
  <c r="H55" i="39"/>
  <c r="H24" i="34" s="1"/>
  <c r="P55" i="39"/>
  <c r="H24" i="33" s="1"/>
  <c r="X55" i="39"/>
  <c r="H24" i="35" s="1"/>
  <c r="AF55" i="39"/>
  <c r="I55" i="39"/>
  <c r="I24" i="34" s="1"/>
  <c r="Q55" i="39"/>
  <c r="I24" i="33" s="1"/>
  <c r="Y55" i="39"/>
  <c r="I24" i="35" s="1"/>
  <c r="AG55" i="39"/>
  <c r="B56" i="39"/>
  <c r="B25" i="34" s="1"/>
  <c r="J56" i="39"/>
  <c r="B25" i="33" s="1"/>
  <c r="R56" i="39"/>
  <c r="B25" i="35" s="1"/>
  <c r="Z56" i="39"/>
  <c r="C56" i="39"/>
  <c r="C25" i="34" s="1"/>
  <c r="K56" i="39"/>
  <c r="C25" i="33" s="1"/>
  <c r="S56" i="39"/>
  <c r="C25" i="35" s="1"/>
  <c r="AA56" i="39"/>
  <c r="D56" i="39"/>
  <c r="D25" i="34" s="1"/>
  <c r="L56" i="39"/>
  <c r="D25" i="33" s="1"/>
  <c r="T56" i="39"/>
  <c r="D25" i="35" s="1"/>
  <c r="AB56" i="39"/>
  <c r="E56" i="39"/>
  <c r="E25" i="34" s="1"/>
  <c r="M56" i="39"/>
  <c r="E25" i="33" s="1"/>
  <c r="U56" i="39"/>
  <c r="E25" i="35" s="1"/>
  <c r="AC56" i="39"/>
  <c r="E25" i="36" s="1"/>
  <c r="F56" i="39"/>
  <c r="F25" i="34" s="1"/>
  <c r="N56" i="39"/>
  <c r="F25" i="33" s="1"/>
  <c r="V56" i="39"/>
  <c r="F25" i="35" s="1"/>
  <c r="AD56" i="39"/>
  <c r="G56" i="39"/>
  <c r="G25" i="34" s="1"/>
  <c r="O56" i="39"/>
  <c r="G25" i="33" s="1"/>
  <c r="W56" i="39"/>
  <c r="G25" i="35" s="1"/>
  <c r="AE56" i="39"/>
  <c r="H56" i="39"/>
  <c r="H25" i="34" s="1"/>
  <c r="P56" i="39"/>
  <c r="H25" i="33" s="1"/>
  <c r="X56" i="39"/>
  <c r="H25" i="35" s="1"/>
  <c r="AF56" i="39"/>
  <c r="I56" i="39"/>
  <c r="I25" i="34" s="1"/>
  <c r="Q56" i="39"/>
  <c r="I25" i="33" s="1"/>
  <c r="Y56" i="39"/>
  <c r="I25" i="35" s="1"/>
  <c r="AG56" i="39"/>
  <c r="B57" i="39"/>
  <c r="B26" i="34" s="1"/>
  <c r="J57" i="39"/>
  <c r="B26" i="33" s="1"/>
  <c r="R57" i="39"/>
  <c r="B26" i="35" s="1"/>
  <c r="Z57" i="39"/>
  <c r="C57" i="39"/>
  <c r="C26" i="34" s="1"/>
  <c r="K57" i="39"/>
  <c r="C26" i="33" s="1"/>
  <c r="S57" i="39"/>
  <c r="C26" i="35" s="1"/>
  <c r="AA57" i="39"/>
  <c r="D57" i="39"/>
  <c r="D26" i="34" s="1"/>
  <c r="L57" i="39"/>
  <c r="D26" i="33" s="1"/>
  <c r="T57" i="39"/>
  <c r="D26" i="35" s="1"/>
  <c r="AB57" i="39"/>
  <c r="D26" i="36" s="1"/>
  <c r="E57" i="39"/>
  <c r="E26" i="34" s="1"/>
  <c r="M57" i="39"/>
  <c r="E26" i="33" s="1"/>
  <c r="U57" i="39"/>
  <c r="E26" i="35" s="1"/>
  <c r="AC57" i="39"/>
  <c r="F57" i="39"/>
  <c r="F26" i="34" s="1"/>
  <c r="N57" i="39"/>
  <c r="F26" i="33" s="1"/>
  <c r="V57" i="39"/>
  <c r="F26" i="35" s="1"/>
  <c r="AD57" i="39"/>
  <c r="G57" i="39"/>
  <c r="G26" i="34" s="1"/>
  <c r="O57" i="39"/>
  <c r="G26" i="33" s="1"/>
  <c r="W57" i="39"/>
  <c r="G26" i="35" s="1"/>
  <c r="AE57" i="39"/>
  <c r="H57" i="39"/>
  <c r="H26" i="34" s="1"/>
  <c r="P57" i="39"/>
  <c r="H26" i="33" s="1"/>
  <c r="X57" i="39"/>
  <c r="H26" i="35" s="1"/>
  <c r="AF57" i="39"/>
  <c r="I57" i="39"/>
  <c r="I26" i="34" s="1"/>
  <c r="Q57" i="39"/>
  <c r="I26" i="33" s="1"/>
  <c r="Y57" i="39"/>
  <c r="I26" i="35" s="1"/>
  <c r="AG57" i="39"/>
  <c r="B58" i="39"/>
  <c r="B27" i="34" s="1"/>
  <c r="J58" i="39"/>
  <c r="B27" i="33" s="1"/>
  <c r="R58" i="39"/>
  <c r="B27" i="35" s="1"/>
  <c r="Z58" i="39"/>
  <c r="C58" i="39"/>
  <c r="C27" i="34" s="1"/>
  <c r="K58" i="39"/>
  <c r="C27" i="33" s="1"/>
  <c r="S58" i="39"/>
  <c r="C27" i="35" s="1"/>
  <c r="AA58" i="39"/>
  <c r="C27" i="36" s="1"/>
  <c r="D58" i="39"/>
  <c r="D27" i="34" s="1"/>
  <c r="L58" i="39"/>
  <c r="D27" i="33" s="1"/>
  <c r="T58" i="39"/>
  <c r="D27" i="35" s="1"/>
  <c r="AB58" i="39"/>
  <c r="E58" i="39"/>
  <c r="E27" i="34" s="1"/>
  <c r="M58" i="39"/>
  <c r="E27" i="33" s="1"/>
  <c r="U58" i="39"/>
  <c r="E27" i="35" s="1"/>
  <c r="AC58" i="39"/>
  <c r="F58" i="39"/>
  <c r="F27" i="34" s="1"/>
  <c r="N58" i="39"/>
  <c r="F27" i="33" s="1"/>
  <c r="V58" i="39"/>
  <c r="F27" i="35" s="1"/>
  <c r="AD58" i="39"/>
  <c r="G58" i="39"/>
  <c r="G27" i="34" s="1"/>
  <c r="O58" i="39"/>
  <c r="G27" i="33" s="1"/>
  <c r="W58" i="39"/>
  <c r="G27" i="35" s="1"/>
  <c r="AE58" i="39"/>
  <c r="H58" i="39"/>
  <c r="H27" i="34" s="1"/>
  <c r="P58" i="39"/>
  <c r="H27" i="33" s="1"/>
  <c r="X58" i="39"/>
  <c r="H27" i="35" s="1"/>
  <c r="AF58" i="39"/>
  <c r="I58" i="39"/>
  <c r="I27" i="34" s="1"/>
  <c r="Q58" i="39"/>
  <c r="I27" i="33" s="1"/>
  <c r="Y58" i="39"/>
  <c r="I27" i="35" s="1"/>
  <c r="AG58" i="39"/>
  <c r="B59" i="39"/>
  <c r="B28" i="34" s="1"/>
  <c r="J59" i="39"/>
  <c r="B28" i="33" s="1"/>
  <c r="R59" i="39"/>
  <c r="B28" i="35" s="1"/>
  <c r="Z59" i="39"/>
  <c r="B28" i="36" s="1"/>
  <c r="C59" i="39"/>
  <c r="C28" i="34" s="1"/>
  <c r="K59" i="39"/>
  <c r="C28" i="33" s="1"/>
  <c r="S59" i="39"/>
  <c r="C28" i="35" s="1"/>
  <c r="AA59" i="39"/>
  <c r="D59" i="39"/>
  <c r="D28" i="34" s="1"/>
  <c r="L59" i="39"/>
  <c r="D28" i="33" s="1"/>
  <c r="T59" i="39"/>
  <c r="D28" i="35" s="1"/>
  <c r="AB59" i="39"/>
  <c r="E59" i="39"/>
  <c r="E28" i="34" s="1"/>
  <c r="M59" i="39"/>
  <c r="E28" i="33" s="1"/>
  <c r="U59" i="39"/>
  <c r="E28" i="35" s="1"/>
  <c r="AC59" i="39"/>
  <c r="F59" i="39"/>
  <c r="F28" i="34" s="1"/>
  <c r="N59" i="39"/>
  <c r="F28" i="33" s="1"/>
  <c r="V59" i="39"/>
  <c r="F28" i="35" s="1"/>
  <c r="AD59" i="39"/>
  <c r="G59" i="39"/>
  <c r="G28" i="34" s="1"/>
  <c r="O59" i="39"/>
  <c r="G28" i="33" s="1"/>
  <c r="W59" i="39"/>
  <c r="G28" i="35" s="1"/>
  <c r="AE59" i="39"/>
  <c r="H59" i="39"/>
  <c r="H28" i="34" s="1"/>
  <c r="P59" i="39"/>
  <c r="H28" i="33" s="1"/>
  <c r="X59" i="39"/>
  <c r="H28" i="35" s="1"/>
  <c r="AF59" i="39"/>
  <c r="I59" i="39"/>
  <c r="I28" i="34" s="1"/>
  <c r="Q59" i="39"/>
  <c r="I28" i="33" s="1"/>
  <c r="Y59" i="39"/>
  <c r="I28" i="35" s="1"/>
  <c r="AG59" i="39"/>
  <c r="B60" i="39"/>
  <c r="B29" i="34" s="1"/>
  <c r="J60" i="39"/>
  <c r="B29" i="33" s="1"/>
  <c r="R60" i="39"/>
  <c r="B29" i="35" s="1"/>
  <c r="Z60" i="39"/>
  <c r="C60" i="39"/>
  <c r="C29" i="34" s="1"/>
  <c r="K60" i="39"/>
  <c r="C29" i="33" s="1"/>
  <c r="S60" i="39"/>
  <c r="C29" i="35" s="1"/>
  <c r="AA60" i="39"/>
  <c r="D60" i="39"/>
  <c r="D29" i="34" s="1"/>
  <c r="L60" i="39"/>
  <c r="D29" i="33" s="1"/>
  <c r="T60" i="39"/>
  <c r="D29" i="35" s="1"/>
  <c r="AB60" i="39"/>
  <c r="E60" i="39"/>
  <c r="E29" i="34" s="1"/>
  <c r="M60" i="39"/>
  <c r="E29" i="33" s="1"/>
  <c r="U60" i="39"/>
  <c r="E29" i="35" s="1"/>
  <c r="AC60" i="39"/>
  <c r="F60" i="39"/>
  <c r="F29" i="34" s="1"/>
  <c r="N60" i="39"/>
  <c r="F29" i="33" s="1"/>
  <c r="V60" i="39"/>
  <c r="F29" i="35" s="1"/>
  <c r="AD60" i="39"/>
  <c r="G60" i="39"/>
  <c r="G29" i="34" s="1"/>
  <c r="O60" i="39"/>
  <c r="G29" i="33" s="1"/>
  <c r="W60" i="39"/>
  <c r="G29" i="35" s="1"/>
  <c r="AE60" i="39"/>
  <c r="H60" i="39"/>
  <c r="H29" i="34" s="1"/>
  <c r="P60" i="39"/>
  <c r="H29" i="33" s="1"/>
  <c r="X60" i="39"/>
  <c r="H29" i="35" s="1"/>
  <c r="AF60" i="39"/>
  <c r="I60" i="39"/>
  <c r="I29" i="34" s="1"/>
  <c r="Q60" i="39"/>
  <c r="I29" i="33" s="1"/>
  <c r="Y60" i="39"/>
  <c r="I29" i="35" s="1"/>
  <c r="AG60" i="39"/>
  <c r="I29" i="36" s="1"/>
  <c r="B61" i="39"/>
  <c r="L2" i="34" s="1"/>
  <c r="J61" i="39"/>
  <c r="L2" i="33" s="1"/>
  <c r="R61" i="39"/>
  <c r="L2" i="35" s="1"/>
  <c r="Z61" i="39"/>
  <c r="C61" i="39"/>
  <c r="M2" i="34" s="1"/>
  <c r="K61" i="39"/>
  <c r="M2" i="33" s="1"/>
  <c r="S61" i="39"/>
  <c r="M2" i="35" s="1"/>
  <c r="AA61" i="39"/>
  <c r="D61" i="39"/>
  <c r="N2" i="34" s="1"/>
  <c r="L61" i="39"/>
  <c r="N2" i="33" s="1"/>
  <c r="T61" i="39"/>
  <c r="N2" i="35" s="1"/>
  <c r="AB61" i="39"/>
  <c r="E61" i="39"/>
  <c r="O2" i="34" s="1"/>
  <c r="M61" i="39"/>
  <c r="O2" i="33" s="1"/>
  <c r="U61" i="39"/>
  <c r="O2" i="35" s="1"/>
  <c r="AC61" i="39"/>
  <c r="F61" i="39"/>
  <c r="P2" i="34" s="1"/>
  <c r="N61" i="39"/>
  <c r="P2" i="33" s="1"/>
  <c r="V61" i="39"/>
  <c r="P2" i="35" s="1"/>
  <c r="AD61" i="39"/>
  <c r="G61" i="39"/>
  <c r="Q2" i="34" s="1"/>
  <c r="O61" i="39"/>
  <c r="Q2" i="33" s="1"/>
  <c r="W61" i="39"/>
  <c r="Q2" i="35" s="1"/>
  <c r="AE61" i="39"/>
  <c r="H61" i="39"/>
  <c r="R2" i="34" s="1"/>
  <c r="P61" i="39"/>
  <c r="R2" i="33" s="1"/>
  <c r="X61" i="39"/>
  <c r="R2" i="35" s="1"/>
  <c r="AF61" i="39"/>
  <c r="I61" i="39"/>
  <c r="S2" i="34" s="1"/>
  <c r="Q61" i="39"/>
  <c r="S2" i="33" s="1"/>
  <c r="Y61" i="39"/>
  <c r="S2" i="35" s="1"/>
  <c r="AG61" i="39"/>
  <c r="B62" i="39"/>
  <c r="L3" i="34" s="1"/>
  <c r="J62" i="39"/>
  <c r="L3" i="33" s="1"/>
  <c r="R62" i="39"/>
  <c r="L3" i="35" s="1"/>
  <c r="Z62" i="39"/>
  <c r="C62" i="39"/>
  <c r="M3" i="34" s="1"/>
  <c r="K62" i="39"/>
  <c r="M3" i="33" s="1"/>
  <c r="S62" i="39"/>
  <c r="M3" i="35" s="1"/>
  <c r="AA62" i="39"/>
  <c r="D62" i="39"/>
  <c r="N3" i="34" s="1"/>
  <c r="L62" i="39"/>
  <c r="N3" i="33" s="1"/>
  <c r="T62" i="39"/>
  <c r="N3" i="35" s="1"/>
  <c r="AB62" i="39"/>
  <c r="E62" i="39"/>
  <c r="O3" i="34" s="1"/>
  <c r="M62" i="39"/>
  <c r="O3" i="33" s="1"/>
  <c r="U62" i="39"/>
  <c r="O3" i="35" s="1"/>
  <c r="AC62" i="39"/>
  <c r="F62" i="39"/>
  <c r="P3" i="34" s="1"/>
  <c r="N62" i="39"/>
  <c r="P3" i="33" s="1"/>
  <c r="V62" i="39"/>
  <c r="P3" i="35" s="1"/>
  <c r="AD62" i="39"/>
  <c r="G62" i="39"/>
  <c r="Q3" i="34" s="1"/>
  <c r="O62" i="39"/>
  <c r="Q3" i="33" s="1"/>
  <c r="W62" i="39"/>
  <c r="Q3" i="35" s="1"/>
  <c r="AE62" i="39"/>
  <c r="H62" i="39"/>
  <c r="R3" i="34" s="1"/>
  <c r="P62" i="39"/>
  <c r="R3" i="33" s="1"/>
  <c r="X62" i="39"/>
  <c r="R3" i="35" s="1"/>
  <c r="AF62" i="39"/>
  <c r="I62" i="39"/>
  <c r="S3" i="34" s="1"/>
  <c r="Q62" i="39"/>
  <c r="S3" i="33" s="1"/>
  <c r="Y62" i="39"/>
  <c r="S3" i="35" s="1"/>
  <c r="AG62" i="39"/>
  <c r="B63" i="39"/>
  <c r="L4" i="34" s="1"/>
  <c r="J63" i="39"/>
  <c r="L4" i="33" s="1"/>
  <c r="R63" i="39"/>
  <c r="L4" i="35" s="1"/>
  <c r="Z63" i="39"/>
  <c r="C63" i="39"/>
  <c r="M4" i="34" s="1"/>
  <c r="K63" i="39"/>
  <c r="M4" i="33" s="1"/>
  <c r="S63" i="39"/>
  <c r="M4" i="35" s="1"/>
  <c r="AA63" i="39"/>
  <c r="D63" i="39"/>
  <c r="N4" i="34" s="1"/>
  <c r="L63" i="39"/>
  <c r="N4" i="33" s="1"/>
  <c r="T63" i="39"/>
  <c r="N4" i="35" s="1"/>
  <c r="AB63" i="39"/>
  <c r="E63" i="39"/>
  <c r="O4" i="34" s="1"/>
  <c r="M63" i="39"/>
  <c r="O4" i="33" s="1"/>
  <c r="U63" i="39"/>
  <c r="O4" i="35" s="1"/>
  <c r="AC63" i="39"/>
  <c r="F63" i="39"/>
  <c r="P4" i="34" s="1"/>
  <c r="N63" i="39"/>
  <c r="P4" i="33" s="1"/>
  <c r="V63" i="39"/>
  <c r="P4" i="35" s="1"/>
  <c r="AD63" i="39"/>
  <c r="G63" i="39"/>
  <c r="Q4" i="34" s="1"/>
  <c r="O63" i="39"/>
  <c r="Q4" i="33" s="1"/>
  <c r="W63" i="39"/>
  <c r="Q4" i="35" s="1"/>
  <c r="AE63" i="39"/>
  <c r="H63" i="39"/>
  <c r="R4" i="34" s="1"/>
  <c r="P63" i="39"/>
  <c r="R4" i="33" s="1"/>
  <c r="X63" i="39"/>
  <c r="R4" i="35" s="1"/>
  <c r="AF63" i="39"/>
  <c r="I63" i="39"/>
  <c r="S4" i="34" s="1"/>
  <c r="Q63" i="39"/>
  <c r="S4" i="33" s="1"/>
  <c r="Y63" i="39"/>
  <c r="S4" i="35" s="1"/>
  <c r="AG63" i="39"/>
  <c r="B64" i="39"/>
  <c r="L5" i="34" s="1"/>
  <c r="J64" i="39"/>
  <c r="L5" i="33" s="1"/>
  <c r="R64" i="39"/>
  <c r="L5" i="35" s="1"/>
  <c r="Z64" i="39"/>
  <c r="C64" i="39"/>
  <c r="M5" i="34" s="1"/>
  <c r="K64" i="39"/>
  <c r="M5" i="33" s="1"/>
  <c r="S64" i="39"/>
  <c r="M5" i="35" s="1"/>
  <c r="AA64" i="39"/>
  <c r="D64" i="39"/>
  <c r="N5" i="34" s="1"/>
  <c r="L64" i="39"/>
  <c r="N5" i="33" s="1"/>
  <c r="T64" i="39"/>
  <c r="N5" i="35" s="1"/>
  <c r="AB64" i="39"/>
  <c r="E64" i="39"/>
  <c r="O5" i="34" s="1"/>
  <c r="M64" i="39"/>
  <c r="O5" i="33" s="1"/>
  <c r="U64" i="39"/>
  <c r="O5" i="35" s="1"/>
  <c r="AC64" i="39"/>
  <c r="F64" i="39"/>
  <c r="P5" i="34" s="1"/>
  <c r="N64" i="39"/>
  <c r="P5" i="33" s="1"/>
  <c r="V64" i="39"/>
  <c r="P5" i="35" s="1"/>
  <c r="AD64" i="39"/>
  <c r="G64" i="39"/>
  <c r="Q5" i="34" s="1"/>
  <c r="O64" i="39"/>
  <c r="Q5" i="33" s="1"/>
  <c r="W64" i="39"/>
  <c r="Q5" i="35" s="1"/>
  <c r="AE64" i="39"/>
  <c r="H64" i="39"/>
  <c r="R5" i="34" s="1"/>
  <c r="P64" i="39"/>
  <c r="R5" i="33" s="1"/>
  <c r="X64" i="39"/>
  <c r="R5" i="35" s="1"/>
  <c r="AF64" i="39"/>
  <c r="I64" i="39"/>
  <c r="S5" i="34" s="1"/>
  <c r="Q64" i="39"/>
  <c r="S5" i="33" s="1"/>
  <c r="Y64" i="39"/>
  <c r="S5" i="35" s="1"/>
  <c r="AG64" i="39"/>
  <c r="B65" i="39"/>
  <c r="L6" i="34" s="1"/>
  <c r="J65" i="39"/>
  <c r="L6" i="33" s="1"/>
  <c r="R65" i="39"/>
  <c r="L6" i="35" s="1"/>
  <c r="Z65" i="39"/>
  <c r="C65" i="39"/>
  <c r="M6" i="34" s="1"/>
  <c r="K65" i="39"/>
  <c r="M6" i="33" s="1"/>
  <c r="S65" i="39"/>
  <c r="M6" i="35" s="1"/>
  <c r="AA65" i="39"/>
  <c r="D65" i="39"/>
  <c r="N6" i="34" s="1"/>
  <c r="L65" i="39"/>
  <c r="N6" i="33" s="1"/>
  <c r="T65" i="39"/>
  <c r="N6" i="35" s="1"/>
  <c r="AB65" i="39"/>
  <c r="E65" i="39"/>
  <c r="O6" i="34" s="1"/>
  <c r="M65" i="39"/>
  <c r="O6" i="33" s="1"/>
  <c r="U65" i="39"/>
  <c r="O6" i="35" s="1"/>
  <c r="AC65" i="39"/>
  <c r="F65" i="39"/>
  <c r="P6" i="34" s="1"/>
  <c r="N65" i="39"/>
  <c r="P6" i="33" s="1"/>
  <c r="V65" i="39"/>
  <c r="P6" i="35" s="1"/>
  <c r="AD65" i="39"/>
  <c r="G65" i="39"/>
  <c r="Q6" i="34" s="1"/>
  <c r="O65" i="39"/>
  <c r="Q6" i="33" s="1"/>
  <c r="W65" i="39"/>
  <c r="Q6" i="35" s="1"/>
  <c r="AE65" i="39"/>
  <c r="H65" i="39"/>
  <c r="R6" i="34" s="1"/>
  <c r="P65" i="39"/>
  <c r="R6" i="33" s="1"/>
  <c r="X65" i="39"/>
  <c r="R6" i="35" s="1"/>
  <c r="AF65" i="39"/>
  <c r="I65" i="39"/>
  <c r="S6" i="34" s="1"/>
  <c r="Q65" i="39"/>
  <c r="S6" i="33" s="1"/>
  <c r="Y65" i="39"/>
  <c r="S6" i="35" s="1"/>
  <c r="AG65" i="39"/>
  <c r="B66" i="39"/>
  <c r="L7" i="34" s="1"/>
  <c r="J66" i="39"/>
  <c r="L7" i="33" s="1"/>
  <c r="R66" i="39"/>
  <c r="L7" i="35" s="1"/>
  <c r="Z66" i="39"/>
  <c r="C66" i="39"/>
  <c r="M7" i="34" s="1"/>
  <c r="K66" i="39"/>
  <c r="M7" i="33" s="1"/>
  <c r="S66" i="39"/>
  <c r="M7" i="35" s="1"/>
  <c r="AA66" i="39"/>
  <c r="D66" i="39"/>
  <c r="N7" i="34" s="1"/>
  <c r="L66" i="39"/>
  <c r="N7" i="33" s="1"/>
  <c r="T66" i="39"/>
  <c r="N7" i="35" s="1"/>
  <c r="AB66" i="39"/>
  <c r="E66" i="39"/>
  <c r="O7" i="34" s="1"/>
  <c r="M66" i="39"/>
  <c r="O7" i="33" s="1"/>
  <c r="U66" i="39"/>
  <c r="O7" i="35" s="1"/>
  <c r="AC66" i="39"/>
  <c r="F66" i="39"/>
  <c r="P7" i="34" s="1"/>
  <c r="N66" i="39"/>
  <c r="P7" i="33" s="1"/>
  <c r="V66" i="39"/>
  <c r="P7" i="35" s="1"/>
  <c r="AD66" i="39"/>
  <c r="G66" i="39"/>
  <c r="Q7" i="34" s="1"/>
  <c r="O66" i="39"/>
  <c r="Q7" i="33" s="1"/>
  <c r="W66" i="39"/>
  <c r="Q7" i="35" s="1"/>
  <c r="AE66" i="39"/>
  <c r="H66" i="39"/>
  <c r="R7" i="34" s="1"/>
  <c r="P66" i="39"/>
  <c r="R7" i="33" s="1"/>
  <c r="X66" i="39"/>
  <c r="R7" i="35" s="1"/>
  <c r="AF66" i="39"/>
  <c r="I66" i="39"/>
  <c r="S7" i="34" s="1"/>
  <c r="Q66" i="39"/>
  <c r="S7" i="33" s="1"/>
  <c r="Y66" i="39"/>
  <c r="S7" i="35" s="1"/>
  <c r="AG66" i="39"/>
  <c r="B67" i="39"/>
  <c r="L8" i="34" s="1"/>
  <c r="J67" i="39"/>
  <c r="L8" i="33" s="1"/>
  <c r="R67" i="39"/>
  <c r="L8" i="35" s="1"/>
  <c r="Z67" i="39"/>
  <c r="C67" i="39"/>
  <c r="M8" i="34" s="1"/>
  <c r="K67" i="39"/>
  <c r="M8" i="33" s="1"/>
  <c r="S67" i="39"/>
  <c r="M8" i="35" s="1"/>
  <c r="AA67" i="39"/>
  <c r="D67" i="39"/>
  <c r="N8" i="34" s="1"/>
  <c r="L67" i="39"/>
  <c r="N8" i="33" s="1"/>
  <c r="T67" i="39"/>
  <c r="N8" i="35" s="1"/>
  <c r="AB67" i="39"/>
  <c r="E67" i="39"/>
  <c r="O8" i="34" s="1"/>
  <c r="M67" i="39"/>
  <c r="O8" i="33" s="1"/>
  <c r="U67" i="39"/>
  <c r="O8" i="35" s="1"/>
  <c r="AC67" i="39"/>
  <c r="F67" i="39"/>
  <c r="P8" i="34" s="1"/>
  <c r="N67" i="39"/>
  <c r="P8" i="33" s="1"/>
  <c r="V67" i="39"/>
  <c r="P8" i="35" s="1"/>
  <c r="AD67" i="39"/>
  <c r="G67" i="39"/>
  <c r="Q8" i="34" s="1"/>
  <c r="O67" i="39"/>
  <c r="Q8" i="33" s="1"/>
  <c r="W67" i="39"/>
  <c r="Q8" i="35" s="1"/>
  <c r="AE67" i="39"/>
  <c r="H67" i="39"/>
  <c r="R8" i="34" s="1"/>
  <c r="P67" i="39"/>
  <c r="R8" i="33" s="1"/>
  <c r="X67" i="39"/>
  <c r="R8" i="35" s="1"/>
  <c r="AF67" i="39"/>
  <c r="I67" i="39"/>
  <c r="S8" i="34" s="1"/>
  <c r="Q67" i="39"/>
  <c r="S8" i="33" s="1"/>
  <c r="Y67" i="39"/>
  <c r="S8" i="35" s="1"/>
  <c r="AG67" i="39"/>
  <c r="B68" i="39"/>
  <c r="L9" i="34" s="1"/>
  <c r="J68" i="39"/>
  <c r="L9" i="33" s="1"/>
  <c r="R68" i="39"/>
  <c r="L9" i="35" s="1"/>
  <c r="Z68" i="39"/>
  <c r="C68" i="39"/>
  <c r="M9" i="34" s="1"/>
  <c r="K68" i="39"/>
  <c r="M9" i="33" s="1"/>
  <c r="S68" i="39"/>
  <c r="M9" i="35" s="1"/>
  <c r="AA68" i="39"/>
  <c r="D68" i="39"/>
  <c r="N9" i="34" s="1"/>
  <c r="L68" i="39"/>
  <c r="N9" i="33" s="1"/>
  <c r="T68" i="39"/>
  <c r="N9" i="35" s="1"/>
  <c r="AB68" i="39"/>
  <c r="E68" i="39"/>
  <c r="O9" i="34" s="1"/>
  <c r="M68" i="39"/>
  <c r="O9" i="33" s="1"/>
  <c r="U68" i="39"/>
  <c r="O9" i="35" s="1"/>
  <c r="AC68" i="39"/>
  <c r="F68" i="39"/>
  <c r="P9" i="34" s="1"/>
  <c r="N68" i="39"/>
  <c r="P9" i="33" s="1"/>
  <c r="V68" i="39"/>
  <c r="P9" i="35" s="1"/>
  <c r="AD68" i="39"/>
  <c r="G68" i="39"/>
  <c r="Q9" i="34" s="1"/>
  <c r="O68" i="39"/>
  <c r="Q9" i="33" s="1"/>
  <c r="W68" i="39"/>
  <c r="Q9" i="35" s="1"/>
  <c r="AE68" i="39"/>
  <c r="H68" i="39"/>
  <c r="R9" i="34" s="1"/>
  <c r="P68" i="39"/>
  <c r="R9" i="33" s="1"/>
  <c r="X68" i="39"/>
  <c r="R9" i="35" s="1"/>
  <c r="AF68" i="39"/>
  <c r="I68" i="39"/>
  <c r="S9" i="34" s="1"/>
  <c r="Q68" i="39"/>
  <c r="S9" i="33" s="1"/>
  <c r="Y68" i="39"/>
  <c r="S9" i="35" s="1"/>
  <c r="AG68" i="39"/>
  <c r="B69" i="39"/>
  <c r="L10" i="34" s="1"/>
  <c r="J69" i="39"/>
  <c r="L10" i="33" s="1"/>
  <c r="R69" i="39"/>
  <c r="L10" i="35" s="1"/>
  <c r="Z69" i="39"/>
  <c r="C69" i="39"/>
  <c r="M10" i="34" s="1"/>
  <c r="K69" i="39"/>
  <c r="M10" i="33" s="1"/>
  <c r="S69" i="39"/>
  <c r="M10" i="35" s="1"/>
  <c r="AA69" i="39"/>
  <c r="D69" i="39"/>
  <c r="N10" i="34" s="1"/>
  <c r="L69" i="39"/>
  <c r="N10" i="33" s="1"/>
  <c r="T69" i="39"/>
  <c r="N10" i="35" s="1"/>
  <c r="AB69" i="39"/>
  <c r="E69" i="39"/>
  <c r="O10" i="34" s="1"/>
  <c r="M69" i="39"/>
  <c r="O10" i="33" s="1"/>
  <c r="U69" i="39"/>
  <c r="O10" i="35" s="1"/>
  <c r="AC69" i="39"/>
  <c r="F69" i="39"/>
  <c r="P10" i="34" s="1"/>
  <c r="N69" i="39"/>
  <c r="P10" i="33" s="1"/>
  <c r="V69" i="39"/>
  <c r="P10" i="35" s="1"/>
  <c r="AD69" i="39"/>
  <c r="G69" i="39"/>
  <c r="Q10" i="34" s="1"/>
  <c r="O69" i="39"/>
  <c r="Q10" i="33" s="1"/>
  <c r="W69" i="39"/>
  <c r="Q10" i="35" s="1"/>
  <c r="AE69" i="39"/>
  <c r="H69" i="39"/>
  <c r="R10" i="34" s="1"/>
  <c r="P69" i="39"/>
  <c r="R10" i="33" s="1"/>
  <c r="X69" i="39"/>
  <c r="R10" i="35" s="1"/>
  <c r="AF69" i="39"/>
  <c r="I69" i="39"/>
  <c r="S10" i="34" s="1"/>
  <c r="Q69" i="39"/>
  <c r="S10" i="33" s="1"/>
  <c r="Y69" i="39"/>
  <c r="S10" i="35" s="1"/>
  <c r="AG69" i="39"/>
  <c r="B70" i="39"/>
  <c r="L11" i="34" s="1"/>
  <c r="J70" i="39"/>
  <c r="L11" i="33" s="1"/>
  <c r="R70" i="39"/>
  <c r="L11" i="35" s="1"/>
  <c r="Z70" i="39"/>
  <c r="C70" i="39"/>
  <c r="M11" i="34" s="1"/>
  <c r="K70" i="39"/>
  <c r="M11" i="33" s="1"/>
  <c r="S70" i="39"/>
  <c r="M11" i="35" s="1"/>
  <c r="AA70" i="39"/>
  <c r="D70" i="39"/>
  <c r="N11" i="34" s="1"/>
  <c r="L70" i="39"/>
  <c r="N11" i="33" s="1"/>
  <c r="T70" i="39"/>
  <c r="N11" i="35" s="1"/>
  <c r="AB70" i="39"/>
  <c r="E70" i="39"/>
  <c r="O11" i="34" s="1"/>
  <c r="M70" i="39"/>
  <c r="O11" i="33" s="1"/>
  <c r="U70" i="39"/>
  <c r="O11" i="35" s="1"/>
  <c r="AC70" i="39"/>
  <c r="F70" i="39"/>
  <c r="P11" i="34" s="1"/>
  <c r="N70" i="39"/>
  <c r="P11" i="33" s="1"/>
  <c r="V70" i="39"/>
  <c r="P11" i="35" s="1"/>
  <c r="AD70" i="39"/>
  <c r="G70" i="39"/>
  <c r="Q11" i="34" s="1"/>
  <c r="O70" i="39"/>
  <c r="Q11" i="33" s="1"/>
  <c r="W70" i="39"/>
  <c r="Q11" i="35" s="1"/>
  <c r="AE70" i="39"/>
  <c r="H70" i="39"/>
  <c r="R11" i="34" s="1"/>
  <c r="P70" i="39"/>
  <c r="R11" i="33" s="1"/>
  <c r="X70" i="39"/>
  <c r="R11" i="35" s="1"/>
  <c r="AF70" i="39"/>
  <c r="I70" i="39"/>
  <c r="S11" i="34" s="1"/>
  <c r="Q70" i="39"/>
  <c r="S11" i="33" s="1"/>
  <c r="Y70" i="39"/>
  <c r="S11" i="35" s="1"/>
  <c r="AG70" i="39"/>
  <c r="B71" i="39"/>
  <c r="L12" i="34" s="1"/>
  <c r="J71" i="39"/>
  <c r="L12" i="33" s="1"/>
  <c r="R71" i="39"/>
  <c r="L12" i="35" s="1"/>
  <c r="Z71" i="39"/>
  <c r="C71" i="39"/>
  <c r="M12" i="34" s="1"/>
  <c r="K71" i="39"/>
  <c r="M12" i="33" s="1"/>
  <c r="S71" i="39"/>
  <c r="M12" i="35" s="1"/>
  <c r="AA71" i="39"/>
  <c r="D71" i="39"/>
  <c r="N12" i="34" s="1"/>
  <c r="L71" i="39"/>
  <c r="N12" i="33" s="1"/>
  <c r="T71" i="39"/>
  <c r="N12" i="35" s="1"/>
  <c r="AB71" i="39"/>
  <c r="E71" i="39"/>
  <c r="O12" i="34" s="1"/>
  <c r="M71" i="39"/>
  <c r="O12" i="33" s="1"/>
  <c r="U71" i="39"/>
  <c r="O12" i="35" s="1"/>
  <c r="AC71" i="39"/>
  <c r="F71" i="39"/>
  <c r="P12" i="34" s="1"/>
  <c r="N71" i="39"/>
  <c r="P12" i="33" s="1"/>
  <c r="V71" i="39"/>
  <c r="P12" i="35" s="1"/>
  <c r="AD71" i="39"/>
  <c r="G71" i="39"/>
  <c r="Q12" i="34" s="1"/>
  <c r="O71" i="39"/>
  <c r="Q12" i="33" s="1"/>
  <c r="W71" i="39"/>
  <c r="Q12" i="35" s="1"/>
  <c r="AE71" i="39"/>
  <c r="H71" i="39"/>
  <c r="R12" i="34" s="1"/>
  <c r="P71" i="39"/>
  <c r="R12" i="33" s="1"/>
  <c r="X71" i="39"/>
  <c r="R12" i="35" s="1"/>
  <c r="AF71" i="39"/>
  <c r="I71" i="39"/>
  <c r="S12" i="34" s="1"/>
  <c r="Q71" i="39"/>
  <c r="S12" i="33" s="1"/>
  <c r="Y71" i="39"/>
  <c r="S12" i="35" s="1"/>
  <c r="AG71" i="39"/>
  <c r="B72" i="39"/>
  <c r="L13" i="34" s="1"/>
  <c r="J72" i="39"/>
  <c r="L13" i="33" s="1"/>
  <c r="R72" i="39"/>
  <c r="L13" i="35" s="1"/>
  <c r="Z72" i="39"/>
  <c r="C72" i="39"/>
  <c r="M13" i="34" s="1"/>
  <c r="K72" i="39"/>
  <c r="M13" i="33" s="1"/>
  <c r="S72" i="39"/>
  <c r="M13" i="35" s="1"/>
  <c r="AA72" i="39"/>
  <c r="D72" i="39"/>
  <c r="N13" i="34" s="1"/>
  <c r="L72" i="39"/>
  <c r="N13" i="33" s="1"/>
  <c r="T72" i="39"/>
  <c r="N13" i="35" s="1"/>
  <c r="AB72" i="39"/>
  <c r="E72" i="39"/>
  <c r="O13" i="34" s="1"/>
  <c r="M72" i="39"/>
  <c r="O13" i="33" s="1"/>
  <c r="U72" i="39"/>
  <c r="O13" i="35" s="1"/>
  <c r="AC72" i="39"/>
  <c r="F72" i="39"/>
  <c r="P13" i="34" s="1"/>
  <c r="N72" i="39"/>
  <c r="P13" i="33" s="1"/>
  <c r="V72" i="39"/>
  <c r="P13" i="35" s="1"/>
  <c r="AD72" i="39"/>
  <c r="G72" i="39"/>
  <c r="Q13" i="34" s="1"/>
  <c r="O72" i="39"/>
  <c r="Q13" i="33" s="1"/>
  <c r="W72" i="39"/>
  <c r="Q13" i="35" s="1"/>
  <c r="AE72" i="39"/>
  <c r="H72" i="39"/>
  <c r="R13" i="34" s="1"/>
  <c r="P72" i="39"/>
  <c r="R13" i="33" s="1"/>
  <c r="X72" i="39"/>
  <c r="R13" i="35" s="1"/>
  <c r="AF72" i="39"/>
  <c r="I72" i="39"/>
  <c r="S13" i="34" s="1"/>
  <c r="Q72" i="39"/>
  <c r="S13" i="33" s="1"/>
  <c r="Y72" i="39"/>
  <c r="S13" i="35" s="1"/>
  <c r="AG72" i="39"/>
  <c r="B73" i="39"/>
  <c r="L14" i="34" s="1"/>
  <c r="J73" i="39"/>
  <c r="L14" i="33" s="1"/>
  <c r="R73" i="39"/>
  <c r="L14" i="35" s="1"/>
  <c r="Z73" i="39"/>
  <c r="C73" i="39"/>
  <c r="M14" i="34" s="1"/>
  <c r="K73" i="39"/>
  <c r="M14" i="33" s="1"/>
  <c r="S73" i="39"/>
  <c r="M14" i="35" s="1"/>
  <c r="AA73" i="39"/>
  <c r="D73" i="39"/>
  <c r="N14" i="34" s="1"/>
  <c r="L73" i="39"/>
  <c r="N14" i="33" s="1"/>
  <c r="T73" i="39"/>
  <c r="N14" i="35" s="1"/>
  <c r="AB73" i="39"/>
  <c r="E73" i="39"/>
  <c r="O14" i="34" s="1"/>
  <c r="M73" i="39"/>
  <c r="O14" i="33" s="1"/>
  <c r="U73" i="39"/>
  <c r="O14" i="35" s="1"/>
  <c r="AC73" i="39"/>
  <c r="F73" i="39"/>
  <c r="P14" i="34" s="1"/>
  <c r="N73" i="39"/>
  <c r="P14" i="33" s="1"/>
  <c r="V73" i="39"/>
  <c r="P14" i="35" s="1"/>
  <c r="AD73" i="39"/>
  <c r="G73" i="39"/>
  <c r="Q14" i="34" s="1"/>
  <c r="O73" i="39"/>
  <c r="Q14" i="33" s="1"/>
  <c r="W73" i="39"/>
  <c r="Q14" i="35" s="1"/>
  <c r="AE73" i="39"/>
  <c r="H73" i="39"/>
  <c r="R14" i="34" s="1"/>
  <c r="P73" i="39"/>
  <c r="R14" i="33" s="1"/>
  <c r="X73" i="39"/>
  <c r="R14" i="35" s="1"/>
  <c r="AF73" i="39"/>
  <c r="I73" i="39"/>
  <c r="S14" i="34" s="1"/>
  <c r="Q73" i="39"/>
  <c r="S14" i="33" s="1"/>
  <c r="Y73" i="39"/>
  <c r="S14" i="35" s="1"/>
  <c r="AG73" i="39"/>
  <c r="B74" i="39"/>
  <c r="L15" i="34" s="1"/>
  <c r="J74" i="39"/>
  <c r="L15" i="33" s="1"/>
  <c r="R74" i="39"/>
  <c r="L15" i="35" s="1"/>
  <c r="Z74" i="39"/>
  <c r="C74" i="39"/>
  <c r="M15" i="34" s="1"/>
  <c r="K74" i="39"/>
  <c r="M15" i="33" s="1"/>
  <c r="S74" i="39"/>
  <c r="M15" i="35" s="1"/>
  <c r="AA74" i="39"/>
  <c r="D74" i="39"/>
  <c r="N15" i="34" s="1"/>
  <c r="L74" i="39"/>
  <c r="N15" i="33" s="1"/>
  <c r="T74" i="39"/>
  <c r="N15" i="35" s="1"/>
  <c r="AB74" i="39"/>
  <c r="E74" i="39"/>
  <c r="O15" i="34" s="1"/>
  <c r="M74" i="39"/>
  <c r="O15" i="33" s="1"/>
  <c r="U74" i="39"/>
  <c r="O15" i="35" s="1"/>
  <c r="AC74" i="39"/>
  <c r="F74" i="39"/>
  <c r="P15" i="34" s="1"/>
  <c r="N74" i="39"/>
  <c r="P15" i="33" s="1"/>
  <c r="V74" i="39"/>
  <c r="P15" i="35" s="1"/>
  <c r="AD74" i="39"/>
  <c r="G74" i="39"/>
  <c r="Q15" i="34" s="1"/>
  <c r="O74" i="39"/>
  <c r="Q15" i="33" s="1"/>
  <c r="W74" i="39"/>
  <c r="Q15" i="35" s="1"/>
  <c r="AE74" i="39"/>
  <c r="H74" i="39"/>
  <c r="R15" i="34" s="1"/>
  <c r="P74" i="39"/>
  <c r="R15" i="33" s="1"/>
  <c r="X74" i="39"/>
  <c r="R15" i="35" s="1"/>
  <c r="AF74" i="39"/>
  <c r="I74" i="39"/>
  <c r="S15" i="34" s="1"/>
  <c r="Q74" i="39"/>
  <c r="S15" i="33" s="1"/>
  <c r="Y74" i="39"/>
  <c r="S15" i="35" s="1"/>
  <c r="AG74" i="39"/>
  <c r="B75" i="39"/>
  <c r="L16" i="34" s="1"/>
  <c r="J75" i="39"/>
  <c r="L16" i="33" s="1"/>
  <c r="R75" i="39"/>
  <c r="L16" i="35" s="1"/>
  <c r="Z75" i="39"/>
  <c r="C75" i="39"/>
  <c r="M16" i="34" s="1"/>
  <c r="K75" i="39"/>
  <c r="M16" i="33" s="1"/>
  <c r="S75" i="39"/>
  <c r="M16" i="35" s="1"/>
  <c r="AA75" i="39"/>
  <c r="D75" i="39"/>
  <c r="N16" i="34" s="1"/>
  <c r="L75" i="39"/>
  <c r="N16" i="33" s="1"/>
  <c r="T75" i="39"/>
  <c r="N16" i="35" s="1"/>
  <c r="AB75" i="39"/>
  <c r="E75" i="39"/>
  <c r="O16" i="34" s="1"/>
  <c r="M75" i="39"/>
  <c r="O16" i="33" s="1"/>
  <c r="U75" i="39"/>
  <c r="O16" i="35" s="1"/>
  <c r="AC75" i="39"/>
  <c r="F75" i="39"/>
  <c r="P16" i="34" s="1"/>
  <c r="N75" i="39"/>
  <c r="P16" i="33" s="1"/>
  <c r="V75" i="39"/>
  <c r="P16" i="35" s="1"/>
  <c r="AD75" i="39"/>
  <c r="G75" i="39"/>
  <c r="Q16" i="34" s="1"/>
  <c r="O75" i="39"/>
  <c r="Q16" i="33" s="1"/>
  <c r="W75" i="39"/>
  <c r="Q16" i="35" s="1"/>
  <c r="AE75" i="39"/>
  <c r="H75" i="39"/>
  <c r="R16" i="34" s="1"/>
  <c r="P75" i="39"/>
  <c r="R16" i="33" s="1"/>
  <c r="X75" i="39"/>
  <c r="R16" i="35" s="1"/>
  <c r="AF75" i="39"/>
  <c r="I75" i="39"/>
  <c r="S16" i="34" s="1"/>
  <c r="Q75" i="39"/>
  <c r="S16" i="33" s="1"/>
  <c r="Y75" i="39"/>
  <c r="S16" i="35" s="1"/>
  <c r="AG75" i="39"/>
  <c r="B76" i="39"/>
  <c r="L17" i="34" s="1"/>
  <c r="J76" i="39"/>
  <c r="L17" i="33" s="1"/>
  <c r="R76" i="39"/>
  <c r="L17" i="35" s="1"/>
  <c r="Z76" i="39"/>
  <c r="C76" i="39"/>
  <c r="M17" i="34" s="1"/>
  <c r="K76" i="39"/>
  <c r="M17" i="33" s="1"/>
  <c r="S76" i="39"/>
  <c r="M17" i="35" s="1"/>
  <c r="AA76" i="39"/>
  <c r="D76" i="39"/>
  <c r="N17" i="34" s="1"/>
  <c r="L76" i="39"/>
  <c r="N17" i="33" s="1"/>
  <c r="T76" i="39"/>
  <c r="N17" i="35" s="1"/>
  <c r="AB76" i="39"/>
  <c r="E76" i="39"/>
  <c r="O17" i="34" s="1"/>
  <c r="M76" i="39"/>
  <c r="O17" i="33" s="1"/>
  <c r="U76" i="39"/>
  <c r="O17" i="35" s="1"/>
  <c r="AC76" i="39"/>
  <c r="F76" i="39"/>
  <c r="P17" i="34" s="1"/>
  <c r="N76" i="39"/>
  <c r="P17" i="33" s="1"/>
  <c r="V76" i="39"/>
  <c r="P17" i="35" s="1"/>
  <c r="AD76" i="39"/>
  <c r="G76" i="39"/>
  <c r="Q17" i="34" s="1"/>
  <c r="O76" i="39"/>
  <c r="Q17" i="33" s="1"/>
  <c r="W76" i="39"/>
  <c r="Q17" i="35" s="1"/>
  <c r="AE76" i="39"/>
  <c r="H76" i="39"/>
  <c r="R17" i="34" s="1"/>
  <c r="P76" i="39"/>
  <c r="R17" i="33" s="1"/>
  <c r="X76" i="39"/>
  <c r="R17" i="35" s="1"/>
  <c r="AF76" i="39"/>
  <c r="I76" i="39"/>
  <c r="S17" i="34" s="1"/>
  <c r="Q76" i="39"/>
  <c r="S17" i="33" s="1"/>
  <c r="Y76" i="39"/>
  <c r="S17" i="35" s="1"/>
  <c r="AG76" i="39"/>
  <c r="B77" i="39"/>
  <c r="L18" i="34" s="1"/>
  <c r="J77" i="39"/>
  <c r="L18" i="33" s="1"/>
  <c r="R77" i="39"/>
  <c r="L18" i="35" s="1"/>
  <c r="Z77" i="39"/>
  <c r="C77" i="39"/>
  <c r="M18" i="34" s="1"/>
  <c r="K77" i="39"/>
  <c r="M18" i="33" s="1"/>
  <c r="S77" i="39"/>
  <c r="M18" i="35" s="1"/>
  <c r="AA77" i="39"/>
  <c r="D77" i="39"/>
  <c r="N18" i="34" s="1"/>
  <c r="L77" i="39"/>
  <c r="N18" i="33" s="1"/>
  <c r="T77" i="39"/>
  <c r="N18" i="35" s="1"/>
  <c r="AB77" i="39"/>
  <c r="E77" i="39"/>
  <c r="O18" i="34" s="1"/>
  <c r="M77" i="39"/>
  <c r="O18" i="33" s="1"/>
  <c r="U77" i="39"/>
  <c r="O18" i="35" s="1"/>
  <c r="AC77" i="39"/>
  <c r="F77" i="39"/>
  <c r="P18" i="34" s="1"/>
  <c r="N77" i="39"/>
  <c r="P18" i="33" s="1"/>
  <c r="V77" i="39"/>
  <c r="P18" i="35" s="1"/>
  <c r="AD77" i="39"/>
  <c r="G77" i="39"/>
  <c r="Q18" i="34" s="1"/>
  <c r="O77" i="39"/>
  <c r="Q18" i="33" s="1"/>
  <c r="W77" i="39"/>
  <c r="Q18" i="35" s="1"/>
  <c r="AE77" i="39"/>
  <c r="H77" i="39"/>
  <c r="R18" i="34" s="1"/>
  <c r="P77" i="39"/>
  <c r="R18" i="33" s="1"/>
  <c r="X77" i="39"/>
  <c r="R18" i="35" s="1"/>
  <c r="AF77" i="39"/>
  <c r="I77" i="39"/>
  <c r="S18" i="34" s="1"/>
  <c r="Q77" i="39"/>
  <c r="S18" i="33" s="1"/>
  <c r="Y77" i="39"/>
  <c r="S18" i="35" s="1"/>
  <c r="AG77" i="39"/>
  <c r="B78" i="39"/>
  <c r="L19" i="34" s="1"/>
  <c r="J78" i="39"/>
  <c r="L19" i="33" s="1"/>
  <c r="R78" i="39"/>
  <c r="L19" i="35" s="1"/>
  <c r="Z78" i="39"/>
  <c r="C78" i="39"/>
  <c r="M19" i="34" s="1"/>
  <c r="K78" i="39"/>
  <c r="M19" i="33" s="1"/>
  <c r="S78" i="39"/>
  <c r="M19" i="35" s="1"/>
  <c r="AA78" i="39"/>
  <c r="D78" i="39"/>
  <c r="N19" i="34" s="1"/>
  <c r="L78" i="39"/>
  <c r="N19" i="33" s="1"/>
  <c r="T78" i="39"/>
  <c r="N19" i="35" s="1"/>
  <c r="AB78" i="39"/>
  <c r="E78" i="39"/>
  <c r="O19" i="34" s="1"/>
  <c r="M78" i="39"/>
  <c r="O19" i="33" s="1"/>
  <c r="U78" i="39"/>
  <c r="O19" i="35" s="1"/>
  <c r="AC78" i="39"/>
  <c r="F78" i="39"/>
  <c r="P19" i="34" s="1"/>
  <c r="N78" i="39"/>
  <c r="P19" i="33" s="1"/>
  <c r="V78" i="39"/>
  <c r="P19" i="35" s="1"/>
  <c r="AD78" i="39"/>
  <c r="G78" i="39"/>
  <c r="Q19" i="34" s="1"/>
  <c r="O78" i="39"/>
  <c r="Q19" i="33" s="1"/>
  <c r="W78" i="39"/>
  <c r="Q19" i="35" s="1"/>
  <c r="AE78" i="39"/>
  <c r="H78" i="39"/>
  <c r="R19" i="34" s="1"/>
  <c r="P78" i="39"/>
  <c r="R19" i="33" s="1"/>
  <c r="X78" i="39"/>
  <c r="R19" i="35" s="1"/>
  <c r="AF78" i="39"/>
  <c r="I78" i="39"/>
  <c r="S19" i="34" s="1"/>
  <c r="Q78" i="39"/>
  <c r="S19" i="33" s="1"/>
  <c r="Y78" i="39"/>
  <c r="S19" i="35" s="1"/>
  <c r="AG78" i="39"/>
  <c r="B79" i="39"/>
  <c r="L20" i="34" s="1"/>
  <c r="J79" i="39"/>
  <c r="L20" i="33" s="1"/>
  <c r="R79" i="39"/>
  <c r="L20" i="35" s="1"/>
  <c r="Z79" i="39"/>
  <c r="C79" i="39"/>
  <c r="M20" i="34" s="1"/>
  <c r="K79" i="39"/>
  <c r="M20" i="33" s="1"/>
  <c r="S79" i="39"/>
  <c r="M20" i="35" s="1"/>
  <c r="AA79" i="39"/>
  <c r="D79" i="39"/>
  <c r="N20" i="34" s="1"/>
  <c r="L79" i="39"/>
  <c r="N20" i="33" s="1"/>
  <c r="T79" i="39"/>
  <c r="N20" i="35" s="1"/>
  <c r="AB79" i="39"/>
  <c r="E79" i="39"/>
  <c r="O20" i="34" s="1"/>
  <c r="M79" i="39"/>
  <c r="O20" i="33" s="1"/>
  <c r="U79" i="39"/>
  <c r="O20" i="35" s="1"/>
  <c r="AC79" i="39"/>
  <c r="F79" i="39"/>
  <c r="P20" i="34" s="1"/>
  <c r="N79" i="39"/>
  <c r="P20" i="33" s="1"/>
  <c r="V79" i="39"/>
  <c r="P20" i="35" s="1"/>
  <c r="AD79" i="39"/>
  <c r="G79" i="39"/>
  <c r="Q20" i="34" s="1"/>
  <c r="O79" i="39"/>
  <c r="Q20" i="33" s="1"/>
  <c r="W79" i="39"/>
  <c r="Q20" i="35" s="1"/>
  <c r="AE79" i="39"/>
  <c r="H79" i="39"/>
  <c r="R20" i="34" s="1"/>
  <c r="P79" i="39"/>
  <c r="R20" i="33" s="1"/>
  <c r="X79" i="39"/>
  <c r="R20" i="35" s="1"/>
  <c r="AF79" i="39"/>
  <c r="I79" i="39"/>
  <c r="S20" i="34" s="1"/>
  <c r="Q79" i="39"/>
  <c r="S20" i="33" s="1"/>
  <c r="Y79" i="39"/>
  <c r="S20" i="35" s="1"/>
  <c r="AG79" i="39"/>
  <c r="B80" i="39"/>
  <c r="L21" i="34" s="1"/>
  <c r="J80" i="39"/>
  <c r="L21" i="33" s="1"/>
  <c r="R80" i="39"/>
  <c r="L21" i="35" s="1"/>
  <c r="Z80" i="39"/>
  <c r="C80" i="39"/>
  <c r="M21" i="34" s="1"/>
  <c r="K80" i="39"/>
  <c r="M21" i="33" s="1"/>
  <c r="S80" i="39"/>
  <c r="M21" i="35" s="1"/>
  <c r="AA80" i="39"/>
  <c r="D80" i="39"/>
  <c r="N21" i="34" s="1"/>
  <c r="L80" i="39"/>
  <c r="N21" i="33" s="1"/>
  <c r="T80" i="39"/>
  <c r="N21" i="35" s="1"/>
  <c r="AB80" i="39"/>
  <c r="E80" i="39"/>
  <c r="O21" i="34" s="1"/>
  <c r="M80" i="39"/>
  <c r="O21" i="33" s="1"/>
  <c r="U80" i="39"/>
  <c r="O21" i="35" s="1"/>
  <c r="AC80" i="39"/>
  <c r="F80" i="39"/>
  <c r="P21" i="34" s="1"/>
  <c r="N80" i="39"/>
  <c r="P21" i="33" s="1"/>
  <c r="V80" i="39"/>
  <c r="P21" i="35" s="1"/>
  <c r="AD80" i="39"/>
  <c r="G80" i="39"/>
  <c r="Q21" i="34" s="1"/>
  <c r="O80" i="39"/>
  <c r="Q21" i="33" s="1"/>
  <c r="W80" i="39"/>
  <c r="Q21" i="35" s="1"/>
  <c r="AE80" i="39"/>
  <c r="H80" i="39"/>
  <c r="R21" i="34" s="1"/>
  <c r="P80" i="39"/>
  <c r="R21" i="33" s="1"/>
  <c r="X80" i="39"/>
  <c r="R21" i="35" s="1"/>
  <c r="AF80" i="39"/>
  <c r="I80" i="39"/>
  <c r="S21" i="34" s="1"/>
  <c r="Q80" i="39"/>
  <c r="S21" i="33" s="1"/>
  <c r="Y80" i="39"/>
  <c r="S21" i="35" s="1"/>
  <c r="AG80" i="39"/>
  <c r="B81" i="39"/>
  <c r="L22" i="34" s="1"/>
  <c r="J81" i="39"/>
  <c r="L22" i="33" s="1"/>
  <c r="R81" i="39"/>
  <c r="L22" i="35" s="1"/>
  <c r="Z81" i="39"/>
  <c r="C81" i="39"/>
  <c r="M22" i="34" s="1"/>
  <c r="K81" i="39"/>
  <c r="M22" i="33" s="1"/>
  <c r="S81" i="39"/>
  <c r="M22" i="35" s="1"/>
  <c r="AA81" i="39"/>
  <c r="D81" i="39"/>
  <c r="N22" i="34" s="1"/>
  <c r="L81" i="39"/>
  <c r="N22" i="33" s="1"/>
  <c r="T81" i="39"/>
  <c r="N22" i="35" s="1"/>
  <c r="AB81" i="39"/>
  <c r="E81" i="39"/>
  <c r="O22" i="34" s="1"/>
  <c r="M81" i="39"/>
  <c r="O22" i="33" s="1"/>
  <c r="U81" i="39"/>
  <c r="O22" i="35" s="1"/>
  <c r="AC81" i="39"/>
  <c r="F81" i="39"/>
  <c r="P22" i="34" s="1"/>
  <c r="N81" i="39"/>
  <c r="P22" i="33" s="1"/>
  <c r="V81" i="39"/>
  <c r="P22" i="35" s="1"/>
  <c r="AD81" i="39"/>
  <c r="G81" i="39"/>
  <c r="Q22" i="34" s="1"/>
  <c r="O81" i="39"/>
  <c r="Q22" i="33" s="1"/>
  <c r="W81" i="39"/>
  <c r="Q22" i="35" s="1"/>
  <c r="AE81" i="39"/>
  <c r="H81" i="39"/>
  <c r="R22" i="34" s="1"/>
  <c r="P81" i="39"/>
  <c r="R22" i="33" s="1"/>
  <c r="X81" i="39"/>
  <c r="R22" i="35" s="1"/>
  <c r="AF81" i="39"/>
  <c r="I81" i="39"/>
  <c r="S22" i="34" s="1"/>
  <c r="Q81" i="39"/>
  <c r="S22" i="33" s="1"/>
  <c r="Y81" i="39"/>
  <c r="S22" i="35" s="1"/>
  <c r="AG81" i="39"/>
  <c r="B82" i="39"/>
  <c r="L23" i="34" s="1"/>
  <c r="J82" i="39"/>
  <c r="L23" i="33" s="1"/>
  <c r="R82" i="39"/>
  <c r="L23" i="35" s="1"/>
  <c r="Z82" i="39"/>
  <c r="C82" i="39"/>
  <c r="M23" i="34" s="1"/>
  <c r="K82" i="39"/>
  <c r="M23" i="33" s="1"/>
  <c r="S82" i="39"/>
  <c r="M23" i="35" s="1"/>
  <c r="AA82" i="39"/>
  <c r="D82" i="39"/>
  <c r="N23" i="34" s="1"/>
  <c r="L82" i="39"/>
  <c r="N23" i="33" s="1"/>
  <c r="T82" i="39"/>
  <c r="N23" i="35" s="1"/>
  <c r="AB82" i="39"/>
  <c r="E82" i="39"/>
  <c r="O23" i="34" s="1"/>
  <c r="M82" i="39"/>
  <c r="O23" i="33" s="1"/>
  <c r="U82" i="39"/>
  <c r="O23" i="35" s="1"/>
  <c r="AC82" i="39"/>
  <c r="F82" i="39"/>
  <c r="P23" i="34" s="1"/>
  <c r="N82" i="39"/>
  <c r="P23" i="33" s="1"/>
  <c r="V82" i="39"/>
  <c r="P23" i="35" s="1"/>
  <c r="AD82" i="39"/>
  <c r="G82" i="39"/>
  <c r="Q23" i="34" s="1"/>
  <c r="O82" i="39"/>
  <c r="Q23" i="33" s="1"/>
  <c r="W82" i="39"/>
  <c r="Q23" i="35" s="1"/>
  <c r="AE82" i="39"/>
  <c r="H82" i="39"/>
  <c r="R23" i="34" s="1"/>
  <c r="P82" i="39"/>
  <c r="R23" i="33" s="1"/>
  <c r="X82" i="39"/>
  <c r="R23" i="35" s="1"/>
  <c r="AF82" i="39"/>
  <c r="I82" i="39"/>
  <c r="S23" i="34" s="1"/>
  <c r="Q82" i="39"/>
  <c r="S23" i="33" s="1"/>
  <c r="Y82" i="39"/>
  <c r="S23" i="35" s="1"/>
  <c r="AG82" i="39"/>
  <c r="B83" i="39"/>
  <c r="L24" i="34" s="1"/>
  <c r="J83" i="39"/>
  <c r="L24" i="33" s="1"/>
  <c r="R83" i="39"/>
  <c r="L24" i="35" s="1"/>
  <c r="Z83" i="39"/>
  <c r="C83" i="39"/>
  <c r="M24" i="34" s="1"/>
  <c r="K83" i="39"/>
  <c r="M24" i="33" s="1"/>
  <c r="S83" i="39"/>
  <c r="M24" i="35" s="1"/>
  <c r="AA83" i="39"/>
  <c r="D83" i="39"/>
  <c r="N24" i="34" s="1"/>
  <c r="L83" i="39"/>
  <c r="N24" i="33" s="1"/>
  <c r="T83" i="39"/>
  <c r="N24" i="35" s="1"/>
  <c r="AB83" i="39"/>
  <c r="E83" i="39"/>
  <c r="O24" i="34" s="1"/>
  <c r="M83" i="39"/>
  <c r="O24" i="33" s="1"/>
  <c r="U83" i="39"/>
  <c r="O24" i="35" s="1"/>
  <c r="AC83" i="39"/>
  <c r="F83" i="39"/>
  <c r="P24" i="34" s="1"/>
  <c r="N83" i="39"/>
  <c r="P24" i="33" s="1"/>
  <c r="V83" i="39"/>
  <c r="P24" i="35" s="1"/>
  <c r="AD83" i="39"/>
  <c r="G83" i="39"/>
  <c r="Q24" i="34" s="1"/>
  <c r="O83" i="39"/>
  <c r="Q24" i="33" s="1"/>
  <c r="W83" i="39"/>
  <c r="Q24" i="35" s="1"/>
  <c r="AE83" i="39"/>
  <c r="H83" i="39"/>
  <c r="R24" i="34" s="1"/>
  <c r="P83" i="39"/>
  <c r="R24" i="33" s="1"/>
  <c r="X83" i="39"/>
  <c r="R24" i="35" s="1"/>
  <c r="AF83" i="39"/>
  <c r="I83" i="39"/>
  <c r="S24" i="34" s="1"/>
  <c r="Q83" i="39"/>
  <c r="S24" i="33" s="1"/>
  <c r="Y83" i="39"/>
  <c r="S24" i="35" s="1"/>
  <c r="AG83" i="39"/>
  <c r="B84" i="39"/>
  <c r="L25" i="34" s="1"/>
  <c r="J84" i="39"/>
  <c r="L25" i="33" s="1"/>
  <c r="R84" i="39"/>
  <c r="L25" i="35" s="1"/>
  <c r="Z84" i="39"/>
  <c r="C84" i="39"/>
  <c r="M25" i="34" s="1"/>
  <c r="K84" i="39"/>
  <c r="M25" i="33" s="1"/>
  <c r="S84" i="39"/>
  <c r="M25" i="35" s="1"/>
  <c r="AA84" i="39"/>
  <c r="D84" i="39"/>
  <c r="N25" i="34" s="1"/>
  <c r="L84" i="39"/>
  <c r="N25" i="33" s="1"/>
  <c r="T84" i="39"/>
  <c r="N25" i="35" s="1"/>
  <c r="AB84" i="39"/>
  <c r="E84" i="39"/>
  <c r="O25" i="34" s="1"/>
  <c r="M84" i="39"/>
  <c r="O25" i="33" s="1"/>
  <c r="U84" i="39"/>
  <c r="O25" i="35" s="1"/>
  <c r="AC84" i="39"/>
  <c r="F84" i="39"/>
  <c r="P25" i="34" s="1"/>
  <c r="N84" i="39"/>
  <c r="P25" i="33" s="1"/>
  <c r="V84" i="39"/>
  <c r="P25" i="35" s="1"/>
  <c r="AD84" i="39"/>
  <c r="G84" i="39"/>
  <c r="Q25" i="34" s="1"/>
  <c r="O84" i="39"/>
  <c r="Q25" i="33" s="1"/>
  <c r="W84" i="39"/>
  <c r="Q25" i="35" s="1"/>
  <c r="AE84" i="39"/>
  <c r="H84" i="39"/>
  <c r="R25" i="34" s="1"/>
  <c r="P84" i="39"/>
  <c r="R25" i="33" s="1"/>
  <c r="X84" i="39"/>
  <c r="R25" i="35" s="1"/>
  <c r="AF84" i="39"/>
  <c r="I84" i="39"/>
  <c r="S25" i="34" s="1"/>
  <c r="Q84" i="39"/>
  <c r="S25" i="33" s="1"/>
  <c r="Y84" i="39"/>
  <c r="S25" i="35" s="1"/>
  <c r="AG84" i="39"/>
  <c r="B85" i="39"/>
  <c r="L26" i="34" s="1"/>
  <c r="J85" i="39"/>
  <c r="L26" i="33" s="1"/>
  <c r="R85" i="39"/>
  <c r="L26" i="35" s="1"/>
  <c r="Z85" i="39"/>
  <c r="C85" i="39"/>
  <c r="M26" i="34" s="1"/>
  <c r="K85" i="39"/>
  <c r="M26" i="33" s="1"/>
  <c r="S85" i="39"/>
  <c r="M26" i="35" s="1"/>
  <c r="AA85" i="39"/>
  <c r="D85" i="39"/>
  <c r="N26" i="34" s="1"/>
  <c r="L85" i="39"/>
  <c r="N26" i="33" s="1"/>
  <c r="T85" i="39"/>
  <c r="N26" i="35" s="1"/>
  <c r="AB85" i="39"/>
  <c r="E85" i="39"/>
  <c r="O26" i="34" s="1"/>
  <c r="M85" i="39"/>
  <c r="O26" i="33" s="1"/>
  <c r="U85" i="39"/>
  <c r="O26" i="35" s="1"/>
  <c r="AC85" i="39"/>
  <c r="F85" i="39"/>
  <c r="P26" i="34" s="1"/>
  <c r="N85" i="39"/>
  <c r="P26" i="33" s="1"/>
  <c r="V85" i="39"/>
  <c r="P26" i="35" s="1"/>
  <c r="AD85" i="39"/>
  <c r="G85" i="39"/>
  <c r="Q26" i="34" s="1"/>
  <c r="O85" i="39"/>
  <c r="Q26" i="33" s="1"/>
  <c r="W85" i="39"/>
  <c r="Q26" i="35" s="1"/>
  <c r="AE85" i="39"/>
  <c r="H85" i="39"/>
  <c r="R26" i="34" s="1"/>
  <c r="P85" i="39"/>
  <c r="R26" i="33" s="1"/>
  <c r="X85" i="39"/>
  <c r="R26" i="35" s="1"/>
  <c r="AF85" i="39"/>
  <c r="I85" i="39"/>
  <c r="S26" i="34" s="1"/>
  <c r="Q85" i="39"/>
  <c r="S26" i="33" s="1"/>
  <c r="Y85" i="39"/>
  <c r="S26" i="35" s="1"/>
  <c r="AG85" i="39"/>
  <c r="B86" i="39"/>
  <c r="L27" i="34" s="1"/>
  <c r="J86" i="39"/>
  <c r="L27" i="33" s="1"/>
  <c r="R86" i="39"/>
  <c r="L27" i="35" s="1"/>
  <c r="Z86" i="39"/>
  <c r="C86" i="39"/>
  <c r="M27" i="34" s="1"/>
  <c r="K86" i="39"/>
  <c r="M27" i="33" s="1"/>
  <c r="S86" i="39"/>
  <c r="M27" i="35" s="1"/>
  <c r="AA86" i="39"/>
  <c r="D86" i="39"/>
  <c r="N27" i="34" s="1"/>
  <c r="L86" i="39"/>
  <c r="N27" i="33" s="1"/>
  <c r="T86" i="39"/>
  <c r="N27" i="35" s="1"/>
  <c r="AB86" i="39"/>
  <c r="E86" i="39"/>
  <c r="O27" i="34" s="1"/>
  <c r="M86" i="39"/>
  <c r="O27" i="33" s="1"/>
  <c r="U86" i="39"/>
  <c r="O27" i="35" s="1"/>
  <c r="AC86" i="39"/>
  <c r="F86" i="39"/>
  <c r="P27" i="34" s="1"/>
  <c r="N86" i="39"/>
  <c r="P27" i="33" s="1"/>
  <c r="V86" i="39"/>
  <c r="P27" i="35" s="1"/>
  <c r="AD86" i="39"/>
  <c r="G86" i="39"/>
  <c r="Q27" i="34" s="1"/>
  <c r="O86" i="39"/>
  <c r="Q27" i="33" s="1"/>
  <c r="W86" i="39"/>
  <c r="Q27" i="35" s="1"/>
  <c r="AE86" i="39"/>
  <c r="H86" i="39"/>
  <c r="R27" i="34" s="1"/>
  <c r="P86" i="39"/>
  <c r="R27" i="33" s="1"/>
  <c r="X86" i="39"/>
  <c r="R27" i="35" s="1"/>
  <c r="AF86" i="39"/>
  <c r="I86" i="39"/>
  <c r="S27" i="34" s="1"/>
  <c r="Q86" i="39"/>
  <c r="S27" i="33" s="1"/>
  <c r="Y86" i="39"/>
  <c r="S27" i="35" s="1"/>
  <c r="AG86" i="39"/>
  <c r="B87" i="39"/>
  <c r="L28" i="34" s="1"/>
  <c r="J87" i="39"/>
  <c r="L28" i="33" s="1"/>
  <c r="R87" i="39"/>
  <c r="L28" i="35" s="1"/>
  <c r="Z87" i="39"/>
  <c r="C87" i="39"/>
  <c r="M28" i="34" s="1"/>
  <c r="K87" i="39"/>
  <c r="M28" i="33" s="1"/>
  <c r="S87" i="39"/>
  <c r="M28" i="35" s="1"/>
  <c r="AA87" i="39"/>
  <c r="D87" i="39"/>
  <c r="N28" i="34" s="1"/>
  <c r="L87" i="39"/>
  <c r="N28" i="33" s="1"/>
  <c r="T87" i="39"/>
  <c r="N28" i="35" s="1"/>
  <c r="AB87" i="39"/>
  <c r="E87" i="39"/>
  <c r="O28" i="34" s="1"/>
  <c r="M87" i="39"/>
  <c r="O28" i="33" s="1"/>
  <c r="U87" i="39"/>
  <c r="O28" i="35" s="1"/>
  <c r="AC87" i="39"/>
  <c r="F87" i="39"/>
  <c r="P28" i="34" s="1"/>
  <c r="N87" i="39"/>
  <c r="P28" i="33" s="1"/>
  <c r="V87" i="39"/>
  <c r="P28" i="35" s="1"/>
  <c r="AD87" i="39"/>
  <c r="G87" i="39"/>
  <c r="Q28" i="34" s="1"/>
  <c r="O87" i="39"/>
  <c r="Q28" i="33" s="1"/>
  <c r="W87" i="39"/>
  <c r="Q28" i="35" s="1"/>
  <c r="AE87" i="39"/>
  <c r="H87" i="39"/>
  <c r="R28" i="34" s="1"/>
  <c r="P87" i="39"/>
  <c r="R28" i="33" s="1"/>
  <c r="X87" i="39"/>
  <c r="R28" i="35" s="1"/>
  <c r="AF87" i="39"/>
  <c r="I87" i="39"/>
  <c r="S28" i="34" s="1"/>
  <c r="Q87" i="39"/>
  <c r="S28" i="33" s="1"/>
  <c r="Y87" i="39"/>
  <c r="S28" i="35" s="1"/>
  <c r="AG87" i="39"/>
  <c r="B88" i="39"/>
  <c r="L29" i="34" s="1"/>
  <c r="J88" i="39"/>
  <c r="L29" i="33" s="1"/>
  <c r="R88" i="39"/>
  <c r="L29" i="35" s="1"/>
  <c r="Z88" i="39"/>
  <c r="C88" i="39"/>
  <c r="M29" i="34" s="1"/>
  <c r="K88" i="39"/>
  <c r="M29" i="33" s="1"/>
  <c r="S88" i="39"/>
  <c r="M29" i="35" s="1"/>
  <c r="AA88" i="39"/>
  <c r="D88" i="39"/>
  <c r="N29" i="34" s="1"/>
  <c r="L88" i="39"/>
  <c r="N29" i="33" s="1"/>
  <c r="T88" i="39"/>
  <c r="N29" i="35" s="1"/>
  <c r="AB88" i="39"/>
  <c r="E88" i="39"/>
  <c r="O29" i="34" s="1"/>
  <c r="M88" i="39"/>
  <c r="O29" i="33" s="1"/>
  <c r="U88" i="39"/>
  <c r="O29" i="35" s="1"/>
  <c r="AC88" i="39"/>
  <c r="F88" i="39"/>
  <c r="P29" i="34" s="1"/>
  <c r="N88" i="39"/>
  <c r="P29" i="33" s="1"/>
  <c r="V88" i="39"/>
  <c r="P29" i="35" s="1"/>
  <c r="AD88" i="39"/>
  <c r="G88" i="39"/>
  <c r="Q29" i="34" s="1"/>
  <c r="O88" i="39"/>
  <c r="Q29" i="33" s="1"/>
  <c r="W88" i="39"/>
  <c r="Q29" i="35" s="1"/>
  <c r="AE88" i="39"/>
  <c r="H88" i="39"/>
  <c r="R29" i="34" s="1"/>
  <c r="P88" i="39"/>
  <c r="R29" i="33" s="1"/>
  <c r="X88" i="39"/>
  <c r="R29" i="35" s="1"/>
  <c r="AF88" i="39"/>
  <c r="I88" i="39"/>
  <c r="S29" i="34" s="1"/>
  <c r="Q88" i="39"/>
  <c r="S29" i="33" s="1"/>
  <c r="Y88" i="39"/>
  <c r="S29" i="35" s="1"/>
  <c r="AG88" i="39"/>
  <c r="B89" i="39"/>
  <c r="J89" i="39"/>
  <c r="R89" i="39"/>
  <c r="Z89" i="39"/>
  <c r="C89" i="39"/>
  <c r="K89" i="39"/>
  <c r="S89" i="39"/>
  <c r="AA89" i="39"/>
  <c r="D89" i="39"/>
  <c r="L89" i="39"/>
  <c r="T89" i="39"/>
  <c r="AB89" i="39"/>
  <c r="E89" i="39"/>
  <c r="M89" i="39"/>
  <c r="U89" i="39"/>
  <c r="AC89" i="39"/>
  <c r="F89" i="39"/>
  <c r="N89" i="39"/>
  <c r="V89" i="39"/>
  <c r="AD89" i="39"/>
  <c r="G89" i="39"/>
  <c r="O89" i="39"/>
  <c r="W89" i="39"/>
  <c r="AE89" i="39"/>
  <c r="H89" i="39"/>
  <c r="P89" i="39"/>
  <c r="X89" i="39"/>
  <c r="AF89" i="39"/>
  <c r="I89" i="39"/>
  <c r="Q89" i="39"/>
  <c r="Y89" i="39"/>
  <c r="AG89" i="39"/>
  <c r="B90" i="39"/>
  <c r="J90" i="39"/>
  <c r="R90" i="39"/>
  <c r="Z90" i="39"/>
  <c r="C90" i="39"/>
  <c r="K90" i="39"/>
  <c r="S90" i="39"/>
  <c r="AA90" i="39"/>
  <c r="D90" i="39"/>
  <c r="L90" i="39"/>
  <c r="T90" i="39"/>
  <c r="AB90" i="39"/>
  <c r="E90" i="39"/>
  <c r="M90" i="39"/>
  <c r="U90" i="39"/>
  <c r="AC90" i="39"/>
  <c r="F90" i="39"/>
  <c r="N90" i="39"/>
  <c r="V90" i="39"/>
  <c r="AD90" i="39"/>
  <c r="G90" i="39"/>
  <c r="O90" i="39"/>
  <c r="W90" i="39"/>
  <c r="AE90" i="39"/>
  <c r="H90" i="39"/>
  <c r="P90" i="39"/>
  <c r="X90" i="39"/>
  <c r="AF90" i="39"/>
  <c r="I90" i="39"/>
  <c r="Q90" i="39"/>
  <c r="Y90" i="39"/>
  <c r="AG90" i="39"/>
  <c r="B91" i="39"/>
  <c r="J91" i="39"/>
  <c r="R91" i="39"/>
  <c r="Z91" i="39"/>
  <c r="C91" i="39"/>
  <c r="K91" i="39"/>
  <c r="S91" i="39"/>
  <c r="AA91" i="39"/>
  <c r="D91" i="39"/>
  <c r="L91" i="39"/>
  <c r="T91" i="39"/>
  <c r="AB91" i="39"/>
  <c r="E91" i="39"/>
  <c r="M91" i="39"/>
  <c r="U91" i="39"/>
  <c r="AC91" i="39"/>
  <c r="F91" i="39"/>
  <c r="N91" i="39"/>
  <c r="V91" i="39"/>
  <c r="AD91" i="39"/>
  <c r="G91" i="39"/>
  <c r="O91" i="39"/>
  <c r="W91" i="39"/>
  <c r="AE91" i="39"/>
  <c r="H91" i="39"/>
  <c r="P91" i="39"/>
  <c r="X91" i="39"/>
  <c r="AF91" i="39"/>
  <c r="I91" i="39"/>
  <c r="Q91" i="39"/>
  <c r="Y91" i="39"/>
  <c r="AG91" i="39"/>
  <c r="B92" i="39"/>
  <c r="J92" i="39"/>
  <c r="R92" i="39"/>
  <c r="Z92" i="39"/>
  <c r="C92" i="39"/>
  <c r="K92" i="39"/>
  <c r="S92" i="39"/>
  <c r="AA92" i="39"/>
  <c r="D92" i="39"/>
  <c r="L92" i="39"/>
  <c r="T92" i="39"/>
  <c r="AB92" i="39"/>
  <c r="E92" i="39"/>
  <c r="M92" i="39"/>
  <c r="U92" i="39"/>
  <c r="AC92" i="39"/>
  <c r="F92" i="39"/>
  <c r="N92" i="39"/>
  <c r="V92" i="39"/>
  <c r="AD92" i="39"/>
  <c r="G92" i="39"/>
  <c r="O92" i="39"/>
  <c r="W92" i="39"/>
  <c r="AE92" i="39"/>
  <c r="H92" i="39"/>
  <c r="P92" i="39"/>
  <c r="X92" i="39"/>
  <c r="AF92" i="39"/>
  <c r="I92" i="39"/>
  <c r="Q92" i="39"/>
  <c r="Y92" i="39"/>
  <c r="AG92" i="39"/>
  <c r="R4" i="39"/>
  <c r="Z4" i="39"/>
  <c r="J4" i="39"/>
  <c r="B4" i="39"/>
  <c r="B5" i="38"/>
  <c r="J5" i="38"/>
  <c r="R5" i="38"/>
  <c r="Z5" i="38"/>
  <c r="C5" i="38"/>
  <c r="K5" i="38"/>
  <c r="S5" i="38"/>
  <c r="AA5" i="38"/>
  <c r="D5" i="38"/>
  <c r="L5" i="38"/>
  <c r="T5" i="38"/>
  <c r="AB5" i="38"/>
  <c r="E5" i="38"/>
  <c r="M5" i="38"/>
  <c r="U5" i="38"/>
  <c r="AC5" i="38"/>
  <c r="F5" i="38"/>
  <c r="N5" i="38"/>
  <c r="V5" i="38"/>
  <c r="AD5" i="38"/>
  <c r="G5" i="38"/>
  <c r="O5" i="38"/>
  <c r="W5" i="38"/>
  <c r="AE5" i="38"/>
  <c r="H5" i="38"/>
  <c r="P5" i="38"/>
  <c r="X5" i="38"/>
  <c r="AF5" i="38"/>
  <c r="I5" i="38"/>
  <c r="Q5" i="38"/>
  <c r="Y5" i="38"/>
  <c r="AG5" i="38"/>
  <c r="B6" i="38"/>
  <c r="J6" i="38"/>
  <c r="R6" i="38"/>
  <c r="Z6" i="38"/>
  <c r="C6" i="38"/>
  <c r="K6" i="38"/>
  <c r="S6" i="38"/>
  <c r="AA6" i="38"/>
  <c r="D6" i="38"/>
  <c r="L6" i="38"/>
  <c r="T6" i="38"/>
  <c r="AB6" i="38"/>
  <c r="E6" i="38"/>
  <c r="M6" i="38"/>
  <c r="U6" i="38"/>
  <c r="AC6" i="38"/>
  <c r="F6" i="38"/>
  <c r="N6" i="38"/>
  <c r="V6" i="38"/>
  <c r="AD6" i="38"/>
  <c r="G6" i="38"/>
  <c r="O6" i="38"/>
  <c r="W6" i="38"/>
  <c r="AE6" i="38"/>
  <c r="H6" i="38"/>
  <c r="P6" i="38"/>
  <c r="X6" i="38"/>
  <c r="AF6" i="38"/>
  <c r="I6" i="38"/>
  <c r="Q6" i="38"/>
  <c r="Y6" i="38"/>
  <c r="AG6" i="38"/>
  <c r="B7" i="38"/>
  <c r="J7" i="38"/>
  <c r="R7" i="38"/>
  <c r="Z7" i="38"/>
  <c r="C7" i="38"/>
  <c r="K7" i="38"/>
  <c r="S7" i="38"/>
  <c r="AA7" i="38"/>
  <c r="D7" i="38"/>
  <c r="L7" i="38"/>
  <c r="T7" i="38"/>
  <c r="AB7" i="38"/>
  <c r="E7" i="38"/>
  <c r="M7" i="38"/>
  <c r="U7" i="38"/>
  <c r="AC7" i="38"/>
  <c r="F7" i="38"/>
  <c r="N7" i="38"/>
  <c r="V7" i="38"/>
  <c r="AD7" i="38"/>
  <c r="G7" i="38"/>
  <c r="O7" i="38"/>
  <c r="W7" i="38"/>
  <c r="AE7" i="38"/>
  <c r="H7" i="38"/>
  <c r="P7" i="38"/>
  <c r="X7" i="38"/>
  <c r="AF7" i="38"/>
  <c r="I7" i="38"/>
  <c r="Q7" i="38"/>
  <c r="Y7" i="38"/>
  <c r="AG7" i="38"/>
  <c r="B8" i="38"/>
  <c r="J8" i="38"/>
  <c r="R8" i="38"/>
  <c r="Z8" i="38"/>
  <c r="C8" i="38"/>
  <c r="K8" i="38"/>
  <c r="S8" i="38"/>
  <c r="AA8" i="38"/>
  <c r="D8" i="38"/>
  <c r="L8" i="38"/>
  <c r="T8" i="38"/>
  <c r="AB8" i="38"/>
  <c r="E8" i="38"/>
  <c r="M8" i="38"/>
  <c r="U8" i="38"/>
  <c r="AC8" i="38"/>
  <c r="F8" i="38"/>
  <c r="N8" i="38"/>
  <c r="V8" i="38"/>
  <c r="AD8" i="38"/>
  <c r="G8" i="38"/>
  <c r="O8" i="38"/>
  <c r="W8" i="38"/>
  <c r="AE8" i="38"/>
  <c r="H8" i="38"/>
  <c r="P8" i="38"/>
  <c r="X8" i="38"/>
  <c r="AF8" i="38"/>
  <c r="I8" i="38"/>
  <c r="Q8" i="38"/>
  <c r="Y8" i="38"/>
  <c r="AG8" i="38"/>
  <c r="B9" i="38"/>
  <c r="J9" i="38"/>
  <c r="R9" i="38"/>
  <c r="Z9" i="38"/>
  <c r="C9" i="38"/>
  <c r="K9" i="38"/>
  <c r="S9" i="38"/>
  <c r="AA9" i="38"/>
  <c r="D9" i="38"/>
  <c r="L9" i="38"/>
  <c r="T9" i="38"/>
  <c r="AB9" i="38"/>
  <c r="E9" i="38"/>
  <c r="M9" i="38"/>
  <c r="U9" i="38"/>
  <c r="AC9" i="38"/>
  <c r="F9" i="38"/>
  <c r="N9" i="38"/>
  <c r="V9" i="38"/>
  <c r="AD9" i="38"/>
  <c r="G9" i="38"/>
  <c r="O9" i="38"/>
  <c r="W9" i="38"/>
  <c r="AE9" i="38"/>
  <c r="H9" i="38"/>
  <c r="P9" i="38"/>
  <c r="X9" i="38"/>
  <c r="AF9" i="38"/>
  <c r="I9" i="38"/>
  <c r="Q9" i="38"/>
  <c r="Y9" i="38"/>
  <c r="AG9" i="38"/>
  <c r="B10" i="38"/>
  <c r="J10" i="38"/>
  <c r="R10" i="38"/>
  <c r="Z10" i="38"/>
  <c r="C10" i="38"/>
  <c r="K10" i="38"/>
  <c r="S10" i="38"/>
  <c r="AA10" i="38"/>
  <c r="D10" i="38"/>
  <c r="L10" i="38"/>
  <c r="T10" i="38"/>
  <c r="AB10" i="38"/>
  <c r="E10" i="38"/>
  <c r="M10" i="38"/>
  <c r="U10" i="38"/>
  <c r="AC10" i="38"/>
  <c r="F10" i="38"/>
  <c r="N10" i="38"/>
  <c r="V10" i="38"/>
  <c r="AD10" i="38"/>
  <c r="G10" i="38"/>
  <c r="O10" i="38"/>
  <c r="W10" i="38"/>
  <c r="AE10" i="38"/>
  <c r="H10" i="38"/>
  <c r="P10" i="38"/>
  <c r="X10" i="38"/>
  <c r="AF10" i="38"/>
  <c r="I10" i="38"/>
  <c r="Q10" i="38"/>
  <c r="Y10" i="38"/>
  <c r="AG10" i="38"/>
  <c r="B11" i="38"/>
  <c r="J11" i="38"/>
  <c r="R11" i="38"/>
  <c r="Z11" i="38"/>
  <c r="C11" i="38"/>
  <c r="K11" i="38"/>
  <c r="S11" i="38"/>
  <c r="AA11" i="38"/>
  <c r="D11" i="38"/>
  <c r="L11" i="38"/>
  <c r="T11" i="38"/>
  <c r="AB11" i="38"/>
  <c r="E11" i="38"/>
  <c r="M11" i="38"/>
  <c r="U11" i="38"/>
  <c r="AC11" i="38"/>
  <c r="F11" i="38"/>
  <c r="N11" i="38"/>
  <c r="V11" i="38"/>
  <c r="AD11" i="38"/>
  <c r="G11" i="38"/>
  <c r="O11" i="38"/>
  <c r="W11" i="38"/>
  <c r="AE11" i="38"/>
  <c r="H11" i="38"/>
  <c r="P11" i="38"/>
  <c r="X11" i="38"/>
  <c r="AF11" i="38"/>
  <c r="I11" i="38"/>
  <c r="Q11" i="38"/>
  <c r="Y11" i="38"/>
  <c r="AG11" i="38"/>
  <c r="B12" i="38"/>
  <c r="J12" i="38"/>
  <c r="R12" i="38"/>
  <c r="Z12" i="38"/>
  <c r="C12" i="38"/>
  <c r="K12" i="38"/>
  <c r="S12" i="38"/>
  <c r="AA12" i="38"/>
  <c r="D12" i="38"/>
  <c r="L12" i="38"/>
  <c r="T12" i="38"/>
  <c r="AB12" i="38"/>
  <c r="E12" i="38"/>
  <c r="M12" i="38"/>
  <c r="U12" i="38"/>
  <c r="AC12" i="38"/>
  <c r="F12" i="38"/>
  <c r="N12" i="38"/>
  <c r="V12" i="38"/>
  <c r="AD12" i="38"/>
  <c r="G12" i="38"/>
  <c r="O12" i="38"/>
  <c r="W12" i="38"/>
  <c r="AE12" i="38"/>
  <c r="H12" i="38"/>
  <c r="P12" i="38"/>
  <c r="X12" i="38"/>
  <c r="AF12" i="38"/>
  <c r="I12" i="38"/>
  <c r="Q12" i="38"/>
  <c r="Y12" i="38"/>
  <c r="AG12" i="38"/>
  <c r="B13" i="38"/>
  <c r="J13" i="38"/>
  <c r="R13" i="38"/>
  <c r="Z13" i="38"/>
  <c r="C13" i="38"/>
  <c r="K13" i="38"/>
  <c r="S13" i="38"/>
  <c r="AA13" i="38"/>
  <c r="D13" i="38"/>
  <c r="L13" i="38"/>
  <c r="T13" i="38"/>
  <c r="AB13" i="38"/>
  <c r="E13" i="38"/>
  <c r="M13" i="38"/>
  <c r="U13" i="38"/>
  <c r="AC13" i="38"/>
  <c r="F13" i="38"/>
  <c r="N13" i="38"/>
  <c r="V13" i="38"/>
  <c r="AD13" i="38"/>
  <c r="G13" i="38"/>
  <c r="O13" i="38"/>
  <c r="W13" i="38"/>
  <c r="AE13" i="38"/>
  <c r="H13" i="38"/>
  <c r="P13" i="38"/>
  <c r="X13" i="38"/>
  <c r="AF13" i="38"/>
  <c r="I13" i="38"/>
  <c r="Q13" i="38"/>
  <c r="Y13" i="38"/>
  <c r="AG13" i="38"/>
  <c r="B14" i="38"/>
  <c r="J14" i="38"/>
  <c r="R14" i="38"/>
  <c r="Z14" i="38"/>
  <c r="C14" i="38"/>
  <c r="K14" i="38"/>
  <c r="S14" i="38"/>
  <c r="AA14" i="38"/>
  <c r="D14" i="38"/>
  <c r="L14" i="38"/>
  <c r="T14" i="38"/>
  <c r="AB14" i="38"/>
  <c r="E14" i="38"/>
  <c r="M14" i="38"/>
  <c r="U14" i="38"/>
  <c r="AC14" i="38"/>
  <c r="F14" i="38"/>
  <c r="N14" i="38"/>
  <c r="V14" i="38"/>
  <c r="AD14" i="38"/>
  <c r="G14" i="38"/>
  <c r="O14" i="38"/>
  <c r="W14" i="38"/>
  <c r="AE14" i="38"/>
  <c r="H14" i="38"/>
  <c r="P14" i="38"/>
  <c r="X14" i="38"/>
  <c r="AF14" i="38"/>
  <c r="I14" i="38"/>
  <c r="Q14" i="38"/>
  <c r="Y14" i="38"/>
  <c r="AG14" i="38"/>
  <c r="B15" i="38"/>
  <c r="J15" i="38"/>
  <c r="R15" i="38"/>
  <c r="Z15" i="38"/>
  <c r="C15" i="38"/>
  <c r="K15" i="38"/>
  <c r="S15" i="38"/>
  <c r="AA15" i="38"/>
  <c r="D15" i="38"/>
  <c r="L15" i="38"/>
  <c r="T15" i="38"/>
  <c r="AB15" i="38"/>
  <c r="E15" i="38"/>
  <c r="M15" i="38"/>
  <c r="U15" i="38"/>
  <c r="AC15" i="38"/>
  <c r="F15" i="38"/>
  <c r="N15" i="38"/>
  <c r="V15" i="38"/>
  <c r="AD15" i="38"/>
  <c r="G15" i="38"/>
  <c r="O15" i="38"/>
  <c r="W15" i="38"/>
  <c r="AE15" i="38"/>
  <c r="H15" i="38"/>
  <c r="P15" i="38"/>
  <c r="X15" i="38"/>
  <c r="AF15" i="38"/>
  <c r="I15" i="38"/>
  <c r="Q15" i="38"/>
  <c r="Y15" i="38"/>
  <c r="AG15" i="38"/>
  <c r="B16" i="38"/>
  <c r="J16" i="38"/>
  <c r="R16" i="38"/>
  <c r="Z16" i="38"/>
  <c r="C16" i="38"/>
  <c r="K16" i="38"/>
  <c r="S16" i="38"/>
  <c r="AA16" i="38"/>
  <c r="D16" i="38"/>
  <c r="L16" i="38"/>
  <c r="T16" i="38"/>
  <c r="AB16" i="38"/>
  <c r="E16" i="38"/>
  <c r="M16" i="38"/>
  <c r="U16" i="38"/>
  <c r="AC16" i="38"/>
  <c r="F16" i="38"/>
  <c r="N16" i="38"/>
  <c r="V16" i="38"/>
  <c r="AD16" i="38"/>
  <c r="G16" i="38"/>
  <c r="O16" i="38"/>
  <c r="W16" i="38"/>
  <c r="AE16" i="38"/>
  <c r="H16" i="38"/>
  <c r="P16" i="38"/>
  <c r="X16" i="38"/>
  <c r="AF16" i="38"/>
  <c r="I16" i="38"/>
  <c r="Q16" i="38"/>
  <c r="Y16" i="38"/>
  <c r="AG16" i="38"/>
  <c r="B17" i="38"/>
  <c r="J17" i="38"/>
  <c r="R17" i="38"/>
  <c r="Z17" i="38"/>
  <c r="C17" i="38"/>
  <c r="K17" i="38"/>
  <c r="S17" i="38"/>
  <c r="AA17" i="38"/>
  <c r="D17" i="38"/>
  <c r="L17" i="38"/>
  <c r="T17" i="38"/>
  <c r="AB17" i="38"/>
  <c r="E17" i="38"/>
  <c r="M17" i="38"/>
  <c r="U17" i="38"/>
  <c r="AC17" i="38"/>
  <c r="F17" i="38"/>
  <c r="N17" i="38"/>
  <c r="V17" i="38"/>
  <c r="AD17" i="38"/>
  <c r="G17" i="38"/>
  <c r="O17" i="38"/>
  <c r="W17" i="38"/>
  <c r="AE17" i="38"/>
  <c r="H17" i="38"/>
  <c r="P17" i="38"/>
  <c r="X17" i="38"/>
  <c r="AF17" i="38"/>
  <c r="I17" i="38"/>
  <c r="Q17" i="38"/>
  <c r="Y17" i="38"/>
  <c r="AG17" i="38"/>
  <c r="B18" i="38"/>
  <c r="J18" i="38"/>
  <c r="R18" i="38"/>
  <c r="Z18" i="38"/>
  <c r="C18" i="38"/>
  <c r="K18" i="38"/>
  <c r="S18" i="38"/>
  <c r="AA18" i="38"/>
  <c r="D18" i="38"/>
  <c r="L18" i="38"/>
  <c r="T18" i="38"/>
  <c r="AB18" i="38"/>
  <c r="E18" i="38"/>
  <c r="M18" i="38"/>
  <c r="U18" i="38"/>
  <c r="AC18" i="38"/>
  <c r="F18" i="38"/>
  <c r="N18" i="38"/>
  <c r="V18" i="38"/>
  <c r="AD18" i="38"/>
  <c r="G18" i="38"/>
  <c r="O18" i="38"/>
  <c r="W18" i="38"/>
  <c r="AE18" i="38"/>
  <c r="H18" i="38"/>
  <c r="P18" i="38"/>
  <c r="X18" i="38"/>
  <c r="AF18" i="38"/>
  <c r="I18" i="38"/>
  <c r="Q18" i="38"/>
  <c r="Y18" i="38"/>
  <c r="AG18" i="38"/>
  <c r="B19" i="38"/>
  <c r="J19" i="38"/>
  <c r="R19" i="38"/>
  <c r="Z19" i="38"/>
  <c r="C19" i="38"/>
  <c r="K19" i="38"/>
  <c r="S19" i="38"/>
  <c r="AA19" i="38"/>
  <c r="D19" i="38"/>
  <c r="L19" i="38"/>
  <c r="T19" i="38"/>
  <c r="AB19" i="38"/>
  <c r="E19" i="38"/>
  <c r="M19" i="38"/>
  <c r="U19" i="38"/>
  <c r="AC19" i="38"/>
  <c r="F19" i="38"/>
  <c r="N19" i="38"/>
  <c r="V19" i="38"/>
  <c r="AD19" i="38"/>
  <c r="G19" i="38"/>
  <c r="O19" i="38"/>
  <c r="W19" i="38"/>
  <c r="AE19" i="38"/>
  <c r="H19" i="38"/>
  <c r="P19" i="38"/>
  <c r="X19" i="38"/>
  <c r="AF19" i="38"/>
  <c r="I19" i="38"/>
  <c r="Q19" i="38"/>
  <c r="Y19" i="38"/>
  <c r="AG19" i="38"/>
  <c r="B20" i="38"/>
  <c r="J20" i="38"/>
  <c r="R20" i="38"/>
  <c r="Z20" i="38"/>
  <c r="C20" i="38"/>
  <c r="K20" i="38"/>
  <c r="S20" i="38"/>
  <c r="AA20" i="38"/>
  <c r="D20" i="38"/>
  <c r="L20" i="38"/>
  <c r="T20" i="38"/>
  <c r="AB20" i="38"/>
  <c r="E20" i="38"/>
  <c r="M20" i="38"/>
  <c r="U20" i="38"/>
  <c r="AC20" i="38"/>
  <c r="F20" i="38"/>
  <c r="N20" i="38"/>
  <c r="V20" i="38"/>
  <c r="AD20" i="38"/>
  <c r="G20" i="38"/>
  <c r="O20" i="38"/>
  <c r="W20" i="38"/>
  <c r="AE20" i="38"/>
  <c r="H20" i="38"/>
  <c r="P20" i="38"/>
  <c r="X20" i="38"/>
  <c r="AF20" i="38"/>
  <c r="I20" i="38"/>
  <c r="Q20" i="38"/>
  <c r="Y20" i="38"/>
  <c r="AG20" i="38"/>
  <c r="B21" i="38"/>
  <c r="J21" i="38"/>
  <c r="R21" i="38"/>
  <c r="Z21" i="38"/>
  <c r="C21" i="38"/>
  <c r="K21" i="38"/>
  <c r="S21" i="38"/>
  <c r="AA21" i="38"/>
  <c r="D21" i="38"/>
  <c r="L21" i="38"/>
  <c r="T21" i="38"/>
  <c r="AB21" i="38"/>
  <c r="E21" i="38"/>
  <c r="M21" i="38"/>
  <c r="U21" i="38"/>
  <c r="AC21" i="38"/>
  <c r="F21" i="38"/>
  <c r="N21" i="38"/>
  <c r="V21" i="38"/>
  <c r="AD21" i="38"/>
  <c r="G21" i="38"/>
  <c r="O21" i="38"/>
  <c r="W21" i="38"/>
  <c r="AE21" i="38"/>
  <c r="H21" i="38"/>
  <c r="P21" i="38"/>
  <c r="X21" i="38"/>
  <c r="AF21" i="38"/>
  <c r="I21" i="38"/>
  <c r="Q21" i="38"/>
  <c r="Y21" i="38"/>
  <c r="AG21" i="38"/>
  <c r="B22" i="38"/>
  <c r="J22" i="38"/>
  <c r="R22" i="38"/>
  <c r="Z22" i="38"/>
  <c r="C22" i="38"/>
  <c r="K22" i="38"/>
  <c r="S22" i="38"/>
  <c r="AA22" i="38"/>
  <c r="D22" i="38"/>
  <c r="L22" i="38"/>
  <c r="T22" i="38"/>
  <c r="AB22" i="38"/>
  <c r="E22" i="38"/>
  <c r="M22" i="38"/>
  <c r="U22" i="38"/>
  <c r="AC22" i="38"/>
  <c r="F22" i="38"/>
  <c r="N22" i="38"/>
  <c r="V22" i="38"/>
  <c r="AD22" i="38"/>
  <c r="G22" i="38"/>
  <c r="O22" i="38"/>
  <c r="W22" i="38"/>
  <c r="AE22" i="38"/>
  <c r="H22" i="38"/>
  <c r="P22" i="38"/>
  <c r="X22" i="38"/>
  <c r="AF22" i="38"/>
  <c r="I22" i="38"/>
  <c r="Q22" i="38"/>
  <c r="Y22" i="38"/>
  <c r="AG22" i="38"/>
  <c r="B23" i="38"/>
  <c r="J23" i="38"/>
  <c r="R23" i="38"/>
  <c r="Z23" i="38"/>
  <c r="C23" i="38"/>
  <c r="K23" i="38"/>
  <c r="S23" i="38"/>
  <c r="AA23" i="38"/>
  <c r="D23" i="38"/>
  <c r="L23" i="38"/>
  <c r="T23" i="38"/>
  <c r="AB23" i="38"/>
  <c r="E23" i="38"/>
  <c r="M23" i="38"/>
  <c r="U23" i="38"/>
  <c r="AC23" i="38"/>
  <c r="F23" i="38"/>
  <c r="N23" i="38"/>
  <c r="V23" i="38"/>
  <c r="AD23" i="38"/>
  <c r="G23" i="38"/>
  <c r="O23" i="38"/>
  <c r="W23" i="38"/>
  <c r="AE23" i="38"/>
  <c r="H23" i="38"/>
  <c r="P23" i="38"/>
  <c r="X23" i="38"/>
  <c r="AF23" i="38"/>
  <c r="I23" i="38"/>
  <c r="Q23" i="38"/>
  <c r="Y23" i="38"/>
  <c r="AG23" i="38"/>
  <c r="B24" i="38"/>
  <c r="J24" i="38"/>
  <c r="R24" i="38"/>
  <c r="Z24" i="38"/>
  <c r="C24" i="38"/>
  <c r="K24" i="38"/>
  <c r="S24" i="38"/>
  <c r="AA24" i="38"/>
  <c r="D24" i="38"/>
  <c r="L24" i="38"/>
  <c r="T24" i="38"/>
  <c r="AB24" i="38"/>
  <c r="E24" i="38"/>
  <c r="M24" i="38"/>
  <c r="U24" i="38"/>
  <c r="AC24" i="38"/>
  <c r="F24" i="38"/>
  <c r="N24" i="38"/>
  <c r="V24" i="38"/>
  <c r="AD24" i="38"/>
  <c r="G24" i="38"/>
  <c r="O24" i="38"/>
  <c r="W24" i="38"/>
  <c r="AE24" i="38"/>
  <c r="H24" i="38"/>
  <c r="P24" i="38"/>
  <c r="X24" i="38"/>
  <c r="AF24" i="38"/>
  <c r="I24" i="38"/>
  <c r="Q24" i="38"/>
  <c r="Y24" i="38"/>
  <c r="AG24" i="38"/>
  <c r="B25" i="38"/>
  <c r="J25" i="38"/>
  <c r="R25" i="38"/>
  <c r="Z25" i="38"/>
  <c r="C25" i="38"/>
  <c r="K25" i="38"/>
  <c r="S25" i="38"/>
  <c r="AA25" i="38"/>
  <c r="D25" i="38"/>
  <c r="L25" i="38"/>
  <c r="T25" i="38"/>
  <c r="AB25" i="38"/>
  <c r="E25" i="38"/>
  <c r="M25" i="38"/>
  <c r="U25" i="38"/>
  <c r="AC25" i="38"/>
  <c r="F25" i="38"/>
  <c r="N25" i="38"/>
  <c r="V25" i="38"/>
  <c r="AD25" i="38"/>
  <c r="G25" i="38"/>
  <c r="O25" i="38"/>
  <c r="W25" i="38"/>
  <c r="AE25" i="38"/>
  <c r="H25" i="38"/>
  <c r="P25" i="38"/>
  <c r="X25" i="38"/>
  <c r="AF25" i="38"/>
  <c r="I25" i="38"/>
  <c r="Q25" i="38"/>
  <c r="Y25" i="38"/>
  <c r="AG25" i="38"/>
  <c r="B26" i="38"/>
  <c r="J26" i="38"/>
  <c r="R26" i="38"/>
  <c r="Z26" i="38"/>
  <c r="C26" i="38"/>
  <c r="K26" i="38"/>
  <c r="S26" i="38"/>
  <c r="AA26" i="38"/>
  <c r="D26" i="38"/>
  <c r="L26" i="38"/>
  <c r="T26" i="38"/>
  <c r="AB26" i="38"/>
  <c r="E26" i="38"/>
  <c r="M26" i="38"/>
  <c r="U26" i="38"/>
  <c r="AC26" i="38"/>
  <c r="F26" i="38"/>
  <c r="N26" i="38"/>
  <c r="V26" i="38"/>
  <c r="AD26" i="38"/>
  <c r="G26" i="38"/>
  <c r="O26" i="38"/>
  <c r="W26" i="38"/>
  <c r="AE26" i="38"/>
  <c r="H26" i="38"/>
  <c r="P26" i="38"/>
  <c r="X26" i="38"/>
  <c r="AF26" i="38"/>
  <c r="I26" i="38"/>
  <c r="Q26" i="38"/>
  <c r="Y26" i="38"/>
  <c r="AG26" i="38"/>
  <c r="B27" i="38"/>
  <c r="J27" i="38"/>
  <c r="R27" i="38"/>
  <c r="Z27" i="38"/>
  <c r="C27" i="38"/>
  <c r="K27" i="38"/>
  <c r="S27" i="38"/>
  <c r="AA27" i="38"/>
  <c r="D27" i="38"/>
  <c r="L27" i="38"/>
  <c r="T27" i="38"/>
  <c r="AB27" i="38"/>
  <c r="E27" i="38"/>
  <c r="M27" i="38"/>
  <c r="U27" i="38"/>
  <c r="AC27" i="38"/>
  <c r="F27" i="38"/>
  <c r="N27" i="38"/>
  <c r="V27" i="38"/>
  <c r="AD27" i="38"/>
  <c r="G27" i="38"/>
  <c r="O27" i="38"/>
  <c r="W27" i="38"/>
  <c r="AE27" i="38"/>
  <c r="H27" i="38"/>
  <c r="P27" i="38"/>
  <c r="X27" i="38"/>
  <c r="AF27" i="38"/>
  <c r="I27" i="38"/>
  <c r="Q27" i="38"/>
  <c r="Y27" i="38"/>
  <c r="AG27" i="38"/>
  <c r="B28" i="38"/>
  <c r="J28" i="38"/>
  <c r="R28" i="38"/>
  <c r="Z28" i="38"/>
  <c r="C28" i="38"/>
  <c r="K28" i="38"/>
  <c r="S28" i="38"/>
  <c r="AA28" i="38"/>
  <c r="D28" i="38"/>
  <c r="L28" i="38"/>
  <c r="T28" i="38"/>
  <c r="AB28" i="38"/>
  <c r="E28" i="38"/>
  <c r="M28" i="38"/>
  <c r="U28" i="38"/>
  <c r="AC28" i="38"/>
  <c r="F28" i="38"/>
  <c r="N28" i="38"/>
  <c r="V28" i="38"/>
  <c r="AD28" i="38"/>
  <c r="G28" i="38"/>
  <c r="O28" i="38"/>
  <c r="W28" i="38"/>
  <c r="AE28" i="38"/>
  <c r="H28" i="38"/>
  <c r="P28" i="38"/>
  <c r="X28" i="38"/>
  <c r="AF28" i="38"/>
  <c r="I28" i="38"/>
  <c r="Q28" i="38"/>
  <c r="Y28" i="38"/>
  <c r="AG28" i="38"/>
  <c r="B29" i="38"/>
  <c r="J29" i="38"/>
  <c r="R29" i="38"/>
  <c r="Z29" i="38"/>
  <c r="C29" i="38"/>
  <c r="K29" i="38"/>
  <c r="S29" i="38"/>
  <c r="AA29" i="38"/>
  <c r="D29" i="38"/>
  <c r="L29" i="38"/>
  <c r="T29" i="38"/>
  <c r="AB29" i="38"/>
  <c r="E29" i="38"/>
  <c r="M29" i="38"/>
  <c r="U29" i="38"/>
  <c r="AC29" i="38"/>
  <c r="F29" i="38"/>
  <c r="N29" i="38"/>
  <c r="V29" i="38"/>
  <c r="AD29" i="38"/>
  <c r="G29" i="38"/>
  <c r="O29" i="38"/>
  <c r="W29" i="38"/>
  <c r="AE29" i="38"/>
  <c r="H29" i="38"/>
  <c r="P29" i="38"/>
  <c r="X29" i="38"/>
  <c r="AF29" i="38"/>
  <c r="I29" i="38"/>
  <c r="Q29" i="38"/>
  <c r="Y29" i="38"/>
  <c r="AG29" i="38"/>
  <c r="B30" i="38"/>
  <c r="J30" i="38"/>
  <c r="R30" i="38"/>
  <c r="Z30" i="38"/>
  <c r="C30" i="38"/>
  <c r="K30" i="38"/>
  <c r="S30" i="38"/>
  <c r="AA30" i="38"/>
  <c r="D30" i="38"/>
  <c r="L30" i="38"/>
  <c r="T30" i="38"/>
  <c r="AB30" i="38"/>
  <c r="E30" i="38"/>
  <c r="M30" i="38"/>
  <c r="U30" i="38"/>
  <c r="AC30" i="38"/>
  <c r="F30" i="38"/>
  <c r="N30" i="38"/>
  <c r="V30" i="38"/>
  <c r="AD30" i="38"/>
  <c r="G30" i="38"/>
  <c r="O30" i="38"/>
  <c r="W30" i="38"/>
  <c r="AE30" i="38"/>
  <c r="H30" i="38"/>
  <c r="P30" i="38"/>
  <c r="X30" i="38"/>
  <c r="AF30" i="38"/>
  <c r="I30" i="38"/>
  <c r="Q30" i="38"/>
  <c r="Y30" i="38"/>
  <c r="AG30" i="38"/>
  <c r="B31" i="38"/>
  <c r="J31" i="38"/>
  <c r="R31" i="38"/>
  <c r="Z31" i="38"/>
  <c r="C31" i="38"/>
  <c r="K31" i="38"/>
  <c r="S31" i="38"/>
  <c r="AA31" i="38"/>
  <c r="D31" i="38"/>
  <c r="L31" i="38"/>
  <c r="T31" i="38"/>
  <c r="AB31" i="38"/>
  <c r="E31" i="38"/>
  <c r="M31" i="38"/>
  <c r="U31" i="38"/>
  <c r="AC31" i="38"/>
  <c r="F31" i="38"/>
  <c r="N31" i="38"/>
  <c r="V31" i="38"/>
  <c r="AD31" i="38"/>
  <c r="G31" i="38"/>
  <c r="O31" i="38"/>
  <c r="W31" i="38"/>
  <c r="AE31" i="38"/>
  <c r="H31" i="38"/>
  <c r="P31" i="38"/>
  <c r="X31" i="38"/>
  <c r="AF31" i="38"/>
  <c r="I31" i="38"/>
  <c r="Q31" i="38"/>
  <c r="Y31" i="38"/>
  <c r="AG31" i="38"/>
  <c r="B32" i="38"/>
  <c r="J32" i="38"/>
  <c r="R32" i="38"/>
  <c r="Z32" i="38"/>
  <c r="C32" i="38"/>
  <c r="K32" i="38"/>
  <c r="S32" i="38"/>
  <c r="AA32" i="38"/>
  <c r="D32" i="38"/>
  <c r="L32" i="38"/>
  <c r="T32" i="38"/>
  <c r="AB32" i="38"/>
  <c r="E32" i="38"/>
  <c r="M32" i="38"/>
  <c r="U32" i="38"/>
  <c r="AC32" i="38"/>
  <c r="F32" i="38"/>
  <c r="N32" i="38"/>
  <c r="V32" i="38"/>
  <c r="AD32" i="38"/>
  <c r="G32" i="38"/>
  <c r="O32" i="38"/>
  <c r="W32" i="38"/>
  <c r="AE32" i="38"/>
  <c r="H32" i="38"/>
  <c r="P32" i="38"/>
  <c r="X32" i="38"/>
  <c r="AF32" i="38"/>
  <c r="I32" i="38"/>
  <c r="Q32" i="38"/>
  <c r="Y32" i="38"/>
  <c r="AG32" i="38"/>
  <c r="B33" i="38"/>
  <c r="B2" i="28" s="1"/>
  <c r="J33" i="38"/>
  <c r="B2" i="29" s="1"/>
  <c r="R33" i="38"/>
  <c r="B2" i="30" s="1"/>
  <c r="Z33" i="38"/>
  <c r="B2" i="31" s="1"/>
  <c r="C33" i="38"/>
  <c r="C2" i="28" s="1"/>
  <c r="K33" i="38"/>
  <c r="C2" i="29" s="1"/>
  <c r="S33" i="38"/>
  <c r="C2" i="30" s="1"/>
  <c r="AA33" i="38"/>
  <c r="C2" i="31" s="1"/>
  <c r="D33" i="38"/>
  <c r="D2" i="28" s="1"/>
  <c r="L33" i="38"/>
  <c r="D2" i="29" s="1"/>
  <c r="T33" i="38"/>
  <c r="D2" i="30" s="1"/>
  <c r="AB33" i="38"/>
  <c r="D2" i="31" s="1"/>
  <c r="E33" i="38"/>
  <c r="E2" i="28" s="1"/>
  <c r="M33" i="38"/>
  <c r="E2" i="29" s="1"/>
  <c r="U33" i="38"/>
  <c r="E2" i="30" s="1"/>
  <c r="AC33" i="38"/>
  <c r="E2" i="31" s="1"/>
  <c r="F33" i="38"/>
  <c r="F2" i="28" s="1"/>
  <c r="N33" i="38"/>
  <c r="F2" i="29" s="1"/>
  <c r="V33" i="38"/>
  <c r="F2" i="30" s="1"/>
  <c r="AD33" i="38"/>
  <c r="F2" i="31" s="1"/>
  <c r="G33" i="38"/>
  <c r="G2" i="28" s="1"/>
  <c r="O33" i="38"/>
  <c r="G2" i="29" s="1"/>
  <c r="W33" i="38"/>
  <c r="G2" i="30" s="1"/>
  <c r="AE33" i="38"/>
  <c r="G2" i="31" s="1"/>
  <c r="H33" i="38"/>
  <c r="H2" i="28" s="1"/>
  <c r="P33" i="38"/>
  <c r="H2" i="29" s="1"/>
  <c r="X33" i="38"/>
  <c r="H2" i="30" s="1"/>
  <c r="AF33" i="38"/>
  <c r="H2" i="31" s="1"/>
  <c r="I33" i="38"/>
  <c r="I2" i="28" s="1"/>
  <c r="Q33" i="38"/>
  <c r="I2" i="29" s="1"/>
  <c r="Y33" i="38"/>
  <c r="I2" i="30" s="1"/>
  <c r="AG33" i="38"/>
  <c r="I2" i="31" s="1"/>
  <c r="B34" i="38"/>
  <c r="B3" i="28" s="1"/>
  <c r="J34" i="38"/>
  <c r="B3" i="29" s="1"/>
  <c r="R34" i="38"/>
  <c r="B3" i="30" s="1"/>
  <c r="Z34" i="38"/>
  <c r="B3" i="31" s="1"/>
  <c r="C34" i="38"/>
  <c r="C3" i="28" s="1"/>
  <c r="K34" i="38"/>
  <c r="C3" i="29" s="1"/>
  <c r="S34" i="38"/>
  <c r="C3" i="30" s="1"/>
  <c r="AA34" i="38"/>
  <c r="C3" i="31" s="1"/>
  <c r="D34" i="38"/>
  <c r="D3" i="28" s="1"/>
  <c r="L34" i="38"/>
  <c r="D3" i="29" s="1"/>
  <c r="T34" i="38"/>
  <c r="D3" i="30" s="1"/>
  <c r="AB34" i="38"/>
  <c r="D3" i="31" s="1"/>
  <c r="E34" i="38"/>
  <c r="E3" i="28" s="1"/>
  <c r="M34" i="38"/>
  <c r="E3" i="29" s="1"/>
  <c r="U34" i="38"/>
  <c r="E3" i="30" s="1"/>
  <c r="AC34" i="38"/>
  <c r="E3" i="31" s="1"/>
  <c r="F34" i="38"/>
  <c r="F3" i="28" s="1"/>
  <c r="N34" i="38"/>
  <c r="F3" i="29" s="1"/>
  <c r="V34" i="38"/>
  <c r="F3" i="30" s="1"/>
  <c r="AD34" i="38"/>
  <c r="F3" i="31" s="1"/>
  <c r="G34" i="38"/>
  <c r="G3" i="28" s="1"/>
  <c r="O34" i="38"/>
  <c r="G3" i="29" s="1"/>
  <c r="W34" i="38"/>
  <c r="G3" i="30" s="1"/>
  <c r="AE34" i="38"/>
  <c r="G3" i="31" s="1"/>
  <c r="H34" i="38"/>
  <c r="H3" i="28" s="1"/>
  <c r="P34" i="38"/>
  <c r="H3" i="29" s="1"/>
  <c r="X34" i="38"/>
  <c r="H3" i="30" s="1"/>
  <c r="AF34" i="38"/>
  <c r="H3" i="31" s="1"/>
  <c r="I34" i="38"/>
  <c r="I3" i="28" s="1"/>
  <c r="Q34" i="38"/>
  <c r="I3" i="29" s="1"/>
  <c r="Y34" i="38"/>
  <c r="I3" i="30" s="1"/>
  <c r="AG34" i="38"/>
  <c r="I3" i="31" s="1"/>
  <c r="B35" i="38"/>
  <c r="B4" i="28" s="1"/>
  <c r="J35" i="38"/>
  <c r="B4" i="29" s="1"/>
  <c r="R35" i="38"/>
  <c r="B4" i="30" s="1"/>
  <c r="Z35" i="38"/>
  <c r="B4" i="31" s="1"/>
  <c r="C35" i="38"/>
  <c r="C4" i="28" s="1"/>
  <c r="K35" i="38"/>
  <c r="C4" i="29" s="1"/>
  <c r="S35" i="38"/>
  <c r="C4" i="30" s="1"/>
  <c r="AA35" i="38"/>
  <c r="C4" i="31" s="1"/>
  <c r="D35" i="38"/>
  <c r="D4" i="28" s="1"/>
  <c r="L35" i="38"/>
  <c r="D4" i="29" s="1"/>
  <c r="T35" i="38"/>
  <c r="D4" i="30" s="1"/>
  <c r="AB35" i="38"/>
  <c r="D4" i="31" s="1"/>
  <c r="E35" i="38"/>
  <c r="E4" i="28" s="1"/>
  <c r="M35" i="38"/>
  <c r="E4" i="29" s="1"/>
  <c r="U35" i="38"/>
  <c r="E4" i="30" s="1"/>
  <c r="AC35" i="38"/>
  <c r="E4" i="31" s="1"/>
  <c r="F35" i="38"/>
  <c r="F4" i="28" s="1"/>
  <c r="N35" i="38"/>
  <c r="F4" i="29" s="1"/>
  <c r="V35" i="38"/>
  <c r="F4" i="30" s="1"/>
  <c r="AD35" i="38"/>
  <c r="F4" i="31" s="1"/>
  <c r="G35" i="38"/>
  <c r="G4" i="28" s="1"/>
  <c r="O35" i="38"/>
  <c r="G4" i="29" s="1"/>
  <c r="W35" i="38"/>
  <c r="G4" i="30" s="1"/>
  <c r="AE35" i="38"/>
  <c r="G4" i="31" s="1"/>
  <c r="H35" i="38"/>
  <c r="H4" i="28" s="1"/>
  <c r="P35" i="38"/>
  <c r="H4" i="29" s="1"/>
  <c r="X35" i="38"/>
  <c r="H4" i="30" s="1"/>
  <c r="AF35" i="38"/>
  <c r="H4" i="31" s="1"/>
  <c r="I35" i="38"/>
  <c r="I4" i="28" s="1"/>
  <c r="Q35" i="38"/>
  <c r="I4" i="29" s="1"/>
  <c r="Y35" i="38"/>
  <c r="I4" i="30" s="1"/>
  <c r="AG35" i="38"/>
  <c r="I4" i="31" s="1"/>
  <c r="B36" i="38"/>
  <c r="B5" i="28" s="1"/>
  <c r="J36" i="38"/>
  <c r="B5" i="29" s="1"/>
  <c r="R36" i="38"/>
  <c r="B5" i="30" s="1"/>
  <c r="Z36" i="38"/>
  <c r="B5" i="31" s="1"/>
  <c r="C36" i="38"/>
  <c r="C5" i="28" s="1"/>
  <c r="K36" i="38"/>
  <c r="C5" i="29" s="1"/>
  <c r="S36" i="38"/>
  <c r="C5" i="30" s="1"/>
  <c r="AA36" i="38"/>
  <c r="C5" i="31" s="1"/>
  <c r="D36" i="38"/>
  <c r="D5" i="28" s="1"/>
  <c r="L36" i="38"/>
  <c r="D5" i="29" s="1"/>
  <c r="T36" i="38"/>
  <c r="D5" i="30" s="1"/>
  <c r="AB36" i="38"/>
  <c r="D5" i="31" s="1"/>
  <c r="E36" i="38"/>
  <c r="E5" i="28" s="1"/>
  <c r="M36" i="38"/>
  <c r="E5" i="29" s="1"/>
  <c r="U36" i="38"/>
  <c r="E5" i="30" s="1"/>
  <c r="AC36" i="38"/>
  <c r="E5" i="31" s="1"/>
  <c r="F36" i="38"/>
  <c r="F5" i="28" s="1"/>
  <c r="N36" i="38"/>
  <c r="F5" i="29" s="1"/>
  <c r="V36" i="38"/>
  <c r="F5" i="30" s="1"/>
  <c r="AD36" i="38"/>
  <c r="F5" i="31" s="1"/>
  <c r="G36" i="38"/>
  <c r="G5" i="28" s="1"/>
  <c r="O36" i="38"/>
  <c r="G5" i="29" s="1"/>
  <c r="W36" i="38"/>
  <c r="G5" i="30" s="1"/>
  <c r="AE36" i="38"/>
  <c r="G5" i="31" s="1"/>
  <c r="H36" i="38"/>
  <c r="H5" i="28" s="1"/>
  <c r="P36" i="38"/>
  <c r="H5" i="29" s="1"/>
  <c r="X36" i="38"/>
  <c r="H5" i="30" s="1"/>
  <c r="AF36" i="38"/>
  <c r="H5" i="31" s="1"/>
  <c r="I36" i="38"/>
  <c r="I5" i="28" s="1"/>
  <c r="Q36" i="38"/>
  <c r="I5" i="29" s="1"/>
  <c r="Y36" i="38"/>
  <c r="I5" i="30" s="1"/>
  <c r="AG36" i="38"/>
  <c r="I5" i="31" s="1"/>
  <c r="B37" i="38"/>
  <c r="B6" i="28" s="1"/>
  <c r="J37" i="38"/>
  <c r="B6" i="29" s="1"/>
  <c r="R37" i="38"/>
  <c r="B6" i="30" s="1"/>
  <c r="Z37" i="38"/>
  <c r="B6" i="31" s="1"/>
  <c r="C37" i="38"/>
  <c r="C6" i="28" s="1"/>
  <c r="K37" i="38"/>
  <c r="C6" i="29" s="1"/>
  <c r="S37" i="38"/>
  <c r="C6" i="30" s="1"/>
  <c r="AA37" i="38"/>
  <c r="C6" i="31" s="1"/>
  <c r="D37" i="38"/>
  <c r="D6" i="28" s="1"/>
  <c r="L37" i="38"/>
  <c r="D6" i="29" s="1"/>
  <c r="T37" i="38"/>
  <c r="D6" i="30" s="1"/>
  <c r="AB37" i="38"/>
  <c r="D6" i="31" s="1"/>
  <c r="E37" i="38"/>
  <c r="E6" i="28" s="1"/>
  <c r="M37" i="38"/>
  <c r="E6" i="29" s="1"/>
  <c r="U37" i="38"/>
  <c r="E6" i="30" s="1"/>
  <c r="AC37" i="38"/>
  <c r="E6" i="31" s="1"/>
  <c r="F37" i="38"/>
  <c r="F6" i="28" s="1"/>
  <c r="N37" i="38"/>
  <c r="F6" i="29" s="1"/>
  <c r="V37" i="38"/>
  <c r="F6" i="30" s="1"/>
  <c r="AD37" i="38"/>
  <c r="F6" i="31" s="1"/>
  <c r="G37" i="38"/>
  <c r="G6" i="28" s="1"/>
  <c r="O37" i="38"/>
  <c r="G6" i="29" s="1"/>
  <c r="W37" i="38"/>
  <c r="G6" i="30" s="1"/>
  <c r="AE37" i="38"/>
  <c r="G6" i="31" s="1"/>
  <c r="H37" i="38"/>
  <c r="H6" i="28" s="1"/>
  <c r="P37" i="38"/>
  <c r="H6" i="29" s="1"/>
  <c r="X37" i="38"/>
  <c r="H6" i="30" s="1"/>
  <c r="AF37" i="38"/>
  <c r="H6" i="31" s="1"/>
  <c r="I37" i="38"/>
  <c r="I6" i="28" s="1"/>
  <c r="Q37" i="38"/>
  <c r="I6" i="29" s="1"/>
  <c r="Y37" i="38"/>
  <c r="I6" i="30" s="1"/>
  <c r="AG37" i="38"/>
  <c r="I6" i="31" s="1"/>
  <c r="B38" i="38"/>
  <c r="B7" i="28" s="1"/>
  <c r="J38" i="38"/>
  <c r="B7" i="29" s="1"/>
  <c r="R38" i="38"/>
  <c r="B7" i="30" s="1"/>
  <c r="Z38" i="38"/>
  <c r="B7" i="31" s="1"/>
  <c r="C38" i="38"/>
  <c r="C7" i="28" s="1"/>
  <c r="K38" i="38"/>
  <c r="C7" i="29" s="1"/>
  <c r="S38" i="38"/>
  <c r="C7" i="30" s="1"/>
  <c r="AA38" i="38"/>
  <c r="C7" i="31" s="1"/>
  <c r="D38" i="38"/>
  <c r="D7" i="28" s="1"/>
  <c r="L38" i="38"/>
  <c r="D7" i="29" s="1"/>
  <c r="T38" i="38"/>
  <c r="D7" i="30" s="1"/>
  <c r="AB38" i="38"/>
  <c r="D7" i="31" s="1"/>
  <c r="E38" i="38"/>
  <c r="E7" i="28" s="1"/>
  <c r="M38" i="38"/>
  <c r="E7" i="29" s="1"/>
  <c r="U38" i="38"/>
  <c r="E7" i="30" s="1"/>
  <c r="AC38" i="38"/>
  <c r="E7" i="31" s="1"/>
  <c r="F38" i="38"/>
  <c r="F7" i="28" s="1"/>
  <c r="N38" i="38"/>
  <c r="F7" i="29" s="1"/>
  <c r="V38" i="38"/>
  <c r="F7" i="30" s="1"/>
  <c r="AD38" i="38"/>
  <c r="F7" i="31" s="1"/>
  <c r="G38" i="38"/>
  <c r="G7" i="28" s="1"/>
  <c r="O38" i="38"/>
  <c r="G7" i="29" s="1"/>
  <c r="W38" i="38"/>
  <c r="G7" i="30" s="1"/>
  <c r="AE38" i="38"/>
  <c r="G7" i="31" s="1"/>
  <c r="H38" i="38"/>
  <c r="H7" i="28" s="1"/>
  <c r="P38" i="38"/>
  <c r="H7" i="29" s="1"/>
  <c r="X38" i="38"/>
  <c r="H7" i="30" s="1"/>
  <c r="AF38" i="38"/>
  <c r="H7" i="31" s="1"/>
  <c r="I38" i="38"/>
  <c r="I7" i="28" s="1"/>
  <c r="Q38" i="38"/>
  <c r="I7" i="29" s="1"/>
  <c r="Y38" i="38"/>
  <c r="I7" i="30" s="1"/>
  <c r="AG38" i="38"/>
  <c r="I7" i="31" s="1"/>
  <c r="B39" i="38"/>
  <c r="B8" i="28" s="1"/>
  <c r="J39" i="38"/>
  <c r="B8" i="29" s="1"/>
  <c r="R39" i="38"/>
  <c r="B8" i="30" s="1"/>
  <c r="Z39" i="38"/>
  <c r="B8" i="31" s="1"/>
  <c r="C39" i="38"/>
  <c r="C8" i="28" s="1"/>
  <c r="K39" i="38"/>
  <c r="C8" i="29" s="1"/>
  <c r="S39" i="38"/>
  <c r="C8" i="30" s="1"/>
  <c r="AA39" i="38"/>
  <c r="C8" i="31" s="1"/>
  <c r="D39" i="38"/>
  <c r="D8" i="28" s="1"/>
  <c r="L39" i="38"/>
  <c r="D8" i="29" s="1"/>
  <c r="T39" i="38"/>
  <c r="D8" i="30" s="1"/>
  <c r="AB39" i="38"/>
  <c r="D8" i="31" s="1"/>
  <c r="E39" i="38"/>
  <c r="E8" i="28" s="1"/>
  <c r="M39" i="38"/>
  <c r="E8" i="29" s="1"/>
  <c r="U39" i="38"/>
  <c r="E8" i="30" s="1"/>
  <c r="AC39" i="38"/>
  <c r="E8" i="31" s="1"/>
  <c r="F39" i="38"/>
  <c r="F8" i="28" s="1"/>
  <c r="N39" i="38"/>
  <c r="F8" i="29" s="1"/>
  <c r="V39" i="38"/>
  <c r="F8" i="30" s="1"/>
  <c r="AD39" i="38"/>
  <c r="F8" i="31" s="1"/>
  <c r="G39" i="38"/>
  <c r="G8" i="28" s="1"/>
  <c r="O39" i="38"/>
  <c r="G8" i="29" s="1"/>
  <c r="W39" i="38"/>
  <c r="G8" i="30" s="1"/>
  <c r="AE39" i="38"/>
  <c r="G8" i="31" s="1"/>
  <c r="H39" i="38"/>
  <c r="H8" i="28" s="1"/>
  <c r="P39" i="38"/>
  <c r="H8" i="29" s="1"/>
  <c r="X39" i="38"/>
  <c r="H8" i="30" s="1"/>
  <c r="AF39" i="38"/>
  <c r="H8" i="31" s="1"/>
  <c r="I39" i="38"/>
  <c r="I8" i="28" s="1"/>
  <c r="Q39" i="38"/>
  <c r="I8" i="29" s="1"/>
  <c r="Y39" i="38"/>
  <c r="I8" i="30" s="1"/>
  <c r="AG39" i="38"/>
  <c r="I8" i="31" s="1"/>
  <c r="B40" i="38"/>
  <c r="B9" i="28" s="1"/>
  <c r="J40" i="38"/>
  <c r="B9" i="29" s="1"/>
  <c r="R40" i="38"/>
  <c r="B9" i="30" s="1"/>
  <c r="Z40" i="38"/>
  <c r="B9" i="31" s="1"/>
  <c r="C40" i="38"/>
  <c r="C9" i="28" s="1"/>
  <c r="K40" i="38"/>
  <c r="C9" i="29" s="1"/>
  <c r="S40" i="38"/>
  <c r="C9" i="30" s="1"/>
  <c r="AA40" i="38"/>
  <c r="C9" i="31" s="1"/>
  <c r="D40" i="38"/>
  <c r="D9" i="28" s="1"/>
  <c r="L40" i="38"/>
  <c r="D9" i="29" s="1"/>
  <c r="T40" i="38"/>
  <c r="D9" i="30" s="1"/>
  <c r="AB40" i="38"/>
  <c r="D9" i="31" s="1"/>
  <c r="E40" i="38"/>
  <c r="E9" i="28" s="1"/>
  <c r="M40" i="38"/>
  <c r="E9" i="29" s="1"/>
  <c r="U40" i="38"/>
  <c r="E9" i="30" s="1"/>
  <c r="AC40" i="38"/>
  <c r="E9" i="31" s="1"/>
  <c r="F40" i="38"/>
  <c r="F9" i="28" s="1"/>
  <c r="N40" i="38"/>
  <c r="F9" i="29" s="1"/>
  <c r="V40" i="38"/>
  <c r="F9" i="30" s="1"/>
  <c r="AD40" i="38"/>
  <c r="F9" i="31" s="1"/>
  <c r="G40" i="38"/>
  <c r="G9" i="28" s="1"/>
  <c r="O40" i="38"/>
  <c r="G9" i="29" s="1"/>
  <c r="W40" i="38"/>
  <c r="G9" i="30" s="1"/>
  <c r="AE40" i="38"/>
  <c r="G9" i="31" s="1"/>
  <c r="H40" i="38"/>
  <c r="H9" i="28" s="1"/>
  <c r="P40" i="38"/>
  <c r="H9" i="29" s="1"/>
  <c r="X40" i="38"/>
  <c r="H9" i="30" s="1"/>
  <c r="AF40" i="38"/>
  <c r="H9" i="31" s="1"/>
  <c r="I40" i="38"/>
  <c r="I9" i="28" s="1"/>
  <c r="Q40" i="38"/>
  <c r="I9" i="29" s="1"/>
  <c r="Y40" i="38"/>
  <c r="I9" i="30" s="1"/>
  <c r="AG40" i="38"/>
  <c r="I9" i="31" s="1"/>
  <c r="B41" i="38"/>
  <c r="B10" i="28" s="1"/>
  <c r="J41" i="38"/>
  <c r="B10" i="29" s="1"/>
  <c r="R41" i="38"/>
  <c r="B10" i="30" s="1"/>
  <c r="Z41" i="38"/>
  <c r="B10" i="31" s="1"/>
  <c r="C41" i="38"/>
  <c r="C10" i="28" s="1"/>
  <c r="K41" i="38"/>
  <c r="C10" i="29" s="1"/>
  <c r="S41" i="38"/>
  <c r="C10" i="30" s="1"/>
  <c r="AA41" i="38"/>
  <c r="C10" i="31" s="1"/>
  <c r="D41" i="38"/>
  <c r="D10" i="28" s="1"/>
  <c r="L41" i="38"/>
  <c r="D10" i="29" s="1"/>
  <c r="T41" i="38"/>
  <c r="D10" i="30" s="1"/>
  <c r="AB41" i="38"/>
  <c r="D10" i="31" s="1"/>
  <c r="E41" i="38"/>
  <c r="E10" i="28" s="1"/>
  <c r="M41" i="38"/>
  <c r="E10" i="29" s="1"/>
  <c r="U41" i="38"/>
  <c r="E10" i="30" s="1"/>
  <c r="AC41" i="38"/>
  <c r="E10" i="31" s="1"/>
  <c r="F41" i="38"/>
  <c r="F10" i="28" s="1"/>
  <c r="N41" i="38"/>
  <c r="F10" i="29" s="1"/>
  <c r="V41" i="38"/>
  <c r="F10" i="30" s="1"/>
  <c r="AD41" i="38"/>
  <c r="F10" i="31" s="1"/>
  <c r="G41" i="38"/>
  <c r="G10" i="28" s="1"/>
  <c r="O41" i="38"/>
  <c r="G10" i="29" s="1"/>
  <c r="W41" i="38"/>
  <c r="G10" i="30" s="1"/>
  <c r="AE41" i="38"/>
  <c r="G10" i="31" s="1"/>
  <c r="H41" i="38"/>
  <c r="H10" i="28" s="1"/>
  <c r="P41" i="38"/>
  <c r="H10" i="29" s="1"/>
  <c r="X41" i="38"/>
  <c r="H10" i="30" s="1"/>
  <c r="AF41" i="38"/>
  <c r="H10" i="31" s="1"/>
  <c r="I41" i="38"/>
  <c r="I10" i="28" s="1"/>
  <c r="Q41" i="38"/>
  <c r="I10" i="29" s="1"/>
  <c r="Y41" i="38"/>
  <c r="I10" i="30" s="1"/>
  <c r="AG41" i="38"/>
  <c r="I10" i="31" s="1"/>
  <c r="B42" i="38"/>
  <c r="B11" i="28" s="1"/>
  <c r="J42" i="38"/>
  <c r="B11" i="29" s="1"/>
  <c r="R42" i="38"/>
  <c r="B11" i="30" s="1"/>
  <c r="Z42" i="38"/>
  <c r="B11" i="31" s="1"/>
  <c r="C42" i="38"/>
  <c r="C11" i="28" s="1"/>
  <c r="K42" i="38"/>
  <c r="C11" i="29" s="1"/>
  <c r="S42" i="38"/>
  <c r="C11" i="30" s="1"/>
  <c r="AA42" i="38"/>
  <c r="C11" i="31" s="1"/>
  <c r="D42" i="38"/>
  <c r="D11" i="28" s="1"/>
  <c r="L42" i="38"/>
  <c r="D11" i="29" s="1"/>
  <c r="T42" i="38"/>
  <c r="D11" i="30" s="1"/>
  <c r="AB42" i="38"/>
  <c r="D11" i="31" s="1"/>
  <c r="E42" i="38"/>
  <c r="E11" i="28" s="1"/>
  <c r="M42" i="38"/>
  <c r="E11" i="29" s="1"/>
  <c r="U42" i="38"/>
  <c r="E11" i="30" s="1"/>
  <c r="AC42" i="38"/>
  <c r="E11" i="31" s="1"/>
  <c r="F42" i="38"/>
  <c r="F11" i="28" s="1"/>
  <c r="N42" i="38"/>
  <c r="F11" i="29" s="1"/>
  <c r="V42" i="38"/>
  <c r="F11" i="30" s="1"/>
  <c r="AD42" i="38"/>
  <c r="F11" i="31" s="1"/>
  <c r="G42" i="38"/>
  <c r="G11" i="28" s="1"/>
  <c r="O42" i="38"/>
  <c r="G11" i="29" s="1"/>
  <c r="W42" i="38"/>
  <c r="G11" i="30" s="1"/>
  <c r="AE42" i="38"/>
  <c r="G11" i="31" s="1"/>
  <c r="H42" i="38"/>
  <c r="H11" i="28" s="1"/>
  <c r="P42" i="38"/>
  <c r="H11" i="29" s="1"/>
  <c r="X42" i="38"/>
  <c r="H11" i="30" s="1"/>
  <c r="AF42" i="38"/>
  <c r="H11" i="31" s="1"/>
  <c r="I42" i="38"/>
  <c r="I11" i="28" s="1"/>
  <c r="Q42" i="38"/>
  <c r="I11" i="29" s="1"/>
  <c r="Y42" i="38"/>
  <c r="I11" i="30" s="1"/>
  <c r="AG42" i="38"/>
  <c r="I11" i="31" s="1"/>
  <c r="B43" i="38"/>
  <c r="B12" i="28" s="1"/>
  <c r="J43" i="38"/>
  <c r="B12" i="29" s="1"/>
  <c r="R43" i="38"/>
  <c r="B12" i="30" s="1"/>
  <c r="Z43" i="38"/>
  <c r="B12" i="31" s="1"/>
  <c r="C43" i="38"/>
  <c r="C12" i="28" s="1"/>
  <c r="K43" i="38"/>
  <c r="C12" i="29" s="1"/>
  <c r="S43" i="38"/>
  <c r="C12" i="30" s="1"/>
  <c r="AA43" i="38"/>
  <c r="C12" i="31" s="1"/>
  <c r="D43" i="38"/>
  <c r="D12" i="28" s="1"/>
  <c r="L43" i="38"/>
  <c r="D12" i="29" s="1"/>
  <c r="T43" i="38"/>
  <c r="D12" i="30" s="1"/>
  <c r="AB43" i="38"/>
  <c r="D12" i="31" s="1"/>
  <c r="E43" i="38"/>
  <c r="E12" i="28" s="1"/>
  <c r="M43" i="38"/>
  <c r="E12" i="29" s="1"/>
  <c r="U43" i="38"/>
  <c r="E12" i="30" s="1"/>
  <c r="AC43" i="38"/>
  <c r="E12" i="31" s="1"/>
  <c r="F43" i="38"/>
  <c r="F12" i="28" s="1"/>
  <c r="N43" i="38"/>
  <c r="F12" i="29" s="1"/>
  <c r="V43" i="38"/>
  <c r="F12" i="30" s="1"/>
  <c r="AD43" i="38"/>
  <c r="F12" i="31" s="1"/>
  <c r="G43" i="38"/>
  <c r="G12" i="28" s="1"/>
  <c r="O43" i="38"/>
  <c r="G12" i="29" s="1"/>
  <c r="W43" i="38"/>
  <c r="G12" i="30" s="1"/>
  <c r="AE43" i="38"/>
  <c r="G12" i="31" s="1"/>
  <c r="H43" i="38"/>
  <c r="H12" i="28" s="1"/>
  <c r="P43" i="38"/>
  <c r="H12" i="29" s="1"/>
  <c r="X43" i="38"/>
  <c r="H12" i="30" s="1"/>
  <c r="AF43" i="38"/>
  <c r="H12" i="31" s="1"/>
  <c r="I43" i="38"/>
  <c r="I12" i="28" s="1"/>
  <c r="Q43" i="38"/>
  <c r="I12" i="29" s="1"/>
  <c r="Y43" i="38"/>
  <c r="I12" i="30" s="1"/>
  <c r="AG43" i="38"/>
  <c r="I12" i="31" s="1"/>
  <c r="B44" i="38"/>
  <c r="B13" i="28" s="1"/>
  <c r="J44" i="38"/>
  <c r="B13" i="29" s="1"/>
  <c r="R44" i="38"/>
  <c r="B13" i="30" s="1"/>
  <c r="Z44" i="38"/>
  <c r="B13" i="31" s="1"/>
  <c r="C44" i="38"/>
  <c r="C13" i="28" s="1"/>
  <c r="K44" i="38"/>
  <c r="C13" i="29" s="1"/>
  <c r="S44" i="38"/>
  <c r="C13" i="30" s="1"/>
  <c r="AA44" i="38"/>
  <c r="C13" i="31" s="1"/>
  <c r="D44" i="38"/>
  <c r="D13" i="28" s="1"/>
  <c r="L44" i="38"/>
  <c r="D13" i="29" s="1"/>
  <c r="T44" i="38"/>
  <c r="D13" i="30" s="1"/>
  <c r="AB44" i="38"/>
  <c r="D13" i="31" s="1"/>
  <c r="E44" i="38"/>
  <c r="E13" i="28" s="1"/>
  <c r="M44" i="38"/>
  <c r="E13" i="29" s="1"/>
  <c r="U44" i="38"/>
  <c r="E13" i="30" s="1"/>
  <c r="AC44" i="38"/>
  <c r="E13" i="31" s="1"/>
  <c r="F44" i="38"/>
  <c r="F13" i="28" s="1"/>
  <c r="N44" i="38"/>
  <c r="F13" i="29" s="1"/>
  <c r="V44" i="38"/>
  <c r="F13" i="30" s="1"/>
  <c r="AD44" i="38"/>
  <c r="F13" i="31" s="1"/>
  <c r="G44" i="38"/>
  <c r="G13" i="28" s="1"/>
  <c r="O44" i="38"/>
  <c r="G13" i="29" s="1"/>
  <c r="W44" i="38"/>
  <c r="G13" i="30" s="1"/>
  <c r="AE44" i="38"/>
  <c r="G13" i="31" s="1"/>
  <c r="H44" i="38"/>
  <c r="H13" i="28" s="1"/>
  <c r="P44" i="38"/>
  <c r="H13" i="29" s="1"/>
  <c r="X44" i="38"/>
  <c r="H13" i="30" s="1"/>
  <c r="AF44" i="38"/>
  <c r="H13" i="31" s="1"/>
  <c r="I44" i="38"/>
  <c r="I13" i="28" s="1"/>
  <c r="Q44" i="38"/>
  <c r="I13" i="29" s="1"/>
  <c r="Y44" i="38"/>
  <c r="I13" i="30" s="1"/>
  <c r="AG44" i="38"/>
  <c r="I13" i="31" s="1"/>
  <c r="B45" i="38"/>
  <c r="B14" i="28" s="1"/>
  <c r="J45" i="38"/>
  <c r="B14" i="29" s="1"/>
  <c r="R45" i="38"/>
  <c r="B14" i="30" s="1"/>
  <c r="Z45" i="38"/>
  <c r="B14" i="31" s="1"/>
  <c r="C45" i="38"/>
  <c r="C14" i="28" s="1"/>
  <c r="K45" i="38"/>
  <c r="C14" i="29" s="1"/>
  <c r="S45" i="38"/>
  <c r="C14" i="30" s="1"/>
  <c r="AA45" i="38"/>
  <c r="C14" i="31" s="1"/>
  <c r="D45" i="38"/>
  <c r="D14" i="28" s="1"/>
  <c r="L45" i="38"/>
  <c r="D14" i="29" s="1"/>
  <c r="T45" i="38"/>
  <c r="D14" i="30" s="1"/>
  <c r="AB45" i="38"/>
  <c r="D14" i="31" s="1"/>
  <c r="E45" i="38"/>
  <c r="E14" i="28" s="1"/>
  <c r="M45" i="38"/>
  <c r="E14" i="29" s="1"/>
  <c r="U45" i="38"/>
  <c r="E14" i="30" s="1"/>
  <c r="AC45" i="38"/>
  <c r="E14" i="31" s="1"/>
  <c r="F45" i="38"/>
  <c r="F14" i="28" s="1"/>
  <c r="N45" i="38"/>
  <c r="F14" i="29" s="1"/>
  <c r="V45" i="38"/>
  <c r="F14" i="30" s="1"/>
  <c r="AD45" i="38"/>
  <c r="F14" i="31" s="1"/>
  <c r="G45" i="38"/>
  <c r="G14" i="28" s="1"/>
  <c r="O45" i="38"/>
  <c r="G14" i="29" s="1"/>
  <c r="W45" i="38"/>
  <c r="G14" i="30" s="1"/>
  <c r="AE45" i="38"/>
  <c r="G14" i="31" s="1"/>
  <c r="H45" i="38"/>
  <c r="H14" i="28" s="1"/>
  <c r="P45" i="38"/>
  <c r="H14" i="29" s="1"/>
  <c r="X45" i="38"/>
  <c r="H14" i="30" s="1"/>
  <c r="AF45" i="38"/>
  <c r="H14" i="31" s="1"/>
  <c r="I45" i="38"/>
  <c r="I14" i="28" s="1"/>
  <c r="Q45" i="38"/>
  <c r="I14" i="29" s="1"/>
  <c r="Y45" i="38"/>
  <c r="I14" i="30" s="1"/>
  <c r="AG45" i="38"/>
  <c r="I14" i="31" s="1"/>
  <c r="B46" i="38"/>
  <c r="B15" i="28" s="1"/>
  <c r="J46" i="38"/>
  <c r="B15" i="29" s="1"/>
  <c r="R46" i="38"/>
  <c r="B15" i="30" s="1"/>
  <c r="Z46" i="38"/>
  <c r="B15" i="31" s="1"/>
  <c r="C46" i="38"/>
  <c r="C15" i="28" s="1"/>
  <c r="K46" i="38"/>
  <c r="C15" i="29" s="1"/>
  <c r="S46" i="38"/>
  <c r="C15" i="30" s="1"/>
  <c r="AA46" i="38"/>
  <c r="C15" i="31" s="1"/>
  <c r="D46" i="38"/>
  <c r="D15" i="28" s="1"/>
  <c r="L46" i="38"/>
  <c r="D15" i="29" s="1"/>
  <c r="T46" i="38"/>
  <c r="D15" i="30" s="1"/>
  <c r="AB46" i="38"/>
  <c r="D15" i="31" s="1"/>
  <c r="E46" i="38"/>
  <c r="E15" i="28" s="1"/>
  <c r="M46" i="38"/>
  <c r="E15" i="29" s="1"/>
  <c r="U46" i="38"/>
  <c r="E15" i="30" s="1"/>
  <c r="AC46" i="38"/>
  <c r="E15" i="31" s="1"/>
  <c r="F46" i="38"/>
  <c r="F15" i="28" s="1"/>
  <c r="N46" i="38"/>
  <c r="F15" i="29" s="1"/>
  <c r="V46" i="38"/>
  <c r="F15" i="30" s="1"/>
  <c r="AD46" i="38"/>
  <c r="F15" i="31" s="1"/>
  <c r="G46" i="38"/>
  <c r="G15" i="28" s="1"/>
  <c r="O46" i="38"/>
  <c r="G15" i="29" s="1"/>
  <c r="W46" i="38"/>
  <c r="G15" i="30" s="1"/>
  <c r="AE46" i="38"/>
  <c r="G15" i="31" s="1"/>
  <c r="H46" i="38"/>
  <c r="H15" i="28" s="1"/>
  <c r="P46" i="38"/>
  <c r="H15" i="29" s="1"/>
  <c r="X46" i="38"/>
  <c r="H15" i="30" s="1"/>
  <c r="AF46" i="38"/>
  <c r="H15" i="31" s="1"/>
  <c r="I46" i="38"/>
  <c r="I15" i="28" s="1"/>
  <c r="Q46" i="38"/>
  <c r="I15" i="29" s="1"/>
  <c r="Y46" i="38"/>
  <c r="I15" i="30" s="1"/>
  <c r="AG46" i="38"/>
  <c r="I15" i="31" s="1"/>
  <c r="B47" i="38"/>
  <c r="B16" i="28" s="1"/>
  <c r="J47" i="38"/>
  <c r="B16" i="29" s="1"/>
  <c r="R47" i="38"/>
  <c r="B16" i="30" s="1"/>
  <c r="Z47" i="38"/>
  <c r="B16" i="31" s="1"/>
  <c r="C47" i="38"/>
  <c r="C16" i="28" s="1"/>
  <c r="K47" i="38"/>
  <c r="C16" i="29" s="1"/>
  <c r="S47" i="38"/>
  <c r="C16" i="30" s="1"/>
  <c r="AA47" i="38"/>
  <c r="C16" i="31" s="1"/>
  <c r="D47" i="38"/>
  <c r="D16" i="28" s="1"/>
  <c r="L47" i="38"/>
  <c r="D16" i="29" s="1"/>
  <c r="T47" i="38"/>
  <c r="D16" i="30" s="1"/>
  <c r="AB47" i="38"/>
  <c r="D16" i="31" s="1"/>
  <c r="E47" i="38"/>
  <c r="E16" i="28" s="1"/>
  <c r="M47" i="38"/>
  <c r="E16" i="29" s="1"/>
  <c r="U47" i="38"/>
  <c r="E16" i="30" s="1"/>
  <c r="AC47" i="38"/>
  <c r="E16" i="31" s="1"/>
  <c r="F47" i="38"/>
  <c r="F16" i="28" s="1"/>
  <c r="N47" i="38"/>
  <c r="F16" i="29" s="1"/>
  <c r="V47" i="38"/>
  <c r="F16" i="30" s="1"/>
  <c r="AD47" i="38"/>
  <c r="F16" i="31" s="1"/>
  <c r="G47" i="38"/>
  <c r="G16" i="28" s="1"/>
  <c r="O47" i="38"/>
  <c r="G16" i="29" s="1"/>
  <c r="W47" i="38"/>
  <c r="G16" i="30" s="1"/>
  <c r="AE47" i="38"/>
  <c r="G16" i="31" s="1"/>
  <c r="H47" i="38"/>
  <c r="H16" i="28" s="1"/>
  <c r="P47" i="38"/>
  <c r="H16" i="29" s="1"/>
  <c r="X47" i="38"/>
  <c r="H16" i="30" s="1"/>
  <c r="AF47" i="38"/>
  <c r="H16" i="31" s="1"/>
  <c r="I47" i="38"/>
  <c r="I16" i="28" s="1"/>
  <c r="Q47" i="38"/>
  <c r="I16" i="29" s="1"/>
  <c r="Y47" i="38"/>
  <c r="I16" i="30" s="1"/>
  <c r="AG47" i="38"/>
  <c r="I16" i="31" s="1"/>
  <c r="B48" i="38"/>
  <c r="B17" i="28" s="1"/>
  <c r="J48" i="38"/>
  <c r="B17" i="29" s="1"/>
  <c r="R48" i="38"/>
  <c r="B17" i="30" s="1"/>
  <c r="Z48" i="38"/>
  <c r="B17" i="31" s="1"/>
  <c r="C48" i="38"/>
  <c r="C17" i="28" s="1"/>
  <c r="K48" i="38"/>
  <c r="C17" i="29" s="1"/>
  <c r="S48" i="38"/>
  <c r="C17" i="30" s="1"/>
  <c r="AA48" i="38"/>
  <c r="C17" i="31" s="1"/>
  <c r="D48" i="38"/>
  <c r="D17" i="28" s="1"/>
  <c r="L48" i="38"/>
  <c r="D17" i="29" s="1"/>
  <c r="T48" i="38"/>
  <c r="D17" i="30" s="1"/>
  <c r="AB48" i="38"/>
  <c r="D17" i="31" s="1"/>
  <c r="E48" i="38"/>
  <c r="E17" i="28" s="1"/>
  <c r="M48" i="38"/>
  <c r="E17" i="29" s="1"/>
  <c r="U48" i="38"/>
  <c r="E17" i="30" s="1"/>
  <c r="AC48" i="38"/>
  <c r="E17" i="31" s="1"/>
  <c r="F48" i="38"/>
  <c r="F17" i="28" s="1"/>
  <c r="N48" i="38"/>
  <c r="F17" i="29" s="1"/>
  <c r="V48" i="38"/>
  <c r="F17" i="30" s="1"/>
  <c r="AD48" i="38"/>
  <c r="F17" i="31" s="1"/>
  <c r="G48" i="38"/>
  <c r="G17" i="28" s="1"/>
  <c r="O48" i="38"/>
  <c r="G17" i="29" s="1"/>
  <c r="W48" i="38"/>
  <c r="G17" i="30" s="1"/>
  <c r="AE48" i="38"/>
  <c r="G17" i="31" s="1"/>
  <c r="H48" i="38"/>
  <c r="H17" i="28" s="1"/>
  <c r="P48" i="38"/>
  <c r="H17" i="29" s="1"/>
  <c r="X48" i="38"/>
  <c r="H17" i="30" s="1"/>
  <c r="AF48" i="38"/>
  <c r="H17" i="31" s="1"/>
  <c r="I48" i="38"/>
  <c r="I17" i="28" s="1"/>
  <c r="Q48" i="38"/>
  <c r="I17" i="29" s="1"/>
  <c r="Y48" i="38"/>
  <c r="I17" i="30" s="1"/>
  <c r="AG48" i="38"/>
  <c r="I17" i="31" s="1"/>
  <c r="B49" i="38"/>
  <c r="B18" i="28" s="1"/>
  <c r="J49" i="38"/>
  <c r="B18" i="29" s="1"/>
  <c r="R49" i="38"/>
  <c r="B18" i="30" s="1"/>
  <c r="Z49" i="38"/>
  <c r="B18" i="31" s="1"/>
  <c r="C49" i="38"/>
  <c r="C18" i="28" s="1"/>
  <c r="K49" i="38"/>
  <c r="C18" i="29" s="1"/>
  <c r="S49" i="38"/>
  <c r="C18" i="30" s="1"/>
  <c r="AA49" i="38"/>
  <c r="C18" i="31" s="1"/>
  <c r="D49" i="38"/>
  <c r="D18" i="28" s="1"/>
  <c r="L49" i="38"/>
  <c r="D18" i="29" s="1"/>
  <c r="T49" i="38"/>
  <c r="D18" i="30" s="1"/>
  <c r="AB49" i="38"/>
  <c r="D18" i="31" s="1"/>
  <c r="E49" i="38"/>
  <c r="E18" i="28" s="1"/>
  <c r="M49" i="38"/>
  <c r="E18" i="29" s="1"/>
  <c r="U49" i="38"/>
  <c r="E18" i="30" s="1"/>
  <c r="AC49" i="38"/>
  <c r="E18" i="31" s="1"/>
  <c r="F49" i="38"/>
  <c r="F18" i="28" s="1"/>
  <c r="N49" i="38"/>
  <c r="F18" i="29" s="1"/>
  <c r="V49" i="38"/>
  <c r="F18" i="30" s="1"/>
  <c r="AD49" i="38"/>
  <c r="F18" i="31" s="1"/>
  <c r="G49" i="38"/>
  <c r="G18" i="28" s="1"/>
  <c r="O49" i="38"/>
  <c r="G18" i="29" s="1"/>
  <c r="W49" i="38"/>
  <c r="G18" i="30" s="1"/>
  <c r="AE49" i="38"/>
  <c r="G18" i="31" s="1"/>
  <c r="H49" i="38"/>
  <c r="H18" i="28" s="1"/>
  <c r="P49" i="38"/>
  <c r="H18" i="29" s="1"/>
  <c r="X49" i="38"/>
  <c r="H18" i="30" s="1"/>
  <c r="AF49" i="38"/>
  <c r="H18" i="31" s="1"/>
  <c r="I49" i="38"/>
  <c r="I18" i="28" s="1"/>
  <c r="Q49" i="38"/>
  <c r="I18" i="29" s="1"/>
  <c r="Y49" i="38"/>
  <c r="I18" i="30" s="1"/>
  <c r="AG49" i="38"/>
  <c r="I18" i="31" s="1"/>
  <c r="B50" i="38"/>
  <c r="B19" i="28" s="1"/>
  <c r="J50" i="38"/>
  <c r="B19" i="29" s="1"/>
  <c r="R50" i="38"/>
  <c r="B19" i="30" s="1"/>
  <c r="Z50" i="38"/>
  <c r="B19" i="31" s="1"/>
  <c r="C50" i="38"/>
  <c r="C19" i="28" s="1"/>
  <c r="K50" i="38"/>
  <c r="C19" i="29" s="1"/>
  <c r="S50" i="38"/>
  <c r="C19" i="30" s="1"/>
  <c r="AA50" i="38"/>
  <c r="C19" i="31" s="1"/>
  <c r="D50" i="38"/>
  <c r="D19" i="28" s="1"/>
  <c r="L50" i="38"/>
  <c r="D19" i="29" s="1"/>
  <c r="T50" i="38"/>
  <c r="D19" i="30" s="1"/>
  <c r="AB50" i="38"/>
  <c r="D19" i="31" s="1"/>
  <c r="E50" i="38"/>
  <c r="E19" i="28" s="1"/>
  <c r="M50" i="38"/>
  <c r="E19" i="29" s="1"/>
  <c r="U50" i="38"/>
  <c r="E19" i="30" s="1"/>
  <c r="AC50" i="38"/>
  <c r="E19" i="31" s="1"/>
  <c r="F50" i="38"/>
  <c r="F19" i="28" s="1"/>
  <c r="N50" i="38"/>
  <c r="F19" i="29" s="1"/>
  <c r="V50" i="38"/>
  <c r="F19" i="30" s="1"/>
  <c r="AD50" i="38"/>
  <c r="F19" i="31" s="1"/>
  <c r="G50" i="38"/>
  <c r="G19" i="28" s="1"/>
  <c r="O50" i="38"/>
  <c r="G19" i="29" s="1"/>
  <c r="W50" i="38"/>
  <c r="G19" i="30" s="1"/>
  <c r="AE50" i="38"/>
  <c r="G19" i="31" s="1"/>
  <c r="H50" i="38"/>
  <c r="H19" i="28" s="1"/>
  <c r="P50" i="38"/>
  <c r="H19" i="29" s="1"/>
  <c r="X50" i="38"/>
  <c r="H19" i="30" s="1"/>
  <c r="AF50" i="38"/>
  <c r="H19" i="31" s="1"/>
  <c r="I50" i="38"/>
  <c r="I19" i="28" s="1"/>
  <c r="Q50" i="38"/>
  <c r="I19" i="29" s="1"/>
  <c r="Y50" i="38"/>
  <c r="I19" i="30" s="1"/>
  <c r="AG50" i="38"/>
  <c r="I19" i="31" s="1"/>
  <c r="B51" i="38"/>
  <c r="B20" i="28" s="1"/>
  <c r="J51" i="38"/>
  <c r="B20" i="29" s="1"/>
  <c r="R51" i="38"/>
  <c r="B20" i="30" s="1"/>
  <c r="Z51" i="38"/>
  <c r="B20" i="31" s="1"/>
  <c r="C51" i="38"/>
  <c r="C20" i="28" s="1"/>
  <c r="K51" i="38"/>
  <c r="C20" i="29" s="1"/>
  <c r="S51" i="38"/>
  <c r="C20" i="30" s="1"/>
  <c r="AA51" i="38"/>
  <c r="C20" i="31" s="1"/>
  <c r="D51" i="38"/>
  <c r="D20" i="28" s="1"/>
  <c r="L51" i="38"/>
  <c r="D20" i="29" s="1"/>
  <c r="T51" i="38"/>
  <c r="D20" i="30" s="1"/>
  <c r="AB51" i="38"/>
  <c r="D20" i="31" s="1"/>
  <c r="E51" i="38"/>
  <c r="E20" i="28" s="1"/>
  <c r="M51" i="38"/>
  <c r="E20" i="29" s="1"/>
  <c r="U51" i="38"/>
  <c r="E20" i="30" s="1"/>
  <c r="AC51" i="38"/>
  <c r="E20" i="31" s="1"/>
  <c r="F51" i="38"/>
  <c r="F20" i="28" s="1"/>
  <c r="N51" i="38"/>
  <c r="F20" i="29" s="1"/>
  <c r="V51" i="38"/>
  <c r="F20" i="30" s="1"/>
  <c r="AD51" i="38"/>
  <c r="F20" i="31" s="1"/>
  <c r="G51" i="38"/>
  <c r="G20" i="28" s="1"/>
  <c r="O51" i="38"/>
  <c r="G20" i="29" s="1"/>
  <c r="W51" i="38"/>
  <c r="G20" i="30" s="1"/>
  <c r="AE51" i="38"/>
  <c r="G20" i="31" s="1"/>
  <c r="H51" i="38"/>
  <c r="H20" i="28" s="1"/>
  <c r="P51" i="38"/>
  <c r="H20" i="29" s="1"/>
  <c r="X51" i="38"/>
  <c r="H20" i="30" s="1"/>
  <c r="AF51" i="38"/>
  <c r="H20" i="31" s="1"/>
  <c r="I51" i="38"/>
  <c r="I20" i="28" s="1"/>
  <c r="Q51" i="38"/>
  <c r="I20" i="29" s="1"/>
  <c r="Y51" i="38"/>
  <c r="I20" i="30" s="1"/>
  <c r="AG51" i="38"/>
  <c r="I20" i="31" s="1"/>
  <c r="B52" i="38"/>
  <c r="B21" i="28" s="1"/>
  <c r="J52" i="38"/>
  <c r="B21" i="29" s="1"/>
  <c r="R52" i="38"/>
  <c r="B21" i="30" s="1"/>
  <c r="Z52" i="38"/>
  <c r="B21" i="31" s="1"/>
  <c r="C52" i="38"/>
  <c r="C21" i="28" s="1"/>
  <c r="K52" i="38"/>
  <c r="C21" i="29" s="1"/>
  <c r="S52" i="38"/>
  <c r="C21" i="30" s="1"/>
  <c r="AA52" i="38"/>
  <c r="C21" i="31" s="1"/>
  <c r="D52" i="38"/>
  <c r="D21" i="28" s="1"/>
  <c r="L52" i="38"/>
  <c r="D21" i="29" s="1"/>
  <c r="T52" i="38"/>
  <c r="D21" i="30" s="1"/>
  <c r="AB52" i="38"/>
  <c r="D21" i="31" s="1"/>
  <c r="E52" i="38"/>
  <c r="E21" i="28" s="1"/>
  <c r="M52" i="38"/>
  <c r="E21" i="29" s="1"/>
  <c r="U52" i="38"/>
  <c r="E21" i="30" s="1"/>
  <c r="AC52" i="38"/>
  <c r="E21" i="31" s="1"/>
  <c r="F52" i="38"/>
  <c r="F21" i="28" s="1"/>
  <c r="N52" i="38"/>
  <c r="F21" i="29" s="1"/>
  <c r="V52" i="38"/>
  <c r="F21" i="30" s="1"/>
  <c r="AD52" i="38"/>
  <c r="F21" i="31" s="1"/>
  <c r="G52" i="38"/>
  <c r="G21" i="28" s="1"/>
  <c r="O52" i="38"/>
  <c r="G21" i="29" s="1"/>
  <c r="W52" i="38"/>
  <c r="G21" i="30" s="1"/>
  <c r="AE52" i="38"/>
  <c r="G21" i="31" s="1"/>
  <c r="H52" i="38"/>
  <c r="H21" i="28" s="1"/>
  <c r="P52" i="38"/>
  <c r="H21" i="29" s="1"/>
  <c r="X52" i="38"/>
  <c r="H21" i="30" s="1"/>
  <c r="AF52" i="38"/>
  <c r="H21" i="31" s="1"/>
  <c r="I52" i="38"/>
  <c r="I21" i="28" s="1"/>
  <c r="Q52" i="38"/>
  <c r="I21" i="29" s="1"/>
  <c r="Y52" i="38"/>
  <c r="I21" i="30" s="1"/>
  <c r="AG52" i="38"/>
  <c r="I21" i="31" s="1"/>
  <c r="B53" i="38"/>
  <c r="B22" i="28" s="1"/>
  <c r="J53" i="38"/>
  <c r="B22" i="29" s="1"/>
  <c r="R53" i="38"/>
  <c r="B22" i="30" s="1"/>
  <c r="Z53" i="38"/>
  <c r="B22" i="31" s="1"/>
  <c r="C53" i="38"/>
  <c r="C22" i="28" s="1"/>
  <c r="K53" i="38"/>
  <c r="C22" i="29" s="1"/>
  <c r="S53" i="38"/>
  <c r="C22" i="30" s="1"/>
  <c r="AA53" i="38"/>
  <c r="C22" i="31" s="1"/>
  <c r="D53" i="38"/>
  <c r="D22" i="28" s="1"/>
  <c r="L53" i="38"/>
  <c r="D22" i="29" s="1"/>
  <c r="T53" i="38"/>
  <c r="D22" i="30" s="1"/>
  <c r="AB53" i="38"/>
  <c r="D22" i="31" s="1"/>
  <c r="E53" i="38"/>
  <c r="E22" i="28" s="1"/>
  <c r="M53" i="38"/>
  <c r="E22" i="29" s="1"/>
  <c r="U53" i="38"/>
  <c r="E22" i="30" s="1"/>
  <c r="AC53" i="38"/>
  <c r="E22" i="31" s="1"/>
  <c r="F53" i="38"/>
  <c r="F22" i="28" s="1"/>
  <c r="N53" i="38"/>
  <c r="F22" i="29" s="1"/>
  <c r="V53" i="38"/>
  <c r="F22" i="30" s="1"/>
  <c r="AD53" i="38"/>
  <c r="F22" i="31" s="1"/>
  <c r="G53" i="38"/>
  <c r="G22" i="28" s="1"/>
  <c r="O53" i="38"/>
  <c r="G22" i="29" s="1"/>
  <c r="W53" i="38"/>
  <c r="G22" i="30" s="1"/>
  <c r="AE53" i="38"/>
  <c r="G22" i="31" s="1"/>
  <c r="H53" i="38"/>
  <c r="H22" i="28" s="1"/>
  <c r="P53" i="38"/>
  <c r="H22" i="29" s="1"/>
  <c r="X53" i="38"/>
  <c r="H22" i="30" s="1"/>
  <c r="AF53" i="38"/>
  <c r="H22" i="31" s="1"/>
  <c r="I53" i="38"/>
  <c r="I22" i="28" s="1"/>
  <c r="Q53" i="38"/>
  <c r="I22" i="29" s="1"/>
  <c r="Y53" i="38"/>
  <c r="I22" i="30" s="1"/>
  <c r="AG53" i="38"/>
  <c r="I22" i="31" s="1"/>
  <c r="B54" i="38"/>
  <c r="B23" i="28" s="1"/>
  <c r="J54" i="38"/>
  <c r="B23" i="29" s="1"/>
  <c r="R54" i="38"/>
  <c r="B23" i="30" s="1"/>
  <c r="Z54" i="38"/>
  <c r="B23" i="31" s="1"/>
  <c r="C54" i="38"/>
  <c r="C23" i="28" s="1"/>
  <c r="K54" i="38"/>
  <c r="C23" i="29" s="1"/>
  <c r="S54" i="38"/>
  <c r="C23" i="30" s="1"/>
  <c r="AA54" i="38"/>
  <c r="C23" i="31" s="1"/>
  <c r="D54" i="38"/>
  <c r="D23" i="28" s="1"/>
  <c r="L54" i="38"/>
  <c r="D23" i="29" s="1"/>
  <c r="T54" i="38"/>
  <c r="D23" i="30" s="1"/>
  <c r="AB54" i="38"/>
  <c r="D23" i="31" s="1"/>
  <c r="E54" i="38"/>
  <c r="E23" i="28" s="1"/>
  <c r="M54" i="38"/>
  <c r="E23" i="29" s="1"/>
  <c r="U54" i="38"/>
  <c r="E23" i="30" s="1"/>
  <c r="AC54" i="38"/>
  <c r="E23" i="31" s="1"/>
  <c r="F54" i="38"/>
  <c r="F23" i="28" s="1"/>
  <c r="N54" i="38"/>
  <c r="F23" i="29" s="1"/>
  <c r="V54" i="38"/>
  <c r="F23" i="30" s="1"/>
  <c r="AD54" i="38"/>
  <c r="F23" i="31" s="1"/>
  <c r="G54" i="38"/>
  <c r="G23" i="28" s="1"/>
  <c r="O54" i="38"/>
  <c r="G23" i="29" s="1"/>
  <c r="W54" i="38"/>
  <c r="G23" i="30" s="1"/>
  <c r="AE54" i="38"/>
  <c r="G23" i="31" s="1"/>
  <c r="H54" i="38"/>
  <c r="H23" i="28" s="1"/>
  <c r="P54" i="38"/>
  <c r="H23" i="29" s="1"/>
  <c r="X54" i="38"/>
  <c r="H23" i="30" s="1"/>
  <c r="AF54" i="38"/>
  <c r="H23" i="31" s="1"/>
  <c r="I54" i="38"/>
  <c r="I23" i="28" s="1"/>
  <c r="Q54" i="38"/>
  <c r="I23" i="29" s="1"/>
  <c r="Y54" i="38"/>
  <c r="I23" i="30" s="1"/>
  <c r="AG54" i="38"/>
  <c r="I23" i="31" s="1"/>
  <c r="B55" i="38"/>
  <c r="B24" i="28" s="1"/>
  <c r="J55" i="38"/>
  <c r="B24" i="29" s="1"/>
  <c r="R55" i="38"/>
  <c r="B24" i="30" s="1"/>
  <c r="Z55" i="38"/>
  <c r="B24" i="31" s="1"/>
  <c r="C55" i="38"/>
  <c r="C24" i="28" s="1"/>
  <c r="K55" i="38"/>
  <c r="C24" i="29" s="1"/>
  <c r="S55" i="38"/>
  <c r="C24" i="30" s="1"/>
  <c r="AA55" i="38"/>
  <c r="C24" i="31" s="1"/>
  <c r="D55" i="38"/>
  <c r="D24" i="28" s="1"/>
  <c r="L55" i="38"/>
  <c r="D24" i="29" s="1"/>
  <c r="T55" i="38"/>
  <c r="D24" i="30" s="1"/>
  <c r="AB55" i="38"/>
  <c r="D24" i="31" s="1"/>
  <c r="E55" i="38"/>
  <c r="E24" i="28" s="1"/>
  <c r="M55" i="38"/>
  <c r="E24" i="29" s="1"/>
  <c r="U55" i="38"/>
  <c r="E24" i="30" s="1"/>
  <c r="AC55" i="38"/>
  <c r="E24" i="31" s="1"/>
  <c r="F55" i="38"/>
  <c r="F24" i="28" s="1"/>
  <c r="N55" i="38"/>
  <c r="F24" i="29" s="1"/>
  <c r="V55" i="38"/>
  <c r="F24" i="30" s="1"/>
  <c r="AD55" i="38"/>
  <c r="F24" i="31" s="1"/>
  <c r="G55" i="38"/>
  <c r="G24" i="28" s="1"/>
  <c r="O55" i="38"/>
  <c r="G24" i="29" s="1"/>
  <c r="W55" i="38"/>
  <c r="G24" i="30" s="1"/>
  <c r="AE55" i="38"/>
  <c r="G24" i="31" s="1"/>
  <c r="H55" i="38"/>
  <c r="H24" i="28" s="1"/>
  <c r="P55" i="38"/>
  <c r="H24" i="29" s="1"/>
  <c r="X55" i="38"/>
  <c r="H24" i="30" s="1"/>
  <c r="AF55" i="38"/>
  <c r="H24" i="31" s="1"/>
  <c r="I55" i="38"/>
  <c r="I24" i="28" s="1"/>
  <c r="Q55" i="38"/>
  <c r="I24" i="29" s="1"/>
  <c r="Y55" i="38"/>
  <c r="I24" i="30" s="1"/>
  <c r="AG55" i="38"/>
  <c r="I24" i="31" s="1"/>
  <c r="B56" i="38"/>
  <c r="B25" i="28" s="1"/>
  <c r="J56" i="38"/>
  <c r="B25" i="29" s="1"/>
  <c r="R56" i="38"/>
  <c r="B25" i="30" s="1"/>
  <c r="Z56" i="38"/>
  <c r="B25" i="31" s="1"/>
  <c r="C56" i="38"/>
  <c r="C25" i="28" s="1"/>
  <c r="K56" i="38"/>
  <c r="C25" i="29" s="1"/>
  <c r="S56" i="38"/>
  <c r="C25" i="30" s="1"/>
  <c r="AA56" i="38"/>
  <c r="C25" i="31" s="1"/>
  <c r="D56" i="38"/>
  <c r="D25" i="28" s="1"/>
  <c r="L56" i="38"/>
  <c r="D25" i="29" s="1"/>
  <c r="T56" i="38"/>
  <c r="D25" i="30" s="1"/>
  <c r="AB56" i="38"/>
  <c r="D25" i="31" s="1"/>
  <c r="E56" i="38"/>
  <c r="E25" i="28" s="1"/>
  <c r="M56" i="38"/>
  <c r="E25" i="29" s="1"/>
  <c r="U56" i="38"/>
  <c r="E25" i="30" s="1"/>
  <c r="AC56" i="38"/>
  <c r="E25" i="31" s="1"/>
  <c r="F56" i="38"/>
  <c r="F25" i="28" s="1"/>
  <c r="N56" i="38"/>
  <c r="F25" i="29" s="1"/>
  <c r="V56" i="38"/>
  <c r="F25" i="30" s="1"/>
  <c r="AD56" i="38"/>
  <c r="F25" i="31" s="1"/>
  <c r="G56" i="38"/>
  <c r="G25" i="28" s="1"/>
  <c r="O56" i="38"/>
  <c r="G25" i="29" s="1"/>
  <c r="W56" i="38"/>
  <c r="G25" i="30" s="1"/>
  <c r="AE56" i="38"/>
  <c r="G25" i="31" s="1"/>
  <c r="H56" i="38"/>
  <c r="H25" i="28" s="1"/>
  <c r="P56" i="38"/>
  <c r="H25" i="29" s="1"/>
  <c r="X56" i="38"/>
  <c r="H25" i="30" s="1"/>
  <c r="AF56" i="38"/>
  <c r="H25" i="31" s="1"/>
  <c r="I56" i="38"/>
  <c r="I25" i="28" s="1"/>
  <c r="Q56" i="38"/>
  <c r="I25" i="29" s="1"/>
  <c r="Y56" i="38"/>
  <c r="I25" i="30" s="1"/>
  <c r="AG56" i="38"/>
  <c r="I25" i="31" s="1"/>
  <c r="B57" i="38"/>
  <c r="B26" i="28" s="1"/>
  <c r="J57" i="38"/>
  <c r="B26" i="29" s="1"/>
  <c r="R57" i="38"/>
  <c r="B26" i="30" s="1"/>
  <c r="Z57" i="38"/>
  <c r="B26" i="31" s="1"/>
  <c r="C57" i="38"/>
  <c r="C26" i="28" s="1"/>
  <c r="K57" i="38"/>
  <c r="C26" i="29" s="1"/>
  <c r="S57" i="38"/>
  <c r="C26" i="30" s="1"/>
  <c r="AA57" i="38"/>
  <c r="C26" i="31" s="1"/>
  <c r="D57" i="38"/>
  <c r="D26" i="28" s="1"/>
  <c r="L57" i="38"/>
  <c r="D26" i="29" s="1"/>
  <c r="T57" i="38"/>
  <c r="D26" i="30" s="1"/>
  <c r="AB57" i="38"/>
  <c r="D26" i="31" s="1"/>
  <c r="E57" i="38"/>
  <c r="E26" i="28" s="1"/>
  <c r="M57" i="38"/>
  <c r="E26" i="29" s="1"/>
  <c r="U57" i="38"/>
  <c r="E26" i="30" s="1"/>
  <c r="AC57" i="38"/>
  <c r="E26" i="31" s="1"/>
  <c r="F57" i="38"/>
  <c r="F26" i="28" s="1"/>
  <c r="N57" i="38"/>
  <c r="F26" i="29" s="1"/>
  <c r="V57" i="38"/>
  <c r="F26" i="30" s="1"/>
  <c r="AD57" i="38"/>
  <c r="F26" i="31" s="1"/>
  <c r="G57" i="38"/>
  <c r="G26" i="28" s="1"/>
  <c r="O57" i="38"/>
  <c r="G26" i="29" s="1"/>
  <c r="W57" i="38"/>
  <c r="G26" i="30" s="1"/>
  <c r="AE57" i="38"/>
  <c r="G26" i="31" s="1"/>
  <c r="H57" i="38"/>
  <c r="H26" i="28" s="1"/>
  <c r="P57" i="38"/>
  <c r="H26" i="29" s="1"/>
  <c r="X57" i="38"/>
  <c r="H26" i="30" s="1"/>
  <c r="AF57" i="38"/>
  <c r="H26" i="31" s="1"/>
  <c r="I57" i="38"/>
  <c r="I26" i="28" s="1"/>
  <c r="Q57" i="38"/>
  <c r="I26" i="29" s="1"/>
  <c r="Y57" i="38"/>
  <c r="I26" i="30" s="1"/>
  <c r="AG57" i="38"/>
  <c r="I26" i="31" s="1"/>
  <c r="B58" i="38"/>
  <c r="B27" i="28" s="1"/>
  <c r="J58" i="38"/>
  <c r="B27" i="29" s="1"/>
  <c r="R58" i="38"/>
  <c r="B27" i="30" s="1"/>
  <c r="Z58" i="38"/>
  <c r="B27" i="31" s="1"/>
  <c r="C58" i="38"/>
  <c r="C27" i="28" s="1"/>
  <c r="K58" i="38"/>
  <c r="C27" i="29" s="1"/>
  <c r="S58" i="38"/>
  <c r="C27" i="30" s="1"/>
  <c r="AA58" i="38"/>
  <c r="C27" i="31" s="1"/>
  <c r="D58" i="38"/>
  <c r="D27" i="28" s="1"/>
  <c r="L58" i="38"/>
  <c r="D27" i="29" s="1"/>
  <c r="T58" i="38"/>
  <c r="D27" i="30" s="1"/>
  <c r="AB58" i="38"/>
  <c r="D27" i="31" s="1"/>
  <c r="E58" i="38"/>
  <c r="E27" i="28" s="1"/>
  <c r="M58" i="38"/>
  <c r="E27" i="29" s="1"/>
  <c r="U58" i="38"/>
  <c r="E27" i="30" s="1"/>
  <c r="AC58" i="38"/>
  <c r="E27" i="31" s="1"/>
  <c r="F58" i="38"/>
  <c r="F27" i="28" s="1"/>
  <c r="N58" i="38"/>
  <c r="F27" i="29" s="1"/>
  <c r="V58" i="38"/>
  <c r="F27" i="30" s="1"/>
  <c r="AD58" i="38"/>
  <c r="F27" i="31" s="1"/>
  <c r="G58" i="38"/>
  <c r="G27" i="28" s="1"/>
  <c r="O58" i="38"/>
  <c r="G27" i="29" s="1"/>
  <c r="W58" i="38"/>
  <c r="G27" i="30" s="1"/>
  <c r="AE58" i="38"/>
  <c r="G27" i="31" s="1"/>
  <c r="H58" i="38"/>
  <c r="H27" i="28" s="1"/>
  <c r="P58" i="38"/>
  <c r="H27" i="29" s="1"/>
  <c r="X58" i="38"/>
  <c r="H27" i="30" s="1"/>
  <c r="AF58" i="38"/>
  <c r="H27" i="31" s="1"/>
  <c r="I58" i="38"/>
  <c r="I27" i="28" s="1"/>
  <c r="Q58" i="38"/>
  <c r="I27" i="29" s="1"/>
  <c r="Y58" i="38"/>
  <c r="I27" i="30" s="1"/>
  <c r="AG58" i="38"/>
  <c r="I27" i="31" s="1"/>
  <c r="B59" i="38"/>
  <c r="B28" i="28" s="1"/>
  <c r="J59" i="38"/>
  <c r="B28" i="29" s="1"/>
  <c r="R59" i="38"/>
  <c r="B28" i="30" s="1"/>
  <c r="Z59" i="38"/>
  <c r="B28" i="31" s="1"/>
  <c r="C59" i="38"/>
  <c r="C28" i="28" s="1"/>
  <c r="K59" i="38"/>
  <c r="C28" i="29" s="1"/>
  <c r="S59" i="38"/>
  <c r="C28" i="30" s="1"/>
  <c r="AA59" i="38"/>
  <c r="C28" i="31" s="1"/>
  <c r="D59" i="38"/>
  <c r="D28" i="28" s="1"/>
  <c r="L59" i="38"/>
  <c r="D28" i="29" s="1"/>
  <c r="T59" i="38"/>
  <c r="D28" i="30" s="1"/>
  <c r="AB59" i="38"/>
  <c r="D28" i="31" s="1"/>
  <c r="E59" i="38"/>
  <c r="E28" i="28" s="1"/>
  <c r="M59" i="38"/>
  <c r="E28" i="29" s="1"/>
  <c r="U59" i="38"/>
  <c r="E28" i="30" s="1"/>
  <c r="AC59" i="38"/>
  <c r="E28" i="31" s="1"/>
  <c r="F59" i="38"/>
  <c r="F28" i="28" s="1"/>
  <c r="N59" i="38"/>
  <c r="F28" i="29" s="1"/>
  <c r="V59" i="38"/>
  <c r="F28" i="30" s="1"/>
  <c r="AD59" i="38"/>
  <c r="F28" i="31" s="1"/>
  <c r="G59" i="38"/>
  <c r="G28" i="28" s="1"/>
  <c r="O59" i="38"/>
  <c r="G28" i="29" s="1"/>
  <c r="W59" i="38"/>
  <c r="G28" i="30" s="1"/>
  <c r="AE59" i="38"/>
  <c r="G28" i="31" s="1"/>
  <c r="H59" i="38"/>
  <c r="H28" i="28" s="1"/>
  <c r="P59" i="38"/>
  <c r="H28" i="29" s="1"/>
  <c r="X59" i="38"/>
  <c r="H28" i="30" s="1"/>
  <c r="AF59" i="38"/>
  <c r="H28" i="31" s="1"/>
  <c r="I59" i="38"/>
  <c r="I28" i="28" s="1"/>
  <c r="Q59" i="38"/>
  <c r="I28" i="29" s="1"/>
  <c r="Y59" i="38"/>
  <c r="I28" i="30" s="1"/>
  <c r="AG59" i="38"/>
  <c r="I28" i="31" s="1"/>
  <c r="B60" i="38"/>
  <c r="B29" i="28" s="1"/>
  <c r="J60" i="38"/>
  <c r="B29" i="29" s="1"/>
  <c r="R60" i="38"/>
  <c r="B29" i="30" s="1"/>
  <c r="Z60" i="38"/>
  <c r="B29" i="31" s="1"/>
  <c r="C60" i="38"/>
  <c r="C29" i="28" s="1"/>
  <c r="K60" i="38"/>
  <c r="C29" i="29" s="1"/>
  <c r="S60" i="38"/>
  <c r="C29" i="30" s="1"/>
  <c r="AA60" i="38"/>
  <c r="C29" i="31" s="1"/>
  <c r="D60" i="38"/>
  <c r="D29" i="28" s="1"/>
  <c r="L60" i="38"/>
  <c r="D29" i="29" s="1"/>
  <c r="T60" i="38"/>
  <c r="D29" i="30" s="1"/>
  <c r="AB60" i="38"/>
  <c r="D29" i="31" s="1"/>
  <c r="E60" i="38"/>
  <c r="E29" i="28" s="1"/>
  <c r="M60" i="38"/>
  <c r="E29" i="29" s="1"/>
  <c r="U60" i="38"/>
  <c r="E29" i="30" s="1"/>
  <c r="AC60" i="38"/>
  <c r="E29" i="31" s="1"/>
  <c r="F60" i="38"/>
  <c r="F29" i="28" s="1"/>
  <c r="N60" i="38"/>
  <c r="F29" i="29" s="1"/>
  <c r="V60" i="38"/>
  <c r="F29" i="30" s="1"/>
  <c r="AD60" i="38"/>
  <c r="F29" i="31" s="1"/>
  <c r="G60" i="38"/>
  <c r="G29" i="28" s="1"/>
  <c r="O60" i="38"/>
  <c r="G29" i="29" s="1"/>
  <c r="W60" i="38"/>
  <c r="G29" i="30" s="1"/>
  <c r="AE60" i="38"/>
  <c r="G29" i="31" s="1"/>
  <c r="H60" i="38"/>
  <c r="H29" i="28" s="1"/>
  <c r="P60" i="38"/>
  <c r="H29" i="29" s="1"/>
  <c r="X60" i="38"/>
  <c r="H29" i="30" s="1"/>
  <c r="AF60" i="38"/>
  <c r="H29" i="31" s="1"/>
  <c r="I60" i="38"/>
  <c r="I29" i="28" s="1"/>
  <c r="Q60" i="38"/>
  <c r="I29" i="29" s="1"/>
  <c r="Y60" i="38"/>
  <c r="I29" i="30" s="1"/>
  <c r="AG60" i="38"/>
  <c r="I29" i="31" s="1"/>
  <c r="B61" i="38"/>
  <c r="L2" i="28" s="1"/>
  <c r="J61" i="38"/>
  <c r="L2" i="29" s="1"/>
  <c r="R61" i="38"/>
  <c r="L2" i="30" s="1"/>
  <c r="Z61" i="38"/>
  <c r="L2" i="31" s="1"/>
  <c r="C61" i="38"/>
  <c r="M2" i="28" s="1"/>
  <c r="K61" i="38"/>
  <c r="M2" i="29" s="1"/>
  <c r="S61" i="38"/>
  <c r="M2" i="30" s="1"/>
  <c r="AA61" i="38"/>
  <c r="M2" i="31" s="1"/>
  <c r="D61" i="38"/>
  <c r="N2" i="28" s="1"/>
  <c r="L61" i="38"/>
  <c r="N2" i="29" s="1"/>
  <c r="T61" i="38"/>
  <c r="N2" i="30" s="1"/>
  <c r="AB61" i="38"/>
  <c r="N2" i="31" s="1"/>
  <c r="E61" i="38"/>
  <c r="O2" i="28" s="1"/>
  <c r="M61" i="38"/>
  <c r="O2" i="29" s="1"/>
  <c r="U61" i="38"/>
  <c r="O2" i="30" s="1"/>
  <c r="AC61" i="38"/>
  <c r="O2" i="31" s="1"/>
  <c r="F61" i="38"/>
  <c r="P2" i="28" s="1"/>
  <c r="N61" i="38"/>
  <c r="P2" i="29" s="1"/>
  <c r="V61" i="38"/>
  <c r="P2" i="30" s="1"/>
  <c r="AD61" i="38"/>
  <c r="P2" i="31" s="1"/>
  <c r="G61" i="38"/>
  <c r="Q2" i="28" s="1"/>
  <c r="O61" i="38"/>
  <c r="Q2" i="29" s="1"/>
  <c r="W61" i="38"/>
  <c r="Q2" i="30" s="1"/>
  <c r="AE61" i="38"/>
  <c r="Q2" i="31" s="1"/>
  <c r="H61" i="38"/>
  <c r="R2" i="28" s="1"/>
  <c r="P61" i="38"/>
  <c r="R2" i="29" s="1"/>
  <c r="X61" i="38"/>
  <c r="R2" i="30" s="1"/>
  <c r="AF61" i="38"/>
  <c r="R2" i="31" s="1"/>
  <c r="I61" i="38"/>
  <c r="S2" i="28" s="1"/>
  <c r="Q61" i="38"/>
  <c r="S2" i="29" s="1"/>
  <c r="Y61" i="38"/>
  <c r="S2" i="30" s="1"/>
  <c r="AG61" i="38"/>
  <c r="S2" i="31" s="1"/>
  <c r="B62" i="38"/>
  <c r="L3" i="28" s="1"/>
  <c r="J62" i="38"/>
  <c r="L3" i="29" s="1"/>
  <c r="R62" i="38"/>
  <c r="L3" i="30" s="1"/>
  <c r="Z62" i="38"/>
  <c r="L3" i="31" s="1"/>
  <c r="C62" i="38"/>
  <c r="M3" i="28" s="1"/>
  <c r="K62" i="38"/>
  <c r="M3" i="29" s="1"/>
  <c r="S62" i="38"/>
  <c r="M3" i="30" s="1"/>
  <c r="AA62" i="38"/>
  <c r="M3" i="31" s="1"/>
  <c r="D62" i="38"/>
  <c r="N3" i="28" s="1"/>
  <c r="L62" i="38"/>
  <c r="N3" i="29" s="1"/>
  <c r="T62" i="38"/>
  <c r="N3" i="30" s="1"/>
  <c r="AB62" i="38"/>
  <c r="N3" i="31" s="1"/>
  <c r="E62" i="38"/>
  <c r="O3" i="28" s="1"/>
  <c r="M62" i="38"/>
  <c r="O3" i="29" s="1"/>
  <c r="U62" i="38"/>
  <c r="O3" i="30" s="1"/>
  <c r="AC62" i="38"/>
  <c r="O3" i="31" s="1"/>
  <c r="F62" i="38"/>
  <c r="P3" i="28" s="1"/>
  <c r="N62" i="38"/>
  <c r="P3" i="29" s="1"/>
  <c r="V62" i="38"/>
  <c r="P3" i="30" s="1"/>
  <c r="AD62" i="38"/>
  <c r="P3" i="31" s="1"/>
  <c r="G62" i="38"/>
  <c r="Q3" i="28" s="1"/>
  <c r="O62" i="38"/>
  <c r="Q3" i="29" s="1"/>
  <c r="W62" i="38"/>
  <c r="Q3" i="30" s="1"/>
  <c r="AE62" i="38"/>
  <c r="Q3" i="31" s="1"/>
  <c r="H62" i="38"/>
  <c r="R3" i="28" s="1"/>
  <c r="P62" i="38"/>
  <c r="R3" i="29" s="1"/>
  <c r="X62" i="38"/>
  <c r="R3" i="30" s="1"/>
  <c r="AF62" i="38"/>
  <c r="R3" i="31" s="1"/>
  <c r="I62" i="38"/>
  <c r="S3" i="28" s="1"/>
  <c r="Q62" i="38"/>
  <c r="S3" i="29" s="1"/>
  <c r="Y62" i="38"/>
  <c r="S3" i="30" s="1"/>
  <c r="AG62" i="38"/>
  <c r="S3" i="31" s="1"/>
  <c r="B63" i="38"/>
  <c r="L4" i="28" s="1"/>
  <c r="J63" i="38"/>
  <c r="L4" i="29" s="1"/>
  <c r="R63" i="38"/>
  <c r="L4" i="30" s="1"/>
  <c r="Z63" i="38"/>
  <c r="L4" i="31" s="1"/>
  <c r="C63" i="38"/>
  <c r="M4" i="28" s="1"/>
  <c r="K63" i="38"/>
  <c r="M4" i="29" s="1"/>
  <c r="S63" i="38"/>
  <c r="M4" i="30" s="1"/>
  <c r="AA63" i="38"/>
  <c r="M4" i="31" s="1"/>
  <c r="D63" i="38"/>
  <c r="N4" i="28" s="1"/>
  <c r="L63" i="38"/>
  <c r="N4" i="29" s="1"/>
  <c r="T63" i="38"/>
  <c r="N4" i="30" s="1"/>
  <c r="AB63" i="38"/>
  <c r="N4" i="31" s="1"/>
  <c r="E63" i="38"/>
  <c r="O4" i="28" s="1"/>
  <c r="M63" i="38"/>
  <c r="O4" i="29" s="1"/>
  <c r="U63" i="38"/>
  <c r="O4" i="30" s="1"/>
  <c r="AC63" i="38"/>
  <c r="O4" i="31" s="1"/>
  <c r="F63" i="38"/>
  <c r="P4" i="28" s="1"/>
  <c r="N63" i="38"/>
  <c r="P4" i="29" s="1"/>
  <c r="V63" i="38"/>
  <c r="P4" i="30" s="1"/>
  <c r="AD63" i="38"/>
  <c r="P4" i="31" s="1"/>
  <c r="G63" i="38"/>
  <c r="Q4" i="28" s="1"/>
  <c r="O63" i="38"/>
  <c r="Q4" i="29" s="1"/>
  <c r="W63" i="38"/>
  <c r="Q4" i="30" s="1"/>
  <c r="AE63" i="38"/>
  <c r="Q4" i="31" s="1"/>
  <c r="H63" i="38"/>
  <c r="R4" i="28" s="1"/>
  <c r="P63" i="38"/>
  <c r="R4" i="29" s="1"/>
  <c r="X63" i="38"/>
  <c r="R4" i="30" s="1"/>
  <c r="AF63" i="38"/>
  <c r="R4" i="31" s="1"/>
  <c r="I63" i="38"/>
  <c r="S4" i="28" s="1"/>
  <c r="Q63" i="38"/>
  <c r="S4" i="29" s="1"/>
  <c r="Y63" i="38"/>
  <c r="S4" i="30" s="1"/>
  <c r="AG63" i="38"/>
  <c r="S4" i="31" s="1"/>
  <c r="B64" i="38"/>
  <c r="L5" i="28" s="1"/>
  <c r="J64" i="38"/>
  <c r="L5" i="29" s="1"/>
  <c r="R64" i="38"/>
  <c r="L5" i="30" s="1"/>
  <c r="Z64" i="38"/>
  <c r="L5" i="31" s="1"/>
  <c r="C64" i="38"/>
  <c r="M5" i="28" s="1"/>
  <c r="K64" i="38"/>
  <c r="M5" i="29" s="1"/>
  <c r="S64" i="38"/>
  <c r="M5" i="30" s="1"/>
  <c r="AA64" i="38"/>
  <c r="M5" i="31" s="1"/>
  <c r="D64" i="38"/>
  <c r="N5" i="28" s="1"/>
  <c r="L64" i="38"/>
  <c r="N5" i="29" s="1"/>
  <c r="T64" i="38"/>
  <c r="N5" i="30" s="1"/>
  <c r="AB64" i="38"/>
  <c r="N5" i="31" s="1"/>
  <c r="E64" i="38"/>
  <c r="O5" i="28" s="1"/>
  <c r="M64" i="38"/>
  <c r="O5" i="29" s="1"/>
  <c r="U64" i="38"/>
  <c r="O5" i="30" s="1"/>
  <c r="AC64" i="38"/>
  <c r="O5" i="31" s="1"/>
  <c r="F64" i="38"/>
  <c r="P5" i="28" s="1"/>
  <c r="N64" i="38"/>
  <c r="P5" i="29" s="1"/>
  <c r="V64" i="38"/>
  <c r="P5" i="30" s="1"/>
  <c r="AD64" i="38"/>
  <c r="P5" i="31" s="1"/>
  <c r="G64" i="38"/>
  <c r="Q5" i="28" s="1"/>
  <c r="O64" i="38"/>
  <c r="Q5" i="29" s="1"/>
  <c r="W64" i="38"/>
  <c r="Q5" i="30" s="1"/>
  <c r="AE64" i="38"/>
  <c r="Q5" i="31" s="1"/>
  <c r="H64" i="38"/>
  <c r="R5" i="28" s="1"/>
  <c r="P64" i="38"/>
  <c r="R5" i="29" s="1"/>
  <c r="X64" i="38"/>
  <c r="R5" i="30" s="1"/>
  <c r="AF64" i="38"/>
  <c r="R5" i="31" s="1"/>
  <c r="I64" i="38"/>
  <c r="S5" i="28" s="1"/>
  <c r="Q64" i="38"/>
  <c r="S5" i="29" s="1"/>
  <c r="Y64" i="38"/>
  <c r="S5" i="30" s="1"/>
  <c r="AG64" i="38"/>
  <c r="S5" i="31" s="1"/>
  <c r="B65" i="38"/>
  <c r="L6" i="28" s="1"/>
  <c r="J65" i="38"/>
  <c r="L6" i="29" s="1"/>
  <c r="R65" i="38"/>
  <c r="L6" i="30" s="1"/>
  <c r="Z65" i="38"/>
  <c r="L6" i="31" s="1"/>
  <c r="C65" i="38"/>
  <c r="M6" i="28" s="1"/>
  <c r="K65" i="38"/>
  <c r="M6" i="29" s="1"/>
  <c r="S65" i="38"/>
  <c r="M6" i="30" s="1"/>
  <c r="AA65" i="38"/>
  <c r="M6" i="31" s="1"/>
  <c r="D65" i="38"/>
  <c r="N6" i="28" s="1"/>
  <c r="L65" i="38"/>
  <c r="N6" i="29" s="1"/>
  <c r="T65" i="38"/>
  <c r="N6" i="30" s="1"/>
  <c r="AB65" i="38"/>
  <c r="N6" i="31" s="1"/>
  <c r="E65" i="38"/>
  <c r="O6" i="28" s="1"/>
  <c r="M65" i="38"/>
  <c r="O6" i="29" s="1"/>
  <c r="U65" i="38"/>
  <c r="O6" i="30" s="1"/>
  <c r="AC65" i="38"/>
  <c r="O6" i="31" s="1"/>
  <c r="F65" i="38"/>
  <c r="P6" i="28" s="1"/>
  <c r="N65" i="38"/>
  <c r="P6" i="29" s="1"/>
  <c r="V65" i="38"/>
  <c r="P6" i="30" s="1"/>
  <c r="AD65" i="38"/>
  <c r="P6" i="31" s="1"/>
  <c r="G65" i="38"/>
  <c r="Q6" i="28" s="1"/>
  <c r="O65" i="38"/>
  <c r="Q6" i="29" s="1"/>
  <c r="W65" i="38"/>
  <c r="Q6" i="30" s="1"/>
  <c r="AE65" i="38"/>
  <c r="Q6" i="31" s="1"/>
  <c r="H65" i="38"/>
  <c r="R6" i="28" s="1"/>
  <c r="P65" i="38"/>
  <c r="R6" i="29" s="1"/>
  <c r="X65" i="38"/>
  <c r="R6" i="30" s="1"/>
  <c r="AF65" i="38"/>
  <c r="R6" i="31" s="1"/>
  <c r="I65" i="38"/>
  <c r="S6" i="28" s="1"/>
  <c r="Q65" i="38"/>
  <c r="S6" i="29" s="1"/>
  <c r="Y65" i="38"/>
  <c r="S6" i="30" s="1"/>
  <c r="AG65" i="38"/>
  <c r="S6" i="31" s="1"/>
  <c r="B66" i="38"/>
  <c r="L7" i="28" s="1"/>
  <c r="J66" i="38"/>
  <c r="L7" i="29" s="1"/>
  <c r="R66" i="38"/>
  <c r="L7" i="30" s="1"/>
  <c r="Z66" i="38"/>
  <c r="L7" i="31" s="1"/>
  <c r="C66" i="38"/>
  <c r="M7" i="28" s="1"/>
  <c r="K66" i="38"/>
  <c r="M7" i="29" s="1"/>
  <c r="S66" i="38"/>
  <c r="M7" i="30" s="1"/>
  <c r="AA66" i="38"/>
  <c r="M7" i="31" s="1"/>
  <c r="D66" i="38"/>
  <c r="N7" i="28" s="1"/>
  <c r="L66" i="38"/>
  <c r="N7" i="29" s="1"/>
  <c r="T66" i="38"/>
  <c r="N7" i="30" s="1"/>
  <c r="AB66" i="38"/>
  <c r="N7" i="31" s="1"/>
  <c r="E66" i="38"/>
  <c r="O7" i="28" s="1"/>
  <c r="M66" i="38"/>
  <c r="O7" i="29" s="1"/>
  <c r="U66" i="38"/>
  <c r="O7" i="30" s="1"/>
  <c r="AC66" i="38"/>
  <c r="O7" i="31" s="1"/>
  <c r="F66" i="38"/>
  <c r="P7" i="28" s="1"/>
  <c r="N66" i="38"/>
  <c r="P7" i="29" s="1"/>
  <c r="V66" i="38"/>
  <c r="P7" i="30" s="1"/>
  <c r="AD66" i="38"/>
  <c r="P7" i="31" s="1"/>
  <c r="G66" i="38"/>
  <c r="Q7" i="28" s="1"/>
  <c r="O66" i="38"/>
  <c r="Q7" i="29" s="1"/>
  <c r="W66" i="38"/>
  <c r="Q7" i="30" s="1"/>
  <c r="AE66" i="38"/>
  <c r="Q7" i="31" s="1"/>
  <c r="H66" i="38"/>
  <c r="R7" i="28" s="1"/>
  <c r="P66" i="38"/>
  <c r="R7" i="29" s="1"/>
  <c r="X66" i="38"/>
  <c r="R7" i="30" s="1"/>
  <c r="AF66" i="38"/>
  <c r="R7" i="31" s="1"/>
  <c r="I66" i="38"/>
  <c r="S7" i="28" s="1"/>
  <c r="Q66" i="38"/>
  <c r="S7" i="29" s="1"/>
  <c r="Y66" i="38"/>
  <c r="S7" i="30" s="1"/>
  <c r="AG66" i="38"/>
  <c r="S7" i="31" s="1"/>
  <c r="B67" i="38"/>
  <c r="L8" i="28" s="1"/>
  <c r="J67" i="38"/>
  <c r="L8" i="29" s="1"/>
  <c r="R67" i="38"/>
  <c r="L8" i="30" s="1"/>
  <c r="Z67" i="38"/>
  <c r="L8" i="31" s="1"/>
  <c r="C67" i="38"/>
  <c r="M8" i="28" s="1"/>
  <c r="K67" i="38"/>
  <c r="M8" i="29" s="1"/>
  <c r="S67" i="38"/>
  <c r="M8" i="30" s="1"/>
  <c r="AA67" i="38"/>
  <c r="M8" i="31" s="1"/>
  <c r="D67" i="38"/>
  <c r="N8" i="28" s="1"/>
  <c r="L67" i="38"/>
  <c r="N8" i="29" s="1"/>
  <c r="T67" i="38"/>
  <c r="N8" i="30" s="1"/>
  <c r="AB67" i="38"/>
  <c r="N8" i="31" s="1"/>
  <c r="E67" i="38"/>
  <c r="O8" i="28" s="1"/>
  <c r="M67" i="38"/>
  <c r="O8" i="29" s="1"/>
  <c r="U67" i="38"/>
  <c r="O8" i="30" s="1"/>
  <c r="AC67" i="38"/>
  <c r="O8" i="31" s="1"/>
  <c r="F67" i="38"/>
  <c r="P8" i="28" s="1"/>
  <c r="N67" i="38"/>
  <c r="P8" i="29" s="1"/>
  <c r="V67" i="38"/>
  <c r="P8" i="30" s="1"/>
  <c r="AD67" i="38"/>
  <c r="P8" i="31" s="1"/>
  <c r="G67" i="38"/>
  <c r="Q8" i="28" s="1"/>
  <c r="O67" i="38"/>
  <c r="Q8" i="29" s="1"/>
  <c r="W67" i="38"/>
  <c r="Q8" i="30" s="1"/>
  <c r="AE67" i="38"/>
  <c r="Q8" i="31" s="1"/>
  <c r="H67" i="38"/>
  <c r="R8" i="28" s="1"/>
  <c r="P67" i="38"/>
  <c r="R8" i="29" s="1"/>
  <c r="X67" i="38"/>
  <c r="R8" i="30" s="1"/>
  <c r="AF67" i="38"/>
  <c r="R8" i="31" s="1"/>
  <c r="I67" i="38"/>
  <c r="S8" i="28" s="1"/>
  <c r="Q67" i="38"/>
  <c r="S8" i="29" s="1"/>
  <c r="Y67" i="38"/>
  <c r="S8" i="30" s="1"/>
  <c r="AG67" i="38"/>
  <c r="S8" i="31" s="1"/>
  <c r="B68" i="38"/>
  <c r="L9" i="28" s="1"/>
  <c r="J68" i="38"/>
  <c r="L9" i="29" s="1"/>
  <c r="R68" i="38"/>
  <c r="L9" i="30" s="1"/>
  <c r="Z68" i="38"/>
  <c r="L9" i="31" s="1"/>
  <c r="C68" i="38"/>
  <c r="M9" i="28" s="1"/>
  <c r="K68" i="38"/>
  <c r="M9" i="29" s="1"/>
  <c r="S68" i="38"/>
  <c r="M9" i="30" s="1"/>
  <c r="AA68" i="38"/>
  <c r="M9" i="31" s="1"/>
  <c r="D68" i="38"/>
  <c r="N9" i="28" s="1"/>
  <c r="L68" i="38"/>
  <c r="N9" i="29" s="1"/>
  <c r="T68" i="38"/>
  <c r="N9" i="30" s="1"/>
  <c r="AB68" i="38"/>
  <c r="N9" i="31" s="1"/>
  <c r="E68" i="38"/>
  <c r="O9" i="28" s="1"/>
  <c r="M68" i="38"/>
  <c r="O9" i="29" s="1"/>
  <c r="U68" i="38"/>
  <c r="O9" i="30" s="1"/>
  <c r="AC68" i="38"/>
  <c r="O9" i="31" s="1"/>
  <c r="F68" i="38"/>
  <c r="P9" i="28" s="1"/>
  <c r="N68" i="38"/>
  <c r="P9" i="29" s="1"/>
  <c r="V68" i="38"/>
  <c r="P9" i="30" s="1"/>
  <c r="AD68" i="38"/>
  <c r="P9" i="31" s="1"/>
  <c r="G68" i="38"/>
  <c r="Q9" i="28" s="1"/>
  <c r="O68" i="38"/>
  <c r="Q9" i="29" s="1"/>
  <c r="W68" i="38"/>
  <c r="Q9" i="30" s="1"/>
  <c r="AE68" i="38"/>
  <c r="Q9" i="31" s="1"/>
  <c r="H68" i="38"/>
  <c r="R9" i="28" s="1"/>
  <c r="P68" i="38"/>
  <c r="R9" i="29" s="1"/>
  <c r="X68" i="38"/>
  <c r="R9" i="30" s="1"/>
  <c r="AF68" i="38"/>
  <c r="R9" i="31" s="1"/>
  <c r="I68" i="38"/>
  <c r="S9" i="28" s="1"/>
  <c r="Q68" i="38"/>
  <c r="S9" i="29" s="1"/>
  <c r="Y68" i="38"/>
  <c r="S9" i="30" s="1"/>
  <c r="AG68" i="38"/>
  <c r="S9" i="31" s="1"/>
  <c r="B69" i="38"/>
  <c r="L10" i="28" s="1"/>
  <c r="J69" i="38"/>
  <c r="L10" i="29" s="1"/>
  <c r="R69" i="38"/>
  <c r="L10" i="30" s="1"/>
  <c r="Z69" i="38"/>
  <c r="L10" i="31" s="1"/>
  <c r="C69" i="38"/>
  <c r="M10" i="28" s="1"/>
  <c r="K69" i="38"/>
  <c r="M10" i="29" s="1"/>
  <c r="S69" i="38"/>
  <c r="M10" i="30" s="1"/>
  <c r="AA69" i="38"/>
  <c r="M10" i="31" s="1"/>
  <c r="D69" i="38"/>
  <c r="N10" i="28" s="1"/>
  <c r="L69" i="38"/>
  <c r="N10" i="29" s="1"/>
  <c r="T69" i="38"/>
  <c r="N10" i="30" s="1"/>
  <c r="AB69" i="38"/>
  <c r="N10" i="31" s="1"/>
  <c r="E69" i="38"/>
  <c r="O10" i="28" s="1"/>
  <c r="M69" i="38"/>
  <c r="O10" i="29" s="1"/>
  <c r="U69" i="38"/>
  <c r="O10" i="30" s="1"/>
  <c r="AC69" i="38"/>
  <c r="O10" i="31" s="1"/>
  <c r="F69" i="38"/>
  <c r="P10" i="28" s="1"/>
  <c r="N69" i="38"/>
  <c r="P10" i="29" s="1"/>
  <c r="V69" i="38"/>
  <c r="P10" i="30" s="1"/>
  <c r="AD69" i="38"/>
  <c r="P10" i="31" s="1"/>
  <c r="G69" i="38"/>
  <c r="Q10" i="28" s="1"/>
  <c r="O69" i="38"/>
  <c r="Q10" i="29" s="1"/>
  <c r="W69" i="38"/>
  <c r="Q10" i="30" s="1"/>
  <c r="AE69" i="38"/>
  <c r="Q10" i="31" s="1"/>
  <c r="H69" i="38"/>
  <c r="R10" i="28" s="1"/>
  <c r="P69" i="38"/>
  <c r="R10" i="29" s="1"/>
  <c r="X69" i="38"/>
  <c r="R10" i="30" s="1"/>
  <c r="AF69" i="38"/>
  <c r="R10" i="31" s="1"/>
  <c r="I69" i="38"/>
  <c r="S10" i="28" s="1"/>
  <c r="Q69" i="38"/>
  <c r="S10" i="29" s="1"/>
  <c r="Y69" i="38"/>
  <c r="S10" i="30" s="1"/>
  <c r="AG69" i="38"/>
  <c r="S10" i="31" s="1"/>
  <c r="B70" i="38"/>
  <c r="L11" i="28" s="1"/>
  <c r="J70" i="38"/>
  <c r="L11" i="29" s="1"/>
  <c r="R70" i="38"/>
  <c r="L11" i="30" s="1"/>
  <c r="Z70" i="38"/>
  <c r="L11" i="31" s="1"/>
  <c r="C70" i="38"/>
  <c r="M11" i="28" s="1"/>
  <c r="K70" i="38"/>
  <c r="M11" i="29" s="1"/>
  <c r="S70" i="38"/>
  <c r="M11" i="30" s="1"/>
  <c r="AA70" i="38"/>
  <c r="M11" i="31" s="1"/>
  <c r="D70" i="38"/>
  <c r="N11" i="28" s="1"/>
  <c r="L70" i="38"/>
  <c r="N11" i="29" s="1"/>
  <c r="T70" i="38"/>
  <c r="N11" i="30" s="1"/>
  <c r="AB70" i="38"/>
  <c r="N11" i="31" s="1"/>
  <c r="E70" i="38"/>
  <c r="O11" i="28" s="1"/>
  <c r="M70" i="38"/>
  <c r="O11" i="29" s="1"/>
  <c r="U70" i="38"/>
  <c r="O11" i="30" s="1"/>
  <c r="AC70" i="38"/>
  <c r="O11" i="31" s="1"/>
  <c r="F70" i="38"/>
  <c r="P11" i="28" s="1"/>
  <c r="N70" i="38"/>
  <c r="P11" i="29" s="1"/>
  <c r="V70" i="38"/>
  <c r="P11" i="30" s="1"/>
  <c r="AD70" i="38"/>
  <c r="P11" i="31" s="1"/>
  <c r="G70" i="38"/>
  <c r="Q11" i="28" s="1"/>
  <c r="O70" i="38"/>
  <c r="Q11" i="29" s="1"/>
  <c r="W70" i="38"/>
  <c r="Q11" i="30" s="1"/>
  <c r="AE70" i="38"/>
  <c r="Q11" i="31" s="1"/>
  <c r="H70" i="38"/>
  <c r="R11" i="28" s="1"/>
  <c r="P70" i="38"/>
  <c r="R11" i="29" s="1"/>
  <c r="X70" i="38"/>
  <c r="R11" i="30" s="1"/>
  <c r="AF70" i="38"/>
  <c r="R11" i="31" s="1"/>
  <c r="I70" i="38"/>
  <c r="S11" i="28" s="1"/>
  <c r="Q70" i="38"/>
  <c r="S11" i="29" s="1"/>
  <c r="Y70" i="38"/>
  <c r="S11" i="30" s="1"/>
  <c r="AG70" i="38"/>
  <c r="S11" i="31" s="1"/>
  <c r="B71" i="38"/>
  <c r="L12" i="28" s="1"/>
  <c r="J71" i="38"/>
  <c r="L12" i="29" s="1"/>
  <c r="R71" i="38"/>
  <c r="L12" i="30" s="1"/>
  <c r="Z71" i="38"/>
  <c r="L12" i="31" s="1"/>
  <c r="C71" i="38"/>
  <c r="M12" i="28" s="1"/>
  <c r="K71" i="38"/>
  <c r="M12" i="29" s="1"/>
  <c r="S71" i="38"/>
  <c r="M12" i="30" s="1"/>
  <c r="AA71" i="38"/>
  <c r="M12" i="31" s="1"/>
  <c r="D71" i="38"/>
  <c r="N12" i="28" s="1"/>
  <c r="L71" i="38"/>
  <c r="N12" i="29" s="1"/>
  <c r="T71" i="38"/>
  <c r="N12" i="30" s="1"/>
  <c r="AB71" i="38"/>
  <c r="N12" i="31" s="1"/>
  <c r="E71" i="38"/>
  <c r="O12" i="28" s="1"/>
  <c r="M71" i="38"/>
  <c r="O12" i="29" s="1"/>
  <c r="U71" i="38"/>
  <c r="O12" i="30" s="1"/>
  <c r="AC71" i="38"/>
  <c r="O12" i="31" s="1"/>
  <c r="F71" i="38"/>
  <c r="P12" i="28" s="1"/>
  <c r="N71" i="38"/>
  <c r="P12" i="29" s="1"/>
  <c r="V71" i="38"/>
  <c r="P12" i="30" s="1"/>
  <c r="AD71" i="38"/>
  <c r="P12" i="31" s="1"/>
  <c r="G71" i="38"/>
  <c r="Q12" i="28" s="1"/>
  <c r="O71" i="38"/>
  <c r="Q12" i="29" s="1"/>
  <c r="W71" i="38"/>
  <c r="Q12" i="30" s="1"/>
  <c r="AE71" i="38"/>
  <c r="Q12" i="31" s="1"/>
  <c r="H71" i="38"/>
  <c r="R12" i="28" s="1"/>
  <c r="P71" i="38"/>
  <c r="R12" i="29" s="1"/>
  <c r="X71" i="38"/>
  <c r="R12" i="30" s="1"/>
  <c r="AF71" i="38"/>
  <c r="R12" i="31" s="1"/>
  <c r="I71" i="38"/>
  <c r="S12" i="28" s="1"/>
  <c r="Q71" i="38"/>
  <c r="S12" i="29" s="1"/>
  <c r="Y71" i="38"/>
  <c r="S12" i="30" s="1"/>
  <c r="AG71" i="38"/>
  <c r="S12" i="31" s="1"/>
  <c r="B72" i="38"/>
  <c r="L13" i="28" s="1"/>
  <c r="J72" i="38"/>
  <c r="L13" i="29" s="1"/>
  <c r="R72" i="38"/>
  <c r="L13" i="30" s="1"/>
  <c r="Z72" i="38"/>
  <c r="L13" i="31" s="1"/>
  <c r="C72" i="38"/>
  <c r="M13" i="28" s="1"/>
  <c r="K72" i="38"/>
  <c r="M13" i="29" s="1"/>
  <c r="S72" i="38"/>
  <c r="M13" i="30" s="1"/>
  <c r="AA72" i="38"/>
  <c r="M13" i="31" s="1"/>
  <c r="D72" i="38"/>
  <c r="N13" i="28" s="1"/>
  <c r="L72" i="38"/>
  <c r="N13" i="29" s="1"/>
  <c r="T72" i="38"/>
  <c r="N13" i="30" s="1"/>
  <c r="AB72" i="38"/>
  <c r="N13" i="31" s="1"/>
  <c r="E72" i="38"/>
  <c r="O13" i="28" s="1"/>
  <c r="M72" i="38"/>
  <c r="O13" i="29" s="1"/>
  <c r="U72" i="38"/>
  <c r="O13" i="30" s="1"/>
  <c r="AC72" i="38"/>
  <c r="O13" i="31" s="1"/>
  <c r="F72" i="38"/>
  <c r="P13" i="28" s="1"/>
  <c r="N72" i="38"/>
  <c r="P13" i="29" s="1"/>
  <c r="V72" i="38"/>
  <c r="P13" i="30" s="1"/>
  <c r="AD72" i="38"/>
  <c r="P13" i="31" s="1"/>
  <c r="G72" i="38"/>
  <c r="Q13" i="28" s="1"/>
  <c r="O72" i="38"/>
  <c r="Q13" i="29" s="1"/>
  <c r="W72" i="38"/>
  <c r="Q13" i="30" s="1"/>
  <c r="AE72" i="38"/>
  <c r="Q13" i="31" s="1"/>
  <c r="H72" i="38"/>
  <c r="R13" i="28" s="1"/>
  <c r="P72" i="38"/>
  <c r="R13" i="29" s="1"/>
  <c r="X72" i="38"/>
  <c r="R13" i="30" s="1"/>
  <c r="AF72" i="38"/>
  <c r="R13" i="31" s="1"/>
  <c r="I72" i="38"/>
  <c r="S13" i="28" s="1"/>
  <c r="Q72" i="38"/>
  <c r="S13" i="29" s="1"/>
  <c r="Y72" i="38"/>
  <c r="S13" i="30" s="1"/>
  <c r="AG72" i="38"/>
  <c r="S13" i="31" s="1"/>
  <c r="B73" i="38"/>
  <c r="L14" i="28" s="1"/>
  <c r="J73" i="38"/>
  <c r="L14" i="29" s="1"/>
  <c r="R73" i="38"/>
  <c r="L14" i="30" s="1"/>
  <c r="Z73" i="38"/>
  <c r="L14" i="31" s="1"/>
  <c r="C73" i="38"/>
  <c r="M14" i="28" s="1"/>
  <c r="K73" i="38"/>
  <c r="M14" i="29" s="1"/>
  <c r="S73" i="38"/>
  <c r="M14" i="30" s="1"/>
  <c r="AA73" i="38"/>
  <c r="M14" i="31" s="1"/>
  <c r="D73" i="38"/>
  <c r="N14" i="28" s="1"/>
  <c r="L73" i="38"/>
  <c r="N14" i="29" s="1"/>
  <c r="T73" i="38"/>
  <c r="N14" i="30" s="1"/>
  <c r="AB73" i="38"/>
  <c r="N14" i="31" s="1"/>
  <c r="E73" i="38"/>
  <c r="O14" i="28" s="1"/>
  <c r="M73" i="38"/>
  <c r="O14" i="29" s="1"/>
  <c r="U73" i="38"/>
  <c r="O14" i="30" s="1"/>
  <c r="AC73" i="38"/>
  <c r="O14" i="31" s="1"/>
  <c r="F73" i="38"/>
  <c r="P14" i="28" s="1"/>
  <c r="N73" i="38"/>
  <c r="P14" i="29" s="1"/>
  <c r="V73" i="38"/>
  <c r="P14" i="30" s="1"/>
  <c r="AD73" i="38"/>
  <c r="P14" i="31" s="1"/>
  <c r="G73" i="38"/>
  <c r="Q14" i="28" s="1"/>
  <c r="O73" i="38"/>
  <c r="Q14" i="29" s="1"/>
  <c r="W73" i="38"/>
  <c r="Q14" i="30" s="1"/>
  <c r="AE73" i="38"/>
  <c r="Q14" i="31" s="1"/>
  <c r="H73" i="38"/>
  <c r="R14" i="28" s="1"/>
  <c r="P73" i="38"/>
  <c r="R14" i="29" s="1"/>
  <c r="X73" i="38"/>
  <c r="R14" i="30" s="1"/>
  <c r="AF73" i="38"/>
  <c r="R14" i="31" s="1"/>
  <c r="I73" i="38"/>
  <c r="S14" i="28" s="1"/>
  <c r="Q73" i="38"/>
  <c r="S14" i="29" s="1"/>
  <c r="Y73" i="38"/>
  <c r="S14" i="30" s="1"/>
  <c r="AG73" i="38"/>
  <c r="S14" i="31" s="1"/>
  <c r="B74" i="38"/>
  <c r="L15" i="28" s="1"/>
  <c r="J74" i="38"/>
  <c r="L15" i="29" s="1"/>
  <c r="R74" i="38"/>
  <c r="L15" i="30" s="1"/>
  <c r="Z74" i="38"/>
  <c r="L15" i="31" s="1"/>
  <c r="C74" i="38"/>
  <c r="M15" i="28" s="1"/>
  <c r="K74" i="38"/>
  <c r="M15" i="29" s="1"/>
  <c r="S74" i="38"/>
  <c r="M15" i="30" s="1"/>
  <c r="AA74" i="38"/>
  <c r="M15" i="31" s="1"/>
  <c r="D74" i="38"/>
  <c r="N15" i="28" s="1"/>
  <c r="L74" i="38"/>
  <c r="N15" i="29" s="1"/>
  <c r="T74" i="38"/>
  <c r="N15" i="30" s="1"/>
  <c r="AB74" i="38"/>
  <c r="N15" i="31" s="1"/>
  <c r="E74" i="38"/>
  <c r="O15" i="28" s="1"/>
  <c r="M74" i="38"/>
  <c r="O15" i="29" s="1"/>
  <c r="U74" i="38"/>
  <c r="O15" i="30" s="1"/>
  <c r="AC74" i="38"/>
  <c r="O15" i="31" s="1"/>
  <c r="F74" i="38"/>
  <c r="P15" i="28" s="1"/>
  <c r="N74" i="38"/>
  <c r="P15" i="29" s="1"/>
  <c r="V74" i="38"/>
  <c r="P15" i="30" s="1"/>
  <c r="AD74" i="38"/>
  <c r="P15" i="31" s="1"/>
  <c r="G74" i="38"/>
  <c r="Q15" i="28" s="1"/>
  <c r="O74" i="38"/>
  <c r="Q15" i="29" s="1"/>
  <c r="W74" i="38"/>
  <c r="Q15" i="30" s="1"/>
  <c r="AE74" i="38"/>
  <c r="Q15" i="31" s="1"/>
  <c r="H74" i="38"/>
  <c r="R15" i="28" s="1"/>
  <c r="P74" i="38"/>
  <c r="R15" i="29" s="1"/>
  <c r="X74" i="38"/>
  <c r="R15" i="30" s="1"/>
  <c r="AF74" i="38"/>
  <c r="R15" i="31" s="1"/>
  <c r="I74" i="38"/>
  <c r="S15" i="28" s="1"/>
  <c r="Q74" i="38"/>
  <c r="S15" i="29" s="1"/>
  <c r="Y74" i="38"/>
  <c r="S15" i="30" s="1"/>
  <c r="AG74" i="38"/>
  <c r="S15" i="31" s="1"/>
  <c r="B75" i="38"/>
  <c r="L16" i="28" s="1"/>
  <c r="J75" i="38"/>
  <c r="L16" i="29" s="1"/>
  <c r="R75" i="38"/>
  <c r="L16" i="30" s="1"/>
  <c r="Z75" i="38"/>
  <c r="L16" i="31" s="1"/>
  <c r="C75" i="38"/>
  <c r="M16" i="28" s="1"/>
  <c r="K75" i="38"/>
  <c r="M16" i="29" s="1"/>
  <c r="S75" i="38"/>
  <c r="M16" i="30" s="1"/>
  <c r="AA75" i="38"/>
  <c r="M16" i="31" s="1"/>
  <c r="D75" i="38"/>
  <c r="N16" i="28" s="1"/>
  <c r="L75" i="38"/>
  <c r="N16" i="29" s="1"/>
  <c r="T75" i="38"/>
  <c r="N16" i="30" s="1"/>
  <c r="AB75" i="38"/>
  <c r="N16" i="31" s="1"/>
  <c r="E75" i="38"/>
  <c r="O16" i="28" s="1"/>
  <c r="M75" i="38"/>
  <c r="O16" i="29" s="1"/>
  <c r="U75" i="38"/>
  <c r="O16" i="30" s="1"/>
  <c r="AC75" i="38"/>
  <c r="O16" i="31" s="1"/>
  <c r="F75" i="38"/>
  <c r="P16" i="28" s="1"/>
  <c r="N75" i="38"/>
  <c r="P16" i="29" s="1"/>
  <c r="V75" i="38"/>
  <c r="P16" i="30" s="1"/>
  <c r="AD75" i="38"/>
  <c r="P16" i="31" s="1"/>
  <c r="G75" i="38"/>
  <c r="Q16" i="28" s="1"/>
  <c r="O75" i="38"/>
  <c r="Q16" i="29" s="1"/>
  <c r="W75" i="38"/>
  <c r="Q16" i="30" s="1"/>
  <c r="AE75" i="38"/>
  <c r="Q16" i="31" s="1"/>
  <c r="H75" i="38"/>
  <c r="R16" i="28" s="1"/>
  <c r="P75" i="38"/>
  <c r="R16" i="29" s="1"/>
  <c r="X75" i="38"/>
  <c r="R16" i="30" s="1"/>
  <c r="AF75" i="38"/>
  <c r="R16" i="31" s="1"/>
  <c r="I75" i="38"/>
  <c r="S16" i="28" s="1"/>
  <c r="Q75" i="38"/>
  <c r="S16" i="29" s="1"/>
  <c r="Y75" i="38"/>
  <c r="S16" i="30" s="1"/>
  <c r="AG75" i="38"/>
  <c r="S16" i="31" s="1"/>
  <c r="B76" i="38"/>
  <c r="L17" i="28" s="1"/>
  <c r="J76" i="38"/>
  <c r="L17" i="29" s="1"/>
  <c r="R76" i="38"/>
  <c r="L17" i="30" s="1"/>
  <c r="Z76" i="38"/>
  <c r="L17" i="31" s="1"/>
  <c r="C76" i="38"/>
  <c r="M17" i="28" s="1"/>
  <c r="K76" i="38"/>
  <c r="M17" i="29" s="1"/>
  <c r="S76" i="38"/>
  <c r="M17" i="30" s="1"/>
  <c r="AA76" i="38"/>
  <c r="M17" i="31" s="1"/>
  <c r="D76" i="38"/>
  <c r="N17" i="28" s="1"/>
  <c r="L76" i="38"/>
  <c r="N17" i="29" s="1"/>
  <c r="T76" i="38"/>
  <c r="N17" i="30" s="1"/>
  <c r="AB76" i="38"/>
  <c r="N17" i="31" s="1"/>
  <c r="E76" i="38"/>
  <c r="O17" i="28" s="1"/>
  <c r="M76" i="38"/>
  <c r="O17" i="29" s="1"/>
  <c r="U76" i="38"/>
  <c r="O17" i="30" s="1"/>
  <c r="AC76" i="38"/>
  <c r="O17" i="31" s="1"/>
  <c r="F76" i="38"/>
  <c r="P17" i="28" s="1"/>
  <c r="N76" i="38"/>
  <c r="P17" i="29" s="1"/>
  <c r="V76" i="38"/>
  <c r="P17" i="30" s="1"/>
  <c r="AD76" i="38"/>
  <c r="P17" i="31" s="1"/>
  <c r="G76" i="38"/>
  <c r="Q17" i="28" s="1"/>
  <c r="O76" i="38"/>
  <c r="Q17" i="29" s="1"/>
  <c r="W76" i="38"/>
  <c r="Q17" i="30" s="1"/>
  <c r="AE76" i="38"/>
  <c r="Q17" i="31" s="1"/>
  <c r="H76" i="38"/>
  <c r="R17" i="28" s="1"/>
  <c r="P76" i="38"/>
  <c r="R17" i="29" s="1"/>
  <c r="X76" i="38"/>
  <c r="R17" i="30" s="1"/>
  <c r="AF76" i="38"/>
  <c r="R17" i="31" s="1"/>
  <c r="I76" i="38"/>
  <c r="S17" i="28" s="1"/>
  <c r="Q76" i="38"/>
  <c r="S17" i="29" s="1"/>
  <c r="Y76" i="38"/>
  <c r="S17" i="30" s="1"/>
  <c r="AG76" i="38"/>
  <c r="S17" i="31" s="1"/>
  <c r="B77" i="38"/>
  <c r="L18" i="28" s="1"/>
  <c r="J77" i="38"/>
  <c r="L18" i="29" s="1"/>
  <c r="R77" i="38"/>
  <c r="L18" i="30" s="1"/>
  <c r="Z77" i="38"/>
  <c r="L18" i="31" s="1"/>
  <c r="C77" i="38"/>
  <c r="M18" i="28" s="1"/>
  <c r="K77" i="38"/>
  <c r="M18" i="29" s="1"/>
  <c r="S77" i="38"/>
  <c r="M18" i="30" s="1"/>
  <c r="AA77" i="38"/>
  <c r="M18" i="31" s="1"/>
  <c r="D77" i="38"/>
  <c r="N18" i="28" s="1"/>
  <c r="L77" i="38"/>
  <c r="N18" i="29" s="1"/>
  <c r="T77" i="38"/>
  <c r="N18" i="30" s="1"/>
  <c r="AB77" i="38"/>
  <c r="N18" i="31" s="1"/>
  <c r="E77" i="38"/>
  <c r="O18" i="28" s="1"/>
  <c r="M77" i="38"/>
  <c r="O18" i="29" s="1"/>
  <c r="U77" i="38"/>
  <c r="O18" i="30" s="1"/>
  <c r="AC77" i="38"/>
  <c r="O18" i="31" s="1"/>
  <c r="F77" i="38"/>
  <c r="P18" i="28" s="1"/>
  <c r="N77" i="38"/>
  <c r="P18" i="29" s="1"/>
  <c r="V77" i="38"/>
  <c r="P18" i="30" s="1"/>
  <c r="AD77" i="38"/>
  <c r="P18" i="31" s="1"/>
  <c r="G77" i="38"/>
  <c r="Q18" i="28" s="1"/>
  <c r="O77" i="38"/>
  <c r="Q18" i="29" s="1"/>
  <c r="W77" i="38"/>
  <c r="Q18" i="30" s="1"/>
  <c r="AE77" i="38"/>
  <c r="Q18" i="31" s="1"/>
  <c r="H77" i="38"/>
  <c r="R18" i="28" s="1"/>
  <c r="P77" i="38"/>
  <c r="R18" i="29" s="1"/>
  <c r="X77" i="38"/>
  <c r="R18" i="30" s="1"/>
  <c r="AF77" i="38"/>
  <c r="R18" i="31" s="1"/>
  <c r="I77" i="38"/>
  <c r="S18" i="28" s="1"/>
  <c r="Q77" i="38"/>
  <c r="S18" i="29" s="1"/>
  <c r="Y77" i="38"/>
  <c r="S18" i="30" s="1"/>
  <c r="AG77" i="38"/>
  <c r="S18" i="31" s="1"/>
  <c r="B78" i="38"/>
  <c r="L19" i="28" s="1"/>
  <c r="J78" i="38"/>
  <c r="L19" i="29" s="1"/>
  <c r="R78" i="38"/>
  <c r="L19" i="30" s="1"/>
  <c r="Z78" i="38"/>
  <c r="L19" i="31" s="1"/>
  <c r="C78" i="38"/>
  <c r="M19" i="28" s="1"/>
  <c r="K78" i="38"/>
  <c r="M19" i="29" s="1"/>
  <c r="S78" i="38"/>
  <c r="M19" i="30" s="1"/>
  <c r="AA78" i="38"/>
  <c r="M19" i="31" s="1"/>
  <c r="D78" i="38"/>
  <c r="N19" i="28" s="1"/>
  <c r="L78" i="38"/>
  <c r="N19" i="29" s="1"/>
  <c r="T78" i="38"/>
  <c r="N19" i="30" s="1"/>
  <c r="AB78" i="38"/>
  <c r="N19" i="31" s="1"/>
  <c r="E78" i="38"/>
  <c r="O19" i="28" s="1"/>
  <c r="M78" i="38"/>
  <c r="O19" i="29" s="1"/>
  <c r="U78" i="38"/>
  <c r="O19" i="30" s="1"/>
  <c r="AC78" i="38"/>
  <c r="O19" i="31" s="1"/>
  <c r="F78" i="38"/>
  <c r="P19" i="28" s="1"/>
  <c r="N78" i="38"/>
  <c r="P19" i="29" s="1"/>
  <c r="V78" i="38"/>
  <c r="P19" i="30" s="1"/>
  <c r="AD78" i="38"/>
  <c r="P19" i="31" s="1"/>
  <c r="G78" i="38"/>
  <c r="Q19" i="28" s="1"/>
  <c r="O78" i="38"/>
  <c r="Q19" i="29" s="1"/>
  <c r="W78" i="38"/>
  <c r="Q19" i="30" s="1"/>
  <c r="AE78" i="38"/>
  <c r="Q19" i="31" s="1"/>
  <c r="H78" i="38"/>
  <c r="R19" i="28" s="1"/>
  <c r="P78" i="38"/>
  <c r="R19" i="29" s="1"/>
  <c r="X78" i="38"/>
  <c r="R19" i="30" s="1"/>
  <c r="AF78" i="38"/>
  <c r="R19" i="31" s="1"/>
  <c r="I78" i="38"/>
  <c r="S19" i="28" s="1"/>
  <c r="Q78" i="38"/>
  <c r="S19" i="29" s="1"/>
  <c r="Y78" i="38"/>
  <c r="S19" i="30" s="1"/>
  <c r="AG78" i="38"/>
  <c r="S19" i="31" s="1"/>
  <c r="B79" i="38"/>
  <c r="L20" i="28" s="1"/>
  <c r="J79" i="38"/>
  <c r="L20" i="29" s="1"/>
  <c r="R79" i="38"/>
  <c r="L20" i="30" s="1"/>
  <c r="Z79" i="38"/>
  <c r="L20" i="31" s="1"/>
  <c r="C79" i="38"/>
  <c r="M20" i="28" s="1"/>
  <c r="K79" i="38"/>
  <c r="M20" i="29" s="1"/>
  <c r="S79" i="38"/>
  <c r="M20" i="30" s="1"/>
  <c r="AA79" i="38"/>
  <c r="M20" i="31" s="1"/>
  <c r="D79" i="38"/>
  <c r="N20" i="28" s="1"/>
  <c r="L79" i="38"/>
  <c r="N20" i="29" s="1"/>
  <c r="T79" i="38"/>
  <c r="N20" i="30" s="1"/>
  <c r="AB79" i="38"/>
  <c r="N20" i="31" s="1"/>
  <c r="E79" i="38"/>
  <c r="O20" i="28" s="1"/>
  <c r="M79" i="38"/>
  <c r="O20" i="29" s="1"/>
  <c r="U79" i="38"/>
  <c r="O20" i="30" s="1"/>
  <c r="AC79" i="38"/>
  <c r="O20" i="31" s="1"/>
  <c r="F79" i="38"/>
  <c r="P20" i="28" s="1"/>
  <c r="N79" i="38"/>
  <c r="P20" i="29" s="1"/>
  <c r="V79" i="38"/>
  <c r="P20" i="30" s="1"/>
  <c r="AD79" i="38"/>
  <c r="P20" i="31" s="1"/>
  <c r="G79" i="38"/>
  <c r="Q20" i="28" s="1"/>
  <c r="O79" i="38"/>
  <c r="Q20" i="29" s="1"/>
  <c r="W79" i="38"/>
  <c r="Q20" i="30" s="1"/>
  <c r="AE79" i="38"/>
  <c r="Q20" i="31" s="1"/>
  <c r="H79" i="38"/>
  <c r="R20" i="28" s="1"/>
  <c r="P79" i="38"/>
  <c r="R20" i="29" s="1"/>
  <c r="X79" i="38"/>
  <c r="R20" i="30" s="1"/>
  <c r="AF79" i="38"/>
  <c r="R20" i="31" s="1"/>
  <c r="I79" i="38"/>
  <c r="S20" i="28" s="1"/>
  <c r="Q79" i="38"/>
  <c r="S20" i="29" s="1"/>
  <c r="Y79" i="38"/>
  <c r="S20" i="30" s="1"/>
  <c r="AG79" i="38"/>
  <c r="S20" i="31" s="1"/>
  <c r="B80" i="38"/>
  <c r="L21" i="28" s="1"/>
  <c r="J80" i="38"/>
  <c r="L21" i="29" s="1"/>
  <c r="R80" i="38"/>
  <c r="L21" i="30" s="1"/>
  <c r="Z80" i="38"/>
  <c r="L21" i="31" s="1"/>
  <c r="C80" i="38"/>
  <c r="M21" i="28" s="1"/>
  <c r="K80" i="38"/>
  <c r="M21" i="29" s="1"/>
  <c r="S80" i="38"/>
  <c r="M21" i="30" s="1"/>
  <c r="AA80" i="38"/>
  <c r="M21" i="31" s="1"/>
  <c r="D80" i="38"/>
  <c r="N21" i="28" s="1"/>
  <c r="L80" i="38"/>
  <c r="N21" i="29" s="1"/>
  <c r="T80" i="38"/>
  <c r="N21" i="30" s="1"/>
  <c r="AB80" i="38"/>
  <c r="N21" i="31" s="1"/>
  <c r="E80" i="38"/>
  <c r="O21" i="28" s="1"/>
  <c r="M80" i="38"/>
  <c r="O21" i="29" s="1"/>
  <c r="U80" i="38"/>
  <c r="O21" i="30" s="1"/>
  <c r="AC80" i="38"/>
  <c r="O21" i="31" s="1"/>
  <c r="F80" i="38"/>
  <c r="P21" i="28" s="1"/>
  <c r="N80" i="38"/>
  <c r="P21" i="29" s="1"/>
  <c r="V80" i="38"/>
  <c r="P21" i="30" s="1"/>
  <c r="AD80" i="38"/>
  <c r="P21" i="31" s="1"/>
  <c r="G80" i="38"/>
  <c r="Q21" i="28" s="1"/>
  <c r="O80" i="38"/>
  <c r="Q21" i="29" s="1"/>
  <c r="W80" i="38"/>
  <c r="Q21" i="30" s="1"/>
  <c r="AE80" i="38"/>
  <c r="Q21" i="31" s="1"/>
  <c r="H80" i="38"/>
  <c r="R21" i="28" s="1"/>
  <c r="P80" i="38"/>
  <c r="R21" i="29" s="1"/>
  <c r="X80" i="38"/>
  <c r="R21" i="30" s="1"/>
  <c r="AF80" i="38"/>
  <c r="R21" i="31" s="1"/>
  <c r="I80" i="38"/>
  <c r="S21" i="28" s="1"/>
  <c r="Q80" i="38"/>
  <c r="S21" i="29" s="1"/>
  <c r="Y80" i="38"/>
  <c r="S21" i="30" s="1"/>
  <c r="AG80" i="38"/>
  <c r="S21" i="31" s="1"/>
  <c r="B81" i="38"/>
  <c r="L22" i="28" s="1"/>
  <c r="J81" i="38"/>
  <c r="L22" i="29" s="1"/>
  <c r="R81" i="38"/>
  <c r="L22" i="30" s="1"/>
  <c r="Z81" i="38"/>
  <c r="L22" i="31" s="1"/>
  <c r="C81" i="38"/>
  <c r="M22" i="28" s="1"/>
  <c r="K81" i="38"/>
  <c r="M22" i="29" s="1"/>
  <c r="S81" i="38"/>
  <c r="M22" i="30" s="1"/>
  <c r="AA81" i="38"/>
  <c r="M22" i="31" s="1"/>
  <c r="D81" i="38"/>
  <c r="N22" i="28" s="1"/>
  <c r="L81" i="38"/>
  <c r="N22" i="29" s="1"/>
  <c r="T81" i="38"/>
  <c r="N22" i="30" s="1"/>
  <c r="AB81" i="38"/>
  <c r="N22" i="31" s="1"/>
  <c r="E81" i="38"/>
  <c r="O22" i="28" s="1"/>
  <c r="M81" i="38"/>
  <c r="O22" i="29" s="1"/>
  <c r="U81" i="38"/>
  <c r="O22" i="30" s="1"/>
  <c r="AC81" i="38"/>
  <c r="O22" i="31" s="1"/>
  <c r="F81" i="38"/>
  <c r="P22" i="28" s="1"/>
  <c r="N81" i="38"/>
  <c r="P22" i="29" s="1"/>
  <c r="V81" i="38"/>
  <c r="P22" i="30" s="1"/>
  <c r="AD81" i="38"/>
  <c r="P22" i="31" s="1"/>
  <c r="G81" i="38"/>
  <c r="Q22" i="28" s="1"/>
  <c r="O81" i="38"/>
  <c r="Q22" i="29" s="1"/>
  <c r="W81" i="38"/>
  <c r="Q22" i="30" s="1"/>
  <c r="AE81" i="38"/>
  <c r="Q22" i="31" s="1"/>
  <c r="H81" i="38"/>
  <c r="R22" i="28" s="1"/>
  <c r="P81" i="38"/>
  <c r="R22" i="29" s="1"/>
  <c r="X81" i="38"/>
  <c r="R22" i="30" s="1"/>
  <c r="AF81" i="38"/>
  <c r="R22" i="31" s="1"/>
  <c r="I81" i="38"/>
  <c r="S22" i="28" s="1"/>
  <c r="Q81" i="38"/>
  <c r="S22" i="29" s="1"/>
  <c r="Y81" i="38"/>
  <c r="S22" i="30" s="1"/>
  <c r="AG81" i="38"/>
  <c r="S22" i="31" s="1"/>
  <c r="B82" i="38"/>
  <c r="L23" i="28" s="1"/>
  <c r="J82" i="38"/>
  <c r="L23" i="29" s="1"/>
  <c r="R82" i="38"/>
  <c r="L23" i="30" s="1"/>
  <c r="Z82" i="38"/>
  <c r="L23" i="31" s="1"/>
  <c r="C82" i="38"/>
  <c r="M23" i="28" s="1"/>
  <c r="K82" i="38"/>
  <c r="M23" i="29" s="1"/>
  <c r="S82" i="38"/>
  <c r="M23" i="30" s="1"/>
  <c r="AA82" i="38"/>
  <c r="M23" i="31" s="1"/>
  <c r="D82" i="38"/>
  <c r="N23" i="28" s="1"/>
  <c r="L82" i="38"/>
  <c r="N23" i="29" s="1"/>
  <c r="T82" i="38"/>
  <c r="N23" i="30" s="1"/>
  <c r="AB82" i="38"/>
  <c r="N23" i="31" s="1"/>
  <c r="E82" i="38"/>
  <c r="O23" i="28" s="1"/>
  <c r="M82" i="38"/>
  <c r="O23" i="29" s="1"/>
  <c r="U82" i="38"/>
  <c r="O23" i="30" s="1"/>
  <c r="AC82" i="38"/>
  <c r="O23" i="31" s="1"/>
  <c r="F82" i="38"/>
  <c r="P23" i="28" s="1"/>
  <c r="N82" i="38"/>
  <c r="P23" i="29" s="1"/>
  <c r="V82" i="38"/>
  <c r="P23" i="30" s="1"/>
  <c r="AD82" i="38"/>
  <c r="P23" i="31" s="1"/>
  <c r="G82" i="38"/>
  <c r="Q23" i="28" s="1"/>
  <c r="O82" i="38"/>
  <c r="Q23" i="29" s="1"/>
  <c r="W82" i="38"/>
  <c r="Q23" i="30" s="1"/>
  <c r="AE82" i="38"/>
  <c r="Q23" i="31" s="1"/>
  <c r="H82" i="38"/>
  <c r="R23" i="28" s="1"/>
  <c r="P82" i="38"/>
  <c r="R23" i="29" s="1"/>
  <c r="X82" i="38"/>
  <c r="R23" i="30" s="1"/>
  <c r="AF82" i="38"/>
  <c r="R23" i="31" s="1"/>
  <c r="I82" i="38"/>
  <c r="S23" i="28" s="1"/>
  <c r="Q82" i="38"/>
  <c r="S23" i="29" s="1"/>
  <c r="Y82" i="38"/>
  <c r="S23" i="30" s="1"/>
  <c r="AG82" i="38"/>
  <c r="S23" i="31" s="1"/>
  <c r="B83" i="38"/>
  <c r="L24" i="28" s="1"/>
  <c r="J83" i="38"/>
  <c r="L24" i="29" s="1"/>
  <c r="R83" i="38"/>
  <c r="L24" i="30" s="1"/>
  <c r="Z83" i="38"/>
  <c r="L24" i="31" s="1"/>
  <c r="C83" i="38"/>
  <c r="M24" i="28" s="1"/>
  <c r="K83" i="38"/>
  <c r="M24" i="29" s="1"/>
  <c r="S83" i="38"/>
  <c r="M24" i="30" s="1"/>
  <c r="AA83" i="38"/>
  <c r="M24" i="31" s="1"/>
  <c r="D83" i="38"/>
  <c r="N24" i="28" s="1"/>
  <c r="L83" i="38"/>
  <c r="N24" i="29" s="1"/>
  <c r="T83" i="38"/>
  <c r="N24" i="30" s="1"/>
  <c r="AB83" i="38"/>
  <c r="N24" i="31" s="1"/>
  <c r="E83" i="38"/>
  <c r="O24" i="28" s="1"/>
  <c r="M83" i="38"/>
  <c r="O24" i="29" s="1"/>
  <c r="U83" i="38"/>
  <c r="O24" i="30" s="1"/>
  <c r="AC83" i="38"/>
  <c r="O24" i="31" s="1"/>
  <c r="F83" i="38"/>
  <c r="P24" i="28" s="1"/>
  <c r="N83" i="38"/>
  <c r="P24" i="29" s="1"/>
  <c r="V83" i="38"/>
  <c r="P24" i="30" s="1"/>
  <c r="AD83" i="38"/>
  <c r="P24" i="31" s="1"/>
  <c r="G83" i="38"/>
  <c r="Q24" i="28" s="1"/>
  <c r="O83" i="38"/>
  <c r="Q24" i="29" s="1"/>
  <c r="W83" i="38"/>
  <c r="Q24" i="30" s="1"/>
  <c r="AE83" i="38"/>
  <c r="Q24" i="31" s="1"/>
  <c r="H83" i="38"/>
  <c r="R24" i="28" s="1"/>
  <c r="P83" i="38"/>
  <c r="R24" i="29" s="1"/>
  <c r="X83" i="38"/>
  <c r="R24" i="30" s="1"/>
  <c r="AF83" i="38"/>
  <c r="R24" i="31" s="1"/>
  <c r="I83" i="38"/>
  <c r="S24" i="28" s="1"/>
  <c r="Q83" i="38"/>
  <c r="S24" i="29" s="1"/>
  <c r="Y83" i="38"/>
  <c r="S24" i="30" s="1"/>
  <c r="AG83" i="38"/>
  <c r="S24" i="31" s="1"/>
  <c r="B84" i="38"/>
  <c r="L25" i="28" s="1"/>
  <c r="J84" i="38"/>
  <c r="L25" i="29" s="1"/>
  <c r="R84" i="38"/>
  <c r="L25" i="30" s="1"/>
  <c r="Z84" i="38"/>
  <c r="L25" i="31" s="1"/>
  <c r="C84" i="38"/>
  <c r="M25" i="28" s="1"/>
  <c r="K84" i="38"/>
  <c r="M25" i="29" s="1"/>
  <c r="S84" i="38"/>
  <c r="M25" i="30" s="1"/>
  <c r="AA84" i="38"/>
  <c r="M25" i="31" s="1"/>
  <c r="D84" i="38"/>
  <c r="N25" i="28" s="1"/>
  <c r="L84" i="38"/>
  <c r="N25" i="29" s="1"/>
  <c r="T84" i="38"/>
  <c r="N25" i="30" s="1"/>
  <c r="AB84" i="38"/>
  <c r="N25" i="31" s="1"/>
  <c r="E84" i="38"/>
  <c r="O25" i="28" s="1"/>
  <c r="M84" i="38"/>
  <c r="O25" i="29" s="1"/>
  <c r="U84" i="38"/>
  <c r="O25" i="30" s="1"/>
  <c r="AC84" i="38"/>
  <c r="O25" i="31" s="1"/>
  <c r="F84" i="38"/>
  <c r="P25" i="28" s="1"/>
  <c r="N84" i="38"/>
  <c r="P25" i="29" s="1"/>
  <c r="V84" i="38"/>
  <c r="P25" i="30" s="1"/>
  <c r="AD84" i="38"/>
  <c r="P25" i="31" s="1"/>
  <c r="G84" i="38"/>
  <c r="Q25" i="28" s="1"/>
  <c r="O84" i="38"/>
  <c r="Q25" i="29" s="1"/>
  <c r="W84" i="38"/>
  <c r="Q25" i="30" s="1"/>
  <c r="AE84" i="38"/>
  <c r="Q25" i="31" s="1"/>
  <c r="H84" i="38"/>
  <c r="R25" i="28" s="1"/>
  <c r="P84" i="38"/>
  <c r="R25" i="29" s="1"/>
  <c r="X84" i="38"/>
  <c r="R25" i="30" s="1"/>
  <c r="AF84" i="38"/>
  <c r="R25" i="31" s="1"/>
  <c r="I84" i="38"/>
  <c r="S25" i="28" s="1"/>
  <c r="Q84" i="38"/>
  <c r="S25" i="29" s="1"/>
  <c r="Y84" i="38"/>
  <c r="S25" i="30" s="1"/>
  <c r="AG84" i="38"/>
  <c r="S25" i="31" s="1"/>
  <c r="B85" i="38"/>
  <c r="L26" i="28" s="1"/>
  <c r="J85" i="38"/>
  <c r="L26" i="29" s="1"/>
  <c r="R85" i="38"/>
  <c r="L26" i="30" s="1"/>
  <c r="Z85" i="38"/>
  <c r="L26" i="31" s="1"/>
  <c r="C85" i="38"/>
  <c r="M26" i="28" s="1"/>
  <c r="K85" i="38"/>
  <c r="M26" i="29" s="1"/>
  <c r="S85" i="38"/>
  <c r="M26" i="30" s="1"/>
  <c r="AA85" i="38"/>
  <c r="M26" i="31" s="1"/>
  <c r="D85" i="38"/>
  <c r="N26" i="28" s="1"/>
  <c r="L85" i="38"/>
  <c r="N26" i="29" s="1"/>
  <c r="T85" i="38"/>
  <c r="N26" i="30" s="1"/>
  <c r="AB85" i="38"/>
  <c r="N26" i="31" s="1"/>
  <c r="E85" i="38"/>
  <c r="O26" i="28" s="1"/>
  <c r="M85" i="38"/>
  <c r="O26" i="29" s="1"/>
  <c r="U85" i="38"/>
  <c r="O26" i="30" s="1"/>
  <c r="AC85" i="38"/>
  <c r="O26" i="31" s="1"/>
  <c r="F85" i="38"/>
  <c r="P26" i="28" s="1"/>
  <c r="N85" i="38"/>
  <c r="P26" i="29" s="1"/>
  <c r="V85" i="38"/>
  <c r="P26" i="30" s="1"/>
  <c r="AD85" i="38"/>
  <c r="P26" i="31" s="1"/>
  <c r="G85" i="38"/>
  <c r="Q26" i="28" s="1"/>
  <c r="O85" i="38"/>
  <c r="Q26" i="29" s="1"/>
  <c r="W85" i="38"/>
  <c r="Q26" i="30" s="1"/>
  <c r="AE85" i="38"/>
  <c r="Q26" i="31" s="1"/>
  <c r="H85" i="38"/>
  <c r="R26" i="28" s="1"/>
  <c r="P85" i="38"/>
  <c r="R26" i="29" s="1"/>
  <c r="X85" i="38"/>
  <c r="R26" i="30" s="1"/>
  <c r="AF85" i="38"/>
  <c r="R26" i="31" s="1"/>
  <c r="I85" i="38"/>
  <c r="S26" i="28" s="1"/>
  <c r="Q85" i="38"/>
  <c r="S26" i="29" s="1"/>
  <c r="Y85" i="38"/>
  <c r="S26" i="30" s="1"/>
  <c r="AG85" i="38"/>
  <c r="S26" i="31" s="1"/>
  <c r="B86" i="38"/>
  <c r="L27" i="28" s="1"/>
  <c r="J86" i="38"/>
  <c r="L27" i="29" s="1"/>
  <c r="R86" i="38"/>
  <c r="L27" i="30" s="1"/>
  <c r="Z86" i="38"/>
  <c r="L27" i="31" s="1"/>
  <c r="C86" i="38"/>
  <c r="M27" i="28" s="1"/>
  <c r="K86" i="38"/>
  <c r="M27" i="29" s="1"/>
  <c r="S86" i="38"/>
  <c r="M27" i="30" s="1"/>
  <c r="AA86" i="38"/>
  <c r="M27" i="31" s="1"/>
  <c r="D86" i="38"/>
  <c r="N27" i="28" s="1"/>
  <c r="L86" i="38"/>
  <c r="N27" i="29" s="1"/>
  <c r="T86" i="38"/>
  <c r="N27" i="30" s="1"/>
  <c r="AB86" i="38"/>
  <c r="N27" i="31" s="1"/>
  <c r="E86" i="38"/>
  <c r="O27" i="28" s="1"/>
  <c r="M86" i="38"/>
  <c r="O27" i="29" s="1"/>
  <c r="U86" i="38"/>
  <c r="O27" i="30" s="1"/>
  <c r="AC86" i="38"/>
  <c r="O27" i="31" s="1"/>
  <c r="F86" i="38"/>
  <c r="P27" i="28" s="1"/>
  <c r="N86" i="38"/>
  <c r="P27" i="29" s="1"/>
  <c r="V86" i="38"/>
  <c r="P27" i="30" s="1"/>
  <c r="AD86" i="38"/>
  <c r="P27" i="31" s="1"/>
  <c r="G86" i="38"/>
  <c r="Q27" i="28" s="1"/>
  <c r="O86" i="38"/>
  <c r="Q27" i="29" s="1"/>
  <c r="W86" i="38"/>
  <c r="Q27" i="30" s="1"/>
  <c r="AE86" i="38"/>
  <c r="Q27" i="31" s="1"/>
  <c r="H86" i="38"/>
  <c r="R27" i="28" s="1"/>
  <c r="P86" i="38"/>
  <c r="R27" i="29" s="1"/>
  <c r="X86" i="38"/>
  <c r="R27" i="30" s="1"/>
  <c r="AF86" i="38"/>
  <c r="R27" i="31" s="1"/>
  <c r="I86" i="38"/>
  <c r="S27" i="28" s="1"/>
  <c r="Q86" i="38"/>
  <c r="S27" i="29" s="1"/>
  <c r="Y86" i="38"/>
  <c r="S27" i="30" s="1"/>
  <c r="AG86" i="38"/>
  <c r="S27" i="31" s="1"/>
  <c r="B87" i="38"/>
  <c r="L28" i="28" s="1"/>
  <c r="J87" i="38"/>
  <c r="L28" i="29" s="1"/>
  <c r="R87" i="38"/>
  <c r="L28" i="30" s="1"/>
  <c r="Z87" i="38"/>
  <c r="L28" i="31" s="1"/>
  <c r="C87" i="38"/>
  <c r="M28" i="28" s="1"/>
  <c r="K87" i="38"/>
  <c r="M28" i="29" s="1"/>
  <c r="S87" i="38"/>
  <c r="M28" i="30" s="1"/>
  <c r="AA87" i="38"/>
  <c r="M28" i="31" s="1"/>
  <c r="D87" i="38"/>
  <c r="N28" i="28" s="1"/>
  <c r="L87" i="38"/>
  <c r="N28" i="29" s="1"/>
  <c r="T87" i="38"/>
  <c r="N28" i="30" s="1"/>
  <c r="AB87" i="38"/>
  <c r="N28" i="31" s="1"/>
  <c r="E87" i="38"/>
  <c r="O28" i="28" s="1"/>
  <c r="M87" i="38"/>
  <c r="O28" i="29" s="1"/>
  <c r="U87" i="38"/>
  <c r="O28" i="30" s="1"/>
  <c r="AC87" i="38"/>
  <c r="O28" i="31" s="1"/>
  <c r="F87" i="38"/>
  <c r="P28" i="28" s="1"/>
  <c r="N87" i="38"/>
  <c r="P28" i="29" s="1"/>
  <c r="V87" i="38"/>
  <c r="P28" i="30" s="1"/>
  <c r="AD87" i="38"/>
  <c r="P28" i="31" s="1"/>
  <c r="G87" i="38"/>
  <c r="Q28" i="28" s="1"/>
  <c r="O87" i="38"/>
  <c r="Q28" i="29" s="1"/>
  <c r="W87" i="38"/>
  <c r="Q28" i="30" s="1"/>
  <c r="AE87" i="38"/>
  <c r="Q28" i="31" s="1"/>
  <c r="H87" i="38"/>
  <c r="R28" i="28" s="1"/>
  <c r="P87" i="38"/>
  <c r="R28" i="29" s="1"/>
  <c r="X87" i="38"/>
  <c r="R28" i="30" s="1"/>
  <c r="AF87" i="38"/>
  <c r="R28" i="31" s="1"/>
  <c r="I87" i="38"/>
  <c r="S28" i="28" s="1"/>
  <c r="Q87" i="38"/>
  <c r="S28" i="29" s="1"/>
  <c r="Y87" i="38"/>
  <c r="S28" i="30" s="1"/>
  <c r="AG87" i="38"/>
  <c r="S28" i="31" s="1"/>
  <c r="B88" i="38"/>
  <c r="L29" i="28" s="1"/>
  <c r="J88" i="38"/>
  <c r="L29" i="29" s="1"/>
  <c r="R88" i="38"/>
  <c r="L29" i="30" s="1"/>
  <c r="Z88" i="38"/>
  <c r="L29" i="31" s="1"/>
  <c r="C88" i="38"/>
  <c r="M29" i="28" s="1"/>
  <c r="K88" i="38"/>
  <c r="M29" i="29" s="1"/>
  <c r="S88" i="38"/>
  <c r="M29" i="30" s="1"/>
  <c r="AA88" i="38"/>
  <c r="M29" i="31" s="1"/>
  <c r="D88" i="38"/>
  <c r="N29" i="28" s="1"/>
  <c r="L88" i="38"/>
  <c r="N29" i="29" s="1"/>
  <c r="T88" i="38"/>
  <c r="N29" i="30" s="1"/>
  <c r="AB88" i="38"/>
  <c r="N29" i="31" s="1"/>
  <c r="E88" i="38"/>
  <c r="O29" i="28" s="1"/>
  <c r="M88" i="38"/>
  <c r="O29" i="29" s="1"/>
  <c r="U88" i="38"/>
  <c r="O29" i="30" s="1"/>
  <c r="AC88" i="38"/>
  <c r="O29" i="31" s="1"/>
  <c r="F88" i="38"/>
  <c r="P29" i="28" s="1"/>
  <c r="N88" i="38"/>
  <c r="P29" i="29" s="1"/>
  <c r="V88" i="38"/>
  <c r="P29" i="30" s="1"/>
  <c r="AD88" i="38"/>
  <c r="P29" i="31" s="1"/>
  <c r="G88" i="38"/>
  <c r="Q29" i="28" s="1"/>
  <c r="O88" i="38"/>
  <c r="Q29" i="29" s="1"/>
  <c r="W88" i="38"/>
  <c r="Q29" i="30" s="1"/>
  <c r="AE88" i="38"/>
  <c r="Q29" i="31" s="1"/>
  <c r="H88" i="38"/>
  <c r="R29" i="28" s="1"/>
  <c r="P88" i="38"/>
  <c r="R29" i="29" s="1"/>
  <c r="X88" i="38"/>
  <c r="R29" i="30" s="1"/>
  <c r="AF88" i="38"/>
  <c r="R29" i="31" s="1"/>
  <c r="I88" i="38"/>
  <c r="S29" i="28" s="1"/>
  <c r="Q88" i="38"/>
  <c r="S29" i="29" s="1"/>
  <c r="Y88" i="38"/>
  <c r="S29" i="30" s="1"/>
  <c r="AG88" i="38"/>
  <c r="S29" i="31" s="1"/>
  <c r="B89" i="38"/>
  <c r="J89" i="38"/>
  <c r="R89" i="38"/>
  <c r="Z89" i="38"/>
  <c r="C89" i="38"/>
  <c r="K89" i="38"/>
  <c r="S89" i="38"/>
  <c r="AA89" i="38"/>
  <c r="D89" i="38"/>
  <c r="L89" i="38"/>
  <c r="T89" i="38"/>
  <c r="AB89" i="38"/>
  <c r="E89" i="38"/>
  <c r="M89" i="38"/>
  <c r="U89" i="38"/>
  <c r="AC89" i="38"/>
  <c r="F89" i="38"/>
  <c r="N89" i="38"/>
  <c r="V89" i="38"/>
  <c r="AD89" i="38"/>
  <c r="G89" i="38"/>
  <c r="O89" i="38"/>
  <c r="W89" i="38"/>
  <c r="AE89" i="38"/>
  <c r="H89" i="38"/>
  <c r="P89" i="38"/>
  <c r="X89" i="38"/>
  <c r="AF89" i="38"/>
  <c r="I89" i="38"/>
  <c r="Q89" i="38"/>
  <c r="Y89" i="38"/>
  <c r="AG89" i="38"/>
  <c r="B90" i="38"/>
  <c r="J90" i="38"/>
  <c r="R90" i="38"/>
  <c r="Z90" i="38"/>
  <c r="C90" i="38"/>
  <c r="K90" i="38"/>
  <c r="S90" i="38"/>
  <c r="AA90" i="38"/>
  <c r="D90" i="38"/>
  <c r="L90" i="38"/>
  <c r="T90" i="38"/>
  <c r="AB90" i="38"/>
  <c r="E90" i="38"/>
  <c r="M90" i="38"/>
  <c r="U90" i="38"/>
  <c r="AC90" i="38"/>
  <c r="F90" i="38"/>
  <c r="N90" i="38"/>
  <c r="V90" i="38"/>
  <c r="AD90" i="38"/>
  <c r="G90" i="38"/>
  <c r="O90" i="38"/>
  <c r="W90" i="38"/>
  <c r="AE90" i="38"/>
  <c r="H90" i="38"/>
  <c r="P90" i="38"/>
  <c r="X90" i="38"/>
  <c r="AF90" i="38"/>
  <c r="I90" i="38"/>
  <c r="Q90" i="38"/>
  <c r="Y90" i="38"/>
  <c r="AG90" i="38"/>
  <c r="B91" i="38"/>
  <c r="J91" i="38"/>
  <c r="R91" i="38"/>
  <c r="Z91" i="38"/>
  <c r="C91" i="38"/>
  <c r="K91" i="38"/>
  <c r="S91" i="38"/>
  <c r="AA91" i="38"/>
  <c r="D91" i="38"/>
  <c r="L91" i="38"/>
  <c r="T91" i="38"/>
  <c r="AB91" i="38"/>
  <c r="E91" i="38"/>
  <c r="M91" i="38"/>
  <c r="U91" i="38"/>
  <c r="AC91" i="38"/>
  <c r="F91" i="38"/>
  <c r="N91" i="38"/>
  <c r="V91" i="38"/>
  <c r="AD91" i="38"/>
  <c r="G91" i="38"/>
  <c r="O91" i="38"/>
  <c r="W91" i="38"/>
  <c r="AE91" i="38"/>
  <c r="H91" i="38"/>
  <c r="P91" i="38"/>
  <c r="X91" i="38"/>
  <c r="AF91" i="38"/>
  <c r="I91" i="38"/>
  <c r="Q91" i="38"/>
  <c r="Y91" i="38"/>
  <c r="AG91" i="38"/>
  <c r="B92" i="38"/>
  <c r="J92" i="38"/>
  <c r="R92" i="38"/>
  <c r="Z92" i="38"/>
  <c r="C92" i="38"/>
  <c r="K92" i="38"/>
  <c r="S92" i="38"/>
  <c r="AA92" i="38"/>
  <c r="D92" i="38"/>
  <c r="L92" i="38"/>
  <c r="T92" i="38"/>
  <c r="AB92" i="38"/>
  <c r="E92" i="38"/>
  <c r="M92" i="38"/>
  <c r="U92" i="38"/>
  <c r="AC92" i="38"/>
  <c r="F92" i="38"/>
  <c r="N92" i="38"/>
  <c r="V92" i="38"/>
  <c r="AD92" i="38"/>
  <c r="G92" i="38"/>
  <c r="O92" i="38"/>
  <c r="W92" i="38"/>
  <c r="AE92" i="38"/>
  <c r="H92" i="38"/>
  <c r="P92" i="38"/>
  <c r="X92" i="38"/>
  <c r="AF92" i="38"/>
  <c r="I92" i="38"/>
  <c r="Q92" i="38"/>
  <c r="Y92" i="38"/>
  <c r="AG92" i="38"/>
  <c r="J4" i="38"/>
  <c r="R4" i="38"/>
  <c r="Z4" i="38"/>
  <c r="B4" i="38"/>
  <c r="G29" i="36" l="1"/>
  <c r="C29" i="36"/>
  <c r="I28" i="36"/>
  <c r="G28" i="36"/>
  <c r="E28" i="36"/>
  <c r="C28" i="36"/>
  <c r="I27" i="36"/>
  <c r="E27" i="36"/>
  <c r="I26" i="36"/>
  <c r="G26" i="36"/>
  <c r="E26" i="36"/>
  <c r="C26" i="36"/>
  <c r="G25" i="36"/>
  <c r="C25" i="36"/>
  <c r="I24" i="36"/>
  <c r="G24" i="36"/>
  <c r="E24" i="36"/>
  <c r="C24" i="36"/>
  <c r="I23" i="36"/>
  <c r="E23" i="36"/>
  <c r="I22" i="36"/>
  <c r="G22" i="36"/>
  <c r="E22" i="36"/>
  <c r="C22" i="36"/>
  <c r="G21" i="36"/>
  <c r="C21" i="36"/>
  <c r="I20" i="36"/>
  <c r="G20" i="36"/>
  <c r="E20" i="36"/>
  <c r="C20" i="36"/>
  <c r="I19" i="36"/>
  <c r="E19" i="36"/>
  <c r="I18" i="36"/>
  <c r="G18" i="36"/>
  <c r="E18" i="36"/>
  <c r="C18" i="36"/>
  <c r="G17" i="36"/>
  <c r="C17" i="36"/>
  <c r="I16" i="36"/>
  <c r="G16" i="36"/>
  <c r="E16" i="36"/>
  <c r="C16" i="36"/>
  <c r="I15" i="36"/>
  <c r="E15" i="36"/>
  <c r="I14" i="36"/>
  <c r="G14" i="36"/>
  <c r="E14" i="36"/>
  <c r="C14" i="36"/>
  <c r="G13" i="36"/>
  <c r="C13" i="36"/>
  <c r="I12" i="36"/>
  <c r="G12" i="36"/>
  <c r="E12" i="36"/>
  <c r="C12" i="36"/>
  <c r="I11" i="36"/>
  <c r="E11" i="36"/>
  <c r="I10" i="36"/>
  <c r="G10" i="36"/>
  <c r="E10" i="36"/>
  <c r="C10" i="36"/>
  <c r="G9" i="36"/>
  <c r="C9" i="36"/>
  <c r="I8" i="36"/>
  <c r="G8" i="36"/>
  <c r="E8" i="36"/>
  <c r="C8" i="36"/>
  <c r="I7" i="36"/>
  <c r="E7" i="36"/>
  <c r="I6" i="36"/>
  <c r="G6" i="36"/>
  <c r="E6" i="36"/>
  <c r="C6" i="36"/>
  <c r="G5" i="36"/>
  <c r="C5" i="36"/>
  <c r="I4" i="36"/>
  <c r="G4" i="36"/>
  <c r="E4" i="36"/>
  <c r="C4" i="36"/>
  <c r="I3" i="36"/>
  <c r="E3" i="36"/>
  <c r="I2" i="36"/>
  <c r="G2" i="36"/>
  <c r="E2" i="36"/>
  <c r="C2" i="36"/>
  <c r="F28" i="36"/>
  <c r="B24" i="36"/>
  <c r="F20" i="36"/>
  <c r="B16" i="36"/>
  <c r="F12" i="36"/>
  <c r="B8" i="36"/>
  <c r="F4" i="36"/>
  <c r="G27" i="36"/>
  <c r="C23" i="36"/>
  <c r="G19" i="36"/>
  <c r="C15" i="36"/>
  <c r="G11" i="36"/>
  <c r="C7" i="36"/>
  <c r="G3" i="36"/>
  <c r="H29" i="36"/>
  <c r="F29" i="36"/>
  <c r="D29" i="36"/>
  <c r="B29" i="36"/>
  <c r="H28" i="36"/>
  <c r="D28" i="36"/>
  <c r="H27" i="36"/>
  <c r="F27" i="36"/>
  <c r="D27" i="36"/>
  <c r="B27" i="36"/>
  <c r="F26" i="36"/>
  <c r="B26" i="36"/>
  <c r="H25" i="36"/>
  <c r="F25" i="36"/>
  <c r="D25" i="36"/>
  <c r="B25" i="36"/>
  <c r="H24" i="36"/>
  <c r="D24" i="36"/>
  <c r="H23" i="36"/>
  <c r="F23" i="36"/>
  <c r="D23" i="36"/>
  <c r="B23" i="36"/>
  <c r="F22" i="36"/>
  <c r="B22" i="36"/>
  <c r="H21" i="36"/>
  <c r="F21" i="36"/>
  <c r="D21" i="36"/>
  <c r="B21" i="36"/>
  <c r="H20" i="36"/>
  <c r="D20" i="36"/>
  <c r="H19" i="36"/>
  <c r="F19" i="36"/>
  <c r="D19" i="36"/>
  <c r="B19" i="36"/>
  <c r="F18" i="36"/>
  <c r="B18" i="36"/>
  <c r="H17" i="36"/>
  <c r="F17" i="36"/>
  <c r="D17" i="36"/>
  <c r="B17" i="36"/>
  <c r="H16" i="36"/>
  <c r="D16" i="36"/>
  <c r="H15" i="36"/>
  <c r="F15" i="36"/>
  <c r="D15" i="36"/>
  <c r="B15" i="36"/>
  <c r="F14" i="36"/>
  <c r="B14" i="36"/>
  <c r="H13" i="36"/>
  <c r="F13" i="36"/>
  <c r="D13" i="36"/>
  <c r="B13" i="36"/>
  <c r="H12" i="36"/>
  <c r="D12" i="36"/>
  <c r="H11" i="36"/>
  <c r="F11" i="36"/>
  <c r="D11" i="36"/>
  <c r="B11" i="36"/>
  <c r="F10" i="36"/>
  <c r="B10" i="36"/>
  <c r="H9" i="36"/>
  <c r="F9" i="36"/>
  <c r="D9" i="36"/>
  <c r="B9" i="36"/>
  <c r="H8" i="36"/>
  <c r="D8" i="36"/>
  <c r="H7" i="36"/>
  <c r="F7" i="36"/>
  <c r="D7" i="36"/>
  <c r="B7" i="36"/>
  <c r="F6" i="36"/>
  <c r="B6" i="36"/>
  <c r="H5" i="36"/>
  <c r="F5" i="36"/>
  <c r="D5" i="36"/>
  <c r="B5" i="36"/>
  <c r="H4" i="36"/>
  <c r="D4" i="36"/>
  <c r="H3" i="36"/>
  <c r="F3" i="36"/>
  <c r="D3" i="36"/>
  <c r="B3" i="36"/>
  <c r="H2" i="36"/>
  <c r="D2" i="36"/>
  <c r="H26" i="36"/>
  <c r="D22" i="36"/>
  <c r="H18" i="36"/>
  <c r="D14" i="36"/>
  <c r="H10" i="36"/>
  <c r="D6" i="36"/>
  <c r="F2" i="36"/>
  <c r="E29" i="36"/>
  <c r="I25" i="36"/>
  <c r="E21" i="36"/>
  <c r="I17" i="36"/>
  <c r="E13" i="36"/>
  <c r="I9" i="36"/>
  <c r="E5" i="36"/>
  <c r="I2" i="50"/>
  <c r="I3" i="50"/>
  <c r="I4" i="50"/>
  <c r="I5" i="50"/>
  <c r="I6" i="50"/>
  <c r="I7" i="50"/>
  <c r="I8" i="50"/>
  <c r="I9" i="50"/>
  <c r="I10" i="50"/>
  <c r="I11" i="50"/>
  <c r="I12" i="50"/>
  <c r="I13" i="50"/>
  <c r="I14" i="50"/>
  <c r="I15" i="50"/>
  <c r="I16" i="50"/>
  <c r="I17" i="50"/>
  <c r="I18" i="50"/>
  <c r="I19" i="50"/>
  <c r="I20" i="50"/>
  <c r="I21" i="50"/>
  <c r="I22" i="50"/>
  <c r="I23" i="50"/>
  <c r="I24" i="50"/>
  <c r="I25" i="50"/>
  <c r="I26" i="50"/>
  <c r="I27" i="50"/>
  <c r="I28" i="50"/>
  <c r="I29" i="50"/>
  <c r="S2" i="50"/>
  <c r="S3" i="50"/>
  <c r="S4" i="50"/>
  <c r="S5" i="50"/>
  <c r="S6" i="50"/>
  <c r="S7" i="50"/>
  <c r="S8" i="50"/>
  <c r="S9" i="50"/>
  <c r="S10" i="50"/>
  <c r="S11" i="50"/>
  <c r="S12" i="50"/>
  <c r="S13" i="50"/>
  <c r="S14" i="50"/>
  <c r="S15" i="50"/>
  <c r="S16" i="50"/>
  <c r="S17" i="50"/>
  <c r="S18" i="50"/>
  <c r="S19" i="50"/>
  <c r="S20" i="50"/>
  <c r="S21" i="50"/>
  <c r="S22" i="50"/>
  <c r="S23" i="50"/>
  <c r="S24" i="50"/>
  <c r="S25" i="50"/>
  <c r="S26" i="50"/>
  <c r="S27" i="50"/>
  <c r="S28" i="50"/>
  <c r="S29" i="50"/>
  <c r="I2" i="49"/>
  <c r="I3" i="49"/>
  <c r="I4" i="49"/>
  <c r="I5" i="49"/>
  <c r="I6" i="49"/>
  <c r="I7" i="49"/>
  <c r="I8" i="49"/>
  <c r="I9" i="49"/>
  <c r="I10" i="49"/>
  <c r="I11" i="49"/>
  <c r="I12" i="49"/>
  <c r="I13" i="49"/>
  <c r="I14" i="49"/>
  <c r="I15" i="49"/>
  <c r="I16" i="49"/>
  <c r="I17" i="49"/>
  <c r="I18" i="49"/>
  <c r="I19" i="49"/>
  <c r="I20" i="49"/>
  <c r="I21" i="49"/>
  <c r="I22" i="49"/>
  <c r="I23" i="49"/>
  <c r="I24" i="49"/>
  <c r="I25" i="49"/>
  <c r="I26" i="49"/>
  <c r="I27" i="49"/>
  <c r="I28" i="49"/>
  <c r="I29" i="49"/>
  <c r="S2" i="49"/>
  <c r="S3" i="49"/>
  <c r="S4" i="49"/>
  <c r="S5" i="49"/>
  <c r="S6" i="49"/>
  <c r="S7" i="49"/>
  <c r="S8" i="49"/>
  <c r="S9" i="49"/>
  <c r="S10" i="49"/>
  <c r="S11" i="49"/>
  <c r="S12" i="49"/>
  <c r="S13" i="49"/>
  <c r="S14" i="49"/>
  <c r="S15" i="49"/>
  <c r="S16" i="49"/>
  <c r="S17" i="49"/>
  <c r="S18" i="49"/>
  <c r="S19" i="49"/>
  <c r="S20" i="49"/>
  <c r="S21" i="49"/>
  <c r="S22" i="49"/>
  <c r="S23" i="49"/>
  <c r="S24" i="49"/>
  <c r="S25" i="49"/>
  <c r="S26" i="49"/>
  <c r="S27" i="49"/>
  <c r="S28" i="49"/>
  <c r="S29" i="49"/>
  <c r="I2" i="48"/>
  <c r="I3" i="48"/>
  <c r="I4" i="48"/>
  <c r="I5" i="48"/>
  <c r="I6" i="48"/>
  <c r="I7" i="48"/>
  <c r="I8" i="48"/>
  <c r="I9" i="48"/>
  <c r="I10" i="48"/>
  <c r="I11" i="48"/>
  <c r="I12" i="48"/>
  <c r="I13" i="48"/>
  <c r="I14" i="48"/>
  <c r="I15" i="48"/>
  <c r="I16" i="48"/>
  <c r="I17" i="48"/>
  <c r="I18" i="48"/>
  <c r="I19" i="48"/>
  <c r="I20" i="48"/>
  <c r="I21" i="48"/>
  <c r="I22" i="48"/>
  <c r="I23" i="48"/>
  <c r="I24" i="48"/>
  <c r="I25" i="48"/>
  <c r="I26" i="48"/>
  <c r="I27" i="48"/>
  <c r="I28" i="48"/>
  <c r="I29" i="48"/>
  <c r="S2" i="48"/>
  <c r="S3" i="48"/>
  <c r="S4" i="48"/>
  <c r="S5" i="48"/>
  <c r="S6" i="48"/>
  <c r="S7" i="48"/>
  <c r="S8" i="48"/>
  <c r="S9" i="48"/>
  <c r="S10" i="48"/>
  <c r="S11" i="48"/>
  <c r="S12" i="48"/>
  <c r="S13" i="48"/>
  <c r="S14" i="48"/>
  <c r="S15" i="48"/>
  <c r="S16" i="48"/>
  <c r="S17" i="48"/>
  <c r="S18" i="48"/>
  <c r="S19" i="48"/>
  <c r="S20" i="48"/>
  <c r="S21" i="48"/>
  <c r="S22" i="48"/>
  <c r="S23" i="48"/>
  <c r="S24" i="48"/>
  <c r="S25" i="48"/>
  <c r="S26" i="48"/>
  <c r="S27" i="48"/>
  <c r="S28" i="48"/>
  <c r="S29" i="48"/>
  <c r="A5" i="52"/>
  <c r="B5" i="52"/>
  <c r="J5" i="52"/>
  <c r="R5" i="52"/>
  <c r="Z5" i="52"/>
  <c r="C5" i="52"/>
  <c r="K5" i="52"/>
  <c r="S5" i="52"/>
  <c r="AA5" i="52"/>
  <c r="D5" i="52"/>
  <c r="L5" i="52"/>
  <c r="T5" i="52"/>
  <c r="AB5" i="52"/>
  <c r="E5" i="52"/>
  <c r="M5" i="52"/>
  <c r="U5" i="52"/>
  <c r="AC5" i="52"/>
  <c r="F5" i="52"/>
  <c r="N5" i="52"/>
  <c r="V5" i="52"/>
  <c r="AD5" i="52"/>
  <c r="G5" i="52"/>
  <c r="O5" i="52"/>
  <c r="W5" i="52"/>
  <c r="AE5" i="52"/>
  <c r="H5" i="52"/>
  <c r="P5" i="52"/>
  <c r="X5" i="52"/>
  <c r="AF5" i="52"/>
  <c r="I5" i="52"/>
  <c r="Q5" i="52"/>
  <c r="Y5" i="52"/>
  <c r="AG5" i="52"/>
  <c r="A6" i="52"/>
  <c r="B6" i="52"/>
  <c r="J6" i="52"/>
  <c r="R6" i="52"/>
  <c r="Z6" i="52"/>
  <c r="C6" i="52"/>
  <c r="K6" i="52"/>
  <c r="S6" i="52"/>
  <c r="AA6" i="52"/>
  <c r="D6" i="52"/>
  <c r="L6" i="52"/>
  <c r="T6" i="52"/>
  <c r="AB6" i="52"/>
  <c r="E6" i="52"/>
  <c r="M6" i="52"/>
  <c r="U6" i="52"/>
  <c r="AC6" i="52"/>
  <c r="F6" i="52"/>
  <c r="N6" i="52"/>
  <c r="V6" i="52"/>
  <c r="AD6" i="52"/>
  <c r="G6" i="52"/>
  <c r="O6" i="52"/>
  <c r="W6" i="52"/>
  <c r="AE6" i="52"/>
  <c r="H6" i="52"/>
  <c r="P6" i="52"/>
  <c r="X6" i="52"/>
  <c r="AF6" i="52"/>
  <c r="I6" i="52"/>
  <c r="Q6" i="52"/>
  <c r="Y6" i="52"/>
  <c r="AG6" i="52"/>
  <c r="A7" i="52"/>
  <c r="B7" i="52"/>
  <c r="J7" i="52"/>
  <c r="R7" i="52"/>
  <c r="Z7" i="52"/>
  <c r="C7" i="52"/>
  <c r="K7" i="52"/>
  <c r="S7" i="52"/>
  <c r="AA7" i="52"/>
  <c r="D7" i="52"/>
  <c r="L7" i="52"/>
  <c r="T7" i="52"/>
  <c r="AB7" i="52"/>
  <c r="E7" i="52"/>
  <c r="M7" i="52"/>
  <c r="U7" i="52"/>
  <c r="AC7" i="52"/>
  <c r="F7" i="52"/>
  <c r="N7" i="52"/>
  <c r="V7" i="52"/>
  <c r="AD7" i="52"/>
  <c r="G7" i="52"/>
  <c r="O7" i="52"/>
  <c r="W7" i="52"/>
  <c r="AE7" i="52"/>
  <c r="H7" i="52"/>
  <c r="P7" i="52"/>
  <c r="X7" i="52"/>
  <c r="AF7" i="52"/>
  <c r="I7" i="52"/>
  <c r="Q7" i="52"/>
  <c r="Y7" i="52"/>
  <c r="AG7" i="52"/>
  <c r="A8" i="52"/>
  <c r="B8" i="52"/>
  <c r="J8" i="52"/>
  <c r="R8" i="52"/>
  <c r="Z8" i="52"/>
  <c r="C8" i="52"/>
  <c r="K8" i="52"/>
  <c r="S8" i="52"/>
  <c r="AA8" i="52"/>
  <c r="D8" i="52"/>
  <c r="L8" i="52"/>
  <c r="T8" i="52"/>
  <c r="AB8" i="52"/>
  <c r="E8" i="52"/>
  <c r="M8" i="52"/>
  <c r="U8" i="52"/>
  <c r="AC8" i="52"/>
  <c r="F8" i="52"/>
  <c r="N8" i="52"/>
  <c r="V8" i="52"/>
  <c r="AD8" i="52"/>
  <c r="G8" i="52"/>
  <c r="O8" i="52"/>
  <c r="W8" i="52"/>
  <c r="AE8" i="52"/>
  <c r="H8" i="52"/>
  <c r="P8" i="52"/>
  <c r="X8" i="52"/>
  <c r="AF8" i="52"/>
  <c r="I8" i="52"/>
  <c r="Q8" i="52"/>
  <c r="Y8" i="52"/>
  <c r="AG8" i="52"/>
  <c r="A9" i="52"/>
  <c r="B9" i="52"/>
  <c r="J9" i="52"/>
  <c r="R9" i="52"/>
  <c r="Z9" i="52"/>
  <c r="C9" i="52"/>
  <c r="K9" i="52"/>
  <c r="S9" i="52"/>
  <c r="AA9" i="52"/>
  <c r="D9" i="52"/>
  <c r="L9" i="52"/>
  <c r="T9" i="52"/>
  <c r="AB9" i="52"/>
  <c r="E9" i="52"/>
  <c r="M9" i="52"/>
  <c r="U9" i="52"/>
  <c r="AC9" i="52"/>
  <c r="F9" i="52"/>
  <c r="N9" i="52"/>
  <c r="V9" i="52"/>
  <c r="AD9" i="52"/>
  <c r="G9" i="52"/>
  <c r="O9" i="52"/>
  <c r="W9" i="52"/>
  <c r="AE9" i="52"/>
  <c r="H9" i="52"/>
  <c r="P9" i="52"/>
  <c r="X9" i="52"/>
  <c r="AF9" i="52"/>
  <c r="I9" i="52"/>
  <c r="Q9" i="52"/>
  <c r="Y9" i="52"/>
  <c r="AG9" i="52"/>
  <c r="A10" i="52"/>
  <c r="B10" i="52"/>
  <c r="J10" i="52"/>
  <c r="R10" i="52"/>
  <c r="Z10" i="52"/>
  <c r="C10" i="52"/>
  <c r="K10" i="52"/>
  <c r="S10" i="52"/>
  <c r="AA10" i="52"/>
  <c r="D10" i="52"/>
  <c r="L10" i="52"/>
  <c r="T10" i="52"/>
  <c r="AB10" i="52"/>
  <c r="E10" i="52"/>
  <c r="M10" i="52"/>
  <c r="U10" i="52"/>
  <c r="AC10" i="52"/>
  <c r="F10" i="52"/>
  <c r="N10" i="52"/>
  <c r="V10" i="52"/>
  <c r="AD10" i="52"/>
  <c r="G10" i="52"/>
  <c r="O10" i="52"/>
  <c r="W10" i="52"/>
  <c r="AE10" i="52"/>
  <c r="H10" i="52"/>
  <c r="P10" i="52"/>
  <c r="X10" i="52"/>
  <c r="AF10" i="52"/>
  <c r="I10" i="52"/>
  <c r="Q10" i="52"/>
  <c r="Y10" i="52"/>
  <c r="AG10" i="52"/>
  <c r="A11" i="52"/>
  <c r="B11" i="52"/>
  <c r="J11" i="52"/>
  <c r="R11" i="52"/>
  <c r="Z11" i="52"/>
  <c r="C11" i="52"/>
  <c r="K11" i="52"/>
  <c r="S11" i="52"/>
  <c r="AA11" i="52"/>
  <c r="D11" i="52"/>
  <c r="L11" i="52"/>
  <c r="T11" i="52"/>
  <c r="AB11" i="52"/>
  <c r="E11" i="52"/>
  <c r="M11" i="52"/>
  <c r="U11" i="52"/>
  <c r="AC11" i="52"/>
  <c r="F11" i="52"/>
  <c r="N11" i="52"/>
  <c r="V11" i="52"/>
  <c r="AD11" i="52"/>
  <c r="G11" i="52"/>
  <c r="O11" i="52"/>
  <c r="W11" i="52"/>
  <c r="AE11" i="52"/>
  <c r="H11" i="52"/>
  <c r="P11" i="52"/>
  <c r="X11" i="52"/>
  <c r="AF11" i="52"/>
  <c r="I11" i="52"/>
  <c r="Q11" i="52"/>
  <c r="Y11" i="52"/>
  <c r="AG11" i="52"/>
  <c r="A12" i="52"/>
  <c r="B12" i="52"/>
  <c r="J12" i="52"/>
  <c r="R12" i="52"/>
  <c r="Z12" i="52"/>
  <c r="C12" i="52"/>
  <c r="K12" i="52"/>
  <c r="S12" i="52"/>
  <c r="AA12" i="52"/>
  <c r="D12" i="52"/>
  <c r="L12" i="52"/>
  <c r="T12" i="52"/>
  <c r="AB12" i="52"/>
  <c r="E12" i="52"/>
  <c r="M12" i="52"/>
  <c r="U12" i="52"/>
  <c r="AC12" i="52"/>
  <c r="F12" i="52"/>
  <c r="N12" i="52"/>
  <c r="V12" i="52"/>
  <c r="AD12" i="52"/>
  <c r="G12" i="52"/>
  <c r="O12" i="52"/>
  <c r="W12" i="52"/>
  <c r="AE12" i="52"/>
  <c r="H12" i="52"/>
  <c r="P12" i="52"/>
  <c r="X12" i="52"/>
  <c r="AF12" i="52"/>
  <c r="I12" i="52"/>
  <c r="Q12" i="52"/>
  <c r="Y12" i="52"/>
  <c r="AG12" i="52"/>
  <c r="A13" i="52"/>
  <c r="B13" i="52"/>
  <c r="J13" i="52"/>
  <c r="R13" i="52"/>
  <c r="Z13" i="52"/>
  <c r="C13" i="52"/>
  <c r="K13" i="52"/>
  <c r="S13" i="52"/>
  <c r="AA13" i="52"/>
  <c r="D13" i="52"/>
  <c r="L13" i="52"/>
  <c r="T13" i="52"/>
  <c r="AB13" i="52"/>
  <c r="E13" i="52"/>
  <c r="M13" i="52"/>
  <c r="U13" i="52"/>
  <c r="AC13" i="52"/>
  <c r="F13" i="52"/>
  <c r="N13" i="52"/>
  <c r="V13" i="52"/>
  <c r="AD13" i="52"/>
  <c r="G13" i="52"/>
  <c r="O13" i="52"/>
  <c r="W13" i="52"/>
  <c r="AE13" i="52"/>
  <c r="H13" i="52"/>
  <c r="P13" i="52"/>
  <c r="X13" i="52"/>
  <c r="AF13" i="52"/>
  <c r="I13" i="52"/>
  <c r="Q13" i="52"/>
  <c r="Y13" i="52"/>
  <c r="AG13" i="52"/>
  <c r="A14" i="52"/>
  <c r="B14" i="52"/>
  <c r="J14" i="52"/>
  <c r="R14" i="52"/>
  <c r="Z14" i="52"/>
  <c r="C14" i="52"/>
  <c r="K14" i="52"/>
  <c r="S14" i="52"/>
  <c r="AA14" i="52"/>
  <c r="D14" i="52"/>
  <c r="L14" i="52"/>
  <c r="T14" i="52"/>
  <c r="AB14" i="52"/>
  <c r="E14" i="52"/>
  <c r="M14" i="52"/>
  <c r="U14" i="52"/>
  <c r="AC14" i="52"/>
  <c r="F14" i="52"/>
  <c r="N14" i="52"/>
  <c r="V14" i="52"/>
  <c r="AD14" i="52"/>
  <c r="G14" i="52"/>
  <c r="O14" i="52"/>
  <c r="W14" i="52"/>
  <c r="AE14" i="52"/>
  <c r="H14" i="52"/>
  <c r="P14" i="52"/>
  <c r="X14" i="52"/>
  <c r="AF14" i="52"/>
  <c r="I14" i="52"/>
  <c r="Q14" i="52"/>
  <c r="Y14" i="52"/>
  <c r="AG14" i="52"/>
  <c r="A15" i="52"/>
  <c r="B15" i="52"/>
  <c r="J15" i="52"/>
  <c r="R15" i="52"/>
  <c r="Z15" i="52"/>
  <c r="C15" i="52"/>
  <c r="K15" i="52"/>
  <c r="S15" i="52"/>
  <c r="AA15" i="52"/>
  <c r="D15" i="52"/>
  <c r="L15" i="52"/>
  <c r="T15" i="52"/>
  <c r="AB15" i="52"/>
  <c r="E15" i="52"/>
  <c r="M15" i="52"/>
  <c r="U15" i="52"/>
  <c r="AC15" i="52"/>
  <c r="F15" i="52"/>
  <c r="N15" i="52"/>
  <c r="V15" i="52"/>
  <c r="AD15" i="52"/>
  <c r="G15" i="52"/>
  <c r="O15" i="52"/>
  <c r="W15" i="52"/>
  <c r="AE15" i="52"/>
  <c r="H15" i="52"/>
  <c r="P15" i="52"/>
  <c r="X15" i="52"/>
  <c r="AF15" i="52"/>
  <c r="I15" i="52"/>
  <c r="Q15" i="52"/>
  <c r="Y15" i="52"/>
  <c r="AG15" i="52"/>
  <c r="A16" i="52"/>
  <c r="B16" i="52"/>
  <c r="J16" i="52"/>
  <c r="R16" i="52"/>
  <c r="Z16" i="52"/>
  <c r="C16" i="52"/>
  <c r="K16" i="52"/>
  <c r="S16" i="52"/>
  <c r="AA16" i="52"/>
  <c r="D16" i="52"/>
  <c r="L16" i="52"/>
  <c r="T16" i="52"/>
  <c r="AB16" i="52"/>
  <c r="E16" i="52"/>
  <c r="M16" i="52"/>
  <c r="U16" i="52"/>
  <c r="AC16" i="52"/>
  <c r="F16" i="52"/>
  <c r="N16" i="52"/>
  <c r="V16" i="52"/>
  <c r="AD16" i="52"/>
  <c r="G16" i="52"/>
  <c r="O16" i="52"/>
  <c r="W16" i="52"/>
  <c r="AE16" i="52"/>
  <c r="H16" i="52"/>
  <c r="P16" i="52"/>
  <c r="X16" i="52"/>
  <c r="AF16" i="52"/>
  <c r="I16" i="52"/>
  <c r="Q16" i="52"/>
  <c r="Y16" i="52"/>
  <c r="AG16" i="52"/>
  <c r="A17" i="52"/>
  <c r="B17" i="52"/>
  <c r="J17" i="52"/>
  <c r="R17" i="52"/>
  <c r="Z17" i="52"/>
  <c r="C17" i="52"/>
  <c r="K17" i="52"/>
  <c r="S17" i="52"/>
  <c r="AA17" i="52"/>
  <c r="D17" i="52"/>
  <c r="L17" i="52"/>
  <c r="T17" i="52"/>
  <c r="AB17" i="52"/>
  <c r="E17" i="52"/>
  <c r="M17" i="52"/>
  <c r="U17" i="52"/>
  <c r="AC17" i="52"/>
  <c r="F17" i="52"/>
  <c r="N17" i="52"/>
  <c r="V17" i="52"/>
  <c r="AD17" i="52"/>
  <c r="G17" i="52"/>
  <c r="O17" i="52"/>
  <c r="W17" i="52"/>
  <c r="AE17" i="52"/>
  <c r="H17" i="52"/>
  <c r="P17" i="52"/>
  <c r="X17" i="52"/>
  <c r="AF17" i="52"/>
  <c r="I17" i="52"/>
  <c r="Q17" i="52"/>
  <c r="Y17" i="52"/>
  <c r="AG17" i="52"/>
  <c r="A18" i="52"/>
  <c r="B18" i="52"/>
  <c r="J18" i="52"/>
  <c r="R18" i="52"/>
  <c r="Z18" i="52"/>
  <c r="C18" i="52"/>
  <c r="K18" i="52"/>
  <c r="S18" i="52"/>
  <c r="AA18" i="52"/>
  <c r="D18" i="52"/>
  <c r="L18" i="52"/>
  <c r="T18" i="52"/>
  <c r="AB18" i="52"/>
  <c r="E18" i="52"/>
  <c r="M18" i="52"/>
  <c r="U18" i="52"/>
  <c r="AC18" i="52"/>
  <c r="F18" i="52"/>
  <c r="N18" i="52"/>
  <c r="V18" i="52"/>
  <c r="AD18" i="52"/>
  <c r="G18" i="52"/>
  <c r="O18" i="52"/>
  <c r="W18" i="52"/>
  <c r="AE18" i="52"/>
  <c r="H18" i="52"/>
  <c r="P18" i="52"/>
  <c r="X18" i="52"/>
  <c r="AF18" i="52"/>
  <c r="I18" i="52"/>
  <c r="Q18" i="52"/>
  <c r="Y18" i="52"/>
  <c r="AG18" i="52"/>
  <c r="A19" i="52"/>
  <c r="B19" i="52"/>
  <c r="J19" i="52"/>
  <c r="R19" i="52"/>
  <c r="Z19" i="52"/>
  <c r="C19" i="52"/>
  <c r="K19" i="52"/>
  <c r="S19" i="52"/>
  <c r="AA19" i="52"/>
  <c r="D19" i="52"/>
  <c r="L19" i="52"/>
  <c r="T19" i="52"/>
  <c r="AB19" i="52"/>
  <c r="E19" i="52"/>
  <c r="M19" i="52"/>
  <c r="U19" i="52"/>
  <c r="AC19" i="52"/>
  <c r="F19" i="52"/>
  <c r="N19" i="52"/>
  <c r="V19" i="52"/>
  <c r="AD19" i="52"/>
  <c r="G19" i="52"/>
  <c r="O19" i="52"/>
  <c r="W19" i="52"/>
  <c r="AE19" i="52"/>
  <c r="H19" i="52"/>
  <c r="P19" i="52"/>
  <c r="X19" i="52"/>
  <c r="AF19" i="52"/>
  <c r="I19" i="52"/>
  <c r="Q19" i="52"/>
  <c r="Y19" i="52"/>
  <c r="AG19" i="52"/>
  <c r="A20" i="52"/>
  <c r="B20" i="52"/>
  <c r="J20" i="52"/>
  <c r="R20" i="52"/>
  <c r="Z20" i="52"/>
  <c r="C20" i="52"/>
  <c r="K20" i="52"/>
  <c r="S20" i="52"/>
  <c r="AA20" i="52"/>
  <c r="D20" i="52"/>
  <c r="L20" i="52"/>
  <c r="T20" i="52"/>
  <c r="AB20" i="52"/>
  <c r="E20" i="52"/>
  <c r="M20" i="52"/>
  <c r="U20" i="52"/>
  <c r="AC20" i="52"/>
  <c r="F20" i="52"/>
  <c r="N20" i="52"/>
  <c r="V20" i="52"/>
  <c r="AD20" i="52"/>
  <c r="G20" i="52"/>
  <c r="O20" i="52"/>
  <c r="W20" i="52"/>
  <c r="AE20" i="52"/>
  <c r="H20" i="52"/>
  <c r="P20" i="52"/>
  <c r="X20" i="52"/>
  <c r="AF20" i="52"/>
  <c r="I20" i="52"/>
  <c r="Q20" i="52"/>
  <c r="Y20" i="52"/>
  <c r="AG20" i="52"/>
  <c r="A21" i="52"/>
  <c r="B21" i="52"/>
  <c r="J21" i="52"/>
  <c r="R21" i="52"/>
  <c r="Z21" i="52"/>
  <c r="C21" i="52"/>
  <c r="K21" i="52"/>
  <c r="S21" i="52"/>
  <c r="AA21" i="52"/>
  <c r="D21" i="52"/>
  <c r="L21" i="52"/>
  <c r="T21" i="52"/>
  <c r="AB21" i="52"/>
  <c r="E21" i="52"/>
  <c r="M21" i="52"/>
  <c r="U21" i="52"/>
  <c r="AC21" i="52"/>
  <c r="F21" i="52"/>
  <c r="N21" i="52"/>
  <c r="V21" i="52"/>
  <c r="AD21" i="52"/>
  <c r="G21" i="52"/>
  <c r="O21" i="52"/>
  <c r="W21" i="52"/>
  <c r="AE21" i="52"/>
  <c r="H21" i="52"/>
  <c r="P21" i="52"/>
  <c r="X21" i="52"/>
  <c r="AF21" i="52"/>
  <c r="I21" i="52"/>
  <c r="Q21" i="52"/>
  <c r="Y21" i="52"/>
  <c r="AG21" i="52"/>
  <c r="A22" i="52"/>
  <c r="B22" i="52"/>
  <c r="J22" i="52"/>
  <c r="R22" i="52"/>
  <c r="Z22" i="52"/>
  <c r="C22" i="52"/>
  <c r="K22" i="52"/>
  <c r="S22" i="52"/>
  <c r="AA22" i="52"/>
  <c r="D22" i="52"/>
  <c r="L22" i="52"/>
  <c r="T22" i="52"/>
  <c r="AB22" i="52"/>
  <c r="E22" i="52"/>
  <c r="M22" i="52"/>
  <c r="U22" i="52"/>
  <c r="AC22" i="52"/>
  <c r="F22" i="52"/>
  <c r="N22" i="52"/>
  <c r="V22" i="52"/>
  <c r="AD22" i="52"/>
  <c r="G22" i="52"/>
  <c r="O22" i="52"/>
  <c r="W22" i="52"/>
  <c r="AE22" i="52"/>
  <c r="H22" i="52"/>
  <c r="P22" i="52"/>
  <c r="X22" i="52"/>
  <c r="AF22" i="52"/>
  <c r="I22" i="52"/>
  <c r="Q22" i="52"/>
  <c r="Y22" i="52"/>
  <c r="AG22" i="52"/>
  <c r="A23" i="52"/>
  <c r="B23" i="52"/>
  <c r="J23" i="52"/>
  <c r="R23" i="52"/>
  <c r="Z23" i="52"/>
  <c r="C23" i="52"/>
  <c r="K23" i="52"/>
  <c r="S23" i="52"/>
  <c r="AA23" i="52"/>
  <c r="D23" i="52"/>
  <c r="L23" i="52"/>
  <c r="T23" i="52"/>
  <c r="AB23" i="52"/>
  <c r="E23" i="52"/>
  <c r="M23" i="52"/>
  <c r="U23" i="52"/>
  <c r="AC23" i="52"/>
  <c r="F23" i="52"/>
  <c r="N23" i="52"/>
  <c r="V23" i="52"/>
  <c r="AD23" i="52"/>
  <c r="G23" i="52"/>
  <c r="O23" i="52"/>
  <c r="W23" i="52"/>
  <c r="AE23" i="52"/>
  <c r="H23" i="52"/>
  <c r="P23" i="52"/>
  <c r="X23" i="52"/>
  <c r="AF23" i="52"/>
  <c r="I23" i="52"/>
  <c r="Q23" i="52"/>
  <c r="Y23" i="52"/>
  <c r="AG23" i="52"/>
  <c r="A24" i="52"/>
  <c r="B24" i="52"/>
  <c r="J24" i="52"/>
  <c r="R24" i="52"/>
  <c r="Z24" i="52"/>
  <c r="C24" i="52"/>
  <c r="K24" i="52"/>
  <c r="S24" i="52"/>
  <c r="AA24" i="52"/>
  <c r="D24" i="52"/>
  <c r="L24" i="52"/>
  <c r="T24" i="52"/>
  <c r="AB24" i="52"/>
  <c r="E24" i="52"/>
  <c r="M24" i="52"/>
  <c r="U24" i="52"/>
  <c r="AC24" i="52"/>
  <c r="F24" i="52"/>
  <c r="N24" i="52"/>
  <c r="V24" i="52"/>
  <c r="AD24" i="52"/>
  <c r="G24" i="52"/>
  <c r="O24" i="52"/>
  <c r="W24" i="52"/>
  <c r="AE24" i="52"/>
  <c r="H24" i="52"/>
  <c r="P24" i="52"/>
  <c r="X24" i="52"/>
  <c r="AF24" i="52"/>
  <c r="I24" i="52"/>
  <c r="Q24" i="52"/>
  <c r="Y24" i="52"/>
  <c r="AG24" i="52"/>
  <c r="A25" i="52"/>
  <c r="B25" i="52"/>
  <c r="J25" i="52"/>
  <c r="R25" i="52"/>
  <c r="Z25" i="52"/>
  <c r="C25" i="52"/>
  <c r="K25" i="52"/>
  <c r="S25" i="52"/>
  <c r="AA25" i="52"/>
  <c r="D25" i="52"/>
  <c r="L25" i="52"/>
  <c r="T25" i="52"/>
  <c r="AB25" i="52"/>
  <c r="E25" i="52"/>
  <c r="M25" i="52"/>
  <c r="U25" i="52"/>
  <c r="AC25" i="52"/>
  <c r="F25" i="52"/>
  <c r="N25" i="52"/>
  <c r="V25" i="52"/>
  <c r="AD25" i="52"/>
  <c r="G25" i="52"/>
  <c r="O25" i="52"/>
  <c r="W25" i="52"/>
  <c r="AE25" i="52"/>
  <c r="H25" i="52"/>
  <c r="P25" i="52"/>
  <c r="X25" i="52"/>
  <c r="AF25" i="52"/>
  <c r="I25" i="52"/>
  <c r="Q25" i="52"/>
  <c r="Y25" i="52"/>
  <c r="AG25" i="52"/>
  <c r="A26" i="52"/>
  <c r="B26" i="52"/>
  <c r="J26" i="52"/>
  <c r="R26" i="52"/>
  <c r="Z26" i="52"/>
  <c r="C26" i="52"/>
  <c r="K26" i="52"/>
  <c r="S26" i="52"/>
  <c r="AA26" i="52"/>
  <c r="D26" i="52"/>
  <c r="L26" i="52"/>
  <c r="T26" i="52"/>
  <c r="AB26" i="52"/>
  <c r="E26" i="52"/>
  <c r="M26" i="52"/>
  <c r="U26" i="52"/>
  <c r="AC26" i="52"/>
  <c r="F26" i="52"/>
  <c r="N26" i="52"/>
  <c r="V26" i="52"/>
  <c r="AD26" i="52"/>
  <c r="G26" i="52"/>
  <c r="O26" i="52"/>
  <c r="W26" i="52"/>
  <c r="AE26" i="52"/>
  <c r="H26" i="52"/>
  <c r="P26" i="52"/>
  <c r="X26" i="52"/>
  <c r="AF26" i="52"/>
  <c r="I26" i="52"/>
  <c r="Q26" i="52"/>
  <c r="Y26" i="52"/>
  <c r="AG26" i="52"/>
  <c r="A27" i="52"/>
  <c r="B27" i="52"/>
  <c r="J27" i="52"/>
  <c r="R27" i="52"/>
  <c r="Z27" i="52"/>
  <c r="C27" i="52"/>
  <c r="K27" i="52"/>
  <c r="S27" i="52"/>
  <c r="AA27" i="52"/>
  <c r="D27" i="52"/>
  <c r="L27" i="52"/>
  <c r="T27" i="52"/>
  <c r="AB27" i="52"/>
  <c r="E27" i="52"/>
  <c r="M27" i="52"/>
  <c r="U27" i="52"/>
  <c r="AC27" i="52"/>
  <c r="F27" i="52"/>
  <c r="N27" i="52"/>
  <c r="V27" i="52"/>
  <c r="AD27" i="52"/>
  <c r="G27" i="52"/>
  <c r="O27" i="52"/>
  <c r="W27" i="52"/>
  <c r="AE27" i="52"/>
  <c r="H27" i="52"/>
  <c r="P27" i="52"/>
  <c r="X27" i="52"/>
  <c r="AF27" i="52"/>
  <c r="I27" i="52"/>
  <c r="Q27" i="52"/>
  <c r="Y27" i="52"/>
  <c r="AG27" i="52"/>
  <c r="A28" i="52"/>
  <c r="B28" i="52"/>
  <c r="J28" i="52"/>
  <c r="R28" i="52"/>
  <c r="Z28" i="52"/>
  <c r="C28" i="52"/>
  <c r="K28" i="52"/>
  <c r="S28" i="52"/>
  <c r="AA28" i="52"/>
  <c r="D28" i="52"/>
  <c r="L28" i="52"/>
  <c r="T28" i="52"/>
  <c r="AB28" i="52"/>
  <c r="E28" i="52"/>
  <c r="M28" i="52"/>
  <c r="U28" i="52"/>
  <c r="AC28" i="52"/>
  <c r="F28" i="52"/>
  <c r="N28" i="52"/>
  <c r="V28" i="52"/>
  <c r="AD28" i="52"/>
  <c r="G28" i="52"/>
  <c r="O28" i="52"/>
  <c r="W28" i="52"/>
  <c r="AE28" i="52"/>
  <c r="H28" i="52"/>
  <c r="P28" i="52"/>
  <c r="X28" i="52"/>
  <c r="AF28" i="52"/>
  <c r="I28" i="52"/>
  <c r="Q28" i="52"/>
  <c r="Y28" i="52"/>
  <c r="AG28" i="52"/>
  <c r="A29" i="52"/>
  <c r="B29" i="52"/>
  <c r="J29" i="52"/>
  <c r="R29" i="52"/>
  <c r="Z29" i="52"/>
  <c r="C29" i="52"/>
  <c r="K29" i="52"/>
  <c r="S29" i="52"/>
  <c r="AA29" i="52"/>
  <c r="D29" i="52"/>
  <c r="L29" i="52"/>
  <c r="T29" i="52"/>
  <c r="AB29" i="52"/>
  <c r="E29" i="52"/>
  <c r="M29" i="52"/>
  <c r="U29" i="52"/>
  <c r="AC29" i="52"/>
  <c r="F29" i="52"/>
  <c r="N29" i="52"/>
  <c r="V29" i="52"/>
  <c r="AD29" i="52"/>
  <c r="G29" i="52"/>
  <c r="O29" i="52"/>
  <c r="W29" i="52"/>
  <c r="AE29" i="52"/>
  <c r="H29" i="52"/>
  <c r="P29" i="52"/>
  <c r="X29" i="52"/>
  <c r="AF29" i="52"/>
  <c r="I29" i="52"/>
  <c r="Q29" i="52"/>
  <c r="Y29" i="52"/>
  <c r="AG29" i="52"/>
  <c r="A30" i="52"/>
  <c r="B30" i="52"/>
  <c r="J30" i="52"/>
  <c r="R30" i="52"/>
  <c r="Z30" i="52"/>
  <c r="C30" i="52"/>
  <c r="K30" i="52"/>
  <c r="S30" i="52"/>
  <c r="AA30" i="52"/>
  <c r="D30" i="52"/>
  <c r="L30" i="52"/>
  <c r="T30" i="52"/>
  <c r="AB30" i="52"/>
  <c r="E30" i="52"/>
  <c r="M30" i="52"/>
  <c r="U30" i="52"/>
  <c r="AC30" i="52"/>
  <c r="F30" i="52"/>
  <c r="N30" i="52"/>
  <c r="V30" i="52"/>
  <c r="AD30" i="52"/>
  <c r="G30" i="52"/>
  <c r="O30" i="52"/>
  <c r="W30" i="52"/>
  <c r="AE30" i="52"/>
  <c r="H30" i="52"/>
  <c r="P30" i="52"/>
  <c r="X30" i="52"/>
  <c r="AF30" i="52"/>
  <c r="I30" i="52"/>
  <c r="Q30" i="52"/>
  <c r="Y30" i="52"/>
  <c r="AG30" i="52"/>
  <c r="A31" i="52"/>
  <c r="B31" i="52"/>
  <c r="J31" i="52"/>
  <c r="R31" i="52"/>
  <c r="Z31" i="52"/>
  <c r="C31" i="52"/>
  <c r="K31" i="52"/>
  <c r="S31" i="52"/>
  <c r="AA31" i="52"/>
  <c r="D31" i="52"/>
  <c r="L31" i="52"/>
  <c r="T31" i="52"/>
  <c r="AB31" i="52"/>
  <c r="E31" i="52"/>
  <c r="M31" i="52"/>
  <c r="U31" i="52"/>
  <c r="AC31" i="52"/>
  <c r="F31" i="52"/>
  <c r="N31" i="52"/>
  <c r="V31" i="52"/>
  <c r="AD31" i="52"/>
  <c r="G31" i="52"/>
  <c r="O31" i="52"/>
  <c r="W31" i="52"/>
  <c r="AE31" i="52"/>
  <c r="H31" i="52"/>
  <c r="P31" i="52"/>
  <c r="X31" i="52"/>
  <c r="AF31" i="52"/>
  <c r="I31" i="52"/>
  <c r="Q31" i="52"/>
  <c r="Y31" i="52"/>
  <c r="AG31" i="52"/>
  <c r="A32" i="52"/>
  <c r="B32" i="52"/>
  <c r="J32" i="52"/>
  <c r="R32" i="52"/>
  <c r="Z32" i="52"/>
  <c r="C32" i="52"/>
  <c r="K32" i="52"/>
  <c r="S32" i="52"/>
  <c r="AA32" i="52"/>
  <c r="D32" i="52"/>
  <c r="L32" i="52"/>
  <c r="T32" i="52"/>
  <c r="AB32" i="52"/>
  <c r="E32" i="52"/>
  <c r="M32" i="52"/>
  <c r="U32" i="52"/>
  <c r="AC32" i="52"/>
  <c r="F32" i="52"/>
  <c r="N32" i="52"/>
  <c r="V32" i="52"/>
  <c r="AD32" i="52"/>
  <c r="G32" i="52"/>
  <c r="O32" i="52"/>
  <c r="W32" i="52"/>
  <c r="AE32" i="52"/>
  <c r="H32" i="52"/>
  <c r="P32" i="52"/>
  <c r="X32" i="52"/>
  <c r="AF32" i="52"/>
  <c r="I32" i="52"/>
  <c r="Q32" i="52"/>
  <c r="Y32" i="52"/>
  <c r="AG32" i="52"/>
  <c r="A33" i="52"/>
  <c r="B33" i="52"/>
  <c r="B2" i="46" s="1"/>
  <c r="J33" i="52"/>
  <c r="B2" i="45" s="1"/>
  <c r="R33" i="52"/>
  <c r="B2" i="43" s="1"/>
  <c r="Z33" i="52"/>
  <c r="B2" i="42" s="1"/>
  <c r="C33" i="52"/>
  <c r="C2" i="46" s="1"/>
  <c r="K33" i="52"/>
  <c r="C2" i="45" s="1"/>
  <c r="S33" i="52"/>
  <c r="C2" i="43" s="1"/>
  <c r="AA33" i="52"/>
  <c r="C2" i="42" s="1"/>
  <c r="D33" i="52"/>
  <c r="D2" i="46" s="1"/>
  <c r="L33" i="52"/>
  <c r="D2" i="45" s="1"/>
  <c r="T33" i="52"/>
  <c r="D2" i="43" s="1"/>
  <c r="AB33" i="52"/>
  <c r="D2" i="42" s="1"/>
  <c r="E33" i="52"/>
  <c r="E2" i="46" s="1"/>
  <c r="M33" i="52"/>
  <c r="E2" i="45" s="1"/>
  <c r="U33" i="52"/>
  <c r="E2" i="43" s="1"/>
  <c r="AC33" i="52"/>
  <c r="E2" i="42" s="1"/>
  <c r="F33" i="52"/>
  <c r="F2" i="46" s="1"/>
  <c r="N33" i="52"/>
  <c r="F2" i="45" s="1"/>
  <c r="V33" i="52"/>
  <c r="F2" i="43" s="1"/>
  <c r="AD33" i="52"/>
  <c r="F2" i="42" s="1"/>
  <c r="G33" i="52"/>
  <c r="G2" i="46" s="1"/>
  <c r="O33" i="52"/>
  <c r="G2" i="45" s="1"/>
  <c r="W33" i="52"/>
  <c r="G2" i="43" s="1"/>
  <c r="AE33" i="52"/>
  <c r="G2" i="42" s="1"/>
  <c r="H33" i="52"/>
  <c r="H2" i="46" s="1"/>
  <c r="P33" i="52"/>
  <c r="H2" i="45" s="1"/>
  <c r="X33" i="52"/>
  <c r="H2" i="43" s="1"/>
  <c r="AF33" i="52"/>
  <c r="H2" i="42" s="1"/>
  <c r="I33" i="52"/>
  <c r="I2" i="46" s="1"/>
  <c r="Q33" i="52"/>
  <c r="I2" i="45" s="1"/>
  <c r="Y33" i="52"/>
  <c r="I2" i="43" s="1"/>
  <c r="AG33" i="52"/>
  <c r="I2" i="42" s="1"/>
  <c r="A34" i="52"/>
  <c r="B34" i="52"/>
  <c r="B3" i="46" s="1"/>
  <c r="J34" i="52"/>
  <c r="B3" i="45" s="1"/>
  <c r="R34" i="52"/>
  <c r="B3" i="43" s="1"/>
  <c r="Z34" i="52"/>
  <c r="B3" i="42" s="1"/>
  <c r="C34" i="52"/>
  <c r="C3" i="46" s="1"/>
  <c r="K34" i="52"/>
  <c r="C3" i="45" s="1"/>
  <c r="S34" i="52"/>
  <c r="C3" i="43" s="1"/>
  <c r="AA34" i="52"/>
  <c r="C3" i="42" s="1"/>
  <c r="D34" i="52"/>
  <c r="D3" i="46" s="1"/>
  <c r="L34" i="52"/>
  <c r="D3" i="45" s="1"/>
  <c r="T34" i="52"/>
  <c r="D3" i="43" s="1"/>
  <c r="AB34" i="52"/>
  <c r="D3" i="42" s="1"/>
  <c r="E34" i="52"/>
  <c r="E3" i="46" s="1"/>
  <c r="M34" i="52"/>
  <c r="E3" i="45" s="1"/>
  <c r="U34" i="52"/>
  <c r="E3" i="43" s="1"/>
  <c r="AC34" i="52"/>
  <c r="E3" i="42" s="1"/>
  <c r="F34" i="52"/>
  <c r="F3" i="46" s="1"/>
  <c r="N34" i="52"/>
  <c r="F3" i="45" s="1"/>
  <c r="V34" i="52"/>
  <c r="F3" i="43" s="1"/>
  <c r="AD34" i="52"/>
  <c r="F3" i="42" s="1"/>
  <c r="G34" i="52"/>
  <c r="G3" i="46" s="1"/>
  <c r="O34" i="52"/>
  <c r="G3" i="45" s="1"/>
  <c r="W34" i="52"/>
  <c r="G3" i="43" s="1"/>
  <c r="AE34" i="52"/>
  <c r="G3" i="42" s="1"/>
  <c r="H34" i="52"/>
  <c r="H3" i="46" s="1"/>
  <c r="P34" i="52"/>
  <c r="H3" i="45" s="1"/>
  <c r="X34" i="52"/>
  <c r="H3" i="43" s="1"/>
  <c r="AF34" i="52"/>
  <c r="H3" i="42" s="1"/>
  <c r="I34" i="52"/>
  <c r="I3" i="46" s="1"/>
  <c r="Q34" i="52"/>
  <c r="I3" i="45" s="1"/>
  <c r="Y34" i="52"/>
  <c r="I3" i="43" s="1"/>
  <c r="AG34" i="52"/>
  <c r="I3" i="42" s="1"/>
  <c r="A35" i="52"/>
  <c r="B35" i="52"/>
  <c r="B4" i="46" s="1"/>
  <c r="J35" i="52"/>
  <c r="B4" i="45" s="1"/>
  <c r="R35" i="52"/>
  <c r="B4" i="43" s="1"/>
  <c r="Z35" i="52"/>
  <c r="B4" i="42" s="1"/>
  <c r="C35" i="52"/>
  <c r="C4" i="46" s="1"/>
  <c r="K35" i="52"/>
  <c r="C4" i="45" s="1"/>
  <c r="S35" i="52"/>
  <c r="C4" i="43" s="1"/>
  <c r="AA35" i="52"/>
  <c r="C4" i="42" s="1"/>
  <c r="D35" i="52"/>
  <c r="D4" i="46" s="1"/>
  <c r="L35" i="52"/>
  <c r="D4" i="45" s="1"/>
  <c r="T35" i="52"/>
  <c r="D4" i="43" s="1"/>
  <c r="AB35" i="52"/>
  <c r="D4" i="42" s="1"/>
  <c r="E35" i="52"/>
  <c r="E4" i="46" s="1"/>
  <c r="M35" i="52"/>
  <c r="E4" i="45" s="1"/>
  <c r="U35" i="52"/>
  <c r="E4" i="43" s="1"/>
  <c r="AC35" i="52"/>
  <c r="E4" i="42" s="1"/>
  <c r="F35" i="52"/>
  <c r="F4" i="46" s="1"/>
  <c r="N35" i="52"/>
  <c r="F4" i="45" s="1"/>
  <c r="V35" i="52"/>
  <c r="F4" i="43" s="1"/>
  <c r="AD35" i="52"/>
  <c r="F4" i="42" s="1"/>
  <c r="G35" i="52"/>
  <c r="G4" i="46" s="1"/>
  <c r="O35" i="52"/>
  <c r="G4" i="45" s="1"/>
  <c r="W35" i="52"/>
  <c r="G4" i="43" s="1"/>
  <c r="AE35" i="52"/>
  <c r="G4" i="42" s="1"/>
  <c r="H35" i="52"/>
  <c r="H4" i="46" s="1"/>
  <c r="P35" i="52"/>
  <c r="H4" i="45" s="1"/>
  <c r="X35" i="52"/>
  <c r="H4" i="43" s="1"/>
  <c r="AF35" i="52"/>
  <c r="H4" i="42" s="1"/>
  <c r="I35" i="52"/>
  <c r="I4" i="46" s="1"/>
  <c r="Q35" i="52"/>
  <c r="I4" i="45" s="1"/>
  <c r="Y35" i="52"/>
  <c r="I4" i="43" s="1"/>
  <c r="AG35" i="52"/>
  <c r="I4" i="42" s="1"/>
  <c r="A36" i="52"/>
  <c r="B36" i="52"/>
  <c r="B5" i="46" s="1"/>
  <c r="J36" i="52"/>
  <c r="B5" i="45" s="1"/>
  <c r="R36" i="52"/>
  <c r="B5" i="43" s="1"/>
  <c r="Z36" i="52"/>
  <c r="B5" i="42" s="1"/>
  <c r="C36" i="52"/>
  <c r="C5" i="46" s="1"/>
  <c r="K36" i="52"/>
  <c r="C5" i="45" s="1"/>
  <c r="S36" i="52"/>
  <c r="C5" i="43" s="1"/>
  <c r="AA36" i="52"/>
  <c r="C5" i="42" s="1"/>
  <c r="D36" i="52"/>
  <c r="D5" i="46" s="1"/>
  <c r="L36" i="52"/>
  <c r="D5" i="45" s="1"/>
  <c r="T36" i="52"/>
  <c r="D5" i="43" s="1"/>
  <c r="AB36" i="52"/>
  <c r="D5" i="42" s="1"/>
  <c r="E36" i="52"/>
  <c r="E5" i="46" s="1"/>
  <c r="M36" i="52"/>
  <c r="E5" i="45" s="1"/>
  <c r="U36" i="52"/>
  <c r="E5" i="43" s="1"/>
  <c r="AC36" i="52"/>
  <c r="E5" i="42" s="1"/>
  <c r="F36" i="52"/>
  <c r="F5" i="46" s="1"/>
  <c r="N36" i="52"/>
  <c r="F5" i="45" s="1"/>
  <c r="V36" i="52"/>
  <c r="F5" i="43" s="1"/>
  <c r="AD36" i="52"/>
  <c r="F5" i="42" s="1"/>
  <c r="G36" i="52"/>
  <c r="G5" i="46" s="1"/>
  <c r="O36" i="52"/>
  <c r="G5" i="45" s="1"/>
  <c r="W36" i="52"/>
  <c r="G5" i="43" s="1"/>
  <c r="AE36" i="52"/>
  <c r="G5" i="42" s="1"/>
  <c r="H36" i="52"/>
  <c r="H5" i="46" s="1"/>
  <c r="P36" i="52"/>
  <c r="H5" i="45" s="1"/>
  <c r="X36" i="52"/>
  <c r="H5" i="43" s="1"/>
  <c r="AF36" i="52"/>
  <c r="H5" i="42" s="1"/>
  <c r="I36" i="52"/>
  <c r="I5" i="46" s="1"/>
  <c r="Q36" i="52"/>
  <c r="I5" i="45" s="1"/>
  <c r="Y36" i="52"/>
  <c r="I5" i="43" s="1"/>
  <c r="AG36" i="52"/>
  <c r="I5" i="42" s="1"/>
  <c r="A37" i="52"/>
  <c r="B37" i="52"/>
  <c r="B6" i="46" s="1"/>
  <c r="J37" i="52"/>
  <c r="B6" i="45" s="1"/>
  <c r="R37" i="52"/>
  <c r="B6" i="43" s="1"/>
  <c r="Z37" i="52"/>
  <c r="B6" i="42" s="1"/>
  <c r="C37" i="52"/>
  <c r="C6" i="46" s="1"/>
  <c r="K37" i="52"/>
  <c r="C6" i="45" s="1"/>
  <c r="S37" i="52"/>
  <c r="C6" i="43" s="1"/>
  <c r="AA37" i="52"/>
  <c r="C6" i="42" s="1"/>
  <c r="D37" i="52"/>
  <c r="D6" i="46" s="1"/>
  <c r="L37" i="52"/>
  <c r="D6" i="45" s="1"/>
  <c r="T37" i="52"/>
  <c r="D6" i="43" s="1"/>
  <c r="AB37" i="52"/>
  <c r="D6" i="42" s="1"/>
  <c r="E37" i="52"/>
  <c r="E6" i="46" s="1"/>
  <c r="M37" i="52"/>
  <c r="E6" i="45" s="1"/>
  <c r="U37" i="52"/>
  <c r="E6" i="43" s="1"/>
  <c r="AC37" i="52"/>
  <c r="E6" i="42" s="1"/>
  <c r="F37" i="52"/>
  <c r="F6" i="46" s="1"/>
  <c r="N37" i="52"/>
  <c r="F6" i="45" s="1"/>
  <c r="V37" i="52"/>
  <c r="F6" i="43" s="1"/>
  <c r="AD37" i="52"/>
  <c r="F6" i="42" s="1"/>
  <c r="G37" i="52"/>
  <c r="G6" i="46" s="1"/>
  <c r="O37" i="52"/>
  <c r="G6" i="45" s="1"/>
  <c r="W37" i="52"/>
  <c r="G6" i="43" s="1"/>
  <c r="AE37" i="52"/>
  <c r="G6" i="42" s="1"/>
  <c r="H37" i="52"/>
  <c r="H6" i="46" s="1"/>
  <c r="P37" i="52"/>
  <c r="H6" i="45" s="1"/>
  <c r="X37" i="52"/>
  <c r="H6" i="43" s="1"/>
  <c r="AF37" i="52"/>
  <c r="H6" i="42" s="1"/>
  <c r="I37" i="52"/>
  <c r="I6" i="46" s="1"/>
  <c r="Q37" i="52"/>
  <c r="I6" i="45" s="1"/>
  <c r="Y37" i="52"/>
  <c r="I6" i="43" s="1"/>
  <c r="AG37" i="52"/>
  <c r="I6" i="42" s="1"/>
  <c r="A38" i="52"/>
  <c r="B38" i="52"/>
  <c r="B7" i="46" s="1"/>
  <c r="J38" i="52"/>
  <c r="B7" i="45" s="1"/>
  <c r="R38" i="52"/>
  <c r="B7" i="43" s="1"/>
  <c r="Z38" i="52"/>
  <c r="B7" i="42" s="1"/>
  <c r="C38" i="52"/>
  <c r="C7" i="46" s="1"/>
  <c r="K38" i="52"/>
  <c r="C7" i="45" s="1"/>
  <c r="S38" i="52"/>
  <c r="C7" i="43" s="1"/>
  <c r="AA38" i="52"/>
  <c r="C7" i="42" s="1"/>
  <c r="D38" i="52"/>
  <c r="D7" i="46" s="1"/>
  <c r="L38" i="52"/>
  <c r="D7" i="45" s="1"/>
  <c r="T38" i="52"/>
  <c r="D7" i="43" s="1"/>
  <c r="AB38" i="52"/>
  <c r="D7" i="42" s="1"/>
  <c r="E38" i="52"/>
  <c r="E7" i="46" s="1"/>
  <c r="M38" i="52"/>
  <c r="E7" i="45" s="1"/>
  <c r="U38" i="52"/>
  <c r="E7" i="43" s="1"/>
  <c r="AC38" i="52"/>
  <c r="E7" i="42" s="1"/>
  <c r="F38" i="52"/>
  <c r="F7" i="46" s="1"/>
  <c r="N38" i="52"/>
  <c r="F7" i="45" s="1"/>
  <c r="V38" i="52"/>
  <c r="F7" i="43" s="1"/>
  <c r="AD38" i="52"/>
  <c r="F7" i="42" s="1"/>
  <c r="G38" i="52"/>
  <c r="G7" i="46" s="1"/>
  <c r="O38" i="52"/>
  <c r="G7" i="45" s="1"/>
  <c r="W38" i="52"/>
  <c r="G7" i="43" s="1"/>
  <c r="AE38" i="52"/>
  <c r="G7" i="42" s="1"/>
  <c r="H38" i="52"/>
  <c r="H7" i="46" s="1"/>
  <c r="P38" i="52"/>
  <c r="H7" i="45" s="1"/>
  <c r="X38" i="52"/>
  <c r="H7" i="43" s="1"/>
  <c r="AF38" i="52"/>
  <c r="H7" i="42" s="1"/>
  <c r="I38" i="52"/>
  <c r="I7" i="46" s="1"/>
  <c r="Q38" i="52"/>
  <c r="I7" i="45" s="1"/>
  <c r="Y38" i="52"/>
  <c r="I7" i="43" s="1"/>
  <c r="AG38" i="52"/>
  <c r="I7" i="42" s="1"/>
  <c r="A39" i="52"/>
  <c r="B39" i="52"/>
  <c r="B8" i="46" s="1"/>
  <c r="J39" i="52"/>
  <c r="B8" i="45" s="1"/>
  <c r="R39" i="52"/>
  <c r="B8" i="43" s="1"/>
  <c r="Z39" i="52"/>
  <c r="B8" i="42" s="1"/>
  <c r="C39" i="52"/>
  <c r="C8" i="46" s="1"/>
  <c r="K39" i="52"/>
  <c r="C8" i="45" s="1"/>
  <c r="S39" i="52"/>
  <c r="C8" i="43" s="1"/>
  <c r="AA39" i="52"/>
  <c r="C8" i="42" s="1"/>
  <c r="D39" i="52"/>
  <c r="D8" i="46" s="1"/>
  <c r="L39" i="52"/>
  <c r="D8" i="45" s="1"/>
  <c r="T39" i="52"/>
  <c r="D8" i="43" s="1"/>
  <c r="AB39" i="52"/>
  <c r="D8" i="42" s="1"/>
  <c r="E39" i="52"/>
  <c r="E8" i="46" s="1"/>
  <c r="M39" i="52"/>
  <c r="E8" i="45" s="1"/>
  <c r="U39" i="52"/>
  <c r="E8" i="43" s="1"/>
  <c r="AC39" i="52"/>
  <c r="E8" i="42" s="1"/>
  <c r="F39" i="52"/>
  <c r="F8" i="46" s="1"/>
  <c r="N39" i="52"/>
  <c r="F8" i="45" s="1"/>
  <c r="V39" i="52"/>
  <c r="F8" i="43" s="1"/>
  <c r="AD39" i="52"/>
  <c r="F8" i="42" s="1"/>
  <c r="G39" i="52"/>
  <c r="G8" i="46" s="1"/>
  <c r="O39" i="52"/>
  <c r="G8" i="45" s="1"/>
  <c r="W39" i="52"/>
  <c r="G8" i="43" s="1"/>
  <c r="AE39" i="52"/>
  <c r="G8" i="42" s="1"/>
  <c r="H39" i="52"/>
  <c r="H8" i="46" s="1"/>
  <c r="P39" i="52"/>
  <c r="H8" i="45" s="1"/>
  <c r="X39" i="52"/>
  <c r="H8" i="43" s="1"/>
  <c r="AF39" i="52"/>
  <c r="H8" i="42" s="1"/>
  <c r="I39" i="52"/>
  <c r="I8" i="46" s="1"/>
  <c r="Q39" i="52"/>
  <c r="I8" i="45" s="1"/>
  <c r="Y39" i="52"/>
  <c r="I8" i="43" s="1"/>
  <c r="AG39" i="52"/>
  <c r="I8" i="42" s="1"/>
  <c r="A40" i="52"/>
  <c r="B40" i="52"/>
  <c r="B9" i="46" s="1"/>
  <c r="J40" i="52"/>
  <c r="B9" i="45" s="1"/>
  <c r="R40" i="52"/>
  <c r="B9" i="43" s="1"/>
  <c r="Z40" i="52"/>
  <c r="B9" i="42" s="1"/>
  <c r="C40" i="52"/>
  <c r="C9" i="46" s="1"/>
  <c r="K40" i="52"/>
  <c r="C9" i="45" s="1"/>
  <c r="S40" i="52"/>
  <c r="C9" i="43" s="1"/>
  <c r="AA40" i="52"/>
  <c r="C9" i="42" s="1"/>
  <c r="D40" i="52"/>
  <c r="D9" i="46" s="1"/>
  <c r="L40" i="52"/>
  <c r="D9" i="45" s="1"/>
  <c r="T40" i="52"/>
  <c r="D9" i="43" s="1"/>
  <c r="AB40" i="52"/>
  <c r="D9" i="42" s="1"/>
  <c r="E40" i="52"/>
  <c r="E9" i="46" s="1"/>
  <c r="M40" i="52"/>
  <c r="E9" i="45" s="1"/>
  <c r="U40" i="52"/>
  <c r="E9" i="43" s="1"/>
  <c r="AC40" i="52"/>
  <c r="E9" i="42" s="1"/>
  <c r="F40" i="52"/>
  <c r="F9" i="46" s="1"/>
  <c r="N40" i="52"/>
  <c r="F9" i="45" s="1"/>
  <c r="V40" i="52"/>
  <c r="F9" i="43" s="1"/>
  <c r="AD40" i="52"/>
  <c r="F9" i="42" s="1"/>
  <c r="G40" i="52"/>
  <c r="G9" i="46" s="1"/>
  <c r="O40" i="52"/>
  <c r="G9" i="45" s="1"/>
  <c r="W40" i="52"/>
  <c r="G9" i="43" s="1"/>
  <c r="AE40" i="52"/>
  <c r="G9" i="42" s="1"/>
  <c r="H40" i="52"/>
  <c r="H9" i="46" s="1"/>
  <c r="P40" i="52"/>
  <c r="H9" i="45" s="1"/>
  <c r="X40" i="52"/>
  <c r="H9" i="43" s="1"/>
  <c r="AF40" i="52"/>
  <c r="H9" i="42" s="1"/>
  <c r="I40" i="52"/>
  <c r="I9" i="46" s="1"/>
  <c r="Q40" i="52"/>
  <c r="I9" i="45" s="1"/>
  <c r="Y40" i="52"/>
  <c r="I9" i="43" s="1"/>
  <c r="AG40" i="52"/>
  <c r="I9" i="42" s="1"/>
  <c r="A41" i="52"/>
  <c r="B41" i="52"/>
  <c r="B10" i="46" s="1"/>
  <c r="J41" i="52"/>
  <c r="B10" i="45" s="1"/>
  <c r="R41" i="52"/>
  <c r="B10" i="43" s="1"/>
  <c r="Z41" i="52"/>
  <c r="B10" i="42" s="1"/>
  <c r="C41" i="52"/>
  <c r="C10" i="46" s="1"/>
  <c r="K41" i="52"/>
  <c r="C10" i="45" s="1"/>
  <c r="S41" i="52"/>
  <c r="C10" i="43" s="1"/>
  <c r="AA41" i="52"/>
  <c r="C10" i="42" s="1"/>
  <c r="D41" i="52"/>
  <c r="D10" i="46" s="1"/>
  <c r="L41" i="52"/>
  <c r="D10" i="45" s="1"/>
  <c r="T41" i="52"/>
  <c r="D10" i="43" s="1"/>
  <c r="AB41" i="52"/>
  <c r="D10" i="42" s="1"/>
  <c r="E41" i="52"/>
  <c r="E10" i="46" s="1"/>
  <c r="M41" i="52"/>
  <c r="E10" i="45" s="1"/>
  <c r="U41" i="52"/>
  <c r="E10" i="43" s="1"/>
  <c r="AC41" i="52"/>
  <c r="E10" i="42" s="1"/>
  <c r="F41" i="52"/>
  <c r="F10" i="46" s="1"/>
  <c r="N41" i="52"/>
  <c r="F10" i="45" s="1"/>
  <c r="V41" i="52"/>
  <c r="F10" i="43" s="1"/>
  <c r="AD41" i="52"/>
  <c r="F10" i="42" s="1"/>
  <c r="G41" i="52"/>
  <c r="G10" i="46" s="1"/>
  <c r="O41" i="52"/>
  <c r="G10" i="45" s="1"/>
  <c r="W41" i="52"/>
  <c r="G10" i="43" s="1"/>
  <c r="AE41" i="52"/>
  <c r="G10" i="42" s="1"/>
  <c r="H41" i="52"/>
  <c r="H10" i="46" s="1"/>
  <c r="P41" i="52"/>
  <c r="H10" i="45" s="1"/>
  <c r="X41" i="52"/>
  <c r="H10" i="43" s="1"/>
  <c r="AF41" i="52"/>
  <c r="H10" i="42" s="1"/>
  <c r="I41" i="52"/>
  <c r="I10" i="46" s="1"/>
  <c r="Q41" i="52"/>
  <c r="I10" i="45" s="1"/>
  <c r="Y41" i="52"/>
  <c r="I10" i="43" s="1"/>
  <c r="AG41" i="52"/>
  <c r="I10" i="42" s="1"/>
  <c r="A42" i="52"/>
  <c r="B42" i="52"/>
  <c r="B11" i="46" s="1"/>
  <c r="J42" i="52"/>
  <c r="B11" i="45" s="1"/>
  <c r="R42" i="52"/>
  <c r="B11" i="43" s="1"/>
  <c r="Z42" i="52"/>
  <c r="B11" i="42" s="1"/>
  <c r="C42" i="52"/>
  <c r="C11" i="46" s="1"/>
  <c r="K42" i="52"/>
  <c r="C11" i="45" s="1"/>
  <c r="S42" i="52"/>
  <c r="C11" i="43" s="1"/>
  <c r="AA42" i="52"/>
  <c r="C11" i="42" s="1"/>
  <c r="D42" i="52"/>
  <c r="D11" i="46" s="1"/>
  <c r="L42" i="52"/>
  <c r="D11" i="45" s="1"/>
  <c r="T42" i="52"/>
  <c r="D11" i="43" s="1"/>
  <c r="AB42" i="52"/>
  <c r="D11" i="42" s="1"/>
  <c r="E42" i="52"/>
  <c r="E11" i="46" s="1"/>
  <c r="M42" i="52"/>
  <c r="E11" i="45" s="1"/>
  <c r="U42" i="52"/>
  <c r="E11" i="43" s="1"/>
  <c r="AC42" i="52"/>
  <c r="E11" i="42" s="1"/>
  <c r="F42" i="52"/>
  <c r="F11" i="46" s="1"/>
  <c r="N42" i="52"/>
  <c r="F11" i="45" s="1"/>
  <c r="V42" i="52"/>
  <c r="F11" i="43" s="1"/>
  <c r="AD42" i="52"/>
  <c r="F11" i="42" s="1"/>
  <c r="G42" i="52"/>
  <c r="G11" i="46" s="1"/>
  <c r="O42" i="52"/>
  <c r="G11" i="45" s="1"/>
  <c r="W42" i="52"/>
  <c r="G11" i="43" s="1"/>
  <c r="AE42" i="52"/>
  <c r="G11" i="42" s="1"/>
  <c r="H42" i="52"/>
  <c r="H11" i="46" s="1"/>
  <c r="P42" i="52"/>
  <c r="H11" i="45" s="1"/>
  <c r="X42" i="52"/>
  <c r="H11" i="43" s="1"/>
  <c r="AF42" i="52"/>
  <c r="H11" i="42" s="1"/>
  <c r="I42" i="52"/>
  <c r="I11" i="46" s="1"/>
  <c r="Q42" i="52"/>
  <c r="I11" i="45" s="1"/>
  <c r="Y42" i="52"/>
  <c r="I11" i="43" s="1"/>
  <c r="AG42" i="52"/>
  <c r="I11" i="42" s="1"/>
  <c r="A43" i="52"/>
  <c r="B43" i="52"/>
  <c r="B12" i="46" s="1"/>
  <c r="J43" i="52"/>
  <c r="B12" i="45" s="1"/>
  <c r="R43" i="52"/>
  <c r="B12" i="43" s="1"/>
  <c r="Z43" i="52"/>
  <c r="B12" i="42" s="1"/>
  <c r="C43" i="52"/>
  <c r="C12" i="46" s="1"/>
  <c r="K43" i="52"/>
  <c r="C12" i="45" s="1"/>
  <c r="S43" i="52"/>
  <c r="C12" i="43" s="1"/>
  <c r="AA43" i="52"/>
  <c r="C12" i="42" s="1"/>
  <c r="D43" i="52"/>
  <c r="D12" i="46" s="1"/>
  <c r="L43" i="52"/>
  <c r="D12" i="45" s="1"/>
  <c r="T43" i="52"/>
  <c r="D12" i="43" s="1"/>
  <c r="AB43" i="52"/>
  <c r="D12" i="42" s="1"/>
  <c r="E43" i="52"/>
  <c r="E12" i="46" s="1"/>
  <c r="M43" i="52"/>
  <c r="E12" i="45" s="1"/>
  <c r="U43" i="52"/>
  <c r="E12" i="43" s="1"/>
  <c r="AC43" i="52"/>
  <c r="E12" i="42" s="1"/>
  <c r="F43" i="52"/>
  <c r="F12" i="46" s="1"/>
  <c r="N43" i="52"/>
  <c r="F12" i="45" s="1"/>
  <c r="V43" i="52"/>
  <c r="F12" i="43" s="1"/>
  <c r="AD43" i="52"/>
  <c r="F12" i="42" s="1"/>
  <c r="G43" i="52"/>
  <c r="G12" i="46" s="1"/>
  <c r="O43" i="52"/>
  <c r="G12" i="45" s="1"/>
  <c r="W43" i="52"/>
  <c r="G12" i="43" s="1"/>
  <c r="AE43" i="52"/>
  <c r="G12" i="42" s="1"/>
  <c r="H43" i="52"/>
  <c r="H12" i="46" s="1"/>
  <c r="P43" i="52"/>
  <c r="H12" i="45" s="1"/>
  <c r="X43" i="52"/>
  <c r="H12" i="43" s="1"/>
  <c r="AF43" i="52"/>
  <c r="H12" i="42" s="1"/>
  <c r="I43" i="52"/>
  <c r="I12" i="46" s="1"/>
  <c r="Q43" i="52"/>
  <c r="I12" i="45" s="1"/>
  <c r="Y43" i="52"/>
  <c r="I12" i="43" s="1"/>
  <c r="AG43" i="52"/>
  <c r="I12" i="42" s="1"/>
  <c r="A44" i="52"/>
  <c r="B44" i="52"/>
  <c r="B13" i="46" s="1"/>
  <c r="J44" i="52"/>
  <c r="B13" i="45" s="1"/>
  <c r="R44" i="52"/>
  <c r="B13" i="43" s="1"/>
  <c r="Z44" i="52"/>
  <c r="B13" i="42" s="1"/>
  <c r="C44" i="52"/>
  <c r="C13" i="46" s="1"/>
  <c r="K44" i="52"/>
  <c r="C13" i="45" s="1"/>
  <c r="S44" i="52"/>
  <c r="C13" i="43" s="1"/>
  <c r="AA44" i="52"/>
  <c r="C13" i="42" s="1"/>
  <c r="D44" i="52"/>
  <c r="D13" i="46" s="1"/>
  <c r="L44" i="52"/>
  <c r="D13" i="45" s="1"/>
  <c r="T44" i="52"/>
  <c r="D13" i="43" s="1"/>
  <c r="AB44" i="52"/>
  <c r="D13" i="42" s="1"/>
  <c r="E44" i="52"/>
  <c r="E13" i="46" s="1"/>
  <c r="M44" i="52"/>
  <c r="E13" i="45" s="1"/>
  <c r="U44" i="52"/>
  <c r="E13" i="43" s="1"/>
  <c r="AC44" i="52"/>
  <c r="E13" i="42" s="1"/>
  <c r="F44" i="52"/>
  <c r="F13" i="46" s="1"/>
  <c r="N44" i="52"/>
  <c r="F13" i="45" s="1"/>
  <c r="V44" i="52"/>
  <c r="F13" i="43" s="1"/>
  <c r="AD44" i="52"/>
  <c r="F13" i="42" s="1"/>
  <c r="G44" i="52"/>
  <c r="G13" i="46" s="1"/>
  <c r="O44" i="52"/>
  <c r="G13" i="45" s="1"/>
  <c r="W44" i="52"/>
  <c r="G13" i="43" s="1"/>
  <c r="AE44" i="52"/>
  <c r="G13" i="42" s="1"/>
  <c r="H44" i="52"/>
  <c r="H13" i="46" s="1"/>
  <c r="P44" i="52"/>
  <c r="H13" i="45" s="1"/>
  <c r="X44" i="52"/>
  <c r="H13" i="43" s="1"/>
  <c r="AF44" i="52"/>
  <c r="H13" i="42" s="1"/>
  <c r="I44" i="52"/>
  <c r="I13" i="46" s="1"/>
  <c r="Q44" i="52"/>
  <c r="I13" i="45" s="1"/>
  <c r="Y44" i="52"/>
  <c r="I13" i="43" s="1"/>
  <c r="AG44" i="52"/>
  <c r="I13" i="42" s="1"/>
  <c r="A45" i="52"/>
  <c r="B45" i="52"/>
  <c r="B14" i="46" s="1"/>
  <c r="J45" i="52"/>
  <c r="B14" i="45" s="1"/>
  <c r="R45" i="52"/>
  <c r="B14" i="43" s="1"/>
  <c r="Z45" i="52"/>
  <c r="B14" i="42" s="1"/>
  <c r="C45" i="52"/>
  <c r="C14" i="46" s="1"/>
  <c r="K45" i="52"/>
  <c r="C14" i="45" s="1"/>
  <c r="S45" i="52"/>
  <c r="C14" i="43" s="1"/>
  <c r="AA45" i="52"/>
  <c r="C14" i="42" s="1"/>
  <c r="D45" i="52"/>
  <c r="D14" i="46" s="1"/>
  <c r="L45" i="52"/>
  <c r="D14" i="45" s="1"/>
  <c r="T45" i="52"/>
  <c r="D14" i="43" s="1"/>
  <c r="AB45" i="52"/>
  <c r="D14" i="42" s="1"/>
  <c r="E45" i="52"/>
  <c r="E14" i="46" s="1"/>
  <c r="M45" i="52"/>
  <c r="E14" i="45" s="1"/>
  <c r="U45" i="52"/>
  <c r="E14" i="43" s="1"/>
  <c r="AC45" i="52"/>
  <c r="E14" i="42" s="1"/>
  <c r="F45" i="52"/>
  <c r="F14" i="46" s="1"/>
  <c r="N45" i="52"/>
  <c r="F14" i="45" s="1"/>
  <c r="V45" i="52"/>
  <c r="F14" i="43" s="1"/>
  <c r="AD45" i="52"/>
  <c r="F14" i="42" s="1"/>
  <c r="G45" i="52"/>
  <c r="G14" i="46" s="1"/>
  <c r="O45" i="52"/>
  <c r="G14" i="45" s="1"/>
  <c r="W45" i="52"/>
  <c r="G14" i="43" s="1"/>
  <c r="AE45" i="52"/>
  <c r="G14" i="42" s="1"/>
  <c r="H45" i="52"/>
  <c r="H14" i="46" s="1"/>
  <c r="P45" i="52"/>
  <c r="H14" i="45" s="1"/>
  <c r="X45" i="52"/>
  <c r="H14" i="43" s="1"/>
  <c r="AF45" i="52"/>
  <c r="H14" i="42" s="1"/>
  <c r="I45" i="52"/>
  <c r="I14" i="46" s="1"/>
  <c r="Q45" i="52"/>
  <c r="I14" i="45" s="1"/>
  <c r="Y45" i="52"/>
  <c r="I14" i="43" s="1"/>
  <c r="AG45" i="52"/>
  <c r="I14" i="42" s="1"/>
  <c r="A46" i="52"/>
  <c r="B46" i="52"/>
  <c r="B15" i="46" s="1"/>
  <c r="J46" i="52"/>
  <c r="B15" i="45" s="1"/>
  <c r="R46" i="52"/>
  <c r="B15" i="43" s="1"/>
  <c r="Z46" i="52"/>
  <c r="B15" i="42" s="1"/>
  <c r="C46" i="52"/>
  <c r="C15" i="46" s="1"/>
  <c r="K46" i="52"/>
  <c r="C15" i="45" s="1"/>
  <c r="S46" i="52"/>
  <c r="C15" i="43" s="1"/>
  <c r="AA46" i="52"/>
  <c r="C15" i="42" s="1"/>
  <c r="D46" i="52"/>
  <c r="D15" i="46" s="1"/>
  <c r="L46" i="52"/>
  <c r="D15" i="45" s="1"/>
  <c r="T46" i="52"/>
  <c r="D15" i="43" s="1"/>
  <c r="AB46" i="52"/>
  <c r="D15" i="42" s="1"/>
  <c r="E46" i="52"/>
  <c r="E15" i="46" s="1"/>
  <c r="M46" i="52"/>
  <c r="E15" i="45" s="1"/>
  <c r="U46" i="52"/>
  <c r="E15" i="43" s="1"/>
  <c r="AC46" i="52"/>
  <c r="E15" i="42" s="1"/>
  <c r="F46" i="52"/>
  <c r="F15" i="46" s="1"/>
  <c r="N46" i="52"/>
  <c r="F15" i="45" s="1"/>
  <c r="V46" i="52"/>
  <c r="F15" i="43" s="1"/>
  <c r="AD46" i="52"/>
  <c r="F15" i="42" s="1"/>
  <c r="G46" i="52"/>
  <c r="G15" i="46" s="1"/>
  <c r="O46" i="52"/>
  <c r="G15" i="45" s="1"/>
  <c r="W46" i="52"/>
  <c r="G15" i="43" s="1"/>
  <c r="AE46" i="52"/>
  <c r="G15" i="42" s="1"/>
  <c r="H46" i="52"/>
  <c r="H15" i="46" s="1"/>
  <c r="P46" i="52"/>
  <c r="H15" i="45" s="1"/>
  <c r="X46" i="52"/>
  <c r="H15" i="43" s="1"/>
  <c r="AF46" i="52"/>
  <c r="H15" i="42" s="1"/>
  <c r="I46" i="52"/>
  <c r="I15" i="46" s="1"/>
  <c r="Q46" i="52"/>
  <c r="I15" i="45" s="1"/>
  <c r="Y46" i="52"/>
  <c r="I15" i="43" s="1"/>
  <c r="AG46" i="52"/>
  <c r="I15" i="42" s="1"/>
  <c r="A47" i="52"/>
  <c r="B47" i="52"/>
  <c r="B16" i="46" s="1"/>
  <c r="J47" i="52"/>
  <c r="B16" i="45" s="1"/>
  <c r="R47" i="52"/>
  <c r="B16" i="43" s="1"/>
  <c r="Z47" i="52"/>
  <c r="B16" i="42" s="1"/>
  <c r="C47" i="52"/>
  <c r="C16" i="46" s="1"/>
  <c r="K47" i="52"/>
  <c r="C16" i="45" s="1"/>
  <c r="S47" i="52"/>
  <c r="C16" i="43" s="1"/>
  <c r="AA47" i="52"/>
  <c r="C16" i="42" s="1"/>
  <c r="D47" i="52"/>
  <c r="D16" i="46" s="1"/>
  <c r="L47" i="52"/>
  <c r="D16" i="45" s="1"/>
  <c r="T47" i="52"/>
  <c r="D16" i="43" s="1"/>
  <c r="AB47" i="52"/>
  <c r="D16" i="42" s="1"/>
  <c r="E47" i="52"/>
  <c r="E16" i="46" s="1"/>
  <c r="M47" i="52"/>
  <c r="E16" i="45" s="1"/>
  <c r="U47" i="52"/>
  <c r="E16" i="43" s="1"/>
  <c r="AC47" i="52"/>
  <c r="E16" i="42" s="1"/>
  <c r="F47" i="52"/>
  <c r="F16" i="46" s="1"/>
  <c r="N47" i="52"/>
  <c r="F16" i="45" s="1"/>
  <c r="V47" i="52"/>
  <c r="F16" i="43" s="1"/>
  <c r="AD47" i="52"/>
  <c r="F16" i="42" s="1"/>
  <c r="G47" i="52"/>
  <c r="G16" i="46" s="1"/>
  <c r="O47" i="52"/>
  <c r="G16" i="45" s="1"/>
  <c r="W47" i="52"/>
  <c r="G16" i="43" s="1"/>
  <c r="AE47" i="52"/>
  <c r="G16" i="42" s="1"/>
  <c r="H47" i="52"/>
  <c r="H16" i="46" s="1"/>
  <c r="P47" i="52"/>
  <c r="H16" i="45" s="1"/>
  <c r="X47" i="52"/>
  <c r="H16" i="43" s="1"/>
  <c r="AF47" i="52"/>
  <c r="H16" i="42" s="1"/>
  <c r="I47" i="52"/>
  <c r="I16" i="46" s="1"/>
  <c r="Q47" i="52"/>
  <c r="I16" i="45" s="1"/>
  <c r="Y47" i="52"/>
  <c r="I16" i="43" s="1"/>
  <c r="AG47" i="52"/>
  <c r="I16" i="42" s="1"/>
  <c r="A48" i="52"/>
  <c r="B48" i="52"/>
  <c r="B17" i="46" s="1"/>
  <c r="J48" i="52"/>
  <c r="B17" i="45" s="1"/>
  <c r="R48" i="52"/>
  <c r="B17" i="43" s="1"/>
  <c r="Z48" i="52"/>
  <c r="B17" i="42" s="1"/>
  <c r="C48" i="52"/>
  <c r="C17" i="46" s="1"/>
  <c r="K48" i="52"/>
  <c r="C17" i="45" s="1"/>
  <c r="S48" i="52"/>
  <c r="C17" i="43" s="1"/>
  <c r="AA48" i="52"/>
  <c r="C17" i="42" s="1"/>
  <c r="D48" i="52"/>
  <c r="D17" i="46" s="1"/>
  <c r="L48" i="52"/>
  <c r="D17" i="45" s="1"/>
  <c r="T48" i="52"/>
  <c r="D17" i="43" s="1"/>
  <c r="AB48" i="52"/>
  <c r="D17" i="42" s="1"/>
  <c r="E48" i="52"/>
  <c r="E17" i="46" s="1"/>
  <c r="M48" i="52"/>
  <c r="E17" i="45" s="1"/>
  <c r="U48" i="52"/>
  <c r="E17" i="43" s="1"/>
  <c r="AC48" i="52"/>
  <c r="E17" i="42" s="1"/>
  <c r="F48" i="52"/>
  <c r="F17" i="46" s="1"/>
  <c r="N48" i="52"/>
  <c r="F17" i="45" s="1"/>
  <c r="V48" i="52"/>
  <c r="F17" i="43" s="1"/>
  <c r="AD48" i="52"/>
  <c r="F17" i="42" s="1"/>
  <c r="G48" i="52"/>
  <c r="G17" i="46" s="1"/>
  <c r="O48" i="52"/>
  <c r="G17" i="45" s="1"/>
  <c r="W48" i="52"/>
  <c r="G17" i="43" s="1"/>
  <c r="AE48" i="52"/>
  <c r="G17" i="42" s="1"/>
  <c r="H48" i="52"/>
  <c r="H17" i="46" s="1"/>
  <c r="P48" i="52"/>
  <c r="H17" i="45" s="1"/>
  <c r="X48" i="52"/>
  <c r="H17" i="43" s="1"/>
  <c r="AF48" i="52"/>
  <c r="H17" i="42" s="1"/>
  <c r="I48" i="52"/>
  <c r="I17" i="46" s="1"/>
  <c r="Q48" i="52"/>
  <c r="I17" i="45" s="1"/>
  <c r="Y48" i="52"/>
  <c r="I17" i="43" s="1"/>
  <c r="AG48" i="52"/>
  <c r="I17" i="42" s="1"/>
  <c r="A49" i="52"/>
  <c r="B49" i="52"/>
  <c r="B18" i="46" s="1"/>
  <c r="J49" i="52"/>
  <c r="B18" i="45" s="1"/>
  <c r="R49" i="52"/>
  <c r="B18" i="43" s="1"/>
  <c r="Z49" i="52"/>
  <c r="B18" i="42" s="1"/>
  <c r="C49" i="52"/>
  <c r="C18" i="46" s="1"/>
  <c r="K49" i="52"/>
  <c r="C18" i="45" s="1"/>
  <c r="S49" i="52"/>
  <c r="C18" i="43" s="1"/>
  <c r="AA49" i="52"/>
  <c r="C18" i="42" s="1"/>
  <c r="D49" i="52"/>
  <c r="D18" i="46" s="1"/>
  <c r="L49" i="52"/>
  <c r="D18" i="45" s="1"/>
  <c r="T49" i="52"/>
  <c r="D18" i="43" s="1"/>
  <c r="AB49" i="52"/>
  <c r="D18" i="42" s="1"/>
  <c r="E49" i="52"/>
  <c r="E18" i="46" s="1"/>
  <c r="M49" i="52"/>
  <c r="E18" i="45" s="1"/>
  <c r="U49" i="52"/>
  <c r="E18" i="43" s="1"/>
  <c r="AC49" i="52"/>
  <c r="E18" i="42" s="1"/>
  <c r="F49" i="52"/>
  <c r="F18" i="46" s="1"/>
  <c r="N49" i="52"/>
  <c r="F18" i="45" s="1"/>
  <c r="V49" i="52"/>
  <c r="F18" i="43" s="1"/>
  <c r="AD49" i="52"/>
  <c r="F18" i="42" s="1"/>
  <c r="G49" i="52"/>
  <c r="G18" i="46" s="1"/>
  <c r="O49" i="52"/>
  <c r="G18" i="45" s="1"/>
  <c r="W49" i="52"/>
  <c r="G18" i="43" s="1"/>
  <c r="AE49" i="52"/>
  <c r="G18" i="42" s="1"/>
  <c r="H49" i="52"/>
  <c r="H18" i="46" s="1"/>
  <c r="P49" i="52"/>
  <c r="H18" i="45" s="1"/>
  <c r="X49" i="52"/>
  <c r="H18" i="43" s="1"/>
  <c r="AF49" i="52"/>
  <c r="H18" i="42" s="1"/>
  <c r="I49" i="52"/>
  <c r="I18" i="46" s="1"/>
  <c r="Q49" i="52"/>
  <c r="I18" i="45" s="1"/>
  <c r="Y49" i="52"/>
  <c r="I18" i="43" s="1"/>
  <c r="AG49" i="52"/>
  <c r="I18" i="42" s="1"/>
  <c r="A50" i="52"/>
  <c r="B50" i="52"/>
  <c r="B19" i="46" s="1"/>
  <c r="J50" i="52"/>
  <c r="B19" i="45" s="1"/>
  <c r="R50" i="52"/>
  <c r="B19" i="43" s="1"/>
  <c r="Z50" i="52"/>
  <c r="B19" i="42" s="1"/>
  <c r="C50" i="52"/>
  <c r="C19" i="46" s="1"/>
  <c r="K50" i="52"/>
  <c r="C19" i="45" s="1"/>
  <c r="S50" i="52"/>
  <c r="C19" i="43" s="1"/>
  <c r="AA50" i="52"/>
  <c r="C19" i="42" s="1"/>
  <c r="D50" i="52"/>
  <c r="D19" i="46" s="1"/>
  <c r="L50" i="52"/>
  <c r="D19" i="45" s="1"/>
  <c r="T50" i="52"/>
  <c r="D19" i="43" s="1"/>
  <c r="AB50" i="52"/>
  <c r="D19" i="42" s="1"/>
  <c r="E50" i="52"/>
  <c r="E19" i="46" s="1"/>
  <c r="M50" i="52"/>
  <c r="E19" i="45" s="1"/>
  <c r="U50" i="52"/>
  <c r="E19" i="43" s="1"/>
  <c r="AC50" i="52"/>
  <c r="E19" i="42" s="1"/>
  <c r="F50" i="52"/>
  <c r="F19" i="46" s="1"/>
  <c r="N50" i="52"/>
  <c r="F19" i="45" s="1"/>
  <c r="V50" i="52"/>
  <c r="F19" i="43" s="1"/>
  <c r="AD50" i="52"/>
  <c r="F19" i="42" s="1"/>
  <c r="G50" i="52"/>
  <c r="G19" i="46" s="1"/>
  <c r="O50" i="52"/>
  <c r="G19" i="45" s="1"/>
  <c r="W50" i="52"/>
  <c r="G19" i="43" s="1"/>
  <c r="AE50" i="52"/>
  <c r="G19" i="42" s="1"/>
  <c r="H50" i="52"/>
  <c r="H19" i="46" s="1"/>
  <c r="P50" i="52"/>
  <c r="H19" i="45" s="1"/>
  <c r="X50" i="52"/>
  <c r="H19" i="43" s="1"/>
  <c r="AF50" i="52"/>
  <c r="H19" i="42" s="1"/>
  <c r="I50" i="52"/>
  <c r="I19" i="46" s="1"/>
  <c r="Q50" i="52"/>
  <c r="I19" i="45" s="1"/>
  <c r="Y50" i="52"/>
  <c r="I19" i="43" s="1"/>
  <c r="AG50" i="52"/>
  <c r="I19" i="42" s="1"/>
  <c r="A51" i="52"/>
  <c r="B51" i="52"/>
  <c r="B20" i="46" s="1"/>
  <c r="J51" i="52"/>
  <c r="B20" i="45" s="1"/>
  <c r="R51" i="52"/>
  <c r="B20" i="43" s="1"/>
  <c r="Z51" i="52"/>
  <c r="B20" i="42" s="1"/>
  <c r="C51" i="52"/>
  <c r="C20" i="46" s="1"/>
  <c r="K51" i="52"/>
  <c r="C20" i="45" s="1"/>
  <c r="S51" i="52"/>
  <c r="C20" i="43" s="1"/>
  <c r="AA51" i="52"/>
  <c r="C20" i="42" s="1"/>
  <c r="D51" i="52"/>
  <c r="D20" i="46" s="1"/>
  <c r="L51" i="52"/>
  <c r="D20" i="45" s="1"/>
  <c r="T51" i="52"/>
  <c r="D20" i="43" s="1"/>
  <c r="AB51" i="52"/>
  <c r="D20" i="42" s="1"/>
  <c r="E51" i="52"/>
  <c r="E20" i="46" s="1"/>
  <c r="M51" i="52"/>
  <c r="E20" i="45" s="1"/>
  <c r="U51" i="52"/>
  <c r="E20" i="43" s="1"/>
  <c r="AC51" i="52"/>
  <c r="E20" i="42" s="1"/>
  <c r="F51" i="52"/>
  <c r="F20" i="46" s="1"/>
  <c r="N51" i="52"/>
  <c r="F20" i="45" s="1"/>
  <c r="V51" i="52"/>
  <c r="F20" i="43" s="1"/>
  <c r="AD51" i="52"/>
  <c r="F20" i="42" s="1"/>
  <c r="G51" i="52"/>
  <c r="G20" i="46" s="1"/>
  <c r="O51" i="52"/>
  <c r="G20" i="45" s="1"/>
  <c r="W51" i="52"/>
  <c r="G20" i="43" s="1"/>
  <c r="AE51" i="52"/>
  <c r="G20" i="42" s="1"/>
  <c r="H51" i="52"/>
  <c r="H20" i="46" s="1"/>
  <c r="P51" i="52"/>
  <c r="H20" i="45" s="1"/>
  <c r="X51" i="52"/>
  <c r="H20" i="43" s="1"/>
  <c r="AF51" i="52"/>
  <c r="H20" i="42" s="1"/>
  <c r="I51" i="52"/>
  <c r="I20" i="46" s="1"/>
  <c r="Q51" i="52"/>
  <c r="I20" i="45" s="1"/>
  <c r="Y51" i="52"/>
  <c r="I20" i="43" s="1"/>
  <c r="AG51" i="52"/>
  <c r="I20" i="42" s="1"/>
  <c r="A52" i="52"/>
  <c r="B52" i="52"/>
  <c r="B21" i="46" s="1"/>
  <c r="J52" i="52"/>
  <c r="B21" i="45" s="1"/>
  <c r="R52" i="52"/>
  <c r="B21" i="43" s="1"/>
  <c r="Z52" i="52"/>
  <c r="B21" i="42" s="1"/>
  <c r="C52" i="52"/>
  <c r="C21" i="46" s="1"/>
  <c r="K52" i="52"/>
  <c r="C21" i="45" s="1"/>
  <c r="S52" i="52"/>
  <c r="C21" i="43" s="1"/>
  <c r="AA52" i="52"/>
  <c r="C21" i="42" s="1"/>
  <c r="D52" i="52"/>
  <c r="D21" i="46" s="1"/>
  <c r="L52" i="52"/>
  <c r="D21" i="45" s="1"/>
  <c r="T52" i="52"/>
  <c r="D21" i="43" s="1"/>
  <c r="AB52" i="52"/>
  <c r="D21" i="42" s="1"/>
  <c r="E52" i="52"/>
  <c r="E21" i="46" s="1"/>
  <c r="M52" i="52"/>
  <c r="E21" i="45" s="1"/>
  <c r="U52" i="52"/>
  <c r="E21" i="43" s="1"/>
  <c r="AC52" i="52"/>
  <c r="E21" i="42" s="1"/>
  <c r="F52" i="52"/>
  <c r="F21" i="46" s="1"/>
  <c r="N52" i="52"/>
  <c r="F21" i="45" s="1"/>
  <c r="V52" i="52"/>
  <c r="F21" i="43" s="1"/>
  <c r="AD52" i="52"/>
  <c r="F21" i="42" s="1"/>
  <c r="G52" i="52"/>
  <c r="G21" i="46" s="1"/>
  <c r="O52" i="52"/>
  <c r="G21" i="45" s="1"/>
  <c r="W52" i="52"/>
  <c r="G21" i="43" s="1"/>
  <c r="AE52" i="52"/>
  <c r="G21" i="42" s="1"/>
  <c r="H52" i="52"/>
  <c r="H21" i="46" s="1"/>
  <c r="P52" i="52"/>
  <c r="H21" i="45" s="1"/>
  <c r="X52" i="52"/>
  <c r="H21" i="43" s="1"/>
  <c r="AF52" i="52"/>
  <c r="H21" i="42" s="1"/>
  <c r="I52" i="52"/>
  <c r="I21" i="46" s="1"/>
  <c r="Q52" i="52"/>
  <c r="I21" i="45" s="1"/>
  <c r="Y52" i="52"/>
  <c r="I21" i="43" s="1"/>
  <c r="AG52" i="52"/>
  <c r="I21" i="42" s="1"/>
  <c r="A53" i="52"/>
  <c r="B53" i="52"/>
  <c r="B22" i="46" s="1"/>
  <c r="J53" i="52"/>
  <c r="B22" i="45" s="1"/>
  <c r="R53" i="52"/>
  <c r="B22" i="43" s="1"/>
  <c r="Z53" i="52"/>
  <c r="B22" i="42" s="1"/>
  <c r="C53" i="52"/>
  <c r="C22" i="46" s="1"/>
  <c r="K53" i="52"/>
  <c r="C22" i="45" s="1"/>
  <c r="S53" i="52"/>
  <c r="C22" i="43" s="1"/>
  <c r="AA53" i="52"/>
  <c r="C22" i="42" s="1"/>
  <c r="D53" i="52"/>
  <c r="D22" i="46" s="1"/>
  <c r="L53" i="52"/>
  <c r="D22" i="45" s="1"/>
  <c r="T53" i="52"/>
  <c r="D22" i="43" s="1"/>
  <c r="AB53" i="52"/>
  <c r="D22" i="42" s="1"/>
  <c r="E53" i="52"/>
  <c r="E22" i="46" s="1"/>
  <c r="M53" i="52"/>
  <c r="E22" i="45" s="1"/>
  <c r="U53" i="52"/>
  <c r="E22" i="43" s="1"/>
  <c r="AC53" i="52"/>
  <c r="E22" i="42" s="1"/>
  <c r="F53" i="52"/>
  <c r="F22" i="46" s="1"/>
  <c r="N53" i="52"/>
  <c r="F22" i="45" s="1"/>
  <c r="V53" i="52"/>
  <c r="F22" i="43" s="1"/>
  <c r="AD53" i="52"/>
  <c r="F22" i="42" s="1"/>
  <c r="G53" i="52"/>
  <c r="G22" i="46" s="1"/>
  <c r="O53" i="52"/>
  <c r="G22" i="45" s="1"/>
  <c r="W53" i="52"/>
  <c r="G22" i="43" s="1"/>
  <c r="AE53" i="52"/>
  <c r="G22" i="42" s="1"/>
  <c r="H53" i="52"/>
  <c r="H22" i="46" s="1"/>
  <c r="P53" i="52"/>
  <c r="H22" i="45" s="1"/>
  <c r="X53" i="52"/>
  <c r="H22" i="43" s="1"/>
  <c r="AF53" i="52"/>
  <c r="H22" i="42" s="1"/>
  <c r="I53" i="52"/>
  <c r="I22" i="46" s="1"/>
  <c r="Q53" i="52"/>
  <c r="I22" i="45" s="1"/>
  <c r="Y53" i="52"/>
  <c r="I22" i="43" s="1"/>
  <c r="AG53" i="52"/>
  <c r="I22" i="42" s="1"/>
  <c r="A54" i="52"/>
  <c r="B54" i="52"/>
  <c r="B23" i="46" s="1"/>
  <c r="J54" i="52"/>
  <c r="B23" i="45" s="1"/>
  <c r="R54" i="52"/>
  <c r="B23" i="43" s="1"/>
  <c r="Z54" i="52"/>
  <c r="B23" i="42" s="1"/>
  <c r="C54" i="52"/>
  <c r="C23" i="46" s="1"/>
  <c r="K54" i="52"/>
  <c r="C23" i="45" s="1"/>
  <c r="S54" i="52"/>
  <c r="C23" i="43" s="1"/>
  <c r="AA54" i="52"/>
  <c r="C23" i="42" s="1"/>
  <c r="D54" i="52"/>
  <c r="D23" i="46" s="1"/>
  <c r="L54" i="52"/>
  <c r="D23" i="45" s="1"/>
  <c r="T54" i="52"/>
  <c r="D23" i="43" s="1"/>
  <c r="AB54" i="52"/>
  <c r="D23" i="42" s="1"/>
  <c r="E54" i="52"/>
  <c r="E23" i="46" s="1"/>
  <c r="M54" i="52"/>
  <c r="E23" i="45" s="1"/>
  <c r="U54" i="52"/>
  <c r="E23" i="43" s="1"/>
  <c r="AC54" i="52"/>
  <c r="E23" i="42" s="1"/>
  <c r="F54" i="52"/>
  <c r="F23" i="46" s="1"/>
  <c r="N54" i="52"/>
  <c r="F23" i="45" s="1"/>
  <c r="V54" i="52"/>
  <c r="F23" i="43" s="1"/>
  <c r="AD54" i="52"/>
  <c r="F23" i="42" s="1"/>
  <c r="G54" i="52"/>
  <c r="G23" i="46" s="1"/>
  <c r="O54" i="52"/>
  <c r="G23" i="45" s="1"/>
  <c r="W54" i="52"/>
  <c r="G23" i="43" s="1"/>
  <c r="AE54" i="52"/>
  <c r="G23" i="42" s="1"/>
  <c r="H54" i="52"/>
  <c r="H23" i="46" s="1"/>
  <c r="P54" i="52"/>
  <c r="H23" i="45" s="1"/>
  <c r="X54" i="52"/>
  <c r="H23" i="43" s="1"/>
  <c r="AF54" i="52"/>
  <c r="H23" i="42" s="1"/>
  <c r="I54" i="52"/>
  <c r="I23" i="46" s="1"/>
  <c r="Q54" i="52"/>
  <c r="I23" i="45" s="1"/>
  <c r="Y54" i="52"/>
  <c r="I23" i="43" s="1"/>
  <c r="AG54" i="52"/>
  <c r="I23" i="42" s="1"/>
  <c r="A55" i="52"/>
  <c r="B55" i="52"/>
  <c r="B24" i="46" s="1"/>
  <c r="J55" i="52"/>
  <c r="B24" i="45" s="1"/>
  <c r="R55" i="52"/>
  <c r="B24" i="43" s="1"/>
  <c r="Z55" i="52"/>
  <c r="B24" i="42" s="1"/>
  <c r="C55" i="52"/>
  <c r="C24" i="46" s="1"/>
  <c r="K55" i="52"/>
  <c r="C24" i="45" s="1"/>
  <c r="S55" i="52"/>
  <c r="C24" i="43" s="1"/>
  <c r="AA55" i="52"/>
  <c r="C24" i="42" s="1"/>
  <c r="D55" i="52"/>
  <c r="D24" i="46" s="1"/>
  <c r="L55" i="52"/>
  <c r="D24" i="45" s="1"/>
  <c r="T55" i="52"/>
  <c r="D24" i="43" s="1"/>
  <c r="AB55" i="52"/>
  <c r="D24" i="42" s="1"/>
  <c r="E55" i="52"/>
  <c r="E24" i="46" s="1"/>
  <c r="M55" i="52"/>
  <c r="E24" i="45" s="1"/>
  <c r="U55" i="52"/>
  <c r="E24" i="43" s="1"/>
  <c r="AC55" i="52"/>
  <c r="E24" i="42" s="1"/>
  <c r="F55" i="52"/>
  <c r="F24" i="46" s="1"/>
  <c r="N55" i="52"/>
  <c r="F24" i="45" s="1"/>
  <c r="V55" i="52"/>
  <c r="F24" i="43" s="1"/>
  <c r="AD55" i="52"/>
  <c r="F24" i="42" s="1"/>
  <c r="G55" i="52"/>
  <c r="G24" i="46" s="1"/>
  <c r="O55" i="52"/>
  <c r="G24" i="45" s="1"/>
  <c r="W55" i="52"/>
  <c r="G24" i="43" s="1"/>
  <c r="AE55" i="52"/>
  <c r="G24" i="42" s="1"/>
  <c r="H55" i="52"/>
  <c r="H24" i="46" s="1"/>
  <c r="P55" i="52"/>
  <c r="H24" i="45" s="1"/>
  <c r="X55" i="52"/>
  <c r="H24" i="43" s="1"/>
  <c r="AF55" i="52"/>
  <c r="H24" i="42" s="1"/>
  <c r="I55" i="52"/>
  <c r="I24" i="46" s="1"/>
  <c r="Q55" i="52"/>
  <c r="I24" i="45" s="1"/>
  <c r="Y55" i="52"/>
  <c r="I24" i="43" s="1"/>
  <c r="AG55" i="52"/>
  <c r="I24" i="42" s="1"/>
  <c r="A56" i="52"/>
  <c r="B56" i="52"/>
  <c r="B25" i="46" s="1"/>
  <c r="J56" i="52"/>
  <c r="B25" i="45" s="1"/>
  <c r="R56" i="52"/>
  <c r="B25" i="43" s="1"/>
  <c r="Z56" i="52"/>
  <c r="B25" i="42" s="1"/>
  <c r="C56" i="52"/>
  <c r="C25" i="46" s="1"/>
  <c r="K56" i="52"/>
  <c r="C25" i="45" s="1"/>
  <c r="S56" i="52"/>
  <c r="C25" i="43" s="1"/>
  <c r="AA56" i="52"/>
  <c r="C25" i="42" s="1"/>
  <c r="D56" i="52"/>
  <c r="D25" i="46" s="1"/>
  <c r="L56" i="52"/>
  <c r="D25" i="45" s="1"/>
  <c r="T56" i="52"/>
  <c r="D25" i="43" s="1"/>
  <c r="AB56" i="52"/>
  <c r="D25" i="42" s="1"/>
  <c r="E56" i="52"/>
  <c r="E25" i="46" s="1"/>
  <c r="M56" i="52"/>
  <c r="E25" i="45" s="1"/>
  <c r="U56" i="52"/>
  <c r="E25" i="43" s="1"/>
  <c r="AC56" i="52"/>
  <c r="E25" i="42" s="1"/>
  <c r="F56" i="52"/>
  <c r="F25" i="46" s="1"/>
  <c r="N56" i="52"/>
  <c r="F25" i="45" s="1"/>
  <c r="V56" i="52"/>
  <c r="F25" i="43" s="1"/>
  <c r="AD56" i="52"/>
  <c r="F25" i="42" s="1"/>
  <c r="G56" i="52"/>
  <c r="G25" i="46" s="1"/>
  <c r="O56" i="52"/>
  <c r="G25" i="45" s="1"/>
  <c r="W56" i="52"/>
  <c r="G25" i="43" s="1"/>
  <c r="AE56" i="52"/>
  <c r="G25" i="42" s="1"/>
  <c r="H56" i="52"/>
  <c r="H25" i="46" s="1"/>
  <c r="P56" i="52"/>
  <c r="H25" i="45" s="1"/>
  <c r="X56" i="52"/>
  <c r="H25" i="43" s="1"/>
  <c r="AF56" i="52"/>
  <c r="H25" i="42" s="1"/>
  <c r="I56" i="52"/>
  <c r="I25" i="46" s="1"/>
  <c r="Q56" i="52"/>
  <c r="I25" i="45" s="1"/>
  <c r="Y56" i="52"/>
  <c r="I25" i="43" s="1"/>
  <c r="AG56" i="52"/>
  <c r="I25" i="42" s="1"/>
  <c r="A57" i="52"/>
  <c r="B57" i="52"/>
  <c r="B26" i="46" s="1"/>
  <c r="J57" i="52"/>
  <c r="B26" i="45" s="1"/>
  <c r="R57" i="52"/>
  <c r="B26" i="43" s="1"/>
  <c r="Z57" i="52"/>
  <c r="B26" i="42" s="1"/>
  <c r="C57" i="52"/>
  <c r="C26" i="46" s="1"/>
  <c r="K57" i="52"/>
  <c r="C26" i="45" s="1"/>
  <c r="S57" i="52"/>
  <c r="C26" i="43" s="1"/>
  <c r="AA57" i="52"/>
  <c r="C26" i="42" s="1"/>
  <c r="D57" i="52"/>
  <c r="D26" i="46" s="1"/>
  <c r="L57" i="52"/>
  <c r="D26" i="45" s="1"/>
  <c r="T57" i="52"/>
  <c r="D26" i="43" s="1"/>
  <c r="AB57" i="52"/>
  <c r="D26" i="42" s="1"/>
  <c r="E57" i="52"/>
  <c r="E26" i="46" s="1"/>
  <c r="M57" i="52"/>
  <c r="E26" i="45" s="1"/>
  <c r="U57" i="52"/>
  <c r="E26" i="43" s="1"/>
  <c r="AC57" i="52"/>
  <c r="E26" i="42" s="1"/>
  <c r="F57" i="52"/>
  <c r="F26" i="46" s="1"/>
  <c r="N57" i="52"/>
  <c r="F26" i="45" s="1"/>
  <c r="V57" i="52"/>
  <c r="F26" i="43" s="1"/>
  <c r="AD57" i="52"/>
  <c r="F26" i="42" s="1"/>
  <c r="G57" i="52"/>
  <c r="G26" i="46" s="1"/>
  <c r="O57" i="52"/>
  <c r="G26" i="45" s="1"/>
  <c r="W57" i="52"/>
  <c r="G26" i="43" s="1"/>
  <c r="AE57" i="52"/>
  <c r="G26" i="42" s="1"/>
  <c r="H57" i="52"/>
  <c r="H26" i="46" s="1"/>
  <c r="P57" i="52"/>
  <c r="H26" i="45" s="1"/>
  <c r="X57" i="52"/>
  <c r="H26" i="43" s="1"/>
  <c r="AF57" i="52"/>
  <c r="H26" i="42" s="1"/>
  <c r="I57" i="52"/>
  <c r="I26" i="46" s="1"/>
  <c r="Q57" i="52"/>
  <c r="I26" i="45" s="1"/>
  <c r="Y57" i="52"/>
  <c r="I26" i="43" s="1"/>
  <c r="AG57" i="52"/>
  <c r="I26" i="42" s="1"/>
  <c r="A58" i="52"/>
  <c r="B58" i="52"/>
  <c r="B27" i="46" s="1"/>
  <c r="J58" i="52"/>
  <c r="B27" i="45" s="1"/>
  <c r="R58" i="52"/>
  <c r="B27" i="43" s="1"/>
  <c r="Z58" i="52"/>
  <c r="B27" i="42" s="1"/>
  <c r="C58" i="52"/>
  <c r="C27" i="46" s="1"/>
  <c r="K58" i="52"/>
  <c r="C27" i="45" s="1"/>
  <c r="S58" i="52"/>
  <c r="C27" i="43" s="1"/>
  <c r="AA58" i="52"/>
  <c r="C27" i="42" s="1"/>
  <c r="D58" i="52"/>
  <c r="D27" i="46" s="1"/>
  <c r="L58" i="52"/>
  <c r="D27" i="45" s="1"/>
  <c r="T58" i="52"/>
  <c r="D27" i="43" s="1"/>
  <c r="AB58" i="52"/>
  <c r="D27" i="42" s="1"/>
  <c r="E58" i="52"/>
  <c r="E27" i="46" s="1"/>
  <c r="M58" i="52"/>
  <c r="E27" i="45" s="1"/>
  <c r="U58" i="52"/>
  <c r="E27" i="43" s="1"/>
  <c r="AC58" i="52"/>
  <c r="E27" i="42" s="1"/>
  <c r="F58" i="52"/>
  <c r="F27" i="46" s="1"/>
  <c r="N58" i="52"/>
  <c r="F27" i="45" s="1"/>
  <c r="V58" i="52"/>
  <c r="F27" i="43" s="1"/>
  <c r="AD58" i="52"/>
  <c r="F27" i="42" s="1"/>
  <c r="G58" i="52"/>
  <c r="G27" i="46" s="1"/>
  <c r="O58" i="52"/>
  <c r="G27" i="45" s="1"/>
  <c r="W58" i="52"/>
  <c r="G27" i="43" s="1"/>
  <c r="AE58" i="52"/>
  <c r="G27" i="42" s="1"/>
  <c r="H58" i="52"/>
  <c r="H27" i="46" s="1"/>
  <c r="P58" i="52"/>
  <c r="H27" i="45" s="1"/>
  <c r="X58" i="52"/>
  <c r="H27" i="43" s="1"/>
  <c r="AF58" i="52"/>
  <c r="H27" i="42" s="1"/>
  <c r="I58" i="52"/>
  <c r="I27" i="46" s="1"/>
  <c r="Q58" i="52"/>
  <c r="I27" i="45" s="1"/>
  <c r="Y58" i="52"/>
  <c r="I27" i="43" s="1"/>
  <c r="AG58" i="52"/>
  <c r="I27" i="42" s="1"/>
  <c r="A59" i="52"/>
  <c r="B59" i="52"/>
  <c r="B28" i="46" s="1"/>
  <c r="J59" i="52"/>
  <c r="B28" i="45" s="1"/>
  <c r="R59" i="52"/>
  <c r="B28" i="43" s="1"/>
  <c r="Z59" i="52"/>
  <c r="B28" i="42" s="1"/>
  <c r="C59" i="52"/>
  <c r="C28" i="46" s="1"/>
  <c r="K59" i="52"/>
  <c r="C28" i="45" s="1"/>
  <c r="S59" i="52"/>
  <c r="C28" i="43" s="1"/>
  <c r="AA59" i="52"/>
  <c r="C28" i="42" s="1"/>
  <c r="D59" i="52"/>
  <c r="D28" i="46" s="1"/>
  <c r="L59" i="52"/>
  <c r="D28" i="45" s="1"/>
  <c r="T59" i="52"/>
  <c r="D28" i="43" s="1"/>
  <c r="AB59" i="52"/>
  <c r="D28" i="42" s="1"/>
  <c r="E59" i="52"/>
  <c r="E28" i="46" s="1"/>
  <c r="M59" i="52"/>
  <c r="E28" i="45" s="1"/>
  <c r="U59" i="52"/>
  <c r="E28" i="43" s="1"/>
  <c r="AC59" i="52"/>
  <c r="E28" i="42" s="1"/>
  <c r="F59" i="52"/>
  <c r="F28" i="46" s="1"/>
  <c r="N59" i="52"/>
  <c r="F28" i="45" s="1"/>
  <c r="V59" i="52"/>
  <c r="F28" i="43" s="1"/>
  <c r="AD59" i="52"/>
  <c r="F28" i="42" s="1"/>
  <c r="G59" i="52"/>
  <c r="G28" i="46" s="1"/>
  <c r="O59" i="52"/>
  <c r="G28" i="45" s="1"/>
  <c r="W59" i="52"/>
  <c r="G28" i="43" s="1"/>
  <c r="AE59" i="52"/>
  <c r="G28" i="42" s="1"/>
  <c r="H59" i="52"/>
  <c r="H28" i="46" s="1"/>
  <c r="P59" i="52"/>
  <c r="H28" i="45" s="1"/>
  <c r="X59" i="52"/>
  <c r="H28" i="43" s="1"/>
  <c r="AF59" i="52"/>
  <c r="H28" i="42" s="1"/>
  <c r="I59" i="52"/>
  <c r="I28" i="46" s="1"/>
  <c r="Q59" i="52"/>
  <c r="I28" i="45" s="1"/>
  <c r="Y59" i="52"/>
  <c r="I28" i="43" s="1"/>
  <c r="AG59" i="52"/>
  <c r="I28" i="42" s="1"/>
  <c r="A60" i="52"/>
  <c r="B60" i="52"/>
  <c r="B29" i="46" s="1"/>
  <c r="J60" i="52"/>
  <c r="B29" i="45" s="1"/>
  <c r="R60" i="52"/>
  <c r="B29" i="43" s="1"/>
  <c r="Z60" i="52"/>
  <c r="B29" i="42" s="1"/>
  <c r="C60" i="52"/>
  <c r="C29" i="46" s="1"/>
  <c r="K60" i="52"/>
  <c r="C29" i="45" s="1"/>
  <c r="S60" i="52"/>
  <c r="C29" i="43" s="1"/>
  <c r="AA60" i="52"/>
  <c r="C29" i="42" s="1"/>
  <c r="D60" i="52"/>
  <c r="D29" i="46" s="1"/>
  <c r="L60" i="52"/>
  <c r="D29" i="45" s="1"/>
  <c r="T60" i="52"/>
  <c r="D29" i="43" s="1"/>
  <c r="AB60" i="52"/>
  <c r="D29" i="42" s="1"/>
  <c r="E60" i="52"/>
  <c r="E29" i="46" s="1"/>
  <c r="M60" i="52"/>
  <c r="E29" i="45" s="1"/>
  <c r="U60" i="52"/>
  <c r="E29" i="43" s="1"/>
  <c r="AC60" i="52"/>
  <c r="E29" i="42" s="1"/>
  <c r="F60" i="52"/>
  <c r="F29" i="46" s="1"/>
  <c r="N60" i="52"/>
  <c r="F29" i="45" s="1"/>
  <c r="V60" i="52"/>
  <c r="F29" i="43" s="1"/>
  <c r="AD60" i="52"/>
  <c r="F29" i="42" s="1"/>
  <c r="G60" i="52"/>
  <c r="G29" i="46" s="1"/>
  <c r="O60" i="52"/>
  <c r="G29" i="45" s="1"/>
  <c r="W60" i="52"/>
  <c r="G29" i="43" s="1"/>
  <c r="AE60" i="52"/>
  <c r="G29" i="42" s="1"/>
  <c r="H60" i="52"/>
  <c r="H29" i="46" s="1"/>
  <c r="P60" i="52"/>
  <c r="H29" i="45" s="1"/>
  <c r="X60" i="52"/>
  <c r="H29" i="43" s="1"/>
  <c r="AF60" i="52"/>
  <c r="H29" i="42" s="1"/>
  <c r="I60" i="52"/>
  <c r="I29" i="46" s="1"/>
  <c r="Q60" i="52"/>
  <c r="I29" i="45" s="1"/>
  <c r="Y60" i="52"/>
  <c r="I29" i="43" s="1"/>
  <c r="AG60" i="52"/>
  <c r="I29" i="42" s="1"/>
  <c r="A61" i="52"/>
  <c r="B61" i="52"/>
  <c r="L2" i="46" s="1"/>
  <c r="J61" i="52"/>
  <c r="L2" i="45" s="1"/>
  <c r="R61" i="52"/>
  <c r="L2" i="43" s="1"/>
  <c r="Z61" i="52"/>
  <c r="L2" i="42" s="1"/>
  <c r="C61" i="52"/>
  <c r="M2" i="46" s="1"/>
  <c r="K61" i="52"/>
  <c r="M2" i="45" s="1"/>
  <c r="S61" i="52"/>
  <c r="M2" i="43" s="1"/>
  <c r="AA61" i="52"/>
  <c r="M2" i="42" s="1"/>
  <c r="D61" i="52"/>
  <c r="N2" i="46" s="1"/>
  <c r="L61" i="52"/>
  <c r="N2" i="45" s="1"/>
  <c r="T61" i="52"/>
  <c r="N2" i="43" s="1"/>
  <c r="AB61" i="52"/>
  <c r="N2" i="42" s="1"/>
  <c r="E61" i="52"/>
  <c r="O2" i="46" s="1"/>
  <c r="M61" i="52"/>
  <c r="O2" i="45" s="1"/>
  <c r="U61" i="52"/>
  <c r="O2" i="43" s="1"/>
  <c r="AC61" i="52"/>
  <c r="O2" i="42" s="1"/>
  <c r="F61" i="52"/>
  <c r="P2" i="46" s="1"/>
  <c r="N61" i="52"/>
  <c r="P2" i="45" s="1"/>
  <c r="V61" i="52"/>
  <c r="P2" i="43" s="1"/>
  <c r="AD61" i="52"/>
  <c r="P2" i="42" s="1"/>
  <c r="G61" i="52"/>
  <c r="Q2" i="46" s="1"/>
  <c r="O61" i="52"/>
  <c r="Q2" i="45" s="1"/>
  <c r="W61" i="52"/>
  <c r="Q2" i="43" s="1"/>
  <c r="AE61" i="52"/>
  <c r="Q2" i="42" s="1"/>
  <c r="H61" i="52"/>
  <c r="R2" i="46" s="1"/>
  <c r="P61" i="52"/>
  <c r="R2" i="45" s="1"/>
  <c r="X61" i="52"/>
  <c r="R2" i="43" s="1"/>
  <c r="AF61" i="52"/>
  <c r="R2" i="42" s="1"/>
  <c r="I61" i="52"/>
  <c r="S2" i="46" s="1"/>
  <c r="Q61" i="52"/>
  <c r="S2" i="45" s="1"/>
  <c r="Y61" i="52"/>
  <c r="S2" i="43" s="1"/>
  <c r="AG61" i="52"/>
  <c r="S2" i="42" s="1"/>
  <c r="A62" i="52"/>
  <c r="B62" i="52"/>
  <c r="L3" i="46" s="1"/>
  <c r="J62" i="52"/>
  <c r="L3" i="45" s="1"/>
  <c r="R62" i="52"/>
  <c r="L3" i="43" s="1"/>
  <c r="Z62" i="52"/>
  <c r="L3" i="42" s="1"/>
  <c r="C62" i="52"/>
  <c r="M3" i="46" s="1"/>
  <c r="K62" i="52"/>
  <c r="M3" i="45" s="1"/>
  <c r="S62" i="52"/>
  <c r="M3" i="43" s="1"/>
  <c r="AA62" i="52"/>
  <c r="M3" i="42" s="1"/>
  <c r="D62" i="52"/>
  <c r="N3" i="46" s="1"/>
  <c r="L62" i="52"/>
  <c r="N3" i="45" s="1"/>
  <c r="T62" i="52"/>
  <c r="N3" i="43" s="1"/>
  <c r="AB62" i="52"/>
  <c r="N3" i="42" s="1"/>
  <c r="E62" i="52"/>
  <c r="O3" i="46" s="1"/>
  <c r="M62" i="52"/>
  <c r="O3" i="45" s="1"/>
  <c r="U62" i="52"/>
  <c r="O3" i="43" s="1"/>
  <c r="AC62" i="52"/>
  <c r="O3" i="42" s="1"/>
  <c r="F62" i="52"/>
  <c r="P3" i="46" s="1"/>
  <c r="N62" i="52"/>
  <c r="P3" i="45" s="1"/>
  <c r="V62" i="52"/>
  <c r="P3" i="43" s="1"/>
  <c r="AD62" i="52"/>
  <c r="P3" i="42" s="1"/>
  <c r="G62" i="52"/>
  <c r="Q3" i="46" s="1"/>
  <c r="O62" i="52"/>
  <c r="Q3" i="45" s="1"/>
  <c r="W62" i="52"/>
  <c r="Q3" i="43" s="1"/>
  <c r="AE62" i="52"/>
  <c r="Q3" i="42" s="1"/>
  <c r="H62" i="52"/>
  <c r="R3" i="46" s="1"/>
  <c r="P62" i="52"/>
  <c r="R3" i="45" s="1"/>
  <c r="X62" i="52"/>
  <c r="R3" i="43" s="1"/>
  <c r="AF62" i="52"/>
  <c r="R3" i="42" s="1"/>
  <c r="I62" i="52"/>
  <c r="S3" i="46" s="1"/>
  <c r="Q62" i="52"/>
  <c r="S3" i="45" s="1"/>
  <c r="Y62" i="52"/>
  <c r="S3" i="43" s="1"/>
  <c r="AG62" i="52"/>
  <c r="S3" i="42" s="1"/>
  <c r="A63" i="52"/>
  <c r="B63" i="52"/>
  <c r="L4" i="46" s="1"/>
  <c r="J63" i="52"/>
  <c r="L4" i="45" s="1"/>
  <c r="R63" i="52"/>
  <c r="L4" i="43" s="1"/>
  <c r="Z63" i="52"/>
  <c r="L4" i="42" s="1"/>
  <c r="C63" i="52"/>
  <c r="M4" i="46" s="1"/>
  <c r="K63" i="52"/>
  <c r="M4" i="45" s="1"/>
  <c r="S63" i="52"/>
  <c r="M4" i="43" s="1"/>
  <c r="AA63" i="52"/>
  <c r="M4" i="42" s="1"/>
  <c r="D63" i="52"/>
  <c r="N4" i="46" s="1"/>
  <c r="L63" i="52"/>
  <c r="N4" i="45" s="1"/>
  <c r="T63" i="52"/>
  <c r="N4" i="43" s="1"/>
  <c r="AB63" i="52"/>
  <c r="N4" i="42" s="1"/>
  <c r="E63" i="52"/>
  <c r="O4" i="46" s="1"/>
  <c r="M63" i="52"/>
  <c r="O4" i="45" s="1"/>
  <c r="U63" i="52"/>
  <c r="O4" i="43" s="1"/>
  <c r="AC63" i="52"/>
  <c r="O4" i="42" s="1"/>
  <c r="F63" i="52"/>
  <c r="P4" i="46" s="1"/>
  <c r="N63" i="52"/>
  <c r="P4" i="45" s="1"/>
  <c r="V63" i="52"/>
  <c r="P4" i="43" s="1"/>
  <c r="AD63" i="52"/>
  <c r="P4" i="42" s="1"/>
  <c r="G63" i="52"/>
  <c r="Q4" i="46" s="1"/>
  <c r="O63" i="52"/>
  <c r="Q4" i="45" s="1"/>
  <c r="W63" i="52"/>
  <c r="Q4" i="43" s="1"/>
  <c r="AE63" i="52"/>
  <c r="Q4" i="42" s="1"/>
  <c r="H63" i="52"/>
  <c r="R4" i="46" s="1"/>
  <c r="P63" i="52"/>
  <c r="R4" i="45" s="1"/>
  <c r="X63" i="52"/>
  <c r="R4" i="43" s="1"/>
  <c r="AF63" i="52"/>
  <c r="R4" i="42" s="1"/>
  <c r="I63" i="52"/>
  <c r="S4" i="46" s="1"/>
  <c r="Q63" i="52"/>
  <c r="S4" i="45" s="1"/>
  <c r="Y63" i="52"/>
  <c r="S4" i="43" s="1"/>
  <c r="AG63" i="52"/>
  <c r="S4" i="42" s="1"/>
  <c r="A64" i="52"/>
  <c r="B64" i="52"/>
  <c r="L5" i="46" s="1"/>
  <c r="J64" i="52"/>
  <c r="L5" i="45" s="1"/>
  <c r="R64" i="52"/>
  <c r="L5" i="43" s="1"/>
  <c r="Z64" i="52"/>
  <c r="L5" i="42" s="1"/>
  <c r="C64" i="52"/>
  <c r="M5" i="46" s="1"/>
  <c r="K64" i="52"/>
  <c r="M5" i="45" s="1"/>
  <c r="S64" i="52"/>
  <c r="M5" i="43" s="1"/>
  <c r="AA64" i="52"/>
  <c r="M5" i="42" s="1"/>
  <c r="D64" i="52"/>
  <c r="N5" i="46" s="1"/>
  <c r="L64" i="52"/>
  <c r="N5" i="45" s="1"/>
  <c r="T64" i="52"/>
  <c r="N5" i="43" s="1"/>
  <c r="AB64" i="52"/>
  <c r="N5" i="42" s="1"/>
  <c r="E64" i="52"/>
  <c r="O5" i="46" s="1"/>
  <c r="M64" i="52"/>
  <c r="O5" i="45" s="1"/>
  <c r="U64" i="52"/>
  <c r="O5" i="43" s="1"/>
  <c r="AC64" i="52"/>
  <c r="O5" i="42" s="1"/>
  <c r="F64" i="52"/>
  <c r="P5" i="46" s="1"/>
  <c r="N64" i="52"/>
  <c r="P5" i="45" s="1"/>
  <c r="V64" i="52"/>
  <c r="P5" i="43" s="1"/>
  <c r="AD64" i="52"/>
  <c r="P5" i="42" s="1"/>
  <c r="G64" i="52"/>
  <c r="Q5" i="46" s="1"/>
  <c r="O64" i="52"/>
  <c r="Q5" i="45" s="1"/>
  <c r="W64" i="52"/>
  <c r="Q5" i="43" s="1"/>
  <c r="AE64" i="52"/>
  <c r="Q5" i="42" s="1"/>
  <c r="H64" i="52"/>
  <c r="R5" i="46" s="1"/>
  <c r="P64" i="52"/>
  <c r="R5" i="45" s="1"/>
  <c r="X64" i="52"/>
  <c r="R5" i="43" s="1"/>
  <c r="AF64" i="52"/>
  <c r="R5" i="42" s="1"/>
  <c r="I64" i="52"/>
  <c r="S5" i="46" s="1"/>
  <c r="Q64" i="52"/>
  <c r="S5" i="45" s="1"/>
  <c r="Y64" i="52"/>
  <c r="S5" i="43" s="1"/>
  <c r="AG64" i="52"/>
  <c r="S5" i="42" s="1"/>
  <c r="A65" i="52"/>
  <c r="B65" i="52"/>
  <c r="L6" i="46" s="1"/>
  <c r="J65" i="52"/>
  <c r="L6" i="45" s="1"/>
  <c r="R65" i="52"/>
  <c r="L6" i="43" s="1"/>
  <c r="Z65" i="52"/>
  <c r="L6" i="42" s="1"/>
  <c r="C65" i="52"/>
  <c r="M6" i="46" s="1"/>
  <c r="K65" i="52"/>
  <c r="M6" i="45" s="1"/>
  <c r="S65" i="52"/>
  <c r="M6" i="43" s="1"/>
  <c r="AA65" i="52"/>
  <c r="M6" i="42" s="1"/>
  <c r="D65" i="52"/>
  <c r="N6" i="46" s="1"/>
  <c r="L65" i="52"/>
  <c r="N6" i="45" s="1"/>
  <c r="T65" i="52"/>
  <c r="N6" i="43" s="1"/>
  <c r="AB65" i="52"/>
  <c r="N6" i="42" s="1"/>
  <c r="E65" i="52"/>
  <c r="O6" i="46" s="1"/>
  <c r="M65" i="52"/>
  <c r="O6" i="45" s="1"/>
  <c r="U65" i="52"/>
  <c r="O6" i="43" s="1"/>
  <c r="AC65" i="52"/>
  <c r="O6" i="42" s="1"/>
  <c r="F65" i="52"/>
  <c r="P6" i="46" s="1"/>
  <c r="N65" i="52"/>
  <c r="P6" i="45" s="1"/>
  <c r="V65" i="52"/>
  <c r="P6" i="43" s="1"/>
  <c r="AD65" i="52"/>
  <c r="P6" i="42" s="1"/>
  <c r="G65" i="52"/>
  <c r="Q6" i="46" s="1"/>
  <c r="O65" i="52"/>
  <c r="Q6" i="45" s="1"/>
  <c r="W65" i="52"/>
  <c r="Q6" i="43" s="1"/>
  <c r="AE65" i="52"/>
  <c r="Q6" i="42" s="1"/>
  <c r="H65" i="52"/>
  <c r="R6" i="46" s="1"/>
  <c r="P65" i="52"/>
  <c r="R6" i="45" s="1"/>
  <c r="X65" i="52"/>
  <c r="R6" i="43" s="1"/>
  <c r="AF65" i="52"/>
  <c r="R6" i="42" s="1"/>
  <c r="I65" i="52"/>
  <c r="S6" i="46" s="1"/>
  <c r="Q65" i="52"/>
  <c r="S6" i="45" s="1"/>
  <c r="Y65" i="52"/>
  <c r="S6" i="43" s="1"/>
  <c r="AG65" i="52"/>
  <c r="S6" i="42" s="1"/>
  <c r="A66" i="52"/>
  <c r="B66" i="52"/>
  <c r="L7" i="46" s="1"/>
  <c r="J66" i="52"/>
  <c r="L7" i="45" s="1"/>
  <c r="R66" i="52"/>
  <c r="L7" i="43" s="1"/>
  <c r="Z66" i="52"/>
  <c r="L7" i="42" s="1"/>
  <c r="C66" i="52"/>
  <c r="M7" i="46" s="1"/>
  <c r="K66" i="52"/>
  <c r="M7" i="45" s="1"/>
  <c r="S66" i="52"/>
  <c r="M7" i="43" s="1"/>
  <c r="AA66" i="52"/>
  <c r="M7" i="42" s="1"/>
  <c r="D66" i="52"/>
  <c r="N7" i="46" s="1"/>
  <c r="L66" i="52"/>
  <c r="N7" i="45" s="1"/>
  <c r="T66" i="52"/>
  <c r="N7" i="43" s="1"/>
  <c r="AB66" i="52"/>
  <c r="N7" i="42" s="1"/>
  <c r="E66" i="52"/>
  <c r="O7" i="46" s="1"/>
  <c r="M66" i="52"/>
  <c r="O7" i="45" s="1"/>
  <c r="U66" i="52"/>
  <c r="O7" i="43" s="1"/>
  <c r="AC66" i="52"/>
  <c r="O7" i="42" s="1"/>
  <c r="F66" i="52"/>
  <c r="P7" i="46" s="1"/>
  <c r="N66" i="52"/>
  <c r="P7" i="45" s="1"/>
  <c r="V66" i="52"/>
  <c r="P7" i="43" s="1"/>
  <c r="AD66" i="52"/>
  <c r="P7" i="42" s="1"/>
  <c r="G66" i="52"/>
  <c r="Q7" i="46" s="1"/>
  <c r="O66" i="52"/>
  <c r="Q7" i="45" s="1"/>
  <c r="W66" i="52"/>
  <c r="Q7" i="43" s="1"/>
  <c r="AE66" i="52"/>
  <c r="Q7" i="42" s="1"/>
  <c r="H66" i="52"/>
  <c r="R7" i="46" s="1"/>
  <c r="P66" i="52"/>
  <c r="R7" i="45" s="1"/>
  <c r="X66" i="52"/>
  <c r="R7" i="43" s="1"/>
  <c r="AF66" i="52"/>
  <c r="R7" i="42" s="1"/>
  <c r="I66" i="52"/>
  <c r="S7" i="46" s="1"/>
  <c r="Q66" i="52"/>
  <c r="S7" i="45" s="1"/>
  <c r="Y66" i="52"/>
  <c r="S7" i="43" s="1"/>
  <c r="AG66" i="52"/>
  <c r="S7" i="42" s="1"/>
  <c r="A67" i="52"/>
  <c r="B67" i="52"/>
  <c r="L8" i="46" s="1"/>
  <c r="J67" i="52"/>
  <c r="L8" i="45" s="1"/>
  <c r="R67" i="52"/>
  <c r="L8" i="43" s="1"/>
  <c r="Z67" i="52"/>
  <c r="L8" i="42" s="1"/>
  <c r="C67" i="52"/>
  <c r="M8" i="46" s="1"/>
  <c r="K67" i="52"/>
  <c r="M8" i="45" s="1"/>
  <c r="S67" i="52"/>
  <c r="M8" i="43" s="1"/>
  <c r="AA67" i="52"/>
  <c r="M8" i="42" s="1"/>
  <c r="D67" i="52"/>
  <c r="N8" i="46" s="1"/>
  <c r="L67" i="52"/>
  <c r="N8" i="45" s="1"/>
  <c r="T67" i="52"/>
  <c r="N8" i="43" s="1"/>
  <c r="AB67" i="52"/>
  <c r="N8" i="42" s="1"/>
  <c r="E67" i="52"/>
  <c r="O8" i="46" s="1"/>
  <c r="M67" i="52"/>
  <c r="O8" i="45" s="1"/>
  <c r="U67" i="52"/>
  <c r="O8" i="43" s="1"/>
  <c r="AC67" i="52"/>
  <c r="O8" i="42" s="1"/>
  <c r="F67" i="52"/>
  <c r="P8" i="46" s="1"/>
  <c r="N67" i="52"/>
  <c r="P8" i="45" s="1"/>
  <c r="V67" i="52"/>
  <c r="P8" i="43" s="1"/>
  <c r="AD67" i="52"/>
  <c r="P8" i="42" s="1"/>
  <c r="G67" i="52"/>
  <c r="Q8" i="46" s="1"/>
  <c r="O67" i="52"/>
  <c r="Q8" i="45" s="1"/>
  <c r="W67" i="52"/>
  <c r="Q8" i="43" s="1"/>
  <c r="AE67" i="52"/>
  <c r="Q8" i="42" s="1"/>
  <c r="H67" i="52"/>
  <c r="R8" i="46" s="1"/>
  <c r="P67" i="52"/>
  <c r="R8" i="45" s="1"/>
  <c r="X67" i="52"/>
  <c r="R8" i="43" s="1"/>
  <c r="AF67" i="52"/>
  <c r="R8" i="42" s="1"/>
  <c r="I67" i="52"/>
  <c r="S8" i="46" s="1"/>
  <c r="Q67" i="52"/>
  <c r="S8" i="45" s="1"/>
  <c r="Y67" i="52"/>
  <c r="S8" i="43" s="1"/>
  <c r="AG67" i="52"/>
  <c r="S8" i="42" s="1"/>
  <c r="A68" i="52"/>
  <c r="B68" i="52"/>
  <c r="L9" i="46" s="1"/>
  <c r="J68" i="52"/>
  <c r="L9" i="45" s="1"/>
  <c r="R68" i="52"/>
  <c r="L9" i="43" s="1"/>
  <c r="Z68" i="52"/>
  <c r="L9" i="42" s="1"/>
  <c r="C68" i="52"/>
  <c r="M9" i="46" s="1"/>
  <c r="K68" i="52"/>
  <c r="M9" i="45" s="1"/>
  <c r="S68" i="52"/>
  <c r="M9" i="43" s="1"/>
  <c r="AA68" i="52"/>
  <c r="M9" i="42" s="1"/>
  <c r="D68" i="52"/>
  <c r="N9" i="46" s="1"/>
  <c r="L68" i="52"/>
  <c r="N9" i="45" s="1"/>
  <c r="T68" i="52"/>
  <c r="N9" i="43" s="1"/>
  <c r="AB68" i="52"/>
  <c r="N9" i="42" s="1"/>
  <c r="E68" i="52"/>
  <c r="O9" i="46" s="1"/>
  <c r="M68" i="52"/>
  <c r="O9" i="45" s="1"/>
  <c r="U68" i="52"/>
  <c r="O9" i="43" s="1"/>
  <c r="AC68" i="52"/>
  <c r="O9" i="42" s="1"/>
  <c r="F68" i="52"/>
  <c r="P9" i="46" s="1"/>
  <c r="N68" i="52"/>
  <c r="P9" i="45" s="1"/>
  <c r="V68" i="52"/>
  <c r="P9" i="43" s="1"/>
  <c r="AD68" i="52"/>
  <c r="P9" i="42" s="1"/>
  <c r="G68" i="52"/>
  <c r="Q9" i="46" s="1"/>
  <c r="O68" i="52"/>
  <c r="Q9" i="45" s="1"/>
  <c r="W68" i="52"/>
  <c r="Q9" i="43" s="1"/>
  <c r="AE68" i="52"/>
  <c r="Q9" i="42" s="1"/>
  <c r="H68" i="52"/>
  <c r="R9" i="46" s="1"/>
  <c r="P68" i="52"/>
  <c r="R9" i="45" s="1"/>
  <c r="X68" i="52"/>
  <c r="R9" i="43" s="1"/>
  <c r="AF68" i="52"/>
  <c r="R9" i="42" s="1"/>
  <c r="I68" i="52"/>
  <c r="S9" i="46" s="1"/>
  <c r="Q68" i="52"/>
  <c r="S9" i="45" s="1"/>
  <c r="Y68" i="52"/>
  <c r="S9" i="43" s="1"/>
  <c r="AG68" i="52"/>
  <c r="S9" i="42" s="1"/>
  <c r="A69" i="52"/>
  <c r="B69" i="52"/>
  <c r="L10" i="46" s="1"/>
  <c r="J69" i="52"/>
  <c r="L10" i="45" s="1"/>
  <c r="R69" i="52"/>
  <c r="L10" i="43" s="1"/>
  <c r="Z69" i="52"/>
  <c r="L10" i="42" s="1"/>
  <c r="C69" i="52"/>
  <c r="M10" i="46" s="1"/>
  <c r="K69" i="52"/>
  <c r="M10" i="45" s="1"/>
  <c r="S69" i="52"/>
  <c r="M10" i="43" s="1"/>
  <c r="AA69" i="52"/>
  <c r="M10" i="42" s="1"/>
  <c r="D69" i="52"/>
  <c r="N10" i="46" s="1"/>
  <c r="L69" i="52"/>
  <c r="N10" i="45" s="1"/>
  <c r="T69" i="52"/>
  <c r="N10" i="43" s="1"/>
  <c r="AB69" i="52"/>
  <c r="N10" i="42" s="1"/>
  <c r="E69" i="52"/>
  <c r="O10" i="46" s="1"/>
  <c r="M69" i="52"/>
  <c r="O10" i="45" s="1"/>
  <c r="U69" i="52"/>
  <c r="O10" i="43" s="1"/>
  <c r="AC69" i="52"/>
  <c r="O10" i="42" s="1"/>
  <c r="F69" i="52"/>
  <c r="P10" i="46" s="1"/>
  <c r="N69" i="52"/>
  <c r="P10" i="45" s="1"/>
  <c r="V69" i="52"/>
  <c r="P10" i="43" s="1"/>
  <c r="AD69" i="52"/>
  <c r="P10" i="42" s="1"/>
  <c r="G69" i="52"/>
  <c r="Q10" i="46" s="1"/>
  <c r="O69" i="52"/>
  <c r="Q10" i="45" s="1"/>
  <c r="W69" i="52"/>
  <c r="Q10" i="43" s="1"/>
  <c r="AE69" i="52"/>
  <c r="Q10" i="42" s="1"/>
  <c r="H69" i="52"/>
  <c r="R10" i="46" s="1"/>
  <c r="P69" i="52"/>
  <c r="R10" i="45" s="1"/>
  <c r="X69" i="52"/>
  <c r="R10" i="43" s="1"/>
  <c r="AF69" i="52"/>
  <c r="R10" i="42" s="1"/>
  <c r="I69" i="52"/>
  <c r="S10" i="46" s="1"/>
  <c r="Q69" i="52"/>
  <c r="S10" i="45" s="1"/>
  <c r="Y69" i="52"/>
  <c r="S10" i="43" s="1"/>
  <c r="AG69" i="52"/>
  <c r="S10" i="42" s="1"/>
  <c r="A70" i="52"/>
  <c r="B70" i="52"/>
  <c r="L11" i="46" s="1"/>
  <c r="J70" i="52"/>
  <c r="L11" i="45" s="1"/>
  <c r="R70" i="52"/>
  <c r="L11" i="43" s="1"/>
  <c r="Z70" i="52"/>
  <c r="L11" i="42" s="1"/>
  <c r="C70" i="52"/>
  <c r="M11" i="46" s="1"/>
  <c r="K70" i="52"/>
  <c r="M11" i="45" s="1"/>
  <c r="S70" i="52"/>
  <c r="M11" i="43" s="1"/>
  <c r="AA70" i="52"/>
  <c r="M11" i="42" s="1"/>
  <c r="D70" i="52"/>
  <c r="N11" i="46" s="1"/>
  <c r="L70" i="52"/>
  <c r="N11" i="45" s="1"/>
  <c r="T70" i="52"/>
  <c r="N11" i="43" s="1"/>
  <c r="AB70" i="52"/>
  <c r="N11" i="42" s="1"/>
  <c r="E70" i="52"/>
  <c r="O11" i="46" s="1"/>
  <c r="M70" i="52"/>
  <c r="O11" i="45" s="1"/>
  <c r="U70" i="52"/>
  <c r="O11" i="43" s="1"/>
  <c r="AC70" i="52"/>
  <c r="O11" i="42" s="1"/>
  <c r="F70" i="52"/>
  <c r="P11" i="46" s="1"/>
  <c r="N70" i="52"/>
  <c r="P11" i="45" s="1"/>
  <c r="V70" i="52"/>
  <c r="P11" i="43" s="1"/>
  <c r="AD70" i="52"/>
  <c r="P11" i="42" s="1"/>
  <c r="G70" i="52"/>
  <c r="Q11" i="46" s="1"/>
  <c r="O70" i="52"/>
  <c r="Q11" i="45" s="1"/>
  <c r="W70" i="52"/>
  <c r="Q11" i="43" s="1"/>
  <c r="AE70" i="52"/>
  <c r="Q11" i="42" s="1"/>
  <c r="H70" i="52"/>
  <c r="R11" i="46" s="1"/>
  <c r="P70" i="52"/>
  <c r="R11" i="45" s="1"/>
  <c r="X70" i="52"/>
  <c r="R11" i="43" s="1"/>
  <c r="AF70" i="52"/>
  <c r="R11" i="42" s="1"/>
  <c r="I70" i="52"/>
  <c r="S11" i="46" s="1"/>
  <c r="Q70" i="52"/>
  <c r="S11" i="45" s="1"/>
  <c r="Y70" i="52"/>
  <c r="S11" i="43" s="1"/>
  <c r="AG70" i="52"/>
  <c r="S11" i="42" s="1"/>
  <c r="A71" i="52"/>
  <c r="B71" i="52"/>
  <c r="L12" i="46" s="1"/>
  <c r="J71" i="52"/>
  <c r="L12" i="45" s="1"/>
  <c r="R71" i="52"/>
  <c r="L12" i="43" s="1"/>
  <c r="Z71" i="52"/>
  <c r="L12" i="42" s="1"/>
  <c r="C71" i="52"/>
  <c r="M12" i="46" s="1"/>
  <c r="K71" i="52"/>
  <c r="M12" i="45" s="1"/>
  <c r="S71" i="52"/>
  <c r="M12" i="43" s="1"/>
  <c r="AA71" i="52"/>
  <c r="M12" i="42" s="1"/>
  <c r="D71" i="52"/>
  <c r="N12" i="46" s="1"/>
  <c r="L71" i="52"/>
  <c r="N12" i="45" s="1"/>
  <c r="T71" i="52"/>
  <c r="N12" i="43" s="1"/>
  <c r="AB71" i="52"/>
  <c r="N12" i="42" s="1"/>
  <c r="E71" i="52"/>
  <c r="O12" i="46" s="1"/>
  <c r="M71" i="52"/>
  <c r="O12" i="45" s="1"/>
  <c r="U71" i="52"/>
  <c r="O12" i="43" s="1"/>
  <c r="AC71" i="52"/>
  <c r="O12" i="42" s="1"/>
  <c r="F71" i="52"/>
  <c r="P12" i="46" s="1"/>
  <c r="N71" i="52"/>
  <c r="P12" i="45" s="1"/>
  <c r="V71" i="52"/>
  <c r="P12" i="43" s="1"/>
  <c r="AD71" i="52"/>
  <c r="P12" i="42" s="1"/>
  <c r="G71" i="52"/>
  <c r="Q12" i="46" s="1"/>
  <c r="O71" i="52"/>
  <c r="Q12" i="45" s="1"/>
  <c r="W71" i="52"/>
  <c r="Q12" i="43" s="1"/>
  <c r="AE71" i="52"/>
  <c r="Q12" i="42" s="1"/>
  <c r="H71" i="52"/>
  <c r="R12" i="46" s="1"/>
  <c r="P71" i="52"/>
  <c r="R12" i="45" s="1"/>
  <c r="X71" i="52"/>
  <c r="R12" i="43" s="1"/>
  <c r="AF71" i="52"/>
  <c r="R12" i="42" s="1"/>
  <c r="I71" i="52"/>
  <c r="S12" i="46" s="1"/>
  <c r="Q71" i="52"/>
  <c r="S12" i="45" s="1"/>
  <c r="Y71" i="52"/>
  <c r="S12" i="43" s="1"/>
  <c r="AG71" i="52"/>
  <c r="S12" i="42" s="1"/>
  <c r="A72" i="52"/>
  <c r="B72" i="52"/>
  <c r="L13" i="46" s="1"/>
  <c r="J72" i="52"/>
  <c r="L13" i="45" s="1"/>
  <c r="R72" i="52"/>
  <c r="L13" i="43" s="1"/>
  <c r="Z72" i="52"/>
  <c r="L13" i="42" s="1"/>
  <c r="C72" i="52"/>
  <c r="M13" i="46" s="1"/>
  <c r="K72" i="52"/>
  <c r="M13" i="45" s="1"/>
  <c r="S72" i="52"/>
  <c r="M13" i="43" s="1"/>
  <c r="AA72" i="52"/>
  <c r="M13" i="42" s="1"/>
  <c r="D72" i="52"/>
  <c r="N13" i="46" s="1"/>
  <c r="L72" i="52"/>
  <c r="N13" i="45" s="1"/>
  <c r="T72" i="52"/>
  <c r="N13" i="43" s="1"/>
  <c r="AB72" i="52"/>
  <c r="N13" i="42" s="1"/>
  <c r="E72" i="52"/>
  <c r="O13" i="46" s="1"/>
  <c r="M72" i="52"/>
  <c r="O13" i="45" s="1"/>
  <c r="U72" i="52"/>
  <c r="O13" i="43" s="1"/>
  <c r="AC72" i="52"/>
  <c r="O13" i="42" s="1"/>
  <c r="F72" i="52"/>
  <c r="P13" i="46" s="1"/>
  <c r="N72" i="52"/>
  <c r="P13" i="45" s="1"/>
  <c r="V72" i="52"/>
  <c r="P13" i="43" s="1"/>
  <c r="AD72" i="52"/>
  <c r="P13" i="42" s="1"/>
  <c r="G72" i="52"/>
  <c r="Q13" i="46" s="1"/>
  <c r="O72" i="52"/>
  <c r="Q13" i="45" s="1"/>
  <c r="W72" i="52"/>
  <c r="Q13" i="43" s="1"/>
  <c r="AE72" i="52"/>
  <c r="Q13" i="42" s="1"/>
  <c r="H72" i="52"/>
  <c r="R13" i="46" s="1"/>
  <c r="P72" i="52"/>
  <c r="R13" i="45" s="1"/>
  <c r="X72" i="52"/>
  <c r="R13" i="43" s="1"/>
  <c r="AF72" i="52"/>
  <c r="R13" i="42" s="1"/>
  <c r="I72" i="52"/>
  <c r="S13" i="46" s="1"/>
  <c r="Q72" i="52"/>
  <c r="S13" i="45" s="1"/>
  <c r="Y72" i="52"/>
  <c r="S13" i="43" s="1"/>
  <c r="AG72" i="52"/>
  <c r="S13" i="42" s="1"/>
  <c r="A73" i="52"/>
  <c r="B73" i="52"/>
  <c r="L14" i="46" s="1"/>
  <c r="J73" i="52"/>
  <c r="L14" i="45" s="1"/>
  <c r="R73" i="52"/>
  <c r="L14" i="43" s="1"/>
  <c r="Z73" i="52"/>
  <c r="L14" i="42" s="1"/>
  <c r="C73" i="52"/>
  <c r="M14" i="46" s="1"/>
  <c r="K73" i="52"/>
  <c r="M14" i="45" s="1"/>
  <c r="S73" i="52"/>
  <c r="M14" i="43" s="1"/>
  <c r="AA73" i="52"/>
  <c r="M14" i="42" s="1"/>
  <c r="D73" i="52"/>
  <c r="N14" i="46" s="1"/>
  <c r="L73" i="52"/>
  <c r="N14" i="45" s="1"/>
  <c r="T73" i="52"/>
  <c r="N14" i="43" s="1"/>
  <c r="AB73" i="52"/>
  <c r="N14" i="42" s="1"/>
  <c r="E73" i="52"/>
  <c r="O14" i="46" s="1"/>
  <c r="M73" i="52"/>
  <c r="O14" i="45" s="1"/>
  <c r="U73" i="52"/>
  <c r="O14" i="43" s="1"/>
  <c r="AC73" i="52"/>
  <c r="O14" i="42" s="1"/>
  <c r="F73" i="52"/>
  <c r="P14" i="46" s="1"/>
  <c r="N73" i="52"/>
  <c r="P14" i="45" s="1"/>
  <c r="V73" i="52"/>
  <c r="P14" i="43" s="1"/>
  <c r="AD73" i="52"/>
  <c r="P14" i="42" s="1"/>
  <c r="G73" i="52"/>
  <c r="Q14" i="46" s="1"/>
  <c r="O73" i="52"/>
  <c r="Q14" i="45" s="1"/>
  <c r="W73" i="52"/>
  <c r="Q14" i="43" s="1"/>
  <c r="AE73" i="52"/>
  <c r="Q14" i="42" s="1"/>
  <c r="H73" i="52"/>
  <c r="R14" i="46" s="1"/>
  <c r="P73" i="52"/>
  <c r="R14" i="45" s="1"/>
  <c r="X73" i="52"/>
  <c r="R14" i="43" s="1"/>
  <c r="AF73" i="52"/>
  <c r="R14" i="42" s="1"/>
  <c r="I73" i="52"/>
  <c r="S14" i="46" s="1"/>
  <c r="Q73" i="52"/>
  <c r="S14" i="45" s="1"/>
  <c r="Y73" i="52"/>
  <c r="S14" i="43" s="1"/>
  <c r="AG73" i="52"/>
  <c r="S14" i="42" s="1"/>
  <c r="A74" i="52"/>
  <c r="B74" i="52"/>
  <c r="L15" i="46" s="1"/>
  <c r="J74" i="52"/>
  <c r="L15" i="45" s="1"/>
  <c r="R74" i="52"/>
  <c r="L15" i="43" s="1"/>
  <c r="Z74" i="52"/>
  <c r="L15" i="42" s="1"/>
  <c r="C74" i="52"/>
  <c r="M15" i="46" s="1"/>
  <c r="K74" i="52"/>
  <c r="M15" i="45" s="1"/>
  <c r="S74" i="52"/>
  <c r="M15" i="43" s="1"/>
  <c r="AA74" i="52"/>
  <c r="M15" i="42" s="1"/>
  <c r="D74" i="52"/>
  <c r="N15" i="46" s="1"/>
  <c r="L74" i="52"/>
  <c r="N15" i="45" s="1"/>
  <c r="T74" i="52"/>
  <c r="N15" i="43" s="1"/>
  <c r="AB74" i="52"/>
  <c r="N15" i="42" s="1"/>
  <c r="E74" i="52"/>
  <c r="O15" i="46" s="1"/>
  <c r="M74" i="52"/>
  <c r="O15" i="45" s="1"/>
  <c r="U74" i="52"/>
  <c r="O15" i="43" s="1"/>
  <c r="AC74" i="52"/>
  <c r="O15" i="42" s="1"/>
  <c r="F74" i="52"/>
  <c r="P15" i="46" s="1"/>
  <c r="N74" i="52"/>
  <c r="P15" i="45" s="1"/>
  <c r="V74" i="52"/>
  <c r="P15" i="43" s="1"/>
  <c r="AD74" i="52"/>
  <c r="P15" i="42" s="1"/>
  <c r="G74" i="52"/>
  <c r="Q15" i="46" s="1"/>
  <c r="O74" i="52"/>
  <c r="Q15" i="45" s="1"/>
  <c r="W74" i="52"/>
  <c r="Q15" i="43" s="1"/>
  <c r="AE74" i="52"/>
  <c r="Q15" i="42" s="1"/>
  <c r="H74" i="52"/>
  <c r="R15" i="46" s="1"/>
  <c r="P74" i="52"/>
  <c r="R15" i="45" s="1"/>
  <c r="X74" i="52"/>
  <c r="R15" i="43" s="1"/>
  <c r="AF74" i="52"/>
  <c r="R15" i="42" s="1"/>
  <c r="I74" i="52"/>
  <c r="S15" i="46" s="1"/>
  <c r="Q74" i="52"/>
  <c r="S15" i="45" s="1"/>
  <c r="Y74" i="52"/>
  <c r="S15" i="43" s="1"/>
  <c r="AG74" i="52"/>
  <c r="S15" i="42" s="1"/>
  <c r="A75" i="52"/>
  <c r="B75" i="52"/>
  <c r="L16" i="46" s="1"/>
  <c r="J75" i="52"/>
  <c r="L16" i="45" s="1"/>
  <c r="R75" i="52"/>
  <c r="L16" i="43" s="1"/>
  <c r="Z75" i="52"/>
  <c r="L16" i="42" s="1"/>
  <c r="C75" i="52"/>
  <c r="M16" i="46" s="1"/>
  <c r="K75" i="52"/>
  <c r="M16" i="45" s="1"/>
  <c r="S75" i="52"/>
  <c r="M16" i="43" s="1"/>
  <c r="AA75" i="52"/>
  <c r="M16" i="42" s="1"/>
  <c r="D75" i="52"/>
  <c r="N16" i="46" s="1"/>
  <c r="L75" i="52"/>
  <c r="N16" i="45" s="1"/>
  <c r="T75" i="52"/>
  <c r="N16" i="43" s="1"/>
  <c r="AB75" i="52"/>
  <c r="N16" i="42" s="1"/>
  <c r="E75" i="52"/>
  <c r="O16" i="46" s="1"/>
  <c r="M75" i="52"/>
  <c r="O16" i="45" s="1"/>
  <c r="U75" i="52"/>
  <c r="O16" i="43" s="1"/>
  <c r="AC75" i="52"/>
  <c r="O16" i="42" s="1"/>
  <c r="F75" i="52"/>
  <c r="P16" i="46" s="1"/>
  <c r="N75" i="52"/>
  <c r="P16" i="45" s="1"/>
  <c r="V75" i="52"/>
  <c r="P16" i="43" s="1"/>
  <c r="AD75" i="52"/>
  <c r="P16" i="42" s="1"/>
  <c r="G75" i="52"/>
  <c r="Q16" i="46" s="1"/>
  <c r="O75" i="52"/>
  <c r="Q16" i="45" s="1"/>
  <c r="W75" i="52"/>
  <c r="Q16" i="43" s="1"/>
  <c r="AE75" i="52"/>
  <c r="Q16" i="42" s="1"/>
  <c r="H75" i="52"/>
  <c r="R16" i="46" s="1"/>
  <c r="P75" i="52"/>
  <c r="R16" i="45" s="1"/>
  <c r="X75" i="52"/>
  <c r="R16" i="43" s="1"/>
  <c r="AF75" i="52"/>
  <c r="R16" i="42" s="1"/>
  <c r="I75" i="52"/>
  <c r="S16" i="46" s="1"/>
  <c r="Q75" i="52"/>
  <c r="S16" i="45" s="1"/>
  <c r="Y75" i="52"/>
  <c r="S16" i="43" s="1"/>
  <c r="AG75" i="52"/>
  <c r="S16" i="42" s="1"/>
  <c r="A76" i="52"/>
  <c r="B76" i="52"/>
  <c r="L17" i="46" s="1"/>
  <c r="J76" i="52"/>
  <c r="L17" i="45" s="1"/>
  <c r="R76" i="52"/>
  <c r="L17" i="43" s="1"/>
  <c r="Z76" i="52"/>
  <c r="L17" i="42" s="1"/>
  <c r="C76" i="52"/>
  <c r="M17" i="46" s="1"/>
  <c r="K76" i="52"/>
  <c r="M17" i="45" s="1"/>
  <c r="S76" i="52"/>
  <c r="M17" i="43" s="1"/>
  <c r="AA76" i="52"/>
  <c r="M17" i="42" s="1"/>
  <c r="D76" i="52"/>
  <c r="N17" i="46" s="1"/>
  <c r="L76" i="52"/>
  <c r="N17" i="45" s="1"/>
  <c r="T76" i="52"/>
  <c r="N17" i="43" s="1"/>
  <c r="AB76" i="52"/>
  <c r="N17" i="42" s="1"/>
  <c r="E76" i="52"/>
  <c r="O17" i="46" s="1"/>
  <c r="M76" i="52"/>
  <c r="O17" i="45" s="1"/>
  <c r="U76" i="52"/>
  <c r="O17" i="43" s="1"/>
  <c r="AC76" i="52"/>
  <c r="O17" i="42" s="1"/>
  <c r="F76" i="52"/>
  <c r="P17" i="46" s="1"/>
  <c r="N76" i="52"/>
  <c r="P17" i="45" s="1"/>
  <c r="V76" i="52"/>
  <c r="P17" i="43" s="1"/>
  <c r="AD76" i="52"/>
  <c r="P17" i="42" s="1"/>
  <c r="G76" i="52"/>
  <c r="Q17" i="46" s="1"/>
  <c r="O76" i="52"/>
  <c r="Q17" i="45" s="1"/>
  <c r="W76" i="52"/>
  <c r="Q17" i="43" s="1"/>
  <c r="AE76" i="52"/>
  <c r="Q17" i="42" s="1"/>
  <c r="H76" i="52"/>
  <c r="R17" i="46" s="1"/>
  <c r="P76" i="52"/>
  <c r="R17" i="45" s="1"/>
  <c r="X76" i="52"/>
  <c r="R17" i="43" s="1"/>
  <c r="AF76" i="52"/>
  <c r="R17" i="42" s="1"/>
  <c r="I76" i="52"/>
  <c r="S17" i="46" s="1"/>
  <c r="Q76" i="52"/>
  <c r="S17" i="45" s="1"/>
  <c r="Y76" i="52"/>
  <c r="S17" i="43" s="1"/>
  <c r="AG76" i="52"/>
  <c r="S17" i="42" s="1"/>
  <c r="A77" i="52"/>
  <c r="B77" i="52"/>
  <c r="L18" i="46" s="1"/>
  <c r="J77" i="52"/>
  <c r="L18" i="45" s="1"/>
  <c r="R77" i="52"/>
  <c r="L18" i="43" s="1"/>
  <c r="Z77" i="52"/>
  <c r="L18" i="42" s="1"/>
  <c r="C77" i="52"/>
  <c r="M18" i="46" s="1"/>
  <c r="K77" i="52"/>
  <c r="M18" i="45" s="1"/>
  <c r="S77" i="52"/>
  <c r="M18" i="43" s="1"/>
  <c r="AA77" i="52"/>
  <c r="M18" i="42" s="1"/>
  <c r="D77" i="52"/>
  <c r="N18" i="46" s="1"/>
  <c r="L77" i="52"/>
  <c r="N18" i="45" s="1"/>
  <c r="T77" i="52"/>
  <c r="N18" i="43" s="1"/>
  <c r="AB77" i="52"/>
  <c r="N18" i="42" s="1"/>
  <c r="E77" i="52"/>
  <c r="O18" i="46" s="1"/>
  <c r="M77" i="52"/>
  <c r="O18" i="45" s="1"/>
  <c r="U77" i="52"/>
  <c r="O18" i="43" s="1"/>
  <c r="AC77" i="52"/>
  <c r="O18" i="42" s="1"/>
  <c r="F77" i="52"/>
  <c r="P18" i="46" s="1"/>
  <c r="N77" i="52"/>
  <c r="P18" i="45" s="1"/>
  <c r="V77" i="52"/>
  <c r="P18" i="43" s="1"/>
  <c r="AD77" i="52"/>
  <c r="P18" i="42" s="1"/>
  <c r="G77" i="52"/>
  <c r="Q18" i="46" s="1"/>
  <c r="O77" i="52"/>
  <c r="Q18" i="45" s="1"/>
  <c r="W77" i="52"/>
  <c r="Q18" i="43" s="1"/>
  <c r="AE77" i="52"/>
  <c r="Q18" i="42" s="1"/>
  <c r="H77" i="52"/>
  <c r="R18" i="46" s="1"/>
  <c r="P77" i="52"/>
  <c r="R18" i="45" s="1"/>
  <c r="X77" i="52"/>
  <c r="R18" i="43" s="1"/>
  <c r="AF77" i="52"/>
  <c r="R18" i="42" s="1"/>
  <c r="I77" i="52"/>
  <c r="S18" i="46" s="1"/>
  <c r="Q77" i="52"/>
  <c r="S18" i="45" s="1"/>
  <c r="Y77" i="52"/>
  <c r="S18" i="43" s="1"/>
  <c r="AG77" i="52"/>
  <c r="S18" i="42" s="1"/>
  <c r="A78" i="52"/>
  <c r="B78" i="52"/>
  <c r="L19" i="46" s="1"/>
  <c r="J78" i="52"/>
  <c r="L19" i="45" s="1"/>
  <c r="R78" i="52"/>
  <c r="L19" i="43" s="1"/>
  <c r="Z78" i="52"/>
  <c r="L19" i="42" s="1"/>
  <c r="C78" i="52"/>
  <c r="M19" i="46" s="1"/>
  <c r="K78" i="52"/>
  <c r="M19" i="45" s="1"/>
  <c r="S78" i="52"/>
  <c r="M19" i="43" s="1"/>
  <c r="AA78" i="52"/>
  <c r="M19" i="42" s="1"/>
  <c r="D78" i="52"/>
  <c r="N19" i="46" s="1"/>
  <c r="L78" i="52"/>
  <c r="N19" i="45" s="1"/>
  <c r="T78" i="52"/>
  <c r="N19" i="43" s="1"/>
  <c r="AB78" i="52"/>
  <c r="N19" i="42" s="1"/>
  <c r="E78" i="52"/>
  <c r="O19" i="46" s="1"/>
  <c r="M78" i="52"/>
  <c r="O19" i="45" s="1"/>
  <c r="U78" i="52"/>
  <c r="O19" i="43" s="1"/>
  <c r="AC78" i="52"/>
  <c r="O19" i="42" s="1"/>
  <c r="F78" i="52"/>
  <c r="P19" i="46" s="1"/>
  <c r="N78" i="52"/>
  <c r="P19" i="45" s="1"/>
  <c r="V78" i="52"/>
  <c r="P19" i="43" s="1"/>
  <c r="AD78" i="52"/>
  <c r="P19" i="42" s="1"/>
  <c r="G78" i="52"/>
  <c r="Q19" i="46" s="1"/>
  <c r="O78" i="52"/>
  <c r="Q19" i="45" s="1"/>
  <c r="W78" i="52"/>
  <c r="Q19" i="43" s="1"/>
  <c r="AE78" i="52"/>
  <c r="Q19" i="42" s="1"/>
  <c r="H78" i="52"/>
  <c r="R19" i="46" s="1"/>
  <c r="P78" i="52"/>
  <c r="R19" i="45" s="1"/>
  <c r="X78" i="52"/>
  <c r="R19" i="43" s="1"/>
  <c r="AF78" i="52"/>
  <c r="R19" i="42" s="1"/>
  <c r="I78" i="52"/>
  <c r="S19" i="46" s="1"/>
  <c r="Q78" i="52"/>
  <c r="S19" i="45" s="1"/>
  <c r="Y78" i="52"/>
  <c r="S19" i="43" s="1"/>
  <c r="AG78" i="52"/>
  <c r="S19" i="42" s="1"/>
  <c r="A79" i="52"/>
  <c r="B79" i="52"/>
  <c r="L20" i="46" s="1"/>
  <c r="J79" i="52"/>
  <c r="L20" i="45" s="1"/>
  <c r="R79" i="52"/>
  <c r="L20" i="43" s="1"/>
  <c r="Z79" i="52"/>
  <c r="L20" i="42" s="1"/>
  <c r="C79" i="52"/>
  <c r="M20" i="46" s="1"/>
  <c r="K79" i="52"/>
  <c r="M20" i="45" s="1"/>
  <c r="S79" i="52"/>
  <c r="M20" i="43" s="1"/>
  <c r="AA79" i="52"/>
  <c r="M20" i="42" s="1"/>
  <c r="D79" i="52"/>
  <c r="N20" i="46" s="1"/>
  <c r="L79" i="52"/>
  <c r="N20" i="45" s="1"/>
  <c r="T79" i="52"/>
  <c r="N20" i="43" s="1"/>
  <c r="AB79" i="52"/>
  <c r="N20" i="42" s="1"/>
  <c r="E79" i="52"/>
  <c r="O20" i="46" s="1"/>
  <c r="M79" i="52"/>
  <c r="O20" i="45" s="1"/>
  <c r="U79" i="52"/>
  <c r="O20" i="43" s="1"/>
  <c r="AC79" i="52"/>
  <c r="O20" i="42" s="1"/>
  <c r="F79" i="52"/>
  <c r="P20" i="46" s="1"/>
  <c r="N79" i="52"/>
  <c r="P20" i="45" s="1"/>
  <c r="V79" i="52"/>
  <c r="P20" i="43" s="1"/>
  <c r="AD79" i="52"/>
  <c r="P20" i="42" s="1"/>
  <c r="G79" i="52"/>
  <c r="Q20" i="46" s="1"/>
  <c r="O79" i="52"/>
  <c r="Q20" i="45" s="1"/>
  <c r="W79" i="52"/>
  <c r="Q20" i="43" s="1"/>
  <c r="AE79" i="52"/>
  <c r="Q20" i="42" s="1"/>
  <c r="H79" i="52"/>
  <c r="R20" i="46" s="1"/>
  <c r="P79" i="52"/>
  <c r="R20" i="45" s="1"/>
  <c r="X79" i="52"/>
  <c r="R20" i="43" s="1"/>
  <c r="AF79" i="52"/>
  <c r="R20" i="42" s="1"/>
  <c r="I79" i="52"/>
  <c r="S20" i="46" s="1"/>
  <c r="Q79" i="52"/>
  <c r="S20" i="45" s="1"/>
  <c r="Y79" i="52"/>
  <c r="S20" i="43" s="1"/>
  <c r="AG79" i="52"/>
  <c r="S20" i="42" s="1"/>
  <c r="A80" i="52"/>
  <c r="B80" i="52"/>
  <c r="L21" i="46" s="1"/>
  <c r="J80" i="52"/>
  <c r="L21" i="45" s="1"/>
  <c r="R80" i="52"/>
  <c r="L21" i="43" s="1"/>
  <c r="Z80" i="52"/>
  <c r="L21" i="42" s="1"/>
  <c r="C80" i="52"/>
  <c r="M21" i="46" s="1"/>
  <c r="K80" i="52"/>
  <c r="M21" i="45" s="1"/>
  <c r="S80" i="52"/>
  <c r="M21" i="43" s="1"/>
  <c r="AA80" i="52"/>
  <c r="M21" i="42" s="1"/>
  <c r="D80" i="52"/>
  <c r="N21" i="46" s="1"/>
  <c r="L80" i="52"/>
  <c r="N21" i="45" s="1"/>
  <c r="T80" i="52"/>
  <c r="N21" i="43" s="1"/>
  <c r="AB80" i="52"/>
  <c r="N21" i="42" s="1"/>
  <c r="E80" i="52"/>
  <c r="O21" i="46" s="1"/>
  <c r="M80" i="52"/>
  <c r="O21" i="45" s="1"/>
  <c r="U80" i="52"/>
  <c r="O21" i="43" s="1"/>
  <c r="AC80" i="52"/>
  <c r="O21" i="42" s="1"/>
  <c r="F80" i="52"/>
  <c r="P21" i="46" s="1"/>
  <c r="N80" i="52"/>
  <c r="P21" i="45" s="1"/>
  <c r="V80" i="52"/>
  <c r="P21" i="43" s="1"/>
  <c r="AD80" i="52"/>
  <c r="P21" i="42" s="1"/>
  <c r="G80" i="52"/>
  <c r="Q21" i="46" s="1"/>
  <c r="O80" i="52"/>
  <c r="Q21" i="45" s="1"/>
  <c r="W80" i="52"/>
  <c r="Q21" i="43" s="1"/>
  <c r="AE80" i="52"/>
  <c r="Q21" i="42" s="1"/>
  <c r="H80" i="52"/>
  <c r="R21" i="46" s="1"/>
  <c r="P80" i="52"/>
  <c r="R21" i="45" s="1"/>
  <c r="X80" i="52"/>
  <c r="R21" i="43" s="1"/>
  <c r="AF80" i="52"/>
  <c r="R21" i="42" s="1"/>
  <c r="I80" i="52"/>
  <c r="S21" i="46" s="1"/>
  <c r="Q80" i="52"/>
  <c r="S21" i="45" s="1"/>
  <c r="Y80" i="52"/>
  <c r="S21" i="43" s="1"/>
  <c r="AG80" i="52"/>
  <c r="S21" i="42" s="1"/>
  <c r="A81" i="52"/>
  <c r="B81" i="52"/>
  <c r="L22" i="46" s="1"/>
  <c r="J81" i="52"/>
  <c r="L22" i="45" s="1"/>
  <c r="R81" i="52"/>
  <c r="L22" i="43" s="1"/>
  <c r="Z81" i="52"/>
  <c r="L22" i="42" s="1"/>
  <c r="C81" i="52"/>
  <c r="M22" i="46" s="1"/>
  <c r="K81" i="52"/>
  <c r="M22" i="45" s="1"/>
  <c r="S81" i="52"/>
  <c r="M22" i="43" s="1"/>
  <c r="AA81" i="52"/>
  <c r="M22" i="42" s="1"/>
  <c r="D81" i="52"/>
  <c r="N22" i="46" s="1"/>
  <c r="L81" i="52"/>
  <c r="N22" i="45" s="1"/>
  <c r="T81" i="52"/>
  <c r="N22" i="43" s="1"/>
  <c r="AB81" i="52"/>
  <c r="N22" i="42" s="1"/>
  <c r="E81" i="52"/>
  <c r="O22" i="46" s="1"/>
  <c r="M81" i="52"/>
  <c r="O22" i="45" s="1"/>
  <c r="U81" i="52"/>
  <c r="O22" i="43" s="1"/>
  <c r="AC81" i="52"/>
  <c r="O22" i="42" s="1"/>
  <c r="F81" i="52"/>
  <c r="P22" i="46" s="1"/>
  <c r="N81" i="52"/>
  <c r="P22" i="45" s="1"/>
  <c r="V81" i="52"/>
  <c r="P22" i="43" s="1"/>
  <c r="AD81" i="52"/>
  <c r="P22" i="42" s="1"/>
  <c r="G81" i="52"/>
  <c r="Q22" i="46" s="1"/>
  <c r="O81" i="52"/>
  <c r="Q22" i="45" s="1"/>
  <c r="W81" i="52"/>
  <c r="Q22" i="43" s="1"/>
  <c r="AE81" i="52"/>
  <c r="Q22" i="42" s="1"/>
  <c r="H81" i="52"/>
  <c r="R22" i="46" s="1"/>
  <c r="P81" i="52"/>
  <c r="R22" i="45" s="1"/>
  <c r="X81" i="52"/>
  <c r="R22" i="43" s="1"/>
  <c r="AF81" i="52"/>
  <c r="R22" i="42" s="1"/>
  <c r="I81" i="52"/>
  <c r="S22" i="46" s="1"/>
  <c r="Q81" i="52"/>
  <c r="S22" i="45" s="1"/>
  <c r="Y81" i="52"/>
  <c r="S22" i="43" s="1"/>
  <c r="AG81" i="52"/>
  <c r="S22" i="42" s="1"/>
  <c r="A82" i="52"/>
  <c r="B82" i="52"/>
  <c r="L23" i="46" s="1"/>
  <c r="J82" i="52"/>
  <c r="L23" i="45" s="1"/>
  <c r="R82" i="52"/>
  <c r="L23" i="43" s="1"/>
  <c r="Z82" i="52"/>
  <c r="L23" i="42" s="1"/>
  <c r="C82" i="52"/>
  <c r="M23" i="46" s="1"/>
  <c r="K82" i="52"/>
  <c r="M23" i="45" s="1"/>
  <c r="S82" i="52"/>
  <c r="M23" i="43" s="1"/>
  <c r="AA82" i="52"/>
  <c r="M23" i="42" s="1"/>
  <c r="D82" i="52"/>
  <c r="N23" i="46" s="1"/>
  <c r="L82" i="52"/>
  <c r="N23" i="45" s="1"/>
  <c r="T82" i="52"/>
  <c r="N23" i="43" s="1"/>
  <c r="AB82" i="52"/>
  <c r="N23" i="42" s="1"/>
  <c r="E82" i="52"/>
  <c r="O23" i="46" s="1"/>
  <c r="M82" i="52"/>
  <c r="O23" i="45" s="1"/>
  <c r="U82" i="52"/>
  <c r="O23" i="43" s="1"/>
  <c r="AC82" i="52"/>
  <c r="O23" i="42" s="1"/>
  <c r="F82" i="52"/>
  <c r="P23" i="46" s="1"/>
  <c r="N82" i="52"/>
  <c r="P23" i="45" s="1"/>
  <c r="V82" i="52"/>
  <c r="P23" i="43" s="1"/>
  <c r="AD82" i="52"/>
  <c r="P23" i="42" s="1"/>
  <c r="G82" i="52"/>
  <c r="Q23" i="46" s="1"/>
  <c r="O82" i="52"/>
  <c r="Q23" i="45" s="1"/>
  <c r="W82" i="52"/>
  <c r="Q23" i="43" s="1"/>
  <c r="AE82" i="52"/>
  <c r="Q23" i="42" s="1"/>
  <c r="H82" i="52"/>
  <c r="R23" i="46" s="1"/>
  <c r="P82" i="52"/>
  <c r="R23" i="45" s="1"/>
  <c r="X82" i="52"/>
  <c r="R23" i="43" s="1"/>
  <c r="AF82" i="52"/>
  <c r="R23" i="42" s="1"/>
  <c r="I82" i="52"/>
  <c r="S23" i="46" s="1"/>
  <c r="Q82" i="52"/>
  <c r="S23" i="45" s="1"/>
  <c r="Y82" i="52"/>
  <c r="S23" i="43" s="1"/>
  <c r="AG82" i="52"/>
  <c r="S23" i="42" s="1"/>
  <c r="A83" i="52"/>
  <c r="B83" i="52"/>
  <c r="L24" i="46" s="1"/>
  <c r="J83" i="52"/>
  <c r="L24" i="45" s="1"/>
  <c r="R83" i="52"/>
  <c r="L24" i="43" s="1"/>
  <c r="Z83" i="52"/>
  <c r="L24" i="42" s="1"/>
  <c r="C83" i="52"/>
  <c r="M24" i="46" s="1"/>
  <c r="K83" i="52"/>
  <c r="M24" i="45" s="1"/>
  <c r="S83" i="52"/>
  <c r="M24" i="43" s="1"/>
  <c r="AA83" i="52"/>
  <c r="M24" i="42" s="1"/>
  <c r="D83" i="52"/>
  <c r="N24" i="46" s="1"/>
  <c r="L83" i="52"/>
  <c r="N24" i="45" s="1"/>
  <c r="T83" i="52"/>
  <c r="N24" i="43" s="1"/>
  <c r="AB83" i="52"/>
  <c r="N24" i="42" s="1"/>
  <c r="E83" i="52"/>
  <c r="O24" i="46" s="1"/>
  <c r="M83" i="52"/>
  <c r="O24" i="45" s="1"/>
  <c r="U83" i="52"/>
  <c r="O24" i="43" s="1"/>
  <c r="AC83" i="52"/>
  <c r="O24" i="42" s="1"/>
  <c r="F83" i="52"/>
  <c r="P24" i="46" s="1"/>
  <c r="N83" i="52"/>
  <c r="P24" i="45" s="1"/>
  <c r="V83" i="52"/>
  <c r="P24" i="43" s="1"/>
  <c r="AD83" i="52"/>
  <c r="P24" i="42" s="1"/>
  <c r="G83" i="52"/>
  <c r="Q24" i="46" s="1"/>
  <c r="O83" i="52"/>
  <c r="Q24" i="45" s="1"/>
  <c r="W83" i="52"/>
  <c r="Q24" i="43" s="1"/>
  <c r="AE83" i="52"/>
  <c r="Q24" i="42" s="1"/>
  <c r="H83" i="52"/>
  <c r="R24" i="46" s="1"/>
  <c r="P83" i="52"/>
  <c r="R24" i="45" s="1"/>
  <c r="X83" i="52"/>
  <c r="R24" i="43" s="1"/>
  <c r="AF83" i="52"/>
  <c r="R24" i="42" s="1"/>
  <c r="I83" i="52"/>
  <c r="S24" i="46" s="1"/>
  <c r="Q83" i="52"/>
  <c r="S24" i="45" s="1"/>
  <c r="Y83" i="52"/>
  <c r="S24" i="43" s="1"/>
  <c r="AG83" i="52"/>
  <c r="S24" i="42" s="1"/>
  <c r="A84" i="52"/>
  <c r="B84" i="52"/>
  <c r="L25" i="46" s="1"/>
  <c r="J84" i="52"/>
  <c r="L25" i="45" s="1"/>
  <c r="R84" i="52"/>
  <c r="L25" i="43" s="1"/>
  <c r="Z84" i="52"/>
  <c r="L25" i="42" s="1"/>
  <c r="C84" i="52"/>
  <c r="M25" i="46" s="1"/>
  <c r="K84" i="52"/>
  <c r="M25" i="45" s="1"/>
  <c r="S84" i="52"/>
  <c r="M25" i="43" s="1"/>
  <c r="AA84" i="52"/>
  <c r="M25" i="42" s="1"/>
  <c r="D84" i="52"/>
  <c r="N25" i="46" s="1"/>
  <c r="L84" i="52"/>
  <c r="N25" i="45" s="1"/>
  <c r="T84" i="52"/>
  <c r="N25" i="43" s="1"/>
  <c r="AB84" i="52"/>
  <c r="N25" i="42" s="1"/>
  <c r="E84" i="52"/>
  <c r="O25" i="46" s="1"/>
  <c r="M84" i="52"/>
  <c r="O25" i="45" s="1"/>
  <c r="U84" i="52"/>
  <c r="O25" i="43" s="1"/>
  <c r="AC84" i="52"/>
  <c r="O25" i="42" s="1"/>
  <c r="F84" i="52"/>
  <c r="P25" i="46" s="1"/>
  <c r="N84" i="52"/>
  <c r="P25" i="45" s="1"/>
  <c r="V84" i="52"/>
  <c r="P25" i="43" s="1"/>
  <c r="AD84" i="52"/>
  <c r="P25" i="42" s="1"/>
  <c r="G84" i="52"/>
  <c r="Q25" i="46" s="1"/>
  <c r="O84" i="52"/>
  <c r="Q25" i="45" s="1"/>
  <c r="W84" i="52"/>
  <c r="Q25" i="43" s="1"/>
  <c r="AE84" i="52"/>
  <c r="Q25" i="42" s="1"/>
  <c r="H84" i="52"/>
  <c r="R25" i="46" s="1"/>
  <c r="P84" i="52"/>
  <c r="R25" i="45" s="1"/>
  <c r="X84" i="52"/>
  <c r="R25" i="43" s="1"/>
  <c r="AF84" i="52"/>
  <c r="R25" i="42" s="1"/>
  <c r="I84" i="52"/>
  <c r="S25" i="46" s="1"/>
  <c r="Q84" i="52"/>
  <c r="S25" i="45" s="1"/>
  <c r="Y84" i="52"/>
  <c r="S25" i="43" s="1"/>
  <c r="AG84" i="52"/>
  <c r="S25" i="42" s="1"/>
  <c r="A85" i="52"/>
  <c r="B85" i="52"/>
  <c r="L26" i="46" s="1"/>
  <c r="J85" i="52"/>
  <c r="L26" i="45" s="1"/>
  <c r="R85" i="52"/>
  <c r="L26" i="43" s="1"/>
  <c r="Z85" i="52"/>
  <c r="L26" i="42" s="1"/>
  <c r="C85" i="52"/>
  <c r="M26" i="46" s="1"/>
  <c r="K85" i="52"/>
  <c r="M26" i="45" s="1"/>
  <c r="S85" i="52"/>
  <c r="M26" i="43" s="1"/>
  <c r="AA85" i="52"/>
  <c r="M26" i="42" s="1"/>
  <c r="D85" i="52"/>
  <c r="N26" i="46" s="1"/>
  <c r="L85" i="52"/>
  <c r="N26" i="45" s="1"/>
  <c r="T85" i="52"/>
  <c r="N26" i="43" s="1"/>
  <c r="AB85" i="52"/>
  <c r="N26" i="42" s="1"/>
  <c r="E85" i="52"/>
  <c r="O26" i="46" s="1"/>
  <c r="M85" i="52"/>
  <c r="O26" i="45" s="1"/>
  <c r="U85" i="52"/>
  <c r="O26" i="43" s="1"/>
  <c r="AC85" i="52"/>
  <c r="O26" i="42" s="1"/>
  <c r="F85" i="52"/>
  <c r="P26" i="46" s="1"/>
  <c r="N85" i="52"/>
  <c r="P26" i="45" s="1"/>
  <c r="V85" i="52"/>
  <c r="P26" i="43" s="1"/>
  <c r="AD85" i="52"/>
  <c r="P26" i="42" s="1"/>
  <c r="G85" i="52"/>
  <c r="Q26" i="46" s="1"/>
  <c r="O85" i="52"/>
  <c r="Q26" i="45" s="1"/>
  <c r="W85" i="52"/>
  <c r="Q26" i="43" s="1"/>
  <c r="AE85" i="52"/>
  <c r="Q26" i="42" s="1"/>
  <c r="H85" i="52"/>
  <c r="R26" i="46" s="1"/>
  <c r="P85" i="52"/>
  <c r="R26" i="45" s="1"/>
  <c r="X85" i="52"/>
  <c r="R26" i="43" s="1"/>
  <c r="AF85" i="52"/>
  <c r="R26" i="42" s="1"/>
  <c r="I85" i="52"/>
  <c r="S26" i="46" s="1"/>
  <c r="Q85" i="52"/>
  <c r="S26" i="45" s="1"/>
  <c r="Y85" i="52"/>
  <c r="S26" i="43" s="1"/>
  <c r="AG85" i="52"/>
  <c r="S26" i="42" s="1"/>
  <c r="A86" i="52"/>
  <c r="B86" i="52"/>
  <c r="L27" i="46" s="1"/>
  <c r="J86" i="52"/>
  <c r="L27" i="45" s="1"/>
  <c r="R86" i="52"/>
  <c r="L27" i="43" s="1"/>
  <c r="Z86" i="52"/>
  <c r="L27" i="42" s="1"/>
  <c r="C86" i="52"/>
  <c r="M27" i="46" s="1"/>
  <c r="K86" i="52"/>
  <c r="M27" i="45" s="1"/>
  <c r="S86" i="52"/>
  <c r="M27" i="43" s="1"/>
  <c r="AA86" i="52"/>
  <c r="M27" i="42" s="1"/>
  <c r="D86" i="52"/>
  <c r="N27" i="46" s="1"/>
  <c r="L86" i="52"/>
  <c r="N27" i="45" s="1"/>
  <c r="T86" i="52"/>
  <c r="N27" i="43" s="1"/>
  <c r="AB86" i="52"/>
  <c r="N27" i="42" s="1"/>
  <c r="E86" i="52"/>
  <c r="O27" i="46" s="1"/>
  <c r="M86" i="52"/>
  <c r="O27" i="45" s="1"/>
  <c r="U86" i="52"/>
  <c r="O27" i="43" s="1"/>
  <c r="AC86" i="52"/>
  <c r="O27" i="42" s="1"/>
  <c r="F86" i="52"/>
  <c r="P27" i="46" s="1"/>
  <c r="N86" i="52"/>
  <c r="P27" i="45" s="1"/>
  <c r="V86" i="52"/>
  <c r="P27" i="43" s="1"/>
  <c r="AD86" i="52"/>
  <c r="P27" i="42" s="1"/>
  <c r="G86" i="52"/>
  <c r="Q27" i="46" s="1"/>
  <c r="O86" i="52"/>
  <c r="Q27" i="45" s="1"/>
  <c r="W86" i="52"/>
  <c r="Q27" i="43" s="1"/>
  <c r="AE86" i="52"/>
  <c r="Q27" i="42" s="1"/>
  <c r="H86" i="52"/>
  <c r="R27" i="46" s="1"/>
  <c r="P86" i="52"/>
  <c r="R27" i="45" s="1"/>
  <c r="X86" i="52"/>
  <c r="R27" i="43" s="1"/>
  <c r="AF86" i="52"/>
  <c r="R27" i="42" s="1"/>
  <c r="I86" i="52"/>
  <c r="S27" i="46" s="1"/>
  <c r="Q86" i="52"/>
  <c r="S27" i="45" s="1"/>
  <c r="Y86" i="52"/>
  <c r="S27" i="43" s="1"/>
  <c r="AG86" i="52"/>
  <c r="S27" i="42" s="1"/>
  <c r="A87" i="52"/>
  <c r="B87" i="52"/>
  <c r="L28" i="46" s="1"/>
  <c r="J87" i="52"/>
  <c r="L28" i="45" s="1"/>
  <c r="R87" i="52"/>
  <c r="L28" i="43" s="1"/>
  <c r="Z87" i="52"/>
  <c r="L28" i="42" s="1"/>
  <c r="C87" i="52"/>
  <c r="M28" i="46" s="1"/>
  <c r="K87" i="52"/>
  <c r="M28" i="45" s="1"/>
  <c r="S87" i="52"/>
  <c r="M28" i="43" s="1"/>
  <c r="AA87" i="52"/>
  <c r="M28" i="42" s="1"/>
  <c r="D87" i="52"/>
  <c r="N28" i="46" s="1"/>
  <c r="L87" i="52"/>
  <c r="N28" i="45" s="1"/>
  <c r="T87" i="52"/>
  <c r="N28" i="43" s="1"/>
  <c r="AB87" i="52"/>
  <c r="N28" i="42" s="1"/>
  <c r="E87" i="52"/>
  <c r="O28" i="46" s="1"/>
  <c r="M87" i="52"/>
  <c r="O28" i="45" s="1"/>
  <c r="U87" i="52"/>
  <c r="O28" i="43" s="1"/>
  <c r="AC87" i="52"/>
  <c r="O28" i="42" s="1"/>
  <c r="F87" i="52"/>
  <c r="P28" i="46" s="1"/>
  <c r="N87" i="52"/>
  <c r="P28" i="45" s="1"/>
  <c r="V87" i="52"/>
  <c r="P28" i="43" s="1"/>
  <c r="AD87" i="52"/>
  <c r="P28" i="42" s="1"/>
  <c r="G87" i="52"/>
  <c r="Q28" i="46" s="1"/>
  <c r="O87" i="52"/>
  <c r="Q28" i="45" s="1"/>
  <c r="W87" i="52"/>
  <c r="Q28" i="43" s="1"/>
  <c r="AE87" i="52"/>
  <c r="Q28" i="42" s="1"/>
  <c r="H87" i="52"/>
  <c r="R28" i="46" s="1"/>
  <c r="P87" i="52"/>
  <c r="R28" i="45" s="1"/>
  <c r="X87" i="52"/>
  <c r="R28" i="43" s="1"/>
  <c r="AF87" i="52"/>
  <c r="R28" i="42" s="1"/>
  <c r="I87" i="52"/>
  <c r="S28" i="46" s="1"/>
  <c r="Q87" i="52"/>
  <c r="S28" i="45" s="1"/>
  <c r="Y87" i="52"/>
  <c r="S28" i="43" s="1"/>
  <c r="AG87" i="52"/>
  <c r="S28" i="42" s="1"/>
  <c r="A88" i="52"/>
  <c r="B88" i="52"/>
  <c r="L29" i="46" s="1"/>
  <c r="J88" i="52"/>
  <c r="L29" i="45" s="1"/>
  <c r="R88" i="52"/>
  <c r="L29" i="43" s="1"/>
  <c r="Z88" i="52"/>
  <c r="L29" i="42" s="1"/>
  <c r="C88" i="52"/>
  <c r="M29" i="46" s="1"/>
  <c r="K88" i="52"/>
  <c r="M29" i="45" s="1"/>
  <c r="S88" i="52"/>
  <c r="M29" i="43" s="1"/>
  <c r="AA88" i="52"/>
  <c r="M29" i="42" s="1"/>
  <c r="D88" i="52"/>
  <c r="N29" i="46" s="1"/>
  <c r="L88" i="52"/>
  <c r="N29" i="45" s="1"/>
  <c r="T88" i="52"/>
  <c r="N29" i="43" s="1"/>
  <c r="AB88" i="52"/>
  <c r="N29" i="42" s="1"/>
  <c r="E88" i="52"/>
  <c r="O29" i="46" s="1"/>
  <c r="M88" i="52"/>
  <c r="O29" i="45" s="1"/>
  <c r="U88" i="52"/>
  <c r="O29" i="43" s="1"/>
  <c r="AC88" i="52"/>
  <c r="O29" i="42" s="1"/>
  <c r="F88" i="52"/>
  <c r="P29" i="46" s="1"/>
  <c r="N88" i="52"/>
  <c r="P29" i="45" s="1"/>
  <c r="V88" i="52"/>
  <c r="P29" i="43" s="1"/>
  <c r="AD88" i="52"/>
  <c r="P29" i="42" s="1"/>
  <c r="G88" i="52"/>
  <c r="Q29" i="46" s="1"/>
  <c r="O88" i="52"/>
  <c r="Q29" i="45" s="1"/>
  <c r="W88" i="52"/>
  <c r="Q29" i="43" s="1"/>
  <c r="AE88" i="52"/>
  <c r="Q29" i="42" s="1"/>
  <c r="H88" i="52"/>
  <c r="R29" i="46" s="1"/>
  <c r="P88" i="52"/>
  <c r="R29" i="45" s="1"/>
  <c r="X88" i="52"/>
  <c r="R29" i="43" s="1"/>
  <c r="AF88" i="52"/>
  <c r="R29" i="42" s="1"/>
  <c r="I88" i="52"/>
  <c r="S29" i="46" s="1"/>
  <c r="Q88" i="52"/>
  <c r="S29" i="45" s="1"/>
  <c r="Y88" i="52"/>
  <c r="S29" i="43" s="1"/>
  <c r="AG88" i="52"/>
  <c r="S29" i="42" s="1"/>
  <c r="A89" i="52"/>
  <c r="B89" i="52"/>
  <c r="J89" i="52"/>
  <c r="R89" i="52"/>
  <c r="Z89" i="52"/>
  <c r="C89" i="52"/>
  <c r="K89" i="52"/>
  <c r="S89" i="52"/>
  <c r="AA89" i="52"/>
  <c r="D89" i="52"/>
  <c r="L89" i="52"/>
  <c r="T89" i="52"/>
  <c r="AB89" i="52"/>
  <c r="E89" i="52"/>
  <c r="M89" i="52"/>
  <c r="U89" i="52"/>
  <c r="AC89" i="52"/>
  <c r="F89" i="52"/>
  <c r="N89" i="52"/>
  <c r="V89" i="52"/>
  <c r="AD89" i="52"/>
  <c r="G89" i="52"/>
  <c r="O89" i="52"/>
  <c r="W89" i="52"/>
  <c r="AE89" i="52"/>
  <c r="H89" i="52"/>
  <c r="P89" i="52"/>
  <c r="X89" i="52"/>
  <c r="AF89" i="52"/>
  <c r="I89" i="52"/>
  <c r="Q89" i="52"/>
  <c r="Y89" i="52"/>
  <c r="AG89" i="52"/>
  <c r="A90" i="52"/>
  <c r="B90" i="52"/>
  <c r="J90" i="52"/>
  <c r="R90" i="52"/>
  <c r="Z90" i="52"/>
  <c r="C90" i="52"/>
  <c r="K90" i="52"/>
  <c r="S90" i="52"/>
  <c r="AA90" i="52"/>
  <c r="D90" i="52"/>
  <c r="L90" i="52"/>
  <c r="T90" i="52"/>
  <c r="AB90" i="52"/>
  <c r="E90" i="52"/>
  <c r="M90" i="52"/>
  <c r="U90" i="52"/>
  <c r="AC90" i="52"/>
  <c r="F90" i="52"/>
  <c r="N90" i="52"/>
  <c r="V90" i="52"/>
  <c r="AD90" i="52"/>
  <c r="G90" i="52"/>
  <c r="O90" i="52"/>
  <c r="W90" i="52"/>
  <c r="AE90" i="52"/>
  <c r="H90" i="52"/>
  <c r="P90" i="52"/>
  <c r="X90" i="52"/>
  <c r="AF90" i="52"/>
  <c r="I90" i="52"/>
  <c r="Q90" i="52"/>
  <c r="Y90" i="52"/>
  <c r="AG90" i="52"/>
  <c r="A91" i="52"/>
  <c r="B91" i="52"/>
  <c r="J91" i="52"/>
  <c r="R91" i="52"/>
  <c r="Z91" i="52"/>
  <c r="C91" i="52"/>
  <c r="K91" i="52"/>
  <c r="S91" i="52"/>
  <c r="AA91" i="52"/>
  <c r="D91" i="52"/>
  <c r="L91" i="52"/>
  <c r="T91" i="52"/>
  <c r="AB91" i="52"/>
  <c r="E91" i="52"/>
  <c r="M91" i="52"/>
  <c r="U91" i="52"/>
  <c r="AC91" i="52"/>
  <c r="F91" i="52"/>
  <c r="N91" i="52"/>
  <c r="V91" i="52"/>
  <c r="AD91" i="52"/>
  <c r="G91" i="52"/>
  <c r="O91" i="52"/>
  <c r="W91" i="52"/>
  <c r="AE91" i="52"/>
  <c r="H91" i="52"/>
  <c r="P91" i="52"/>
  <c r="X91" i="52"/>
  <c r="AF91" i="52"/>
  <c r="I91" i="52"/>
  <c r="Q91" i="52"/>
  <c r="Y91" i="52"/>
  <c r="AG91" i="52"/>
  <c r="A92" i="52"/>
  <c r="B92" i="52"/>
  <c r="J92" i="52"/>
  <c r="R92" i="52"/>
  <c r="Z92" i="52"/>
  <c r="C92" i="52"/>
  <c r="K92" i="52"/>
  <c r="S92" i="52"/>
  <c r="AA92" i="52"/>
  <c r="D92" i="52"/>
  <c r="L92" i="52"/>
  <c r="T92" i="52"/>
  <c r="AB92" i="52"/>
  <c r="E92" i="52"/>
  <c r="M92" i="52"/>
  <c r="U92" i="52"/>
  <c r="AC92" i="52"/>
  <c r="F92" i="52"/>
  <c r="N92" i="52"/>
  <c r="V92" i="52"/>
  <c r="AD92" i="52"/>
  <c r="G92" i="52"/>
  <c r="O92" i="52"/>
  <c r="W92" i="52"/>
  <c r="AE92" i="52"/>
  <c r="H92" i="52"/>
  <c r="P92" i="52"/>
  <c r="X92" i="52"/>
  <c r="AF92" i="52"/>
  <c r="I92" i="52"/>
  <c r="Q92" i="52"/>
  <c r="Y92" i="52"/>
  <c r="AG92" i="52"/>
  <c r="A4" i="52"/>
  <c r="J4" i="52"/>
  <c r="R4" i="52"/>
  <c r="Z4" i="52"/>
  <c r="B4" i="52"/>
  <c r="A5" i="51"/>
  <c r="B5" i="51"/>
  <c r="H5" i="51"/>
  <c r="C5" i="51"/>
  <c r="I5" i="51"/>
  <c r="D5" i="51"/>
  <c r="J5" i="51"/>
  <c r="E5" i="51"/>
  <c r="K5" i="51"/>
  <c r="F5" i="51"/>
  <c r="L5" i="51"/>
  <c r="G5" i="51"/>
  <c r="M5" i="51"/>
  <c r="A6" i="51"/>
  <c r="B6" i="51"/>
  <c r="H6" i="51"/>
  <c r="C6" i="51"/>
  <c r="I6" i="51"/>
  <c r="D6" i="51"/>
  <c r="J6" i="51"/>
  <c r="E6" i="51"/>
  <c r="K6" i="51"/>
  <c r="F6" i="51"/>
  <c r="L6" i="51"/>
  <c r="G6" i="51"/>
  <c r="M6" i="51"/>
  <c r="A7" i="51"/>
  <c r="B7" i="51"/>
  <c r="H7" i="51"/>
  <c r="C7" i="51"/>
  <c r="I7" i="51"/>
  <c r="D7" i="51"/>
  <c r="J7" i="51"/>
  <c r="E7" i="51"/>
  <c r="K7" i="51"/>
  <c r="F7" i="51"/>
  <c r="L7" i="51"/>
  <c r="G7" i="51"/>
  <c r="M7" i="51"/>
  <c r="A8" i="51"/>
  <c r="B8" i="51"/>
  <c r="H8" i="51"/>
  <c r="C8" i="51"/>
  <c r="I8" i="51"/>
  <c r="D8" i="51"/>
  <c r="J8" i="51"/>
  <c r="E8" i="51"/>
  <c r="K8" i="51"/>
  <c r="F8" i="51"/>
  <c r="L8" i="51"/>
  <c r="G8" i="51"/>
  <c r="M8" i="51"/>
  <c r="A9" i="51"/>
  <c r="B9" i="51"/>
  <c r="H9" i="51"/>
  <c r="C9" i="51"/>
  <c r="I9" i="51"/>
  <c r="D9" i="51"/>
  <c r="J9" i="51"/>
  <c r="E9" i="51"/>
  <c r="K9" i="51"/>
  <c r="F9" i="51"/>
  <c r="L9" i="51"/>
  <c r="G9" i="51"/>
  <c r="M9" i="51"/>
  <c r="A10" i="51"/>
  <c r="B10" i="51"/>
  <c r="H10" i="51"/>
  <c r="C10" i="51"/>
  <c r="I10" i="51"/>
  <c r="D10" i="51"/>
  <c r="J10" i="51"/>
  <c r="E10" i="51"/>
  <c r="K10" i="51"/>
  <c r="F10" i="51"/>
  <c r="L10" i="51"/>
  <c r="G10" i="51"/>
  <c r="M10" i="51"/>
  <c r="A11" i="51"/>
  <c r="B11" i="51"/>
  <c r="H11" i="51"/>
  <c r="C11" i="51"/>
  <c r="I11" i="51"/>
  <c r="D11" i="51"/>
  <c r="J11" i="51"/>
  <c r="E11" i="51"/>
  <c r="K11" i="51"/>
  <c r="F11" i="51"/>
  <c r="L11" i="51"/>
  <c r="G11" i="51"/>
  <c r="M11" i="51"/>
  <c r="A12" i="51"/>
  <c r="B12" i="51"/>
  <c r="H12" i="51"/>
  <c r="C12" i="51"/>
  <c r="I12" i="51"/>
  <c r="D12" i="51"/>
  <c r="J12" i="51"/>
  <c r="E12" i="51"/>
  <c r="K12" i="51"/>
  <c r="F12" i="51"/>
  <c r="L12" i="51"/>
  <c r="G12" i="51"/>
  <c r="M12" i="51"/>
  <c r="A13" i="51"/>
  <c r="B13" i="51"/>
  <c r="H13" i="51"/>
  <c r="C13" i="51"/>
  <c r="I13" i="51"/>
  <c r="D13" i="51"/>
  <c r="J13" i="51"/>
  <c r="E13" i="51"/>
  <c r="K13" i="51"/>
  <c r="F13" i="51"/>
  <c r="L13" i="51"/>
  <c r="G13" i="51"/>
  <c r="M13" i="51"/>
  <c r="A14" i="51"/>
  <c r="B14" i="51"/>
  <c r="H14" i="51"/>
  <c r="C14" i="51"/>
  <c r="I14" i="51"/>
  <c r="D14" i="51"/>
  <c r="J14" i="51"/>
  <c r="E14" i="51"/>
  <c r="K14" i="51"/>
  <c r="F14" i="51"/>
  <c r="L14" i="51"/>
  <c r="G14" i="51"/>
  <c r="M14" i="51"/>
  <c r="A15" i="51"/>
  <c r="B15" i="51"/>
  <c r="H15" i="51"/>
  <c r="C15" i="51"/>
  <c r="I15" i="51"/>
  <c r="D15" i="51"/>
  <c r="J15" i="51"/>
  <c r="E15" i="51"/>
  <c r="K15" i="51"/>
  <c r="F15" i="51"/>
  <c r="L15" i="51"/>
  <c r="G15" i="51"/>
  <c r="M15" i="51"/>
  <c r="A16" i="51"/>
  <c r="B16" i="51"/>
  <c r="H16" i="51"/>
  <c r="C16" i="51"/>
  <c r="I16" i="51"/>
  <c r="D16" i="51"/>
  <c r="J16" i="51"/>
  <c r="E16" i="51"/>
  <c r="K16" i="51"/>
  <c r="F16" i="51"/>
  <c r="L16" i="51"/>
  <c r="G16" i="51"/>
  <c r="M16" i="51"/>
  <c r="A17" i="51"/>
  <c r="B17" i="51"/>
  <c r="H17" i="51"/>
  <c r="C17" i="51"/>
  <c r="I17" i="51"/>
  <c r="D17" i="51"/>
  <c r="J17" i="51"/>
  <c r="E17" i="51"/>
  <c r="K17" i="51"/>
  <c r="F17" i="51"/>
  <c r="L17" i="51"/>
  <c r="G17" i="51"/>
  <c r="M17" i="51"/>
  <c r="A18" i="51"/>
  <c r="B18" i="51"/>
  <c r="H18" i="51"/>
  <c r="C18" i="51"/>
  <c r="I18" i="51"/>
  <c r="D18" i="51"/>
  <c r="J18" i="51"/>
  <c r="E18" i="51"/>
  <c r="K18" i="51"/>
  <c r="F18" i="51"/>
  <c r="L18" i="51"/>
  <c r="G18" i="51"/>
  <c r="M18" i="51"/>
  <c r="A19" i="51"/>
  <c r="B19" i="51"/>
  <c r="H19" i="51"/>
  <c r="C19" i="51"/>
  <c r="I19" i="51"/>
  <c r="D19" i="51"/>
  <c r="J19" i="51"/>
  <c r="E19" i="51"/>
  <c r="K19" i="51"/>
  <c r="F19" i="51"/>
  <c r="L19" i="51"/>
  <c r="G19" i="51"/>
  <c r="M19" i="51"/>
  <c r="A20" i="51"/>
  <c r="B20" i="51"/>
  <c r="H20" i="51"/>
  <c r="C20" i="51"/>
  <c r="I20" i="51"/>
  <c r="D20" i="51"/>
  <c r="J20" i="51"/>
  <c r="E20" i="51"/>
  <c r="K20" i="51"/>
  <c r="F20" i="51"/>
  <c r="L20" i="51"/>
  <c r="G20" i="51"/>
  <c r="M20" i="51"/>
  <c r="A21" i="51"/>
  <c r="B21" i="51"/>
  <c r="H21" i="51"/>
  <c r="C21" i="51"/>
  <c r="I21" i="51"/>
  <c r="D21" i="51"/>
  <c r="J21" i="51"/>
  <c r="E21" i="51"/>
  <c r="K21" i="51"/>
  <c r="F21" i="51"/>
  <c r="L21" i="51"/>
  <c r="G21" i="51"/>
  <c r="M21" i="51"/>
  <c r="A22" i="51"/>
  <c r="B22" i="51"/>
  <c r="H22" i="51"/>
  <c r="C22" i="51"/>
  <c r="I22" i="51"/>
  <c r="D22" i="51"/>
  <c r="J22" i="51"/>
  <c r="E22" i="51"/>
  <c r="K22" i="51"/>
  <c r="F22" i="51"/>
  <c r="L22" i="51"/>
  <c r="G22" i="51"/>
  <c r="M22" i="51"/>
  <c r="A23" i="51"/>
  <c r="B23" i="51"/>
  <c r="H23" i="51"/>
  <c r="C23" i="51"/>
  <c r="I23" i="51"/>
  <c r="D23" i="51"/>
  <c r="J23" i="51"/>
  <c r="E23" i="51"/>
  <c r="K23" i="51"/>
  <c r="F23" i="51"/>
  <c r="L23" i="51"/>
  <c r="G23" i="51"/>
  <c r="M23" i="51"/>
  <c r="A24" i="51"/>
  <c r="B24" i="51"/>
  <c r="H24" i="51"/>
  <c r="C24" i="51"/>
  <c r="I24" i="51"/>
  <c r="D24" i="51"/>
  <c r="J24" i="51"/>
  <c r="E24" i="51"/>
  <c r="K24" i="51"/>
  <c r="F24" i="51"/>
  <c r="L24" i="51"/>
  <c r="G24" i="51"/>
  <c r="M24" i="51"/>
  <c r="A25" i="51"/>
  <c r="B25" i="51"/>
  <c r="H25" i="51"/>
  <c r="C25" i="51"/>
  <c r="I25" i="51"/>
  <c r="D25" i="51"/>
  <c r="J25" i="51"/>
  <c r="E25" i="51"/>
  <c r="K25" i="51"/>
  <c r="F25" i="51"/>
  <c r="L25" i="51"/>
  <c r="G25" i="51"/>
  <c r="M25" i="51"/>
  <c r="A26" i="51"/>
  <c r="B26" i="51"/>
  <c r="H26" i="51"/>
  <c r="C26" i="51"/>
  <c r="I26" i="51"/>
  <c r="D26" i="51"/>
  <c r="J26" i="51"/>
  <c r="E26" i="51"/>
  <c r="K26" i="51"/>
  <c r="F26" i="51"/>
  <c r="L26" i="51"/>
  <c r="G26" i="51"/>
  <c r="M26" i="51"/>
  <c r="A27" i="51"/>
  <c r="B27" i="51"/>
  <c r="H27" i="51"/>
  <c r="C27" i="51"/>
  <c r="I27" i="51"/>
  <c r="D27" i="51"/>
  <c r="J27" i="51"/>
  <c r="E27" i="51"/>
  <c r="K27" i="51"/>
  <c r="F27" i="51"/>
  <c r="L27" i="51"/>
  <c r="G27" i="51"/>
  <c r="M27" i="51"/>
  <c r="A28" i="51"/>
  <c r="B28" i="51"/>
  <c r="H28" i="51"/>
  <c r="C28" i="51"/>
  <c r="I28" i="51"/>
  <c r="D28" i="51"/>
  <c r="J28" i="51"/>
  <c r="E28" i="51"/>
  <c r="K28" i="51"/>
  <c r="F28" i="51"/>
  <c r="L28" i="51"/>
  <c r="G28" i="51"/>
  <c r="M28" i="51"/>
  <c r="A29" i="51"/>
  <c r="B29" i="51"/>
  <c r="H29" i="51"/>
  <c r="C29" i="51"/>
  <c r="I29" i="51"/>
  <c r="D29" i="51"/>
  <c r="J29" i="51"/>
  <c r="E29" i="51"/>
  <c r="K29" i="51"/>
  <c r="F29" i="51"/>
  <c r="L29" i="51"/>
  <c r="G29" i="51"/>
  <c r="M29" i="51"/>
  <c r="A30" i="51"/>
  <c r="B30" i="51"/>
  <c r="H30" i="51"/>
  <c r="C30" i="51"/>
  <c r="I30" i="51"/>
  <c r="D30" i="51"/>
  <c r="J30" i="51"/>
  <c r="E30" i="51"/>
  <c r="K30" i="51"/>
  <c r="F30" i="51"/>
  <c r="L30" i="51"/>
  <c r="G30" i="51"/>
  <c r="M30" i="51"/>
  <c r="A31" i="51"/>
  <c r="B31" i="51"/>
  <c r="H31" i="51"/>
  <c r="C31" i="51"/>
  <c r="I31" i="51"/>
  <c r="D31" i="51"/>
  <c r="J31" i="51"/>
  <c r="E31" i="51"/>
  <c r="K31" i="51"/>
  <c r="F31" i="51"/>
  <c r="L31" i="51"/>
  <c r="G31" i="51"/>
  <c r="M31" i="51"/>
  <c r="A32" i="51"/>
  <c r="B32" i="51"/>
  <c r="H32" i="51"/>
  <c r="C32" i="51"/>
  <c r="I32" i="51"/>
  <c r="D32" i="51"/>
  <c r="J32" i="51"/>
  <c r="E32" i="51"/>
  <c r="K32" i="51"/>
  <c r="F32" i="51"/>
  <c r="L32" i="51"/>
  <c r="G32" i="51"/>
  <c r="M32" i="51"/>
  <c r="A33" i="51"/>
  <c r="B2" i="47"/>
  <c r="B2" i="48"/>
  <c r="B2" i="49"/>
  <c r="B2" i="50"/>
  <c r="C2" i="47"/>
  <c r="C2" i="48"/>
  <c r="C2" i="49"/>
  <c r="C2" i="50"/>
  <c r="D2" i="47"/>
  <c r="D2" i="48"/>
  <c r="D2" i="49"/>
  <c r="D2" i="50"/>
  <c r="E2" i="47"/>
  <c r="E2" i="48"/>
  <c r="E2" i="49"/>
  <c r="E2" i="50"/>
  <c r="F2" i="47"/>
  <c r="F2" i="48"/>
  <c r="F2" i="49"/>
  <c r="F2" i="50"/>
  <c r="G2" i="47"/>
  <c r="G2" i="48"/>
  <c r="G2" i="49"/>
  <c r="G2" i="50"/>
  <c r="H2" i="47"/>
  <c r="H2" i="48"/>
  <c r="H2" i="49"/>
  <c r="H2" i="50"/>
  <c r="I2" i="47"/>
  <c r="A34" i="51"/>
  <c r="B3" i="47"/>
  <c r="B3" i="48"/>
  <c r="B3" i="49"/>
  <c r="B3" i="50"/>
  <c r="C3" i="47"/>
  <c r="C3" i="48"/>
  <c r="C3" i="49"/>
  <c r="C3" i="50"/>
  <c r="D3" i="47"/>
  <c r="D3" i="48"/>
  <c r="D3" i="49"/>
  <c r="D3" i="50"/>
  <c r="E3" i="47"/>
  <c r="E3" i="48"/>
  <c r="E3" i="49"/>
  <c r="E3" i="50"/>
  <c r="F3" i="47"/>
  <c r="F3" i="48"/>
  <c r="F3" i="49"/>
  <c r="F3" i="50"/>
  <c r="G3" i="47"/>
  <c r="G3" i="48"/>
  <c r="G3" i="49"/>
  <c r="G3" i="50"/>
  <c r="H3" i="47"/>
  <c r="H3" i="48"/>
  <c r="H3" i="49"/>
  <c r="H3" i="50"/>
  <c r="I3" i="47"/>
  <c r="A35" i="51"/>
  <c r="B4" i="47"/>
  <c r="B4" i="48"/>
  <c r="B4" i="49"/>
  <c r="B4" i="50"/>
  <c r="C4" i="47"/>
  <c r="C4" i="48"/>
  <c r="C4" i="49"/>
  <c r="C4" i="50"/>
  <c r="D4" i="47"/>
  <c r="D4" i="48"/>
  <c r="D4" i="49"/>
  <c r="D4" i="50"/>
  <c r="E4" i="47"/>
  <c r="E4" i="48"/>
  <c r="E4" i="49"/>
  <c r="E4" i="50"/>
  <c r="F4" i="47"/>
  <c r="F4" i="48"/>
  <c r="F4" i="49"/>
  <c r="F4" i="50"/>
  <c r="G4" i="47"/>
  <c r="G4" i="48"/>
  <c r="G4" i="49"/>
  <c r="G4" i="50"/>
  <c r="H4" i="47"/>
  <c r="H4" i="48"/>
  <c r="H4" i="49"/>
  <c r="H4" i="50"/>
  <c r="I4" i="47"/>
  <c r="A36" i="51"/>
  <c r="B5" i="47"/>
  <c r="B5" i="48"/>
  <c r="B5" i="49"/>
  <c r="B5" i="50"/>
  <c r="C5" i="47"/>
  <c r="C5" i="48"/>
  <c r="C5" i="49"/>
  <c r="C5" i="50"/>
  <c r="D5" i="47"/>
  <c r="D5" i="48"/>
  <c r="D5" i="49"/>
  <c r="D5" i="50"/>
  <c r="E5" i="47"/>
  <c r="E5" i="48"/>
  <c r="E5" i="49"/>
  <c r="E5" i="50"/>
  <c r="F5" i="47"/>
  <c r="F5" i="48"/>
  <c r="F5" i="49"/>
  <c r="F5" i="50"/>
  <c r="G5" i="47"/>
  <c r="G5" i="48"/>
  <c r="G5" i="49"/>
  <c r="G5" i="50"/>
  <c r="H5" i="47"/>
  <c r="H5" i="48"/>
  <c r="H5" i="49"/>
  <c r="H5" i="50"/>
  <c r="I5" i="47"/>
  <c r="A37" i="51"/>
  <c r="B6" i="47"/>
  <c r="B6" i="48"/>
  <c r="B6" i="49"/>
  <c r="B6" i="50"/>
  <c r="C6" i="47"/>
  <c r="C6" i="48"/>
  <c r="C6" i="49"/>
  <c r="C6" i="50"/>
  <c r="D6" i="47"/>
  <c r="D6" i="48"/>
  <c r="D6" i="49"/>
  <c r="D6" i="50"/>
  <c r="E6" i="47"/>
  <c r="E6" i="48"/>
  <c r="E6" i="49"/>
  <c r="E6" i="50"/>
  <c r="F6" i="47"/>
  <c r="F6" i="48"/>
  <c r="F6" i="49"/>
  <c r="F6" i="50"/>
  <c r="G6" i="47"/>
  <c r="G6" i="48"/>
  <c r="G6" i="49"/>
  <c r="G6" i="50"/>
  <c r="H6" i="47"/>
  <c r="H6" i="48"/>
  <c r="H6" i="49"/>
  <c r="H6" i="50"/>
  <c r="I6" i="47"/>
  <c r="A38" i="51"/>
  <c r="B7" i="47"/>
  <c r="B7" i="48"/>
  <c r="B7" i="49"/>
  <c r="B7" i="50"/>
  <c r="C7" i="47"/>
  <c r="C7" i="48"/>
  <c r="C7" i="49"/>
  <c r="C7" i="50"/>
  <c r="D7" i="47"/>
  <c r="D7" i="48"/>
  <c r="D7" i="49"/>
  <c r="D7" i="50"/>
  <c r="E7" i="47"/>
  <c r="E7" i="48"/>
  <c r="E7" i="49"/>
  <c r="E7" i="50"/>
  <c r="F7" i="47"/>
  <c r="F7" i="48"/>
  <c r="F7" i="49"/>
  <c r="F7" i="50"/>
  <c r="G7" i="47"/>
  <c r="G7" i="48"/>
  <c r="G7" i="49"/>
  <c r="G7" i="50"/>
  <c r="H7" i="47"/>
  <c r="H7" i="48"/>
  <c r="H7" i="49"/>
  <c r="H7" i="50"/>
  <c r="I7" i="47"/>
  <c r="A39" i="51"/>
  <c r="B8" i="47"/>
  <c r="B8" i="48"/>
  <c r="B8" i="49"/>
  <c r="B8" i="50"/>
  <c r="C8" i="47"/>
  <c r="C8" i="48"/>
  <c r="C8" i="49"/>
  <c r="C8" i="50"/>
  <c r="D8" i="47"/>
  <c r="D8" i="48"/>
  <c r="D8" i="49"/>
  <c r="D8" i="50"/>
  <c r="E8" i="47"/>
  <c r="E8" i="48"/>
  <c r="E8" i="49"/>
  <c r="E8" i="50"/>
  <c r="F8" i="47"/>
  <c r="F8" i="48"/>
  <c r="F8" i="49"/>
  <c r="F8" i="50"/>
  <c r="G8" i="47"/>
  <c r="G8" i="48"/>
  <c r="G8" i="49"/>
  <c r="G8" i="50"/>
  <c r="H8" i="47"/>
  <c r="H8" i="48"/>
  <c r="H8" i="49"/>
  <c r="H8" i="50"/>
  <c r="I8" i="47"/>
  <c r="A40" i="51"/>
  <c r="B9" i="47"/>
  <c r="B9" i="48"/>
  <c r="B9" i="49"/>
  <c r="B9" i="50"/>
  <c r="C9" i="47"/>
  <c r="C9" i="48"/>
  <c r="C9" i="49"/>
  <c r="C9" i="50"/>
  <c r="D9" i="47"/>
  <c r="D9" i="48"/>
  <c r="D9" i="49"/>
  <c r="D9" i="50"/>
  <c r="E9" i="47"/>
  <c r="E9" i="48"/>
  <c r="E9" i="49"/>
  <c r="E9" i="50"/>
  <c r="F9" i="47"/>
  <c r="F9" i="48"/>
  <c r="F9" i="49"/>
  <c r="F9" i="50"/>
  <c r="G9" i="47"/>
  <c r="G9" i="48"/>
  <c r="G9" i="49"/>
  <c r="G9" i="50"/>
  <c r="H9" i="47"/>
  <c r="H9" i="48"/>
  <c r="H9" i="49"/>
  <c r="H9" i="50"/>
  <c r="I9" i="47"/>
  <c r="A41" i="51"/>
  <c r="B10" i="47"/>
  <c r="B10" i="48"/>
  <c r="B10" i="49"/>
  <c r="B10" i="50"/>
  <c r="C10" i="47"/>
  <c r="C10" i="48"/>
  <c r="C10" i="49"/>
  <c r="C10" i="50"/>
  <c r="D10" i="47"/>
  <c r="D10" i="48"/>
  <c r="D10" i="49"/>
  <c r="D10" i="50"/>
  <c r="E10" i="47"/>
  <c r="E10" i="48"/>
  <c r="E10" i="49"/>
  <c r="E10" i="50"/>
  <c r="F10" i="47"/>
  <c r="F10" i="48"/>
  <c r="F10" i="49"/>
  <c r="F10" i="50"/>
  <c r="G10" i="47"/>
  <c r="G10" i="48"/>
  <c r="G10" i="49"/>
  <c r="G10" i="50"/>
  <c r="H10" i="47"/>
  <c r="H10" i="48"/>
  <c r="H10" i="49"/>
  <c r="H10" i="50"/>
  <c r="I10" i="47"/>
  <c r="A42" i="51"/>
  <c r="B11" i="47"/>
  <c r="B11" i="48"/>
  <c r="B11" i="49"/>
  <c r="B11" i="50"/>
  <c r="C11" i="47"/>
  <c r="C11" i="48"/>
  <c r="C11" i="49"/>
  <c r="C11" i="50"/>
  <c r="D11" i="47"/>
  <c r="D11" i="48"/>
  <c r="D11" i="49"/>
  <c r="D11" i="50"/>
  <c r="E11" i="47"/>
  <c r="E11" i="48"/>
  <c r="E11" i="49"/>
  <c r="E11" i="50"/>
  <c r="F11" i="47"/>
  <c r="F11" i="48"/>
  <c r="F11" i="49"/>
  <c r="F11" i="50"/>
  <c r="G11" i="47"/>
  <c r="G11" i="48"/>
  <c r="G11" i="49"/>
  <c r="G11" i="50"/>
  <c r="H11" i="47"/>
  <c r="H11" i="48"/>
  <c r="H11" i="49"/>
  <c r="H11" i="50"/>
  <c r="I11" i="47"/>
  <c r="A43" i="51"/>
  <c r="B12" i="47"/>
  <c r="B12" i="48"/>
  <c r="B12" i="49"/>
  <c r="B12" i="50"/>
  <c r="C12" i="47"/>
  <c r="C12" i="48"/>
  <c r="C12" i="49"/>
  <c r="C12" i="50"/>
  <c r="D12" i="47"/>
  <c r="D12" i="48"/>
  <c r="D12" i="49"/>
  <c r="D12" i="50"/>
  <c r="E12" i="47"/>
  <c r="E12" i="48"/>
  <c r="E12" i="49"/>
  <c r="E12" i="50"/>
  <c r="F12" i="47"/>
  <c r="F12" i="48"/>
  <c r="F12" i="49"/>
  <c r="F12" i="50"/>
  <c r="G12" i="47"/>
  <c r="G12" i="48"/>
  <c r="G12" i="49"/>
  <c r="G12" i="50"/>
  <c r="H12" i="47"/>
  <c r="H12" i="48"/>
  <c r="H12" i="49"/>
  <c r="H12" i="50"/>
  <c r="I12" i="47"/>
  <c r="A44" i="51"/>
  <c r="B13" i="47"/>
  <c r="B13" i="48"/>
  <c r="B13" i="49"/>
  <c r="B13" i="50"/>
  <c r="C13" i="47"/>
  <c r="C13" i="48"/>
  <c r="C13" i="49"/>
  <c r="C13" i="50"/>
  <c r="D13" i="47"/>
  <c r="D13" i="48"/>
  <c r="D13" i="49"/>
  <c r="D13" i="50"/>
  <c r="E13" i="47"/>
  <c r="E13" i="48"/>
  <c r="E13" i="49"/>
  <c r="E13" i="50"/>
  <c r="F13" i="47"/>
  <c r="F13" i="48"/>
  <c r="F13" i="49"/>
  <c r="F13" i="50"/>
  <c r="G13" i="47"/>
  <c r="G13" i="48"/>
  <c r="G13" i="49"/>
  <c r="G13" i="50"/>
  <c r="H13" i="47"/>
  <c r="H13" i="48"/>
  <c r="H13" i="49"/>
  <c r="H13" i="50"/>
  <c r="I13" i="47"/>
  <c r="A45" i="51"/>
  <c r="B14" i="47"/>
  <c r="B14" i="48"/>
  <c r="B14" i="49"/>
  <c r="B14" i="50"/>
  <c r="C14" i="47"/>
  <c r="C14" i="48"/>
  <c r="C14" i="49"/>
  <c r="C14" i="50"/>
  <c r="D14" i="47"/>
  <c r="D14" i="48"/>
  <c r="D14" i="49"/>
  <c r="D14" i="50"/>
  <c r="E14" i="47"/>
  <c r="E14" i="48"/>
  <c r="E14" i="49"/>
  <c r="E14" i="50"/>
  <c r="F14" i="47"/>
  <c r="F14" i="48"/>
  <c r="F14" i="49"/>
  <c r="F14" i="50"/>
  <c r="G14" i="47"/>
  <c r="G14" i="48"/>
  <c r="G14" i="49"/>
  <c r="G14" i="50"/>
  <c r="H14" i="47"/>
  <c r="H14" i="48"/>
  <c r="H14" i="49"/>
  <c r="H14" i="50"/>
  <c r="I14" i="47"/>
  <c r="A46" i="51"/>
  <c r="B15" i="47"/>
  <c r="B15" i="48"/>
  <c r="B15" i="49"/>
  <c r="B15" i="50"/>
  <c r="C15" i="47"/>
  <c r="C15" i="48"/>
  <c r="C15" i="49"/>
  <c r="C15" i="50"/>
  <c r="D15" i="47"/>
  <c r="D15" i="48"/>
  <c r="D15" i="49"/>
  <c r="D15" i="50"/>
  <c r="E15" i="47"/>
  <c r="E15" i="48"/>
  <c r="E15" i="49"/>
  <c r="E15" i="50"/>
  <c r="F15" i="47"/>
  <c r="F15" i="48"/>
  <c r="F15" i="49"/>
  <c r="F15" i="50"/>
  <c r="G15" i="47"/>
  <c r="G15" i="48"/>
  <c r="G15" i="49"/>
  <c r="G15" i="50"/>
  <c r="H15" i="47"/>
  <c r="H15" i="48"/>
  <c r="H15" i="49"/>
  <c r="H15" i="50"/>
  <c r="I15" i="47"/>
  <c r="A47" i="51"/>
  <c r="B16" i="47"/>
  <c r="B16" i="48"/>
  <c r="B16" i="49"/>
  <c r="B16" i="50"/>
  <c r="C16" i="47"/>
  <c r="C16" i="48"/>
  <c r="C16" i="49"/>
  <c r="C16" i="50"/>
  <c r="D16" i="47"/>
  <c r="D16" i="48"/>
  <c r="D16" i="49"/>
  <c r="D16" i="50"/>
  <c r="E16" i="47"/>
  <c r="E16" i="48"/>
  <c r="E16" i="49"/>
  <c r="E16" i="50"/>
  <c r="F16" i="47"/>
  <c r="F16" i="48"/>
  <c r="F16" i="49"/>
  <c r="F16" i="50"/>
  <c r="G16" i="47"/>
  <c r="G16" i="48"/>
  <c r="G16" i="49"/>
  <c r="G16" i="50"/>
  <c r="H16" i="47"/>
  <c r="H16" i="48"/>
  <c r="H16" i="49"/>
  <c r="H16" i="50"/>
  <c r="I16" i="47"/>
  <c r="A48" i="51"/>
  <c r="B17" i="47"/>
  <c r="B17" i="48"/>
  <c r="B17" i="49"/>
  <c r="B17" i="50"/>
  <c r="C17" i="47"/>
  <c r="C17" i="48"/>
  <c r="C17" i="49"/>
  <c r="C17" i="50"/>
  <c r="D17" i="47"/>
  <c r="D17" i="48"/>
  <c r="D17" i="49"/>
  <c r="D17" i="50"/>
  <c r="E17" i="47"/>
  <c r="E17" i="48"/>
  <c r="E17" i="49"/>
  <c r="E17" i="50"/>
  <c r="F17" i="47"/>
  <c r="F17" i="48"/>
  <c r="F17" i="49"/>
  <c r="F17" i="50"/>
  <c r="G17" i="47"/>
  <c r="G17" i="48"/>
  <c r="G17" i="49"/>
  <c r="G17" i="50"/>
  <c r="H17" i="47"/>
  <c r="H17" i="48"/>
  <c r="H17" i="49"/>
  <c r="H17" i="50"/>
  <c r="I17" i="47"/>
  <c r="A49" i="51"/>
  <c r="B18" i="47"/>
  <c r="B18" i="48"/>
  <c r="B18" i="49"/>
  <c r="B18" i="50"/>
  <c r="C18" i="47"/>
  <c r="C18" i="48"/>
  <c r="C18" i="49"/>
  <c r="C18" i="50"/>
  <c r="D18" i="47"/>
  <c r="D18" i="48"/>
  <c r="D18" i="49"/>
  <c r="D18" i="50"/>
  <c r="E18" i="47"/>
  <c r="E18" i="48"/>
  <c r="E18" i="49"/>
  <c r="E18" i="50"/>
  <c r="F18" i="47"/>
  <c r="F18" i="48"/>
  <c r="F18" i="49"/>
  <c r="F18" i="50"/>
  <c r="G18" i="47"/>
  <c r="G18" i="48"/>
  <c r="G18" i="49"/>
  <c r="G18" i="50"/>
  <c r="H18" i="47"/>
  <c r="H18" i="48"/>
  <c r="H18" i="49"/>
  <c r="H18" i="50"/>
  <c r="I18" i="47"/>
  <c r="A50" i="51"/>
  <c r="B19" i="47"/>
  <c r="B19" i="48"/>
  <c r="B19" i="49"/>
  <c r="B19" i="50"/>
  <c r="C19" i="47"/>
  <c r="C19" i="48"/>
  <c r="C19" i="49"/>
  <c r="C19" i="50"/>
  <c r="D19" i="47"/>
  <c r="D19" i="48"/>
  <c r="D19" i="49"/>
  <c r="D19" i="50"/>
  <c r="E19" i="47"/>
  <c r="E19" i="48"/>
  <c r="E19" i="49"/>
  <c r="E19" i="50"/>
  <c r="F19" i="47"/>
  <c r="F19" i="48"/>
  <c r="F19" i="49"/>
  <c r="F19" i="50"/>
  <c r="G19" i="47"/>
  <c r="G19" i="48"/>
  <c r="G19" i="49"/>
  <c r="G19" i="50"/>
  <c r="H19" i="47"/>
  <c r="H19" i="48"/>
  <c r="H19" i="49"/>
  <c r="H19" i="50"/>
  <c r="I19" i="47"/>
  <c r="A51" i="51"/>
  <c r="B20" i="47"/>
  <c r="B20" i="48"/>
  <c r="B20" i="49"/>
  <c r="B20" i="50"/>
  <c r="C20" i="47"/>
  <c r="C20" i="48"/>
  <c r="C20" i="49"/>
  <c r="C20" i="50"/>
  <c r="D20" i="47"/>
  <c r="D20" i="48"/>
  <c r="D20" i="49"/>
  <c r="D20" i="50"/>
  <c r="E20" i="47"/>
  <c r="E20" i="48"/>
  <c r="E20" i="49"/>
  <c r="E20" i="50"/>
  <c r="F20" i="47"/>
  <c r="F20" i="48"/>
  <c r="F20" i="49"/>
  <c r="F20" i="50"/>
  <c r="G20" i="47"/>
  <c r="G20" i="48"/>
  <c r="G20" i="49"/>
  <c r="G20" i="50"/>
  <c r="H20" i="47"/>
  <c r="H20" i="48"/>
  <c r="H20" i="49"/>
  <c r="H20" i="50"/>
  <c r="I20" i="47"/>
  <c r="A52" i="51"/>
  <c r="B21" i="47"/>
  <c r="B21" i="48"/>
  <c r="B21" i="49"/>
  <c r="B21" i="50"/>
  <c r="C21" i="47"/>
  <c r="C21" i="48"/>
  <c r="C21" i="49"/>
  <c r="C21" i="50"/>
  <c r="D21" i="47"/>
  <c r="D21" i="48"/>
  <c r="D21" i="49"/>
  <c r="D21" i="50"/>
  <c r="E21" i="47"/>
  <c r="E21" i="48"/>
  <c r="E21" i="49"/>
  <c r="E21" i="50"/>
  <c r="F21" i="47"/>
  <c r="F21" i="48"/>
  <c r="F21" i="49"/>
  <c r="F21" i="50"/>
  <c r="G21" i="47"/>
  <c r="G21" i="48"/>
  <c r="G21" i="49"/>
  <c r="G21" i="50"/>
  <c r="H21" i="47"/>
  <c r="H21" i="48"/>
  <c r="H21" i="49"/>
  <c r="H21" i="50"/>
  <c r="I21" i="47"/>
  <c r="A53" i="51"/>
  <c r="B22" i="47"/>
  <c r="B22" i="48"/>
  <c r="B22" i="49"/>
  <c r="B22" i="50"/>
  <c r="C22" i="47"/>
  <c r="C22" i="48"/>
  <c r="C22" i="49"/>
  <c r="C22" i="50"/>
  <c r="D22" i="47"/>
  <c r="D22" i="48"/>
  <c r="D22" i="49"/>
  <c r="D22" i="50"/>
  <c r="E22" i="47"/>
  <c r="E22" i="48"/>
  <c r="E22" i="49"/>
  <c r="E22" i="50"/>
  <c r="F22" i="47"/>
  <c r="F22" i="48"/>
  <c r="F22" i="49"/>
  <c r="F22" i="50"/>
  <c r="G22" i="47"/>
  <c r="G22" i="48"/>
  <c r="G22" i="49"/>
  <c r="G22" i="50"/>
  <c r="H22" i="47"/>
  <c r="H22" i="48"/>
  <c r="H22" i="49"/>
  <c r="H22" i="50"/>
  <c r="I22" i="47"/>
  <c r="A54" i="51"/>
  <c r="B23" i="47"/>
  <c r="B23" i="48"/>
  <c r="B23" i="49"/>
  <c r="B23" i="50"/>
  <c r="C23" i="47"/>
  <c r="C23" i="48"/>
  <c r="C23" i="49"/>
  <c r="C23" i="50"/>
  <c r="D23" i="47"/>
  <c r="D23" i="48"/>
  <c r="D23" i="49"/>
  <c r="D23" i="50"/>
  <c r="E23" i="47"/>
  <c r="E23" i="48"/>
  <c r="E23" i="49"/>
  <c r="E23" i="50"/>
  <c r="F23" i="47"/>
  <c r="F23" i="48"/>
  <c r="F23" i="49"/>
  <c r="F23" i="50"/>
  <c r="G23" i="47"/>
  <c r="G23" i="48"/>
  <c r="G23" i="49"/>
  <c r="G23" i="50"/>
  <c r="H23" i="47"/>
  <c r="H23" i="48"/>
  <c r="H23" i="49"/>
  <c r="H23" i="50"/>
  <c r="I23" i="47"/>
  <c r="A55" i="51"/>
  <c r="B24" i="47"/>
  <c r="B24" i="48"/>
  <c r="B24" i="49"/>
  <c r="B24" i="50"/>
  <c r="C24" i="47"/>
  <c r="C24" i="48"/>
  <c r="C24" i="49"/>
  <c r="C24" i="50"/>
  <c r="D24" i="47"/>
  <c r="D24" i="48"/>
  <c r="D24" i="49"/>
  <c r="D24" i="50"/>
  <c r="E24" i="47"/>
  <c r="E24" i="48"/>
  <c r="E24" i="49"/>
  <c r="E24" i="50"/>
  <c r="F24" i="47"/>
  <c r="F24" i="48"/>
  <c r="F24" i="49"/>
  <c r="F24" i="50"/>
  <c r="G24" i="47"/>
  <c r="G24" i="48"/>
  <c r="G24" i="49"/>
  <c r="G24" i="50"/>
  <c r="H24" i="47"/>
  <c r="H24" i="48"/>
  <c r="H24" i="49"/>
  <c r="H24" i="50"/>
  <c r="I24" i="47"/>
  <c r="A56" i="51"/>
  <c r="B25" i="47"/>
  <c r="B25" i="48"/>
  <c r="B25" i="49"/>
  <c r="B25" i="50"/>
  <c r="C25" i="47"/>
  <c r="C25" i="48"/>
  <c r="C25" i="49"/>
  <c r="C25" i="50"/>
  <c r="D25" i="47"/>
  <c r="D25" i="48"/>
  <c r="D25" i="49"/>
  <c r="D25" i="50"/>
  <c r="E25" i="47"/>
  <c r="E25" i="48"/>
  <c r="E25" i="49"/>
  <c r="E25" i="50"/>
  <c r="F25" i="47"/>
  <c r="F25" i="48"/>
  <c r="F25" i="49"/>
  <c r="F25" i="50"/>
  <c r="G25" i="47"/>
  <c r="G25" i="48"/>
  <c r="G25" i="49"/>
  <c r="G25" i="50"/>
  <c r="H25" i="47"/>
  <c r="H25" i="48"/>
  <c r="H25" i="49"/>
  <c r="H25" i="50"/>
  <c r="I25" i="47"/>
  <c r="A57" i="51"/>
  <c r="B26" i="47"/>
  <c r="B26" i="48"/>
  <c r="B26" i="49"/>
  <c r="B26" i="50"/>
  <c r="C26" i="47"/>
  <c r="C26" i="48"/>
  <c r="C26" i="49"/>
  <c r="C26" i="50"/>
  <c r="D26" i="47"/>
  <c r="D26" i="48"/>
  <c r="D26" i="49"/>
  <c r="D26" i="50"/>
  <c r="E26" i="47"/>
  <c r="E26" i="48"/>
  <c r="E26" i="49"/>
  <c r="E26" i="50"/>
  <c r="F26" i="47"/>
  <c r="F26" i="48"/>
  <c r="F26" i="49"/>
  <c r="F26" i="50"/>
  <c r="G26" i="47"/>
  <c r="G26" i="48"/>
  <c r="G26" i="49"/>
  <c r="G26" i="50"/>
  <c r="H26" i="47"/>
  <c r="H26" i="48"/>
  <c r="H26" i="49"/>
  <c r="H26" i="50"/>
  <c r="I26" i="47"/>
  <c r="A58" i="51"/>
  <c r="B27" i="47"/>
  <c r="B27" i="48"/>
  <c r="B27" i="49"/>
  <c r="B27" i="50"/>
  <c r="C27" i="47"/>
  <c r="C27" i="48"/>
  <c r="C27" i="49"/>
  <c r="C27" i="50"/>
  <c r="D27" i="47"/>
  <c r="D27" i="48"/>
  <c r="D27" i="49"/>
  <c r="D27" i="50"/>
  <c r="E27" i="47"/>
  <c r="E27" i="48"/>
  <c r="E27" i="49"/>
  <c r="E27" i="50"/>
  <c r="F27" i="47"/>
  <c r="F27" i="48"/>
  <c r="F27" i="49"/>
  <c r="F27" i="50"/>
  <c r="G27" i="47"/>
  <c r="G27" i="48"/>
  <c r="G27" i="49"/>
  <c r="G27" i="50"/>
  <c r="H27" i="47"/>
  <c r="H27" i="48"/>
  <c r="H27" i="49"/>
  <c r="H27" i="50"/>
  <c r="I27" i="47"/>
  <c r="A59" i="51"/>
  <c r="B28" i="47"/>
  <c r="B28" i="48"/>
  <c r="B28" i="49"/>
  <c r="B28" i="50"/>
  <c r="C28" i="47"/>
  <c r="C28" i="48"/>
  <c r="C28" i="49"/>
  <c r="C28" i="50"/>
  <c r="D28" i="47"/>
  <c r="D28" i="48"/>
  <c r="D28" i="49"/>
  <c r="D28" i="50"/>
  <c r="E28" i="47"/>
  <c r="E28" i="48"/>
  <c r="E28" i="49"/>
  <c r="E28" i="50"/>
  <c r="F28" i="47"/>
  <c r="F28" i="48"/>
  <c r="F28" i="49"/>
  <c r="F28" i="50"/>
  <c r="G28" i="47"/>
  <c r="G28" i="48"/>
  <c r="G28" i="49"/>
  <c r="G28" i="50"/>
  <c r="H28" i="47"/>
  <c r="H28" i="48"/>
  <c r="H28" i="49"/>
  <c r="H28" i="50"/>
  <c r="I28" i="47"/>
  <c r="A60" i="51"/>
  <c r="B29" i="47"/>
  <c r="B29" i="48"/>
  <c r="B29" i="49"/>
  <c r="B29" i="50"/>
  <c r="C29" i="47"/>
  <c r="C29" i="48"/>
  <c r="C29" i="49"/>
  <c r="C29" i="50"/>
  <c r="D29" i="47"/>
  <c r="D29" i="48"/>
  <c r="D29" i="49"/>
  <c r="D29" i="50"/>
  <c r="E29" i="47"/>
  <c r="E29" i="48"/>
  <c r="E29" i="49"/>
  <c r="E29" i="50"/>
  <c r="F29" i="47"/>
  <c r="F29" i="48"/>
  <c r="F29" i="49"/>
  <c r="F29" i="50"/>
  <c r="G29" i="47"/>
  <c r="G29" i="48"/>
  <c r="G29" i="49"/>
  <c r="G29" i="50"/>
  <c r="H29" i="47"/>
  <c r="H29" i="48"/>
  <c r="H29" i="49"/>
  <c r="H29" i="50"/>
  <c r="I29" i="47"/>
  <c r="A61" i="51"/>
  <c r="L2" i="47"/>
  <c r="L2" i="48"/>
  <c r="L2" i="49"/>
  <c r="L2" i="50"/>
  <c r="M2" i="47"/>
  <c r="M2" i="48"/>
  <c r="M2" i="49"/>
  <c r="M2" i="50"/>
  <c r="N2" i="47"/>
  <c r="N2" i="48"/>
  <c r="N2" i="49"/>
  <c r="N2" i="50"/>
  <c r="O2" i="47"/>
  <c r="O2" i="48"/>
  <c r="O2" i="49"/>
  <c r="O2" i="50"/>
  <c r="P2" i="47"/>
  <c r="P2" i="48"/>
  <c r="P2" i="49"/>
  <c r="P2" i="50"/>
  <c r="Q2" i="47"/>
  <c r="Q2" i="48"/>
  <c r="Q2" i="49"/>
  <c r="Q2" i="50"/>
  <c r="R2" i="47"/>
  <c r="R2" i="48"/>
  <c r="R2" i="49"/>
  <c r="R2" i="50"/>
  <c r="S2" i="47"/>
  <c r="A62" i="51"/>
  <c r="L3" i="47"/>
  <c r="L3" i="48"/>
  <c r="L3" i="49"/>
  <c r="L3" i="50"/>
  <c r="M3" i="47"/>
  <c r="M3" i="48"/>
  <c r="M3" i="49"/>
  <c r="M3" i="50"/>
  <c r="N3" i="47"/>
  <c r="N3" i="48"/>
  <c r="N3" i="49"/>
  <c r="N3" i="50"/>
  <c r="O3" i="47"/>
  <c r="O3" i="48"/>
  <c r="O3" i="49"/>
  <c r="O3" i="50"/>
  <c r="P3" i="47"/>
  <c r="P3" i="48"/>
  <c r="P3" i="49"/>
  <c r="P3" i="50"/>
  <c r="Q3" i="47"/>
  <c r="Q3" i="48"/>
  <c r="Q3" i="49"/>
  <c r="Q3" i="50"/>
  <c r="R3" i="47"/>
  <c r="R3" i="48"/>
  <c r="R3" i="49"/>
  <c r="R3" i="50"/>
  <c r="S3" i="47"/>
  <c r="A63" i="51"/>
  <c r="L4" i="47"/>
  <c r="L4" i="48"/>
  <c r="L4" i="49"/>
  <c r="L4" i="50"/>
  <c r="M4" i="47"/>
  <c r="M4" i="48"/>
  <c r="M4" i="49"/>
  <c r="M4" i="50"/>
  <c r="N4" i="47"/>
  <c r="N4" i="48"/>
  <c r="N4" i="49"/>
  <c r="N4" i="50"/>
  <c r="O4" i="47"/>
  <c r="O4" i="48"/>
  <c r="O4" i="49"/>
  <c r="O4" i="50"/>
  <c r="P4" i="47"/>
  <c r="P4" i="48"/>
  <c r="P4" i="49"/>
  <c r="P4" i="50"/>
  <c r="Q4" i="47"/>
  <c r="Q4" i="48"/>
  <c r="Q4" i="49"/>
  <c r="Q4" i="50"/>
  <c r="R4" i="47"/>
  <c r="R4" i="48"/>
  <c r="R4" i="49"/>
  <c r="R4" i="50"/>
  <c r="S4" i="47"/>
  <c r="A64" i="51"/>
  <c r="L5" i="47"/>
  <c r="L5" i="48"/>
  <c r="L5" i="49"/>
  <c r="L5" i="50"/>
  <c r="M5" i="47"/>
  <c r="M5" i="48"/>
  <c r="M5" i="49"/>
  <c r="M5" i="50"/>
  <c r="N5" i="47"/>
  <c r="N5" i="48"/>
  <c r="N5" i="49"/>
  <c r="N5" i="50"/>
  <c r="O5" i="47"/>
  <c r="O5" i="48"/>
  <c r="O5" i="49"/>
  <c r="O5" i="50"/>
  <c r="P5" i="47"/>
  <c r="P5" i="48"/>
  <c r="P5" i="49"/>
  <c r="P5" i="50"/>
  <c r="Q5" i="47"/>
  <c r="Q5" i="48"/>
  <c r="Q5" i="49"/>
  <c r="Q5" i="50"/>
  <c r="R5" i="47"/>
  <c r="R5" i="48"/>
  <c r="R5" i="49"/>
  <c r="R5" i="50"/>
  <c r="S5" i="47"/>
  <c r="A65" i="51"/>
  <c r="L6" i="47"/>
  <c r="L6" i="48"/>
  <c r="L6" i="49"/>
  <c r="L6" i="50"/>
  <c r="M6" i="47"/>
  <c r="M6" i="48"/>
  <c r="M6" i="49"/>
  <c r="M6" i="50"/>
  <c r="N6" i="47"/>
  <c r="N6" i="48"/>
  <c r="N6" i="49"/>
  <c r="N6" i="50"/>
  <c r="O6" i="47"/>
  <c r="O6" i="48"/>
  <c r="O6" i="49"/>
  <c r="O6" i="50"/>
  <c r="P6" i="47"/>
  <c r="P6" i="48"/>
  <c r="P6" i="49"/>
  <c r="P6" i="50"/>
  <c r="Q6" i="47"/>
  <c r="Q6" i="48"/>
  <c r="Q6" i="49"/>
  <c r="Q6" i="50"/>
  <c r="R6" i="47"/>
  <c r="R6" i="48"/>
  <c r="R6" i="49"/>
  <c r="R6" i="50"/>
  <c r="S6" i="47"/>
  <c r="A66" i="51"/>
  <c r="L7" i="47"/>
  <c r="L7" i="48"/>
  <c r="L7" i="49"/>
  <c r="L7" i="50"/>
  <c r="M7" i="47"/>
  <c r="M7" i="48"/>
  <c r="M7" i="49"/>
  <c r="M7" i="50"/>
  <c r="N7" i="47"/>
  <c r="N7" i="48"/>
  <c r="N7" i="49"/>
  <c r="N7" i="50"/>
  <c r="O7" i="47"/>
  <c r="O7" i="48"/>
  <c r="O7" i="49"/>
  <c r="O7" i="50"/>
  <c r="P7" i="47"/>
  <c r="P7" i="48"/>
  <c r="P7" i="49"/>
  <c r="P7" i="50"/>
  <c r="Q7" i="47"/>
  <c r="Q7" i="48"/>
  <c r="Q7" i="49"/>
  <c r="Q7" i="50"/>
  <c r="R7" i="47"/>
  <c r="R7" i="48"/>
  <c r="R7" i="49"/>
  <c r="R7" i="50"/>
  <c r="S7" i="47"/>
  <c r="A67" i="51"/>
  <c r="L8" i="47"/>
  <c r="L8" i="48"/>
  <c r="L8" i="49"/>
  <c r="L8" i="50"/>
  <c r="M8" i="47"/>
  <c r="M8" i="48"/>
  <c r="M8" i="49"/>
  <c r="M8" i="50"/>
  <c r="N8" i="47"/>
  <c r="N8" i="48"/>
  <c r="N8" i="49"/>
  <c r="N8" i="50"/>
  <c r="O8" i="47"/>
  <c r="O8" i="48"/>
  <c r="O8" i="49"/>
  <c r="O8" i="50"/>
  <c r="P8" i="47"/>
  <c r="P8" i="48"/>
  <c r="P8" i="49"/>
  <c r="P8" i="50"/>
  <c r="Q8" i="47"/>
  <c r="Q8" i="48"/>
  <c r="Q8" i="49"/>
  <c r="Q8" i="50"/>
  <c r="R8" i="47"/>
  <c r="R8" i="48"/>
  <c r="R8" i="49"/>
  <c r="R8" i="50"/>
  <c r="S8" i="47"/>
  <c r="A68" i="51"/>
  <c r="L9" i="47"/>
  <c r="L9" i="48"/>
  <c r="L9" i="49"/>
  <c r="L9" i="50"/>
  <c r="M9" i="47"/>
  <c r="M9" i="48"/>
  <c r="M9" i="49"/>
  <c r="M9" i="50"/>
  <c r="N9" i="47"/>
  <c r="N9" i="48"/>
  <c r="N9" i="49"/>
  <c r="N9" i="50"/>
  <c r="O9" i="47"/>
  <c r="O9" i="48"/>
  <c r="O9" i="49"/>
  <c r="O9" i="50"/>
  <c r="P9" i="47"/>
  <c r="P9" i="48"/>
  <c r="P9" i="49"/>
  <c r="P9" i="50"/>
  <c r="Q9" i="47"/>
  <c r="Q9" i="48"/>
  <c r="Q9" i="49"/>
  <c r="Q9" i="50"/>
  <c r="R9" i="47"/>
  <c r="R9" i="48"/>
  <c r="R9" i="49"/>
  <c r="R9" i="50"/>
  <c r="S9" i="47"/>
  <c r="A69" i="51"/>
  <c r="L10" i="47"/>
  <c r="L10" i="48"/>
  <c r="L10" i="49"/>
  <c r="L10" i="50"/>
  <c r="M10" i="47"/>
  <c r="M10" i="48"/>
  <c r="M10" i="49"/>
  <c r="M10" i="50"/>
  <c r="N10" i="47"/>
  <c r="N10" i="48"/>
  <c r="N10" i="49"/>
  <c r="N10" i="50"/>
  <c r="O10" i="47"/>
  <c r="O10" i="48"/>
  <c r="O10" i="49"/>
  <c r="O10" i="50"/>
  <c r="P10" i="47"/>
  <c r="P10" i="48"/>
  <c r="P10" i="49"/>
  <c r="P10" i="50"/>
  <c r="Q10" i="47"/>
  <c r="Q10" i="48"/>
  <c r="Q10" i="49"/>
  <c r="Q10" i="50"/>
  <c r="R10" i="47"/>
  <c r="R10" i="48"/>
  <c r="R10" i="49"/>
  <c r="R10" i="50"/>
  <c r="S10" i="47"/>
  <c r="A70" i="51"/>
  <c r="L11" i="47"/>
  <c r="L11" i="48"/>
  <c r="L11" i="49"/>
  <c r="L11" i="50"/>
  <c r="M11" i="47"/>
  <c r="M11" i="48"/>
  <c r="M11" i="49"/>
  <c r="M11" i="50"/>
  <c r="N11" i="47"/>
  <c r="N11" i="48"/>
  <c r="N11" i="49"/>
  <c r="N11" i="50"/>
  <c r="O11" i="47"/>
  <c r="O11" i="48"/>
  <c r="O11" i="49"/>
  <c r="O11" i="50"/>
  <c r="P11" i="47"/>
  <c r="P11" i="48"/>
  <c r="P11" i="49"/>
  <c r="P11" i="50"/>
  <c r="Q11" i="47"/>
  <c r="Q11" i="48"/>
  <c r="Q11" i="49"/>
  <c r="Q11" i="50"/>
  <c r="R11" i="47"/>
  <c r="R11" i="48"/>
  <c r="R11" i="49"/>
  <c r="R11" i="50"/>
  <c r="S11" i="47"/>
  <c r="A71" i="51"/>
  <c r="L12" i="47"/>
  <c r="L12" i="48"/>
  <c r="L12" i="49"/>
  <c r="L12" i="50"/>
  <c r="M12" i="47"/>
  <c r="M12" i="48"/>
  <c r="M12" i="49"/>
  <c r="M12" i="50"/>
  <c r="N12" i="47"/>
  <c r="N12" i="48"/>
  <c r="N12" i="49"/>
  <c r="N12" i="50"/>
  <c r="O12" i="47"/>
  <c r="O12" i="48"/>
  <c r="O12" i="49"/>
  <c r="O12" i="50"/>
  <c r="P12" i="47"/>
  <c r="P12" i="48"/>
  <c r="P12" i="49"/>
  <c r="P12" i="50"/>
  <c r="Q12" i="47"/>
  <c r="Q12" i="48"/>
  <c r="Q12" i="49"/>
  <c r="Q12" i="50"/>
  <c r="R12" i="47"/>
  <c r="R12" i="48"/>
  <c r="R12" i="49"/>
  <c r="R12" i="50"/>
  <c r="S12" i="47"/>
  <c r="A72" i="51"/>
  <c r="L13" i="47"/>
  <c r="L13" i="48"/>
  <c r="L13" i="49"/>
  <c r="L13" i="50"/>
  <c r="M13" i="47"/>
  <c r="M13" i="48"/>
  <c r="M13" i="49"/>
  <c r="M13" i="50"/>
  <c r="N13" i="47"/>
  <c r="N13" i="48"/>
  <c r="N13" i="49"/>
  <c r="N13" i="50"/>
  <c r="O13" i="47"/>
  <c r="O13" i="48"/>
  <c r="O13" i="49"/>
  <c r="O13" i="50"/>
  <c r="P13" i="47"/>
  <c r="P13" i="48"/>
  <c r="P13" i="49"/>
  <c r="P13" i="50"/>
  <c r="Q13" i="47"/>
  <c r="Q13" i="48"/>
  <c r="Q13" i="49"/>
  <c r="Q13" i="50"/>
  <c r="R13" i="47"/>
  <c r="R13" i="48"/>
  <c r="R13" i="49"/>
  <c r="R13" i="50"/>
  <c r="S13" i="47"/>
  <c r="A73" i="51"/>
  <c r="L14" i="47"/>
  <c r="L14" i="48"/>
  <c r="L14" i="49"/>
  <c r="L14" i="50"/>
  <c r="M14" i="47"/>
  <c r="M14" i="48"/>
  <c r="M14" i="49"/>
  <c r="M14" i="50"/>
  <c r="N14" i="47"/>
  <c r="N14" i="48"/>
  <c r="N14" i="49"/>
  <c r="N14" i="50"/>
  <c r="O14" i="47"/>
  <c r="O14" i="48"/>
  <c r="O14" i="49"/>
  <c r="O14" i="50"/>
  <c r="P14" i="47"/>
  <c r="P14" i="48"/>
  <c r="P14" i="49"/>
  <c r="P14" i="50"/>
  <c r="Q14" i="47"/>
  <c r="Q14" i="48"/>
  <c r="Q14" i="49"/>
  <c r="Q14" i="50"/>
  <c r="R14" i="47"/>
  <c r="R14" i="48"/>
  <c r="R14" i="49"/>
  <c r="R14" i="50"/>
  <c r="S14" i="47"/>
  <c r="A74" i="51"/>
  <c r="L15" i="47"/>
  <c r="L15" i="48"/>
  <c r="L15" i="49"/>
  <c r="L15" i="50"/>
  <c r="M15" i="47"/>
  <c r="M15" i="48"/>
  <c r="M15" i="49"/>
  <c r="M15" i="50"/>
  <c r="N15" i="47"/>
  <c r="N15" i="48"/>
  <c r="N15" i="49"/>
  <c r="N15" i="50"/>
  <c r="O15" i="47"/>
  <c r="O15" i="48"/>
  <c r="O15" i="49"/>
  <c r="O15" i="50"/>
  <c r="P15" i="47"/>
  <c r="P15" i="48"/>
  <c r="P15" i="49"/>
  <c r="P15" i="50"/>
  <c r="Q15" i="47"/>
  <c r="Q15" i="48"/>
  <c r="Q15" i="49"/>
  <c r="Q15" i="50"/>
  <c r="R15" i="47"/>
  <c r="R15" i="48"/>
  <c r="R15" i="49"/>
  <c r="R15" i="50"/>
  <c r="S15" i="47"/>
  <c r="A75" i="51"/>
  <c r="L16" i="47"/>
  <c r="L16" i="48"/>
  <c r="L16" i="49"/>
  <c r="L16" i="50"/>
  <c r="M16" i="47"/>
  <c r="M16" i="48"/>
  <c r="M16" i="49"/>
  <c r="M16" i="50"/>
  <c r="N16" i="47"/>
  <c r="N16" i="48"/>
  <c r="N16" i="49"/>
  <c r="N16" i="50"/>
  <c r="O16" i="47"/>
  <c r="O16" i="48"/>
  <c r="O16" i="49"/>
  <c r="O16" i="50"/>
  <c r="P16" i="47"/>
  <c r="P16" i="48"/>
  <c r="P16" i="49"/>
  <c r="P16" i="50"/>
  <c r="Q16" i="47"/>
  <c r="Q16" i="48"/>
  <c r="Q16" i="49"/>
  <c r="Q16" i="50"/>
  <c r="R16" i="47"/>
  <c r="R16" i="48"/>
  <c r="R16" i="49"/>
  <c r="R16" i="50"/>
  <c r="S16" i="47"/>
  <c r="A76" i="51"/>
  <c r="L17" i="47"/>
  <c r="L17" i="48"/>
  <c r="L17" i="49"/>
  <c r="L17" i="50"/>
  <c r="M17" i="47"/>
  <c r="M17" i="48"/>
  <c r="M17" i="49"/>
  <c r="M17" i="50"/>
  <c r="N17" i="47"/>
  <c r="N17" i="48"/>
  <c r="N17" i="49"/>
  <c r="N17" i="50"/>
  <c r="O17" i="47"/>
  <c r="O17" i="48"/>
  <c r="O17" i="49"/>
  <c r="O17" i="50"/>
  <c r="P17" i="47"/>
  <c r="P17" i="48"/>
  <c r="P17" i="49"/>
  <c r="P17" i="50"/>
  <c r="Q17" i="47"/>
  <c r="Q17" i="48"/>
  <c r="Q17" i="49"/>
  <c r="Q17" i="50"/>
  <c r="R17" i="47"/>
  <c r="R17" i="48"/>
  <c r="R17" i="49"/>
  <c r="R17" i="50"/>
  <c r="S17" i="47"/>
  <c r="A77" i="51"/>
  <c r="L18" i="47"/>
  <c r="L18" i="48"/>
  <c r="L18" i="49"/>
  <c r="L18" i="50"/>
  <c r="M18" i="47"/>
  <c r="M18" i="48"/>
  <c r="M18" i="49"/>
  <c r="M18" i="50"/>
  <c r="N18" i="47"/>
  <c r="N18" i="48"/>
  <c r="N18" i="49"/>
  <c r="N18" i="50"/>
  <c r="O18" i="47"/>
  <c r="O18" i="48"/>
  <c r="O18" i="49"/>
  <c r="O18" i="50"/>
  <c r="P18" i="47"/>
  <c r="P18" i="48"/>
  <c r="P18" i="49"/>
  <c r="P18" i="50"/>
  <c r="Q18" i="47"/>
  <c r="Q18" i="48"/>
  <c r="Q18" i="49"/>
  <c r="Q18" i="50"/>
  <c r="R18" i="47"/>
  <c r="R18" i="48"/>
  <c r="R18" i="49"/>
  <c r="R18" i="50"/>
  <c r="S18" i="47"/>
  <c r="A78" i="51"/>
  <c r="L19" i="47"/>
  <c r="L19" i="48"/>
  <c r="L19" i="49"/>
  <c r="L19" i="50"/>
  <c r="M19" i="47"/>
  <c r="M19" i="48"/>
  <c r="M19" i="49"/>
  <c r="M19" i="50"/>
  <c r="N19" i="47"/>
  <c r="N19" i="48"/>
  <c r="N19" i="49"/>
  <c r="N19" i="50"/>
  <c r="O19" i="47"/>
  <c r="O19" i="48"/>
  <c r="O19" i="49"/>
  <c r="O19" i="50"/>
  <c r="P19" i="47"/>
  <c r="P19" i="48"/>
  <c r="P19" i="49"/>
  <c r="P19" i="50"/>
  <c r="Q19" i="47"/>
  <c r="Q19" i="48"/>
  <c r="Q19" i="49"/>
  <c r="Q19" i="50"/>
  <c r="R19" i="47"/>
  <c r="R19" i="48"/>
  <c r="R19" i="49"/>
  <c r="R19" i="50"/>
  <c r="S19" i="47"/>
  <c r="A79" i="51"/>
  <c r="L20" i="47"/>
  <c r="L20" i="48"/>
  <c r="L20" i="49"/>
  <c r="L20" i="50"/>
  <c r="M20" i="47"/>
  <c r="M20" i="48"/>
  <c r="M20" i="49"/>
  <c r="M20" i="50"/>
  <c r="N20" i="47"/>
  <c r="N20" i="48"/>
  <c r="N20" i="49"/>
  <c r="N20" i="50"/>
  <c r="O20" i="47"/>
  <c r="O20" i="48"/>
  <c r="O20" i="49"/>
  <c r="O20" i="50"/>
  <c r="P20" i="47"/>
  <c r="P20" i="48"/>
  <c r="P20" i="49"/>
  <c r="P20" i="50"/>
  <c r="Q20" i="47"/>
  <c r="Q20" i="48"/>
  <c r="Q20" i="49"/>
  <c r="Q20" i="50"/>
  <c r="R20" i="47"/>
  <c r="R20" i="48"/>
  <c r="R20" i="49"/>
  <c r="R20" i="50"/>
  <c r="S20" i="47"/>
  <c r="A80" i="51"/>
  <c r="L21" i="47"/>
  <c r="L21" i="48"/>
  <c r="L21" i="49"/>
  <c r="L21" i="50"/>
  <c r="M21" i="47"/>
  <c r="M21" i="48"/>
  <c r="M21" i="49"/>
  <c r="M21" i="50"/>
  <c r="N21" i="47"/>
  <c r="N21" i="48"/>
  <c r="N21" i="49"/>
  <c r="N21" i="50"/>
  <c r="O21" i="47"/>
  <c r="O21" i="48"/>
  <c r="O21" i="49"/>
  <c r="O21" i="50"/>
  <c r="P21" i="47"/>
  <c r="P21" i="48"/>
  <c r="P21" i="49"/>
  <c r="P21" i="50"/>
  <c r="Q21" i="47"/>
  <c r="Q21" i="48"/>
  <c r="Q21" i="49"/>
  <c r="Q21" i="50"/>
  <c r="R21" i="47"/>
  <c r="R21" i="48"/>
  <c r="R21" i="49"/>
  <c r="R21" i="50"/>
  <c r="S21" i="47"/>
  <c r="A81" i="51"/>
  <c r="L22" i="47"/>
  <c r="L22" i="48"/>
  <c r="L22" i="49"/>
  <c r="L22" i="50"/>
  <c r="M22" i="47"/>
  <c r="M22" i="48"/>
  <c r="M22" i="49"/>
  <c r="M22" i="50"/>
  <c r="N22" i="47"/>
  <c r="N22" i="48"/>
  <c r="N22" i="49"/>
  <c r="N22" i="50"/>
  <c r="O22" i="47"/>
  <c r="O22" i="48"/>
  <c r="O22" i="49"/>
  <c r="O22" i="50"/>
  <c r="P22" i="47"/>
  <c r="P22" i="48"/>
  <c r="P22" i="49"/>
  <c r="P22" i="50"/>
  <c r="Q22" i="47"/>
  <c r="Q22" i="48"/>
  <c r="Q22" i="49"/>
  <c r="Q22" i="50"/>
  <c r="R22" i="47"/>
  <c r="R22" i="48"/>
  <c r="R22" i="49"/>
  <c r="R22" i="50"/>
  <c r="S22" i="47"/>
  <c r="A82" i="51"/>
  <c r="L23" i="47"/>
  <c r="L23" i="48"/>
  <c r="L23" i="49"/>
  <c r="L23" i="50"/>
  <c r="M23" i="47"/>
  <c r="M23" i="48"/>
  <c r="M23" i="49"/>
  <c r="M23" i="50"/>
  <c r="N23" i="47"/>
  <c r="N23" i="48"/>
  <c r="N23" i="49"/>
  <c r="N23" i="50"/>
  <c r="O23" i="47"/>
  <c r="O23" i="48"/>
  <c r="O23" i="49"/>
  <c r="O23" i="50"/>
  <c r="P23" i="47"/>
  <c r="P23" i="48"/>
  <c r="P23" i="49"/>
  <c r="P23" i="50"/>
  <c r="Q23" i="47"/>
  <c r="Q23" i="48"/>
  <c r="Q23" i="49"/>
  <c r="Q23" i="50"/>
  <c r="R23" i="47"/>
  <c r="R23" i="48"/>
  <c r="R23" i="49"/>
  <c r="R23" i="50"/>
  <c r="S23" i="47"/>
  <c r="A83" i="51"/>
  <c r="L24" i="47"/>
  <c r="L24" i="48"/>
  <c r="L24" i="49"/>
  <c r="L24" i="50"/>
  <c r="M24" i="47"/>
  <c r="M24" i="48"/>
  <c r="M24" i="49"/>
  <c r="M24" i="50"/>
  <c r="N24" i="47"/>
  <c r="N24" i="48"/>
  <c r="N24" i="49"/>
  <c r="N24" i="50"/>
  <c r="O24" i="47"/>
  <c r="O24" i="48"/>
  <c r="O24" i="49"/>
  <c r="O24" i="50"/>
  <c r="P24" i="47"/>
  <c r="P24" i="48"/>
  <c r="P24" i="49"/>
  <c r="P24" i="50"/>
  <c r="Q24" i="47"/>
  <c r="Q24" i="48"/>
  <c r="Q24" i="49"/>
  <c r="Q24" i="50"/>
  <c r="R24" i="47"/>
  <c r="R24" i="48"/>
  <c r="R24" i="49"/>
  <c r="R24" i="50"/>
  <c r="S24" i="47"/>
  <c r="A84" i="51"/>
  <c r="L25" i="47"/>
  <c r="L25" i="48"/>
  <c r="L25" i="49"/>
  <c r="L25" i="50"/>
  <c r="M25" i="47"/>
  <c r="M25" i="48"/>
  <c r="M25" i="49"/>
  <c r="M25" i="50"/>
  <c r="N25" i="47"/>
  <c r="N25" i="48"/>
  <c r="N25" i="49"/>
  <c r="N25" i="50"/>
  <c r="O25" i="47"/>
  <c r="O25" i="48"/>
  <c r="O25" i="49"/>
  <c r="O25" i="50"/>
  <c r="P25" i="47"/>
  <c r="P25" i="48"/>
  <c r="P25" i="49"/>
  <c r="P25" i="50"/>
  <c r="Q25" i="47"/>
  <c r="Q25" i="48"/>
  <c r="Q25" i="49"/>
  <c r="Q25" i="50"/>
  <c r="R25" i="47"/>
  <c r="R25" i="48"/>
  <c r="R25" i="49"/>
  <c r="R25" i="50"/>
  <c r="S25" i="47"/>
  <c r="A85" i="51"/>
  <c r="L26" i="47"/>
  <c r="L26" i="48"/>
  <c r="L26" i="49"/>
  <c r="L26" i="50"/>
  <c r="M26" i="47"/>
  <c r="M26" i="48"/>
  <c r="M26" i="49"/>
  <c r="M26" i="50"/>
  <c r="N26" i="47"/>
  <c r="N26" i="48"/>
  <c r="N26" i="49"/>
  <c r="N26" i="50"/>
  <c r="O26" i="47"/>
  <c r="O26" i="48"/>
  <c r="O26" i="49"/>
  <c r="O26" i="50"/>
  <c r="P26" i="47"/>
  <c r="P26" i="48"/>
  <c r="P26" i="49"/>
  <c r="P26" i="50"/>
  <c r="Q26" i="47"/>
  <c r="Q26" i="48"/>
  <c r="Q26" i="49"/>
  <c r="Q26" i="50"/>
  <c r="R26" i="47"/>
  <c r="R26" i="48"/>
  <c r="R26" i="49"/>
  <c r="R26" i="50"/>
  <c r="S26" i="47"/>
  <c r="A86" i="51"/>
  <c r="L27" i="47"/>
  <c r="L27" i="48"/>
  <c r="L27" i="49"/>
  <c r="L27" i="50"/>
  <c r="M27" i="47"/>
  <c r="M27" i="48"/>
  <c r="M27" i="49"/>
  <c r="M27" i="50"/>
  <c r="N27" i="47"/>
  <c r="N27" i="48"/>
  <c r="N27" i="49"/>
  <c r="N27" i="50"/>
  <c r="O27" i="47"/>
  <c r="O27" i="48"/>
  <c r="O27" i="49"/>
  <c r="O27" i="50"/>
  <c r="P27" i="47"/>
  <c r="P27" i="48"/>
  <c r="P27" i="49"/>
  <c r="P27" i="50"/>
  <c r="Q27" i="47"/>
  <c r="Q27" i="48"/>
  <c r="Q27" i="49"/>
  <c r="Q27" i="50"/>
  <c r="R27" i="47"/>
  <c r="R27" i="48"/>
  <c r="R27" i="49"/>
  <c r="R27" i="50"/>
  <c r="S27" i="47"/>
  <c r="A87" i="51"/>
  <c r="L28" i="47"/>
  <c r="L28" i="48"/>
  <c r="L28" i="49"/>
  <c r="L28" i="50"/>
  <c r="M28" i="47"/>
  <c r="M28" i="48"/>
  <c r="M28" i="49"/>
  <c r="M28" i="50"/>
  <c r="N28" i="47"/>
  <c r="N28" i="48"/>
  <c r="N28" i="49"/>
  <c r="N28" i="50"/>
  <c r="O28" i="47"/>
  <c r="O28" i="48"/>
  <c r="O28" i="49"/>
  <c r="O28" i="50"/>
  <c r="P28" i="47"/>
  <c r="P28" i="48"/>
  <c r="P28" i="49"/>
  <c r="P28" i="50"/>
  <c r="Q28" i="47"/>
  <c r="Q28" i="48"/>
  <c r="Q28" i="49"/>
  <c r="Q28" i="50"/>
  <c r="R28" i="47"/>
  <c r="R28" i="48"/>
  <c r="R28" i="49"/>
  <c r="R28" i="50"/>
  <c r="S28" i="47"/>
  <c r="A88" i="51"/>
  <c r="L29" i="47"/>
  <c r="L29" i="48"/>
  <c r="L29" i="49"/>
  <c r="L29" i="50"/>
  <c r="M29" i="47"/>
  <c r="M29" i="48"/>
  <c r="M29" i="49"/>
  <c r="M29" i="50"/>
  <c r="N29" i="47"/>
  <c r="N29" i="48"/>
  <c r="N29" i="49"/>
  <c r="N29" i="50"/>
  <c r="O29" i="47"/>
  <c r="O29" i="48"/>
  <c r="O29" i="49"/>
  <c r="O29" i="50"/>
  <c r="P29" i="47"/>
  <c r="P29" i="48"/>
  <c r="P29" i="49"/>
  <c r="P29" i="50"/>
  <c r="Q29" i="47"/>
  <c r="Q29" i="48"/>
  <c r="Q29" i="49"/>
  <c r="Q29" i="50"/>
  <c r="R29" i="47"/>
  <c r="R29" i="48"/>
  <c r="R29" i="49"/>
  <c r="R29" i="50"/>
  <c r="S29" i="47"/>
  <c r="A89" i="51"/>
  <c r="A90" i="51"/>
  <c r="A91" i="51"/>
  <c r="A92" i="51"/>
  <c r="A4" i="51"/>
  <c r="H4" i="51"/>
  <c r="B4" i="51"/>
  <c r="M4" i="62" l="1"/>
  <c r="M8" i="62"/>
  <c r="M12" i="62"/>
  <c r="M16" i="62"/>
  <c r="M20" i="62"/>
  <c r="M24" i="62"/>
  <c r="M28" i="62"/>
  <c r="M32" i="62"/>
  <c r="M36" i="62"/>
  <c r="M40" i="62"/>
  <c r="M44" i="62"/>
  <c r="M48" i="62"/>
  <c r="M52" i="62"/>
  <c r="M56" i="62"/>
  <c r="M60" i="62"/>
  <c r="M64" i="62"/>
  <c r="M68" i="62"/>
  <c r="M72" i="62"/>
  <c r="M76" i="62"/>
  <c r="M83" i="62"/>
  <c r="M87" i="62"/>
  <c r="M91" i="62"/>
  <c r="M95" i="62"/>
  <c r="M99" i="62"/>
  <c r="M103" i="62"/>
  <c r="M107" i="62"/>
  <c r="M111" i="62"/>
  <c r="M115" i="62"/>
  <c r="M119" i="62"/>
  <c r="M123" i="62"/>
  <c r="M127" i="62"/>
  <c r="M5" i="62"/>
  <c r="M9" i="62"/>
  <c r="M13" i="62"/>
  <c r="M17" i="62"/>
  <c r="M21" i="62"/>
  <c r="M25" i="62"/>
  <c r="M29" i="62"/>
  <c r="M33" i="62"/>
  <c r="M37" i="62"/>
  <c r="M41" i="62"/>
  <c r="M45" i="62"/>
  <c r="M49" i="62"/>
  <c r="M53" i="62"/>
  <c r="M57" i="62"/>
  <c r="M61" i="62"/>
  <c r="M65" i="62"/>
  <c r="M69" i="62"/>
  <c r="M73" i="62"/>
  <c r="M77" i="62"/>
  <c r="M80" i="62"/>
  <c r="M84" i="62"/>
  <c r="M88" i="62"/>
  <c r="M92" i="62"/>
  <c r="M96" i="62"/>
  <c r="M100" i="62"/>
  <c r="M104" i="62"/>
  <c r="M108" i="62"/>
  <c r="M112" i="62"/>
  <c r="M116" i="62"/>
  <c r="M120" i="62"/>
  <c r="M124" i="62"/>
  <c r="M128" i="62"/>
  <c r="M132" i="62"/>
  <c r="M136" i="62"/>
  <c r="M140" i="62"/>
  <c r="M144" i="62"/>
  <c r="M147" i="62"/>
  <c r="M151" i="62"/>
  <c r="M155" i="62"/>
  <c r="M159" i="62"/>
  <c r="M163" i="62"/>
  <c r="M167" i="62"/>
  <c r="M171" i="62"/>
  <c r="M175" i="62"/>
  <c r="M179" i="62"/>
  <c r="M183" i="62"/>
  <c r="M187" i="62"/>
  <c r="M191" i="62"/>
  <c r="M195" i="62"/>
  <c r="M199" i="62"/>
  <c r="M203" i="62"/>
  <c r="M207" i="62"/>
  <c r="M211" i="62"/>
  <c r="M215" i="62"/>
  <c r="M219" i="62"/>
  <c r="M223" i="62"/>
  <c r="M227" i="62"/>
  <c r="M231" i="62"/>
  <c r="M235" i="62"/>
  <c r="M239" i="62"/>
  <c r="M243" i="62"/>
  <c r="M247" i="62"/>
  <c r="M251" i="62"/>
  <c r="M255" i="62"/>
  <c r="M259" i="62"/>
  <c r="M263" i="62"/>
  <c r="M267" i="62"/>
  <c r="M271" i="62"/>
  <c r="M275" i="62"/>
  <c r="M279" i="62"/>
  <c r="M283" i="62"/>
  <c r="M287" i="62"/>
  <c r="M291" i="62"/>
  <c r="M295" i="62"/>
  <c r="M299" i="62"/>
  <c r="M303" i="62"/>
  <c r="M307" i="62"/>
  <c r="M311" i="62"/>
  <c r="M315" i="62"/>
  <c r="M319" i="62"/>
  <c r="M323" i="62"/>
  <c r="M327" i="62"/>
  <c r="M331" i="62"/>
  <c r="M335" i="62"/>
  <c r="M339" i="62"/>
  <c r="M6" i="62"/>
  <c r="M10" i="62"/>
  <c r="M14" i="62"/>
  <c r="M18" i="62"/>
  <c r="M22" i="62"/>
  <c r="M26" i="62"/>
  <c r="M30" i="62"/>
  <c r="M34" i="62"/>
  <c r="M38" i="62"/>
  <c r="M42" i="62"/>
  <c r="M46" i="62"/>
  <c r="M50" i="62"/>
  <c r="M54" i="62"/>
  <c r="M58" i="62"/>
  <c r="M62" i="62"/>
  <c r="M66" i="62"/>
  <c r="M70" i="62"/>
  <c r="M74" i="62"/>
  <c r="M78" i="62"/>
  <c r="M81" i="62"/>
  <c r="M85" i="62"/>
  <c r="M89" i="62"/>
  <c r="M93" i="62"/>
  <c r="M97" i="62"/>
  <c r="M101" i="62"/>
  <c r="M105" i="62"/>
  <c r="M109" i="62"/>
  <c r="M113" i="62"/>
  <c r="M117" i="62"/>
  <c r="M121" i="62"/>
  <c r="M125" i="62"/>
  <c r="M129" i="62"/>
  <c r="M133" i="62"/>
  <c r="M137" i="62"/>
  <c r="M141" i="62"/>
  <c r="M145" i="62"/>
  <c r="M148" i="62"/>
  <c r="M152" i="62"/>
  <c r="M156" i="62"/>
  <c r="M160" i="62"/>
  <c r="M164" i="62"/>
  <c r="M168" i="62"/>
  <c r="M172" i="62"/>
  <c r="M176" i="62"/>
  <c r="M180" i="62"/>
  <c r="M184" i="62"/>
  <c r="M188" i="62"/>
  <c r="M192" i="62"/>
  <c r="M196" i="62"/>
  <c r="M200" i="62"/>
  <c r="M204" i="62"/>
  <c r="M208" i="62"/>
  <c r="M212" i="62"/>
  <c r="M216" i="62"/>
  <c r="M220" i="62"/>
  <c r="M224" i="62"/>
  <c r="M228" i="62"/>
  <c r="M232" i="62"/>
  <c r="M236" i="62"/>
  <c r="M240" i="62"/>
  <c r="M244" i="62"/>
  <c r="M248" i="62"/>
  <c r="M252" i="62"/>
  <c r="M256" i="62"/>
  <c r="M260" i="62"/>
  <c r="M264" i="62"/>
  <c r="M268" i="62"/>
  <c r="M272" i="62"/>
  <c r="M276" i="62"/>
  <c r="M280" i="62"/>
  <c r="M284" i="62"/>
  <c r="M288" i="62"/>
  <c r="M292" i="62"/>
  <c r="M296" i="62"/>
  <c r="M300" i="62"/>
  <c r="M304" i="62"/>
  <c r="M308" i="62"/>
  <c r="M312" i="62"/>
  <c r="M316" i="62"/>
  <c r="M320" i="62"/>
  <c r="M324" i="62"/>
  <c r="M328" i="62"/>
  <c r="M332" i="62"/>
  <c r="M336" i="62"/>
  <c r="M7" i="62"/>
  <c r="M23" i="62"/>
  <c r="M39" i="62"/>
  <c r="M55" i="62"/>
  <c r="M71" i="62"/>
  <c r="M86" i="62"/>
  <c r="M102" i="62"/>
  <c r="M118" i="62"/>
  <c r="M131" i="62"/>
  <c r="M139" i="62"/>
  <c r="M146" i="62"/>
  <c r="M154" i="62"/>
  <c r="M162" i="62"/>
  <c r="M170" i="62"/>
  <c r="M178" i="62"/>
  <c r="M186" i="62"/>
  <c r="M194" i="62"/>
  <c r="M202" i="62"/>
  <c r="M210" i="62"/>
  <c r="M218" i="62"/>
  <c r="M226" i="62"/>
  <c r="M234" i="62"/>
  <c r="M242" i="62"/>
  <c r="M250" i="62"/>
  <c r="M258" i="62"/>
  <c r="M266" i="62"/>
  <c r="M274" i="62"/>
  <c r="M282" i="62"/>
  <c r="M290" i="62"/>
  <c r="M298" i="62"/>
  <c r="M306" i="62"/>
  <c r="M314" i="62"/>
  <c r="M322" i="62"/>
  <c r="M330" i="62"/>
  <c r="M338" i="62"/>
  <c r="M343" i="62"/>
  <c r="M347" i="62"/>
  <c r="M351" i="62"/>
  <c r="M355" i="62"/>
  <c r="M359" i="62"/>
  <c r="M363" i="62"/>
  <c r="M367" i="62"/>
  <c r="M371" i="62"/>
  <c r="M375" i="62"/>
  <c r="M379" i="62"/>
  <c r="M383" i="62"/>
  <c r="M387" i="62"/>
  <c r="M391" i="62"/>
  <c r="M395" i="62"/>
  <c r="M399" i="62"/>
  <c r="M403" i="62"/>
  <c r="M407" i="62"/>
  <c r="M411" i="62"/>
  <c r="M415" i="62"/>
  <c r="M419" i="62"/>
  <c r="M423" i="62"/>
  <c r="M427" i="62"/>
  <c r="M431" i="62"/>
  <c r="M435" i="62"/>
  <c r="M439" i="62"/>
  <c r="M443" i="62"/>
  <c r="M447" i="62"/>
  <c r="M451" i="62"/>
  <c r="M455" i="62"/>
  <c r="M459" i="62"/>
  <c r="M463" i="62"/>
  <c r="M467" i="62"/>
  <c r="M471" i="62"/>
  <c r="M475" i="62"/>
  <c r="M479" i="62"/>
  <c r="M483" i="62"/>
  <c r="M487" i="62"/>
  <c r="M491" i="62"/>
  <c r="M495" i="62"/>
  <c r="M499" i="62"/>
  <c r="M503" i="62"/>
  <c r="M507" i="62"/>
  <c r="M511" i="62"/>
  <c r="M515" i="62"/>
  <c r="M519" i="62"/>
  <c r="M523" i="62"/>
  <c r="M527" i="62"/>
  <c r="M531" i="62"/>
  <c r="M535" i="62"/>
  <c r="M539" i="62"/>
  <c r="M11" i="62"/>
  <c r="M27" i="62"/>
  <c r="M43" i="62"/>
  <c r="M59" i="62"/>
  <c r="M75" i="62"/>
  <c r="M90" i="62"/>
  <c r="M106" i="62"/>
  <c r="M122" i="62"/>
  <c r="M134" i="62"/>
  <c r="M142" i="62"/>
  <c r="M149" i="62"/>
  <c r="M157" i="62"/>
  <c r="M165" i="62"/>
  <c r="M173" i="62"/>
  <c r="M181" i="62"/>
  <c r="M189" i="62"/>
  <c r="M197" i="62"/>
  <c r="M205" i="62"/>
  <c r="M213" i="62"/>
  <c r="M221" i="62"/>
  <c r="M229" i="62"/>
  <c r="M237" i="62"/>
  <c r="M245" i="62"/>
  <c r="M253" i="62"/>
  <c r="M261" i="62"/>
  <c r="M269" i="62"/>
  <c r="M277" i="62"/>
  <c r="M285" i="62"/>
  <c r="M293" i="62"/>
  <c r="M301" i="62"/>
  <c r="M309" i="62"/>
  <c r="M317" i="62"/>
  <c r="M325" i="62"/>
  <c r="M333" i="62"/>
  <c r="M340" i="62"/>
  <c r="M344" i="62"/>
  <c r="M348" i="62"/>
  <c r="M352" i="62"/>
  <c r="M356" i="62"/>
  <c r="M360" i="62"/>
  <c r="M364" i="62"/>
  <c r="M368" i="62"/>
  <c r="M372" i="62"/>
  <c r="M376" i="62"/>
  <c r="M380" i="62"/>
  <c r="M384" i="62"/>
  <c r="M388" i="62"/>
  <c r="M392" i="62"/>
  <c r="M396" i="62"/>
  <c r="M400" i="62"/>
  <c r="M404" i="62"/>
  <c r="M15" i="62"/>
  <c r="M31" i="62"/>
  <c r="M47" i="62"/>
  <c r="M63" i="62"/>
  <c r="M79" i="62"/>
  <c r="M94" i="62"/>
  <c r="M110" i="62"/>
  <c r="M126" i="62"/>
  <c r="M135" i="62"/>
  <c r="M143" i="62"/>
  <c r="M150" i="62"/>
  <c r="M158" i="62"/>
  <c r="M166" i="62"/>
  <c r="M174" i="62"/>
  <c r="M182" i="62"/>
  <c r="M190" i="62"/>
  <c r="M198" i="62"/>
  <c r="M206" i="62"/>
  <c r="M214" i="62"/>
  <c r="M222" i="62"/>
  <c r="M230" i="62"/>
  <c r="M238" i="62"/>
  <c r="M246" i="62"/>
  <c r="M254" i="62"/>
  <c r="M262" i="62"/>
  <c r="M270" i="62"/>
  <c r="M278" i="62"/>
  <c r="M286" i="62"/>
  <c r="M294" i="62"/>
  <c r="M302" i="62"/>
  <c r="M310" i="62"/>
  <c r="M318" i="62"/>
  <c r="M326" i="62"/>
  <c r="M334" i="62"/>
  <c r="M341" i="62"/>
  <c r="M345" i="62"/>
  <c r="M349" i="62"/>
  <c r="M353" i="62"/>
  <c r="M357" i="62"/>
  <c r="M361" i="62"/>
  <c r="M365" i="62"/>
  <c r="M369" i="62"/>
  <c r="M373" i="62"/>
  <c r="M377" i="62"/>
  <c r="M381" i="62"/>
  <c r="M385" i="62"/>
  <c r="M389" i="62"/>
  <c r="M393" i="62"/>
  <c r="M397" i="62"/>
  <c r="M401" i="62"/>
  <c r="M405" i="62"/>
  <c r="M409" i="62"/>
  <c r="M413" i="62"/>
  <c r="M417" i="62"/>
  <c r="M19" i="62"/>
  <c r="M82" i="62"/>
  <c r="M138" i="62"/>
  <c r="M169" i="62"/>
  <c r="M201" i="62"/>
  <c r="M233" i="62"/>
  <c r="M265" i="62"/>
  <c r="M297" i="62"/>
  <c r="M329" i="62"/>
  <c r="M350" i="62"/>
  <c r="M366" i="62"/>
  <c r="M382" i="62"/>
  <c r="M398" i="62"/>
  <c r="M410" i="62"/>
  <c r="M418" i="62"/>
  <c r="M424" i="62"/>
  <c r="M429" i="62"/>
  <c r="M434" i="62"/>
  <c r="M440" i="62"/>
  <c r="M445" i="62"/>
  <c r="M450" i="62"/>
  <c r="M456" i="62"/>
  <c r="M461" i="62"/>
  <c r="M466" i="62"/>
  <c r="M472" i="62"/>
  <c r="M477" i="62"/>
  <c r="M482" i="62"/>
  <c r="M488" i="62"/>
  <c r="M493" i="62"/>
  <c r="M498" i="62"/>
  <c r="M504" i="62"/>
  <c r="M509" i="62"/>
  <c r="M514" i="62"/>
  <c r="M520" i="62"/>
  <c r="M525" i="62"/>
  <c r="M530" i="62"/>
  <c r="M536" i="62"/>
  <c r="M541" i="62"/>
  <c r="M545" i="62"/>
  <c r="M549" i="62"/>
  <c r="M553" i="62"/>
  <c r="M557" i="62"/>
  <c r="M561" i="62"/>
  <c r="M565" i="62"/>
  <c r="M569" i="62"/>
  <c r="M573" i="62"/>
  <c r="M577" i="62"/>
  <c r="M581" i="62"/>
  <c r="M585" i="62"/>
  <c r="M589" i="62"/>
  <c r="M593" i="62"/>
  <c r="E26" i="59" s="1"/>
  <c r="F26" i="59" s="1"/>
  <c r="M597" i="62"/>
  <c r="M601" i="62"/>
  <c r="M605" i="62"/>
  <c r="M609" i="62"/>
  <c r="M613" i="62"/>
  <c r="M617" i="62"/>
  <c r="M621" i="62"/>
  <c r="M625" i="62"/>
  <c r="M629" i="62"/>
  <c r="M633" i="62"/>
  <c r="M637" i="62"/>
  <c r="M641" i="62"/>
  <c r="M645" i="62"/>
  <c r="M649" i="62"/>
  <c r="M653" i="62"/>
  <c r="M657" i="62"/>
  <c r="M661" i="62"/>
  <c r="M665" i="62"/>
  <c r="M669" i="62"/>
  <c r="M673" i="62"/>
  <c r="M677" i="62"/>
  <c r="M681" i="62"/>
  <c r="M685" i="62"/>
  <c r="M689" i="62"/>
  <c r="M693" i="62"/>
  <c r="M697" i="62"/>
  <c r="M701" i="62"/>
  <c r="M705" i="62"/>
  <c r="M709" i="62"/>
  <c r="M713" i="62"/>
  <c r="M717" i="62"/>
  <c r="M721" i="62"/>
  <c r="M725" i="62"/>
  <c r="M729" i="62"/>
  <c r="M733" i="62"/>
  <c r="M737" i="62"/>
  <c r="M741" i="62"/>
  <c r="M745" i="62"/>
  <c r="M749" i="62"/>
  <c r="M753" i="62"/>
  <c r="M757" i="62"/>
  <c r="M761" i="62"/>
  <c r="M765" i="62"/>
  <c r="M768" i="62"/>
  <c r="M772" i="62"/>
  <c r="M776" i="62"/>
  <c r="M780" i="62"/>
  <c r="M784" i="62"/>
  <c r="M788" i="62"/>
  <c r="M792" i="62"/>
  <c r="M796" i="62"/>
  <c r="M800" i="62"/>
  <c r="M804" i="62"/>
  <c r="M808" i="62"/>
  <c r="M812" i="62"/>
  <c r="M816" i="62"/>
  <c r="M820" i="62"/>
  <c r="M824" i="62"/>
  <c r="M828" i="62"/>
  <c r="M832" i="62"/>
  <c r="M836" i="62"/>
  <c r="M840" i="62"/>
  <c r="M844" i="62"/>
  <c r="M848" i="62"/>
  <c r="M852" i="62"/>
  <c r="M856" i="62"/>
  <c r="M860" i="62"/>
  <c r="M864" i="62"/>
  <c r="M868" i="62"/>
  <c r="M872" i="62"/>
  <c r="M876" i="62"/>
  <c r="M880" i="62"/>
  <c r="M884" i="62"/>
  <c r="M888" i="62"/>
  <c r="M892" i="62"/>
  <c r="M896" i="62"/>
  <c r="M900" i="62"/>
  <c r="M904" i="62"/>
  <c r="M908" i="62"/>
  <c r="M912" i="62"/>
  <c r="M916" i="62"/>
  <c r="M923" i="62"/>
  <c r="M927" i="62"/>
  <c r="M931" i="62"/>
  <c r="M935" i="62"/>
  <c r="M939" i="62"/>
  <c r="M943" i="62"/>
  <c r="M947" i="62"/>
  <c r="M951" i="62"/>
  <c r="M954" i="62"/>
  <c r="M958" i="62"/>
  <c r="M962" i="62"/>
  <c r="M966" i="62"/>
  <c r="M970" i="62"/>
  <c r="M974" i="62"/>
  <c r="M978" i="62"/>
  <c r="M982" i="62"/>
  <c r="M986" i="62"/>
  <c r="M990" i="62"/>
  <c r="M994" i="62"/>
  <c r="M998" i="62"/>
  <c r="M1002" i="62"/>
  <c r="M1006" i="62"/>
  <c r="M1010" i="62"/>
  <c r="M1014" i="62"/>
  <c r="M1018" i="62"/>
  <c r="M1022" i="62"/>
  <c r="M1026" i="62"/>
  <c r="M1030" i="62"/>
  <c r="M1034" i="62"/>
  <c r="M1038" i="62"/>
  <c r="M1042" i="62"/>
  <c r="M1046" i="62"/>
  <c r="M1050" i="62"/>
  <c r="M1054" i="62"/>
  <c r="M1058" i="62"/>
  <c r="M1062" i="62"/>
  <c r="M1066" i="62"/>
  <c r="M35" i="62"/>
  <c r="M98" i="62"/>
  <c r="M177" i="62"/>
  <c r="M209" i="62"/>
  <c r="M241" i="62"/>
  <c r="M273" i="62"/>
  <c r="M305" i="62"/>
  <c r="M337" i="62"/>
  <c r="M354" i="62"/>
  <c r="M370" i="62"/>
  <c r="M386" i="62"/>
  <c r="M402" i="62"/>
  <c r="M412" i="62"/>
  <c r="M420" i="62"/>
  <c r="M425" i="62"/>
  <c r="M430" i="62"/>
  <c r="M436" i="62"/>
  <c r="M441" i="62"/>
  <c r="M446" i="62"/>
  <c r="M452" i="62"/>
  <c r="M457" i="62"/>
  <c r="M462" i="62"/>
  <c r="M468" i="62"/>
  <c r="M473" i="62"/>
  <c r="M478" i="62"/>
  <c r="M484" i="62"/>
  <c r="M489" i="62"/>
  <c r="M494" i="62"/>
  <c r="M500" i="62"/>
  <c r="M505" i="62"/>
  <c r="M510" i="62"/>
  <c r="M516" i="62"/>
  <c r="M521" i="62"/>
  <c r="M526" i="62"/>
  <c r="M532" i="62"/>
  <c r="M537" i="62"/>
  <c r="M542" i="62"/>
  <c r="M546" i="62"/>
  <c r="M550" i="62"/>
  <c r="M554" i="62"/>
  <c r="M558" i="62"/>
  <c r="M562" i="62"/>
  <c r="M566" i="62"/>
  <c r="M570" i="62"/>
  <c r="M574" i="62"/>
  <c r="M578" i="62"/>
  <c r="M582" i="62"/>
  <c r="M586" i="62"/>
  <c r="M590" i="62"/>
  <c r="M594" i="62"/>
  <c r="E12" i="59" s="1"/>
  <c r="F12" i="59" s="1"/>
  <c r="M598" i="62"/>
  <c r="M602" i="62"/>
  <c r="M606" i="62"/>
  <c r="M610" i="62"/>
  <c r="M614" i="62"/>
  <c r="M618" i="62"/>
  <c r="M622" i="62"/>
  <c r="M626" i="62"/>
  <c r="M630" i="62"/>
  <c r="M634" i="62"/>
  <c r="M638" i="62"/>
  <c r="M642" i="62"/>
  <c r="M646" i="62"/>
  <c r="M650" i="62"/>
  <c r="M654" i="62"/>
  <c r="M658" i="62"/>
  <c r="M662" i="62"/>
  <c r="M666" i="62"/>
  <c r="M670" i="62"/>
  <c r="M674" i="62"/>
  <c r="M678" i="62"/>
  <c r="M682" i="62"/>
  <c r="M686" i="62"/>
  <c r="M690" i="62"/>
  <c r="M694" i="62"/>
  <c r="M698" i="62"/>
  <c r="M702" i="62"/>
  <c r="M706" i="62"/>
  <c r="M710" i="62"/>
  <c r="M714" i="62"/>
  <c r="M718" i="62"/>
  <c r="M722" i="62"/>
  <c r="M726" i="62"/>
  <c r="M730" i="62"/>
  <c r="M734" i="62"/>
  <c r="M738" i="62"/>
  <c r="M742" i="62"/>
  <c r="M746" i="62"/>
  <c r="M750" i="62"/>
  <c r="M754" i="62"/>
  <c r="M758" i="62"/>
  <c r="M762" i="62"/>
  <c r="M766" i="62"/>
  <c r="M769" i="62"/>
  <c r="M773" i="62"/>
  <c r="M777" i="62"/>
  <c r="M781" i="62"/>
  <c r="M785" i="62"/>
  <c r="M789" i="62"/>
  <c r="M793" i="62"/>
  <c r="M797" i="62"/>
  <c r="M801" i="62"/>
  <c r="M805" i="62"/>
  <c r="M809" i="62"/>
  <c r="M813" i="62"/>
  <c r="M817" i="62"/>
  <c r="M821" i="62"/>
  <c r="M825" i="62"/>
  <c r="M829" i="62"/>
  <c r="M833" i="62"/>
  <c r="M837" i="62"/>
  <c r="M841" i="62"/>
  <c r="M845" i="62"/>
  <c r="M849" i="62"/>
  <c r="M853" i="62"/>
  <c r="M857" i="62"/>
  <c r="M861" i="62"/>
  <c r="M865" i="62"/>
  <c r="M869" i="62"/>
  <c r="M873" i="62"/>
  <c r="M877" i="62"/>
  <c r="M881" i="62"/>
  <c r="M885" i="62"/>
  <c r="M889" i="62"/>
  <c r="M893" i="62"/>
  <c r="M897" i="62"/>
  <c r="M901" i="62"/>
  <c r="M905" i="62"/>
  <c r="M909" i="62"/>
  <c r="M913" i="62"/>
  <c r="M917" i="62"/>
  <c r="M920" i="62"/>
  <c r="M924" i="62"/>
  <c r="M928" i="62"/>
  <c r="M932" i="62"/>
  <c r="M936" i="62"/>
  <c r="M940" i="62"/>
  <c r="M944" i="62"/>
  <c r="M948" i="62"/>
  <c r="M952" i="62"/>
  <c r="M955" i="62"/>
  <c r="M959" i="62"/>
  <c r="M963" i="62"/>
  <c r="M967" i="62"/>
  <c r="M971" i="62"/>
  <c r="M975" i="62"/>
  <c r="M979" i="62"/>
  <c r="M983" i="62"/>
  <c r="M987" i="62"/>
  <c r="M991" i="62"/>
  <c r="M995" i="62"/>
  <c r="M999" i="62"/>
  <c r="M1003" i="62"/>
  <c r="M1007" i="62"/>
  <c r="M1011" i="62"/>
  <c r="M1015" i="62"/>
  <c r="M1019" i="62"/>
  <c r="M1023" i="62"/>
  <c r="M1027" i="62"/>
  <c r="M1031" i="62"/>
  <c r="M1035" i="62"/>
  <c r="M1039" i="62"/>
  <c r="M1043" i="62"/>
  <c r="M1047" i="62"/>
  <c r="M1051" i="62"/>
  <c r="M1055" i="62"/>
  <c r="M1059" i="62"/>
  <c r="M1063" i="62"/>
  <c r="M1067" i="62"/>
  <c r="M51" i="62"/>
  <c r="M153" i="62"/>
  <c r="M217" i="62"/>
  <c r="M281" i="62"/>
  <c r="M342" i="62"/>
  <c r="M374" i="62"/>
  <c r="M406" i="62"/>
  <c r="M421" i="62"/>
  <c r="M432" i="62"/>
  <c r="M442" i="62"/>
  <c r="M453" i="62"/>
  <c r="M464" i="62"/>
  <c r="M474" i="62"/>
  <c r="M485" i="62"/>
  <c r="M496" i="62"/>
  <c r="M506" i="62"/>
  <c r="M517" i="62"/>
  <c r="M528" i="62"/>
  <c r="M538" i="62"/>
  <c r="M547" i="62"/>
  <c r="M555" i="62"/>
  <c r="M563" i="62"/>
  <c r="M571" i="62"/>
  <c r="M579" i="62"/>
  <c r="M587" i="62"/>
  <c r="M595" i="62"/>
  <c r="M603" i="62"/>
  <c r="M611" i="62"/>
  <c r="M619" i="62"/>
  <c r="E2" i="59" s="1"/>
  <c r="F2" i="59" s="1"/>
  <c r="M627" i="62"/>
  <c r="M635" i="62"/>
  <c r="M643" i="62"/>
  <c r="M651" i="62"/>
  <c r="M659" i="62"/>
  <c r="M667" i="62"/>
  <c r="M675" i="62"/>
  <c r="M683" i="62"/>
  <c r="M691" i="62"/>
  <c r="M699" i="62"/>
  <c r="M707" i="62"/>
  <c r="M715" i="62"/>
  <c r="M723" i="62"/>
  <c r="M731" i="62"/>
  <c r="M739" i="62"/>
  <c r="M747" i="62"/>
  <c r="M755" i="62"/>
  <c r="M763" i="62"/>
  <c r="M770" i="62"/>
  <c r="M778" i="62"/>
  <c r="M786" i="62"/>
  <c r="M794" i="62"/>
  <c r="M802" i="62"/>
  <c r="M810" i="62"/>
  <c r="M818" i="62"/>
  <c r="M826" i="62"/>
  <c r="M834" i="62"/>
  <c r="M842" i="62"/>
  <c r="M850" i="62"/>
  <c r="M858" i="62"/>
  <c r="M866" i="62"/>
  <c r="M874" i="62"/>
  <c r="M882" i="62"/>
  <c r="M890" i="62"/>
  <c r="M898" i="62"/>
  <c r="M906" i="62"/>
  <c r="M914" i="62"/>
  <c r="M921" i="62"/>
  <c r="M929" i="62"/>
  <c r="M937" i="62"/>
  <c r="M945" i="62"/>
  <c r="M960" i="62"/>
  <c r="M968" i="62"/>
  <c r="M976" i="62"/>
  <c r="M984" i="62"/>
  <c r="M992" i="62"/>
  <c r="M1000" i="62"/>
  <c r="M1008" i="62"/>
  <c r="M1016" i="62"/>
  <c r="M1024" i="62"/>
  <c r="M1032" i="62"/>
  <c r="M1040" i="62"/>
  <c r="M1048" i="62"/>
  <c r="M1056" i="62"/>
  <c r="M1064" i="62"/>
  <c r="M1070" i="62"/>
  <c r="M1074" i="62"/>
  <c r="M1078" i="62"/>
  <c r="M1082" i="62"/>
  <c r="M1086" i="62"/>
  <c r="M1090" i="62"/>
  <c r="M1094" i="62"/>
  <c r="M1098" i="62"/>
  <c r="M1102" i="62"/>
  <c r="M1105" i="62"/>
  <c r="M1109" i="62"/>
  <c r="M1113" i="62"/>
  <c r="M1117" i="62"/>
  <c r="M1121" i="62"/>
  <c r="M1125" i="62"/>
  <c r="M1129" i="62"/>
  <c r="M1133" i="62"/>
  <c r="M1137" i="62"/>
  <c r="M1141" i="62"/>
  <c r="M1145" i="62"/>
  <c r="M1149" i="62"/>
  <c r="M1153" i="62"/>
  <c r="M1157" i="62"/>
  <c r="M1161" i="62"/>
  <c r="M1165" i="62"/>
  <c r="M1169" i="62"/>
  <c r="M1173" i="62"/>
  <c r="M1177" i="62"/>
  <c r="M1181" i="62"/>
  <c r="M1185" i="62"/>
  <c r="M1189" i="62"/>
  <c r="M1193" i="62"/>
  <c r="M1197" i="62"/>
  <c r="M1201" i="62"/>
  <c r="M1205" i="62"/>
  <c r="M1209" i="62"/>
  <c r="M1213" i="62"/>
  <c r="M1217" i="62"/>
  <c r="M1221" i="62"/>
  <c r="M1225" i="62"/>
  <c r="M1229" i="62"/>
  <c r="M1233" i="62"/>
  <c r="M1237" i="62"/>
  <c r="M1241" i="62"/>
  <c r="M1245" i="62"/>
  <c r="M1249" i="62"/>
  <c r="M1253" i="62"/>
  <c r="M1257" i="62"/>
  <c r="M1261" i="62"/>
  <c r="M1265" i="62"/>
  <c r="M1269" i="62"/>
  <c r="M1273" i="62"/>
  <c r="M1277" i="62"/>
  <c r="M1281" i="62"/>
  <c r="M1285" i="62"/>
  <c r="M1289" i="62"/>
  <c r="M1292" i="62"/>
  <c r="M1296" i="62"/>
  <c r="M1300" i="62"/>
  <c r="M1304" i="62"/>
  <c r="M1308" i="62"/>
  <c r="M1312" i="62"/>
  <c r="M1316" i="62"/>
  <c r="M1320" i="62"/>
  <c r="M1324" i="62"/>
  <c r="M1328" i="62"/>
  <c r="M1332" i="62"/>
  <c r="M1336" i="62"/>
  <c r="M1340" i="62"/>
  <c r="M1344" i="62"/>
  <c r="M1348" i="62"/>
  <c r="M1352" i="62"/>
  <c r="M1356" i="62"/>
  <c r="M1360" i="62"/>
  <c r="M1364" i="62"/>
  <c r="M1368" i="62"/>
  <c r="M1372" i="62"/>
  <c r="M1376" i="62"/>
  <c r="M1380" i="62"/>
  <c r="M1384" i="62"/>
  <c r="M1388" i="62"/>
  <c r="M1392" i="62"/>
  <c r="M1396" i="62"/>
  <c r="M1400" i="62"/>
  <c r="M1404" i="62"/>
  <c r="E3" i="59" s="1"/>
  <c r="F3" i="59" s="1"/>
  <c r="M1408" i="62"/>
  <c r="M1412" i="62"/>
  <c r="M1416" i="62"/>
  <c r="M1420" i="62"/>
  <c r="M1424" i="62"/>
  <c r="M1428" i="62"/>
  <c r="M1432" i="62"/>
  <c r="M1436" i="62"/>
  <c r="M1440" i="62"/>
  <c r="M1444" i="62"/>
  <c r="M1448" i="62"/>
  <c r="M1452" i="62"/>
  <c r="M1456" i="62"/>
  <c r="M1460" i="62"/>
  <c r="M1464" i="62"/>
  <c r="M1468" i="62"/>
  <c r="M1472" i="62"/>
  <c r="M1476" i="62"/>
  <c r="M1480" i="62"/>
  <c r="M1484" i="62"/>
  <c r="M1488" i="62"/>
  <c r="M1492" i="62"/>
  <c r="M1496" i="62"/>
  <c r="M1499" i="62"/>
  <c r="M1503" i="62"/>
  <c r="M1507" i="62"/>
  <c r="M1511" i="62"/>
  <c r="M1515" i="62"/>
  <c r="M1519" i="62"/>
  <c r="M1523" i="62"/>
  <c r="M1527" i="62"/>
  <c r="M1531" i="62"/>
  <c r="M1535" i="62"/>
  <c r="M1539" i="62"/>
  <c r="M1543" i="62"/>
  <c r="M1547" i="62"/>
  <c r="M1551" i="62"/>
  <c r="M1555" i="62"/>
  <c r="M1559" i="62"/>
  <c r="M1563" i="62"/>
  <c r="M1567" i="62"/>
  <c r="M67" i="62"/>
  <c r="M161" i="62"/>
  <c r="M225" i="62"/>
  <c r="M289" i="62"/>
  <c r="M346" i="62"/>
  <c r="M378" i="62"/>
  <c r="M408" i="62"/>
  <c r="M422" i="62"/>
  <c r="M433" i="62"/>
  <c r="M444" i="62"/>
  <c r="M454" i="62"/>
  <c r="M465" i="62"/>
  <c r="M476" i="62"/>
  <c r="M486" i="62"/>
  <c r="M497" i="62"/>
  <c r="M508" i="62"/>
  <c r="M518" i="62"/>
  <c r="M529" i="62"/>
  <c r="M540" i="62"/>
  <c r="M548" i="62"/>
  <c r="M556" i="62"/>
  <c r="M564" i="62"/>
  <c r="M572" i="62"/>
  <c r="M580" i="62"/>
  <c r="M588" i="62"/>
  <c r="M596" i="62"/>
  <c r="M604" i="62"/>
  <c r="M612" i="62"/>
  <c r="M620" i="62"/>
  <c r="M628" i="62"/>
  <c r="M636" i="62"/>
  <c r="M644" i="62"/>
  <c r="M652" i="62"/>
  <c r="M660" i="62"/>
  <c r="M668" i="62"/>
  <c r="M676" i="62"/>
  <c r="M684" i="62"/>
  <c r="M692" i="62"/>
  <c r="M700" i="62"/>
  <c r="M708" i="62"/>
  <c r="M716" i="62"/>
  <c r="M724" i="62"/>
  <c r="M732" i="62"/>
  <c r="M740" i="62"/>
  <c r="M748" i="62"/>
  <c r="M756" i="62"/>
  <c r="M764" i="62"/>
  <c r="M771" i="62"/>
  <c r="M779" i="62"/>
  <c r="M787" i="62"/>
  <c r="M795" i="62"/>
  <c r="M803" i="62"/>
  <c r="M811" i="62"/>
  <c r="M819" i="62"/>
  <c r="M827" i="62"/>
  <c r="M835" i="62"/>
  <c r="M843" i="62"/>
  <c r="M851" i="62"/>
  <c r="M859" i="62"/>
  <c r="M867" i="62"/>
  <c r="M875" i="62"/>
  <c r="M883" i="62"/>
  <c r="M891" i="62"/>
  <c r="M899" i="62"/>
  <c r="M907" i="62"/>
  <c r="M915" i="62"/>
  <c r="M922" i="62"/>
  <c r="M930" i="62"/>
  <c r="M938" i="62"/>
  <c r="M946" i="62"/>
  <c r="M953" i="62"/>
  <c r="M961" i="62"/>
  <c r="M969" i="62"/>
  <c r="M977" i="62"/>
  <c r="M985" i="62"/>
  <c r="M993" i="62"/>
  <c r="M1001" i="62"/>
  <c r="M1009" i="62"/>
  <c r="M1017" i="62"/>
  <c r="M1025" i="62"/>
  <c r="M1033" i="62"/>
  <c r="M1041" i="62"/>
  <c r="M1049" i="62"/>
  <c r="M1057" i="62"/>
  <c r="M1065" i="62"/>
  <c r="M1071" i="62"/>
  <c r="M1075" i="62"/>
  <c r="M1079" i="62"/>
  <c r="M1083" i="62"/>
  <c r="M1087" i="62"/>
  <c r="M1091" i="62"/>
  <c r="M1095" i="62"/>
  <c r="M1099" i="62"/>
  <c r="M1103" i="62"/>
  <c r="M1106" i="62"/>
  <c r="M1110" i="62"/>
  <c r="M1114" i="62"/>
  <c r="M1118" i="62"/>
  <c r="M1122" i="62"/>
  <c r="M1126" i="62"/>
  <c r="M1130" i="62"/>
  <c r="M1134" i="62"/>
  <c r="M1138" i="62"/>
  <c r="M1142" i="62"/>
  <c r="M1146" i="62"/>
  <c r="M1150" i="62"/>
  <c r="M1154" i="62"/>
  <c r="M1158" i="62"/>
  <c r="M1162" i="62"/>
  <c r="M1166" i="62"/>
  <c r="M1170" i="62"/>
  <c r="M1174" i="62"/>
  <c r="M1178" i="62"/>
  <c r="M1182" i="62"/>
  <c r="M1186" i="62"/>
  <c r="M1190" i="62"/>
  <c r="M1194" i="62"/>
  <c r="M1198" i="62"/>
  <c r="M1202" i="62"/>
  <c r="M1206" i="62"/>
  <c r="M1210" i="62"/>
  <c r="M1214" i="62"/>
  <c r="M1218" i="62"/>
  <c r="M1222" i="62"/>
  <c r="M1226" i="62"/>
  <c r="M1230" i="62"/>
  <c r="M1234" i="62"/>
  <c r="M1238" i="62"/>
  <c r="M1242" i="62"/>
  <c r="M1246" i="62"/>
  <c r="M1250" i="62"/>
  <c r="M1254" i="62"/>
  <c r="M1258" i="62"/>
  <c r="M1262" i="62"/>
  <c r="M1266" i="62"/>
  <c r="M1270" i="62"/>
  <c r="M1274" i="62"/>
  <c r="M1278" i="62"/>
  <c r="M1282" i="62"/>
  <c r="M1286" i="62"/>
  <c r="M1290" i="62"/>
  <c r="M1293" i="62"/>
  <c r="M1297" i="62"/>
  <c r="M1301" i="62"/>
  <c r="M1305" i="62"/>
  <c r="M1309" i="62"/>
  <c r="M1313" i="62"/>
  <c r="M1317" i="62"/>
  <c r="M1321" i="62"/>
  <c r="M1325" i="62"/>
  <c r="M1329" i="62"/>
  <c r="M1333" i="62"/>
  <c r="M1337" i="62"/>
  <c r="M1341" i="62"/>
  <c r="M1345" i="62"/>
  <c r="M1349" i="62"/>
  <c r="M1353" i="62"/>
  <c r="M1357" i="62"/>
  <c r="M1361" i="62"/>
  <c r="M1365" i="62"/>
  <c r="M1369" i="62"/>
  <c r="M1373" i="62"/>
  <c r="M1377" i="62"/>
  <c r="M1381" i="62"/>
  <c r="M1385" i="62"/>
  <c r="M1389" i="62"/>
  <c r="M1393" i="62"/>
  <c r="M1397" i="62"/>
  <c r="M1401" i="62"/>
  <c r="M1405" i="62"/>
  <c r="M1409" i="62"/>
  <c r="M1413" i="62"/>
  <c r="M1417" i="62"/>
  <c r="M1421" i="62"/>
  <c r="M1425" i="62"/>
  <c r="M1429" i="62"/>
  <c r="M1433" i="62"/>
  <c r="M1437" i="62"/>
  <c r="M1441" i="62"/>
  <c r="M1445" i="62"/>
  <c r="M1449" i="62"/>
  <c r="M1453" i="62"/>
  <c r="M1457" i="62"/>
  <c r="M1461" i="62"/>
  <c r="M1465" i="62"/>
  <c r="M1469" i="62"/>
  <c r="M1473" i="62"/>
  <c r="M1477" i="62"/>
  <c r="M1481" i="62"/>
  <c r="M1485" i="62"/>
  <c r="M1489" i="62"/>
  <c r="M1493" i="62"/>
  <c r="M1497" i="62"/>
  <c r="M1500" i="62"/>
  <c r="M1504" i="62"/>
  <c r="M1508" i="62"/>
  <c r="M1512" i="62"/>
  <c r="M1516" i="62"/>
  <c r="M1520" i="62"/>
  <c r="M1524" i="62"/>
  <c r="M1528" i="62"/>
  <c r="M1532" i="62"/>
  <c r="M1536" i="62"/>
  <c r="M1540" i="62"/>
  <c r="M1544" i="62"/>
  <c r="M1548" i="62"/>
  <c r="M1552" i="62"/>
  <c r="M1556" i="62"/>
  <c r="M1560" i="62"/>
  <c r="M1564" i="62"/>
  <c r="M1568" i="62"/>
  <c r="M114" i="62"/>
  <c r="M185" i="62"/>
  <c r="M249" i="62"/>
  <c r="M313" i="62"/>
  <c r="M358" i="62"/>
  <c r="M390" i="62"/>
  <c r="M414" i="62"/>
  <c r="M426" i="62"/>
  <c r="M437" i="62"/>
  <c r="M448" i="62"/>
  <c r="M458" i="62"/>
  <c r="M469" i="62"/>
  <c r="M480" i="62"/>
  <c r="M490" i="62"/>
  <c r="M501" i="62"/>
  <c r="M512" i="62"/>
  <c r="M522" i="62"/>
  <c r="M533" i="62"/>
  <c r="M543" i="62"/>
  <c r="M551" i="62"/>
  <c r="M559" i="62"/>
  <c r="M567" i="62"/>
  <c r="M575" i="62"/>
  <c r="M583" i="62"/>
  <c r="M591" i="62"/>
  <c r="M599" i="62"/>
  <c r="M607" i="62"/>
  <c r="M615" i="62"/>
  <c r="M623" i="62"/>
  <c r="M631" i="62"/>
  <c r="M639" i="62"/>
  <c r="M647" i="62"/>
  <c r="M655" i="62"/>
  <c r="M663" i="62"/>
  <c r="M671" i="62"/>
  <c r="M679" i="62"/>
  <c r="M687" i="62"/>
  <c r="M695" i="62"/>
  <c r="M703" i="62"/>
  <c r="M711" i="62"/>
  <c r="M719" i="62"/>
  <c r="M727" i="62"/>
  <c r="M735" i="62"/>
  <c r="M743" i="62"/>
  <c r="M751" i="62"/>
  <c r="M759" i="62"/>
  <c r="M774" i="62"/>
  <c r="M782" i="62"/>
  <c r="M790" i="62"/>
  <c r="M798" i="62"/>
  <c r="M806" i="62"/>
  <c r="M814" i="62"/>
  <c r="M822" i="62"/>
  <c r="M830" i="62"/>
  <c r="M838" i="62"/>
  <c r="M846" i="62"/>
  <c r="M854" i="62"/>
  <c r="M862" i="62"/>
  <c r="M870" i="62"/>
  <c r="M878" i="62"/>
  <c r="M886" i="62"/>
  <c r="M894" i="62"/>
  <c r="M902" i="62"/>
  <c r="M910" i="62"/>
  <c r="M918" i="62"/>
  <c r="M925" i="62"/>
  <c r="M933" i="62"/>
  <c r="M941" i="62"/>
  <c r="M949" i="62"/>
  <c r="M956" i="62"/>
  <c r="M964" i="62"/>
  <c r="M972" i="62"/>
  <c r="M980" i="62"/>
  <c r="M988" i="62"/>
  <c r="M996" i="62"/>
  <c r="M1004" i="62"/>
  <c r="M1012" i="62"/>
  <c r="M1020" i="62"/>
  <c r="M1028" i="62"/>
  <c r="M1036" i="62"/>
  <c r="M1044" i="62"/>
  <c r="M1052" i="62"/>
  <c r="M1060" i="62"/>
  <c r="M1068" i="62"/>
  <c r="M1072" i="62"/>
  <c r="M1076" i="62"/>
  <c r="M1080" i="62"/>
  <c r="M1084" i="62"/>
  <c r="M1088" i="62"/>
  <c r="M1092" i="62"/>
  <c r="M1096" i="62"/>
  <c r="M1100" i="62"/>
  <c r="M1104" i="62"/>
  <c r="M1107" i="62"/>
  <c r="M1111" i="62"/>
  <c r="M1115" i="62"/>
  <c r="M1119" i="62"/>
  <c r="M1123" i="62"/>
  <c r="M1127" i="62"/>
  <c r="M1131" i="62"/>
  <c r="M1135" i="62"/>
  <c r="M1139" i="62"/>
  <c r="M1143" i="62"/>
  <c r="M1147" i="62"/>
  <c r="M1151" i="62"/>
  <c r="M1155" i="62"/>
  <c r="M1159" i="62"/>
  <c r="M1163" i="62"/>
  <c r="M1167" i="62"/>
  <c r="M1171" i="62"/>
  <c r="M1175" i="62"/>
  <c r="M1179" i="62"/>
  <c r="M1183" i="62"/>
  <c r="M1187" i="62"/>
  <c r="E23" i="59" s="1"/>
  <c r="F23" i="59" s="1"/>
  <c r="M1191" i="62"/>
  <c r="M1195" i="62"/>
  <c r="M1199" i="62"/>
  <c r="M1203" i="62"/>
  <c r="M1207" i="62"/>
  <c r="M1211" i="62"/>
  <c r="M1215" i="62"/>
  <c r="M1219" i="62"/>
  <c r="M1223" i="62"/>
  <c r="M1227" i="62"/>
  <c r="M1231" i="62"/>
  <c r="M1235" i="62"/>
  <c r="M1239" i="62"/>
  <c r="M1243" i="62"/>
  <c r="M1247" i="62"/>
  <c r="M1251" i="62"/>
  <c r="M1255" i="62"/>
  <c r="M1259" i="62"/>
  <c r="M1263" i="62"/>
  <c r="M1267" i="62"/>
  <c r="M1271" i="62"/>
  <c r="M1275" i="62"/>
  <c r="M1279" i="62"/>
  <c r="M1283" i="62"/>
  <c r="M1287" i="62"/>
  <c r="M1294" i="62"/>
  <c r="M1298" i="62"/>
  <c r="M1302" i="62"/>
  <c r="M1306" i="62"/>
  <c r="M1310" i="62"/>
  <c r="M1314" i="62"/>
  <c r="M1318" i="62"/>
  <c r="M1322" i="62"/>
  <c r="M1326" i="62"/>
  <c r="M1330" i="62"/>
  <c r="M1334" i="62"/>
  <c r="M1338" i="62"/>
  <c r="M1342" i="62"/>
  <c r="M1346" i="62"/>
  <c r="M1350" i="62"/>
  <c r="M1354" i="62"/>
  <c r="M1358" i="62"/>
  <c r="M1362" i="62"/>
  <c r="M1366" i="62"/>
  <c r="M1370" i="62"/>
  <c r="M1374" i="62"/>
  <c r="M1378" i="62"/>
  <c r="M1382" i="62"/>
  <c r="M1386" i="62"/>
  <c r="M1390" i="62"/>
  <c r="M1394" i="62"/>
  <c r="M1398" i="62"/>
  <c r="M1402" i="62"/>
  <c r="M1406" i="62"/>
  <c r="M130" i="62"/>
  <c r="M362" i="62"/>
  <c r="M438" i="62"/>
  <c r="M481" i="62"/>
  <c r="M524" i="62"/>
  <c r="M560" i="62"/>
  <c r="M592" i="62"/>
  <c r="M624" i="62"/>
  <c r="M656" i="62"/>
  <c r="M688" i="62"/>
  <c r="M720" i="62"/>
  <c r="M752" i="62"/>
  <c r="M783" i="62"/>
  <c r="M815" i="62"/>
  <c r="M847" i="62"/>
  <c r="M879" i="62"/>
  <c r="M911" i="62"/>
  <c r="M942" i="62"/>
  <c r="M973" i="62"/>
  <c r="M1005" i="62"/>
  <c r="M1037" i="62"/>
  <c r="M1069" i="62"/>
  <c r="M1085" i="62"/>
  <c r="M1101" i="62"/>
  <c r="M1116" i="62"/>
  <c r="M1132" i="62"/>
  <c r="M1148" i="62"/>
  <c r="M1164" i="62"/>
  <c r="M1180" i="62"/>
  <c r="M1196" i="62"/>
  <c r="M1212" i="62"/>
  <c r="M1228" i="62"/>
  <c r="M1244" i="62"/>
  <c r="M1260" i="62"/>
  <c r="M1276" i="62"/>
  <c r="M1291" i="62"/>
  <c r="M1307" i="62"/>
  <c r="M1323" i="62"/>
  <c r="M1339" i="62"/>
  <c r="M1355" i="62"/>
  <c r="M1371" i="62"/>
  <c r="M1387" i="62"/>
  <c r="M1403" i="62"/>
  <c r="M1414" i="62"/>
  <c r="M1422" i="62"/>
  <c r="M1430" i="62"/>
  <c r="M1438" i="62"/>
  <c r="M1446" i="62"/>
  <c r="M1454" i="62"/>
  <c r="M1462" i="62"/>
  <c r="M1470" i="62"/>
  <c r="M1478" i="62"/>
  <c r="M1486" i="62"/>
  <c r="M1494" i="62"/>
  <c r="M1501" i="62"/>
  <c r="M1509" i="62"/>
  <c r="M1517" i="62"/>
  <c r="M1525" i="62"/>
  <c r="M1533" i="62"/>
  <c r="M1541" i="62"/>
  <c r="M1549" i="62"/>
  <c r="M1557" i="62"/>
  <c r="M1565" i="62"/>
  <c r="M1571" i="62"/>
  <c r="M1575" i="62"/>
  <c r="M1579" i="62"/>
  <c r="M1583" i="62"/>
  <c r="M1587" i="62"/>
  <c r="M1591" i="62"/>
  <c r="M1595" i="62"/>
  <c r="M1599" i="62"/>
  <c r="M1603" i="62"/>
  <c r="M1607" i="62"/>
  <c r="M1611" i="62"/>
  <c r="M1615" i="62"/>
  <c r="M1619" i="62"/>
  <c r="M1623" i="62"/>
  <c r="M1627" i="62"/>
  <c r="M1631" i="62"/>
  <c r="M1635" i="62"/>
  <c r="M1639" i="62"/>
  <c r="M1643" i="62"/>
  <c r="M1647" i="62"/>
  <c r="M1651" i="62"/>
  <c r="M1654" i="62"/>
  <c r="M1658" i="62"/>
  <c r="M1661" i="62"/>
  <c r="M1665" i="62"/>
  <c r="M1669" i="62"/>
  <c r="M1673" i="62"/>
  <c r="M1677" i="62"/>
  <c r="M1681" i="62"/>
  <c r="M1685" i="62"/>
  <c r="M1689" i="62"/>
  <c r="M1693" i="62"/>
  <c r="M1697" i="62"/>
  <c r="M1701" i="62"/>
  <c r="M1705" i="62"/>
  <c r="M1709" i="62"/>
  <c r="M1713" i="62"/>
  <c r="M1717" i="62"/>
  <c r="M1720" i="62"/>
  <c r="M1724" i="62"/>
  <c r="M1728" i="62"/>
  <c r="M1732" i="62"/>
  <c r="M1736" i="62"/>
  <c r="M1740" i="62"/>
  <c r="M1744" i="62"/>
  <c r="M1748" i="62"/>
  <c r="M1752" i="62"/>
  <c r="M1756" i="62"/>
  <c r="M1760" i="62"/>
  <c r="M1764" i="62"/>
  <c r="M1768" i="62"/>
  <c r="M1772" i="62"/>
  <c r="M1776" i="62"/>
  <c r="M1780" i="62"/>
  <c r="M1784" i="62"/>
  <c r="M1788" i="62"/>
  <c r="M1792" i="62"/>
  <c r="M1796" i="62"/>
  <c r="M1800" i="62"/>
  <c r="M1804" i="62"/>
  <c r="M1808" i="62"/>
  <c r="M1812" i="62"/>
  <c r="M1816" i="62"/>
  <c r="M1820" i="62"/>
  <c r="M1823" i="62"/>
  <c r="M1827" i="62"/>
  <c r="M1831" i="62"/>
  <c r="M1835" i="62"/>
  <c r="M1839" i="62"/>
  <c r="M1843" i="62"/>
  <c r="M1847" i="62"/>
  <c r="M1851" i="62"/>
  <c r="M1855" i="62"/>
  <c r="M1859" i="62"/>
  <c r="M1863" i="62"/>
  <c r="M1867" i="62"/>
  <c r="M1871" i="62"/>
  <c r="M1875" i="62"/>
  <c r="M1879" i="62"/>
  <c r="M1883" i="62"/>
  <c r="M1887" i="62"/>
  <c r="M1891" i="62"/>
  <c r="M1895" i="62"/>
  <c r="M1899" i="62"/>
  <c r="M1903" i="62"/>
  <c r="M1907" i="62"/>
  <c r="M1911" i="62"/>
  <c r="M1915" i="62"/>
  <c r="M1919" i="62"/>
  <c r="M1923" i="62"/>
  <c r="M1927" i="62"/>
  <c r="M1931" i="62"/>
  <c r="M1935" i="62"/>
  <c r="M1939" i="62"/>
  <c r="M1943" i="62"/>
  <c r="M1947" i="62"/>
  <c r="M1951" i="62"/>
  <c r="M1955" i="62"/>
  <c r="M1959" i="62"/>
  <c r="M1963" i="62"/>
  <c r="M1967" i="62"/>
  <c r="M1971" i="62"/>
  <c r="M1975" i="62"/>
  <c r="M1979" i="62"/>
  <c r="M1983" i="62"/>
  <c r="M1987" i="62"/>
  <c r="M1991" i="62"/>
  <c r="M1995" i="62"/>
  <c r="M1999" i="62"/>
  <c r="M2003" i="62"/>
  <c r="M2007" i="62"/>
  <c r="M2011" i="62"/>
  <c r="M2015" i="62"/>
  <c r="M2019" i="62"/>
  <c r="M2023" i="62"/>
  <c r="M2027" i="62"/>
  <c r="M2031" i="62"/>
  <c r="M2035" i="62"/>
  <c r="M2039" i="62"/>
  <c r="M2043" i="62"/>
  <c r="M2047" i="62"/>
  <c r="M2051" i="62"/>
  <c r="M2055" i="62"/>
  <c r="M2059" i="62"/>
  <c r="M2063" i="62"/>
  <c r="M2067" i="62"/>
  <c r="M2071" i="62"/>
  <c r="M2075" i="62"/>
  <c r="M2079" i="62"/>
  <c r="M2083" i="62"/>
  <c r="M2087" i="62"/>
  <c r="M2091" i="62"/>
  <c r="M2095" i="62"/>
  <c r="M2099" i="62"/>
  <c r="M2103" i="62"/>
  <c r="M2107" i="62"/>
  <c r="M2111" i="62"/>
  <c r="M2115" i="62"/>
  <c r="M2119" i="62"/>
  <c r="M2123" i="62"/>
  <c r="M2127" i="62"/>
  <c r="M2131" i="62"/>
  <c r="M2135" i="62"/>
  <c r="M2139" i="62"/>
  <c r="M2143" i="62"/>
  <c r="M2147" i="62"/>
  <c r="M2151" i="62"/>
  <c r="M2155" i="62"/>
  <c r="M2159" i="62"/>
  <c r="M2163" i="62"/>
  <c r="M2167" i="62"/>
  <c r="M2171" i="62"/>
  <c r="M2175" i="62"/>
  <c r="M2179" i="62"/>
  <c r="M2183" i="62"/>
  <c r="M2187" i="62"/>
  <c r="M193" i="62"/>
  <c r="M394" i="62"/>
  <c r="M449" i="62"/>
  <c r="M492" i="62"/>
  <c r="M534" i="62"/>
  <c r="M568" i="62"/>
  <c r="M600" i="62"/>
  <c r="M632" i="62"/>
  <c r="M664" i="62"/>
  <c r="M696" i="62"/>
  <c r="M728" i="62"/>
  <c r="M760" i="62"/>
  <c r="M791" i="62"/>
  <c r="M823" i="62"/>
  <c r="M855" i="62"/>
  <c r="M887" i="62"/>
  <c r="M919" i="62"/>
  <c r="M950" i="62"/>
  <c r="M981" i="62"/>
  <c r="M1013" i="62"/>
  <c r="M1045" i="62"/>
  <c r="M1073" i="62"/>
  <c r="M1089" i="62"/>
  <c r="M1120" i="62"/>
  <c r="M1136" i="62"/>
  <c r="M1152" i="62"/>
  <c r="M1168" i="62"/>
  <c r="M1184" i="62"/>
  <c r="M1200" i="62"/>
  <c r="M1216" i="62"/>
  <c r="M1232" i="62"/>
  <c r="M1248" i="62"/>
  <c r="M1264" i="62"/>
  <c r="M1280" i="62"/>
  <c r="M1295" i="62"/>
  <c r="M1311" i="62"/>
  <c r="M1327" i="62"/>
  <c r="M1343" i="62"/>
  <c r="M1359" i="62"/>
  <c r="M1375" i="62"/>
  <c r="M1391" i="62"/>
  <c r="M1407" i="62"/>
  <c r="M1415" i="62"/>
  <c r="M1423" i="62"/>
  <c r="M1431" i="62"/>
  <c r="M1439" i="62"/>
  <c r="M1447" i="62"/>
  <c r="M1455" i="62"/>
  <c r="M1463" i="62"/>
  <c r="M1471" i="62"/>
  <c r="M1479" i="62"/>
  <c r="M1487" i="62"/>
  <c r="M1495" i="62"/>
  <c r="M1502" i="62"/>
  <c r="M1510" i="62"/>
  <c r="M1518" i="62"/>
  <c r="M1526" i="62"/>
  <c r="M1534" i="62"/>
  <c r="M1542" i="62"/>
  <c r="M1550" i="62"/>
  <c r="M1558" i="62"/>
  <c r="M1566" i="62"/>
  <c r="M1572" i="62"/>
  <c r="M1576" i="62"/>
  <c r="M1580" i="62"/>
  <c r="M1584" i="62"/>
  <c r="M1588" i="62"/>
  <c r="M1592" i="62"/>
  <c r="M1596" i="62"/>
  <c r="M1600" i="62"/>
  <c r="M1604" i="62"/>
  <c r="M1608" i="62"/>
  <c r="M1612" i="62"/>
  <c r="M1616" i="62"/>
  <c r="M1620" i="62"/>
  <c r="M1624" i="62"/>
  <c r="M1628" i="62"/>
  <c r="M1632" i="62"/>
  <c r="M1636" i="62"/>
  <c r="M1640" i="62"/>
  <c r="M1644" i="62"/>
  <c r="M1648" i="62"/>
  <c r="M1652" i="62"/>
  <c r="M1655" i="62"/>
  <c r="M1662" i="62"/>
  <c r="M1666" i="62"/>
  <c r="M1670" i="62"/>
  <c r="M1674" i="62"/>
  <c r="M1678" i="62"/>
  <c r="M1682" i="62"/>
  <c r="M1686" i="62"/>
  <c r="M1690" i="62"/>
  <c r="M1694" i="62"/>
  <c r="M1698" i="62"/>
  <c r="M1702" i="62"/>
  <c r="M1706" i="62"/>
  <c r="M1710" i="62"/>
  <c r="M1714" i="62"/>
  <c r="M1718" i="62"/>
  <c r="M1721" i="62"/>
  <c r="M1725" i="62"/>
  <c r="M1729" i="62"/>
  <c r="M1733" i="62"/>
  <c r="M1737" i="62"/>
  <c r="M1741" i="62"/>
  <c r="M1745" i="62"/>
  <c r="M1749" i="62"/>
  <c r="M1753" i="62"/>
  <c r="M1757" i="62"/>
  <c r="M1761" i="62"/>
  <c r="M1765" i="62"/>
  <c r="M1769" i="62"/>
  <c r="M1773" i="62"/>
  <c r="M1777" i="62"/>
  <c r="M1781" i="62"/>
  <c r="M1785" i="62"/>
  <c r="M1789" i="62"/>
  <c r="M1793" i="62"/>
  <c r="M1797" i="62"/>
  <c r="M1801" i="62"/>
  <c r="M1805" i="62"/>
  <c r="M1809" i="62"/>
  <c r="M1813" i="62"/>
  <c r="M1817" i="62"/>
  <c r="M1821" i="62"/>
  <c r="M1824" i="62"/>
  <c r="M1828" i="62"/>
  <c r="M1832" i="62"/>
  <c r="M1836" i="62"/>
  <c r="M1840" i="62"/>
  <c r="M1844" i="62"/>
  <c r="M1848" i="62"/>
  <c r="M1852" i="62"/>
  <c r="M1856" i="62"/>
  <c r="M1860" i="62"/>
  <c r="M1864" i="62"/>
  <c r="M1868" i="62"/>
  <c r="M1872" i="62"/>
  <c r="M1876" i="62"/>
  <c r="M1880" i="62"/>
  <c r="M1884" i="62"/>
  <c r="M1888" i="62"/>
  <c r="M1892" i="62"/>
  <c r="M1896" i="62"/>
  <c r="M1900" i="62"/>
  <c r="M1904" i="62"/>
  <c r="M1908" i="62"/>
  <c r="M1912" i="62"/>
  <c r="M1916" i="62"/>
  <c r="M1920" i="62"/>
  <c r="M1924" i="62"/>
  <c r="M1928" i="62"/>
  <c r="M1932" i="62"/>
  <c r="M1936" i="62"/>
  <c r="M1940" i="62"/>
  <c r="M1944" i="62"/>
  <c r="M1948" i="62"/>
  <c r="M1952" i="62"/>
  <c r="M1956" i="62"/>
  <c r="M1960" i="62"/>
  <c r="M1964" i="62"/>
  <c r="M1968" i="62"/>
  <c r="M1972" i="62"/>
  <c r="M1976" i="62"/>
  <c r="M1980" i="62"/>
  <c r="M1984" i="62"/>
  <c r="M1988" i="62"/>
  <c r="M1992" i="62"/>
  <c r="M1996" i="62"/>
  <c r="M2000" i="62"/>
  <c r="M2004" i="62"/>
  <c r="M2008" i="62"/>
  <c r="M2012" i="62"/>
  <c r="M2016" i="62"/>
  <c r="M2020" i="62"/>
  <c r="M2024" i="62"/>
  <c r="M2028" i="62"/>
  <c r="M2032" i="62"/>
  <c r="M2036" i="62"/>
  <c r="M2040" i="62"/>
  <c r="M2044" i="62"/>
  <c r="M2048" i="62"/>
  <c r="M2052" i="62"/>
  <c r="M2056" i="62"/>
  <c r="M2060" i="62"/>
  <c r="M2064" i="62"/>
  <c r="M2068" i="62"/>
  <c r="M2072" i="62"/>
  <c r="M2076" i="62"/>
  <c r="M2080" i="62"/>
  <c r="M2084" i="62"/>
  <c r="M2088" i="62"/>
  <c r="M2092" i="62"/>
  <c r="M2096" i="62"/>
  <c r="M2100" i="62"/>
  <c r="M2104" i="62"/>
  <c r="E7" i="59" s="1"/>
  <c r="F7" i="59" s="1"/>
  <c r="M2108" i="62"/>
  <c r="M2112" i="62"/>
  <c r="M2116" i="62"/>
  <c r="M2120" i="62"/>
  <c r="M2124" i="62"/>
  <c r="M2128" i="62"/>
  <c r="M2132" i="62"/>
  <c r="E8" i="59" s="1"/>
  <c r="F8" i="59" s="1"/>
  <c r="M2136" i="62"/>
  <c r="M2140" i="62"/>
  <c r="M2144" i="62"/>
  <c r="M2148" i="62"/>
  <c r="M2152" i="62"/>
  <c r="M2156" i="62"/>
  <c r="M2160" i="62"/>
  <c r="M2164" i="62"/>
  <c r="M2168" i="62"/>
  <c r="M2172" i="62"/>
  <c r="M2176" i="62"/>
  <c r="M2180" i="62"/>
  <c r="M2184" i="62"/>
  <c r="M257" i="62"/>
  <c r="M416" i="62"/>
  <c r="M460" i="62"/>
  <c r="M502" i="62"/>
  <c r="M544" i="62"/>
  <c r="M576" i="62"/>
  <c r="M608" i="62"/>
  <c r="M640" i="62"/>
  <c r="M672" i="62"/>
  <c r="E16" i="59" s="1"/>
  <c r="F16" i="59" s="1"/>
  <c r="M704" i="62"/>
  <c r="M736" i="62"/>
  <c r="M767" i="62"/>
  <c r="M799" i="62"/>
  <c r="M831" i="62"/>
  <c r="M863" i="62"/>
  <c r="M895" i="62"/>
  <c r="M926" i="62"/>
  <c r="M957" i="62"/>
  <c r="M989" i="62"/>
  <c r="M1021" i="62"/>
  <c r="M1053" i="62"/>
  <c r="M1077" i="62"/>
  <c r="M1093" i="62"/>
  <c r="M1108" i="62"/>
  <c r="M1124" i="62"/>
  <c r="M1140" i="62"/>
  <c r="M1156" i="62"/>
  <c r="M1172" i="62"/>
  <c r="M1188" i="62"/>
  <c r="M1204" i="62"/>
  <c r="M1220" i="62"/>
  <c r="M1236" i="62"/>
  <c r="M1252" i="62"/>
  <c r="M1268" i="62"/>
  <c r="M1284" i="62"/>
  <c r="M1299" i="62"/>
  <c r="M1315" i="62"/>
  <c r="M1331" i="62"/>
  <c r="M1347" i="62"/>
  <c r="M1363" i="62"/>
  <c r="M1379" i="62"/>
  <c r="M1395" i="62"/>
  <c r="M1410" i="62"/>
  <c r="M1418" i="62"/>
  <c r="M1426" i="62"/>
  <c r="M1434" i="62"/>
  <c r="M1442" i="62"/>
  <c r="M1450" i="62"/>
  <c r="M1458" i="62"/>
  <c r="M1466" i="62"/>
  <c r="M1474" i="62"/>
  <c r="M1482" i="62"/>
  <c r="M1490" i="62"/>
  <c r="M1498" i="62"/>
  <c r="M1505" i="62"/>
  <c r="M1513" i="62"/>
  <c r="M1521" i="62"/>
  <c r="M1529" i="62"/>
  <c r="M1537" i="62"/>
  <c r="M1545" i="62"/>
  <c r="M1553" i="62"/>
  <c r="M1561" i="62"/>
  <c r="M1569" i="62"/>
  <c r="M1573" i="62"/>
  <c r="M1577" i="62"/>
  <c r="M1581" i="62"/>
  <c r="M1585" i="62"/>
  <c r="M1589" i="62"/>
  <c r="M1593" i="62"/>
  <c r="M1597" i="62"/>
  <c r="M1601" i="62"/>
  <c r="M1605" i="62"/>
  <c r="M1609" i="62"/>
  <c r="M1613" i="62"/>
  <c r="M1617" i="62"/>
  <c r="M1621" i="62"/>
  <c r="M1625" i="62"/>
  <c r="M1629" i="62"/>
  <c r="M1633" i="62"/>
  <c r="M1637" i="62"/>
  <c r="M1641" i="62"/>
  <c r="M1645" i="62"/>
  <c r="M1649" i="62"/>
  <c r="M1656" i="62"/>
  <c r="M1659" i="62"/>
  <c r="M1663" i="62"/>
  <c r="M1667" i="62"/>
  <c r="M1671" i="62"/>
  <c r="M1675" i="62"/>
  <c r="M1679" i="62"/>
  <c r="M1683" i="62"/>
  <c r="M1687" i="62"/>
  <c r="M1691" i="62"/>
  <c r="M1695" i="62"/>
  <c r="M1699" i="62"/>
  <c r="M1703" i="62"/>
  <c r="M1707" i="62"/>
  <c r="M1711" i="62"/>
  <c r="M1715" i="62"/>
  <c r="M1719" i="62"/>
  <c r="M1722" i="62"/>
  <c r="M1726" i="62"/>
  <c r="M1730" i="62"/>
  <c r="M1734" i="62"/>
  <c r="M1738" i="62"/>
  <c r="M1742" i="62"/>
  <c r="M1746" i="62"/>
  <c r="M1750" i="62"/>
  <c r="M1754" i="62"/>
  <c r="M1758" i="62"/>
  <c r="M1762" i="62"/>
  <c r="M1766" i="62"/>
  <c r="M1770" i="62"/>
  <c r="M1774" i="62"/>
  <c r="M1778" i="62"/>
  <c r="M1782" i="62"/>
  <c r="M1786" i="62"/>
  <c r="M1790" i="62"/>
  <c r="M1794" i="62"/>
  <c r="M1798" i="62"/>
  <c r="M1802" i="62"/>
  <c r="M1806" i="62"/>
  <c r="M1810" i="62"/>
  <c r="M1814" i="62"/>
  <c r="M1818" i="62"/>
  <c r="M1825" i="62"/>
  <c r="M1829" i="62"/>
  <c r="M1833" i="62"/>
  <c r="M1837" i="62"/>
  <c r="M1841" i="62"/>
  <c r="M1845" i="62"/>
  <c r="M1849" i="62"/>
  <c r="M1853" i="62"/>
  <c r="M1857" i="62"/>
  <c r="M1861" i="62"/>
  <c r="M1865" i="62"/>
  <c r="M1869" i="62"/>
  <c r="M1873" i="62"/>
  <c r="M1877" i="62"/>
  <c r="M1881" i="62"/>
  <c r="M1885" i="62"/>
  <c r="M1889" i="62"/>
  <c r="M1893" i="62"/>
  <c r="M1897" i="62"/>
  <c r="M1901" i="62"/>
  <c r="M1905" i="62"/>
  <c r="M1909" i="62"/>
  <c r="M1913" i="62"/>
  <c r="M1917" i="62"/>
  <c r="M1921" i="62"/>
  <c r="M1925" i="62"/>
  <c r="M1929" i="62"/>
  <c r="M1933" i="62"/>
  <c r="M1937" i="62"/>
  <c r="M1941" i="62"/>
  <c r="M1945" i="62"/>
  <c r="M1949" i="62"/>
  <c r="M1953" i="62"/>
  <c r="M1957" i="62"/>
  <c r="M1961" i="62"/>
  <c r="M1965" i="62"/>
  <c r="M1969" i="62"/>
  <c r="M1973" i="62"/>
  <c r="M1977" i="62"/>
  <c r="M1981" i="62"/>
  <c r="M1985" i="62"/>
  <c r="M1989" i="62"/>
  <c r="M1993" i="62"/>
  <c r="M1997" i="62"/>
  <c r="M2001" i="62"/>
  <c r="M2005" i="62"/>
  <c r="M2009" i="62"/>
  <c r="M2013" i="62"/>
  <c r="M2017" i="62"/>
  <c r="M2021" i="62"/>
  <c r="M2025" i="62"/>
  <c r="M2029" i="62"/>
  <c r="M2033" i="62"/>
  <c r="M2037" i="62"/>
  <c r="M2041" i="62"/>
  <c r="M2045" i="62"/>
  <c r="M2049" i="62"/>
  <c r="M2053" i="62"/>
  <c r="M2057" i="62"/>
  <c r="M2061" i="62"/>
  <c r="M2065" i="62"/>
  <c r="M2069" i="62"/>
  <c r="M2073" i="62"/>
  <c r="M2077" i="62"/>
  <c r="M2081" i="62"/>
  <c r="M2085" i="62"/>
  <c r="M2089" i="62"/>
  <c r="M2093" i="62"/>
  <c r="M2097" i="62"/>
  <c r="M2101" i="62"/>
  <c r="M2105" i="62"/>
  <c r="M2109" i="62"/>
  <c r="M2113" i="62"/>
  <c r="M2117" i="62"/>
  <c r="M2121" i="62"/>
  <c r="M2125" i="62"/>
  <c r="M2129" i="62"/>
  <c r="M2133" i="62"/>
  <c r="M2137" i="62"/>
  <c r="M2141" i="62"/>
  <c r="M2145" i="62"/>
  <c r="M2149" i="62"/>
  <c r="M2153" i="62"/>
  <c r="M2157" i="62"/>
  <c r="M2161" i="62"/>
  <c r="M2165" i="62"/>
  <c r="M2169" i="62"/>
  <c r="M2173" i="62"/>
  <c r="M2177" i="62"/>
  <c r="M2181" i="62"/>
  <c r="M2185" i="62"/>
  <c r="M321" i="62"/>
  <c r="M552" i="62"/>
  <c r="M680" i="62"/>
  <c r="M807" i="62"/>
  <c r="M934" i="62"/>
  <c r="M1061" i="62"/>
  <c r="M1128" i="62"/>
  <c r="M1192" i="62"/>
  <c r="M1256" i="62"/>
  <c r="M1319" i="62"/>
  <c r="M1383" i="62"/>
  <c r="M1427" i="62"/>
  <c r="M1459" i="62"/>
  <c r="M1491" i="62"/>
  <c r="M1522" i="62"/>
  <c r="M1554" i="62"/>
  <c r="M1578" i="62"/>
  <c r="M1594" i="62"/>
  <c r="M1610" i="62"/>
  <c r="M1626" i="62"/>
  <c r="M1642" i="62"/>
  <c r="M1657" i="62"/>
  <c r="M1672" i="62"/>
  <c r="M1688" i="62"/>
  <c r="M1704" i="62"/>
  <c r="M1735" i="62"/>
  <c r="M1751" i="62"/>
  <c r="M1767" i="62"/>
  <c r="M1783" i="62"/>
  <c r="M1799" i="62"/>
  <c r="M1815" i="62"/>
  <c r="M1830" i="62"/>
  <c r="M1846" i="62"/>
  <c r="M1862" i="62"/>
  <c r="M1878" i="62"/>
  <c r="M1894" i="62"/>
  <c r="M1910" i="62"/>
  <c r="M1926" i="62"/>
  <c r="M1942" i="62"/>
  <c r="M1958" i="62"/>
  <c r="M1974" i="62"/>
  <c r="M1990" i="62"/>
  <c r="M2006" i="62"/>
  <c r="M2022" i="62"/>
  <c r="M2038" i="62"/>
  <c r="M2054" i="62"/>
  <c r="M2070" i="62"/>
  <c r="M2086" i="62"/>
  <c r="M2102" i="62"/>
  <c r="M2118" i="62"/>
  <c r="M2134" i="62"/>
  <c r="M2150" i="62"/>
  <c r="M2166" i="62"/>
  <c r="M2182" i="62"/>
  <c r="M428" i="62"/>
  <c r="M584" i="62"/>
  <c r="M712" i="62"/>
  <c r="M839" i="62"/>
  <c r="M965" i="62"/>
  <c r="M1081" i="62"/>
  <c r="M1144" i="62"/>
  <c r="M1208" i="62"/>
  <c r="M1272" i="62"/>
  <c r="M1335" i="62"/>
  <c r="M1399" i="62"/>
  <c r="M1435" i="62"/>
  <c r="M1467" i="62"/>
  <c r="M1530" i="62"/>
  <c r="M1562" i="62"/>
  <c r="M1582" i="62"/>
  <c r="M1598" i="62"/>
  <c r="M1614" i="62"/>
  <c r="M1630" i="62"/>
  <c r="M1646" i="62"/>
  <c r="M1660" i="62"/>
  <c r="M1676" i="62"/>
  <c r="M1692" i="62"/>
  <c r="M1708" i="62"/>
  <c r="M1723" i="62"/>
  <c r="E21" i="59" s="1"/>
  <c r="F21" i="59" s="1"/>
  <c r="M1739" i="62"/>
  <c r="M1755" i="62"/>
  <c r="M1771" i="62"/>
  <c r="M1787" i="62"/>
  <c r="M1803" i="62"/>
  <c r="M1819" i="62"/>
  <c r="M1834" i="62"/>
  <c r="M1850" i="62"/>
  <c r="M1866" i="62"/>
  <c r="M1882" i="62"/>
  <c r="M1898" i="62"/>
  <c r="M1914" i="62"/>
  <c r="M1930" i="62"/>
  <c r="M1946" i="62"/>
  <c r="M1962" i="62"/>
  <c r="M1978" i="62"/>
  <c r="M1994" i="62"/>
  <c r="M2010" i="62"/>
  <c r="M2026" i="62"/>
  <c r="M2042" i="62"/>
  <c r="M2058" i="62"/>
  <c r="M2074" i="62"/>
  <c r="M2090" i="62"/>
  <c r="M2106" i="62"/>
  <c r="M2122" i="62"/>
  <c r="M2138" i="62"/>
  <c r="M2154" i="62"/>
  <c r="M2170" i="62"/>
  <c r="M2186" i="62"/>
  <c r="M470" i="62"/>
  <c r="M616" i="62"/>
  <c r="M744" i="62"/>
  <c r="M871" i="62"/>
  <c r="M997" i="62"/>
  <c r="M1097" i="62"/>
  <c r="M1160" i="62"/>
  <c r="M1224" i="62"/>
  <c r="M1288" i="62"/>
  <c r="M1351" i="62"/>
  <c r="M1411" i="62"/>
  <c r="M1443" i="62"/>
  <c r="M1475" i="62"/>
  <c r="M1506" i="62"/>
  <c r="M1538" i="62"/>
  <c r="M1570" i="62"/>
  <c r="M1586" i="62"/>
  <c r="M1602" i="62"/>
  <c r="M1618" i="62"/>
  <c r="M1634" i="62"/>
  <c r="M1650" i="62"/>
  <c r="M1664" i="62"/>
  <c r="M1680" i="62"/>
  <c r="M1696" i="62"/>
  <c r="M1712" i="62"/>
  <c r="M1727" i="62"/>
  <c r="M1743" i="62"/>
  <c r="M1759" i="62"/>
  <c r="M1775" i="62"/>
  <c r="M1791" i="62"/>
  <c r="M1807" i="62"/>
  <c r="M1822" i="62"/>
  <c r="M1838" i="62"/>
  <c r="M1854" i="62"/>
  <c r="M1870" i="62"/>
  <c r="M1886" i="62"/>
  <c r="M1902" i="62"/>
  <c r="M1918" i="62"/>
  <c r="M1934" i="62"/>
  <c r="M1950" i="62"/>
  <c r="M1966" i="62"/>
  <c r="M1982" i="62"/>
  <c r="M1998" i="62"/>
  <c r="M2014" i="62"/>
  <c r="M2030" i="62"/>
  <c r="M2046" i="62"/>
  <c r="M2062" i="62"/>
  <c r="M2078" i="62"/>
  <c r="M2094" i="62"/>
  <c r="M2110" i="62"/>
  <c r="M2126" i="62"/>
  <c r="M2142" i="62"/>
  <c r="M2158" i="62"/>
  <c r="M2174" i="62"/>
  <c r="M513" i="62"/>
  <c r="M1029" i="62"/>
  <c r="M1303" i="62"/>
  <c r="M1483" i="62"/>
  <c r="M1590" i="62"/>
  <c r="M1653" i="62"/>
  <c r="M1716" i="62"/>
  <c r="M1779" i="62"/>
  <c r="M1842" i="62"/>
  <c r="M1906" i="62"/>
  <c r="M1970" i="62"/>
  <c r="M2034" i="62"/>
  <c r="M2098" i="62"/>
  <c r="M2162" i="62"/>
  <c r="M648" i="62"/>
  <c r="M1112" i="62"/>
  <c r="M1367" i="62"/>
  <c r="M1514" i="62"/>
  <c r="M1606" i="62"/>
  <c r="M1668" i="62"/>
  <c r="M1731" i="62"/>
  <c r="M1795" i="62"/>
  <c r="M1858" i="62"/>
  <c r="M1922" i="62"/>
  <c r="M1986" i="62"/>
  <c r="M2050" i="62"/>
  <c r="M2114" i="62"/>
  <c r="M2178" i="62"/>
  <c r="M775" i="62"/>
  <c r="M1176" i="62"/>
  <c r="M1419" i="62"/>
  <c r="M1546" i="62"/>
  <c r="M1622" i="62"/>
  <c r="M1684" i="62"/>
  <c r="M1747" i="62"/>
  <c r="M1811" i="62"/>
  <c r="M1874" i="62"/>
  <c r="M1938" i="62"/>
  <c r="M2002" i="62"/>
  <c r="M2066" i="62"/>
  <c r="M2130" i="62"/>
  <c r="M3" i="62"/>
  <c r="M903" i="62"/>
  <c r="M1240" i="62"/>
  <c r="M1451" i="62"/>
  <c r="M1574" i="62"/>
  <c r="M1638" i="62"/>
  <c r="M1700" i="62"/>
  <c r="M1763" i="62"/>
  <c r="M1826" i="62"/>
  <c r="M1890" i="62"/>
  <c r="M1954" i="62"/>
  <c r="M2018" i="62"/>
  <c r="M2082" i="62"/>
  <c r="M2146" i="62"/>
  <c r="M2" i="62"/>
  <c r="K26" i="50"/>
  <c r="K26" i="49"/>
  <c r="K26" i="48"/>
  <c r="K26" i="47"/>
  <c r="K27" i="50"/>
  <c r="K27" i="49"/>
  <c r="K27" i="48"/>
  <c r="K27" i="47"/>
  <c r="K23" i="49"/>
  <c r="K23" i="48"/>
  <c r="K23" i="47"/>
  <c r="K23" i="50"/>
  <c r="K19" i="50"/>
  <c r="K19" i="49"/>
  <c r="K19" i="48"/>
  <c r="K19" i="47"/>
  <c r="K15" i="49"/>
  <c r="K15" i="50"/>
  <c r="K15" i="48"/>
  <c r="K15" i="47"/>
  <c r="K11" i="50"/>
  <c r="K11" i="49"/>
  <c r="K11" i="48"/>
  <c r="K11" i="47"/>
  <c r="K7" i="49"/>
  <c r="K7" i="48"/>
  <c r="K7" i="47"/>
  <c r="K7" i="50"/>
  <c r="K3" i="48"/>
  <c r="K3" i="47"/>
  <c r="K3" i="50"/>
  <c r="K3" i="49"/>
  <c r="A27" i="49"/>
  <c r="A27" i="48"/>
  <c r="A27" i="47"/>
  <c r="A27" i="50"/>
  <c r="A23" i="50"/>
  <c r="A23" i="49"/>
  <c r="A23" i="48"/>
  <c r="A23" i="47"/>
  <c r="A19" i="50"/>
  <c r="A19" i="49"/>
  <c r="A19" i="48"/>
  <c r="A19" i="47"/>
  <c r="A15" i="49"/>
  <c r="A15" i="50"/>
  <c r="A15" i="48"/>
  <c r="A15" i="47"/>
  <c r="A11" i="48"/>
  <c r="A11" i="47"/>
  <c r="A11" i="50"/>
  <c r="A11" i="49"/>
  <c r="A7" i="49"/>
  <c r="A7" i="48"/>
  <c r="A7" i="47"/>
  <c r="A7" i="50"/>
  <c r="A3" i="48"/>
  <c r="A3" i="47"/>
  <c r="A3" i="50"/>
  <c r="A3" i="49"/>
  <c r="K25" i="45"/>
  <c r="K25" i="42"/>
  <c r="K25" i="46"/>
  <c r="K25" i="43"/>
  <c r="K17" i="46"/>
  <c r="K17" i="42"/>
  <c r="K17" i="43"/>
  <c r="K17" i="45"/>
  <c r="K9" i="46"/>
  <c r="K9" i="45"/>
  <c r="K9" i="42"/>
  <c r="K9" i="43"/>
  <c r="A29" i="45"/>
  <c r="A29" i="43"/>
  <c r="A29" i="42"/>
  <c r="A29" i="46"/>
  <c r="A21" i="45"/>
  <c r="A21" i="43"/>
  <c r="A21" i="42"/>
  <c r="A21" i="46"/>
  <c r="A13" i="45"/>
  <c r="A13" i="43"/>
  <c r="A13" i="42"/>
  <c r="A13" i="46"/>
  <c r="A5" i="45"/>
  <c r="A5" i="43"/>
  <c r="A5" i="42"/>
  <c r="A5" i="46"/>
  <c r="K24" i="45"/>
  <c r="K24" i="46"/>
  <c r="K24" i="42"/>
  <c r="K24" i="43"/>
  <c r="K16" i="45"/>
  <c r="K16" i="46"/>
  <c r="K16" i="42"/>
  <c r="K16" i="43"/>
  <c r="K8" i="45"/>
  <c r="K8" i="46"/>
  <c r="K8" i="42"/>
  <c r="K8" i="43"/>
  <c r="A28" i="45"/>
  <c r="A28" i="42"/>
  <c r="A28" i="46"/>
  <c r="A28" i="43"/>
  <c r="A20" i="45"/>
  <c r="A20" i="42"/>
  <c r="A20" i="43"/>
  <c r="A20" i="46"/>
  <c r="A12" i="45"/>
  <c r="A12" i="42"/>
  <c r="A12" i="46"/>
  <c r="A12" i="43"/>
  <c r="A4" i="45"/>
  <c r="A4" i="42"/>
  <c r="A4" i="46"/>
  <c r="A4" i="43"/>
  <c r="K28" i="49"/>
  <c r="K28" i="48"/>
  <c r="K28" i="47"/>
  <c r="K28" i="50"/>
  <c r="K24" i="50"/>
  <c r="K24" i="48"/>
  <c r="K24" i="47"/>
  <c r="K24" i="49"/>
  <c r="K20" i="50"/>
  <c r="K20" i="49"/>
  <c r="K20" i="48"/>
  <c r="K20" i="47"/>
  <c r="K16" i="50"/>
  <c r="K16" i="48"/>
  <c r="K16" i="47"/>
  <c r="K16" i="49"/>
  <c r="K12" i="50"/>
  <c r="K12" i="49"/>
  <c r="K12" i="48"/>
  <c r="K12" i="47"/>
  <c r="K8" i="50"/>
  <c r="K8" i="49"/>
  <c r="K8" i="48"/>
  <c r="K8" i="47"/>
  <c r="K4" i="50"/>
  <c r="K4" i="49"/>
  <c r="K4" i="48"/>
  <c r="K4" i="47"/>
  <c r="A28" i="50"/>
  <c r="A28" i="49"/>
  <c r="A28" i="48"/>
  <c r="A28" i="47"/>
  <c r="A24" i="50"/>
  <c r="A24" i="49"/>
  <c r="A24" i="48"/>
  <c r="A24" i="47"/>
  <c r="A20" i="50"/>
  <c r="A20" i="49"/>
  <c r="A20" i="48"/>
  <c r="A20" i="47"/>
  <c r="A16" i="50"/>
  <c r="A16" i="49"/>
  <c r="A16" i="48"/>
  <c r="A16" i="47"/>
  <c r="A12" i="50"/>
  <c r="A12" i="49"/>
  <c r="A12" i="48"/>
  <c r="A12" i="47"/>
  <c r="A8" i="50"/>
  <c r="A8" i="49"/>
  <c r="A8" i="48"/>
  <c r="A8" i="47"/>
  <c r="A4" i="50"/>
  <c r="A4" i="48"/>
  <c r="A4" i="47"/>
  <c r="A4" i="49"/>
  <c r="K23" i="43"/>
  <c r="K23" i="46"/>
  <c r="K23" i="42"/>
  <c r="K23" i="45"/>
  <c r="K15" i="43"/>
  <c r="K15" i="46"/>
  <c r="K15" i="45"/>
  <c r="K15" i="42"/>
  <c r="K7" i="43"/>
  <c r="K7" i="46"/>
  <c r="K7" i="45"/>
  <c r="K7" i="42"/>
  <c r="A27" i="43"/>
  <c r="A27" i="45"/>
  <c r="A27" i="42"/>
  <c r="A27" i="46"/>
  <c r="A19" i="43"/>
  <c r="A19" i="46"/>
  <c r="A19" i="45"/>
  <c r="A19" i="42"/>
  <c r="A11" i="43"/>
  <c r="A11" i="45"/>
  <c r="A11" i="42"/>
  <c r="A11" i="46"/>
  <c r="A3" i="43"/>
  <c r="A3" i="45"/>
  <c r="A3" i="42"/>
  <c r="A3" i="46"/>
  <c r="K22" i="42"/>
  <c r="K22" i="46"/>
  <c r="K22" i="45"/>
  <c r="K22" i="43"/>
  <c r="K14" i="42"/>
  <c r="K14" i="46"/>
  <c r="K14" i="43"/>
  <c r="K14" i="45"/>
  <c r="K6" i="42"/>
  <c r="K6" i="45"/>
  <c r="K6" i="43"/>
  <c r="K6" i="46"/>
  <c r="A26" i="42"/>
  <c r="A26" i="45"/>
  <c r="A26" i="43"/>
  <c r="A26" i="46"/>
  <c r="A18" i="42"/>
  <c r="A18" i="45"/>
  <c r="A18" i="43"/>
  <c r="A18" i="46"/>
  <c r="A10" i="42"/>
  <c r="A10" i="46"/>
  <c r="A10" i="45"/>
  <c r="A10" i="43"/>
  <c r="A2" i="45"/>
  <c r="A2" i="42"/>
  <c r="A2" i="46"/>
  <c r="A2" i="43"/>
  <c r="K29" i="49"/>
  <c r="K29" i="50"/>
  <c r="K29" i="48"/>
  <c r="K29" i="47"/>
  <c r="K25" i="49"/>
  <c r="K25" i="50"/>
  <c r="K25" i="48"/>
  <c r="K25" i="47"/>
  <c r="K21" i="50"/>
  <c r="K21" i="49"/>
  <c r="K21" i="47"/>
  <c r="K21" i="48"/>
  <c r="K17" i="49"/>
  <c r="K17" i="48"/>
  <c r="K17" i="47"/>
  <c r="K17" i="50"/>
  <c r="K13" i="50"/>
  <c r="K13" i="49"/>
  <c r="K13" i="48"/>
  <c r="K13" i="47"/>
  <c r="K9" i="49"/>
  <c r="K9" i="48"/>
  <c r="K9" i="47"/>
  <c r="K9" i="50"/>
  <c r="K5" i="50"/>
  <c r="K5" i="49"/>
  <c r="K5" i="48"/>
  <c r="K5" i="47"/>
  <c r="A29" i="49"/>
  <c r="A29" i="50"/>
  <c r="A29" i="48"/>
  <c r="A29" i="47"/>
  <c r="A25" i="50"/>
  <c r="A25" i="49"/>
  <c r="A25" i="48"/>
  <c r="A25" i="47"/>
  <c r="A21" i="49"/>
  <c r="A21" i="48"/>
  <c r="A21" i="47"/>
  <c r="A21" i="50"/>
  <c r="A17" i="50"/>
  <c r="A17" i="49"/>
  <c r="A17" i="48"/>
  <c r="A17" i="47"/>
  <c r="A13" i="49"/>
  <c r="A13" i="48"/>
  <c r="A13" i="47"/>
  <c r="A13" i="50"/>
  <c r="A9" i="50"/>
  <c r="A9" i="49"/>
  <c r="A9" i="48"/>
  <c r="A9" i="47"/>
  <c r="A5" i="49"/>
  <c r="A5" i="50"/>
  <c r="A5" i="48"/>
  <c r="A5" i="47"/>
  <c r="K29" i="45"/>
  <c r="K29" i="43"/>
  <c r="K29" i="42"/>
  <c r="K29" i="46"/>
  <c r="K21" i="45"/>
  <c r="K21" i="43"/>
  <c r="K21" i="46"/>
  <c r="K21" i="42"/>
  <c r="K13" i="46"/>
  <c r="K13" i="45"/>
  <c r="K13" i="43"/>
  <c r="K13" i="42"/>
  <c r="K5" i="46"/>
  <c r="K5" i="45"/>
  <c r="K5" i="43"/>
  <c r="K5" i="42"/>
  <c r="A25" i="43"/>
  <c r="A25" i="42"/>
  <c r="A25" i="45"/>
  <c r="A25" i="46"/>
  <c r="A17" i="43"/>
  <c r="A17" i="42"/>
  <c r="A17" i="46"/>
  <c r="A17" i="45"/>
  <c r="A9" i="43"/>
  <c r="A9" i="42"/>
  <c r="A9" i="45"/>
  <c r="A9" i="46"/>
  <c r="K28" i="45"/>
  <c r="K28" i="46"/>
  <c r="K28" i="43"/>
  <c r="K28" i="42"/>
  <c r="K20" i="45"/>
  <c r="K20" i="46"/>
  <c r="K20" i="43"/>
  <c r="K20" i="42"/>
  <c r="K12" i="45"/>
  <c r="K12" i="46"/>
  <c r="K12" i="43"/>
  <c r="K12" i="42"/>
  <c r="K4" i="45"/>
  <c r="K4" i="46"/>
  <c r="K4" i="43"/>
  <c r="K4" i="42"/>
  <c r="A24" i="45"/>
  <c r="A24" i="42"/>
  <c r="A24" i="43"/>
  <c r="A24" i="46"/>
  <c r="A16" i="45"/>
  <c r="A16" i="42"/>
  <c r="A16" i="43"/>
  <c r="A16" i="46"/>
  <c r="A8" i="45"/>
  <c r="A8" i="42"/>
  <c r="A8" i="43"/>
  <c r="A8" i="46"/>
  <c r="K22" i="49"/>
  <c r="K22" i="48"/>
  <c r="K22" i="47"/>
  <c r="K22" i="50"/>
  <c r="K18" i="50"/>
  <c r="K18" i="49"/>
  <c r="K18" i="48"/>
  <c r="K18" i="47"/>
  <c r="K14" i="48"/>
  <c r="K14" i="47"/>
  <c r="K14" i="50"/>
  <c r="K14" i="49"/>
  <c r="K10" i="50"/>
  <c r="K10" i="48"/>
  <c r="K10" i="47"/>
  <c r="K10" i="49"/>
  <c r="K6" i="48"/>
  <c r="K6" i="47"/>
  <c r="K6" i="50"/>
  <c r="K6" i="49"/>
  <c r="K2" i="48"/>
  <c r="K2" i="47"/>
  <c r="K2" i="50"/>
  <c r="K2" i="49"/>
  <c r="A26" i="48"/>
  <c r="A26" i="47"/>
  <c r="A26" i="50"/>
  <c r="A26" i="49"/>
  <c r="A22" i="50"/>
  <c r="A22" i="49"/>
  <c r="A22" i="48"/>
  <c r="A22" i="47"/>
  <c r="A18" i="48"/>
  <c r="A18" i="47"/>
  <c r="A18" i="50"/>
  <c r="A18" i="49"/>
  <c r="A14" i="50"/>
  <c r="A14" i="48"/>
  <c r="A14" i="47"/>
  <c r="A14" i="49"/>
  <c r="A10" i="48"/>
  <c r="A10" i="47"/>
  <c r="A10" i="50"/>
  <c r="A10" i="49"/>
  <c r="A6" i="50"/>
  <c r="A6" i="49"/>
  <c r="A6" i="48"/>
  <c r="A6" i="47"/>
  <c r="A2" i="50"/>
  <c r="A2" i="49"/>
  <c r="A2" i="48"/>
  <c r="A2" i="47"/>
  <c r="K27" i="43"/>
  <c r="K27" i="46"/>
  <c r="K27" i="45"/>
  <c r="K27" i="42"/>
  <c r="K19" i="43"/>
  <c r="K19" i="46"/>
  <c r="K19" i="42"/>
  <c r="K19" i="45"/>
  <c r="K11" i="43"/>
  <c r="K11" i="46"/>
  <c r="K11" i="45"/>
  <c r="K11" i="42"/>
  <c r="K3" i="43"/>
  <c r="K3" i="46"/>
  <c r="K3" i="42"/>
  <c r="K3" i="45"/>
  <c r="A23" i="43"/>
  <c r="A23" i="46"/>
  <c r="A23" i="42"/>
  <c r="A23" i="45"/>
  <c r="A15" i="43"/>
  <c r="A15" i="42"/>
  <c r="A15" i="46"/>
  <c r="A15" i="45"/>
  <c r="A7" i="43"/>
  <c r="A7" i="42"/>
  <c r="A7" i="46"/>
  <c r="A7" i="45"/>
  <c r="K26" i="42"/>
  <c r="K26" i="45"/>
  <c r="K26" i="43"/>
  <c r="K26" i="46"/>
  <c r="K18" i="42"/>
  <c r="K18" i="45"/>
  <c r="K18" i="43"/>
  <c r="K18" i="46"/>
  <c r="K10" i="42"/>
  <c r="K10" i="45"/>
  <c r="K10" i="43"/>
  <c r="K10" i="46"/>
  <c r="K2" i="43"/>
  <c r="K2" i="45"/>
  <c r="K2" i="46"/>
  <c r="K2" i="42"/>
  <c r="A22" i="42"/>
  <c r="A22" i="43"/>
  <c r="A22" i="45"/>
  <c r="A22" i="46"/>
  <c r="A14" i="42"/>
  <c r="A14" i="43"/>
  <c r="A14" i="45"/>
  <c r="A14" i="46"/>
  <c r="A6" i="42"/>
  <c r="A6" i="46"/>
  <c r="A6" i="43"/>
  <c r="A6" i="45"/>
  <c r="B18" i="54"/>
  <c r="T29" i="36"/>
  <c r="T29" i="35"/>
  <c r="T29" i="33"/>
  <c r="T29" i="34"/>
  <c r="T29" i="31"/>
  <c r="T29" i="30"/>
  <c r="T29" i="29"/>
  <c r="T29" i="28"/>
  <c r="T29" i="42"/>
  <c r="T29" i="43"/>
  <c r="T29" i="45"/>
  <c r="T29" i="46"/>
  <c r="T29" i="50"/>
  <c r="T29" i="49"/>
  <c r="T29" i="48"/>
  <c r="T29" i="47"/>
  <c r="C5" i="40" l="1"/>
  <c r="C6" i="40"/>
  <c r="C4" i="40"/>
</calcChain>
</file>

<file path=xl/sharedStrings.xml><?xml version="1.0" encoding="utf-8"?>
<sst xmlns="http://schemas.openxmlformats.org/spreadsheetml/2006/main" count="55566" uniqueCount="11908">
  <si>
    <t>Value</t>
  </si>
  <si>
    <t>Age</t>
  </si>
  <si>
    <t>T</t>
  </si>
  <si>
    <t>B</t>
  </si>
  <si>
    <t>F</t>
  </si>
  <si>
    <t>Gender</t>
  </si>
  <si>
    <t>Machine</t>
  </si>
  <si>
    <t>m</t>
  </si>
  <si>
    <t>Unit</t>
  </si>
  <si>
    <t>Version</t>
  </si>
  <si>
    <t>Author</t>
  </si>
  <si>
    <t>Jon Fairclough</t>
  </si>
  <si>
    <t>hr</t>
  </si>
  <si>
    <t>10M</t>
  </si>
  <si>
    <t>15M</t>
  </si>
  <si>
    <t>25M</t>
  </si>
  <si>
    <t>30M</t>
  </si>
  <si>
    <t>50M</t>
  </si>
  <si>
    <t>100M</t>
  </si>
  <si>
    <t>12H</t>
  </si>
  <si>
    <t>24H</t>
  </si>
  <si>
    <t>Title</t>
  </si>
  <si>
    <t>Issue Date</t>
  </si>
  <si>
    <t>Introduction</t>
  </si>
  <si>
    <t>Important notice</t>
  </si>
  <si>
    <t xml:space="preserve">May be reproduced only with the permission of the VTTA </t>
  </si>
  <si>
    <t>%</t>
  </si>
  <si>
    <t>Comment</t>
  </si>
  <si>
    <t>ratio of sample of men riding a bike and a trike on the same course within a few years of each other</t>
  </si>
  <si>
    <t>Ratio</t>
  </si>
  <si>
    <t>male solo trike/male solo bike speed (kt)</t>
  </si>
  <si>
    <t>male solo bike standard/tandem bike standard (ktan)</t>
  </si>
  <si>
    <t>ratio of solo distance standard to tandem distance standard needed to align elite performance on plus</t>
  </si>
  <si>
    <t>TT</t>
  </si>
  <si>
    <t>Distance/ Time</t>
  </si>
  <si>
    <t>Note on use of age adjustments</t>
  </si>
  <si>
    <t>For solo riders in distance events, the age adjustment for the age, gender and machine of the rider should be subtracted from his or her actual result to produce the age adjusted time.</t>
  </si>
  <si>
    <t>For solo riders in time events, the age adjustment for the age, gender and machine of the rider should be added to his or her actual result to produce the age adjusted distance.</t>
  </si>
  <si>
    <t>For tandem riders in distance events, the age adjustment for the age, gender and machine of each rider should be subtracted from their actual result to produce their age adjusted time.</t>
  </si>
  <si>
    <t>For tandem riders in time events, the age adjustment for the age, gender and machine of each rider should be added to their actual result to produce their age adjusted distance.</t>
  </si>
  <si>
    <t xml:space="preserve">VTTA Age Adjustments </t>
  </si>
  <si>
    <t xml:space="preserve">Users of this document should check whether these age adjustments and standards are still current before use. </t>
  </si>
  <si>
    <t>The current age adjustments and standards are available on the VTTA website www.vtta.org.uk</t>
  </si>
  <si>
    <t>O</t>
  </si>
  <si>
    <t>Open Tandem Bicycle Standards</t>
  </si>
  <si>
    <t>Open Tandem Tricycle Standards</t>
  </si>
  <si>
    <t>Female Tandem Bicycle Standards</t>
  </si>
  <si>
    <t>Female Tandem Tricycle Standards</t>
  </si>
  <si>
    <t>Class</t>
  </si>
  <si>
    <t>VTTA Age Adjustments and Standards</t>
  </si>
  <si>
    <t>Age adjustments and Standards for women, trikes and tandems are derived using the ratios below.</t>
  </si>
  <si>
    <t xml:space="preserve">The VTTA may change its age adjustments and standards prior to each racing season. These are the current 2024 standards. </t>
  </si>
  <si>
    <t>and Standards</t>
  </si>
  <si>
    <t>This document defines the age adjustment and standard times and distances for open and female class solo and tandem bicycle and tricycle riders for use in Veterans Time Trials Association events and competitions.</t>
  </si>
  <si>
    <t>There is a table of ratios used for the calculation of female and trike standards and age adjustments.</t>
  </si>
  <si>
    <t>ratio of elite women's speed to elite male - average value - an age dependent function is used to calculate kf</t>
  </si>
  <si>
    <t>These standards are derived from an analysis of approximately 11000 elite solo bike results at a range of distances and times in the last 10 years.</t>
  </si>
  <si>
    <t xml:space="preserve">elite female/male solo bike speed (kf) </t>
  </si>
  <si>
    <t>0.89 to 0.91</t>
  </si>
  <si>
    <t>© 2024 Veterans Time Trials Association</t>
  </si>
  <si>
    <t>Open Solo Bicycle</t>
  </si>
  <si>
    <t>Female Solo Bicycle</t>
  </si>
  <si>
    <t>Open Tandem Bicycle</t>
  </si>
  <si>
    <t>Female Tandem Bicycle</t>
  </si>
  <si>
    <t>Open Tandem Tricycle</t>
  </si>
  <si>
    <t>Female Tandem Tricycle</t>
  </si>
  <si>
    <t>Open Solo Bicycle Standard</t>
  </si>
  <si>
    <t>Female Solo Bicycle Standard</t>
  </si>
  <si>
    <t>Open Solo Tricycle Standard</t>
  </si>
  <si>
    <t>Female Solo Tricycle Standard</t>
  </si>
  <si>
    <t>There are tables in hidden worksheets designed for printing in the VTTA Handbook.</t>
  </si>
  <si>
    <t xml:space="preserve">The worksheets are shown in  a new style that sorts the columns by class/machine/distance for solo or tandem combinations. </t>
  </si>
  <si>
    <t>There are hidden worksheets suffixed "source" shown in the old style that sort the columns by distance/class/machine - these are for users who want to copy and paste the tables into existing tools</t>
  </si>
  <si>
    <t>The worksheets are protected with no password. To view adjustments and standards for under 40's unprotect and unhide the rows 4 to 32.</t>
  </si>
  <si>
    <t xml:space="preserve">There are tables for each of open and female class solo riders on bicycles and tricycles, and then open and female class tandem riders on bicycles and tricycles, for the age ranges 40 to 99. </t>
  </si>
  <si>
    <t> Richard Lee</t>
  </si>
  <si>
    <t> S Smith</t>
  </si>
  <si>
    <t> Philip Farahat</t>
  </si>
  <si>
    <t> Kevin Scanlon</t>
  </si>
  <si>
    <t> Andrew Gibson VTTA 5732</t>
  </si>
  <si>
    <t> Denis Rombouts</t>
  </si>
  <si>
    <t> Angela Hannon-Flaherty VTTA15296 </t>
  </si>
  <si>
    <t> Corey Brown</t>
  </si>
  <si>
    <t> Robert Kaufhold</t>
  </si>
  <si>
    <t> Gareth Shepherd VTTA 14686</t>
  </si>
  <si>
    <t> Kjetil Finsaadal</t>
  </si>
  <si>
    <t> Matthias Schwarz</t>
  </si>
  <si>
    <t> Mick Flaherty VTTA 15295</t>
  </si>
  <si>
    <t> JOHN FREDO MALLEN VTTA 16143</t>
  </si>
  <si>
    <t> Michael Kalchman</t>
  </si>
  <si>
    <t> Scott BrotherhoodBurrito</t>
  </si>
  <si>
    <t> Markus TilgnerLockdown Girls</t>
  </si>
  <si>
    <t> Kev Fowler VTTA 15352HERD</t>
  </si>
  <si>
    <t> Karl Norris VTTA 15806 (ABR)ABR Cycle Team</t>
  </si>
  <si>
    <t> Dave WilkinsonKendalCCRacing</t>
  </si>
  <si>
    <t> Johan Ferm [OUT] 🐗OUT</t>
  </si>
  <si>
    <t> William HannayZRScot</t>
  </si>
  <si>
    <t> James Wood [EVO] VTTA 12083EVOLUTION</t>
  </si>
  <si>
    <t> Mickie Donnelly [RWB SerrBanos]Team RWB</t>
  </si>
  <si>
    <t> Michael Wills VTTA 4646Lutterworth CC Zwift team</t>
  </si>
  <si>
    <t> Håkon D (IF Froy)Frøy eSport</t>
  </si>
  <si>
    <t> Nicolas GenestEquipe JZQc</t>
  </si>
  <si>
    <t> Henrik VotborgDBR</t>
  </si>
  <si>
    <t>Rider</t>
  </si>
  <si>
    <t>Time </t>
  </si>
  <si>
    <t>-</t>
  </si>
  <si>
    <t>VTTA Number</t>
  </si>
  <si>
    <t>Net time</t>
  </si>
  <si>
    <t>S</t>
  </si>
  <si>
    <t>male</t>
  </si>
  <si>
    <t>open</t>
  </si>
  <si>
    <t>Y</t>
  </si>
  <si>
    <t>N</t>
  </si>
  <si>
    <t>post</t>
  </si>
  <si>
    <t>Online payer</t>
  </si>
  <si>
    <t>Lincoln Wheelers CC</t>
  </si>
  <si>
    <t>Lincoln</t>
  </si>
  <si>
    <t>Individual Membership - North Midlands</t>
  </si>
  <si>
    <t>North Midlands</t>
  </si>
  <si>
    <t>Young</t>
  </si>
  <si>
    <t>Mr</t>
  </si>
  <si>
    <t>Single member</t>
  </si>
  <si>
    <t>female</t>
  </si>
  <si>
    <t>Essex</t>
  </si>
  <si>
    <t>Joint Membership - East Anglian</t>
  </si>
  <si>
    <t>East Anglian</t>
  </si>
  <si>
    <t>f</t>
  </si>
  <si>
    <t>York</t>
  </si>
  <si>
    <t>Elizabeth</t>
  </si>
  <si>
    <t>Joanne</t>
  </si>
  <si>
    <t>Secondary joint member</t>
  </si>
  <si>
    <t xml:space="preserve">Christopher </t>
  </si>
  <si>
    <t>Primary joint member</t>
  </si>
  <si>
    <t>Andover Wheelers</t>
  </si>
  <si>
    <t>Dorset</t>
  </si>
  <si>
    <t>Swanage</t>
  </si>
  <si>
    <t>Individual Membership - Wessex</t>
  </si>
  <si>
    <t>Wessex</t>
  </si>
  <si>
    <t>Yates</t>
  </si>
  <si>
    <t>Ms</t>
  </si>
  <si>
    <t>Addiscombe CC</t>
  </si>
  <si>
    <t>Surrey</t>
  </si>
  <si>
    <t>Individual Membership - Surrey/Sussex</t>
  </si>
  <si>
    <t>Surrey/Sussex</t>
  </si>
  <si>
    <t>Miss</t>
  </si>
  <si>
    <t>Postal payer</t>
  </si>
  <si>
    <t>Herts</t>
  </si>
  <si>
    <t>Bishops Stortford</t>
  </si>
  <si>
    <t>Christine</t>
  </si>
  <si>
    <t>Mrs</t>
  </si>
  <si>
    <t>Doug</t>
  </si>
  <si>
    <t>unknown</t>
  </si>
  <si>
    <t>Somerset</t>
  </si>
  <si>
    <t>Individual Membership - West</t>
  </si>
  <si>
    <t>West</t>
  </si>
  <si>
    <t>Jonathan</t>
  </si>
  <si>
    <t>email</t>
  </si>
  <si>
    <t>VTTA (Kent)</t>
  </si>
  <si>
    <t>TN23 4PX</t>
  </si>
  <si>
    <t>Kent</t>
  </si>
  <si>
    <t>Ashford</t>
  </si>
  <si>
    <t>27 Homestead</t>
  </si>
  <si>
    <t>Individual Membership - Kent</t>
  </si>
  <si>
    <t>Wright</t>
  </si>
  <si>
    <t>Richard</t>
  </si>
  <si>
    <t>Mark</t>
  </si>
  <si>
    <t>Clapham Chasers</t>
  </si>
  <si>
    <t>London</t>
  </si>
  <si>
    <t>Joint Membership - Surrey/Sussex</t>
  </si>
  <si>
    <t>Suffolk</t>
  </si>
  <si>
    <t>Individual Membership - East Anglian</t>
  </si>
  <si>
    <t>Christopher</t>
  </si>
  <si>
    <t>West Sussex</t>
  </si>
  <si>
    <t>Worthing</t>
  </si>
  <si>
    <t>Charles</t>
  </si>
  <si>
    <t>Jeremy</t>
  </si>
  <si>
    <t>Sherwood CC</t>
  </si>
  <si>
    <t>Nottinghamshire</t>
  </si>
  <si>
    <t>West Bridgford</t>
  </si>
  <si>
    <t>Individual Membership - East Midlands</t>
  </si>
  <si>
    <t>East Midlands</t>
  </si>
  <si>
    <t>Dave</t>
  </si>
  <si>
    <t>Buckingham</t>
  </si>
  <si>
    <t>Individual Membership - London &amp; Home Counties</t>
  </si>
  <si>
    <t>London &amp; Home Counties</t>
  </si>
  <si>
    <t>Paul</t>
  </si>
  <si>
    <t>Wigmore CC</t>
  </si>
  <si>
    <t>Wood</t>
  </si>
  <si>
    <t>Hamilton</t>
  </si>
  <si>
    <t>Martin</t>
  </si>
  <si>
    <t>West Suffolk Wheelers</t>
  </si>
  <si>
    <t>Bury St. Edmunds</t>
  </si>
  <si>
    <t>CC Breckland</t>
  </si>
  <si>
    <t>Norfolk</t>
  </si>
  <si>
    <t>Thetford</t>
  </si>
  <si>
    <t>Michael</t>
  </si>
  <si>
    <t>Cheshire</t>
  </si>
  <si>
    <t>Joint Membership - Manchester &amp; North West</t>
  </si>
  <si>
    <t>Manchester &amp; North West</t>
  </si>
  <si>
    <t>Wolstenholme</t>
  </si>
  <si>
    <t>Gail</t>
  </si>
  <si>
    <t>Cambs</t>
  </si>
  <si>
    <t>Wisbech</t>
  </si>
  <si>
    <t>CC London</t>
  </si>
  <si>
    <t>Stroud</t>
  </si>
  <si>
    <t>Williams</t>
  </si>
  <si>
    <t>Douglas</t>
  </si>
  <si>
    <t>Alton CC/Owens Cycles</t>
  </si>
  <si>
    <t>Hants</t>
  </si>
  <si>
    <t>Alton</t>
  </si>
  <si>
    <t>Chester RC</t>
  </si>
  <si>
    <t>Chester</t>
  </si>
  <si>
    <t>Individual Membership - Merseyside</t>
  </si>
  <si>
    <t>Merseyside</t>
  </si>
  <si>
    <t>Wilkinson</t>
  </si>
  <si>
    <t>Jill</t>
  </si>
  <si>
    <t>Team Bottrill</t>
  </si>
  <si>
    <t>Chelmsford</t>
  </si>
  <si>
    <t>Sam</t>
  </si>
  <si>
    <t>Lee</t>
  </si>
  <si>
    <t>Roger</t>
  </si>
  <si>
    <t>Adrian</t>
  </si>
  <si>
    <t>Cambridge CC</t>
  </si>
  <si>
    <t>Cambridge</t>
  </si>
  <si>
    <t>Sarah</t>
  </si>
  <si>
    <t>Colchester</t>
  </si>
  <si>
    <t>Wharton</t>
  </si>
  <si>
    <t>Jeff</t>
  </si>
  <si>
    <t>North Norfolk Whs</t>
  </si>
  <si>
    <t>Haywards Heath</t>
  </si>
  <si>
    <t>Robert</t>
  </si>
  <si>
    <t>Chris</t>
  </si>
  <si>
    <t>Icknield Road Club</t>
  </si>
  <si>
    <t>Webb</t>
  </si>
  <si>
    <t>Thomas</t>
  </si>
  <si>
    <t xml:space="preserve">Martin </t>
  </si>
  <si>
    <t>West Yorkshire</t>
  </si>
  <si>
    <t>Otley</t>
  </si>
  <si>
    <t>Joint Membership - Yorkshire</t>
  </si>
  <si>
    <t>Yorkshire</t>
  </si>
  <si>
    <t>Joyce</t>
  </si>
  <si>
    <t>Keith</t>
  </si>
  <si>
    <t>Crawley</t>
  </si>
  <si>
    <t>VTTA West</t>
  </si>
  <si>
    <t>North Road</t>
  </si>
  <si>
    <t>Stephen</t>
  </si>
  <si>
    <t>Braintree</t>
  </si>
  <si>
    <t>Watts</t>
  </si>
  <si>
    <t>Jerome</t>
  </si>
  <si>
    <t>Conwy</t>
  </si>
  <si>
    <t>Watt</t>
  </si>
  <si>
    <t>David</t>
  </si>
  <si>
    <t>Elmsall Road Club</t>
  </si>
  <si>
    <t>BARNSLEY</t>
  </si>
  <si>
    <t>Brierley</t>
  </si>
  <si>
    <t>Watson</t>
  </si>
  <si>
    <t>San Fairy Ann CC</t>
  </si>
  <si>
    <t>Sittingbourne</t>
  </si>
  <si>
    <t>Team Lutterworth Cycle Centre</t>
  </si>
  <si>
    <t>Leicestershire</t>
  </si>
  <si>
    <t>Lutterworth</t>
  </si>
  <si>
    <t>Warwick</t>
  </si>
  <si>
    <t>Grant</t>
  </si>
  <si>
    <t>Charlotteville Cycling Club</t>
  </si>
  <si>
    <t>Woking</t>
  </si>
  <si>
    <t>Wareham</t>
  </si>
  <si>
    <t>Leigh on Sea</t>
  </si>
  <si>
    <t>Walsh</t>
  </si>
  <si>
    <t>Dan</t>
  </si>
  <si>
    <t>Street</t>
  </si>
  <si>
    <t>Waller</t>
  </si>
  <si>
    <t xml:space="preserve">London </t>
  </si>
  <si>
    <t>Team Swift</t>
  </si>
  <si>
    <t>Waltham</t>
  </si>
  <si>
    <t>Individual Membership - Yorkshire</t>
  </si>
  <si>
    <t>Doncaster</t>
  </si>
  <si>
    <t>Walker</t>
  </si>
  <si>
    <t>New Eltham</t>
  </si>
  <si>
    <t>Leamington C &amp; AC</t>
  </si>
  <si>
    <t>Warwickshire</t>
  </si>
  <si>
    <t>Leamington Spa</t>
  </si>
  <si>
    <t>Radford Semele</t>
  </si>
  <si>
    <t>Joint Membership - Midlands</t>
  </si>
  <si>
    <t>Midlands</t>
  </si>
  <si>
    <t>John</t>
  </si>
  <si>
    <t>Steve</t>
  </si>
  <si>
    <t>Bury St Edmunds</t>
  </si>
  <si>
    <t>Martyn</t>
  </si>
  <si>
    <t>Willesden CC</t>
  </si>
  <si>
    <t>Vessey</t>
  </si>
  <si>
    <t>#I have no club</t>
  </si>
  <si>
    <t xml:space="preserve">Richard </t>
  </si>
  <si>
    <t>Paid up</t>
  </si>
  <si>
    <t>Bromley</t>
  </si>
  <si>
    <t>SVTTA</t>
  </si>
  <si>
    <t>Individual Membership - Scotland</t>
  </si>
  <si>
    <t>Scotland</t>
  </si>
  <si>
    <t>Turner</t>
  </si>
  <si>
    <t>Southborough &amp; Dist. Whs</t>
  </si>
  <si>
    <t>Tonbridge</t>
  </si>
  <si>
    <t>Ian</t>
  </si>
  <si>
    <t>North Road CC</t>
  </si>
  <si>
    <t>Norwich A B C</t>
  </si>
  <si>
    <t>Norwich</t>
  </si>
  <si>
    <t>Jason</t>
  </si>
  <si>
    <t>Brighton Mitre CC</t>
  </si>
  <si>
    <t>Lisa</t>
  </si>
  <si>
    <t>Emma</t>
  </si>
  <si>
    <t>Hitchin Nomads CC</t>
  </si>
  <si>
    <t>Hitchin</t>
  </si>
  <si>
    <t>Thomson</t>
  </si>
  <si>
    <t>Ross</t>
  </si>
  <si>
    <t>Performance Cycles</t>
  </si>
  <si>
    <t>Cheltenham</t>
  </si>
  <si>
    <t>Thompson</t>
  </si>
  <si>
    <t>Russ</t>
  </si>
  <si>
    <t>Epsom CC</t>
  </si>
  <si>
    <t>Guildford</t>
  </si>
  <si>
    <t>Huw</t>
  </si>
  <si>
    <t>TestClubF</t>
  </si>
  <si>
    <t>TT20 7FT</t>
  </si>
  <si>
    <t>Test County</t>
  </si>
  <si>
    <t>Test Town</t>
  </si>
  <si>
    <t>Individual Membership - Test group</t>
  </si>
  <si>
    <t>Test group</t>
  </si>
  <si>
    <t>Lancashire</t>
  </si>
  <si>
    <t>Preston</t>
  </si>
  <si>
    <t>Individual Membership - North Lancashire &amp; Lakes</t>
  </si>
  <si>
    <t>North Lancashire &amp; Lakes</t>
  </si>
  <si>
    <t>Marie</t>
  </si>
  <si>
    <t>Theresa</t>
  </si>
  <si>
    <t>St Neots</t>
  </si>
  <si>
    <t xml:space="preserve">Adrian </t>
  </si>
  <si>
    <t>Winchester</t>
  </si>
  <si>
    <t>Nick</t>
  </si>
  <si>
    <t>Wisbech Whs</t>
  </si>
  <si>
    <t>Barnsley Road Club</t>
  </si>
  <si>
    <t>England</t>
  </si>
  <si>
    <t>Barnsley</t>
  </si>
  <si>
    <t>Francis</t>
  </si>
  <si>
    <t>Crispin</t>
  </si>
  <si>
    <t>Wolsey RC</t>
  </si>
  <si>
    <t>Ipswich</t>
  </si>
  <si>
    <t>Jim</t>
  </si>
  <si>
    <t>Buckinghamshire</t>
  </si>
  <si>
    <t>Stokes</t>
  </si>
  <si>
    <t>Team Milton Keynes</t>
  </si>
  <si>
    <t>Bucks</t>
  </si>
  <si>
    <t>Ed</t>
  </si>
  <si>
    <t>Fareham Wheelers Cycling Club</t>
  </si>
  <si>
    <t>Fareham</t>
  </si>
  <si>
    <t>Stevens</t>
  </si>
  <si>
    <t>Mary</t>
  </si>
  <si>
    <t xml:space="preserve">VTTA </t>
  </si>
  <si>
    <t>Carlisle</t>
  </si>
  <si>
    <t>Stephenson</t>
  </si>
  <si>
    <t>Leslie</t>
  </si>
  <si>
    <t>VC St Raphael</t>
  </si>
  <si>
    <t>Stanton</t>
  </si>
  <si>
    <t>James</t>
  </si>
  <si>
    <t xml:space="preserve">Leicestershire </t>
  </si>
  <si>
    <t>Jamie</t>
  </si>
  <si>
    <t>Leicester Forest CC</t>
  </si>
  <si>
    <t>Devon</t>
  </si>
  <si>
    <t>Smith</t>
  </si>
  <si>
    <t>Becky</t>
  </si>
  <si>
    <t>Gary</t>
  </si>
  <si>
    <t>Witham Wheelers</t>
  </si>
  <si>
    <t>Lincolnshire</t>
  </si>
  <si>
    <t>Smalley</t>
  </si>
  <si>
    <t>Stanley</t>
  </si>
  <si>
    <t>Barnstaple</t>
  </si>
  <si>
    <t>Slater</t>
  </si>
  <si>
    <t>Matt</t>
  </si>
  <si>
    <t>PO13 8JD</t>
  </si>
  <si>
    <t>Lee on the Solent</t>
  </si>
  <si>
    <t>Sign</t>
  </si>
  <si>
    <t>Nigel</t>
  </si>
  <si>
    <t>...a3crg</t>
  </si>
  <si>
    <t>Shepherd</t>
  </si>
  <si>
    <t>Port Talbot Whs CC</t>
  </si>
  <si>
    <t>Swansea</t>
  </si>
  <si>
    <t>Individual Membership - South Wales</t>
  </si>
  <si>
    <t>South Wales</t>
  </si>
  <si>
    <t xml:space="preserve">Huntingdon </t>
  </si>
  <si>
    <t>nigel</t>
  </si>
  <si>
    <t>Samuel</t>
  </si>
  <si>
    <t xml:space="preserve">Lancashire </t>
  </si>
  <si>
    <t>Shaw</t>
  </si>
  <si>
    <t>Tony</t>
  </si>
  <si>
    <t>Halifax Imperial Wheelers</t>
  </si>
  <si>
    <t>Brighouse</t>
  </si>
  <si>
    <t>Daniel</t>
  </si>
  <si>
    <t>Liverpool</t>
  </si>
  <si>
    <t>L40 1UH</t>
  </si>
  <si>
    <t>Rufford</t>
  </si>
  <si>
    <t>16 Smithy Lane</t>
  </si>
  <si>
    <t>Felixstowe</t>
  </si>
  <si>
    <t>Anglia Velo</t>
  </si>
  <si>
    <t>Scott</t>
  </si>
  <si>
    <t>Simon</t>
  </si>
  <si>
    <t>Hertfordshire</t>
  </si>
  <si>
    <t>Philip</t>
  </si>
  <si>
    <t>Dr</t>
  </si>
  <si>
    <t>Saunders</t>
  </si>
  <si>
    <t>Matthew</t>
  </si>
  <si>
    <t xml:space="preserve">Merseyside </t>
  </si>
  <si>
    <t>Glyn</t>
  </si>
  <si>
    <t># I have no club</t>
  </si>
  <si>
    <t>Ryan</t>
  </si>
  <si>
    <t>William</t>
  </si>
  <si>
    <t>South Gloucestershire</t>
  </si>
  <si>
    <t>Joint Membership - West</t>
  </si>
  <si>
    <t>Russell</t>
  </si>
  <si>
    <t>Teri</t>
  </si>
  <si>
    <t>Thanet RC</t>
  </si>
  <si>
    <t>Ramsgate</t>
  </si>
  <si>
    <t>Victoria Cycling Club</t>
  </si>
  <si>
    <t>Fenland Clarion CC</t>
  </si>
  <si>
    <t>Cambridgeshire</t>
  </si>
  <si>
    <t>Peterborough</t>
  </si>
  <si>
    <t>Selby CC</t>
  </si>
  <si>
    <t>Selby</t>
  </si>
  <si>
    <t>Rowland</t>
  </si>
  <si>
    <t>Michelle</t>
  </si>
  <si>
    <t>North Devon</t>
  </si>
  <si>
    <t>Robinson</t>
  </si>
  <si>
    <t>Andy</t>
  </si>
  <si>
    <t>Roberts</t>
  </si>
  <si>
    <t>VTTA Surrey/Sussex</t>
  </si>
  <si>
    <t>Birkenhead Victoria CC</t>
  </si>
  <si>
    <t>Birkenhead</t>
  </si>
  <si>
    <t>Prenton</t>
  </si>
  <si>
    <t>Sean</t>
  </si>
  <si>
    <t>Ely &amp; District CC/B&amp;T Motor Repairs</t>
  </si>
  <si>
    <t>Ely</t>
  </si>
  <si>
    <t>Derek</t>
  </si>
  <si>
    <t>HLM - Individual Membership - Yorkshire</t>
  </si>
  <si>
    <t>Richardson</t>
  </si>
  <si>
    <t>North Hampshire Road Club</t>
  </si>
  <si>
    <t>Andover</t>
  </si>
  <si>
    <t>Rhodes</t>
  </si>
  <si>
    <t>Graham</t>
  </si>
  <si>
    <t>Reynolds</t>
  </si>
  <si>
    <t>Colchester Rovers CC</t>
  </si>
  <si>
    <t>Manningtree</t>
  </si>
  <si>
    <t>Reed</t>
  </si>
  <si>
    <t>Ravensthorpe CC</t>
  </si>
  <si>
    <t>Read</t>
  </si>
  <si>
    <t>Julian</t>
  </si>
  <si>
    <t>Hull Thursday RC</t>
  </si>
  <si>
    <t>HU17 5NB</t>
  </si>
  <si>
    <t>Beverley</t>
  </si>
  <si>
    <t>Leven</t>
  </si>
  <si>
    <t>8 Lea Close</t>
  </si>
  <si>
    <t>Anne</t>
  </si>
  <si>
    <t>Cheryl</t>
  </si>
  <si>
    <t xml:space="preserve">Bristol </t>
  </si>
  <si>
    <t>Canterbury</t>
  </si>
  <si>
    <t>ABC Centreville</t>
  </si>
  <si>
    <t>Stockport</t>
  </si>
  <si>
    <t>Individual Membership - Manchester &amp; North West</t>
  </si>
  <si>
    <t>Pritchard</t>
  </si>
  <si>
    <t>Amy</t>
  </si>
  <si>
    <t>St Neots CC</t>
  </si>
  <si>
    <t>Darren</t>
  </si>
  <si>
    <t>New Road</t>
  </si>
  <si>
    <t>Huddersfield</t>
  </si>
  <si>
    <t>Poole</t>
  </si>
  <si>
    <t>Anthony</t>
  </si>
  <si>
    <t>Charlotteville CC</t>
  </si>
  <si>
    <t>Team Sportslab</t>
  </si>
  <si>
    <t>Northwich</t>
  </si>
  <si>
    <t>Pickering</t>
  </si>
  <si>
    <t>Phillips</t>
  </si>
  <si>
    <t>Trevor</t>
  </si>
  <si>
    <t>HLM - Individual Membership - Manchester &amp; North West</t>
  </si>
  <si>
    <t>Perry</t>
  </si>
  <si>
    <t>Margaret</t>
  </si>
  <si>
    <t>Bournemouth Arrow CC</t>
  </si>
  <si>
    <t>Christchurch</t>
  </si>
  <si>
    <t>Peter</t>
  </si>
  <si>
    <t>Verulam CC</t>
  </si>
  <si>
    <t>St Albans</t>
  </si>
  <si>
    <t>HLM - Individual Membership - East Anglian</t>
  </si>
  <si>
    <t>Mick</t>
  </si>
  <si>
    <t>East Sussex</t>
  </si>
  <si>
    <t>HLM - Individual Membership - Surrey/Sussex</t>
  </si>
  <si>
    <t>Frank</t>
  </si>
  <si>
    <t>Neil</t>
  </si>
  <si>
    <t>VTTA West Group</t>
  </si>
  <si>
    <t>Dorchester</t>
  </si>
  <si>
    <t>Alan</t>
  </si>
  <si>
    <t>ian-peacock@outlook.com</t>
  </si>
  <si>
    <t>ST13 7AL</t>
  </si>
  <si>
    <t>Staffordshire</t>
  </si>
  <si>
    <t>Leek</t>
  </si>
  <si>
    <t>Mollatts Wood Road</t>
  </si>
  <si>
    <t>Yonder</t>
  </si>
  <si>
    <t>Peacock</t>
  </si>
  <si>
    <t>Valerie</t>
  </si>
  <si>
    <t>Sole Bay Cycle Sport</t>
  </si>
  <si>
    <t>Partridge</t>
  </si>
  <si>
    <t>Wirral</t>
  </si>
  <si>
    <t>Parry</t>
  </si>
  <si>
    <t>Shaftesbury CC</t>
  </si>
  <si>
    <t>George</t>
  </si>
  <si>
    <t>Thurston</t>
  </si>
  <si>
    <t>Chelmer CC</t>
  </si>
  <si>
    <t>Taunton</t>
  </si>
  <si>
    <t>Page</t>
  </si>
  <si>
    <t>Gerald</t>
  </si>
  <si>
    <t>Sheringham</t>
  </si>
  <si>
    <t>Mike</t>
  </si>
  <si>
    <t>Seamons CC</t>
  </si>
  <si>
    <t>Altrincham</t>
  </si>
  <si>
    <t>Calder Clarion</t>
  </si>
  <si>
    <t>Wakefield</t>
  </si>
  <si>
    <t>O'Connor</t>
  </si>
  <si>
    <t>Carol</t>
  </si>
  <si>
    <t>Patrick</t>
  </si>
  <si>
    <t>Dartford</t>
  </si>
  <si>
    <t>Norman</t>
  </si>
  <si>
    <t xml:space="preserve">Malcolm </t>
  </si>
  <si>
    <t>justine.norman99@gmail.com</t>
  </si>
  <si>
    <t>Amble</t>
  </si>
  <si>
    <t>Individual Membership - North</t>
  </si>
  <si>
    <t>North</t>
  </si>
  <si>
    <t>Clare</t>
  </si>
  <si>
    <t>Justine</t>
  </si>
  <si>
    <t>Individual Membership - Midlands</t>
  </si>
  <si>
    <t>Karl</t>
  </si>
  <si>
    <t>Stoke-on-Trent</t>
  </si>
  <si>
    <t>Mid Shropshire Wheelers</t>
  </si>
  <si>
    <t>Shropshire</t>
  </si>
  <si>
    <t>Shrewsbury</t>
  </si>
  <si>
    <t>Nicholas</t>
  </si>
  <si>
    <t>Boyd</t>
  </si>
  <si>
    <t>Joint Membership - Kent</t>
  </si>
  <si>
    <t>Newman</t>
  </si>
  <si>
    <t>Lesley</t>
  </si>
  <si>
    <t>Kings Lynn CC</t>
  </si>
  <si>
    <t>King's Lynn</t>
  </si>
  <si>
    <t>DAVID</t>
  </si>
  <si>
    <t>Farnham RC</t>
  </si>
  <si>
    <t>Fleet</t>
  </si>
  <si>
    <t>Kevin</t>
  </si>
  <si>
    <t>Sheffield</t>
  </si>
  <si>
    <t>High Green</t>
  </si>
  <si>
    <t>LN11 9WD</t>
  </si>
  <si>
    <t>Louth   Lincs</t>
  </si>
  <si>
    <t>Goulceby</t>
  </si>
  <si>
    <t>Fordway</t>
  </si>
  <si>
    <t>Ash Cottage</t>
  </si>
  <si>
    <t>Morley</t>
  </si>
  <si>
    <t>Halifax</t>
  </si>
  <si>
    <t>Craig</t>
  </si>
  <si>
    <t>IV25 3HZ</t>
  </si>
  <si>
    <t>Dornoch</t>
  </si>
  <si>
    <t>The Poles</t>
  </si>
  <si>
    <t>Achnacoille</t>
  </si>
  <si>
    <t>Mitchell</t>
  </si>
  <si>
    <t>Alfred Stewart</t>
  </si>
  <si>
    <t>Innis</t>
  </si>
  <si>
    <t>Hampshire</t>
  </si>
  <si>
    <t>Lucy</t>
  </si>
  <si>
    <t>Albarosa CC</t>
  </si>
  <si>
    <t xml:space="preserve">Alistair </t>
  </si>
  <si>
    <t>Ilkley CC</t>
  </si>
  <si>
    <t>Ilkley</t>
  </si>
  <si>
    <t>HLM - Individual Membership - Kent</t>
  </si>
  <si>
    <t>Miller</t>
  </si>
  <si>
    <t>Miles</t>
  </si>
  <si>
    <t>Noel</t>
  </si>
  <si>
    <t>Gloucestershire</t>
  </si>
  <si>
    <t>Mercer</t>
  </si>
  <si>
    <t>Mellor</t>
  </si>
  <si>
    <t>Grace</t>
  </si>
  <si>
    <t>W</t>
  </si>
  <si>
    <t>Chester Road Club</t>
  </si>
  <si>
    <t>CH3 7AS</t>
  </si>
  <si>
    <t>Village Road, Christleton</t>
  </si>
  <si>
    <t>Bluebell Lodge</t>
  </si>
  <si>
    <t>stuart</t>
  </si>
  <si>
    <t xml:space="preserve">Standards: Solo Bike: unlimited attempts at any distance </t>
  </si>
  <si>
    <t>Runcorn</t>
  </si>
  <si>
    <t>Rachel</t>
  </si>
  <si>
    <t>Godric CC</t>
  </si>
  <si>
    <t>Bungay</t>
  </si>
  <si>
    <t>May</t>
  </si>
  <si>
    <t>Mason</t>
  </si>
  <si>
    <t>Swindon</t>
  </si>
  <si>
    <t>34 Nomads CC</t>
  </si>
  <si>
    <t>Marshall</t>
  </si>
  <si>
    <t>Colin</t>
  </si>
  <si>
    <t>Jane</t>
  </si>
  <si>
    <t>Ciclos Uno</t>
  </si>
  <si>
    <t>Hainault</t>
  </si>
  <si>
    <t>Team Andrew Allan Architecture</t>
  </si>
  <si>
    <t>Perthshire</t>
  </si>
  <si>
    <t>Carson</t>
  </si>
  <si>
    <t>Stuart</t>
  </si>
  <si>
    <t>Lyons</t>
  </si>
  <si>
    <t>Berks</t>
  </si>
  <si>
    <t>A</t>
  </si>
  <si>
    <t>Wymondham</t>
  </si>
  <si>
    <t>Kate</t>
  </si>
  <si>
    <t xml:space="preserve">Congleton cycling club </t>
  </si>
  <si>
    <t>Newcastle-under-Lyme</t>
  </si>
  <si>
    <t>5 Ashdale Rise</t>
  </si>
  <si>
    <t>Lowe</t>
  </si>
  <si>
    <t>Hexham</t>
  </si>
  <si>
    <t>HLM - Individual Membership - North</t>
  </si>
  <si>
    <t>Ron</t>
  </si>
  <si>
    <t>Ken</t>
  </si>
  <si>
    <t>Stretford Wheelers CC</t>
  </si>
  <si>
    <t>Greater Manchester</t>
  </si>
  <si>
    <t xml:space="preserve">West Yorkshire </t>
  </si>
  <si>
    <t>Altrincham Ravens CC</t>
  </si>
  <si>
    <t>ST6 8RG</t>
  </si>
  <si>
    <t>Stoke on Trent</t>
  </si>
  <si>
    <t>Brown Edge</t>
  </si>
  <si>
    <t>5 Woodhouse Lane</t>
  </si>
  <si>
    <t>Individual Membership (No Veteran) - Manchester &amp; North West</t>
  </si>
  <si>
    <t>Little</t>
  </si>
  <si>
    <t>Sandra</t>
  </si>
  <si>
    <t>Born to Bike - Bridgtown Cycles</t>
  </si>
  <si>
    <t>Leeds</t>
  </si>
  <si>
    <t>New Forest CC</t>
  </si>
  <si>
    <t>PDQ Cycle Coaching</t>
  </si>
  <si>
    <t>CC Sudbury</t>
  </si>
  <si>
    <t>Sudbury</t>
  </si>
  <si>
    <t>Barry</t>
  </si>
  <si>
    <t>Plymouth</t>
  </si>
  <si>
    <t>Rob</t>
  </si>
  <si>
    <t xml:space="preserve">Dorset </t>
  </si>
  <si>
    <t xml:space="preserve">Christchurch </t>
  </si>
  <si>
    <t>Sonia</t>
  </si>
  <si>
    <t>Mid Devon CC</t>
  </si>
  <si>
    <t>Lakey</t>
  </si>
  <si>
    <t>Gloucester City Cycling Club</t>
  </si>
  <si>
    <t xml:space="preserve">Gloucester </t>
  </si>
  <si>
    <t>Kirk</t>
  </si>
  <si>
    <t>Stewart</t>
  </si>
  <si>
    <t>Ashford Whs</t>
  </si>
  <si>
    <t>King</t>
  </si>
  <si>
    <t>Welwyn Whs</t>
  </si>
  <si>
    <t>Knebworth</t>
  </si>
  <si>
    <t xml:space="preserve">Plymouth </t>
  </si>
  <si>
    <t>Brian</t>
  </si>
  <si>
    <t>Kiveton Park Cycling Club</t>
  </si>
  <si>
    <t>Notts</t>
  </si>
  <si>
    <t>Ilford</t>
  </si>
  <si>
    <t>Beacon Roads CC</t>
  </si>
  <si>
    <t>SY8 4JN</t>
  </si>
  <si>
    <t>Orleton</t>
  </si>
  <si>
    <t>6 Claremont Orchard</t>
  </si>
  <si>
    <t>Individual Membership (No Veteran) - Midlands</t>
  </si>
  <si>
    <t>Kelly</t>
  </si>
  <si>
    <t>Sue</t>
  </si>
  <si>
    <t>Jean</t>
  </si>
  <si>
    <t>Reigate</t>
  </si>
  <si>
    <t>Keen</t>
  </si>
  <si>
    <t>Denis</t>
  </si>
  <si>
    <t>Bury Clarion</t>
  </si>
  <si>
    <t>M45 7RT</t>
  </si>
  <si>
    <t>11 Spring Grove</t>
  </si>
  <si>
    <t>Jones</t>
  </si>
  <si>
    <t>Bristol South Cycling Club</t>
  </si>
  <si>
    <t>Bristol</t>
  </si>
  <si>
    <t>Port Sunlight Wheelers</t>
  </si>
  <si>
    <t>Bromborough</t>
  </si>
  <si>
    <t>Gloucester City CC</t>
  </si>
  <si>
    <t>Gloucester</t>
  </si>
  <si>
    <t>Newbury</t>
  </si>
  <si>
    <t>Johnson</t>
  </si>
  <si>
    <t xml:space="preserve">Matthew </t>
  </si>
  <si>
    <t>Hyde</t>
  </si>
  <si>
    <t>Ronald</t>
  </si>
  <si>
    <t>Otley CC</t>
  </si>
  <si>
    <t>Greg</t>
  </si>
  <si>
    <t>Claire</t>
  </si>
  <si>
    <t>CC Ashwell</t>
  </si>
  <si>
    <t>Biggleswade</t>
  </si>
  <si>
    <t>Jennings</t>
  </si>
  <si>
    <t>Steven</t>
  </si>
  <si>
    <t>Bynea Cycling Club</t>
  </si>
  <si>
    <t>SA17 4SQ</t>
  </si>
  <si>
    <t>Kidwelly</t>
  </si>
  <si>
    <t>Four Roads</t>
  </si>
  <si>
    <t>Joint Membership - South Wales</t>
  </si>
  <si>
    <t>Hynam</t>
  </si>
  <si>
    <t>Diane</t>
  </si>
  <si>
    <t>Tunbridge Wells</t>
  </si>
  <si>
    <t>Hutchins</t>
  </si>
  <si>
    <t>Geoff</t>
  </si>
  <si>
    <t>ESSEX</t>
  </si>
  <si>
    <t>AB31 5XX</t>
  </si>
  <si>
    <t>BANCHORY</t>
  </si>
  <si>
    <t>33 Station Road</t>
  </si>
  <si>
    <t>MAYBANK'</t>
  </si>
  <si>
    <t>Joint Membership - Scotland</t>
  </si>
  <si>
    <t>Humphreys</t>
  </si>
  <si>
    <t>Joint Membership - Wessex</t>
  </si>
  <si>
    <t xml:space="preserve">Hughes </t>
  </si>
  <si>
    <t xml:space="preserve">John </t>
  </si>
  <si>
    <t>Ray</t>
  </si>
  <si>
    <t>North Lancs Road Club</t>
  </si>
  <si>
    <t>Chorley</t>
  </si>
  <si>
    <t>Edward</t>
  </si>
  <si>
    <t>Herefordshire</t>
  </si>
  <si>
    <t>Howells</t>
  </si>
  <si>
    <t>Phillip</t>
  </si>
  <si>
    <t>Lancs</t>
  </si>
  <si>
    <t>Oldham</t>
  </si>
  <si>
    <t>Howarth</t>
  </si>
  <si>
    <t>East Grinstead CC</t>
  </si>
  <si>
    <t>Reading</t>
  </si>
  <si>
    <t>Ben</t>
  </si>
  <si>
    <t>Unity CC</t>
  </si>
  <si>
    <t>Send</t>
  </si>
  <si>
    <t>Bill</t>
  </si>
  <si>
    <t>Redmon CC</t>
  </si>
  <si>
    <t>Sutton</t>
  </si>
  <si>
    <t>Casey</t>
  </si>
  <si>
    <t>GY6 8DN</t>
  </si>
  <si>
    <t>Vale</t>
  </si>
  <si>
    <t>2 Oakleigh Villas</t>
  </si>
  <si>
    <t>Hopkinson</t>
  </si>
  <si>
    <t xml:space="preserve">Hampshire </t>
  </si>
  <si>
    <t>Littleport</t>
  </si>
  <si>
    <t>Holmes</t>
  </si>
  <si>
    <t>Alison</t>
  </si>
  <si>
    <t>Kingston Wheelers</t>
  </si>
  <si>
    <t>P</t>
  </si>
  <si>
    <t>Beds</t>
  </si>
  <si>
    <t>Blunham</t>
  </si>
  <si>
    <t>Crawley Wheelers</t>
  </si>
  <si>
    <t>Phil</t>
  </si>
  <si>
    <t>Fraser</t>
  </si>
  <si>
    <t>Romford</t>
  </si>
  <si>
    <t>Joint Membership - North Lancashire &amp; Lakes</t>
  </si>
  <si>
    <t>Oxted CC</t>
  </si>
  <si>
    <t>Dominic</t>
  </si>
  <si>
    <t>Tim</t>
  </si>
  <si>
    <t>VC Baracchi</t>
  </si>
  <si>
    <t>Lowestoft</t>
  </si>
  <si>
    <t>Hayward</t>
  </si>
  <si>
    <t>Worcs</t>
  </si>
  <si>
    <t>North Bucks RC</t>
  </si>
  <si>
    <t>Hartley</t>
  </si>
  <si>
    <t>Swindon Wheelers</t>
  </si>
  <si>
    <t>Wiltshire</t>
  </si>
  <si>
    <t>Durham</t>
  </si>
  <si>
    <t>Gemini BC</t>
  </si>
  <si>
    <t>Belvedere</t>
  </si>
  <si>
    <t xml:space="preserve">Stephen </t>
  </si>
  <si>
    <t>FARNHAM</t>
  </si>
  <si>
    <t>Brighton Excelsior CC</t>
  </si>
  <si>
    <t>Steyning</t>
  </si>
  <si>
    <t>J</t>
  </si>
  <si>
    <t>Bob</t>
  </si>
  <si>
    <t>two.hanlons@yahoo.co.uk</t>
  </si>
  <si>
    <t>SPAIN</t>
  </si>
  <si>
    <t>Hanlon</t>
  </si>
  <si>
    <t>VTTA</t>
  </si>
  <si>
    <t>Wetherby</t>
  </si>
  <si>
    <t xml:space="preserve">Northumberland </t>
  </si>
  <si>
    <t>Hall</t>
  </si>
  <si>
    <t>Royal Navy &amp; Royal Marines CA</t>
  </si>
  <si>
    <t>Griffin</t>
  </si>
  <si>
    <t>Kenilworth Wheelers</t>
  </si>
  <si>
    <t>Southfield</t>
  </si>
  <si>
    <t>Kenneth</t>
  </si>
  <si>
    <t>Catherine</t>
  </si>
  <si>
    <t>Green</t>
  </si>
  <si>
    <t>Antony</t>
  </si>
  <si>
    <t>London Dynamo</t>
  </si>
  <si>
    <t>SW19 4HJ</t>
  </si>
  <si>
    <t>D</t>
  </si>
  <si>
    <t>Helen</t>
  </si>
  <si>
    <t>Grainger</t>
  </si>
  <si>
    <t>M</t>
  </si>
  <si>
    <t>Malcolm</t>
  </si>
  <si>
    <t>Newark</t>
  </si>
  <si>
    <t>Huntingdon</t>
  </si>
  <si>
    <t>Brampton</t>
  </si>
  <si>
    <t>Deal</t>
  </si>
  <si>
    <t>Rye &amp; District Wheelers</t>
  </si>
  <si>
    <t>Seaford</t>
  </si>
  <si>
    <t>Tom</t>
  </si>
  <si>
    <t>West Malling</t>
  </si>
  <si>
    <t>Gerry</t>
  </si>
  <si>
    <t>Glos</t>
  </si>
  <si>
    <t>Fife</t>
  </si>
  <si>
    <t>Crossgates</t>
  </si>
  <si>
    <t>Royston</t>
  </si>
  <si>
    <t>Bromsgrove</t>
  </si>
  <si>
    <t>Jackie</t>
  </si>
  <si>
    <t>Foster</t>
  </si>
  <si>
    <t>Barrie</t>
  </si>
  <si>
    <t>Ford</t>
  </si>
  <si>
    <t>Jan</t>
  </si>
  <si>
    <t>VC Glasgow South</t>
  </si>
  <si>
    <t>Glasgow</t>
  </si>
  <si>
    <t>Allan</t>
  </si>
  <si>
    <t>isobel_fletcher@hotmail.com</t>
  </si>
  <si>
    <t>Fletcher</t>
  </si>
  <si>
    <t>Isobel</t>
  </si>
  <si>
    <t>Kendal Cycle Club</t>
  </si>
  <si>
    <t>Cumbria</t>
  </si>
  <si>
    <t>Kendal</t>
  </si>
  <si>
    <t>Skelsmergh</t>
  </si>
  <si>
    <t>Edge Bank</t>
  </si>
  <si>
    <t>Finn</t>
  </si>
  <si>
    <t>kathfinn421@gmail.com</t>
  </si>
  <si>
    <t>Kath</t>
  </si>
  <si>
    <t>GS Stella</t>
  </si>
  <si>
    <t>john</t>
  </si>
  <si>
    <t>Louise</t>
  </si>
  <si>
    <t>Carl</t>
  </si>
  <si>
    <t>Nev</t>
  </si>
  <si>
    <t>Ythan CC</t>
  </si>
  <si>
    <t>Evans</t>
  </si>
  <si>
    <t>Kings Lynn</t>
  </si>
  <si>
    <t>Fareham Wheelers CC</t>
  </si>
  <si>
    <t>VTTA (East Anglia Group)</t>
  </si>
  <si>
    <t>SG19 3AU</t>
  </si>
  <si>
    <t>Bedfordshire</t>
  </si>
  <si>
    <t>Sandy</t>
  </si>
  <si>
    <t>Great Gransden</t>
  </si>
  <si>
    <t>Barrow Central Wheelers</t>
  </si>
  <si>
    <t>Edwards</t>
  </si>
  <si>
    <t>Middlesex RC</t>
  </si>
  <si>
    <t>Berkshire</t>
  </si>
  <si>
    <t>HLM - Individual Membership - London &amp; Home Counties</t>
  </si>
  <si>
    <t>Eccles</t>
  </si>
  <si>
    <t>Earl</t>
  </si>
  <si>
    <t>Letchworth Garden City</t>
  </si>
  <si>
    <t>Dynes</t>
  </si>
  <si>
    <t>Draper</t>
  </si>
  <si>
    <t>Abellio-SFA Racing Team</t>
  </si>
  <si>
    <t>Kingsnorth</t>
  </si>
  <si>
    <t xml:space="preserve">Mark </t>
  </si>
  <si>
    <t>Shorter Rochford RT</t>
  </si>
  <si>
    <t>CB11 3LZ</t>
  </si>
  <si>
    <t>Saffron Walden</t>
  </si>
  <si>
    <t>Henham Road</t>
  </si>
  <si>
    <t>Willows</t>
  </si>
  <si>
    <t>Dorling</t>
  </si>
  <si>
    <t>Wendy</t>
  </si>
  <si>
    <t>St Ives CC</t>
  </si>
  <si>
    <t>Desborough</t>
  </si>
  <si>
    <t>Karen</t>
  </si>
  <si>
    <t>Northumberland</t>
  </si>
  <si>
    <t>Davison</t>
  </si>
  <si>
    <t>Davis</t>
  </si>
  <si>
    <t>Jeffrey</t>
  </si>
  <si>
    <t>Davies</t>
  </si>
  <si>
    <t>RAF CA</t>
  </si>
  <si>
    <t>Aylesbury</t>
  </si>
  <si>
    <t>alan.davidson@openwork.uk.com</t>
  </si>
  <si>
    <t>Dundee Wheelers</t>
  </si>
  <si>
    <t>Dundee</t>
  </si>
  <si>
    <t>Davidson</t>
  </si>
  <si>
    <t>Welland Valley CC</t>
  </si>
  <si>
    <t>Wigston</t>
  </si>
  <si>
    <t>Justin</t>
  </si>
  <si>
    <t>Yorkshire Road Club</t>
  </si>
  <si>
    <t>North Yorkshire</t>
  </si>
  <si>
    <t>Kettering CC</t>
  </si>
  <si>
    <t>Northants</t>
  </si>
  <si>
    <t>Rotherham Wheelers Cycling Club</t>
  </si>
  <si>
    <t>HLM - Individual Membership - North Midlands</t>
  </si>
  <si>
    <t>Cooper</t>
  </si>
  <si>
    <t>SHEFFIELD</t>
  </si>
  <si>
    <t>Cooke</t>
  </si>
  <si>
    <t>Basildon CC</t>
  </si>
  <si>
    <t>Keightley</t>
  </si>
  <si>
    <t>Stourbridge Velo</t>
  </si>
  <si>
    <t>Kidderminster</t>
  </si>
  <si>
    <t>Tooting BC</t>
  </si>
  <si>
    <t>Lingfield</t>
  </si>
  <si>
    <t>Cole</t>
  </si>
  <si>
    <t>Adam</t>
  </si>
  <si>
    <t>Janus Road Club</t>
  </si>
  <si>
    <t>Clayton</t>
  </si>
  <si>
    <t>Newcastle-upon-Tyne</t>
  </si>
  <si>
    <t>Joint Membership - North</t>
  </si>
  <si>
    <t>Henderson</t>
  </si>
  <si>
    <t>Charlotte</t>
  </si>
  <si>
    <t>Clarke</t>
  </si>
  <si>
    <t>Staffs</t>
  </si>
  <si>
    <t>Newcastle</t>
  </si>
  <si>
    <t>Pauline</t>
  </si>
  <si>
    <t>Lindsay</t>
  </si>
  <si>
    <t>Charlton</t>
  </si>
  <si>
    <t>Sid</t>
  </si>
  <si>
    <t>Hull</t>
  </si>
  <si>
    <t>Littlehampton</t>
  </si>
  <si>
    <t>Cave</t>
  </si>
  <si>
    <t xml:space="preserve">Manchester </t>
  </si>
  <si>
    <t xml:space="preserve">Whitefield </t>
  </si>
  <si>
    <t>Carr</t>
  </si>
  <si>
    <t>Ivan</t>
  </si>
  <si>
    <t>Chichester</t>
  </si>
  <si>
    <t>Carpenter</t>
  </si>
  <si>
    <t>Angela</t>
  </si>
  <si>
    <t>KT18 7DX</t>
  </si>
  <si>
    <t>Epsom</t>
  </si>
  <si>
    <t>52 Sunnybank</t>
  </si>
  <si>
    <t>Cannon</t>
  </si>
  <si>
    <t>Wrexham</t>
  </si>
  <si>
    <t xml:space="preserve">Joanna </t>
  </si>
  <si>
    <t>Castleford</t>
  </si>
  <si>
    <t>Burton</t>
  </si>
  <si>
    <t>Main Street</t>
  </si>
  <si>
    <t>Vive Le Velo</t>
  </si>
  <si>
    <t>DN14 7RL</t>
  </si>
  <si>
    <t>Howden</t>
  </si>
  <si>
    <t>Smithy Cottage</t>
  </si>
  <si>
    <t>Burrows</t>
  </si>
  <si>
    <t>Downend</t>
  </si>
  <si>
    <t>Finsbury Park CC</t>
  </si>
  <si>
    <t>Finchley</t>
  </si>
  <si>
    <t>Bullen</t>
  </si>
  <si>
    <t>Northampton</t>
  </si>
  <si>
    <t>Marcus</t>
  </si>
  <si>
    <t>East Surrey RC</t>
  </si>
  <si>
    <t>Oxon</t>
  </si>
  <si>
    <t>Abingdon</t>
  </si>
  <si>
    <t>Maidstone</t>
  </si>
  <si>
    <t>Bruce</t>
  </si>
  <si>
    <t>Spennymoor</t>
  </si>
  <si>
    <t>Brown</t>
  </si>
  <si>
    <t>Shirley</t>
  </si>
  <si>
    <t>Warrington Road Club/Horton Light Engineering</t>
  </si>
  <si>
    <t>Brooks</t>
  </si>
  <si>
    <t>Rod</t>
  </si>
  <si>
    <t>London Fire Brigade CC</t>
  </si>
  <si>
    <t>Orpington</t>
  </si>
  <si>
    <t>Joseph</t>
  </si>
  <si>
    <t>Newmarket Cycling &amp; Triathlon Club</t>
  </si>
  <si>
    <t>Bray</t>
  </si>
  <si>
    <t>Clive</t>
  </si>
  <si>
    <t>Stowmarket</t>
  </si>
  <si>
    <t>Boyle</t>
  </si>
  <si>
    <t>Kingsley</t>
  </si>
  <si>
    <t>Bosley</t>
  </si>
  <si>
    <t>Bishop</t>
  </si>
  <si>
    <t>Plomesgate CC</t>
  </si>
  <si>
    <t>New Haw</t>
  </si>
  <si>
    <t>Andrew</t>
  </si>
  <si>
    <t>Sydenham Whs</t>
  </si>
  <si>
    <t>CB7 5HT</t>
  </si>
  <si>
    <t>Soham</t>
  </si>
  <si>
    <t>37 Mill Corner</t>
  </si>
  <si>
    <t>Bennett</t>
  </si>
  <si>
    <t>Darran</t>
  </si>
  <si>
    <t>Sharon</t>
  </si>
  <si>
    <t>East Riding of Yorkshire</t>
  </si>
  <si>
    <t>Kirk Ella</t>
  </si>
  <si>
    <t>Beckett</t>
  </si>
  <si>
    <t>Beard</t>
  </si>
  <si>
    <t>Loughton</t>
  </si>
  <si>
    <t>Bayley</t>
  </si>
  <si>
    <t>South Western Road Club</t>
  </si>
  <si>
    <t>Buxton Cycling Club</t>
  </si>
  <si>
    <t>Derbyshire</t>
  </si>
  <si>
    <t>Buxton</t>
  </si>
  <si>
    <t>Jon</t>
  </si>
  <si>
    <t>South Bucks RC</t>
  </si>
  <si>
    <t>Central Sussex CC</t>
  </si>
  <si>
    <t>Barbara</t>
  </si>
  <si>
    <t>East Bradford CC</t>
  </si>
  <si>
    <t>Bradford</t>
  </si>
  <si>
    <t>Aylesbury CC</t>
  </si>
  <si>
    <t>Eric</t>
  </si>
  <si>
    <t>Allen</t>
  </si>
  <si>
    <t>Adams</t>
  </si>
  <si>
    <t>Individual Membership (No Veteran) - Kent</t>
  </si>
  <si>
    <t>Abraham</t>
  </si>
  <si>
    <t>Mapperley CC</t>
  </si>
  <si>
    <t>Nottingham</t>
  </si>
  <si>
    <t>Arnold</t>
  </si>
  <si>
    <t>South Yorkshire</t>
  </si>
  <si>
    <t>Knutsford</t>
  </si>
  <si>
    <t>Team Vision Racing - Silverhook</t>
  </si>
  <si>
    <t>Hutton</t>
  </si>
  <si>
    <t>Deeside Thistle</t>
  </si>
  <si>
    <t>Aberdeen</t>
  </si>
  <si>
    <t>Ratae RC</t>
  </si>
  <si>
    <t>Leicester</t>
  </si>
  <si>
    <t>Western Park</t>
  </si>
  <si>
    <t xml:space="preserve">Vincent </t>
  </si>
  <si>
    <t xml:space="preserve">David </t>
  </si>
  <si>
    <t>Sotonia CC</t>
  </si>
  <si>
    <t>Gillingham</t>
  </si>
  <si>
    <t xml:space="preserve">Cheshire </t>
  </si>
  <si>
    <t>Warrington</t>
  </si>
  <si>
    <t xml:space="preserve">Anthony </t>
  </si>
  <si>
    <t>Sleaford Wheelers CC</t>
  </si>
  <si>
    <t>Sleaford</t>
  </si>
  <si>
    <t>Macclesfield Wheelers</t>
  </si>
  <si>
    <t>Macclesfield</t>
  </si>
  <si>
    <t>Bollington</t>
  </si>
  <si>
    <t xml:space="preserve">Patrick </t>
  </si>
  <si>
    <t xml:space="preserve">James </t>
  </si>
  <si>
    <t>Tornado Road Cycling Club</t>
  </si>
  <si>
    <t>Ferndown</t>
  </si>
  <si>
    <t>loulolben@aol.com</t>
  </si>
  <si>
    <t>hr2 8ae</t>
  </si>
  <si>
    <t>hereford</t>
  </si>
  <si>
    <t>ridgehill</t>
  </si>
  <si>
    <t>peacock lodge</t>
  </si>
  <si>
    <t>Wyatt</t>
  </si>
  <si>
    <t>Ashley</t>
  </si>
  <si>
    <t>Cornwall</t>
  </si>
  <si>
    <t>Newquay</t>
  </si>
  <si>
    <t>Matlock CC</t>
  </si>
  <si>
    <t>Oliver</t>
  </si>
  <si>
    <t>Leatherhead</t>
  </si>
  <si>
    <t xml:space="preserve">Peterborough </t>
  </si>
  <si>
    <t>Rugby</t>
  </si>
  <si>
    <t>Dunfermline C.C.</t>
  </si>
  <si>
    <t>Westmead Team 88</t>
  </si>
  <si>
    <t>Adlington</t>
  </si>
  <si>
    <t>Jersey</t>
  </si>
  <si>
    <t>test</t>
  </si>
  <si>
    <t>matthew</t>
  </si>
  <si>
    <t>Woollard</t>
  </si>
  <si>
    <t>Northamptonshire</t>
  </si>
  <si>
    <t>Woodford Halse</t>
  </si>
  <si>
    <t>stephen</t>
  </si>
  <si>
    <t>Middlesex</t>
  </si>
  <si>
    <t>Teddington</t>
  </si>
  <si>
    <t>Woods</t>
  </si>
  <si>
    <t>Gregory</t>
  </si>
  <si>
    <t>Beeston RC</t>
  </si>
  <si>
    <t>Manchester</t>
  </si>
  <si>
    <t>Denton</t>
  </si>
  <si>
    <t>Edinburgh</t>
  </si>
  <si>
    <t>Sally</t>
  </si>
  <si>
    <t>Barnet</t>
  </si>
  <si>
    <t>Lawrence</t>
  </si>
  <si>
    <t>Twickenham CC</t>
  </si>
  <si>
    <t>Winslow</t>
  </si>
  <si>
    <t>Bynea CC</t>
  </si>
  <si>
    <t>Wilson</t>
  </si>
  <si>
    <t>Hartlepool CC</t>
  </si>
  <si>
    <t>Hartlepool</t>
  </si>
  <si>
    <t>R</t>
  </si>
  <si>
    <t>North Shropshire Wheelers</t>
  </si>
  <si>
    <t>Whitchurch</t>
  </si>
  <si>
    <t>Leek CC - Den Engel Belgian Bar</t>
  </si>
  <si>
    <t>Cheadle</t>
  </si>
  <si>
    <t>Maurice</t>
  </si>
  <si>
    <t>Icknield RC</t>
  </si>
  <si>
    <t>Bath Cycling Club</t>
  </si>
  <si>
    <t>Wilts</t>
  </si>
  <si>
    <t>Melksham</t>
  </si>
  <si>
    <t>Warks</t>
  </si>
  <si>
    <t>Nuneaton</t>
  </si>
  <si>
    <t>Huddersfield RC</t>
  </si>
  <si>
    <t>Williamson</t>
  </si>
  <si>
    <t>Anfield BC</t>
  </si>
  <si>
    <t>Newbury Velo</t>
  </si>
  <si>
    <t xml:space="preserve">Hungerford </t>
  </si>
  <si>
    <t xml:space="preserve">Nicholas </t>
  </si>
  <si>
    <t xml:space="preserve">Matt </t>
  </si>
  <si>
    <t>Fife Century Road Club</t>
  </si>
  <si>
    <t>Weaver Valley CC</t>
  </si>
  <si>
    <t>Winsford</t>
  </si>
  <si>
    <t>Llanelli</t>
  </si>
  <si>
    <t>Shaun</t>
  </si>
  <si>
    <t>Beckenham</t>
  </si>
  <si>
    <t>Amersham Road Cycling Club</t>
  </si>
  <si>
    <t>Watford</t>
  </si>
  <si>
    <t>Poole Wheelers</t>
  </si>
  <si>
    <t>Bournemouth</t>
  </si>
  <si>
    <t>Royal Air Force CA</t>
  </si>
  <si>
    <t>Leicester Forest Cycling Club</t>
  </si>
  <si>
    <t>Anstey</t>
  </si>
  <si>
    <t>Cannock</t>
  </si>
  <si>
    <t>Wild</t>
  </si>
  <si>
    <t>Gavin</t>
  </si>
  <si>
    <t>Chesterfield Spire Cycling Club</t>
  </si>
  <si>
    <t xml:space="preserve">Derbyshire </t>
  </si>
  <si>
    <t>Les</t>
  </si>
  <si>
    <t xml:space="preserve">Trowbridge </t>
  </si>
  <si>
    <t xml:space="preserve">Jonathan </t>
  </si>
  <si>
    <t xml:space="preserve">Wiltshire </t>
  </si>
  <si>
    <t xml:space="preserve">Elizabeth </t>
  </si>
  <si>
    <t>Whitwell</t>
  </si>
  <si>
    <t>Chorleywood</t>
  </si>
  <si>
    <t>Whittaker</t>
  </si>
  <si>
    <t>Caroline</t>
  </si>
  <si>
    <t>Stockport Clarion CC</t>
  </si>
  <si>
    <t>Southampton</t>
  </si>
  <si>
    <t>VTTA (North Midlands)</t>
  </si>
  <si>
    <t>Rotherham</t>
  </si>
  <si>
    <t>Whiteside</t>
  </si>
  <si>
    <t>Helensburgh</t>
  </si>
  <si>
    <t>Whitelaw</t>
  </si>
  <si>
    <t>Gordon</t>
  </si>
  <si>
    <t>White</t>
  </si>
  <si>
    <t>City RC Hull</t>
  </si>
  <si>
    <t>Buxton CC</t>
  </si>
  <si>
    <t>GB</t>
  </si>
  <si>
    <t>Burton on Trent</t>
  </si>
  <si>
    <t>Westwood</t>
  </si>
  <si>
    <t xml:space="preserve">Lincolnshire </t>
  </si>
  <si>
    <t>Grantham</t>
  </si>
  <si>
    <t>Graham Weigh Racing-Deeside Olympic</t>
  </si>
  <si>
    <t>Mold</t>
  </si>
  <si>
    <t>Drag2zero</t>
  </si>
  <si>
    <t>Banbury</t>
  </si>
  <si>
    <t>Egham</t>
  </si>
  <si>
    <t>Wells</t>
  </si>
  <si>
    <t>Joanna</t>
  </si>
  <si>
    <t>Derby Mercury RC</t>
  </si>
  <si>
    <t>Derby</t>
  </si>
  <si>
    <t>Webster</t>
  </si>
  <si>
    <t>Guy</t>
  </si>
  <si>
    <t xml:space="preserve">Ipswich </t>
  </si>
  <si>
    <t>Hadleigh</t>
  </si>
  <si>
    <t>Roy</t>
  </si>
  <si>
    <t>Eastbourne Rovers</t>
  </si>
  <si>
    <t>Stafford</t>
  </si>
  <si>
    <t>Keighley</t>
  </si>
  <si>
    <t>Frederick</t>
  </si>
  <si>
    <t>OVCC</t>
  </si>
  <si>
    <t xml:space="preserve">George </t>
  </si>
  <si>
    <t>Liverpool Century RC</t>
  </si>
  <si>
    <t>Widnes</t>
  </si>
  <si>
    <t>County Durham</t>
  </si>
  <si>
    <t>Darlington</t>
  </si>
  <si>
    <t>Kingswood</t>
  </si>
  <si>
    <t>Melton Olympic CC</t>
  </si>
  <si>
    <t>Chesterfield</t>
  </si>
  <si>
    <t>Richmond CC</t>
  </si>
  <si>
    <t>Watkins</t>
  </si>
  <si>
    <t>Didcot Phoenix CC</t>
  </si>
  <si>
    <t>Didcot</t>
  </si>
  <si>
    <t>Stone Wheelers</t>
  </si>
  <si>
    <t>Stone</t>
  </si>
  <si>
    <t>North Lancashire Road Club</t>
  </si>
  <si>
    <t>CB8 9TP</t>
  </si>
  <si>
    <t>Newmarket</t>
  </si>
  <si>
    <t>Stetchworth</t>
  </si>
  <si>
    <t>Lynne</t>
  </si>
  <si>
    <t>Ward</t>
  </si>
  <si>
    <t>Hillingdon Triathletes</t>
  </si>
  <si>
    <t>Rickmansworth</t>
  </si>
  <si>
    <t>Liverpool Phoenix CC (Aintree)</t>
  </si>
  <si>
    <t>Arthur</t>
  </si>
  <si>
    <t>Worcester</t>
  </si>
  <si>
    <t>Ann</t>
  </si>
  <si>
    <t>Stirling Bike Club</t>
  </si>
  <si>
    <t>Cumbernauld</t>
  </si>
  <si>
    <t>Graeme</t>
  </si>
  <si>
    <t>Weston</t>
  </si>
  <si>
    <t xml:space="preserve">Thomas </t>
  </si>
  <si>
    <t xml:space="preserve">Simon </t>
  </si>
  <si>
    <t>Wallace</t>
  </si>
  <si>
    <t>Fullarton Wheelers</t>
  </si>
  <si>
    <t>Alexander</t>
  </si>
  <si>
    <t>Buxton CC/Sett Valley Cycles</t>
  </si>
  <si>
    <t>Wall</t>
  </si>
  <si>
    <t>Aston</t>
  </si>
  <si>
    <t>Hope Valley</t>
  </si>
  <si>
    <t>Chatham</t>
  </si>
  <si>
    <t>richard</t>
  </si>
  <si>
    <t>VTTA (North)</t>
  </si>
  <si>
    <t>North Yorks</t>
  </si>
  <si>
    <t>Chesham</t>
  </si>
  <si>
    <t>michael</t>
  </si>
  <si>
    <t>Congleton CC</t>
  </si>
  <si>
    <t>Sandbach</t>
  </si>
  <si>
    <t>Audrey</t>
  </si>
  <si>
    <t>VTTA (Surrey/ Sussex)</t>
  </si>
  <si>
    <t>North Wirral Velo</t>
  </si>
  <si>
    <t>Westfield</t>
  </si>
  <si>
    <t>Luke</t>
  </si>
  <si>
    <t>Lewes Wanderers CC</t>
  </si>
  <si>
    <t>Eastbourne</t>
  </si>
  <si>
    <t>School Lane</t>
  </si>
  <si>
    <t>Ulverston</t>
  </si>
  <si>
    <t>Uttley</t>
  </si>
  <si>
    <t>Howard</t>
  </si>
  <si>
    <t>Hereford &amp; Dist Whs CC</t>
  </si>
  <si>
    <t>Hereford</t>
  </si>
  <si>
    <t>Southport CC</t>
  </si>
  <si>
    <t>Southport</t>
  </si>
  <si>
    <t>Tyson</t>
  </si>
  <si>
    <t xml:space="preserve">Oxfordshire </t>
  </si>
  <si>
    <t>Freeland</t>
  </si>
  <si>
    <t>Woodbridge</t>
  </si>
  <si>
    <t>Tye</t>
  </si>
  <si>
    <t>RT 23</t>
  </si>
  <si>
    <t>Inverurie</t>
  </si>
  <si>
    <t>Glasgow Wheelers</t>
  </si>
  <si>
    <t>Harry</t>
  </si>
  <si>
    <t>VC Long Eaton</t>
  </si>
  <si>
    <t>Southwell</t>
  </si>
  <si>
    <t>Frodsham Wheelers</t>
  </si>
  <si>
    <t>Hawick</t>
  </si>
  <si>
    <t>South Normanton CC</t>
  </si>
  <si>
    <t>Pete</t>
  </si>
  <si>
    <t>Greenfield</t>
  </si>
  <si>
    <t>Upton</t>
  </si>
  <si>
    <t>West Glamorgan</t>
  </si>
  <si>
    <t>Billingshurst</t>
  </si>
  <si>
    <t>Trigg</t>
  </si>
  <si>
    <t>Rockingham CC</t>
  </si>
  <si>
    <t>Sth Yorks</t>
  </si>
  <si>
    <t>Swinton</t>
  </si>
  <si>
    <t>Waterlooville</t>
  </si>
  <si>
    <t>Coalville Whs</t>
  </si>
  <si>
    <t>Loughborough</t>
  </si>
  <si>
    <t>Wigan</t>
  </si>
  <si>
    <t>Maidenhead &amp; District CC</t>
  </si>
  <si>
    <t>Clayton Velo</t>
  </si>
  <si>
    <t>Burnley</t>
  </si>
  <si>
    <t>david</t>
  </si>
  <si>
    <t>Flintshire</t>
  </si>
  <si>
    <t>Cleveland Wheelers CC</t>
  </si>
  <si>
    <t>Co. Durham</t>
  </si>
  <si>
    <t>Oxfordshire</t>
  </si>
  <si>
    <t>Witney</t>
  </si>
  <si>
    <t>GS Avanti</t>
  </si>
  <si>
    <t>Sevenoaks</t>
  </si>
  <si>
    <t>Stone Wheelers CC</t>
  </si>
  <si>
    <t>Great Yarmouth CC</t>
  </si>
  <si>
    <t>Tyne and Wear</t>
  </si>
  <si>
    <t>Gateshead</t>
  </si>
  <si>
    <t>Severn Road Club</t>
  </si>
  <si>
    <t>Horton</t>
  </si>
  <si>
    <t>Leicestershire RC</t>
  </si>
  <si>
    <t>KENT</t>
  </si>
  <si>
    <t>west sussex</t>
  </si>
  <si>
    <t>Deeside Thistle CC</t>
  </si>
  <si>
    <t>Aberdeenshire</t>
  </si>
  <si>
    <t>Gwent</t>
  </si>
  <si>
    <t>Crumlin</t>
  </si>
  <si>
    <t>Wayne</t>
  </si>
  <si>
    <t>Rossendale RC</t>
  </si>
  <si>
    <t>Bury</t>
  </si>
  <si>
    <t>Stockton-on-Tees</t>
  </si>
  <si>
    <t>Thornaby</t>
  </si>
  <si>
    <t>Coalville Wheelers</t>
  </si>
  <si>
    <t>Tebbutt</t>
  </si>
  <si>
    <t>Iain</t>
  </si>
  <si>
    <t>West Midlands</t>
  </si>
  <si>
    <t>Birmingham</t>
  </si>
  <si>
    <t>Taylor</t>
  </si>
  <si>
    <t>Tunstall</t>
  </si>
  <si>
    <t>Coalville Wheelers CC</t>
  </si>
  <si>
    <t>Leics</t>
  </si>
  <si>
    <t>Rebecca</t>
  </si>
  <si>
    <t>Amersham</t>
  </si>
  <si>
    <t>Midland C &amp; AC</t>
  </si>
  <si>
    <t>Tate</t>
  </si>
  <si>
    <t>Tasker</t>
  </si>
  <si>
    <t>Sussex</t>
  </si>
  <si>
    <t>Symons</t>
  </si>
  <si>
    <t>GREENOCK</t>
  </si>
  <si>
    <t>paul</t>
  </si>
  <si>
    <t>louise</t>
  </si>
  <si>
    <t>Crewe Clarion Wheelers</t>
  </si>
  <si>
    <t>Crewe</t>
  </si>
  <si>
    <t>Swift</t>
  </si>
  <si>
    <t>VTTA Midlands</t>
  </si>
  <si>
    <t>Bingham</t>
  </si>
  <si>
    <t>Summers</t>
  </si>
  <si>
    <t>Leyland</t>
  </si>
  <si>
    <t>Baldock</t>
  </si>
  <si>
    <t>Mid Glamorgan</t>
  </si>
  <si>
    <t>Bridgend</t>
  </si>
  <si>
    <t>Banchory</t>
  </si>
  <si>
    <t xml:space="preserve">Nottingham </t>
  </si>
  <si>
    <t>Mathew</t>
  </si>
  <si>
    <t>james</t>
  </si>
  <si>
    <t>Solihull</t>
  </si>
  <si>
    <t>Milton Keynes</t>
  </si>
  <si>
    <t>Rossendale</t>
  </si>
  <si>
    <t>Rawtenstall</t>
  </si>
  <si>
    <t>Alex</t>
  </si>
  <si>
    <t>Dalgety Bay</t>
  </si>
  <si>
    <t>CHESTERFIELD</t>
  </si>
  <si>
    <t>Shaftesbury Cycling Club</t>
  </si>
  <si>
    <t>Scarborough Paragon</t>
  </si>
  <si>
    <t>Scarborough</t>
  </si>
  <si>
    <t>Irvine</t>
  </si>
  <si>
    <t>Kirsty</t>
  </si>
  <si>
    <t>Barton Wheelers Cycling Club</t>
  </si>
  <si>
    <t>North Lincolnshire</t>
  </si>
  <si>
    <t>Darlington CC</t>
  </si>
  <si>
    <t>Bishop Auckland</t>
  </si>
  <si>
    <t>HUUB Wattshop</t>
  </si>
  <si>
    <t>Belper</t>
  </si>
  <si>
    <t>Holbrook</t>
  </si>
  <si>
    <t>Steele</t>
  </si>
  <si>
    <t>Warren</t>
  </si>
  <si>
    <t>Houghton CC</t>
  </si>
  <si>
    <t>CC Bexley</t>
  </si>
  <si>
    <t>Worcestershire</t>
  </si>
  <si>
    <t>Church Lane</t>
  </si>
  <si>
    <t>Hampton</t>
  </si>
  <si>
    <t>Nicolas</t>
  </si>
  <si>
    <t>anthony</t>
  </si>
  <si>
    <t>Lyme Racing Club</t>
  </si>
  <si>
    <t>Stacey</t>
  </si>
  <si>
    <t>Patricia</t>
  </si>
  <si>
    <t>BA12 6FP</t>
  </si>
  <si>
    <t>Warminster</t>
  </si>
  <si>
    <t>1 Brush Walk</t>
  </si>
  <si>
    <t>St Leger</t>
  </si>
  <si>
    <t>Wrexham RC</t>
  </si>
  <si>
    <t>Cardiff</t>
  </si>
  <si>
    <t>Richmond</t>
  </si>
  <si>
    <t>VTTA (Midlands)</t>
  </si>
  <si>
    <t>9 Milverton Terrace</t>
  </si>
  <si>
    <t>Alistair</t>
  </si>
  <si>
    <t>Pontefract</t>
  </si>
  <si>
    <t>Kennoway Road Club</t>
  </si>
  <si>
    <t>Dumfries</t>
  </si>
  <si>
    <t>Manchester Bicycle Club</t>
  </si>
  <si>
    <t>Winston</t>
  </si>
  <si>
    <t>Solway</t>
  </si>
  <si>
    <t>Roland</t>
  </si>
  <si>
    <t>Great Harwood</t>
  </si>
  <si>
    <t>Cheadle Hulme</t>
  </si>
  <si>
    <t xml:space="preserve">Gloucestershire </t>
  </si>
  <si>
    <t>Great Yarmouth C C</t>
  </si>
  <si>
    <t>Belton</t>
  </si>
  <si>
    <t>Dean</t>
  </si>
  <si>
    <t>Shore</t>
  </si>
  <si>
    <t>Garry</t>
  </si>
  <si>
    <t>Julia</t>
  </si>
  <si>
    <t>Peterborough CC</t>
  </si>
  <si>
    <t>Falkirk</t>
  </si>
  <si>
    <t>Alastair</t>
  </si>
  <si>
    <t>Lindfield</t>
  </si>
  <si>
    <t>Hugh</t>
  </si>
  <si>
    <t>Coventry Road Club</t>
  </si>
  <si>
    <t>Coventry</t>
  </si>
  <si>
    <t>Warwickshire Road Club</t>
  </si>
  <si>
    <t>BIRMINGHAM</t>
  </si>
  <si>
    <t>Terence</t>
  </si>
  <si>
    <t>Mavis</t>
  </si>
  <si>
    <t>Southdown Velo</t>
  </si>
  <si>
    <t>Smart</t>
  </si>
  <si>
    <t>Small</t>
  </si>
  <si>
    <t>V.C.St Raphael</t>
  </si>
  <si>
    <t>Skinner</t>
  </si>
  <si>
    <t>East Grinstead</t>
  </si>
  <si>
    <t>Marek</t>
  </si>
  <si>
    <t>Simpson</t>
  </si>
  <si>
    <t>Drag2Zero</t>
  </si>
  <si>
    <t>Simpkins</t>
  </si>
  <si>
    <t>Hemel Hempstead CC</t>
  </si>
  <si>
    <t>Berkhamsted</t>
  </si>
  <si>
    <t>Newbury RC</t>
  </si>
  <si>
    <t>Congleton</t>
  </si>
  <si>
    <t>Ellis</t>
  </si>
  <si>
    <t>Godalming</t>
  </si>
  <si>
    <t>Malmesbury</t>
  </si>
  <si>
    <t>Short</t>
  </si>
  <si>
    <t>Robin</t>
  </si>
  <si>
    <t>Washington</t>
  </si>
  <si>
    <t>Joe</t>
  </si>
  <si>
    <t>Team Jewson - MI Racing Poly Pipe McCann</t>
  </si>
  <si>
    <t>Garstang</t>
  </si>
  <si>
    <t>Worksop</t>
  </si>
  <si>
    <t>Shelton</t>
  </si>
  <si>
    <t>Sheard</t>
  </si>
  <si>
    <t>Geoffrey</t>
  </si>
  <si>
    <t>Lyndhurst</t>
  </si>
  <si>
    <t>Falkirk B.C.</t>
  </si>
  <si>
    <t>Hawick Cycling Club</t>
  </si>
  <si>
    <t>Scottish Borders</t>
  </si>
  <si>
    <t>Fiona</t>
  </si>
  <si>
    <t>Grange Park</t>
  </si>
  <si>
    <t>Kinross CC</t>
  </si>
  <si>
    <t>Jenny</t>
  </si>
  <si>
    <t>Cycling Club Breckland</t>
  </si>
  <si>
    <t>Sewell</t>
  </si>
  <si>
    <t>Montgomery</t>
  </si>
  <si>
    <t>Team Echelon</t>
  </si>
  <si>
    <t>Joint Membership - London &amp; Home Counties</t>
  </si>
  <si>
    <t>Blackburn</t>
  </si>
  <si>
    <t>Yarm</t>
  </si>
  <si>
    <t>Ted</t>
  </si>
  <si>
    <t>Hampshire Road Club</t>
  </si>
  <si>
    <t>Donald</t>
  </si>
  <si>
    <t>Skidby</t>
  </si>
  <si>
    <t>South Elmsall</t>
  </si>
  <si>
    <t xml:space="preserve">Scott </t>
  </si>
  <si>
    <t>Schofield</t>
  </si>
  <si>
    <t>Hertford</t>
  </si>
  <si>
    <t>PMR</t>
  </si>
  <si>
    <t>Savage</t>
  </si>
  <si>
    <t>Velotik Racing Team</t>
  </si>
  <si>
    <t>Gareth</t>
  </si>
  <si>
    <t>Middlesbrough</t>
  </si>
  <si>
    <t>Stockton Wheelers CC</t>
  </si>
  <si>
    <t>Telford</t>
  </si>
  <si>
    <t>Janice</t>
  </si>
  <si>
    <t xml:space="preserve">Paul </t>
  </si>
  <si>
    <t>Rutherford</t>
  </si>
  <si>
    <t>Kettering</t>
  </si>
  <si>
    <t>City RC (Hull)</t>
  </si>
  <si>
    <t>Dennis</t>
  </si>
  <si>
    <t>Benfleet</t>
  </si>
  <si>
    <t>Hayley</t>
  </si>
  <si>
    <t>Tracy</t>
  </si>
  <si>
    <t>Oxonian CC</t>
  </si>
  <si>
    <t>OXON</t>
  </si>
  <si>
    <t>Rowley</t>
  </si>
  <si>
    <t>Edinburgh Road Club</t>
  </si>
  <si>
    <t>Penny</t>
  </si>
  <si>
    <t>Falkirk B C</t>
  </si>
  <si>
    <t>Staines</t>
  </si>
  <si>
    <t>Roshier</t>
  </si>
  <si>
    <t>Exeter Whs CC</t>
  </si>
  <si>
    <t>Rose</t>
  </si>
  <si>
    <t>HULL</t>
  </si>
  <si>
    <t>Rogers</t>
  </si>
  <si>
    <t xml:space="preserve">Surrey </t>
  </si>
  <si>
    <t>ROTHERHAM</t>
  </si>
  <si>
    <t>Bolton-on-Dearne</t>
  </si>
  <si>
    <t>VTTA London &amp; Home Counties</t>
  </si>
  <si>
    <t>Paula</t>
  </si>
  <si>
    <t xml:space="preserve">Robinson </t>
  </si>
  <si>
    <t>Robertson</t>
  </si>
  <si>
    <t>Caernarfon</t>
  </si>
  <si>
    <t>Rix</t>
  </si>
  <si>
    <t>Ridge</t>
  </si>
  <si>
    <t>ian</t>
  </si>
  <si>
    <t>VTTA (Yorkshire)</t>
  </si>
  <si>
    <t>The Coach House</t>
  </si>
  <si>
    <t>Ralph</t>
  </si>
  <si>
    <t>Richards</t>
  </si>
  <si>
    <t>Stafford Road Club</t>
  </si>
  <si>
    <t>Drighlington BC</t>
  </si>
  <si>
    <t>Tracey</t>
  </si>
  <si>
    <t>Exeter</t>
  </si>
  <si>
    <t>Retter</t>
  </si>
  <si>
    <t>Newport</t>
  </si>
  <si>
    <t>Reid</t>
  </si>
  <si>
    <t>Tina</t>
  </si>
  <si>
    <t>Dunfermline</t>
  </si>
  <si>
    <t>Army Cycling Union</t>
  </si>
  <si>
    <t>Fordingbridge</t>
  </si>
  <si>
    <t>Heathcote</t>
  </si>
  <si>
    <t>Brendan</t>
  </si>
  <si>
    <t>Back Road</t>
  </si>
  <si>
    <t>Rees</t>
  </si>
  <si>
    <t>Morpeth</t>
  </si>
  <si>
    <t>West Kent RC</t>
  </si>
  <si>
    <t>Herne Bay</t>
  </si>
  <si>
    <t>Flat 1</t>
  </si>
  <si>
    <t>Victor</t>
  </si>
  <si>
    <t xml:space="preserve">Michael </t>
  </si>
  <si>
    <t xml:space="preserve">Tyneside Vagabonds </t>
  </si>
  <si>
    <t>Randle</t>
  </si>
  <si>
    <t>Ramsey</t>
  </si>
  <si>
    <t>LANCS</t>
  </si>
  <si>
    <t>Ogmore Valley Wheelers</t>
  </si>
  <si>
    <t>Hinckley Cycle Racing Club</t>
  </si>
  <si>
    <t>Hinckley</t>
  </si>
  <si>
    <t>Burbage</t>
  </si>
  <si>
    <t>Hastings</t>
  </si>
  <si>
    <t>Coalville</t>
  </si>
  <si>
    <t>Susan</t>
  </si>
  <si>
    <t>Tenterden</t>
  </si>
  <si>
    <t>Prestatyn</t>
  </si>
  <si>
    <t>Joint Membership - Merseyside</t>
  </si>
  <si>
    <t>Proctor</t>
  </si>
  <si>
    <t>Prior</t>
  </si>
  <si>
    <t>Luton</t>
  </si>
  <si>
    <t>Metropolitan Police Cycling Club</t>
  </si>
  <si>
    <t>Price</t>
  </si>
  <si>
    <t>Cliff</t>
  </si>
  <si>
    <t>Leigh</t>
  </si>
  <si>
    <t>Prescott</t>
  </si>
  <si>
    <t>Marc</t>
  </si>
  <si>
    <t>Kingston Phoenix RC</t>
  </si>
  <si>
    <t>West Ewell</t>
  </si>
  <si>
    <t>Powell</t>
  </si>
  <si>
    <t>High Wycombe CC</t>
  </si>
  <si>
    <t>Redhill CC</t>
  </si>
  <si>
    <t>Horley</t>
  </si>
  <si>
    <t>Warwicks</t>
  </si>
  <si>
    <t>Liz</t>
  </si>
  <si>
    <t>Kristian</t>
  </si>
  <si>
    <t>Vale of Glamorgan</t>
  </si>
  <si>
    <t>Poulton</t>
  </si>
  <si>
    <t>Loose Cannon's Conditioning</t>
  </si>
  <si>
    <t>Potter</t>
  </si>
  <si>
    <t>Springfield Financial RT</t>
  </si>
  <si>
    <t>Cottam</t>
  </si>
  <si>
    <t>Plummer</t>
  </si>
  <si>
    <t>Newmarket Cycling and Triathlon Club</t>
  </si>
  <si>
    <t>Banbury Star Cyclists' Club</t>
  </si>
  <si>
    <t xml:space="preserve">Banbury </t>
  </si>
  <si>
    <t>CM4 9HN</t>
  </si>
  <si>
    <t>Bryn</t>
  </si>
  <si>
    <t>Chorley Cycling Club</t>
  </si>
  <si>
    <t>Bolton</t>
  </si>
  <si>
    <t>Horwich</t>
  </si>
  <si>
    <t>Manchester Wheelers</t>
  </si>
  <si>
    <t>Bramhall</t>
  </si>
  <si>
    <t>St Leonards</t>
  </si>
  <si>
    <t>Stockport Tri Club</t>
  </si>
  <si>
    <t>Dulwich Paragon CC</t>
  </si>
  <si>
    <t>Joint Membership - North Midlands</t>
  </si>
  <si>
    <t>Linda</t>
  </si>
  <si>
    <t>Jayne</t>
  </si>
  <si>
    <t>SK10 4JU</t>
  </si>
  <si>
    <t>Brookledge Lane</t>
  </si>
  <si>
    <t>Perkins</t>
  </si>
  <si>
    <t>Suzanne</t>
  </si>
  <si>
    <t>Percival</t>
  </si>
  <si>
    <t>Dereham</t>
  </si>
  <si>
    <t>Herbert</t>
  </si>
  <si>
    <t>Sale</t>
  </si>
  <si>
    <t>Bath</t>
  </si>
  <si>
    <t>Gill</t>
  </si>
  <si>
    <t>Patterson</t>
  </si>
  <si>
    <t>Lincs</t>
  </si>
  <si>
    <t>Farnworth</t>
  </si>
  <si>
    <t>Parsons</t>
  </si>
  <si>
    <t>A5 Rangers CC</t>
  </si>
  <si>
    <t>Parkinson</t>
  </si>
  <si>
    <t xml:space="preserve">Nottinghamshire </t>
  </si>
  <si>
    <t>Neal</t>
  </si>
  <si>
    <t>none</t>
  </si>
  <si>
    <t>Samantha</t>
  </si>
  <si>
    <t>Parker</t>
  </si>
  <si>
    <t>Aerologic RT</t>
  </si>
  <si>
    <t>Palmer</t>
  </si>
  <si>
    <t>Spalding CC</t>
  </si>
  <si>
    <t>Spalding</t>
  </si>
  <si>
    <t>Utag RT</t>
  </si>
  <si>
    <t xml:space="preserve">Southampton </t>
  </si>
  <si>
    <t>Southend Wheelers</t>
  </si>
  <si>
    <t>Southsea</t>
  </si>
  <si>
    <t>Penwortham</t>
  </si>
  <si>
    <t>Team Ohten Aveas</t>
  </si>
  <si>
    <t>Owen</t>
  </si>
  <si>
    <t>Overton</t>
  </si>
  <si>
    <t>Cheltenham &amp; County CC</t>
  </si>
  <si>
    <t>Osborn</t>
  </si>
  <si>
    <t>grant@prewer-orsborn.co.uk</t>
  </si>
  <si>
    <t>East Lothian</t>
  </si>
  <si>
    <t>Oakley</t>
  </si>
  <si>
    <t>Giles</t>
  </si>
  <si>
    <t>O'Neill</t>
  </si>
  <si>
    <t xml:space="preserve">Shropshire </t>
  </si>
  <si>
    <t>Lower Bourne</t>
  </si>
  <si>
    <t>O'Brien</t>
  </si>
  <si>
    <t>Lancashire RC</t>
  </si>
  <si>
    <t xml:space="preserve">Mike </t>
  </si>
  <si>
    <t>Norton</t>
  </si>
  <si>
    <t>Harworth and District Cycling Club</t>
  </si>
  <si>
    <t>Retford</t>
  </si>
  <si>
    <t>Southborough &amp; District Wheelers</t>
  </si>
  <si>
    <t xml:space="preserve">Robert </t>
  </si>
  <si>
    <t>Bicester</t>
  </si>
  <si>
    <t>Norris</t>
  </si>
  <si>
    <t>Whetstone</t>
  </si>
  <si>
    <t>Bedford</t>
  </si>
  <si>
    <t>Clapham</t>
  </si>
  <si>
    <t>Cheam</t>
  </si>
  <si>
    <t>Select County</t>
  </si>
  <si>
    <t>robert</t>
  </si>
  <si>
    <t>Noble</t>
  </si>
  <si>
    <t>Annette</t>
  </si>
  <si>
    <t>Flat 3</t>
  </si>
  <si>
    <t>Nicol</t>
  </si>
  <si>
    <t>Border City Wheelers</t>
  </si>
  <si>
    <t>Penrith</t>
  </si>
  <si>
    <t>Nicholson</t>
  </si>
  <si>
    <t>DONCASTER</t>
  </si>
  <si>
    <t>Newton</t>
  </si>
  <si>
    <t>Eastbourne Rovers CC</t>
  </si>
  <si>
    <t>Arundel</t>
  </si>
  <si>
    <t>Peak Road Club</t>
  </si>
  <si>
    <t>Rutland</t>
  </si>
  <si>
    <t>Murray</t>
  </si>
  <si>
    <t>Murphy</t>
  </si>
  <si>
    <t>Settle Wheelers</t>
  </si>
  <si>
    <t>Skipton</t>
  </si>
  <si>
    <t>Hellifield</t>
  </si>
  <si>
    <t>South Lanarkshire</t>
  </si>
  <si>
    <t>East Kilbride</t>
  </si>
  <si>
    <t>Duncan</t>
  </si>
  <si>
    <t>Harrogate Nova CC</t>
  </si>
  <si>
    <t>Brentwood</t>
  </si>
  <si>
    <t xml:space="preserve">North Yorkshire </t>
  </si>
  <si>
    <t>Muir</t>
  </si>
  <si>
    <t>Royal Albert Cycling Club</t>
  </si>
  <si>
    <t>North Lanarkshire</t>
  </si>
  <si>
    <t>Motherwell</t>
  </si>
  <si>
    <t>United Kingdom</t>
  </si>
  <si>
    <t>Moss</t>
  </si>
  <si>
    <t>Droitwich Cycling Club</t>
  </si>
  <si>
    <t xml:space="preserve">West Midlands </t>
  </si>
  <si>
    <t xml:space="preserve">Karl </t>
  </si>
  <si>
    <t>Morris</t>
  </si>
  <si>
    <t>william</t>
  </si>
  <si>
    <t>Coveryourcar.co.uk RT - Fitted and Tailored Car Covers</t>
  </si>
  <si>
    <t>MORGAN</t>
  </si>
  <si>
    <t>JOHN</t>
  </si>
  <si>
    <t>Morgan</t>
  </si>
  <si>
    <t>Westerley Cycling Club</t>
  </si>
  <si>
    <t>Gillian</t>
  </si>
  <si>
    <t>Moore</t>
  </si>
  <si>
    <t>Kingston Wheelers CC</t>
  </si>
  <si>
    <t>Morden</t>
  </si>
  <si>
    <t>Moon</t>
  </si>
  <si>
    <t xml:space="preserve">Welland Valley </t>
  </si>
  <si>
    <t>Bathgate</t>
  </si>
  <si>
    <t xml:space="preserve">Moffat </t>
  </si>
  <si>
    <t>Sloan</t>
  </si>
  <si>
    <t>North Tyneside Riders</t>
  </si>
  <si>
    <t>Minto</t>
  </si>
  <si>
    <t>Turton</t>
  </si>
  <si>
    <t>Mills</t>
  </si>
  <si>
    <t>Raymond</t>
  </si>
  <si>
    <t>Frenchay</t>
  </si>
  <si>
    <t>Middleton</t>
  </si>
  <si>
    <t>LEEDS</t>
  </si>
  <si>
    <t>Yeadon</t>
  </si>
  <si>
    <t xml:space="preserve">Samantha </t>
  </si>
  <si>
    <t>edward</t>
  </si>
  <si>
    <t>Lanarkshire</t>
  </si>
  <si>
    <t>Mead</t>
  </si>
  <si>
    <t>S26 1JR</t>
  </si>
  <si>
    <t>5 Grange Gardens</t>
  </si>
  <si>
    <t>McWilliam</t>
  </si>
  <si>
    <t>McPherson</t>
  </si>
  <si>
    <t>McNamara</t>
  </si>
  <si>
    <t>Stirling</t>
  </si>
  <si>
    <t>Largs</t>
  </si>
  <si>
    <t>Ayrshire</t>
  </si>
  <si>
    <t>Dalry</t>
  </si>
  <si>
    <t>Ayr</t>
  </si>
  <si>
    <t>Cleveland</t>
  </si>
  <si>
    <t>Waterbeach</t>
  </si>
  <si>
    <t>Bodmin</t>
  </si>
  <si>
    <t>Bedfordshire Road CC</t>
  </si>
  <si>
    <t>Jo</t>
  </si>
  <si>
    <t>trainSharp</t>
  </si>
  <si>
    <t>Lewes</t>
  </si>
  <si>
    <t>Ayr Roads CC</t>
  </si>
  <si>
    <t>McCormick</t>
  </si>
  <si>
    <t>Kathleen</t>
  </si>
  <si>
    <t>Aberdeen Wheelers</t>
  </si>
  <si>
    <t>West Walton</t>
  </si>
  <si>
    <t xml:space="preserve">Douglas </t>
  </si>
  <si>
    <t>Enfield</t>
  </si>
  <si>
    <t>McCartney</t>
  </si>
  <si>
    <t>Nottingham Clarion CC</t>
  </si>
  <si>
    <t>Seaton Carew</t>
  </si>
  <si>
    <t>McAllister</t>
  </si>
  <si>
    <t>Timperley</t>
  </si>
  <si>
    <t>Welwyn Garden City</t>
  </si>
  <si>
    <t>Jonny</t>
  </si>
  <si>
    <t>Matthews</t>
  </si>
  <si>
    <t>Hazel</t>
  </si>
  <si>
    <t>West Pennine Road Club</t>
  </si>
  <si>
    <t>Todmorden</t>
  </si>
  <si>
    <t>8 The Square</t>
  </si>
  <si>
    <t>Lindsey Roads CC</t>
  </si>
  <si>
    <t>Nursling</t>
  </si>
  <si>
    <t>Brackley</t>
  </si>
  <si>
    <t>Velo Culture</t>
  </si>
  <si>
    <t>Glendene CC</t>
  </si>
  <si>
    <t>alexmcphee50@gmail.com</t>
  </si>
  <si>
    <t>Dooleys RT</t>
  </si>
  <si>
    <t>East Ayrshire</t>
  </si>
  <si>
    <t>Stewarton</t>
  </si>
  <si>
    <t>McPhee</t>
  </si>
  <si>
    <t>Marsh</t>
  </si>
  <si>
    <t>Bolsover</t>
  </si>
  <si>
    <t>Mercia - Lloyds Cycles CC</t>
  </si>
  <si>
    <t xml:space="preserve">Staffordshire </t>
  </si>
  <si>
    <t>Walter</t>
  </si>
  <si>
    <t>Kenton RC</t>
  </si>
  <si>
    <t>Edgware</t>
  </si>
  <si>
    <t>Narborough</t>
  </si>
  <si>
    <t xml:space="preserve">Hinckley </t>
  </si>
  <si>
    <t>Mann</t>
  </si>
  <si>
    <t>Caterham on the Hill</t>
  </si>
  <si>
    <t>Inverclyde</t>
  </si>
  <si>
    <t>Greenock</t>
  </si>
  <si>
    <t>Islington Cycling Club</t>
  </si>
  <si>
    <t>MacNeil</t>
  </si>
  <si>
    <t>Shawlands</t>
  </si>
  <si>
    <t>Mace</t>
  </si>
  <si>
    <t>Macdonald</t>
  </si>
  <si>
    <t>Preston Whs</t>
  </si>
  <si>
    <t>Lund</t>
  </si>
  <si>
    <t>Beacon Wheelers</t>
  </si>
  <si>
    <t>Newby</t>
  </si>
  <si>
    <t>Oxford</t>
  </si>
  <si>
    <t>Luckett</t>
  </si>
  <si>
    <t>CF34 9SB</t>
  </si>
  <si>
    <t>Maesteg</t>
  </si>
  <si>
    <t>Llangynwyd</t>
  </si>
  <si>
    <t>Brett</t>
  </si>
  <si>
    <t>Slough</t>
  </si>
  <si>
    <t>Langley</t>
  </si>
  <si>
    <t>Oswestry</t>
  </si>
  <si>
    <t>ZeroBC</t>
  </si>
  <si>
    <t>Logue</t>
  </si>
  <si>
    <t>114 Main Street</t>
  </si>
  <si>
    <t>Logan</t>
  </si>
  <si>
    <t>Towcester</t>
  </si>
  <si>
    <t>peter</t>
  </si>
  <si>
    <t>mark</t>
  </si>
  <si>
    <t>Lloyd</t>
  </si>
  <si>
    <t>South Oxfordshire</t>
  </si>
  <si>
    <t>Woodcote</t>
  </si>
  <si>
    <t>Formby</t>
  </si>
  <si>
    <t>LINCOLN</t>
  </si>
  <si>
    <t>Lindley</t>
  </si>
  <si>
    <t>Kent Valley RC</t>
  </si>
  <si>
    <t>Lewis</t>
  </si>
  <si>
    <t>Benjamin</t>
  </si>
  <si>
    <t>Baswich</t>
  </si>
  <si>
    <t>Melvyn</t>
  </si>
  <si>
    <t>CC Weymouth</t>
  </si>
  <si>
    <t>Beale</t>
  </si>
  <si>
    <t>Leonard</t>
  </si>
  <si>
    <t>Renfrewshire</t>
  </si>
  <si>
    <t>Lorna</t>
  </si>
  <si>
    <t>Legg</t>
  </si>
  <si>
    <t>Joint Membership - East Midlands</t>
  </si>
  <si>
    <t>Laurence</t>
  </si>
  <si>
    <t>Henry</t>
  </si>
  <si>
    <t>Leach</t>
  </si>
  <si>
    <t>Rutland Cycling Club</t>
  </si>
  <si>
    <t>Greater London</t>
  </si>
  <si>
    <t xml:space="preserve">High Wycombe </t>
  </si>
  <si>
    <t>Lavery</t>
  </si>
  <si>
    <t>Latimer</t>
  </si>
  <si>
    <t>Great Missenden</t>
  </si>
  <si>
    <t>Roundhay</t>
  </si>
  <si>
    <t xml:space="preserve">Liverpool </t>
  </si>
  <si>
    <t xml:space="preserve">Adam </t>
  </si>
  <si>
    <t>Wales</t>
  </si>
  <si>
    <t>Lane</t>
  </si>
  <si>
    <t>GS Metro</t>
  </si>
  <si>
    <t>VC10</t>
  </si>
  <si>
    <t>Lancaster</t>
  </si>
  <si>
    <t>Pennine CC</t>
  </si>
  <si>
    <t>YO14 9AE</t>
  </si>
  <si>
    <t>Individual Membership (No Veteran) - Yorkshire</t>
  </si>
  <si>
    <t>Lambert</t>
  </si>
  <si>
    <t>Lamb</t>
  </si>
  <si>
    <t>Knott</t>
  </si>
  <si>
    <t>Knight</t>
  </si>
  <si>
    <t>Hart Performance Coaching</t>
  </si>
  <si>
    <t xml:space="preserve">Brentwood </t>
  </si>
  <si>
    <t>6 Pindar Place</t>
  </si>
  <si>
    <t>Glen</t>
  </si>
  <si>
    <t>Kirkwood</t>
  </si>
  <si>
    <t>Kirkham</t>
  </si>
  <si>
    <t>Spencer</t>
  </si>
  <si>
    <t>Austin</t>
  </si>
  <si>
    <t>CV13 0DJ</t>
  </si>
  <si>
    <t>Haxby</t>
  </si>
  <si>
    <t>City Road Club (Hull)</t>
  </si>
  <si>
    <t>East Yorkshire</t>
  </si>
  <si>
    <t>Harrogate</t>
  </si>
  <si>
    <t>Croydon</t>
  </si>
  <si>
    <t>Law Wheelers</t>
  </si>
  <si>
    <t>Gifford</t>
  </si>
  <si>
    <t>Crest CC</t>
  </si>
  <si>
    <t>Harlow</t>
  </si>
  <si>
    <t>Keeble</t>
  </si>
  <si>
    <t>Kaye</t>
  </si>
  <si>
    <t>Wansford</t>
  </si>
  <si>
    <t>Salop</t>
  </si>
  <si>
    <t>Wem</t>
  </si>
  <si>
    <t>Kay</t>
  </si>
  <si>
    <t>Verulam Really Moving</t>
  </si>
  <si>
    <t xml:space="preserve">Essex </t>
  </si>
  <si>
    <t xml:space="preserve">Rayleigh </t>
  </si>
  <si>
    <t>Clevedon &amp; District Road Club</t>
  </si>
  <si>
    <t>Inverness</t>
  </si>
  <si>
    <t>Windsor</t>
  </si>
  <si>
    <t>Cwmbran</t>
  </si>
  <si>
    <t>Bournemouth Jubilee Whs</t>
  </si>
  <si>
    <t>Morden CRC</t>
  </si>
  <si>
    <t>Jolliffe</t>
  </si>
  <si>
    <t>Tamworth</t>
  </si>
  <si>
    <t>Clackmannanshire</t>
  </si>
  <si>
    <t>Johnstone</t>
  </si>
  <si>
    <t>Stewartfield</t>
  </si>
  <si>
    <t>Johnston</t>
  </si>
  <si>
    <t>Valley Striders CC</t>
  </si>
  <si>
    <t>Bilsthorpe</t>
  </si>
  <si>
    <t>Vincent</t>
  </si>
  <si>
    <t>simon</t>
  </si>
  <si>
    <t>Tickton</t>
  </si>
  <si>
    <t>Thanet Road Club</t>
  </si>
  <si>
    <t>Jenkins</t>
  </si>
  <si>
    <t>mikejefferies82@gmail.com</t>
  </si>
  <si>
    <t>TS23 3RY</t>
  </si>
  <si>
    <t>Stockton on Tees</t>
  </si>
  <si>
    <t xml:space="preserve">311 Wolviston Back Lane </t>
  </si>
  <si>
    <t>Jefferies</t>
  </si>
  <si>
    <t>nfmj@mac.com</t>
  </si>
  <si>
    <t>Southborough and District Wheelers</t>
  </si>
  <si>
    <t>CT14 9QP</t>
  </si>
  <si>
    <t>21 Foster Way</t>
  </si>
  <si>
    <t>Derbys</t>
  </si>
  <si>
    <t>Ilkeston</t>
  </si>
  <si>
    <t>Jackson</t>
  </si>
  <si>
    <t>Wrekinsport CC</t>
  </si>
  <si>
    <t>Melton Mowbray</t>
  </si>
  <si>
    <t>patrick</t>
  </si>
  <si>
    <t>Lightcliffe</t>
  </si>
  <si>
    <t>Stratford Cycling Club</t>
  </si>
  <si>
    <t>Hutchinson</t>
  </si>
  <si>
    <t>South Woodford</t>
  </si>
  <si>
    <t>Hutchings</t>
  </si>
  <si>
    <t>Hurt</t>
  </si>
  <si>
    <t xml:space="preserve">Mansfield </t>
  </si>
  <si>
    <t>Hurst</t>
  </si>
  <si>
    <t>Knaresborough</t>
  </si>
  <si>
    <t>Hunt</t>
  </si>
  <si>
    <t>Beeston</t>
  </si>
  <si>
    <t>Eaglescliffe</t>
  </si>
  <si>
    <t>RG45 6RS</t>
  </si>
  <si>
    <t>Crowthorne</t>
  </si>
  <si>
    <t>8 Pinewood Avenue</t>
  </si>
  <si>
    <t>Joan</t>
  </si>
  <si>
    <t>Humphrey</t>
  </si>
  <si>
    <t>Rochdale</t>
  </si>
  <si>
    <t>Hulme</t>
  </si>
  <si>
    <t>Hughes</t>
  </si>
  <si>
    <t>Terry</t>
  </si>
  <si>
    <t>Lune RCC</t>
  </si>
  <si>
    <t>Liverpool Century</t>
  </si>
  <si>
    <t>Howes</t>
  </si>
  <si>
    <t>VC Deal</t>
  </si>
  <si>
    <t>Farnham Road Club</t>
  </si>
  <si>
    <t>TMC - Strada</t>
  </si>
  <si>
    <t>Hove</t>
  </si>
  <si>
    <t>Mickey Cranks Cycling Club</t>
  </si>
  <si>
    <t>Petersfield</t>
  </si>
  <si>
    <t>Drew</t>
  </si>
  <si>
    <t>Appleton</t>
  </si>
  <si>
    <t>High Peak</t>
  </si>
  <si>
    <t>Horner</t>
  </si>
  <si>
    <t>Hornby</t>
  </si>
  <si>
    <t>Bryan</t>
  </si>
  <si>
    <t>Bicester Millennium CC</t>
  </si>
  <si>
    <t>London Phoenix CC</t>
  </si>
  <si>
    <t>Elaine</t>
  </si>
  <si>
    <t>Alford Wheelers</t>
  </si>
  <si>
    <t>Holden</t>
  </si>
  <si>
    <t>Hastings &amp; St. Leonards CC</t>
  </si>
  <si>
    <t>ianjholbrook@btinternet.com</t>
  </si>
  <si>
    <t>1 Leacroft</t>
  </si>
  <si>
    <t>Bridgnorth</t>
  </si>
  <si>
    <t>Hodgins</t>
  </si>
  <si>
    <t>North Hampshire RC</t>
  </si>
  <si>
    <t>Hobbs</t>
  </si>
  <si>
    <t>Hillingdon CC</t>
  </si>
  <si>
    <t>Individual Membership (No Veteran) - London &amp; Home Counties</t>
  </si>
  <si>
    <t>Basingstoke</t>
  </si>
  <si>
    <t xml:space="preserve">Warwickshire </t>
  </si>
  <si>
    <t>Hinds</t>
  </si>
  <si>
    <t>Hilton</t>
  </si>
  <si>
    <t>Hill</t>
  </si>
  <si>
    <t>Brough</t>
  </si>
  <si>
    <t>Welton</t>
  </si>
  <si>
    <t xml:space="preserve">Crowborough </t>
  </si>
  <si>
    <t>Hickman</t>
  </si>
  <si>
    <t>Bolsover and District CC</t>
  </si>
  <si>
    <t>S43 4RG</t>
  </si>
  <si>
    <t>Clowne</t>
  </si>
  <si>
    <t>6 Monnies End</t>
  </si>
  <si>
    <t>Hibbard</t>
  </si>
  <si>
    <t xml:space="preserve">Solihull </t>
  </si>
  <si>
    <t>Hewitt</t>
  </si>
  <si>
    <t>HX7 5JU</t>
  </si>
  <si>
    <t>Hebden Bridge</t>
  </si>
  <si>
    <t>Mytholmroyd</t>
  </si>
  <si>
    <t>8 Scout Close</t>
  </si>
  <si>
    <t>Co.Durham</t>
  </si>
  <si>
    <t>Ferryhill Whs</t>
  </si>
  <si>
    <t>Birdwell Wheelers</t>
  </si>
  <si>
    <t xml:space="preserve">West Sussex </t>
  </si>
  <si>
    <t>Nolan</t>
  </si>
  <si>
    <t>West Dunbartonshire</t>
  </si>
  <si>
    <t>Fetcham</t>
  </si>
  <si>
    <t xml:space="preserve">Newmarket </t>
  </si>
  <si>
    <t>Haydock</t>
  </si>
  <si>
    <t>Moreton</t>
  </si>
  <si>
    <t xml:space="preserve">Cambridgeshire </t>
  </si>
  <si>
    <t>Rory</t>
  </si>
  <si>
    <t>Wakefield CC</t>
  </si>
  <si>
    <t>Bossard Whs</t>
  </si>
  <si>
    <t>Dunstable</t>
  </si>
  <si>
    <t>Harwood</t>
  </si>
  <si>
    <t>Harvey</t>
  </si>
  <si>
    <t>Hart</t>
  </si>
  <si>
    <t>The Maples</t>
  </si>
  <si>
    <t>Mercedes AMG Petronas CC</t>
  </si>
  <si>
    <t xml:space="preserve">Melton Mowbray </t>
  </si>
  <si>
    <t>Carnforth</t>
  </si>
  <si>
    <t>Harrison</t>
  </si>
  <si>
    <t>Harris</t>
  </si>
  <si>
    <t>Pembrokeshire Velo</t>
  </si>
  <si>
    <t>Balsall Common</t>
  </si>
  <si>
    <t>Hargreaves</t>
  </si>
  <si>
    <t xml:space="preserve">East Yorkshire </t>
  </si>
  <si>
    <t>Hardy</t>
  </si>
  <si>
    <t>Gonerby Hill Foot</t>
  </si>
  <si>
    <t>Cowley Road Condors CC</t>
  </si>
  <si>
    <t>Hanson</t>
  </si>
  <si>
    <t>Vivien</t>
  </si>
  <si>
    <t xml:space="preserve">Ipswich Bicycle Club </t>
  </si>
  <si>
    <t>Orkney</t>
  </si>
  <si>
    <t>Hayes</t>
  </si>
  <si>
    <t>Brierley Hill</t>
  </si>
  <si>
    <t>Hamer</t>
  </si>
  <si>
    <t>Halliday</t>
  </si>
  <si>
    <t>New Mills</t>
  </si>
  <si>
    <t>Hallam</t>
  </si>
  <si>
    <t>Camberley</t>
  </si>
  <si>
    <t xml:space="preserve">Charles </t>
  </si>
  <si>
    <t xml:space="preserve">Watton </t>
  </si>
  <si>
    <t>RNRMCA</t>
  </si>
  <si>
    <t>Christina</t>
  </si>
  <si>
    <t>Leamington</t>
  </si>
  <si>
    <t>Pierre</t>
  </si>
  <si>
    <t>Allesley</t>
  </si>
  <si>
    <t>Johnstown</t>
  </si>
  <si>
    <t>Griffiths</t>
  </si>
  <si>
    <t>Pontypridd</t>
  </si>
  <si>
    <t>Northallerton</t>
  </si>
  <si>
    <t>Oldbury</t>
  </si>
  <si>
    <t>Velo Club Bristol</t>
  </si>
  <si>
    <t>Desmond</t>
  </si>
  <si>
    <t>Bradway</t>
  </si>
  <si>
    <t>Elgin</t>
  </si>
  <si>
    <t>Hale</t>
  </si>
  <si>
    <t>Newton Mearns</t>
  </si>
  <si>
    <t>New Milton</t>
  </si>
  <si>
    <t>Elliot</t>
  </si>
  <si>
    <t>Ford CC</t>
  </si>
  <si>
    <t>Gower</t>
  </si>
  <si>
    <t>Condor RC</t>
  </si>
  <si>
    <t>Matlock</t>
  </si>
  <si>
    <t>Paisley</t>
  </si>
  <si>
    <t>Goodwin</t>
  </si>
  <si>
    <t>Oundle</t>
  </si>
  <si>
    <t>Golding</t>
  </si>
  <si>
    <t>Daryl</t>
  </si>
  <si>
    <t>Congleton cycling club</t>
  </si>
  <si>
    <t>Kerry</t>
  </si>
  <si>
    <t>Gilmour</t>
  </si>
  <si>
    <t>Twickenham</t>
  </si>
  <si>
    <t>Lewisham</t>
  </si>
  <si>
    <t>Flat 4</t>
  </si>
  <si>
    <t>Serpentine Running Club</t>
  </si>
  <si>
    <t>TN8 7HU</t>
  </si>
  <si>
    <t>Cowden</t>
  </si>
  <si>
    <t>28 Chantlers Mead</t>
  </si>
  <si>
    <t>Gidney</t>
  </si>
  <si>
    <t>Border City Whs CC</t>
  </si>
  <si>
    <t>Gibson</t>
  </si>
  <si>
    <t>Jack</t>
  </si>
  <si>
    <t>S10 5TY</t>
  </si>
  <si>
    <t>Evesham</t>
  </si>
  <si>
    <t>Lancaster CC</t>
  </si>
  <si>
    <t>Garner</t>
  </si>
  <si>
    <t>PDQ</t>
  </si>
  <si>
    <t>Gargett</t>
  </si>
  <si>
    <t>Gardner</t>
  </si>
  <si>
    <t>Southbourne</t>
  </si>
  <si>
    <t>Southborough &amp; District Whs</t>
  </si>
  <si>
    <t>Folkestone</t>
  </si>
  <si>
    <t>Frost</t>
  </si>
  <si>
    <t>Danny</t>
  </si>
  <si>
    <t>Ampthill</t>
  </si>
  <si>
    <t>Freegard</t>
  </si>
  <si>
    <t>Keynsham</t>
  </si>
  <si>
    <t>Bridgwater</t>
  </si>
  <si>
    <t>Lindsey Roads Cycling Club</t>
  </si>
  <si>
    <t>Sibsey</t>
  </si>
  <si>
    <t>Warrington Road Club</t>
  </si>
  <si>
    <t>WARRINGTON</t>
  </si>
  <si>
    <t>Fox</t>
  </si>
  <si>
    <t>RIPLEY</t>
  </si>
  <si>
    <t>Fowler</t>
  </si>
  <si>
    <t>High Wycombe</t>
  </si>
  <si>
    <t>dan</t>
  </si>
  <si>
    <t>neil</t>
  </si>
  <si>
    <t>Glasgow United CC</t>
  </si>
  <si>
    <t>Hans</t>
  </si>
  <si>
    <t>Forbes</t>
  </si>
  <si>
    <t>Birkenhead North End CC</t>
  </si>
  <si>
    <t>east sussex</t>
  </si>
  <si>
    <t>LU7 0QL</t>
  </si>
  <si>
    <t>Fisher</t>
  </si>
  <si>
    <t>Abercynon Road Club</t>
  </si>
  <si>
    <t>Ashford Wheelers</t>
  </si>
  <si>
    <t>Mill Cottage</t>
  </si>
  <si>
    <t>FORRES</t>
  </si>
  <si>
    <t>Finlayson</t>
  </si>
  <si>
    <t>Finch</t>
  </si>
  <si>
    <t>Johnstone Wheelers</t>
  </si>
  <si>
    <t>Fenn</t>
  </si>
  <si>
    <t>South Pennine RC</t>
  </si>
  <si>
    <t>Burntwood</t>
  </si>
  <si>
    <t>21 Church Street</t>
  </si>
  <si>
    <t>Fawcett</t>
  </si>
  <si>
    <t>Bedlington</t>
  </si>
  <si>
    <t xml:space="preserve">Brian </t>
  </si>
  <si>
    <t>Farmborough</t>
  </si>
  <si>
    <t>Pershore</t>
  </si>
  <si>
    <t>Eckington</t>
  </si>
  <si>
    <t>Ingleby Barwick</t>
  </si>
  <si>
    <t>Leon</t>
  </si>
  <si>
    <t>Moray</t>
  </si>
  <si>
    <t>Aerocoach</t>
  </si>
  <si>
    <t>English</t>
  </si>
  <si>
    <t>Alfred</t>
  </si>
  <si>
    <t>Elms</t>
  </si>
  <si>
    <t>Auchterarder</t>
  </si>
  <si>
    <t>Elliott</t>
  </si>
  <si>
    <t>SheHair Racing Team</t>
  </si>
  <si>
    <t xml:space="preserve">Carterton </t>
  </si>
  <si>
    <t>Dyer</t>
  </si>
  <si>
    <t xml:space="preserve">Peter </t>
  </si>
  <si>
    <t>Ilkeston Cycle Club</t>
  </si>
  <si>
    <t>Prescot Eagle RC</t>
  </si>
  <si>
    <t>Angus</t>
  </si>
  <si>
    <t>Eileen</t>
  </si>
  <si>
    <t>Barrington</t>
  </si>
  <si>
    <t>Clitheroe Bike Club</t>
  </si>
  <si>
    <t>Doyle</t>
  </si>
  <si>
    <t>Jennifer</t>
  </si>
  <si>
    <t>Melissa</t>
  </si>
  <si>
    <t>Donaldson</t>
  </si>
  <si>
    <t>Kidsgrove</t>
  </si>
  <si>
    <t>Glasgow Green CC</t>
  </si>
  <si>
    <t>UDDINGSTON</t>
  </si>
  <si>
    <t>Goole</t>
  </si>
  <si>
    <t>Dixon</t>
  </si>
  <si>
    <t>Dunfermline CC</t>
  </si>
  <si>
    <t>KY12 8AR</t>
  </si>
  <si>
    <t>22 South Dewar Street</t>
  </si>
  <si>
    <t>Bury Clarion CC</t>
  </si>
  <si>
    <t>Stirlingshire</t>
  </si>
  <si>
    <t>Yarnfield</t>
  </si>
  <si>
    <t>Dickens</t>
  </si>
  <si>
    <t>Dick</t>
  </si>
  <si>
    <t>Vince</t>
  </si>
  <si>
    <t>Valley Striders Cycling Club</t>
  </si>
  <si>
    <t>Portishead</t>
  </si>
  <si>
    <t xml:space="preserve">Andrew </t>
  </si>
  <si>
    <t>Horsforth</t>
  </si>
  <si>
    <t>Jeanette</t>
  </si>
  <si>
    <t>Rutland CC</t>
  </si>
  <si>
    <t xml:space="preserve">Stoke on Trent </t>
  </si>
  <si>
    <t>Day</t>
  </si>
  <si>
    <t>Damon</t>
  </si>
  <si>
    <t>Born to Bike Racing Team</t>
  </si>
  <si>
    <t>Mark White Coaching RT</t>
  </si>
  <si>
    <t>DAVIES</t>
  </si>
  <si>
    <t>Cwmcarn Paragon Road Club</t>
  </si>
  <si>
    <t>Blackwood</t>
  </si>
  <si>
    <t>Individual Membership (No Veteran) - South Wales</t>
  </si>
  <si>
    <t>France</t>
  </si>
  <si>
    <t>Daniels</t>
  </si>
  <si>
    <t>ST15 8UH</t>
  </si>
  <si>
    <t>Oulton</t>
  </si>
  <si>
    <t>12 Rock Crescent</t>
  </si>
  <si>
    <t>Dancer</t>
  </si>
  <si>
    <t>Sheila</t>
  </si>
  <si>
    <t>Daly</t>
  </si>
  <si>
    <t>Cutts</t>
  </si>
  <si>
    <t>Currie</t>
  </si>
  <si>
    <t>North Ayrshire</t>
  </si>
  <si>
    <t>Cummings</t>
  </si>
  <si>
    <t>Biddulph</t>
  </si>
  <si>
    <t>Crossley</t>
  </si>
  <si>
    <t>Cross</t>
  </si>
  <si>
    <t>Crosby</t>
  </si>
  <si>
    <t xml:space="preserve">Ian </t>
  </si>
  <si>
    <t>KIDDERMINSTER</t>
  </si>
  <si>
    <t>Ormskirk</t>
  </si>
  <si>
    <t>Burscough</t>
  </si>
  <si>
    <t>Cox</t>
  </si>
  <si>
    <t xml:space="preserve">Northampton </t>
  </si>
  <si>
    <t>Scunthorpe</t>
  </si>
  <si>
    <t>Neill</t>
  </si>
  <si>
    <t>nicholas</t>
  </si>
  <si>
    <t>Costello</t>
  </si>
  <si>
    <t>Calne</t>
  </si>
  <si>
    <t>Corbett</t>
  </si>
  <si>
    <t>Cook</t>
  </si>
  <si>
    <t>Salisbury RC</t>
  </si>
  <si>
    <t>Salisbury</t>
  </si>
  <si>
    <t>Collins</t>
  </si>
  <si>
    <t>Chalfont St Peter</t>
  </si>
  <si>
    <t>Frome and District Wheelers</t>
  </si>
  <si>
    <t>Cheshire Cycling Club</t>
  </si>
  <si>
    <t>WN6 0SE</t>
  </si>
  <si>
    <t>Clementson</t>
  </si>
  <si>
    <t>Clements</t>
  </si>
  <si>
    <t>RT23</t>
  </si>
  <si>
    <t>Wistaston</t>
  </si>
  <si>
    <t>Workington</t>
  </si>
  <si>
    <t>Bonnybridge</t>
  </si>
  <si>
    <t>Clark</t>
  </si>
  <si>
    <t>Carlton</t>
  </si>
  <si>
    <t>Wilmslow</t>
  </si>
  <si>
    <t>Church</t>
  </si>
  <si>
    <t>Central London CTC</t>
  </si>
  <si>
    <t>Hucknall</t>
  </si>
  <si>
    <t>Brighton</t>
  </si>
  <si>
    <t>Chell</t>
  </si>
  <si>
    <t>High Wycombe Cycling Club</t>
  </si>
  <si>
    <t>Liss</t>
  </si>
  <si>
    <t>Dagenham</t>
  </si>
  <si>
    <t>Chappell</t>
  </si>
  <si>
    <t>Chapman</t>
  </si>
  <si>
    <t>steve</t>
  </si>
  <si>
    <t>Chambers</t>
  </si>
  <si>
    <t>Egerton</t>
  </si>
  <si>
    <t>The Rectory</t>
  </si>
  <si>
    <t>Hafren CC</t>
  </si>
  <si>
    <t>Carter</t>
  </si>
  <si>
    <t xml:space="preserve">Norfolk </t>
  </si>
  <si>
    <t>PAUL</t>
  </si>
  <si>
    <t>Campbell</t>
  </si>
  <si>
    <t>whcampbell1952@gmail.com</t>
  </si>
  <si>
    <t>SK23 9UU</t>
  </si>
  <si>
    <t>Combs</t>
  </si>
  <si>
    <t>Ridge lane</t>
  </si>
  <si>
    <t xml:space="preserve">Campbell </t>
  </si>
  <si>
    <t>Cameron</t>
  </si>
  <si>
    <t>Chapel Lane</t>
  </si>
  <si>
    <t>treacherous.campbell@gmail.com</t>
  </si>
  <si>
    <t>briancamfield3@gmail.com</t>
  </si>
  <si>
    <t>CV3 2DE</t>
  </si>
  <si>
    <t>Binley Woods</t>
  </si>
  <si>
    <t xml:space="preserve">32, Heather Rd. </t>
  </si>
  <si>
    <t>Camfield</t>
  </si>
  <si>
    <t>Yvonne</t>
  </si>
  <si>
    <t>Lomond Roads CC</t>
  </si>
  <si>
    <t>Calvert</t>
  </si>
  <si>
    <t>Bernard</t>
  </si>
  <si>
    <t>Kingston</t>
  </si>
  <si>
    <t>Christchurch Bicycle Club</t>
  </si>
  <si>
    <t>Long Eaton</t>
  </si>
  <si>
    <t>Butterworth</t>
  </si>
  <si>
    <t>Butt</t>
  </si>
  <si>
    <t>Butcher</t>
  </si>
  <si>
    <t>City Road Club Hull</t>
  </si>
  <si>
    <t>Burrell</t>
  </si>
  <si>
    <t>Whitewebbs CC</t>
  </si>
  <si>
    <t>Burgin</t>
  </si>
  <si>
    <t>Burgess</t>
  </si>
  <si>
    <t>Bunyan</t>
  </si>
  <si>
    <t>Bull</t>
  </si>
  <si>
    <t>Bucknall</t>
  </si>
  <si>
    <t>Buckley</t>
  </si>
  <si>
    <t>Foxley Road</t>
  </si>
  <si>
    <t>Alasdair</t>
  </si>
  <si>
    <t>Brownless</t>
  </si>
  <si>
    <t>EH Star Cycling</t>
  </si>
  <si>
    <t>Fulwood</t>
  </si>
  <si>
    <t>Bebington</t>
  </si>
  <si>
    <t>Shrops</t>
  </si>
  <si>
    <t>Broadbent</t>
  </si>
  <si>
    <t>Dunvant</t>
  </si>
  <si>
    <t>Woolwich CC</t>
  </si>
  <si>
    <t>Bexley</t>
  </si>
  <si>
    <t>Haslemere</t>
  </si>
  <si>
    <t>Ashton in Makerfield</t>
  </si>
  <si>
    <t>Bramley</t>
  </si>
  <si>
    <t>Hemel Hempstead</t>
  </si>
  <si>
    <t>Bradley</t>
  </si>
  <si>
    <t>Farnborough &amp; Camberley CC</t>
  </si>
  <si>
    <t>Sutton Bridge</t>
  </si>
  <si>
    <t>Hackney</t>
  </si>
  <si>
    <t xml:space="preserve">Wrekinsport </t>
  </si>
  <si>
    <t>Bowler</t>
  </si>
  <si>
    <t>Bowers</t>
  </si>
  <si>
    <t>Woolton Hill</t>
  </si>
  <si>
    <t>Bowden</t>
  </si>
  <si>
    <t>Ellesmere Port</t>
  </si>
  <si>
    <t>Market Harborough</t>
  </si>
  <si>
    <t>Boothman</t>
  </si>
  <si>
    <t>Booth</t>
  </si>
  <si>
    <t>Booker</t>
  </si>
  <si>
    <t>BRISTOL</t>
  </si>
  <si>
    <t>Esher</t>
  </si>
  <si>
    <t>Stoney Stanton</t>
  </si>
  <si>
    <t>Peterborough Cycling Club</t>
  </si>
  <si>
    <t xml:space="preserve">Edward </t>
  </si>
  <si>
    <t>Zero BC</t>
  </si>
  <si>
    <t>Long Hanborough</t>
  </si>
  <si>
    <t>Blake</t>
  </si>
  <si>
    <t>Blades</t>
  </si>
  <si>
    <t>Bridlington</t>
  </si>
  <si>
    <t>Melvin</t>
  </si>
  <si>
    <t>Blacker</t>
  </si>
  <si>
    <t>Black</t>
  </si>
  <si>
    <t>TORQ Performance</t>
  </si>
  <si>
    <t>Horsham</t>
  </si>
  <si>
    <t>Bird</t>
  </si>
  <si>
    <t>Biggs</t>
  </si>
  <si>
    <t>CC Luton</t>
  </si>
  <si>
    <t>Berry</t>
  </si>
  <si>
    <t>Horndean</t>
  </si>
  <si>
    <t>Benton</t>
  </si>
  <si>
    <t>Len</t>
  </si>
  <si>
    <t>North Devon Velo</t>
  </si>
  <si>
    <t>DEVON</t>
  </si>
  <si>
    <t>daz.942@hotmail.co.uk</t>
  </si>
  <si>
    <t>Bell</t>
  </si>
  <si>
    <t>Beldon</t>
  </si>
  <si>
    <t>Middx</t>
  </si>
  <si>
    <t>Malpas</t>
  </si>
  <si>
    <t>Teresa</t>
  </si>
  <si>
    <t>teri.wishart@gmail.com</t>
  </si>
  <si>
    <t>Reifen Racing</t>
  </si>
  <si>
    <t>NE3 4XB</t>
  </si>
  <si>
    <t>27 Elmfield Gardens</t>
  </si>
  <si>
    <t>Bayliss</t>
  </si>
  <si>
    <t>Baxter</t>
  </si>
  <si>
    <t>Val</t>
  </si>
  <si>
    <t>Margate</t>
  </si>
  <si>
    <t>Baumber</t>
  </si>
  <si>
    <t>Bates</t>
  </si>
  <si>
    <t>EH4 3QX</t>
  </si>
  <si>
    <t>Bateman</t>
  </si>
  <si>
    <t>Maldon &amp; District CC</t>
  </si>
  <si>
    <t>Burnham on Crouch</t>
  </si>
  <si>
    <t>steven</t>
  </si>
  <si>
    <t>The Old Vicarage</t>
  </si>
  <si>
    <t>Elite Cycling</t>
  </si>
  <si>
    <t>Barton</t>
  </si>
  <si>
    <t>Barrell</t>
  </si>
  <si>
    <t>Barnes</t>
  </si>
  <si>
    <t>Barker</t>
  </si>
  <si>
    <t>GRIMSBY</t>
  </si>
  <si>
    <t>Barber</t>
  </si>
  <si>
    <t>Chippenham &amp; District Whs</t>
  </si>
  <si>
    <t>Chippenham</t>
  </si>
  <si>
    <t>Banks</t>
  </si>
  <si>
    <t>Baker</t>
  </si>
  <si>
    <t>Wetherby Wheelers</t>
  </si>
  <si>
    <t>Baird</t>
  </si>
  <si>
    <t>Nield</t>
  </si>
  <si>
    <t>Bailey</t>
  </si>
  <si>
    <t>Alfreton</t>
  </si>
  <si>
    <t>Bingley</t>
  </si>
  <si>
    <t>Datchet</t>
  </si>
  <si>
    <t>W Yorkshire</t>
  </si>
  <si>
    <t>Ashurst</t>
  </si>
  <si>
    <t>Red Lodge</t>
  </si>
  <si>
    <t>Armstrong</t>
  </si>
  <si>
    <t>Hope</t>
  </si>
  <si>
    <t>Portsmouth North End CC</t>
  </si>
  <si>
    <t>Clarkston</t>
  </si>
  <si>
    <t>Anderson</t>
  </si>
  <si>
    <t>Storrington</t>
  </si>
  <si>
    <t>Flitwick</t>
  </si>
  <si>
    <t>Aldridge</t>
  </si>
  <si>
    <t>Catbrook</t>
  </si>
  <si>
    <t xml:space="preserve">High Street </t>
  </si>
  <si>
    <t>Eddie</t>
  </si>
  <si>
    <t>Market Bosworth</t>
  </si>
  <si>
    <t>HLM - Individual Membership - East Midlands</t>
  </si>
  <si>
    <t>Thame</t>
  </si>
  <si>
    <t>HLM - Individual Membership - North Lancashire &amp; Lakes</t>
  </si>
  <si>
    <t>Sheffield Phoenix Cycling Club</t>
  </si>
  <si>
    <t>bazspeed@gmail.com</t>
  </si>
  <si>
    <t>CF64 4DA</t>
  </si>
  <si>
    <t>South Glamorgan</t>
  </si>
  <si>
    <t>Dinas Powys</t>
  </si>
  <si>
    <t>34 Millbrook Road</t>
  </si>
  <si>
    <t>Vic</t>
  </si>
  <si>
    <t>Smallfield</t>
  </si>
  <si>
    <t>Surrey Road CC</t>
  </si>
  <si>
    <t>TN17 2AH</t>
  </si>
  <si>
    <t>Cranbrook</t>
  </si>
  <si>
    <t>Sissinghurst</t>
  </si>
  <si>
    <t>Moles Hole, Spongs Lane</t>
  </si>
  <si>
    <t>Wilkins</t>
  </si>
  <si>
    <t>ME18 6JS</t>
  </si>
  <si>
    <t>Yalding</t>
  </si>
  <si>
    <t>43 Lyngs Close</t>
  </si>
  <si>
    <t>Merseyside Wheelers</t>
  </si>
  <si>
    <t>HLM - Individual Membership - Merseyside</t>
  </si>
  <si>
    <t>HLM - Individual Membership - Scotland</t>
  </si>
  <si>
    <t>HLM - Individual Membership - Midlands</t>
  </si>
  <si>
    <t>HLM - Individual Membership - Wessex</t>
  </si>
  <si>
    <t>Scarborough Paragon CC</t>
  </si>
  <si>
    <t>Biddulph Moor</t>
  </si>
  <si>
    <t>Walton</t>
  </si>
  <si>
    <t>ME17 2PT</t>
  </si>
  <si>
    <t>Lenham</t>
  </si>
  <si>
    <t>Wallis</t>
  </si>
  <si>
    <t>Viking RC</t>
  </si>
  <si>
    <t>Rodney</t>
  </si>
  <si>
    <t>Vicars Cross</t>
  </si>
  <si>
    <t>Rastrick</t>
  </si>
  <si>
    <t>Trigger</t>
  </si>
  <si>
    <t>Avon</t>
  </si>
  <si>
    <t>Maureen</t>
  </si>
  <si>
    <t>Ernest</t>
  </si>
  <si>
    <t>Brenda</t>
  </si>
  <si>
    <t>Leeds Westfield CC</t>
  </si>
  <si>
    <t>York Road</t>
  </si>
  <si>
    <t>bandb20@googlemail.com</t>
  </si>
  <si>
    <t>East Anglian CC</t>
  </si>
  <si>
    <t>NR2 3NJ</t>
  </si>
  <si>
    <t>20, Spelman Road</t>
  </si>
  <si>
    <t>Connie</t>
  </si>
  <si>
    <t>LM - Individual Membership - Wessex</t>
  </si>
  <si>
    <t>Wigan Wheelers Cycling Club</t>
  </si>
  <si>
    <t>Nr Wigan</t>
  </si>
  <si>
    <t>LM - Individual Membership - Yorkshire</t>
  </si>
  <si>
    <t>Belgrave</t>
  </si>
  <si>
    <t>HLM - Individual Membership - South Wales</t>
  </si>
  <si>
    <t>Stan</t>
  </si>
  <si>
    <t>Gravesend</t>
  </si>
  <si>
    <t>Hounslow &amp; District Whs</t>
  </si>
  <si>
    <t>Harold</t>
  </si>
  <si>
    <t>Sidney</t>
  </si>
  <si>
    <t>LE9 7FY</t>
  </si>
  <si>
    <t>Earl Shilton</t>
  </si>
  <si>
    <t>16 Equity Road East</t>
  </si>
  <si>
    <t>Joy</t>
  </si>
  <si>
    <t>Glasgow Nightingale CC</t>
  </si>
  <si>
    <t>Bearsden</t>
  </si>
  <si>
    <t>Marple</t>
  </si>
  <si>
    <t>Gravesend CC</t>
  </si>
  <si>
    <t>surrey</t>
  </si>
  <si>
    <t>Ralphs</t>
  </si>
  <si>
    <t>Janet</t>
  </si>
  <si>
    <t>Penistone</t>
  </si>
  <si>
    <t>Martley</t>
  </si>
  <si>
    <t>IV47 8SN</t>
  </si>
  <si>
    <t>Isle-of-Skye</t>
  </si>
  <si>
    <t>Carbost</t>
  </si>
  <si>
    <t>Fiskavaig</t>
  </si>
  <si>
    <t>2 Hillside View</t>
  </si>
  <si>
    <t>Peachey</t>
  </si>
  <si>
    <t>Greenock C.C.</t>
  </si>
  <si>
    <t>PA16 9EN</t>
  </si>
  <si>
    <t>4 Delfie Drive</t>
  </si>
  <si>
    <t>Delvilla</t>
  </si>
  <si>
    <t>ANDOVER</t>
  </si>
  <si>
    <t>BL2 4BY</t>
  </si>
  <si>
    <t>Osborne</t>
  </si>
  <si>
    <t>DE5 1FF</t>
  </si>
  <si>
    <t>43 Chesterfield Road</t>
  </si>
  <si>
    <t>Tewkesbury</t>
  </si>
  <si>
    <t>Elworth</t>
  </si>
  <si>
    <t>Baildon</t>
  </si>
  <si>
    <t>Nova CC</t>
  </si>
  <si>
    <t>Glasgow Couriers</t>
  </si>
  <si>
    <t>Nelson</t>
  </si>
  <si>
    <t>West Lothian</t>
  </si>
  <si>
    <t>Crook</t>
  </si>
  <si>
    <t>john.montgomery63@ntlworld.com</t>
  </si>
  <si>
    <t>PA5 8RZ</t>
  </si>
  <si>
    <t>JOHNSTONE</t>
  </si>
  <si>
    <t>35 Thomson Street</t>
  </si>
  <si>
    <t>GLASGOW</t>
  </si>
  <si>
    <t xml:space="preserve">Subscription to The Veteran </t>
  </si>
  <si>
    <t>McCann</t>
  </si>
  <si>
    <t>Thornton Cleveleys</t>
  </si>
  <si>
    <t>McCabe</t>
  </si>
  <si>
    <t>cider07@theresemason.plus.com</t>
  </si>
  <si>
    <t>HR1 3TD</t>
  </si>
  <si>
    <t>Yarkhill</t>
  </si>
  <si>
    <t>Cider Mill, Yarkhill Court</t>
  </si>
  <si>
    <t>Norwood Paragon CC</t>
  </si>
  <si>
    <t>LM - Individual Membership - Surrey/Sussex</t>
  </si>
  <si>
    <t>BNECC</t>
  </si>
  <si>
    <t>Mackenzie</t>
  </si>
  <si>
    <t>BD9 5AX</t>
  </si>
  <si>
    <t>63 Nearcliffe Road</t>
  </si>
  <si>
    <t>Littlefair</t>
  </si>
  <si>
    <t>Wilfred</t>
  </si>
  <si>
    <t>Staple Hill</t>
  </si>
  <si>
    <t>HLM - Individual Membership - West</t>
  </si>
  <si>
    <t>Whittle</t>
  </si>
  <si>
    <t>BS4 4AQ</t>
  </si>
  <si>
    <t>St Annes</t>
  </si>
  <si>
    <t>Cheshire Roads Club</t>
  </si>
  <si>
    <t>Denmead</t>
  </si>
  <si>
    <t>Keene</t>
  </si>
  <si>
    <t>Livingston</t>
  </si>
  <si>
    <t>HP2 5DX</t>
  </si>
  <si>
    <t>22 Mountfield Road</t>
  </si>
  <si>
    <t>AeroCoach</t>
  </si>
  <si>
    <t>Ireland</t>
  </si>
  <si>
    <t>dbhodgins@virginmedia.com</t>
  </si>
  <si>
    <t>SK12 1TL</t>
  </si>
  <si>
    <t>Higher Poynton</t>
  </si>
  <si>
    <t>46 Carleton Road</t>
  </si>
  <si>
    <t>Pat</t>
  </si>
  <si>
    <t>Cleveland Coureurs</t>
  </si>
  <si>
    <t>nhanson007@sky.com</t>
  </si>
  <si>
    <t>Seacroft Wheelers</t>
  </si>
  <si>
    <t>WF1 3TZ</t>
  </si>
  <si>
    <t>Outwood</t>
  </si>
  <si>
    <t>10 Briarwood Close</t>
  </si>
  <si>
    <t>Lynn</t>
  </si>
  <si>
    <t>Crabwood CC</t>
  </si>
  <si>
    <t>Ross on Wye &amp; Dist CC</t>
  </si>
  <si>
    <t>Festival Road Club</t>
  </si>
  <si>
    <t>S31 9DU</t>
  </si>
  <si>
    <t>7 John Street</t>
  </si>
  <si>
    <t>BEARSDEN</t>
  </si>
  <si>
    <t>Fuller</t>
  </si>
  <si>
    <t>Freeman</t>
  </si>
  <si>
    <t>Don</t>
  </si>
  <si>
    <t>London Road</t>
  </si>
  <si>
    <t>Farmer</t>
  </si>
  <si>
    <t>EDINBURGH</t>
  </si>
  <si>
    <t>BR2 6DL</t>
  </si>
  <si>
    <t>Keston</t>
  </si>
  <si>
    <t>Leaves Green</t>
  </si>
  <si>
    <t>Wheelgate Cottage</t>
  </si>
  <si>
    <t>Dongworth</t>
  </si>
  <si>
    <t>Rita</t>
  </si>
  <si>
    <t>Dawson</t>
  </si>
  <si>
    <t>Perth</t>
  </si>
  <si>
    <t>Wraysbury</t>
  </si>
  <si>
    <t>Egremont</t>
  </si>
  <si>
    <t>LM - Individual Membership - North</t>
  </si>
  <si>
    <t>Cowley</t>
  </si>
  <si>
    <t>Cousins</t>
  </si>
  <si>
    <t>Coe</t>
  </si>
  <si>
    <t>Southgate CC</t>
  </si>
  <si>
    <t>Alec</t>
  </si>
  <si>
    <t>Co Durham</t>
  </si>
  <si>
    <t>Pam</t>
  </si>
  <si>
    <t>Burt</t>
  </si>
  <si>
    <t>S/Yorks</t>
  </si>
  <si>
    <t>LM - Individual Membership - North Midlands</t>
  </si>
  <si>
    <t>Nailsea</t>
  </si>
  <si>
    <t>Holbrooks</t>
  </si>
  <si>
    <t>Hertfordshire Whs</t>
  </si>
  <si>
    <t>DD6 8RN</t>
  </si>
  <si>
    <t>Wormit on Tay</t>
  </si>
  <si>
    <t>Balmerino</t>
  </si>
  <si>
    <t>Mid Craigs</t>
  </si>
  <si>
    <t>Berwick</t>
  </si>
  <si>
    <t>pam-george@hotmail.com</t>
  </si>
  <si>
    <t>LS21 1NB</t>
  </si>
  <si>
    <t>Pool-in-Wharfedale</t>
  </si>
  <si>
    <t>Ashbourne</t>
  </si>
  <si>
    <t>Barnett</t>
  </si>
  <si>
    <t>UB6 9SH</t>
  </si>
  <si>
    <t>Greenford</t>
  </si>
  <si>
    <t>68 Millet Road</t>
  </si>
  <si>
    <t>DLM - Individual Membership - London &amp; Home Counties</t>
  </si>
  <si>
    <t>Corsham</t>
  </si>
  <si>
    <t>South Wooton</t>
  </si>
  <si>
    <t>Westhoughton</t>
  </si>
  <si>
    <t>gretzoeller@hotmail.com</t>
  </si>
  <si>
    <t xml:space="preserve">Born To Bike racing team </t>
  </si>
  <si>
    <t>NG16 2HP</t>
  </si>
  <si>
    <t>Kimberley</t>
  </si>
  <si>
    <t>6 Digby street</t>
  </si>
  <si>
    <t>Zoeller</t>
  </si>
  <si>
    <t>Gretchen</t>
  </si>
  <si>
    <t>active</t>
  </si>
  <si>
    <t>issy@zimmy.co.za</t>
  </si>
  <si>
    <t xml:space="preserve">Regents Park Rouleurs </t>
  </si>
  <si>
    <t>N20RW</t>
  </si>
  <si>
    <t xml:space="preserve">17 Churchmount </t>
  </si>
  <si>
    <t>Zimmerman</t>
  </si>
  <si>
    <t>Issy</t>
  </si>
  <si>
    <t>andrew@macyule.com</t>
  </si>
  <si>
    <t>AB15 9EY</t>
  </si>
  <si>
    <t>Cults</t>
  </si>
  <si>
    <t>12 East Craigbank Wynd</t>
  </si>
  <si>
    <t>Yule</t>
  </si>
  <si>
    <t xml:space="preserve">Standards: Solo Bike: unlimited attempts at any distance Standards: Solo Bike: unlimited attempts at any distance </t>
  </si>
  <si>
    <t>pete.younghusband2@gmail.com</t>
  </si>
  <si>
    <t>Petersfield Tri Club</t>
  </si>
  <si>
    <t>GU31 4YY</t>
  </si>
  <si>
    <t>6 Hoggarth Close</t>
  </si>
  <si>
    <t>Younghusband</t>
  </si>
  <si>
    <t>davidyoung2711@gmail.com</t>
  </si>
  <si>
    <t>LS18 4PS</t>
  </si>
  <si>
    <t>28 Victoria Close</t>
  </si>
  <si>
    <t>g.young832@btinternet.com</t>
  </si>
  <si>
    <t>YO41 1JJ</t>
  </si>
  <si>
    <t>Stamford Bridge</t>
  </si>
  <si>
    <t>59 Burton Fields Road</t>
  </si>
  <si>
    <t>ros.young83@gmail.com</t>
  </si>
  <si>
    <t>NW5 2RX</t>
  </si>
  <si>
    <t>127 Torriano Avenue</t>
  </si>
  <si>
    <t>Rosslyn</t>
  </si>
  <si>
    <t>jenny.york134@btinternet.com</t>
  </si>
  <si>
    <t>SY3 0LW</t>
  </si>
  <si>
    <t>Bayston Hill</t>
  </si>
  <si>
    <t>134 Lythwood Road</t>
  </si>
  <si>
    <t>dave.w.york@btinternet.com</t>
  </si>
  <si>
    <t>conallyates@hotmail.com</t>
  </si>
  <si>
    <t>private member</t>
  </si>
  <si>
    <t>RH18 5DX</t>
  </si>
  <si>
    <t>Forest Row</t>
  </si>
  <si>
    <t>14 Upper Close</t>
  </si>
  <si>
    <t>Conall</t>
  </si>
  <si>
    <t>cyates57@gmail.com</t>
  </si>
  <si>
    <t>LS29 9EZ</t>
  </si>
  <si>
    <t>14 Yewbank Terrace</t>
  </si>
  <si>
    <t>yates</t>
  </si>
  <si>
    <t>BD16 4FA</t>
  </si>
  <si>
    <t>Fernbank Drive</t>
  </si>
  <si>
    <t>Apartment 9    Fern House</t>
  </si>
  <si>
    <t>darreny@darreny.karoo.co.uk</t>
  </si>
  <si>
    <t>ADDFORM Vive Le Velo</t>
  </si>
  <si>
    <t>HU9 2PL</t>
  </si>
  <si>
    <t>16 Rosedale Avenue</t>
  </si>
  <si>
    <t>Yarwood</t>
  </si>
  <si>
    <t>yarhamd@msn.com</t>
  </si>
  <si>
    <t>PE6 9EQ</t>
  </si>
  <si>
    <t>Maxey</t>
  </si>
  <si>
    <t>7 Torpel Way</t>
  </si>
  <si>
    <t>Yarham</t>
  </si>
  <si>
    <t>M38 9NW</t>
  </si>
  <si>
    <t>Little Hulton</t>
  </si>
  <si>
    <t>7 Croft Grove</t>
  </si>
  <si>
    <t>Wynne</t>
  </si>
  <si>
    <t>Cyril</t>
  </si>
  <si>
    <t>velovieux@gmail.com</t>
  </si>
  <si>
    <t>PH3 1QZ</t>
  </si>
  <si>
    <t>12 Cheviot Road</t>
  </si>
  <si>
    <t>wyatt</t>
  </si>
  <si>
    <t>ashley</t>
  </si>
  <si>
    <t>daniel</t>
  </si>
  <si>
    <t>wyatt.emma@aol.com</t>
  </si>
  <si>
    <t>hereford wheelers</t>
  </si>
  <si>
    <t>emma</t>
  </si>
  <si>
    <t>paulwyatt@hotmail.co.uk</t>
  </si>
  <si>
    <t>Cm13 2ja</t>
  </si>
  <si>
    <t>78a victors crescent</t>
  </si>
  <si>
    <t>The oaks</t>
  </si>
  <si>
    <t>ian.wroblewski@yahoo.co.uk</t>
  </si>
  <si>
    <t>SPRNT</t>
  </si>
  <si>
    <t>LE17 4FY</t>
  </si>
  <si>
    <t>7 Primrose Close</t>
  </si>
  <si>
    <t>wroblewski</t>
  </si>
  <si>
    <t xml:space="preserve">ian </t>
  </si>
  <si>
    <t>openthinka@gmail.com</t>
  </si>
  <si>
    <t>Adobe Cycling Club</t>
  </si>
  <si>
    <t>Usa</t>
  </si>
  <si>
    <t>California</t>
  </si>
  <si>
    <t>Santa Cruz</t>
  </si>
  <si>
    <t>216 Frederick St</t>
  </si>
  <si>
    <t>Wright Sr</t>
  </si>
  <si>
    <t>grasscut3@btinternet.com</t>
  </si>
  <si>
    <t>BS36 1AR</t>
  </si>
  <si>
    <t>Winterbourne</t>
  </si>
  <si>
    <t>Britannia Close</t>
  </si>
  <si>
    <t>wright.mark@hotmail.co.uk</t>
  </si>
  <si>
    <t>Tn234px</t>
  </si>
  <si>
    <t>andrew.wright0079@gmail.com</t>
  </si>
  <si>
    <t>Amersham RCC</t>
  </si>
  <si>
    <t>HP11 2LW</t>
  </si>
  <si>
    <t>24 West Wycombe Road</t>
  </si>
  <si>
    <t>martywright.mw@gmail.com</t>
  </si>
  <si>
    <t>Eat Plants not Pigs CC</t>
  </si>
  <si>
    <t>LE17 4JJ</t>
  </si>
  <si>
    <t xml:space="preserve">Lutterworth </t>
  </si>
  <si>
    <t>Walcote</t>
  </si>
  <si>
    <t>22 Cromwell Close</t>
  </si>
  <si>
    <t>davidwright1000@btinternet.com</t>
  </si>
  <si>
    <t>WA5 7WA</t>
  </si>
  <si>
    <t>46 Coppice Green</t>
  </si>
  <si>
    <t>jagryk@aol.com</t>
  </si>
  <si>
    <t>TS26 0LX</t>
  </si>
  <si>
    <t>22 Hampstead Gardens</t>
  </si>
  <si>
    <t>mail@dwright1234.plus.com</t>
  </si>
  <si>
    <t>S25 5FS</t>
  </si>
  <si>
    <t>South Anston</t>
  </si>
  <si>
    <t>2 Manor Farm Gardens</t>
  </si>
  <si>
    <t>paulallenwright@sky.com</t>
  </si>
  <si>
    <t>SG18 9JQ</t>
  </si>
  <si>
    <t>Stanford</t>
  </si>
  <si>
    <t>111 Mill Road</t>
  </si>
  <si>
    <t>dave.a.wright@hotmail.com</t>
  </si>
  <si>
    <t>Medway Velo Club</t>
  </si>
  <si>
    <t>ME17 3NX</t>
  </si>
  <si>
    <t>Saddlers,Gravelly Bottom Rd</t>
  </si>
  <si>
    <t>wrightyswim@gmail.com</t>
  </si>
  <si>
    <t>LU2 7HT</t>
  </si>
  <si>
    <t>63 Wychwood Avenue</t>
  </si>
  <si>
    <t>ML2  8PJ</t>
  </si>
  <si>
    <t>Wishaw</t>
  </si>
  <si>
    <t>CAMBUSNETHAN</t>
  </si>
  <si>
    <t>11 Auchter Road</t>
  </si>
  <si>
    <t>onyertandem@yahoo.co.uk</t>
  </si>
  <si>
    <t>Chippenham &amp; District Wheelers</t>
  </si>
  <si>
    <t>SN15 1AE</t>
  </si>
  <si>
    <t>39 Greenway Lane</t>
  </si>
  <si>
    <t>LM - Individual Membership - West</t>
  </si>
  <si>
    <t>stuart.wright137@gmail.com</t>
  </si>
  <si>
    <t>API Anglia Sport</t>
  </si>
  <si>
    <t>NN2 6JT</t>
  </si>
  <si>
    <t>6 Cranbrook Road</t>
  </si>
  <si>
    <t>rogerjwrenn@gmail.com</t>
  </si>
  <si>
    <t>SK11 8LU</t>
  </si>
  <si>
    <t>11a Sunningdale Road</t>
  </si>
  <si>
    <t>Wrenn</t>
  </si>
  <si>
    <t>stanworrell@hotmail.com</t>
  </si>
  <si>
    <t>VC BARACCHI</t>
  </si>
  <si>
    <t>NR16 1RT</t>
  </si>
  <si>
    <t>Carleton Rode</t>
  </si>
  <si>
    <t>Fen Road</t>
  </si>
  <si>
    <t xml:space="preserve">The HORNBEAMS </t>
  </si>
  <si>
    <t>Worrell</t>
  </si>
  <si>
    <t>pwormleighton@gmail.com</t>
  </si>
  <si>
    <t>Ribble Valley Crossroads Care Cycling Team</t>
  </si>
  <si>
    <t>PR4 0LG</t>
  </si>
  <si>
    <t>46 The Gables</t>
  </si>
  <si>
    <t>Wormleighton</t>
  </si>
  <si>
    <t>kenworkman66@gmail.com</t>
  </si>
  <si>
    <t>VTTA (Manchester &amp; NW Group)</t>
  </si>
  <si>
    <t>M34 6ER</t>
  </si>
  <si>
    <t>30 Cemetery Road</t>
  </si>
  <si>
    <t>Workman</t>
  </si>
  <si>
    <t>gc.w@btinternet.com</t>
  </si>
  <si>
    <t>S32 1AL</t>
  </si>
  <si>
    <t>Coggers Lane</t>
  </si>
  <si>
    <t>Wyncot</t>
  </si>
  <si>
    <t>Wordsworth</t>
  </si>
  <si>
    <t>tinaworbey@yahoo.co.uk</t>
  </si>
  <si>
    <t>LS249LQ</t>
  </si>
  <si>
    <t>Tadcaster</t>
  </si>
  <si>
    <t>6 Sedge Rise</t>
  </si>
  <si>
    <t>Worbey</t>
  </si>
  <si>
    <t>philipworbey@talktalk.net</t>
  </si>
  <si>
    <t>VTTA  (Yorkshire)</t>
  </si>
  <si>
    <t>thewoollards@blueyonder.co.uk</t>
  </si>
  <si>
    <t>BA13 3EF</t>
  </si>
  <si>
    <t>Westbury</t>
  </si>
  <si>
    <t>72 Newtown</t>
  </si>
  <si>
    <t>markwf1@aol.com</t>
  </si>
  <si>
    <t xml:space="preserve">ZeroBC Race Team </t>
  </si>
  <si>
    <t>SN5 7BZ</t>
  </si>
  <si>
    <t>Westlea</t>
  </si>
  <si>
    <t>12 Hadleigh Close</t>
  </si>
  <si>
    <t xml:space="preserve">Woolford </t>
  </si>
  <si>
    <t>jcmwooldridge@hotmail.com</t>
  </si>
  <si>
    <t>MK17 8DX</t>
  </si>
  <si>
    <t>Aspley Guise</t>
  </si>
  <si>
    <t>122 West Hill</t>
  </si>
  <si>
    <t>Wooldridge</t>
  </si>
  <si>
    <t>philip@greendomino.co.uk</t>
  </si>
  <si>
    <t>Wr11 4qe</t>
  </si>
  <si>
    <t>8 Windsor Road</t>
  </si>
  <si>
    <t>b_w19@hotmail.com</t>
  </si>
  <si>
    <t>Graham Weigh RT</t>
  </si>
  <si>
    <t>CH48PD</t>
  </si>
  <si>
    <t>Saltney</t>
  </si>
  <si>
    <t>19 Halkett Close</t>
  </si>
  <si>
    <t>sales@woodrupcycles.com</t>
  </si>
  <si>
    <t>LS19 7ND</t>
  </si>
  <si>
    <t>6 St Johns Road</t>
  </si>
  <si>
    <t>Woodrup</t>
  </si>
  <si>
    <t>woodmana@tiscali.co.uk</t>
  </si>
  <si>
    <t>Legato Racing Team (LRT)</t>
  </si>
  <si>
    <t>CA5 6LH</t>
  </si>
  <si>
    <t>Nealhouse</t>
  </si>
  <si>
    <t>Low Meadow</t>
  </si>
  <si>
    <t>Woodman</t>
  </si>
  <si>
    <t>t.woodland932@btinternet.com</t>
  </si>
  <si>
    <t>SW20 9BH</t>
  </si>
  <si>
    <t>Raynes Park</t>
  </si>
  <si>
    <t>72 Greenway</t>
  </si>
  <si>
    <t>Woodland</t>
  </si>
  <si>
    <t>mikewoodgate@talktalk.net</t>
  </si>
  <si>
    <t>BH22 8QA</t>
  </si>
  <si>
    <t>West Parley</t>
  </si>
  <si>
    <t>3 Wight Walk</t>
  </si>
  <si>
    <t>Woodgate</t>
  </si>
  <si>
    <t>WN4 8AY</t>
  </si>
  <si>
    <t>Ashton-in-Makerfield</t>
  </si>
  <si>
    <t>17 Coniston Avenue</t>
  </si>
  <si>
    <t>Woodcock</t>
  </si>
  <si>
    <t>ianwoodcock2@gmail.com</t>
  </si>
  <si>
    <t>Bedfordshire Road RT</t>
  </si>
  <si>
    <t>MK43 7RR</t>
  </si>
  <si>
    <t>3, Ruffs Furze</t>
  </si>
  <si>
    <t>martin.wood265@gmail.com</t>
  </si>
  <si>
    <t>Lincolntri Club</t>
  </si>
  <si>
    <t>LN3 4HJ</t>
  </si>
  <si>
    <t>Fiskerton</t>
  </si>
  <si>
    <t>10 Meadow Bank Avenue</t>
  </si>
  <si>
    <t>woodksw@gmail.com</t>
  </si>
  <si>
    <t xml:space="preserve">NG25 0FW </t>
  </si>
  <si>
    <t xml:space="preserve">Hockerton </t>
  </si>
  <si>
    <t xml:space="preserve">1 Church Lane </t>
  </si>
  <si>
    <t>dunnottar@outlook.com</t>
  </si>
  <si>
    <t>CO11 2PT</t>
  </si>
  <si>
    <t>Lawford</t>
  </si>
  <si>
    <t>44 Lawford Place</t>
  </si>
  <si>
    <t>woodjln@gmail.com</t>
  </si>
  <si>
    <t>CB8 8BN</t>
  </si>
  <si>
    <t>17 Stretton Avenue</t>
  </si>
  <si>
    <t>echelontim@hotmail.com</t>
  </si>
  <si>
    <t>WR10 1PL</t>
  </si>
  <si>
    <t>9 Ashdale Avenue</t>
  </si>
  <si>
    <t>WR14 1LQ</t>
  </si>
  <si>
    <t>Malvern</t>
  </si>
  <si>
    <t>58 Tanhouse Lane</t>
  </si>
  <si>
    <t>the.andy.wond@googlemail.com</t>
  </si>
  <si>
    <t>Soweby Sunday Club</t>
  </si>
  <si>
    <t>DL7 9DW</t>
  </si>
  <si>
    <t>Thornton-le-Moor</t>
  </si>
  <si>
    <t>Langthorne</t>
  </si>
  <si>
    <t>Wond</t>
  </si>
  <si>
    <t>crppawomack@tiscali.co.uk</t>
  </si>
  <si>
    <t>NR32 3DZ</t>
  </si>
  <si>
    <t>Oulton Broad</t>
  </si>
  <si>
    <t>47 Claydon Drive</t>
  </si>
  <si>
    <t>Womack</t>
  </si>
  <si>
    <t>mark.wolstenholme12@gmail.com</t>
  </si>
  <si>
    <t>YO32 3RN</t>
  </si>
  <si>
    <t>34 Hawthorne Avenue</t>
  </si>
  <si>
    <t>colin.witt@btinternet.com</t>
  </si>
  <si>
    <t>Crab wood CC</t>
  </si>
  <si>
    <t>SO40 2UR</t>
  </si>
  <si>
    <t>Calmore</t>
  </si>
  <si>
    <t>5 Cedarwood Close</t>
  </si>
  <si>
    <t>Witt</t>
  </si>
  <si>
    <t xml:space="preserve">Annual Lunch and Awards 2024 </t>
  </si>
  <si>
    <t>nwishart09@gmail.com</t>
  </si>
  <si>
    <t>Darlington Cycling Club</t>
  </si>
  <si>
    <t>DL117TT</t>
  </si>
  <si>
    <t xml:space="preserve">North  Yorkshire </t>
  </si>
  <si>
    <t xml:space="preserve">Richmond </t>
  </si>
  <si>
    <t>Aldbrough St John</t>
  </si>
  <si>
    <t xml:space="preserve">4 Appleby  Close </t>
  </si>
  <si>
    <t>Wishart</t>
  </si>
  <si>
    <t>mnawise@outlook.com</t>
  </si>
  <si>
    <t xml:space="preserve">Team Enable MI Racing </t>
  </si>
  <si>
    <t>CV31 1UL</t>
  </si>
  <si>
    <t>21 Thornley Close</t>
  </si>
  <si>
    <t>Wise</t>
  </si>
  <si>
    <t>Mewisdish@hotmail.com</t>
  </si>
  <si>
    <t>Ml10 6LP</t>
  </si>
  <si>
    <t>Strathaven</t>
  </si>
  <si>
    <t>15 Dunavon Park</t>
  </si>
  <si>
    <t>Wisdish</t>
  </si>
  <si>
    <t xml:space="preserve">Jane </t>
  </si>
  <si>
    <t>ox-winstone@hotmail.com</t>
  </si>
  <si>
    <t xml:space="preserve">ZeroBC </t>
  </si>
  <si>
    <t>OX20 1UN</t>
  </si>
  <si>
    <t xml:space="preserve">Woodstock </t>
  </si>
  <si>
    <t>15 Oxford Road</t>
  </si>
  <si>
    <t xml:space="preserve">Winstone </t>
  </si>
  <si>
    <t xml:space="preserve">Graham </t>
  </si>
  <si>
    <t>alanstreet9@gmail.com</t>
  </si>
  <si>
    <t>L12 4YD</t>
  </si>
  <si>
    <t>West Derby</t>
  </si>
  <si>
    <t>2 Exford Road</t>
  </si>
  <si>
    <t>Winstanley</t>
  </si>
  <si>
    <t>gazebo_bonnets_0n@icloud.com</t>
  </si>
  <si>
    <t>VTTA Surrey/sussex</t>
  </si>
  <si>
    <t>BN20 9QH</t>
  </si>
  <si>
    <t>Willingdon</t>
  </si>
  <si>
    <t>19 Coppice Close</t>
  </si>
  <si>
    <t>paul@winchcombe.net</t>
  </si>
  <si>
    <t>SN12 6FG</t>
  </si>
  <si>
    <t>4 Farmhouse Court</t>
  </si>
  <si>
    <t>Winchcombe</t>
  </si>
  <si>
    <t>larry_wiltshire@hotmail.com</t>
  </si>
  <si>
    <t>Chichester City Riders</t>
  </si>
  <si>
    <t>PO73AW</t>
  </si>
  <si>
    <t>Laxton Leaze</t>
  </si>
  <si>
    <t>Larry</t>
  </si>
  <si>
    <t>raymondhwilson@hotmail.co.uk</t>
  </si>
  <si>
    <t>GTR Return to Life</t>
  </si>
  <si>
    <t>AB51 0PJ</t>
  </si>
  <si>
    <t>Old Meldrum</t>
  </si>
  <si>
    <t>16 Le Roux Drive</t>
  </si>
  <si>
    <t>iainwilson24@hotmail.com</t>
  </si>
  <si>
    <t>Icknield Road Cycling</t>
  </si>
  <si>
    <t>MK45 2QX</t>
  </si>
  <si>
    <t>4 Meadow Way</t>
  </si>
  <si>
    <t xml:space="preserve">Wilson </t>
  </si>
  <si>
    <t xml:space="preserve">Iain </t>
  </si>
  <si>
    <t>kennywrites@btinternet.com</t>
  </si>
  <si>
    <t>PA16 8DD</t>
  </si>
  <si>
    <t>21 Union Street</t>
  </si>
  <si>
    <t>Kenny</t>
  </si>
  <si>
    <t>upeter47@hotmail.com</t>
  </si>
  <si>
    <t>bh232aw</t>
  </si>
  <si>
    <t>137a Barrack rd</t>
  </si>
  <si>
    <t>wilson</t>
  </si>
  <si>
    <t>mervyn.wilson@gmail.com</t>
  </si>
  <si>
    <t>BB10 3LG</t>
  </si>
  <si>
    <t>Hurstwood</t>
  </si>
  <si>
    <t>Spenser's House</t>
  </si>
  <si>
    <t>Mervyn</t>
  </si>
  <si>
    <t>Rwrothwi@gmail.com</t>
  </si>
  <si>
    <t>Thornton Road Club</t>
  </si>
  <si>
    <t>CT19 6ER</t>
  </si>
  <si>
    <t>54 Greenfield Road</t>
  </si>
  <si>
    <t xml:space="preserve">Roger </t>
  </si>
  <si>
    <t>telemarker@live.co.uk</t>
  </si>
  <si>
    <t>St Christopher's CC</t>
  </si>
  <si>
    <t>G74 4UG</t>
  </si>
  <si>
    <t>6 Oak Fern Grove</t>
  </si>
  <si>
    <t>ajwilson1972@hotmail.com</t>
  </si>
  <si>
    <t>Dundee Thistle Cycling Club</t>
  </si>
  <si>
    <t>PH12 8TP</t>
  </si>
  <si>
    <t>Newtyle, Blairgowrie</t>
  </si>
  <si>
    <t>Coupar Angus Road</t>
  </si>
  <si>
    <t>Pendle Cottage</t>
  </si>
  <si>
    <t>wpeterwilson0@gmail.com</t>
  </si>
  <si>
    <t>BA15 2JB</t>
  </si>
  <si>
    <t>Bradford on Avon</t>
  </si>
  <si>
    <t>Winsley</t>
  </si>
  <si>
    <t>Barton Cottage</t>
  </si>
  <si>
    <t>michaelwilson877@yahoo.com</t>
  </si>
  <si>
    <t>SN155ag</t>
  </si>
  <si>
    <t>brinkworth</t>
  </si>
  <si>
    <t>8 barnes green</t>
  </si>
  <si>
    <t>mail@dotwilson.com</t>
  </si>
  <si>
    <t>Rye &amp; District Wheelers CC</t>
  </si>
  <si>
    <t>TN34 1TT</t>
  </si>
  <si>
    <t>33 Amherst Road</t>
  </si>
  <si>
    <t>L</t>
  </si>
  <si>
    <t>nick@wps.co.uk</t>
  </si>
  <si>
    <t>manfredwills59@gmail.com</t>
  </si>
  <si>
    <t>LE9 4DN</t>
  </si>
  <si>
    <t>56 John Bold Avenue</t>
  </si>
  <si>
    <t>WILLS</t>
  </si>
  <si>
    <t>MICHAEL</t>
  </si>
  <si>
    <t>jezwillows1@gmail.com</t>
  </si>
  <si>
    <t>NG24 4AT</t>
  </si>
  <si>
    <t>58 Boundary Road</t>
  </si>
  <si>
    <t>Jez</t>
  </si>
  <si>
    <t>paultwilliamson1@gmail.com</t>
  </si>
  <si>
    <t>CB22 7NP</t>
  </si>
  <si>
    <t>Harston</t>
  </si>
  <si>
    <t>27 Church Street</t>
  </si>
  <si>
    <t>williamson_clive@yahoo.co.uk</t>
  </si>
  <si>
    <t>KT12 5DB</t>
  </si>
  <si>
    <t>5 Broadwater Road</t>
  </si>
  <si>
    <t>White Willows</t>
  </si>
  <si>
    <t>ajhw@outlook.com</t>
  </si>
  <si>
    <t>SY4 2AA</t>
  </si>
  <si>
    <t xml:space="preserve">Shrewsbury </t>
  </si>
  <si>
    <t xml:space="preserve">Weston Lullingfields </t>
  </si>
  <si>
    <t xml:space="preserve">Westonfield House </t>
  </si>
  <si>
    <t>JH</t>
  </si>
  <si>
    <t>Boonenbeagle79@yahoo.co.uk</t>
  </si>
  <si>
    <t>LL12 9PE</t>
  </si>
  <si>
    <t>27 Queensway</t>
  </si>
  <si>
    <t>hughwilliams1@hotmail.com</t>
  </si>
  <si>
    <t>Spartan</t>
  </si>
  <si>
    <t>RM7 7JA</t>
  </si>
  <si>
    <t>103-105 Mawney Road</t>
  </si>
  <si>
    <t>Apartment 5 Neave Rose Court</t>
  </si>
  <si>
    <t>traceywilliams@msn.com</t>
  </si>
  <si>
    <t>BN43 5NA</t>
  </si>
  <si>
    <t>Shoreham by Sea</t>
  </si>
  <si>
    <t>31 Mill Lane</t>
  </si>
  <si>
    <t>Cardiff 100 Miles RCC</t>
  </si>
  <si>
    <t>mikettbike@hotmail.com</t>
  </si>
  <si>
    <t>HU16 5UF</t>
  </si>
  <si>
    <t>Cottingham</t>
  </si>
  <si>
    <t>10 Manor Garth</t>
  </si>
  <si>
    <t>williams</t>
  </si>
  <si>
    <t>CH66 7AN</t>
  </si>
  <si>
    <t>76 Loxdale Drive</t>
  </si>
  <si>
    <t>gareth.williams10@gmail.com</t>
  </si>
  <si>
    <t>TW12 3DP</t>
  </si>
  <si>
    <t>43 Acacia Road</t>
  </si>
  <si>
    <t>UB6 8SB</t>
  </si>
  <si>
    <t>30 Wedmore Road</t>
  </si>
  <si>
    <t>GL7 6HY</t>
  </si>
  <si>
    <t>South Cerney</t>
  </si>
  <si>
    <t>51 Meadow Way</t>
  </si>
  <si>
    <t>johnwilliams.1950@hotmail.com</t>
  </si>
  <si>
    <t>Northover Vets Team</t>
  </si>
  <si>
    <t>BS32 8DS</t>
  </si>
  <si>
    <t>County (optional)</t>
  </si>
  <si>
    <t>Bradley Stoke</t>
  </si>
  <si>
    <t>8 Fern Grove</t>
  </si>
  <si>
    <t>Garth</t>
  </si>
  <si>
    <t>paul_willcox@hotmail.com</t>
  </si>
  <si>
    <t>Kt138jy</t>
  </si>
  <si>
    <t xml:space="preserve">Weybridge </t>
  </si>
  <si>
    <t xml:space="preserve">25 Glencoe rd </t>
  </si>
  <si>
    <t>Willcox</t>
  </si>
  <si>
    <t>sarnbach@gmail.com</t>
  </si>
  <si>
    <t>Rockingham Forest Wheelers</t>
  </si>
  <si>
    <t>NN3 7US</t>
  </si>
  <si>
    <t>Moulton</t>
  </si>
  <si>
    <t>32 Tarrant Way</t>
  </si>
  <si>
    <t>twilkinsonbegg@gmail.com</t>
  </si>
  <si>
    <t>Vanelli Project GO Race Team</t>
  </si>
  <si>
    <t>PH27FJ</t>
  </si>
  <si>
    <t>Glencarse</t>
  </si>
  <si>
    <t>11 Elm Mews</t>
  </si>
  <si>
    <t>Wilkinson-Begg</t>
  </si>
  <si>
    <t>twb.raceteam@gmail.com</t>
  </si>
  <si>
    <t>wilkyk61@gmail.com</t>
  </si>
  <si>
    <t>North Lancs and Lakes VTTA</t>
  </si>
  <si>
    <t>BB9 6DP</t>
  </si>
  <si>
    <t>Barrowford</t>
  </si>
  <si>
    <t>3 Holden Close</t>
  </si>
  <si>
    <t>wilkysj@hotmail.com</t>
  </si>
  <si>
    <t>North Lancs &amp; Lakes VTTA</t>
  </si>
  <si>
    <t>LL13 8PN</t>
  </si>
  <si>
    <t>North Wales</t>
  </si>
  <si>
    <t>15 Warwick Avenue</t>
  </si>
  <si>
    <t>mvwilkinson59@gmail.com</t>
  </si>
  <si>
    <t>NG16 5BU</t>
  </si>
  <si>
    <t>Brinsley</t>
  </si>
  <si>
    <t>177 Broad Lane</t>
  </si>
  <si>
    <t>josephinewilkie@gmail.com</t>
  </si>
  <si>
    <t>Cheltenham &amp; County Cycling Club</t>
  </si>
  <si>
    <t>GL54 4DD</t>
  </si>
  <si>
    <t>Withington</t>
  </si>
  <si>
    <t>Harnham Lane</t>
  </si>
  <si>
    <t>Shiralee</t>
  </si>
  <si>
    <t>Wilkie</t>
  </si>
  <si>
    <t>janelesleywiley@gmail.com</t>
  </si>
  <si>
    <t>7Oaks Tri Club</t>
  </si>
  <si>
    <t>TN14 6HS</t>
  </si>
  <si>
    <t>White House Rd</t>
  </si>
  <si>
    <t>Trees</t>
  </si>
  <si>
    <t>Wiley</t>
  </si>
  <si>
    <t>robert.wild@8manj.co.uk</t>
  </si>
  <si>
    <t>Velo Club Long Eaton</t>
  </si>
  <si>
    <t>NG10 3LG</t>
  </si>
  <si>
    <t>36 Blandford Avenue</t>
  </si>
  <si>
    <t>chriscross.xt6@gmail.com</t>
  </si>
  <si>
    <t>ST6 6DY</t>
  </si>
  <si>
    <t>117, Victoria Park Road</t>
  </si>
  <si>
    <t>Wilcox</t>
  </si>
  <si>
    <t>bobwidgery@talktalk.net</t>
  </si>
  <si>
    <t>CW11 3EW</t>
  </si>
  <si>
    <t xml:space="preserve">21 Roman Way </t>
  </si>
  <si>
    <t>Widgery</t>
  </si>
  <si>
    <t>martin.whitty@yahoo.co.uk</t>
  </si>
  <si>
    <t>PO7 5TJ</t>
  </si>
  <si>
    <t>1 Gordon Road</t>
  </si>
  <si>
    <t>Whitty</t>
  </si>
  <si>
    <t>roger.whittle@nhs.net</t>
  </si>
  <si>
    <t>GL3 3SG</t>
  </si>
  <si>
    <t>148 Hucclecote Road</t>
  </si>
  <si>
    <t>jandbwhit1@outlook.com</t>
  </si>
  <si>
    <t>CW3 9PU</t>
  </si>
  <si>
    <t>Madeley</t>
  </si>
  <si>
    <t>16 Pastoral Close</t>
  </si>
  <si>
    <t>andywhiteside37@yahoo.co.uk</t>
  </si>
  <si>
    <t xml:space="preserve">PR31DS </t>
  </si>
  <si>
    <t xml:space="preserve">Preston </t>
  </si>
  <si>
    <t xml:space="preserve">Garstang </t>
  </si>
  <si>
    <t xml:space="preserve">15 Gregory meadow </t>
  </si>
  <si>
    <t xml:space="preserve">Whiteside </t>
  </si>
  <si>
    <t>grant.whiteside@mac.com</t>
  </si>
  <si>
    <t>YO51 9HT</t>
  </si>
  <si>
    <t>Boroughbridge</t>
  </si>
  <si>
    <t>Stump Cross Farm</t>
  </si>
  <si>
    <t>East Barn</t>
  </si>
  <si>
    <t>kriswhitelaw@gmail.com</t>
  </si>
  <si>
    <t>vector racing</t>
  </si>
  <si>
    <t>NE12 6EB</t>
  </si>
  <si>
    <t>Newcastle Upon Tyne</t>
  </si>
  <si>
    <t>67 Northumbrian Way, Killingworth,</t>
  </si>
  <si>
    <t>Kris</t>
  </si>
  <si>
    <t>alaj2005@gmail.com</t>
  </si>
  <si>
    <t>S63 6DJ</t>
  </si>
  <si>
    <t>Wath-on-Dearne</t>
  </si>
  <si>
    <t>42 Stables Way</t>
  </si>
  <si>
    <t>Whitehead</t>
  </si>
  <si>
    <t>Ala</t>
  </si>
  <si>
    <t xml:space="preserve">Standards: Solo Bike: unlimited attempts at any distance Standards: Tandem Bike: unlimited attempts at any distance </t>
  </si>
  <si>
    <t>a.whitehead66@hotmail.com</t>
  </si>
  <si>
    <t>beryldom@yahoo.co.uk</t>
  </si>
  <si>
    <t>PE29 2DY</t>
  </si>
  <si>
    <t>Godmanchester</t>
  </si>
  <si>
    <t>4, Dove House Close</t>
  </si>
  <si>
    <t>paulwhite567@yahoo.co.uk</t>
  </si>
  <si>
    <t>LE168AZ</t>
  </si>
  <si>
    <t>12 dunmore road</t>
  </si>
  <si>
    <t xml:space="preserve">Leslie </t>
  </si>
  <si>
    <t>sally-w@btconnect.com</t>
  </si>
  <si>
    <t>HP13 5SS</t>
  </si>
  <si>
    <t>130 Hughenden Avenue</t>
  </si>
  <si>
    <t>gwhite283@gmail.com</t>
  </si>
  <si>
    <t>SO31 6QH</t>
  </si>
  <si>
    <t>38 Laurel Gardens</t>
  </si>
  <si>
    <t>neil.white270@sky.com</t>
  </si>
  <si>
    <t>Ambion Racing Team</t>
  </si>
  <si>
    <t>Le102dh</t>
  </si>
  <si>
    <t xml:space="preserve">Burbage </t>
  </si>
  <si>
    <t xml:space="preserve">19 horsepool </t>
  </si>
  <si>
    <t>jonathanwhite1@yahoo.com</t>
  </si>
  <si>
    <t>Weaver Valley</t>
  </si>
  <si>
    <t>CW9 8WN</t>
  </si>
  <si>
    <t>19 Burwardsley Way</t>
  </si>
  <si>
    <t>peterawhite56@gmail.com</t>
  </si>
  <si>
    <t>VC 10</t>
  </si>
  <si>
    <t>OX9 2EQ</t>
  </si>
  <si>
    <t>99 coombe hill crescent</t>
  </si>
  <si>
    <t>victor1935@virginmedia.com</t>
  </si>
  <si>
    <t>SS3 8TY</t>
  </si>
  <si>
    <t>Southend on Sea</t>
  </si>
  <si>
    <t>Shoebury</t>
  </si>
  <si>
    <t>52 Cavensham Avenue</t>
  </si>
  <si>
    <t>eeghiilstw@gmail.com</t>
  </si>
  <si>
    <t>NG25 0JS</t>
  </si>
  <si>
    <t xml:space="preserve">17 Lowes Wong </t>
  </si>
  <si>
    <t xml:space="preserve">White </t>
  </si>
  <si>
    <t>markawhite02@yahoo.co.uk</t>
  </si>
  <si>
    <t>Le84dx</t>
  </si>
  <si>
    <t>Blaby</t>
  </si>
  <si>
    <t>161A, Lutterworth road</t>
  </si>
  <si>
    <t>KT15 3AG</t>
  </si>
  <si>
    <t>ADDLESTONE</t>
  </si>
  <si>
    <t>Mayfield Avenue</t>
  </si>
  <si>
    <t>Spinel</t>
  </si>
  <si>
    <t>m.s.whitaker@gmail.com</t>
  </si>
  <si>
    <t>Paceline RT</t>
  </si>
  <si>
    <t>SW13 0HS</t>
  </si>
  <si>
    <t>Mill Hill, Barnes</t>
  </si>
  <si>
    <t>Brooklyn Lodge</t>
  </si>
  <si>
    <t>Whitaker</t>
  </si>
  <si>
    <t>ruthwhiddett@icloud.com</t>
  </si>
  <si>
    <t>Woking cc</t>
  </si>
  <si>
    <t>Gu22 7ey</t>
  </si>
  <si>
    <t>37a heathside road</t>
  </si>
  <si>
    <t xml:space="preserve">yellowstones, </t>
  </si>
  <si>
    <t>Whiddett</t>
  </si>
  <si>
    <t>Hannah</t>
  </si>
  <si>
    <t>Ruth</t>
  </si>
  <si>
    <t>took1971@btinternet.com</t>
  </si>
  <si>
    <t>LE11 3HZ</t>
  </si>
  <si>
    <t>55 Holt Drive</t>
  </si>
  <si>
    <t>anthonywhale@hotmail.com</t>
  </si>
  <si>
    <t>Bluelight Cycling Club</t>
  </si>
  <si>
    <t>CM20 1PZ</t>
  </si>
  <si>
    <t>89 Ram Gorse</t>
  </si>
  <si>
    <t>Whale</t>
  </si>
  <si>
    <t>Michael , Colin , David</t>
  </si>
  <si>
    <t>anthony.westwood1@btopenworld.com</t>
  </si>
  <si>
    <t>Gravesend Cycling Club</t>
  </si>
  <si>
    <t>ME1 3EX</t>
  </si>
  <si>
    <t>Rochester</t>
  </si>
  <si>
    <t>15 Lillymonte Drive</t>
  </si>
  <si>
    <t>scott.westwood41@icloud.com</t>
  </si>
  <si>
    <t>Walsall Roads Cycling Club</t>
  </si>
  <si>
    <t>WS11 7WJ</t>
  </si>
  <si>
    <t>Heath Haynes</t>
  </si>
  <si>
    <t>4 Woodpecker Way</t>
  </si>
  <si>
    <t>janis.weston@btinternet.com</t>
  </si>
  <si>
    <t>LE7 7RF</t>
  </si>
  <si>
    <t>Rothley</t>
  </si>
  <si>
    <t>8 Garland</t>
  </si>
  <si>
    <t>WESTON</t>
  </si>
  <si>
    <t>STUART</t>
  </si>
  <si>
    <t>RODNEY</t>
  </si>
  <si>
    <t>rod.weston@btinternet.com</t>
  </si>
  <si>
    <t>LE14 4QL</t>
  </si>
  <si>
    <t>Chadwell</t>
  </si>
  <si>
    <t>Manor Farm   Main Street</t>
  </si>
  <si>
    <t>carol@pilates-cumbria.uk</t>
  </si>
  <si>
    <t>CA8 9DD</t>
  </si>
  <si>
    <t>Cumrew</t>
  </si>
  <si>
    <t>Townfoot farm</t>
  </si>
  <si>
    <t>westmorland</t>
  </si>
  <si>
    <t>carol</t>
  </si>
  <si>
    <t>mike.westmorland@btinternet.com</t>
  </si>
  <si>
    <t>CA10 1BD</t>
  </si>
  <si>
    <t>Lazonby</t>
  </si>
  <si>
    <t>7 Seat Hill</t>
  </si>
  <si>
    <t>Westmorland</t>
  </si>
  <si>
    <t>johnwesthead28@gmail.com</t>
  </si>
  <si>
    <t>Paramount CRT</t>
  </si>
  <si>
    <t>SY5 7HR</t>
  </si>
  <si>
    <t>Acton Burnell</t>
  </si>
  <si>
    <t>Rose Villa, Ruckley</t>
  </si>
  <si>
    <t>Westhead</t>
  </si>
  <si>
    <t>robertgregorywest@gmail.com</t>
  </si>
  <si>
    <t>OX4 1XP</t>
  </si>
  <si>
    <t>56 East Avenue</t>
  </si>
  <si>
    <t>peter@wellsarchitectural.co.uk</t>
  </si>
  <si>
    <t>Leighton Buzzard</t>
  </si>
  <si>
    <t>6 Crafton</t>
  </si>
  <si>
    <t xml:space="preserve">Walnut Tree Cottage, </t>
  </si>
  <si>
    <t>stuart.wells77@ntlworld.com</t>
  </si>
  <si>
    <t>DN37 0UR</t>
  </si>
  <si>
    <t xml:space="preserve">Waltham </t>
  </si>
  <si>
    <t xml:space="preserve">7 Alderley Edge </t>
  </si>
  <si>
    <t>david@orchardconsulting.co.uk</t>
  </si>
  <si>
    <t>SO22 6PP</t>
  </si>
  <si>
    <t>Littleton, Winchester</t>
  </si>
  <si>
    <t>Deane Down Drove</t>
  </si>
  <si>
    <t>Langford</t>
  </si>
  <si>
    <t>Welling</t>
  </si>
  <si>
    <t>mark2rally@gmail.com</t>
  </si>
  <si>
    <t>CR6 9ED</t>
  </si>
  <si>
    <t>Warlingham</t>
  </si>
  <si>
    <t>68a Farleigh Road</t>
  </si>
  <si>
    <t>Welch</t>
  </si>
  <si>
    <t>paul@p-n-j.com</t>
  </si>
  <si>
    <t>SP10 2HF</t>
  </si>
  <si>
    <t>2 Wellesley Road</t>
  </si>
  <si>
    <t>davewebbo666@gmail.com</t>
  </si>
  <si>
    <t>PE14 7EJ</t>
  </si>
  <si>
    <t>19 Salts Road</t>
  </si>
  <si>
    <t>mikeswebster39@gmail.com</t>
  </si>
  <si>
    <t>DA7 4TZ</t>
  </si>
  <si>
    <t>Bexleyheath</t>
  </si>
  <si>
    <t>89 Berkeley Avenue</t>
  </si>
  <si>
    <t>LM - Individual Membership - Kent</t>
  </si>
  <si>
    <t>Wolverhampton Wheelers Cycling Club</t>
  </si>
  <si>
    <t>WV15 5EA</t>
  </si>
  <si>
    <t>Lodge Farm</t>
  </si>
  <si>
    <t>3 Fir Trees</t>
  </si>
  <si>
    <t>michaellweaver@yahoo.co.uk</t>
  </si>
  <si>
    <t>PE9 2LR</t>
  </si>
  <si>
    <t>Stamford</t>
  </si>
  <si>
    <t>20 kettering road</t>
  </si>
  <si>
    <t>Weaver</t>
  </si>
  <si>
    <t>michael-weaver@hotmail.co.uk</t>
  </si>
  <si>
    <t>S60 3DD</t>
  </si>
  <si>
    <t>36 Lymister Avenue</t>
  </si>
  <si>
    <t>stuartwearmouth@hotmail.co.uk</t>
  </si>
  <si>
    <t xml:space="preserve">Zurbaran Racing </t>
  </si>
  <si>
    <t>DL140SH</t>
  </si>
  <si>
    <t xml:space="preserve">Co Durham </t>
  </si>
  <si>
    <t xml:space="preserve">Bishop Auckland </t>
  </si>
  <si>
    <t xml:space="preserve">56 Middlehope Grove </t>
  </si>
  <si>
    <t>Wearmouth</t>
  </si>
  <si>
    <t>dfawatts@hotmail.com</t>
  </si>
  <si>
    <t>S7 1NN</t>
  </si>
  <si>
    <t>5 Kenwood Avenue</t>
  </si>
  <si>
    <t>philwatts196@gmail.com</t>
  </si>
  <si>
    <t>RG26 5PE</t>
  </si>
  <si>
    <t>Baughurst</t>
  </si>
  <si>
    <t>60 Portway</t>
  </si>
  <si>
    <t>jjcoltourer@gmail.com</t>
  </si>
  <si>
    <t>ML4 2HN</t>
  </si>
  <si>
    <t>Bellshill</t>
  </si>
  <si>
    <t>107 Sapphire Road</t>
  </si>
  <si>
    <t>Watters</t>
  </si>
  <si>
    <t>finwatt@gmail.com</t>
  </si>
  <si>
    <t>Findlay</t>
  </si>
  <si>
    <t>pgwatson388@gmail.com</t>
  </si>
  <si>
    <t>Allan Valley Velo</t>
  </si>
  <si>
    <t>NE46 1WJ</t>
  </si>
  <si>
    <t>Woodlands Rise</t>
  </si>
  <si>
    <t>23 Hornbeam Crescent</t>
  </si>
  <si>
    <t>richwatson@apachebrave.co.uk</t>
  </si>
  <si>
    <t>ABR Cycle Team</t>
  </si>
  <si>
    <t>cv4 9et</t>
  </si>
  <si>
    <t>West midlands</t>
  </si>
  <si>
    <t>tile hill</t>
  </si>
  <si>
    <t>6 elm tree avenue</t>
  </si>
  <si>
    <t>watson.jamie@gmail.com</t>
  </si>
  <si>
    <t>Veloshills Inter-bike</t>
  </si>
  <si>
    <t>CO152BB</t>
  </si>
  <si>
    <t>clacton on sea</t>
  </si>
  <si>
    <t>17 trunette road, 17 trunette road</t>
  </si>
  <si>
    <t>watson-john4@sky.com</t>
  </si>
  <si>
    <t>hitchin nomads</t>
  </si>
  <si>
    <t>SG40QJ</t>
  </si>
  <si>
    <t>39 Harkness Way</t>
  </si>
  <si>
    <t>watson</t>
  </si>
  <si>
    <t>nethanfoot@gmail.com</t>
  </si>
  <si>
    <t>GTR - Return to Life</t>
  </si>
  <si>
    <t>ML8 5SF</t>
  </si>
  <si>
    <t>Crossford</t>
  </si>
  <si>
    <t>3 Nethanfoot Brig Road</t>
  </si>
  <si>
    <t>bob.watson9@btinternet.com</t>
  </si>
  <si>
    <t>CB9 7RR</t>
  </si>
  <si>
    <t>Withersfield</t>
  </si>
  <si>
    <t>Melbourne Bridge</t>
  </si>
  <si>
    <t>Merrimack House</t>
  </si>
  <si>
    <t>steve.p.watson@gmail.com</t>
  </si>
  <si>
    <t>SG13 8BB</t>
  </si>
  <si>
    <t>51 Queens Road</t>
  </si>
  <si>
    <t>edwatson100@hotmail.co.uk</t>
  </si>
  <si>
    <t>LE18 2GE</t>
  </si>
  <si>
    <t>126 Moat Street</t>
  </si>
  <si>
    <t>phil_watkins@talktalk.net</t>
  </si>
  <si>
    <t>Noth Norfolk Wheelers</t>
  </si>
  <si>
    <t>NR28 9HB</t>
  </si>
  <si>
    <t>North Walsham</t>
  </si>
  <si>
    <t>31 Happisburgh Road</t>
  </si>
  <si>
    <t xml:space="preserve">Holly Tree House </t>
  </si>
  <si>
    <t>BR6 7SD</t>
  </si>
  <si>
    <t>Pratts Bottom</t>
  </si>
  <si>
    <t>Sunny Bank, The Hillside</t>
  </si>
  <si>
    <t>Waterfield</t>
  </si>
  <si>
    <t>Conisbrough Ivanhoe Cycling Club</t>
  </si>
  <si>
    <t>YO17 8LU</t>
  </si>
  <si>
    <t>Malton</t>
  </si>
  <si>
    <t>Thorpe Bassett</t>
  </si>
  <si>
    <t>1 The Row</t>
  </si>
  <si>
    <t>Waslidge</t>
  </si>
  <si>
    <t>abgwashington@aol.com</t>
  </si>
  <si>
    <t>Caithness Cycling Club</t>
  </si>
  <si>
    <t>KW14 7LX</t>
  </si>
  <si>
    <t>Caithness</t>
  </si>
  <si>
    <t>Thurso</t>
  </si>
  <si>
    <t>28 Saint Magnus Road</t>
  </si>
  <si>
    <t>Bryan Grant</t>
  </si>
  <si>
    <t xml:space="preserve">Standards: Solo Bike: unlimited attempts at any distance Annual Lunch 2024 Annual Lunch 2024 </t>
  </si>
  <si>
    <t>powtera@yahoo.com</t>
  </si>
  <si>
    <t xml:space="preserve">Oxonian </t>
  </si>
  <si>
    <t xml:space="preserve">OX29 8HQ </t>
  </si>
  <si>
    <t>Witney Rd</t>
  </si>
  <si>
    <t xml:space="preserve">Lawrence House </t>
  </si>
  <si>
    <t>onehundredclimbs@outlook.com</t>
  </si>
  <si>
    <t>S11 7AN</t>
  </si>
  <si>
    <t>67 Ranby Road</t>
  </si>
  <si>
    <t>h.wardrope@aol.co.uk</t>
  </si>
  <si>
    <t>Arria Wheelers Cycling Club</t>
  </si>
  <si>
    <t>Fk10 4nl</t>
  </si>
  <si>
    <t>Kincardine</t>
  </si>
  <si>
    <t>27 mercer street</t>
  </si>
  <si>
    <t>Wardrope</t>
  </si>
  <si>
    <t>yellowjersey@rocketmail.com</t>
  </si>
  <si>
    <t>LE8 8BE</t>
  </si>
  <si>
    <t>LEICESTER</t>
  </si>
  <si>
    <t>Fleckney</t>
  </si>
  <si>
    <t>38 Batchelor Rd</t>
  </si>
  <si>
    <t>ward</t>
  </si>
  <si>
    <t>roy</t>
  </si>
  <si>
    <t>johnbward@btopenworld.com</t>
  </si>
  <si>
    <t>Preston Wheelers</t>
  </si>
  <si>
    <t>PR3 1JU</t>
  </si>
  <si>
    <t>6 Hill View Road</t>
  </si>
  <si>
    <t>sidlad12@hotmail.com</t>
  </si>
  <si>
    <t xml:space="preserve">YO12 6dg </t>
  </si>
  <si>
    <t xml:space="preserve">24 Westfield Avenue </t>
  </si>
  <si>
    <t>mick-ann@thewardys.plus.com</t>
  </si>
  <si>
    <t>SY30PD</t>
  </si>
  <si>
    <t>8 Cedar Close</t>
  </si>
  <si>
    <t>cullawn@btinternet.com</t>
  </si>
  <si>
    <t>CH7 4AD</t>
  </si>
  <si>
    <t>Gwernymynydd</t>
  </si>
  <si>
    <t>22 Godre'r Mynydd</t>
  </si>
  <si>
    <t>mary.ward10@tiscali.co.uk</t>
  </si>
  <si>
    <t>IP28 6JR</t>
  </si>
  <si>
    <t>Fornham All Saints</t>
  </si>
  <si>
    <t>10, Rectory Meadows</t>
  </si>
  <si>
    <t>christopherward2@sky.com</t>
  </si>
  <si>
    <t>PE12 6RR</t>
  </si>
  <si>
    <t>Whaplode</t>
  </si>
  <si>
    <t>The Hollies</t>
  </si>
  <si>
    <t>peggus_ho@hotmail.com</t>
  </si>
  <si>
    <t>SG14 3HP</t>
  </si>
  <si>
    <t>Bengeo</t>
  </si>
  <si>
    <t>69 The Wick</t>
  </si>
  <si>
    <t>m.walter@hotmail.co.uk</t>
  </si>
  <si>
    <t>SP6 3HW</t>
  </si>
  <si>
    <t xml:space="preserve">Fordingbridge </t>
  </si>
  <si>
    <t>Damerham</t>
  </si>
  <si>
    <t>Hilltop Cottage</t>
  </si>
  <si>
    <t>Lois</t>
  </si>
  <si>
    <t>Arlfrel@msn.com</t>
  </si>
  <si>
    <t>Plymouth Corinthians Cycling Club</t>
  </si>
  <si>
    <t>Pl9 9tp</t>
  </si>
  <si>
    <t>16 Durwent Close</t>
  </si>
  <si>
    <t xml:space="preserve">Walshe </t>
  </si>
  <si>
    <t>andrew.a.walsh@gmail.com</t>
  </si>
  <si>
    <t>Audax UK</t>
  </si>
  <si>
    <t>PE9 2JJ</t>
  </si>
  <si>
    <t>33 Cedar Road</t>
  </si>
  <si>
    <t>nigelwal60@gmail.com</t>
  </si>
  <si>
    <t>NR26 8BS</t>
  </si>
  <si>
    <t>9 Seacliffe Vincent Road</t>
  </si>
  <si>
    <t>walsh</t>
  </si>
  <si>
    <t>CR4 4EG</t>
  </si>
  <si>
    <t>Mitcham</t>
  </si>
  <si>
    <t>24a Mitcham Park</t>
  </si>
  <si>
    <t>frazerwallis@gmail.com</t>
  </si>
  <si>
    <t>Spalding cc</t>
  </si>
  <si>
    <t xml:space="preserve">PE11 2DX </t>
  </si>
  <si>
    <t>25 Grange Drive</t>
  </si>
  <si>
    <t>Frazer</t>
  </si>
  <si>
    <t>1 Hill Crescent, Lenham</t>
  </si>
  <si>
    <t>oranjh@gmail.com</t>
  </si>
  <si>
    <t>Python RT</t>
  </si>
  <si>
    <t>OX4 2JP</t>
  </si>
  <si>
    <t>120 Fern Hill Road</t>
  </si>
  <si>
    <t>PO4 8YL</t>
  </si>
  <si>
    <t>120 Moorings Way</t>
  </si>
  <si>
    <t>stevewallace5@sky.com</t>
  </si>
  <si>
    <t>Dunfermline Cycling Club</t>
  </si>
  <si>
    <t>KY12 7YB</t>
  </si>
  <si>
    <t>6 Tolmount Drive</t>
  </si>
  <si>
    <t>carolinew2020@gmail.com</t>
  </si>
  <si>
    <t>Sowerby Sunday Club</t>
  </si>
  <si>
    <t>HG33RD</t>
  </si>
  <si>
    <t>HARROGATE</t>
  </si>
  <si>
    <t>Bishop Monkton</t>
  </si>
  <si>
    <t>Fontein Terrace</t>
  </si>
  <si>
    <t>cycl1st@hotmail.co.uk</t>
  </si>
  <si>
    <t>TW16 7QL</t>
  </si>
  <si>
    <t>SUNBURY-ON-THAMES</t>
  </si>
  <si>
    <t>Sunbury-on-Thames</t>
  </si>
  <si>
    <t>25 Beechwood Avenue</t>
  </si>
  <si>
    <t>SO5 1NA</t>
  </si>
  <si>
    <t>Totton</t>
  </si>
  <si>
    <t>31 Main Road</t>
  </si>
  <si>
    <t>peterwall33@virginmedia.com</t>
  </si>
  <si>
    <t>TN10 3QS</t>
  </si>
  <si>
    <t>7 Plane Walk</t>
  </si>
  <si>
    <t>caddiemonster@gmail.com</t>
  </si>
  <si>
    <t>Congleton Cycling Club</t>
  </si>
  <si>
    <t>CW1 6HR</t>
  </si>
  <si>
    <t>11 Brook Close</t>
  </si>
  <si>
    <t>hilary.walker@virgin.net</t>
  </si>
  <si>
    <t>SW7 1NZ</t>
  </si>
  <si>
    <t>9 Rutland Mews South</t>
  </si>
  <si>
    <t>Hilary</t>
  </si>
  <si>
    <t>shaunwakes@msn.com</t>
  </si>
  <si>
    <t xml:space="preserve">Dl167gp </t>
  </si>
  <si>
    <t xml:space="preserve">3 Sledmore drive </t>
  </si>
  <si>
    <t>Wakes</t>
  </si>
  <si>
    <t>rogercwakeling@gmail.com</t>
  </si>
  <si>
    <t>Antelope Racing Team</t>
  </si>
  <si>
    <t>SO51 6JX</t>
  </si>
  <si>
    <t>ROMSEY</t>
  </si>
  <si>
    <t>Sherfield English</t>
  </si>
  <si>
    <t>Doctors Hill</t>
  </si>
  <si>
    <t>Conifers</t>
  </si>
  <si>
    <t>Wakeling</t>
  </si>
  <si>
    <t>tomwakefield8@virginmedia.com</t>
  </si>
  <si>
    <t>ME10 2RH</t>
  </si>
  <si>
    <t>26 Donemowe Dr, Kemsley</t>
  </si>
  <si>
    <t>rmwaite@hotmail.com</t>
  </si>
  <si>
    <t>SP11 6LR</t>
  </si>
  <si>
    <t>3 Andover Down</t>
  </si>
  <si>
    <t>Waite</t>
  </si>
  <si>
    <t xml:space="preserve">Standards: Solo Bike: unlimited attempts at any distance Annual Lunch and Awards 2024 </t>
  </si>
  <si>
    <t>p.wain@hotmail.com</t>
  </si>
  <si>
    <t>API - Anglia Sport</t>
  </si>
  <si>
    <t>DE55 5AS</t>
  </si>
  <si>
    <t>Westhouses</t>
  </si>
  <si>
    <t>31 Sidings Way</t>
  </si>
  <si>
    <t>Wain</t>
  </si>
  <si>
    <t>a.j.wailoo@sheffield.ac.uk</t>
  </si>
  <si>
    <t>7 Hills CC</t>
  </si>
  <si>
    <t>S17 3EE</t>
  </si>
  <si>
    <t>Dore</t>
  </si>
  <si>
    <t>8 Leyfield Road</t>
  </si>
  <si>
    <t>Wailoo</t>
  </si>
  <si>
    <t>ivan.waddington@btinternet.com</t>
  </si>
  <si>
    <t>LE2 3DD</t>
  </si>
  <si>
    <t>9 Burlington Road</t>
  </si>
  <si>
    <t>Waddington</t>
  </si>
  <si>
    <t>benjaminche68@gmail.com</t>
  </si>
  <si>
    <t>LE2 8QG</t>
  </si>
  <si>
    <t>21 Bradston Road</t>
  </si>
  <si>
    <t>WADDINGTON</t>
  </si>
  <si>
    <t>CHE</t>
  </si>
  <si>
    <t>BEN</t>
  </si>
  <si>
    <t>nvuagniaux55@gmail.com</t>
  </si>
  <si>
    <t>BA1 4JD</t>
  </si>
  <si>
    <t>3 Michaels Mead</t>
  </si>
  <si>
    <t>Vuagniaux</t>
  </si>
  <si>
    <t>Markvowells@hotmail.co.uk</t>
  </si>
  <si>
    <t>DA13 9BA</t>
  </si>
  <si>
    <t>Cobham</t>
  </si>
  <si>
    <t>Penny Green, Round Street</t>
  </si>
  <si>
    <t>Vowells</t>
  </si>
  <si>
    <t>voller@live.co.uk</t>
  </si>
  <si>
    <t>SN8 3TE</t>
  </si>
  <si>
    <t>Burbridge</t>
  </si>
  <si>
    <t>13 Henrys Garth</t>
  </si>
  <si>
    <t>Voller</t>
  </si>
  <si>
    <t>vesseyclan7@gmail.com</t>
  </si>
  <si>
    <t>â€¦a3crg</t>
  </si>
  <si>
    <t>RS8 0SA</t>
  </si>
  <si>
    <t>54 Whitehouse Road</t>
  </si>
  <si>
    <t>Askwith</t>
  </si>
  <si>
    <t>vergettpaul@gmail.com</t>
  </si>
  <si>
    <t>NR13 6AJ</t>
  </si>
  <si>
    <t>29 Church Road</t>
  </si>
  <si>
    <t xml:space="preserve">Vergette </t>
  </si>
  <si>
    <t>john.verbickas@hotmail.co.uk</t>
  </si>
  <si>
    <t>M33 3LQ</t>
  </si>
  <si>
    <t>3 Ashbourne Crescent</t>
  </si>
  <si>
    <t>Verbickas</t>
  </si>
  <si>
    <t>andrewvaughan@ymail.com</t>
  </si>
  <si>
    <t>HU15 1GN</t>
  </si>
  <si>
    <t>16 Stubbs Close</t>
  </si>
  <si>
    <t>Vaughan</t>
  </si>
  <si>
    <t xml:space="preserve">Standards: Solo Bike: unlimited attempts at any distance Standards: Tandem Trike: unlimited attempts at any distance </t>
  </si>
  <si>
    <t>hvardal@yahoo.com</t>
  </si>
  <si>
    <t>DA10 1BX</t>
  </si>
  <si>
    <t>Swanscombe</t>
  </si>
  <si>
    <t>Castle Hill</t>
  </si>
  <si>
    <t>19 Embleton Lane</t>
  </si>
  <si>
    <t>Vardal</t>
  </si>
  <si>
    <t>Huseyin</t>
  </si>
  <si>
    <t>matt_bev@live.com</t>
  </si>
  <si>
    <t>Nottingham Clarion Cycling Club</t>
  </si>
  <si>
    <t>NG2 5BT</t>
  </si>
  <si>
    <t>56 Mona Road</t>
  </si>
  <si>
    <t>anthony.ussher@btconnect.com</t>
  </si>
  <si>
    <t>Thame Cycling Club</t>
  </si>
  <si>
    <t>OX9 2JR</t>
  </si>
  <si>
    <t>Milton Common</t>
  </si>
  <si>
    <t>4 Old London Road</t>
  </si>
  <si>
    <t>Rivendell,</t>
  </si>
  <si>
    <t>Ussher</t>
  </si>
  <si>
    <t>tys.susie@gmail.com</t>
  </si>
  <si>
    <t>Rock to Roll CC</t>
  </si>
  <si>
    <t>CA6 6PT</t>
  </si>
  <si>
    <t>Bewcastle</t>
  </si>
  <si>
    <t>Rigghead</t>
  </si>
  <si>
    <t>k.tye@icloud.com</t>
  </si>
  <si>
    <t>VeloRefined Rule 5</t>
  </si>
  <si>
    <t>ME18 5QE</t>
  </si>
  <si>
    <t>Mereworth</t>
  </si>
  <si>
    <t>166 Butchers Lane</t>
  </si>
  <si>
    <t>philliptyas@hotmail.com</t>
  </si>
  <si>
    <t>Barnsley Road club</t>
  </si>
  <si>
    <t>S75 2RS</t>
  </si>
  <si>
    <t>yorks</t>
  </si>
  <si>
    <t>24 Redbrook Road</t>
  </si>
  <si>
    <t>tyas</t>
  </si>
  <si>
    <t>phillip</t>
  </si>
  <si>
    <t>twitchettm@aol.com</t>
  </si>
  <si>
    <t>CB4 2HY</t>
  </si>
  <si>
    <t>2 Twickenham Court</t>
  </si>
  <si>
    <t>Twitchett</t>
  </si>
  <si>
    <t>ytwelvetree@hotmail.com</t>
  </si>
  <si>
    <t>Sheffield Tri Club</t>
  </si>
  <si>
    <t>S17 3DH</t>
  </si>
  <si>
    <t>19 Kerwin Road</t>
  </si>
  <si>
    <t>Twelvetree</t>
  </si>
  <si>
    <t>mike@x11s.co.uk</t>
  </si>
  <si>
    <t>LE98JF</t>
  </si>
  <si>
    <t>Stapleton</t>
  </si>
  <si>
    <t>Ashby Road</t>
  </si>
  <si>
    <t>The Old Farmhouse</t>
  </si>
  <si>
    <t>Twelves</t>
  </si>
  <si>
    <t>garytuskin@outlook.com</t>
  </si>
  <si>
    <t>Bh17 8tt</t>
  </si>
  <si>
    <t xml:space="preserve">Poole </t>
  </si>
  <si>
    <t xml:space="preserve">Canford heath </t>
  </si>
  <si>
    <t xml:space="preserve">69 verity crescent </t>
  </si>
  <si>
    <t xml:space="preserve">Tuskin </t>
  </si>
  <si>
    <t xml:space="preserve">Gary </t>
  </si>
  <si>
    <t>p.turton10@btinternet.com</t>
  </si>
  <si>
    <t>Team Vision Racing</t>
  </si>
  <si>
    <t>RM16 6PY</t>
  </si>
  <si>
    <t>Grays</t>
  </si>
  <si>
    <t>Chafford Hundred</t>
  </si>
  <si>
    <t>86 Camden Road</t>
  </si>
  <si>
    <t>anitaturner100@gmail.com</t>
  </si>
  <si>
    <t>BN26 5QG</t>
  </si>
  <si>
    <t>Jevington, Polegate</t>
  </si>
  <si>
    <t>Willingdon Lane</t>
  </si>
  <si>
    <t>Deeerfoot Cottage</t>
  </si>
  <si>
    <t>Anita</t>
  </si>
  <si>
    <t>sally79turner@gmail.com</t>
  </si>
  <si>
    <t xml:space="preserve">TN22 2HQ </t>
  </si>
  <si>
    <t xml:space="preserve">Maresfield </t>
  </si>
  <si>
    <t>15 The paddocks</t>
  </si>
  <si>
    <t>ajt.home@hotmail.com</t>
  </si>
  <si>
    <t>OX29 7BH</t>
  </si>
  <si>
    <t>69 Mary Ellis Way</t>
  </si>
  <si>
    <t>george.turner@hampden.co.uk</t>
  </si>
  <si>
    <t>VTTA (London &amp; Home Counties)</t>
  </si>
  <si>
    <t>HP16 0EF</t>
  </si>
  <si>
    <t>Little Kingshill</t>
  </si>
  <si>
    <t>Hare Lane</t>
  </si>
  <si>
    <t>Squirrels Court</t>
  </si>
  <si>
    <t>tango59@hotmail.co.uk</t>
  </si>
  <si>
    <t>M22 9ZF</t>
  </si>
  <si>
    <t>Wythenshawe</t>
  </si>
  <si>
    <t>88 Mayfair Road</t>
  </si>
  <si>
    <t>lee.assos@yahoo.co.uk</t>
  </si>
  <si>
    <t>Sigma Sports</t>
  </si>
  <si>
    <t>DA5 2HY</t>
  </si>
  <si>
    <t>Joydens Wood</t>
  </si>
  <si>
    <t>5,Maryfield Close</t>
  </si>
  <si>
    <t>rtully335@gmail.com</t>
  </si>
  <si>
    <t>BR3 3FH</t>
  </si>
  <si>
    <t>53 Roman Way</t>
  </si>
  <si>
    <t>Tully</t>
  </si>
  <si>
    <t>helen@bbrltd.net</t>
  </si>
  <si>
    <t>Oswestry Paragon CC</t>
  </si>
  <si>
    <t>SY11 2BB</t>
  </si>
  <si>
    <t>Weston Lane</t>
  </si>
  <si>
    <t>Ashcourt Cottage</t>
  </si>
  <si>
    <t>Tudor</t>
  </si>
  <si>
    <t>olivertuckley@gmail.com</t>
  </si>
  <si>
    <t>BN6 8NF</t>
  </si>
  <si>
    <t>Hassocks</t>
  </si>
  <si>
    <t>61 Ockley Way</t>
  </si>
  <si>
    <t>Tuckley</t>
  </si>
  <si>
    <t>ron@rocketron.org</t>
  </si>
  <si>
    <t>YO8 8HF</t>
  </si>
  <si>
    <t>Camblesforth</t>
  </si>
  <si>
    <t>5 Grange Road</t>
  </si>
  <si>
    <t>Trueman</t>
  </si>
  <si>
    <t>HG2 8EA</t>
  </si>
  <si>
    <t>44 Beech Road</t>
  </si>
  <si>
    <t>Trodden</t>
  </si>
  <si>
    <t>suetriplow@gmail.com</t>
  </si>
  <si>
    <t xml:space="preserve">IP7 6BP	</t>
  </si>
  <si>
    <t>83 Aldham Road</t>
  </si>
  <si>
    <t>Triplow</t>
  </si>
  <si>
    <t>victrigger70@gmail.com</t>
  </si>
  <si>
    <t>CW2 7DF</t>
  </si>
  <si>
    <t>30 Brook Street</t>
  </si>
  <si>
    <t xml:space="preserve">Standards: Solo Trike: unlimited attempts at any distance </t>
  </si>
  <si>
    <t>PR4 0SJ</t>
  </si>
  <si>
    <t>Preston, Lancashire</t>
  </si>
  <si>
    <t>Lea Town</t>
  </si>
  <si>
    <t>Darkinson Lane</t>
  </si>
  <si>
    <t>8 Chuch Park</t>
  </si>
  <si>
    <t>aluntribe@atlasclever.com</t>
  </si>
  <si>
    <t>Atlas Clever Racing Team</t>
  </si>
  <si>
    <t>PO8 0DB</t>
  </si>
  <si>
    <t>23 Havant Road</t>
  </si>
  <si>
    <t>Tribe</t>
  </si>
  <si>
    <t>Jason Boys</t>
  </si>
  <si>
    <t>Alun</t>
  </si>
  <si>
    <t>jim@radgrove1.karoo.co.uk</t>
  </si>
  <si>
    <t>HU151AU</t>
  </si>
  <si>
    <t>hu15 1au</t>
  </si>
  <si>
    <t>34 Cavendish Park</t>
  </si>
  <si>
    <t>Trike</t>
  </si>
  <si>
    <t>Jymmy</t>
  </si>
  <si>
    <t>jymmy.trevor@gmail.com</t>
  </si>
  <si>
    <t>HU15 1AU</t>
  </si>
  <si>
    <t>North Humberside</t>
  </si>
  <si>
    <t>Kettering Amateur CC</t>
  </si>
  <si>
    <t>NN3 3DR</t>
  </si>
  <si>
    <t>Westone</t>
  </si>
  <si>
    <t>6 Moorland Close</t>
  </si>
  <si>
    <t>Tremaine</t>
  </si>
  <si>
    <t>Clifford</t>
  </si>
  <si>
    <t>fmtreanor@gmail.com</t>
  </si>
  <si>
    <t>HP8 4EJ</t>
  </si>
  <si>
    <t>Chalfont St Giles</t>
  </si>
  <si>
    <t>64 Bottrells Lane</t>
  </si>
  <si>
    <t>Treanor</t>
  </si>
  <si>
    <t>jstracey75@gmail.com</t>
  </si>
  <si>
    <t>Ambion RT</t>
  </si>
  <si>
    <t>LE10 2NY</t>
  </si>
  <si>
    <t>9 Surrey Close</t>
  </si>
  <si>
    <t>fulking2@icloud.com</t>
  </si>
  <si>
    <t>BN5 9NJ</t>
  </si>
  <si>
    <t>Fulking</t>
  </si>
  <si>
    <t>Clappers Lane</t>
  </si>
  <si>
    <t>Badgerwood Barn</t>
  </si>
  <si>
    <t>Townsley</t>
  </si>
  <si>
    <t>daveytops@hotmail.com</t>
  </si>
  <si>
    <t>BB12 8NQ</t>
  </si>
  <si>
    <t>Padiham</t>
  </si>
  <si>
    <t>9 The Shortlands</t>
  </si>
  <si>
    <t>Topping</t>
  </si>
  <si>
    <t>BA2 6UF</t>
  </si>
  <si>
    <t>Bathampton</t>
  </si>
  <si>
    <t>20 Down Lane</t>
  </si>
  <si>
    <t>Tooze</t>
  </si>
  <si>
    <t>noel@nrtoone.com</t>
  </si>
  <si>
    <t>PE8 4QH</t>
  </si>
  <si>
    <t>5 Sondes Close</t>
  </si>
  <si>
    <t>Toone</t>
  </si>
  <si>
    <t>steve.tookies@hotmail.co.uk</t>
  </si>
  <si>
    <t>vtta</t>
  </si>
  <si>
    <t>AL3 7PG</t>
  </si>
  <si>
    <t>Redbourn</t>
  </si>
  <si>
    <t>23, Cumberland Road</t>
  </si>
  <si>
    <t>Tooke</t>
  </si>
  <si>
    <t>steve.tonge12558@ntlworld.com</t>
  </si>
  <si>
    <t>Salford Cycling Club</t>
  </si>
  <si>
    <t>BL4 7QU</t>
  </si>
  <si>
    <t>20 Matlock Close</t>
  </si>
  <si>
    <t>Tonge</t>
  </si>
  <si>
    <t>mtomo1980@aol.com</t>
  </si>
  <si>
    <t>PE2 5XD</t>
  </si>
  <si>
    <t>Cambridgeshire, England</t>
  </si>
  <si>
    <t>Orton Waterville</t>
  </si>
  <si>
    <t>20 Cherryfields, Ham Lane,</t>
  </si>
  <si>
    <t>Tomlinson</t>
  </si>
  <si>
    <t>p.tomlin@btinternet.com</t>
  </si>
  <si>
    <t>RG25 3HS</t>
  </si>
  <si>
    <t>BASINGSTOKE</t>
  </si>
  <si>
    <t>30 Winchester Street</t>
  </si>
  <si>
    <t>The Limes</t>
  </si>
  <si>
    <t>Tomlin</t>
  </si>
  <si>
    <t>carlotoledo@icloud.com</t>
  </si>
  <si>
    <t>GL1 5LR</t>
  </si>
  <si>
    <t>4 Morelands Grove</t>
  </si>
  <si>
    <t>Toledo</t>
  </si>
  <si>
    <t>Antonio</t>
  </si>
  <si>
    <t>Carlo</t>
  </si>
  <si>
    <t>jessietitcombe2019@outlook.com</t>
  </si>
  <si>
    <t>CTC</t>
  </si>
  <si>
    <t>SN2 1AX</t>
  </si>
  <si>
    <t>32 Norman Road</t>
  </si>
  <si>
    <t>Titcombe</t>
  </si>
  <si>
    <t>Jesse</t>
  </si>
  <si>
    <t>ptippett2019@gmail.com</t>
  </si>
  <si>
    <t>RH10 5AZ</t>
  </si>
  <si>
    <t>36 Boswell Road</t>
  </si>
  <si>
    <t>Tippett</t>
  </si>
  <si>
    <t>doug.tincello@gmail.com</t>
  </si>
  <si>
    <t>welland valley</t>
  </si>
  <si>
    <t>LE8 0SN</t>
  </si>
  <si>
    <t>Kibworth Harcourt</t>
  </si>
  <si>
    <t>98 Dairy Way</t>
  </si>
  <si>
    <t>Tincello</t>
  </si>
  <si>
    <t>mactimmis@hotmail.co.uk</t>
  </si>
  <si>
    <t>Bromsgrove Olympique CC</t>
  </si>
  <si>
    <t>B61 0DW</t>
  </si>
  <si>
    <t>4 Victoria Road</t>
  </si>
  <si>
    <t>Timmis</t>
  </si>
  <si>
    <t>sportiverob@gmail.com</t>
  </si>
  <si>
    <t>St.Ives CC</t>
  </si>
  <si>
    <t>PE26 2TB</t>
  </si>
  <si>
    <t>Ramsey St.Marys</t>
  </si>
  <si>
    <t>211, Herne Road</t>
  </si>
  <si>
    <t>Tillott</t>
  </si>
  <si>
    <t>jtiffany13@gmail.com</t>
  </si>
  <si>
    <t>HG1 3DF</t>
  </si>
  <si>
    <t>14 Old Barber</t>
  </si>
  <si>
    <t>Tiffany</t>
  </si>
  <si>
    <t>ptibbitt@btinternet.com</t>
  </si>
  <si>
    <t>CB23 2NG</t>
  </si>
  <si>
    <t>May House Church Lane</t>
  </si>
  <si>
    <t>Tibbitts</t>
  </si>
  <si>
    <t>mark.thurlow@hotmail.co.uk</t>
  </si>
  <si>
    <t>Cm13 1hz</t>
  </si>
  <si>
    <t>14 Rosemead Gardens</t>
  </si>
  <si>
    <t>Thurlow</t>
  </si>
  <si>
    <t>mike@polarchallenge.org</t>
  </si>
  <si>
    <t>NG147FW</t>
  </si>
  <si>
    <t>NOTTS</t>
  </si>
  <si>
    <t>THURGARTON</t>
  </si>
  <si>
    <t>BLEASBY ROAD</t>
  </si>
  <si>
    <t>BLUEBELL BARN</t>
  </si>
  <si>
    <t>Thornewill</t>
  </si>
  <si>
    <t>tomthornely@hotmail.co.uk</t>
  </si>
  <si>
    <t>FTP (Fulfil The Potential) Race Team</t>
  </si>
  <si>
    <t>SK23 6EJ</t>
  </si>
  <si>
    <t>Whitehough, Chinley</t>
  </si>
  <si>
    <t>Lymbrook</t>
  </si>
  <si>
    <t>Thornely</t>
  </si>
  <si>
    <t>vitessecoach@gmail.com</t>
  </si>
  <si>
    <t>Beeston CC</t>
  </si>
  <si>
    <t>LS25 6GD</t>
  </si>
  <si>
    <t>Sherburn in Elmet</t>
  </si>
  <si>
    <t xml:space="preserve">28 Brunswick Crescent </t>
  </si>
  <si>
    <t>Thorley</t>
  </si>
  <si>
    <t>stu190974@yahoo.co.uk</t>
  </si>
  <si>
    <t>SP10 2HQ</t>
  </si>
  <si>
    <t>22 Picton Road</t>
  </si>
  <si>
    <t>denisthompson11@gmail.com</t>
  </si>
  <si>
    <t>OL12 9RA</t>
  </si>
  <si>
    <t>Thimble Close</t>
  </si>
  <si>
    <t>147 The Thimbles</t>
  </si>
  <si>
    <t>anagram1212@btinternet.com</t>
  </si>
  <si>
    <t>SG4 8BS</t>
  </si>
  <si>
    <t>1 Chime Dell</t>
  </si>
  <si>
    <t>ML3 7PF</t>
  </si>
  <si>
    <t>HAMILTON</t>
  </si>
  <si>
    <t>204 Silvertonhill Avenue</t>
  </si>
  <si>
    <t>ben.thomas3@outlook.com</t>
  </si>
  <si>
    <t>SWRC</t>
  </si>
  <si>
    <t>KT24 5SN</t>
  </si>
  <si>
    <t>Effingham</t>
  </si>
  <si>
    <t>Orestan Lane</t>
  </si>
  <si>
    <t>Simla</t>
  </si>
  <si>
    <t>les.thomas_4@btinternet.com</t>
  </si>
  <si>
    <t>CF36 3NR</t>
  </si>
  <si>
    <t xml:space="preserve">Porthcawl </t>
  </si>
  <si>
    <t xml:space="preserve">Nottage </t>
  </si>
  <si>
    <t>1 St Brides Close</t>
  </si>
  <si>
    <t>tomo299@hotmail.co.uk</t>
  </si>
  <si>
    <t>DN37 0JG</t>
  </si>
  <si>
    <t>8 Ings Lane</t>
  </si>
  <si>
    <t>thmkev2@aol.com</t>
  </si>
  <si>
    <t>Pontypool Road Cycling Club</t>
  </si>
  <si>
    <t>NP11 3GP</t>
  </si>
  <si>
    <t>Croespenmaen</t>
  </si>
  <si>
    <t>3 Pendinas Avenue</t>
  </si>
  <si>
    <t>thomas</t>
  </si>
  <si>
    <t>kevin</t>
  </si>
  <si>
    <t>bigmarkthomas@btinternet.com</t>
  </si>
  <si>
    <t>Bigfoot CC</t>
  </si>
  <si>
    <t>CR0 7SJ</t>
  </si>
  <si>
    <t>66 Ash Tree Way</t>
  </si>
  <si>
    <t>jthayne2@ntlworld.com</t>
  </si>
  <si>
    <t>G61 3QJ</t>
  </si>
  <si>
    <t>14 Hillside Drive</t>
  </si>
  <si>
    <t>Thayne</t>
  </si>
  <si>
    <t>Johan</t>
  </si>
  <si>
    <t>Hottyhotston@yahoo.co.uk</t>
  </si>
  <si>
    <t>BN13 3AL</t>
  </si>
  <si>
    <t xml:space="preserve">Worthing </t>
  </si>
  <si>
    <t xml:space="preserve">25 Hayling Rise </t>
  </si>
  <si>
    <t>Thatcher</t>
  </si>
  <si>
    <t>itmanager@vtta.org.uk</t>
  </si>
  <si>
    <t>AB99 1ZZ</t>
  </si>
  <si>
    <t>TestCounty</t>
  </si>
  <si>
    <t>TestTown</t>
  </si>
  <si>
    <t>TestLine2</t>
  </si>
  <si>
    <t>TestLine1</t>
  </si>
  <si>
    <t>Joint Membership - Test group</t>
  </si>
  <si>
    <t>TestLastNameJ2</t>
  </si>
  <si>
    <t>TestFirstNameJ2</t>
  </si>
  <si>
    <t>TestClub</t>
  </si>
  <si>
    <t>TestLastNameJ1</t>
  </si>
  <si>
    <t>TestFirstNameJ1</t>
  </si>
  <si>
    <t>AB12 3XY</t>
  </si>
  <si>
    <t>TestLastName9</t>
  </si>
  <si>
    <t>TestFirstName9</t>
  </si>
  <si>
    <t>jdasimpkins@gmail.com</t>
  </si>
  <si>
    <t>SO99 999</t>
  </si>
  <si>
    <t>1 Wellington Drive</t>
  </si>
  <si>
    <t>TestLastName8</t>
  </si>
  <si>
    <t>TestFirstName8</t>
  </si>
  <si>
    <t>jon.fairclough37@gmail.com</t>
  </si>
  <si>
    <t>GU23 6PF</t>
  </si>
  <si>
    <t>Ockham</t>
  </si>
  <si>
    <t>6 Test Street</t>
  </si>
  <si>
    <t>TestLastName6</t>
  </si>
  <si>
    <t>TestFirstName6</t>
  </si>
  <si>
    <t>chairman@vtta.org.uk</t>
  </si>
  <si>
    <t>TL20 5TT</t>
  </si>
  <si>
    <t>5 Test Street</t>
  </si>
  <si>
    <t>TestLastName5</t>
  </si>
  <si>
    <t>TestFirstName5</t>
  </si>
  <si>
    <t>jon.fairclough@btinternet.com</t>
  </si>
  <si>
    <t>AB1 2CD</t>
  </si>
  <si>
    <t>TestLine4</t>
  </si>
  <si>
    <t>TestLine3</t>
  </si>
  <si>
    <t>HLM - Individual Membership - Test group</t>
  </si>
  <si>
    <t>TestLastName4</t>
  </si>
  <si>
    <t>TestFirstName4</t>
  </si>
  <si>
    <t>Individual Membership (No Veteran) - Test group</t>
  </si>
  <si>
    <t>TestLastName21</t>
  </si>
  <si>
    <t>TestFirstName21</t>
  </si>
  <si>
    <t>TestLastName20</t>
  </si>
  <si>
    <t>TestFirstName20</t>
  </si>
  <si>
    <t>TestLastName2</t>
  </si>
  <si>
    <t>TestFirstName2</t>
  </si>
  <si>
    <t>info@vtta.org.uk</t>
  </si>
  <si>
    <t>Testcode</t>
  </si>
  <si>
    <t>Testline3</t>
  </si>
  <si>
    <t>Testline2</t>
  </si>
  <si>
    <t>Testline1</t>
  </si>
  <si>
    <t>TestLastName101</t>
  </si>
  <si>
    <t>TestFirstName101</t>
  </si>
  <si>
    <t>jon.fairclough@live.com</t>
  </si>
  <si>
    <t>TestLastName1</t>
  </si>
  <si>
    <t>TestFirstName1</t>
  </si>
  <si>
    <t xml:space="preserve">Standards: Unlimited attempts at any distance </t>
  </si>
  <si>
    <t>markbradley@outlook.com</t>
  </si>
  <si>
    <t>Ihavenoclub</t>
  </si>
  <si>
    <t>Ex31 1AA</t>
  </si>
  <si>
    <t>1 Acacia Avenue</t>
  </si>
  <si>
    <t>Testcase</t>
  </si>
  <si>
    <t>Ima</t>
  </si>
  <si>
    <t>LS9 0AE</t>
  </si>
  <si>
    <t>15 Charles Avenue</t>
  </si>
  <si>
    <t>Tempest</t>
  </si>
  <si>
    <t>sandra.ted@talktalk.net</t>
  </si>
  <si>
    <t>GL3 3AN</t>
  </si>
  <si>
    <t>Hucclecote</t>
  </si>
  <si>
    <t>12 Insley Gardens</t>
  </si>
  <si>
    <t>Tedaldi</t>
  </si>
  <si>
    <t>j.tebbutt32@gmail.com</t>
  </si>
  <si>
    <t>BS20 7PZ</t>
  </si>
  <si>
    <t>The Village Quarter</t>
  </si>
  <si>
    <t>18 Bunting Lane</t>
  </si>
  <si>
    <t>mim.taylor@virginmedia.com</t>
  </si>
  <si>
    <t>Bedfordshire Road Race Team</t>
  </si>
  <si>
    <t>Mk42 8NY</t>
  </si>
  <si>
    <t>Kempston</t>
  </si>
  <si>
    <t>41 Park Road</t>
  </si>
  <si>
    <t>Taylor-Carter</t>
  </si>
  <si>
    <t>Miriam</t>
  </si>
  <si>
    <t>stephenltaylor@proton.me</t>
  </si>
  <si>
    <t>N7 6AU</t>
  </si>
  <si>
    <t>32a Eburne</t>
  </si>
  <si>
    <t>sstaylor69@mac.com</t>
  </si>
  <si>
    <t>Manchester Triathlon Club</t>
  </si>
  <si>
    <t>M20 4TY</t>
  </si>
  <si>
    <t>136 Parkville Road</t>
  </si>
  <si>
    <t>theresa-taylor1@hotmail.co.uk</t>
  </si>
  <si>
    <t>PR2 1PG</t>
  </si>
  <si>
    <t>Lea, Preston</t>
  </si>
  <si>
    <t>Sutton Drive</t>
  </si>
  <si>
    <t>19 Bay Tree Farm</t>
  </si>
  <si>
    <t>nifty141@gmail.com</t>
  </si>
  <si>
    <t>Metropolitan Police CC</t>
  </si>
  <si>
    <t>EN10 7TA</t>
  </si>
  <si>
    <t>BROXBOURNE</t>
  </si>
  <si>
    <t>79, Pulham Avenue</t>
  </si>
  <si>
    <t>scotttyryu@gmail.com</t>
  </si>
  <si>
    <t>FY5 1RU</t>
  </si>
  <si>
    <t>Thornton-Cleveleys</t>
  </si>
  <si>
    <t>50 Clovelly Ave</t>
  </si>
  <si>
    <t>taylor</t>
  </si>
  <si>
    <t>scott</t>
  </si>
  <si>
    <t>rtaylor023@aol.com</t>
  </si>
  <si>
    <t xml:space="preserve">OL16 3XA </t>
  </si>
  <si>
    <t xml:space="preserve">Milnrow </t>
  </si>
  <si>
    <t xml:space="preserve">15 Tame Barn Close </t>
  </si>
  <si>
    <t>mrs_karen_taylor@hotmail.com</t>
  </si>
  <si>
    <t>BD17 7LZ</t>
  </si>
  <si>
    <t>5 Thompson Lane</t>
  </si>
  <si>
    <t>rolyat53.dt@googlemail.com</t>
  </si>
  <si>
    <t>WF10 3HN</t>
  </si>
  <si>
    <t>21 Smithson Avenue</t>
  </si>
  <si>
    <t>apilarry@btinternet.com</t>
  </si>
  <si>
    <t>IP9 2JH</t>
  </si>
  <si>
    <t>Capel St Mary</t>
  </si>
  <si>
    <t>4 The Parkins</t>
  </si>
  <si>
    <t>Glenn</t>
  </si>
  <si>
    <t>uncle.bob@me.com</t>
  </si>
  <si>
    <t>G82 1AJ</t>
  </si>
  <si>
    <t>Dumbarton</t>
  </si>
  <si>
    <t>3 Castle Road</t>
  </si>
  <si>
    <t>GU14 0JH</t>
  </si>
  <si>
    <t>Farnborough</t>
  </si>
  <si>
    <t>c/o 57 Southwood Road,Cove</t>
  </si>
  <si>
    <t xml:space="preserve">Hants	</t>
  </si>
  <si>
    <t xml:space="preserve"> Cove</t>
  </si>
  <si>
    <t xml:space="preserve">57 Southwood Road			</t>
  </si>
  <si>
    <t>rogertaylor120@hotmail.co.uk</t>
  </si>
  <si>
    <t>BA15 1TE</t>
  </si>
  <si>
    <t>4 Leigh Park Road</t>
  </si>
  <si>
    <t>roger</t>
  </si>
  <si>
    <t>LE16 8LW</t>
  </si>
  <si>
    <t>Braybrooke</t>
  </si>
  <si>
    <t>2 Newlands Street</t>
  </si>
  <si>
    <t>LM - Individual Membership - Midlands</t>
  </si>
  <si>
    <t>peter.tasker916@btinternet.com</t>
  </si>
  <si>
    <t>LU6 1QS</t>
  </si>
  <si>
    <t>Totternhoe</t>
  </si>
  <si>
    <t>38 Wellhead Road</t>
  </si>
  <si>
    <t>ptargett@yahoo.com</t>
  </si>
  <si>
    <t>BB12 6AD</t>
  </si>
  <si>
    <t>BURNLEY</t>
  </si>
  <si>
    <t>Wiltshire Avenue</t>
  </si>
  <si>
    <t>Targett</t>
  </si>
  <si>
    <t>edward_tarelli1@hotmail.com</t>
  </si>
  <si>
    <t>Race Hub</t>
  </si>
  <si>
    <t>LE7 4WB</t>
  </si>
  <si>
    <t>Gaddesby</t>
  </si>
  <si>
    <t>8 Chapel Lane</t>
  </si>
  <si>
    <t>Tarelli</t>
  </si>
  <si>
    <t>adrianmtalley@gmail.com</t>
  </si>
  <si>
    <t>PO7 6YA</t>
  </si>
  <si>
    <t>35 The Willows</t>
  </si>
  <si>
    <t>Talley</t>
  </si>
  <si>
    <t>cheryl.quigley@boots.com</t>
  </si>
  <si>
    <t>8 Lea Close,</t>
  </si>
  <si>
    <t>m.r.symons@hotmail.com</t>
  </si>
  <si>
    <t>bobsymons67@gmail.com</t>
  </si>
  <si>
    <t>BS16 9RW</t>
  </si>
  <si>
    <t>Pucklechurch</t>
  </si>
  <si>
    <t>67 Birch Drive</t>
  </si>
  <si>
    <t>chrissymonds1973@gmail.com</t>
  </si>
  <si>
    <t>N18 1RS</t>
  </si>
  <si>
    <t>123 Warwick Road</t>
  </si>
  <si>
    <t>Symonds</t>
  </si>
  <si>
    <t>swinny65@gmail.com</t>
  </si>
  <si>
    <t>HG4 1LX</t>
  </si>
  <si>
    <t>Ripon</t>
  </si>
  <si>
    <t>33a St Marygate</t>
  </si>
  <si>
    <t>Blackburn House</t>
  </si>
  <si>
    <t>Swinscoe</t>
  </si>
  <si>
    <t>BA6 9AA</t>
  </si>
  <si>
    <t>Glastonbury</t>
  </si>
  <si>
    <t>6 Avalon Estate</t>
  </si>
  <si>
    <t>Woodlands</t>
  </si>
  <si>
    <t>peteswetman@tiscali.co.uk</t>
  </si>
  <si>
    <t>KT18 7HX</t>
  </si>
  <si>
    <t>5 The Greenway</t>
  </si>
  <si>
    <t>Swetman</t>
  </si>
  <si>
    <t>robert.sweatman@btinternet.com</t>
  </si>
  <si>
    <t>PO9 1RP</t>
  </si>
  <si>
    <t>Havant</t>
  </si>
  <si>
    <t>7 Hamilton Close</t>
  </si>
  <si>
    <t>Sweatman</t>
  </si>
  <si>
    <t>angus.swanson@yahoo.co.uk</t>
  </si>
  <si>
    <t>FK8 1UL</t>
  </si>
  <si>
    <t>Riverside</t>
  </si>
  <si>
    <t>21 Argyle Avenue</t>
  </si>
  <si>
    <t>Swanson</t>
  </si>
  <si>
    <t>jswanbury@tiscali.co.uk</t>
  </si>
  <si>
    <t>NR33 0LH</t>
  </si>
  <si>
    <t>1, St.Peters Road,</t>
  </si>
  <si>
    <t>Swanbury</t>
  </si>
  <si>
    <t>briandor@uwclub.net</t>
  </si>
  <si>
    <t>IP27 9DJ</t>
  </si>
  <si>
    <t>Lakenheath</t>
  </si>
  <si>
    <t>5 Warreners Reach</t>
  </si>
  <si>
    <t>Swallow</t>
  </si>
  <si>
    <t>daveswales2@talktalk.net</t>
  </si>
  <si>
    <t>Birkenhead CC</t>
  </si>
  <si>
    <t>CH63 0JX</t>
  </si>
  <si>
    <t>45 Cunningham Drive</t>
  </si>
  <si>
    <t>Swales</t>
  </si>
  <si>
    <t>w.suttie142@btinternet.com</t>
  </si>
  <si>
    <t>SL5 8TL</t>
  </si>
  <si>
    <t>Ascot</t>
  </si>
  <si>
    <t xml:space="preserve">3 Halley Drive				</t>
  </si>
  <si>
    <t>Suttie</t>
  </si>
  <si>
    <t>stuartsupple@yahoo.co.uk</t>
  </si>
  <si>
    <t xml:space="preserve">Sole Bay Cycle sport </t>
  </si>
  <si>
    <t>NR34 7UW</t>
  </si>
  <si>
    <t>Mutford, Beccles</t>
  </si>
  <si>
    <t>Mutford</t>
  </si>
  <si>
    <t>Two Hoots, Hulver Road</t>
  </si>
  <si>
    <t>Supple</t>
  </si>
  <si>
    <t>sunterbrian@yahoo.com</t>
  </si>
  <si>
    <t>HX4 8PR</t>
  </si>
  <si>
    <t>Greetland</t>
  </si>
  <si>
    <t>Dog Lane</t>
  </si>
  <si>
    <t>4 Bankhead</t>
  </si>
  <si>
    <t>Sunter</t>
  </si>
  <si>
    <t>jen.summers@hotmail.co.uk</t>
  </si>
  <si>
    <t>SO16 4DL</t>
  </si>
  <si>
    <t>97 King Edward Avenue</t>
  </si>
  <si>
    <t>gail.gs59@gmail.com</t>
  </si>
  <si>
    <t>NG10 5HQ</t>
  </si>
  <si>
    <t>Sandiacre</t>
  </si>
  <si>
    <t>19 The Paddocks</t>
  </si>
  <si>
    <t>Summerlin</t>
  </si>
  <si>
    <t>railgrinder32@gmail.com</t>
  </si>
  <si>
    <t xml:space="preserve">Cardiff Ajax </t>
  </si>
  <si>
    <t>Mk443hx</t>
  </si>
  <si>
    <t xml:space="preserve">Bedfordshire </t>
  </si>
  <si>
    <t xml:space="preserve">Great barford </t>
  </si>
  <si>
    <t xml:space="preserve">32 silver street </t>
  </si>
  <si>
    <t xml:space="preserve">Sullivan </t>
  </si>
  <si>
    <t xml:space="preserve">Howard </t>
  </si>
  <si>
    <t>cazzasullivan@sky.com</t>
  </si>
  <si>
    <t xml:space="preserve">Monmouthshire wheelers </t>
  </si>
  <si>
    <t xml:space="preserve">Cf611rq </t>
  </si>
  <si>
    <t xml:space="preserve">Llantwit major </t>
  </si>
  <si>
    <t xml:space="preserve">7 highmeadow </t>
  </si>
  <si>
    <t xml:space="preserve">Caroline </t>
  </si>
  <si>
    <t>msturge@btinternet.com</t>
  </si>
  <si>
    <t>CH4 8HW</t>
  </si>
  <si>
    <t>10 Edwards Road</t>
  </si>
  <si>
    <t>Sturge</t>
  </si>
  <si>
    <t>staceystump68@gmail.com</t>
  </si>
  <si>
    <t>Clifton CC York</t>
  </si>
  <si>
    <t xml:space="preserve">YO31 8WD </t>
  </si>
  <si>
    <t xml:space="preserve">11 Gladstone street </t>
  </si>
  <si>
    <t>Stump</t>
  </si>
  <si>
    <t>TS22 5BG</t>
  </si>
  <si>
    <t>Billingham</t>
  </si>
  <si>
    <t>110 Whitehouse Road</t>
  </si>
  <si>
    <t>sprint_finish_andy@yahoo.co.uk</t>
  </si>
  <si>
    <t>Velo Club St Raphael</t>
  </si>
  <si>
    <t>CB21 4SB</t>
  </si>
  <si>
    <t>West Wickham</t>
  </si>
  <si>
    <t>86 High Street</t>
  </si>
  <si>
    <t>darylrhstroud@icloud.com</t>
  </si>
  <si>
    <t>GL4 5WP</t>
  </si>
  <si>
    <t xml:space="preserve">Abbeymead </t>
  </si>
  <si>
    <t xml:space="preserve">62 The Oaks </t>
  </si>
  <si>
    <t>Richard Henry</t>
  </si>
  <si>
    <t>jon@jonstroudmedia.com</t>
  </si>
  <si>
    <t>NFTO CC</t>
  </si>
  <si>
    <t>HR2 0AR</t>
  </si>
  <si>
    <t>Bacton</t>
  </si>
  <si>
    <t>The Cwm</t>
  </si>
  <si>
    <t>philip.strongman1@gmail.com</t>
  </si>
  <si>
    <t>OX18 3SX</t>
  </si>
  <si>
    <t>Carterton</t>
  </si>
  <si>
    <t>22 Davis Close</t>
  </si>
  <si>
    <t>Strongman</t>
  </si>
  <si>
    <t>bazstreet.street24@googlemail.com</t>
  </si>
  <si>
    <t>7 RIFLES</t>
  </si>
  <si>
    <t>SG18 8RJ</t>
  </si>
  <si>
    <t>BEDFORDSHIRE</t>
  </si>
  <si>
    <t>BIGGLESWADE</t>
  </si>
  <si>
    <t>Dunton</t>
  </si>
  <si>
    <t>1 Newton</t>
  </si>
  <si>
    <t>Baz</t>
  </si>
  <si>
    <t>pdqcyclecoaching@gmail.com</t>
  </si>
  <si>
    <t>BS14 0BU</t>
  </si>
  <si>
    <t>Whitwood Farm</t>
  </si>
  <si>
    <t>The Swallows Nest</t>
  </si>
  <si>
    <t>Streather</t>
  </si>
  <si>
    <t>stotta09@gmail.com</t>
  </si>
  <si>
    <t>YO25 9TH</t>
  </si>
  <si>
    <t>Driffield</t>
  </si>
  <si>
    <t>6, Damson Garth</t>
  </si>
  <si>
    <t>Stott</t>
  </si>
  <si>
    <t>keithstorey1961@aol.com</t>
  </si>
  <si>
    <t>LS25 2NQ</t>
  </si>
  <si>
    <t xml:space="preserve">Garforth </t>
  </si>
  <si>
    <t xml:space="preserve">19 glamis close </t>
  </si>
  <si>
    <t>Storey</t>
  </si>
  <si>
    <t>Stefans@francis-stone.com</t>
  </si>
  <si>
    <t>TN13 1RR</t>
  </si>
  <si>
    <t>White Hart Wood</t>
  </si>
  <si>
    <t>Stefan</t>
  </si>
  <si>
    <t>SN3 1AZ</t>
  </si>
  <si>
    <t>552 Queens Drive</t>
  </si>
  <si>
    <t>Stollery</t>
  </si>
  <si>
    <t>Deeble</t>
  </si>
  <si>
    <t>andrew@nest-home.co.uk</t>
  </si>
  <si>
    <t>SK17 9NH</t>
  </si>
  <si>
    <t xml:space="preserve">Buxton </t>
  </si>
  <si>
    <t>24 White Knowle Road</t>
  </si>
  <si>
    <t>Jen-dave@live.co.uk</t>
  </si>
  <si>
    <t>NN7 4QF</t>
  </si>
  <si>
    <t>Weedon</t>
  </si>
  <si>
    <t>4 Priory Court</t>
  </si>
  <si>
    <t>stockley</t>
  </si>
  <si>
    <t>bellin</t>
  </si>
  <si>
    <t>mark.stock64@gmail.com</t>
  </si>
  <si>
    <t>Velo Long Eaton</t>
  </si>
  <si>
    <t>LE12 9QQ</t>
  </si>
  <si>
    <t>Shepshed</t>
  </si>
  <si>
    <t>53 Griffin Close</t>
  </si>
  <si>
    <t>Stock</t>
  </si>
  <si>
    <t>alan_stidwell@hotmail.com</t>
  </si>
  <si>
    <t>Duchy Velo</t>
  </si>
  <si>
    <t>PL30 4EG</t>
  </si>
  <si>
    <t>Cardinham</t>
  </si>
  <si>
    <t>Lower Hill Farm</t>
  </si>
  <si>
    <t>Stidwell</t>
  </si>
  <si>
    <t>joel.stewart@me.com</t>
  </si>
  <si>
    <t>HA14BW</t>
  </si>
  <si>
    <t>Harrow</t>
  </si>
  <si>
    <t>104 Drury Road</t>
  </si>
  <si>
    <t>Joel</t>
  </si>
  <si>
    <t>george-stewart472@hotmail.co.uk</t>
  </si>
  <si>
    <t>G83 9HY</t>
  </si>
  <si>
    <t>BONHILL</t>
  </si>
  <si>
    <t>472 Main Street</t>
  </si>
  <si>
    <t>mrpdstevens@gmail.com</t>
  </si>
  <si>
    <t>Ayr Burners Cycling</t>
  </si>
  <si>
    <t>KA10 7AF</t>
  </si>
  <si>
    <t>Troon</t>
  </si>
  <si>
    <t>35 Wilson Avenue</t>
  </si>
  <si>
    <t>michaeltcstevens@me.com</t>
  </si>
  <si>
    <t>PO16 8UD</t>
  </si>
  <si>
    <t>56 Furzehall Avenue</t>
  </si>
  <si>
    <t>Trevor C</t>
  </si>
  <si>
    <t>spudstevens49@icloud.com</t>
  </si>
  <si>
    <t xml:space="preserve">LE13 0NP </t>
  </si>
  <si>
    <t xml:space="preserve">25 Nottingham Road </t>
  </si>
  <si>
    <t xml:space="preserve">Stevens </t>
  </si>
  <si>
    <t xml:space="preserve">Standards: Solo Bike: unlimited attempts at any distance Standards: Solo Bike: unlimited attempts at any distance Standards: Solo Bike: unlimited attempts at any distance </t>
  </si>
  <si>
    <t>iriskenstevens@gmail.com</t>
  </si>
  <si>
    <t>DE65 6NF</t>
  </si>
  <si>
    <t>Etwall</t>
  </si>
  <si>
    <t>45 The Bancroft</t>
  </si>
  <si>
    <t>Iris</t>
  </si>
  <si>
    <t>ironmat05@hotmail.com</t>
  </si>
  <si>
    <t>CW12 2FP</t>
  </si>
  <si>
    <t>22 Davenshaw drive</t>
  </si>
  <si>
    <t>alideykin1969@hotmail.co.uk</t>
  </si>
  <si>
    <t>mustangstelly@aol.com</t>
  </si>
  <si>
    <t>PR5  4UQ</t>
  </si>
  <si>
    <t>Walton-le-Dale</t>
  </si>
  <si>
    <t>33 Danesway</t>
  </si>
  <si>
    <t>Stell</t>
  </si>
  <si>
    <t>henriksteinbrecher@hotmail.com</t>
  </si>
  <si>
    <t>TriTeamWessex</t>
  </si>
  <si>
    <t>SO52 9AG</t>
  </si>
  <si>
    <t>North Baddelsey</t>
  </si>
  <si>
    <t>Bridge House</t>
  </si>
  <si>
    <t>Steinbrecher</t>
  </si>
  <si>
    <t>Henrik</t>
  </si>
  <si>
    <t>d.skid@ntlworld.com</t>
  </si>
  <si>
    <t>ST5 8QX</t>
  </si>
  <si>
    <t>Newcastle-u-Lyme</t>
  </si>
  <si>
    <t>Post Hill</t>
  </si>
  <si>
    <t>15 The Limes</t>
  </si>
  <si>
    <t>matsby1@hotmail.co.uk</t>
  </si>
  <si>
    <t>Pronto Bikes</t>
  </si>
  <si>
    <t>SS1 3QY</t>
  </si>
  <si>
    <t>Thorpe Bay</t>
  </si>
  <si>
    <t>108 Broadclyst Gardens</t>
  </si>
  <si>
    <t>Steel</t>
  </si>
  <si>
    <t>radfordmill@aol.com</t>
  </si>
  <si>
    <t>HR1 3RN</t>
  </si>
  <si>
    <t>Ocle Pychard</t>
  </si>
  <si>
    <t>Ocle Mead</t>
  </si>
  <si>
    <t>The Oast House</t>
  </si>
  <si>
    <t>STEEL</t>
  </si>
  <si>
    <t>starkalan@yahoo.co.uk</t>
  </si>
  <si>
    <t>PR25 2GH</t>
  </si>
  <si>
    <t>10 Bannister Drive</t>
  </si>
  <si>
    <t>Stark</t>
  </si>
  <si>
    <t>CR5 1QU</t>
  </si>
  <si>
    <t>Old Coulsdon</t>
  </si>
  <si>
    <t>16 Shirley Avenue</t>
  </si>
  <si>
    <t>Stapley</t>
  </si>
  <si>
    <t>CO9 4EE</t>
  </si>
  <si>
    <t>Great Yeldham</t>
  </si>
  <si>
    <t>35 Whitlock Drive</t>
  </si>
  <si>
    <t>antony@totalvelo.co.uk</t>
  </si>
  <si>
    <t>Parenesis Toughuman Cycling</t>
  </si>
  <si>
    <t>lozstaples@hotmail.co.uk</t>
  </si>
  <si>
    <t xml:space="preserve">Pe2 6sp </t>
  </si>
  <si>
    <t>Orton Southgate</t>
  </si>
  <si>
    <t>42 Balintore Rise</t>
  </si>
  <si>
    <t xml:space="preserve">Staples </t>
  </si>
  <si>
    <t>Loz</t>
  </si>
  <si>
    <t>stantonburrow@katamail.com</t>
  </si>
  <si>
    <t>DN22 7LB</t>
  </si>
  <si>
    <t>72 Hallcroft Road</t>
  </si>
  <si>
    <t>martin.stanley10@gmail.com</t>
  </si>
  <si>
    <t>OX11 7YG</t>
  </si>
  <si>
    <t>53 Brunstock Beck</t>
  </si>
  <si>
    <t>mocc@sky.com</t>
  </si>
  <si>
    <t>LE13 1LW</t>
  </si>
  <si>
    <t>16 Kipling Drive</t>
  </si>
  <si>
    <t>m.standeven@hotmail.co.uk</t>
  </si>
  <si>
    <t>S73 9RA</t>
  </si>
  <si>
    <t>Darfield</t>
  </si>
  <si>
    <t>10 Salerno Way</t>
  </si>
  <si>
    <t>Standeven</t>
  </si>
  <si>
    <t>geoff.stanbridge@gmail.com</t>
  </si>
  <si>
    <t>LE8 6LU</t>
  </si>
  <si>
    <t>46 The Nook</t>
  </si>
  <si>
    <t xml:space="preserve">Stanbridge </t>
  </si>
  <si>
    <t>annie@gpamail.co.uk</t>
  </si>
  <si>
    <t>DE14 1NB</t>
  </si>
  <si>
    <t>Guild Street</t>
  </si>
  <si>
    <t>School Board House</t>
  </si>
  <si>
    <t>Staley</t>
  </si>
  <si>
    <t>k.stacey@draycote.net</t>
  </si>
  <si>
    <t>WA16 8LS</t>
  </si>
  <si>
    <t>'Draycote', Legh Road</t>
  </si>
  <si>
    <t>mickstleger1@gmail.com</t>
  </si>
  <si>
    <t>a3crg....</t>
  </si>
  <si>
    <t>mikespurr80@yahoo.com</t>
  </si>
  <si>
    <t>LE7 7JG</t>
  </si>
  <si>
    <t>Thurcaston</t>
  </si>
  <si>
    <t>6 Leicester Road</t>
  </si>
  <si>
    <t>Spurr</t>
  </si>
  <si>
    <t>edspurgeon42@gmail.com</t>
  </si>
  <si>
    <t>CO6 3LB</t>
  </si>
  <si>
    <t>West Bergholt</t>
  </si>
  <si>
    <t>47 Albany Road</t>
  </si>
  <si>
    <t>Spurgeon</t>
  </si>
  <si>
    <t>Edmund</t>
  </si>
  <si>
    <t>alanspurden@gmail.com</t>
  </si>
  <si>
    <t>SE11 4NX</t>
  </si>
  <si>
    <t>Reedworth Street</t>
  </si>
  <si>
    <t>Flat 18, Territorial House</t>
  </si>
  <si>
    <t>Spurden</t>
  </si>
  <si>
    <t>chrisdspray@yahoo.co.uk</t>
  </si>
  <si>
    <t>LE2 9BP</t>
  </si>
  <si>
    <t>8 Lydall Road</t>
  </si>
  <si>
    <t>Spray</t>
  </si>
  <si>
    <t>Morley CC</t>
  </si>
  <si>
    <t>LS25 1HN</t>
  </si>
  <si>
    <t>Garforth</t>
  </si>
  <si>
    <t>26 Derwent Avenue</t>
  </si>
  <si>
    <t>Spink</t>
  </si>
  <si>
    <t>kevinspink4@aol.com</t>
  </si>
  <si>
    <t>N/A</t>
  </si>
  <si>
    <t xml:space="preserve">LS25 6TE </t>
  </si>
  <si>
    <t>1 Pippin Close</t>
  </si>
  <si>
    <t>greta.trikie@gmail.com</t>
  </si>
  <si>
    <t>The Tricycle Association (Midland Region)</t>
  </si>
  <si>
    <t>B50 4NX</t>
  </si>
  <si>
    <t>Bidford on Avon</t>
  </si>
  <si>
    <t>Marlcliff</t>
  </si>
  <si>
    <t>25 Cleeve Road</t>
  </si>
  <si>
    <t>Jasmine Cottage</t>
  </si>
  <si>
    <t>Spiers</t>
  </si>
  <si>
    <t>Greta</t>
  </si>
  <si>
    <t>jo.haining@gmail.com</t>
  </si>
  <si>
    <t xml:space="preserve">Swindon Wheelers </t>
  </si>
  <si>
    <t>SN25 2AU</t>
  </si>
  <si>
    <t xml:space="preserve">Swindon </t>
  </si>
  <si>
    <t xml:space="preserve">124 Redhouse Way </t>
  </si>
  <si>
    <t>JoAnn</t>
  </si>
  <si>
    <t>E.K.Wheelers</t>
  </si>
  <si>
    <t>G72 9TB</t>
  </si>
  <si>
    <t>HIGH BLANTYRE</t>
  </si>
  <si>
    <t>13 Janefield Place</t>
  </si>
  <si>
    <t>Speirs</t>
  </si>
  <si>
    <t>speersbloodstock@gmail.com</t>
  </si>
  <si>
    <t xml:space="preserve">CB8 9TZ </t>
  </si>
  <si>
    <t xml:space="preserve">Stetchworth </t>
  </si>
  <si>
    <t xml:space="preserve">Strollers Way </t>
  </si>
  <si>
    <t>Speers</t>
  </si>
  <si>
    <t>solomon.d@btinternet.com</t>
  </si>
  <si>
    <t>CB11 3QJ</t>
  </si>
  <si>
    <t>12 Chestnut Court</t>
  </si>
  <si>
    <t>Solomon</t>
  </si>
  <si>
    <t>amyrichsole@yahoo.com</t>
  </si>
  <si>
    <t>Full Moo</t>
  </si>
  <si>
    <t>CB6 1BL</t>
  </si>
  <si>
    <t>38 Downham Road</t>
  </si>
  <si>
    <t>Sole</t>
  </si>
  <si>
    <t>snowy189@aol.com</t>
  </si>
  <si>
    <t>SSVCC</t>
  </si>
  <si>
    <t>SR6 7SF</t>
  </si>
  <si>
    <t>South Tyneside</t>
  </si>
  <si>
    <t>Whitburn</t>
  </si>
  <si>
    <t>9 Shearwater</t>
  </si>
  <si>
    <t>Snowdon</t>
  </si>
  <si>
    <t>robin@russiahide.com</t>
  </si>
  <si>
    <t>Falmouth Wheelers C C</t>
  </si>
  <si>
    <t>TR11 5UL</t>
  </si>
  <si>
    <t>Falmouth</t>
  </si>
  <si>
    <t>Mylor Downs</t>
  </si>
  <si>
    <t>Fir Hill</t>
  </si>
  <si>
    <t>Snelson</t>
  </si>
  <si>
    <t>melaniesneddon@gmail.com</t>
  </si>
  <si>
    <t>RG17 9UE</t>
  </si>
  <si>
    <t>Kintbury</t>
  </si>
  <si>
    <t>14 Blandys Hill</t>
  </si>
  <si>
    <t>Sneddon</t>
  </si>
  <si>
    <t>Melanie</t>
  </si>
  <si>
    <t>jods80@gmail.com</t>
  </si>
  <si>
    <t>Develo Cycling Club</t>
  </si>
  <si>
    <t>AB45 2JW</t>
  </si>
  <si>
    <t>Portsoy</t>
  </si>
  <si>
    <t>4 Ogilvie Place</t>
  </si>
  <si>
    <t>Jodie</t>
  </si>
  <si>
    <t>gary.smithcyclist1957@outlook.com</t>
  </si>
  <si>
    <t>DY53TZ</t>
  </si>
  <si>
    <t>Lakeside</t>
  </si>
  <si>
    <t>8 Shorwell Place</t>
  </si>
  <si>
    <t>mark58smith@outlook.com</t>
  </si>
  <si>
    <t>Sharrow CC</t>
  </si>
  <si>
    <t>S32 2JN</t>
  </si>
  <si>
    <t xml:space="preserve">Hope Valley </t>
  </si>
  <si>
    <t>Grindleford</t>
  </si>
  <si>
    <t xml:space="preserve">Main Road </t>
  </si>
  <si>
    <t xml:space="preserve">Moorhurst </t>
  </si>
  <si>
    <t>suesmithinfo@gmail.com</t>
  </si>
  <si>
    <t>SN4 0FB</t>
  </si>
  <si>
    <t>Wanborough</t>
  </si>
  <si>
    <t>6 Grange Close</t>
  </si>
  <si>
    <t>alismith4@live.co.uk</t>
  </si>
  <si>
    <t xml:space="preserve">Chesterfield coureurs </t>
  </si>
  <si>
    <t>NG17 2JX</t>
  </si>
  <si>
    <t>Sutton-in-ashfield</t>
  </si>
  <si>
    <t xml:space="preserve">Huthwaite </t>
  </si>
  <si>
    <t>22 Mercia Court</t>
  </si>
  <si>
    <t>erykasmith65@gmail.com</t>
  </si>
  <si>
    <t>CT14 9NX</t>
  </si>
  <si>
    <t>39 Saint Martins Road</t>
  </si>
  <si>
    <t>Remy</t>
  </si>
  <si>
    <t>Eryka</t>
  </si>
  <si>
    <t>smithyno5@hotmail.com</t>
  </si>
  <si>
    <t xml:space="preserve">Gemini BC </t>
  </si>
  <si>
    <t>Se18 3lg</t>
  </si>
  <si>
    <t>Shooters hill</t>
  </si>
  <si>
    <t>86 Ankerdine Crescent</t>
  </si>
  <si>
    <t>bob55smith@googlemail.com</t>
  </si>
  <si>
    <t>IV30 5SS</t>
  </si>
  <si>
    <t>Hopeman</t>
  </si>
  <si>
    <t>27 Thom Street</t>
  </si>
  <si>
    <t>wayne.smith@integralegal.co.uk</t>
  </si>
  <si>
    <t>NG4 4BP</t>
  </si>
  <si>
    <t>Gedling</t>
  </si>
  <si>
    <t>4 Waterhouse Lane</t>
  </si>
  <si>
    <t>smith.lt@proton.me</t>
  </si>
  <si>
    <t>BS5 8TP</t>
  </si>
  <si>
    <t>43 Nibletts Hill</t>
  </si>
  <si>
    <t>pedaldecharm@hotmail.co.uk</t>
  </si>
  <si>
    <t>BR1 2TE</t>
  </si>
  <si>
    <t>50 Romney Drive</t>
  </si>
  <si>
    <t>andrew.smith@glasgow.ac.uk</t>
  </si>
  <si>
    <t>G77 5BX</t>
  </si>
  <si>
    <t>27 Newton Grove</t>
  </si>
  <si>
    <t>michael_smith1471@yahoo.co.uk</t>
  </si>
  <si>
    <t>PR6 9PP</t>
  </si>
  <si>
    <t>Anderton</t>
  </si>
  <si>
    <t>12 Lees Road</t>
  </si>
  <si>
    <t>YO23 3UG</t>
  </si>
  <si>
    <t>Copmanthorpe</t>
  </si>
  <si>
    <t>3 Hallcroft Lane</t>
  </si>
  <si>
    <t>mail@castlecycles.co.uk</t>
  </si>
  <si>
    <t>S44 6TY</t>
  </si>
  <si>
    <t>14 Highfield Road</t>
  </si>
  <si>
    <t>john@whitepeakexpeditions.co.uk</t>
  </si>
  <si>
    <t>Thurcroft CC</t>
  </si>
  <si>
    <t>S66 9PQ</t>
  </si>
  <si>
    <t>Thurcroft</t>
  </si>
  <si>
    <t>1 Abbotsford Drive</t>
  </si>
  <si>
    <t>sportydave11@gmail.com</t>
  </si>
  <si>
    <t>CH5 4HJ</t>
  </si>
  <si>
    <t>Deeside</t>
  </si>
  <si>
    <t>Connah's Quay</t>
  </si>
  <si>
    <t>Lakewood    11 Wepre Park</t>
  </si>
  <si>
    <t>royzone@talktalk.net</t>
  </si>
  <si>
    <t>RM16 4NX</t>
  </si>
  <si>
    <t>Chadwell St. Mary</t>
  </si>
  <si>
    <t>5, Waterson Road</t>
  </si>
  <si>
    <t>matthewrwsmith@me.com</t>
  </si>
  <si>
    <t>CB8 9JY</t>
  </si>
  <si>
    <t>Corner Cottage Brinkley Road</t>
  </si>
  <si>
    <t>John@sprucelodge.me.uk</t>
  </si>
  <si>
    <t>Crescent Wheelers CC</t>
  </si>
  <si>
    <t>CM17 0LN</t>
  </si>
  <si>
    <t>Old Harlow</t>
  </si>
  <si>
    <t>Spruce Lodge Mill Lane</t>
  </si>
  <si>
    <t>pete_smith@inbox.com</t>
  </si>
  <si>
    <t>Team Enable-M I Racing-McCann</t>
  </si>
  <si>
    <t>HP27 9JU</t>
  </si>
  <si>
    <t>Princes Risborough</t>
  </si>
  <si>
    <t>15 Dovecote Close</t>
  </si>
  <si>
    <t>ML2 0QT</t>
  </si>
  <si>
    <t>OVERTOWN</t>
  </si>
  <si>
    <t>13 Greenknow Street</t>
  </si>
  <si>
    <t>james.1545smith@gmail.com</t>
  </si>
  <si>
    <t>pa4 0uh</t>
  </si>
  <si>
    <t>RENFREW</t>
  </si>
  <si>
    <t>Deanpark</t>
  </si>
  <si>
    <t>1 Gala Avenue</t>
  </si>
  <si>
    <t>alanstevie@hotmail.com</t>
  </si>
  <si>
    <t>Gillingham and District Wheelers / Wheels Cycles</t>
  </si>
  <si>
    <t>DT10 2QZ</t>
  </si>
  <si>
    <t>Stalbridge</t>
  </si>
  <si>
    <t>Cadeby Cottage, Wood Lane,</t>
  </si>
  <si>
    <t>smith</t>
  </si>
  <si>
    <t>alan</t>
  </si>
  <si>
    <t>kathrynmsmith53@gmail.com</t>
  </si>
  <si>
    <t>NG32 3NP</t>
  </si>
  <si>
    <t>Wilsford</t>
  </si>
  <si>
    <t>14 Main Street</t>
  </si>
  <si>
    <t>LM - Individual Membership - East Midlands</t>
  </si>
  <si>
    <t>Kathryn</t>
  </si>
  <si>
    <t>smidav51@gmail.com</t>
  </si>
  <si>
    <t>Shirley Roads Club</t>
  </si>
  <si>
    <t>B93 9JG</t>
  </si>
  <si>
    <t>West MIdlands</t>
  </si>
  <si>
    <t>Knowle</t>
  </si>
  <si>
    <t>17 Austrey Close</t>
  </si>
  <si>
    <t>smee.j@sky.com</t>
  </si>
  <si>
    <t>PO18 8JA</t>
  </si>
  <si>
    <t>Bosham</t>
  </si>
  <si>
    <t>10 Mariner Terrace, Shore Road</t>
  </si>
  <si>
    <t>Smee</t>
  </si>
  <si>
    <t>stinger111@hotmail.com</t>
  </si>
  <si>
    <t xml:space="preserve">GTR RETURN TO LIFE </t>
  </si>
  <si>
    <t xml:space="preserve">KA21 6GQ </t>
  </si>
  <si>
    <t xml:space="preserve">Ayrshire </t>
  </si>
  <si>
    <t>Saltcoats</t>
  </si>
  <si>
    <t xml:space="preserve">6 Wilson place </t>
  </si>
  <si>
    <t>duncsmart@ymail.com</t>
  </si>
  <si>
    <t>YO12 4AZ</t>
  </si>
  <si>
    <t>59, Phoenix Drive</t>
  </si>
  <si>
    <t>simon@drag2zero.com</t>
  </si>
  <si>
    <t>NN13 5QF</t>
  </si>
  <si>
    <t>Helmdon</t>
  </si>
  <si>
    <t>Grange Farm Barn</t>
  </si>
  <si>
    <t>drredshank@gmail.com</t>
  </si>
  <si>
    <t>KY91JE</t>
  </si>
  <si>
    <t>Largoward</t>
  </si>
  <si>
    <t>Lathones</t>
  </si>
  <si>
    <t>Aranden</t>
  </si>
  <si>
    <t>pjsmalley@btinternet.com</t>
  </si>
  <si>
    <t>BB1 9JG</t>
  </si>
  <si>
    <t>Clayton le Dale</t>
  </si>
  <si>
    <t>15 Maple Close</t>
  </si>
  <si>
    <t>greystone.small@gmail.com</t>
  </si>
  <si>
    <t>Yorkshire Coast Clarion CC</t>
  </si>
  <si>
    <t>YO15 3AZ</t>
  </si>
  <si>
    <t>31 Hilderthorpe Road</t>
  </si>
  <si>
    <t>St. Clair</t>
  </si>
  <si>
    <t>Greystone</t>
  </si>
  <si>
    <t>iansmall12@hotmail.com</t>
  </si>
  <si>
    <t>M33 4LE</t>
  </si>
  <si>
    <t>34 Hartford Road</t>
  </si>
  <si>
    <t>jimsloan46@sky.com</t>
  </si>
  <si>
    <t>Denny R.C.</t>
  </si>
  <si>
    <t>FK3 8TH</t>
  </si>
  <si>
    <t>GRANGEMOUTH</t>
  </si>
  <si>
    <t>8 Mountbatten Street</t>
  </si>
  <si>
    <t>Individual Membership (No Veteran) - Scotland</t>
  </si>
  <si>
    <t>slatessixtyseven@gmail.com</t>
  </si>
  <si>
    <t xml:space="preserve">Pocomotion Road Club </t>
  </si>
  <si>
    <t>WA14 3DS</t>
  </si>
  <si>
    <t>Bowdon</t>
  </si>
  <si>
    <t>South Downs Road</t>
  </si>
  <si>
    <t xml:space="preserve">South Downs Cottage, </t>
  </si>
  <si>
    <t>pandjslater@btinternet.com</t>
  </si>
  <si>
    <t>Doncaster Wheelers C.C.</t>
  </si>
  <si>
    <t>DN5 7QL</t>
  </si>
  <si>
    <t>Sprotborough</t>
  </si>
  <si>
    <t>68 Spring Lane</t>
  </si>
  <si>
    <t>pmskip2003@yahoo.co.uk</t>
  </si>
  <si>
    <t>Mersey Tri</t>
  </si>
  <si>
    <t>CH48 7EP</t>
  </si>
  <si>
    <t xml:space="preserve">West Kirby </t>
  </si>
  <si>
    <t>38 Abbey Road</t>
  </si>
  <si>
    <t>Skipper</t>
  </si>
  <si>
    <t>ramishhawk@gmail.com</t>
  </si>
  <si>
    <t>BN161AE</t>
  </si>
  <si>
    <t>East Preston</t>
  </si>
  <si>
    <t>76 Downs Way</t>
  </si>
  <si>
    <t xml:space="preserve">Steve </t>
  </si>
  <si>
    <t>philskinner1@hotmail.co.uk</t>
  </si>
  <si>
    <t>N8 8LT</t>
  </si>
  <si>
    <t>24 Park Avenue South</t>
  </si>
  <si>
    <t>jamesmskinner@hotmail.com</t>
  </si>
  <si>
    <t>G72 9NX</t>
  </si>
  <si>
    <t>Blantyre</t>
  </si>
  <si>
    <t>84 Kirkwall Avenue</t>
  </si>
  <si>
    <t>georgeskinner22@yahoo.co.uk</t>
  </si>
  <si>
    <t>Royal Albert CC</t>
  </si>
  <si>
    <t>G76 7NQ</t>
  </si>
  <si>
    <t>14 Lembert Drive</t>
  </si>
  <si>
    <t xml:space="preserve">Standards: Solo Bike: unlimited attempts at any distance Subscription to The Veteran </t>
  </si>
  <si>
    <t>mike.musket@hotmail.com</t>
  </si>
  <si>
    <t>Full Moo cycling</t>
  </si>
  <si>
    <t>CB10 2EZ</t>
  </si>
  <si>
    <t>Ashdon, Saffron Walden</t>
  </si>
  <si>
    <t>Kates Lane</t>
  </si>
  <si>
    <t>The Cottage</t>
  </si>
  <si>
    <t>Skillings</t>
  </si>
  <si>
    <t>elaine@simpsonandwest.com</t>
  </si>
  <si>
    <t>NG25 0LB</t>
  </si>
  <si>
    <t>26 Honing Drive</t>
  </si>
  <si>
    <t>Stephanie</t>
  </si>
  <si>
    <t>gary@fekdenergy.co.uk</t>
  </si>
  <si>
    <t>LS18 4HG</t>
  </si>
  <si>
    <t>8 Broadgate Crescent</t>
  </si>
  <si>
    <t>a.j.d.simpkins@btinternet.com</t>
  </si>
  <si>
    <t>GL20 7FT</t>
  </si>
  <si>
    <t>Walton Cardiff</t>
  </si>
  <si>
    <t>13 Lupin Drive</t>
  </si>
  <si>
    <t>martin_simmons@hotmail.co.uk</t>
  </si>
  <si>
    <t xml:space="preserve">IP256LF </t>
  </si>
  <si>
    <t xml:space="preserve">20 Wayland Avenue </t>
  </si>
  <si>
    <t xml:space="preserve">Simmons </t>
  </si>
  <si>
    <t>hillclimber@btinternet.com</t>
  </si>
  <si>
    <t>BH23 7HN</t>
  </si>
  <si>
    <t>7 Barlands Close, Burton</t>
  </si>
  <si>
    <t>SIMMONS</t>
  </si>
  <si>
    <t>WILLIAM</t>
  </si>
  <si>
    <t>ian-sim@sky.com</t>
  </si>
  <si>
    <t xml:space="preserve">GTR - Return To Life P/B Streamline </t>
  </si>
  <si>
    <t>G43 1DL</t>
  </si>
  <si>
    <t>10 Northwood Wynd</t>
  </si>
  <si>
    <t>Sim</t>
  </si>
  <si>
    <t>nagma03@outlook.com</t>
  </si>
  <si>
    <t>35 Gibson close</t>
  </si>
  <si>
    <t>Seepers8@gmail.com</t>
  </si>
  <si>
    <t>Seamons cycling club</t>
  </si>
  <si>
    <t>M41 8QJ</t>
  </si>
  <si>
    <t>Urmston</t>
  </si>
  <si>
    <t>12 Eddisbury ave</t>
  </si>
  <si>
    <t>Siepen</t>
  </si>
  <si>
    <t>S66 8HX</t>
  </si>
  <si>
    <t>Maltby</t>
  </si>
  <si>
    <t>3 Blyth Road</t>
  </si>
  <si>
    <t>Sides</t>
  </si>
  <si>
    <t>alan.sides@live.co.uk</t>
  </si>
  <si>
    <t>alan.shuttleworth77@gmail.com</t>
  </si>
  <si>
    <t>M22 8LR</t>
  </si>
  <si>
    <t>77 Hollyhedge Road</t>
  </si>
  <si>
    <t>Shuttleworth</t>
  </si>
  <si>
    <t xml:space="preserve">77 Hollyhedge Road			 	</t>
  </si>
  <si>
    <t xml:space="preserve">Standards: Solo Bike: unlimited attempts at any distance Standards: Solo Trike: unlimited attempts at any distance </t>
  </si>
  <si>
    <t>ann_shuttleworth@hotmail.com</t>
  </si>
  <si>
    <t>CM7 5LW</t>
  </si>
  <si>
    <t>39 Ashpole Road Bocking Church Street</t>
  </si>
  <si>
    <t>shuker4@aol.com</t>
  </si>
  <si>
    <t>Walsall Roads CC</t>
  </si>
  <si>
    <t>B68 8LX</t>
  </si>
  <si>
    <t>17 Penncricket Lane</t>
  </si>
  <si>
    <t>Shuker</t>
  </si>
  <si>
    <t>WN4 0LP</t>
  </si>
  <si>
    <t>5 Clough Grove</t>
  </si>
  <si>
    <t>ianshort160@hotmail.com</t>
  </si>
  <si>
    <t>CO10 7FU</t>
  </si>
  <si>
    <t>Glemsford</t>
  </si>
  <si>
    <t>1 Radford Drive</t>
  </si>
  <si>
    <t>nappyrash@icloud.com</t>
  </si>
  <si>
    <t>WS6 7NY</t>
  </si>
  <si>
    <t>Walsall</t>
  </si>
  <si>
    <t>Cheslyn Hay</t>
  </si>
  <si>
    <t>51 Pinfold Lane</t>
  </si>
  <si>
    <t>steve.f.shore@sky.com</t>
  </si>
  <si>
    <t>SS9 3PF</t>
  </si>
  <si>
    <t>51, Eaton Road</t>
  </si>
  <si>
    <t>danshipton@hotmail.com</t>
  </si>
  <si>
    <t>BN273XN</t>
  </si>
  <si>
    <t>hailsham</t>
  </si>
  <si>
    <t>mountain ash close</t>
  </si>
  <si>
    <t>shipton</t>
  </si>
  <si>
    <t>amshields@btinternet.com</t>
  </si>
  <si>
    <t>KA3 3HQ</t>
  </si>
  <si>
    <t>Kiilmarnock</t>
  </si>
  <si>
    <t>42 Kinloch Avenue</t>
  </si>
  <si>
    <t>Shields</t>
  </si>
  <si>
    <t>Dundee Wheelers CC</t>
  </si>
  <si>
    <t>DD2 2DZ</t>
  </si>
  <si>
    <t>DUNDEE</t>
  </si>
  <si>
    <t>45 Dalrymple Terrace</t>
  </si>
  <si>
    <t>Shewan</t>
  </si>
  <si>
    <t>mincepie19@talktalk.net</t>
  </si>
  <si>
    <t>TN30  7BZ</t>
  </si>
  <si>
    <t>19, Abbott Way</t>
  </si>
  <si>
    <t>Sherwood</t>
  </si>
  <si>
    <t>iansherin@btinternet.com</t>
  </si>
  <si>
    <t>3C Cycle Club</t>
  </si>
  <si>
    <t>SO40 8TW</t>
  </si>
  <si>
    <t>24 Pipers Close</t>
  </si>
  <si>
    <t>Sherin</t>
  </si>
  <si>
    <t>roger@randtconsulting.co.uk</t>
  </si>
  <si>
    <t>EX33 1JU</t>
  </si>
  <si>
    <t xml:space="preserve">georgeham </t>
  </si>
  <si>
    <t>putsborough road</t>
  </si>
  <si>
    <t>wayside</t>
  </si>
  <si>
    <t>Sheridan</t>
  </si>
  <si>
    <t>eamonsheridan@btinternet.com</t>
  </si>
  <si>
    <t>B301NU</t>
  </si>
  <si>
    <t>Bournville</t>
  </si>
  <si>
    <t>227 Beaumont Road</t>
  </si>
  <si>
    <t>Padraig</t>
  </si>
  <si>
    <t>Eamonn</t>
  </si>
  <si>
    <t>sheridandebbie@hotmail.com</t>
  </si>
  <si>
    <t>Deborah</t>
  </si>
  <si>
    <t>NR35 1DF</t>
  </si>
  <si>
    <t>22,Quaves Lane</t>
  </si>
  <si>
    <t>Sheppard</t>
  </si>
  <si>
    <t>dbstriathlon@gmail.com</t>
  </si>
  <si>
    <t>Sheffield Triathlon Club</t>
  </si>
  <si>
    <t>S10 5PD</t>
  </si>
  <si>
    <t>12 Den Bank Crescent</t>
  </si>
  <si>
    <t>garethshepherd110@msn.com</t>
  </si>
  <si>
    <t>Bramley Wheelers CC</t>
  </si>
  <si>
    <t>LS285JZ</t>
  </si>
  <si>
    <t>Farsley , Leeds</t>
  </si>
  <si>
    <t>Farsley</t>
  </si>
  <si>
    <t>2 Beech Lees</t>
  </si>
  <si>
    <t>randle.shenton@yahoo.com</t>
  </si>
  <si>
    <t>DG11 3ER</t>
  </si>
  <si>
    <t>Dumfriesshire</t>
  </si>
  <si>
    <t>Lockerbie</t>
  </si>
  <si>
    <t>Middlebie</t>
  </si>
  <si>
    <t>Hawthorn Bank</t>
  </si>
  <si>
    <t>Shenton</t>
  </si>
  <si>
    <t>NG4 4GD</t>
  </si>
  <si>
    <t>22 Chesterfield Avenue</t>
  </si>
  <si>
    <t>rickaby.sanders@btinternet.com</t>
  </si>
  <si>
    <t>Hadleigh Cycling Club</t>
  </si>
  <si>
    <t>IP7 5AR</t>
  </si>
  <si>
    <t>57 Benton Street,</t>
  </si>
  <si>
    <t>Shearly-Sanders</t>
  </si>
  <si>
    <t>Rickaby</t>
  </si>
  <si>
    <t>sheard218@btinternet.com</t>
  </si>
  <si>
    <t>PR6 8TQ</t>
  </si>
  <si>
    <t>54 Carleton Road</t>
  </si>
  <si>
    <t>fowlergillian@yahoo.co.uk</t>
  </si>
  <si>
    <t>WA130QJ</t>
  </si>
  <si>
    <t>Lymm</t>
  </si>
  <si>
    <t>12a Brookfield Road</t>
  </si>
  <si>
    <t>danandkimshaw@aol.com</t>
  </si>
  <si>
    <t>Banbury Star Cycle club</t>
  </si>
  <si>
    <t>OX15 4DB</t>
  </si>
  <si>
    <t>Bodicote, Banbury</t>
  </si>
  <si>
    <t>Homestead, Chapel La</t>
  </si>
  <si>
    <t xml:space="preserve">suzanne </t>
  </si>
  <si>
    <t>Kim</t>
  </si>
  <si>
    <t>carl.shaw1@gmail.com</t>
  </si>
  <si>
    <t>LE11 2NZ</t>
  </si>
  <si>
    <t>3 Pine Close</t>
  </si>
  <si>
    <t>rjshaw@liv.ac.uk</t>
  </si>
  <si>
    <t>12a Brookfield Rd</t>
  </si>
  <si>
    <t>chris@shawscoaches.co.uk</t>
  </si>
  <si>
    <t>Fenland  Clarion CC</t>
  </si>
  <si>
    <t>8 Torpel Way</t>
  </si>
  <si>
    <t>FY5 1LP</t>
  </si>
  <si>
    <t>Cleveleys</t>
  </si>
  <si>
    <t>10 Rossall Promenade</t>
  </si>
  <si>
    <t>alansharpen@gmail.com</t>
  </si>
  <si>
    <t>SO16 7PE</t>
  </si>
  <si>
    <t>12 Bassett Close</t>
  </si>
  <si>
    <t>Sharpen</t>
  </si>
  <si>
    <t>daveshannon@mac.com</t>
  </si>
  <si>
    <t>N12 9ED</t>
  </si>
  <si>
    <t>20 Castle Road</t>
  </si>
  <si>
    <t>Shannon</t>
  </si>
  <si>
    <t>gtshanklin@btinternet.com</t>
  </si>
  <si>
    <t>Port Talbot, wheelers cc</t>
  </si>
  <si>
    <t xml:space="preserve">SA715PE </t>
  </si>
  <si>
    <t xml:space="preserve">Pembroke </t>
  </si>
  <si>
    <t>Lamphey</t>
  </si>
  <si>
    <t>Badgers Drift Farm</t>
  </si>
  <si>
    <t>Shanklin</t>
  </si>
  <si>
    <t xml:space="preserve">Gareth </t>
  </si>
  <si>
    <t>shallicker@btinternet.com</t>
  </si>
  <si>
    <t>BL5 1DP</t>
  </si>
  <si>
    <t>Over Hulton</t>
  </si>
  <si>
    <t>44 Newland Drive</t>
  </si>
  <si>
    <t>Shallicker</t>
  </si>
  <si>
    <t>gemma_shadbolt@hotmail.co.uk</t>
  </si>
  <si>
    <t>Brighton Mitre</t>
  </si>
  <si>
    <t>BN41 2RD</t>
  </si>
  <si>
    <t>Portslade</t>
  </si>
  <si>
    <t>435 Mile Oak Road</t>
  </si>
  <si>
    <t>Shadbolt</t>
  </si>
  <si>
    <t>Gemma</t>
  </si>
  <si>
    <t>mikeshacklock@hotmail.co.uk</t>
  </si>
  <si>
    <t>HG2 8LE</t>
  </si>
  <si>
    <t>26 St Ronans Road</t>
  </si>
  <si>
    <t>Shacklock</t>
  </si>
  <si>
    <t>daniel.shackleton@saltsep.co.uk</t>
  </si>
  <si>
    <t>OL16 3UU</t>
  </si>
  <si>
    <t>Milnrow</t>
  </si>
  <si>
    <t>2 Wildhouse Court</t>
  </si>
  <si>
    <t>Shackleton</t>
  </si>
  <si>
    <t>p.sewell679@btinternet.com</t>
  </si>
  <si>
    <t>PE12 9XA</t>
  </si>
  <si>
    <t>148 Railway Lane South</t>
  </si>
  <si>
    <t>semple.sue11@gmail.com</t>
  </si>
  <si>
    <t>ST17 0AQ</t>
  </si>
  <si>
    <t>76 Ascot Road</t>
  </si>
  <si>
    <t>Semple</t>
  </si>
  <si>
    <t>ascoaching@outlook.com</t>
  </si>
  <si>
    <t>andiself@msn.com</t>
  </si>
  <si>
    <t xml:space="preserve">North Hampshire rc </t>
  </si>
  <si>
    <t>RG23 8EB</t>
  </si>
  <si>
    <t>172 Warwick Road</t>
  </si>
  <si>
    <t>Self</t>
  </si>
  <si>
    <t>james.seddon2@hotmail.com</t>
  </si>
  <si>
    <t>Blackburn &amp; District CTC</t>
  </si>
  <si>
    <t>BB1 8JS</t>
  </si>
  <si>
    <t>31 Hawkshaw Bank Road</t>
  </si>
  <si>
    <t>Seddon</t>
  </si>
  <si>
    <t>h_seaborn@hotmail.com</t>
  </si>
  <si>
    <t>Kingston wheelers</t>
  </si>
  <si>
    <t>sw18 2nr</t>
  </si>
  <si>
    <t xml:space="preserve">Wandsworth </t>
  </si>
  <si>
    <t>Geraldine Road</t>
  </si>
  <si>
    <t>Seaborn</t>
  </si>
  <si>
    <t>julian.scutter@gmail.com</t>
  </si>
  <si>
    <t>East Grinstead Cycling Club</t>
  </si>
  <si>
    <t>RH7 6JT</t>
  </si>
  <si>
    <t>Blindley Heath</t>
  </si>
  <si>
    <t>21 Langsmead</t>
  </si>
  <si>
    <t>Scutter</t>
  </si>
  <si>
    <t>celo1@hotmail.co.uk</t>
  </si>
  <si>
    <t xml:space="preserve">GTR Return to Life </t>
  </si>
  <si>
    <t>KA17 0DZ</t>
  </si>
  <si>
    <t>Darvel</t>
  </si>
  <si>
    <t>2 Countess Street</t>
  </si>
  <si>
    <t>Linwood</t>
  </si>
  <si>
    <t>iscott13@hotmail.co.uk</t>
  </si>
  <si>
    <t>Boston Wheelers</t>
  </si>
  <si>
    <t>PE22 0UA</t>
  </si>
  <si>
    <t xml:space="preserve">Boston, Lincolnshire </t>
  </si>
  <si>
    <t xml:space="preserve">Northlands </t>
  </si>
  <si>
    <t>Springfields</t>
  </si>
  <si>
    <t>joshort63@hotmail.com</t>
  </si>
  <si>
    <t>DL3 6RU</t>
  </si>
  <si>
    <t>15A Tower Road</t>
  </si>
  <si>
    <t>allinadayscycling@gmail.com</t>
  </si>
  <si>
    <t>DT2 8AB</t>
  </si>
  <si>
    <t>West Stafford</t>
  </si>
  <si>
    <t>Rosemarie</t>
  </si>
  <si>
    <t>johnscott@sleafordwheelers.co.uk</t>
  </si>
  <si>
    <t>Sleaford  Wheelers</t>
  </si>
  <si>
    <t>NG32 3NS</t>
  </si>
  <si>
    <t>11 Main Street</t>
  </si>
  <si>
    <t>scorer@me.com</t>
  </si>
  <si>
    <t>PL20 7LZ</t>
  </si>
  <si>
    <t>Yelverton, Devon</t>
  </si>
  <si>
    <t>Buckland Monochorum</t>
  </si>
  <si>
    <t>The Village</t>
  </si>
  <si>
    <t>Bedford Cottage</t>
  </si>
  <si>
    <t>Scorer</t>
  </si>
  <si>
    <t xml:space="preserve">G </t>
  </si>
  <si>
    <t>lynne.scofield@gmail.com</t>
  </si>
  <si>
    <t>Scofield</t>
  </si>
  <si>
    <t>v.schutte@btinternet.com</t>
  </si>
  <si>
    <t>Farnborough and Camberley CC</t>
  </si>
  <si>
    <t>GU11 3BE</t>
  </si>
  <si>
    <t>Aldershot</t>
  </si>
  <si>
    <t>18 Cranmore Gardens</t>
  </si>
  <si>
    <t>Schutte</t>
  </si>
  <si>
    <t>Vernon</t>
  </si>
  <si>
    <t>marcel.schubert@gmx.net</t>
  </si>
  <si>
    <t>Zurbaran Racing</t>
  </si>
  <si>
    <t>DL2 2GS</t>
  </si>
  <si>
    <t>21 Bleath Ghyll</t>
  </si>
  <si>
    <t>Schubert</t>
  </si>
  <si>
    <t>Marcel</t>
  </si>
  <si>
    <t>derek.schofield@talktalk.net</t>
  </si>
  <si>
    <t>Rossendale Road Club</t>
  </si>
  <si>
    <t>BB4 9UG</t>
  </si>
  <si>
    <t>Waterfoot</t>
  </si>
  <si>
    <t>12 Belvedere Ave</t>
  </si>
  <si>
    <t>SCHOFIELD</t>
  </si>
  <si>
    <t>DEREK</t>
  </si>
  <si>
    <t>paul_skoder@hotmail.com</t>
  </si>
  <si>
    <t>Ely and District Cycling Club</t>
  </si>
  <si>
    <t>PE27 5FY</t>
  </si>
  <si>
    <t>St Ives</t>
  </si>
  <si>
    <t>1 Sheepfold</t>
  </si>
  <si>
    <t>rishdene1@gmail.com</t>
  </si>
  <si>
    <t>SG13 7NX</t>
  </si>
  <si>
    <t>Hertford Heath</t>
  </si>
  <si>
    <t>2 Hailey Lane</t>
  </si>
  <si>
    <t>Lawrence Cottage</t>
  </si>
  <si>
    <t>nickschiettecatte@gmail.com</t>
  </si>
  <si>
    <t>RG411NP</t>
  </si>
  <si>
    <t>Wokingham</t>
  </si>
  <si>
    <t>19 Valley Crescent</t>
  </si>
  <si>
    <t>Schiettecatte</t>
  </si>
  <si>
    <t>arjascarsbrook@gmail.com</t>
  </si>
  <si>
    <t>WR11 2LU</t>
  </si>
  <si>
    <t>57 Pershore Road</t>
  </si>
  <si>
    <t>Scarsbrook</t>
  </si>
  <si>
    <t>Marjetta</t>
  </si>
  <si>
    <t>Arja</t>
  </si>
  <si>
    <t>wsawyer@btinternet.com</t>
  </si>
  <si>
    <t>Sp48jp</t>
  </si>
  <si>
    <t xml:space="preserve">Salisbury </t>
  </si>
  <si>
    <t xml:space="preserve">Fighledene </t>
  </si>
  <si>
    <t>8 pollen close</t>
  </si>
  <si>
    <t xml:space="preserve">Sawyer </t>
  </si>
  <si>
    <t>davesaw@protonmail.com</t>
  </si>
  <si>
    <t>IP3 0LH</t>
  </si>
  <si>
    <t>101 Morland Road</t>
  </si>
  <si>
    <t>Sawyer</t>
  </si>
  <si>
    <t>cricketbikeman@hotmail.co.uk</t>
  </si>
  <si>
    <t>HU18 1JB</t>
  </si>
  <si>
    <t>Hornsea</t>
  </si>
  <si>
    <t>97B, Cliff Road</t>
  </si>
  <si>
    <t>iansaunders82@gmail.com</t>
  </si>
  <si>
    <t>LA12 0HN</t>
  </si>
  <si>
    <t>Swarthmoor</t>
  </si>
  <si>
    <t>42 Park Avenue</t>
  </si>
  <si>
    <t>drrobertsaunders@gmail.com</t>
  </si>
  <si>
    <t>MK17 8JZ</t>
  </si>
  <si>
    <t>9 Mount Pleasant</t>
  </si>
  <si>
    <t>David Comrie</t>
  </si>
  <si>
    <t>19mascar@gmail.com</t>
  </si>
  <si>
    <t>Gorilla Coffee CC</t>
  </si>
  <si>
    <t>B47 5HL</t>
  </si>
  <si>
    <t xml:space="preserve">Hollywood </t>
  </si>
  <si>
    <t xml:space="preserve">33 Shawhurst Lane </t>
  </si>
  <si>
    <t>Satterthwaite</t>
  </si>
  <si>
    <t>sue.satchi@doctors.org.uk</t>
  </si>
  <si>
    <t xml:space="preserve">Crewe Clarion wheelers </t>
  </si>
  <si>
    <t>CW3 0ER</t>
  </si>
  <si>
    <t>Audlem</t>
  </si>
  <si>
    <t>The Dairy, Manor Farm</t>
  </si>
  <si>
    <t>Satchithananda</t>
  </si>
  <si>
    <t>marsas@btinternet.com</t>
  </si>
  <si>
    <t>BR7 5DY</t>
  </si>
  <si>
    <t>Chislehurst</t>
  </si>
  <si>
    <t>Clifford Avenue</t>
  </si>
  <si>
    <t>Lansdowne</t>
  </si>
  <si>
    <t>Sasura</t>
  </si>
  <si>
    <t>enq@goldfinchenv.com</t>
  </si>
  <si>
    <t>EAVTTA</t>
  </si>
  <si>
    <t>IP31 3BZ</t>
  </si>
  <si>
    <t>Walsham Le Willows</t>
  </si>
  <si>
    <t>19 Palmer Street</t>
  </si>
  <si>
    <t>Sargeant</t>
  </si>
  <si>
    <t>susansanders41@gmail.com</t>
  </si>
  <si>
    <t>BD11 1HT</t>
  </si>
  <si>
    <t xml:space="preserve">Bradford </t>
  </si>
  <si>
    <t xml:space="preserve">Drighlington </t>
  </si>
  <si>
    <t xml:space="preserve">41 Moorside Crescent </t>
  </si>
  <si>
    <t>Sanders</t>
  </si>
  <si>
    <t>sean.sanders@btinternet.com</t>
  </si>
  <si>
    <t>marksanders.ctt@gmail.com</t>
  </si>
  <si>
    <t>TQ13 0JX</t>
  </si>
  <si>
    <t>Chudleigh</t>
  </si>
  <si>
    <t>49 Old Exeter Street</t>
  </si>
  <si>
    <t>The Retreat</t>
  </si>
  <si>
    <t>tracey.sample@mail.com</t>
  </si>
  <si>
    <t>Alnwick Tri Club</t>
  </si>
  <si>
    <t>ne65 0jh</t>
  </si>
  <si>
    <t>27 Mariners View, Amble</t>
  </si>
  <si>
    <t>Sample</t>
  </si>
  <si>
    <t>alistair.jr@gmail.com</t>
  </si>
  <si>
    <t>M34 3TE</t>
  </si>
  <si>
    <t>3 Linksfield</t>
  </si>
  <si>
    <t>paulandcarolruta@hotmail.co.uk</t>
  </si>
  <si>
    <t>S36 6AU</t>
  </si>
  <si>
    <t xml:space="preserve">46 Clarel Street </t>
  </si>
  <si>
    <t>Ruta</t>
  </si>
  <si>
    <t>gavin_russell@hotmail.co.uk</t>
  </si>
  <si>
    <t>TS19 7JF</t>
  </si>
  <si>
    <t>Fairfield</t>
  </si>
  <si>
    <t>2 Antrim Avenue</t>
  </si>
  <si>
    <t>rpaul2037@gmail.com</t>
  </si>
  <si>
    <t>FY4 4EN</t>
  </si>
  <si>
    <t>Blackpool</t>
  </si>
  <si>
    <t>125 Vicarage Lane</t>
  </si>
  <si>
    <t>dave.rundall@gmail.com</t>
  </si>
  <si>
    <t>LA5 0EW</t>
  </si>
  <si>
    <t>Arnside</t>
  </si>
  <si>
    <t>6 Mount Pleasant</t>
  </si>
  <si>
    <t>Rundall</t>
  </si>
  <si>
    <t>rumm@rummlaw.co.uk</t>
  </si>
  <si>
    <t>TN6 1RJ</t>
  </si>
  <si>
    <t>Goldsmiths Avenue</t>
  </si>
  <si>
    <t>Spindlewood</t>
  </si>
  <si>
    <t>Rumm</t>
  </si>
  <si>
    <t>robertroyston@talktalk.net</t>
  </si>
  <si>
    <t>TN13 2UN</t>
  </si>
  <si>
    <t>18 Barretts Road, Dunton Green</t>
  </si>
  <si>
    <t>robert.royle-evatt@ntlworld.com</t>
  </si>
  <si>
    <t>CR3 5QN</t>
  </si>
  <si>
    <t>153 Banstead Road</t>
  </si>
  <si>
    <t>Royle-Evatt</t>
  </si>
  <si>
    <t>C.S.W.</t>
  </si>
  <si>
    <t>FK1 5RZ</t>
  </si>
  <si>
    <t>Arnothill Mews</t>
  </si>
  <si>
    <t>Arnothill</t>
  </si>
  <si>
    <t>Thorntree Mews Care Home</t>
  </si>
  <si>
    <t>p.rowley112@btinternet.com</t>
  </si>
  <si>
    <t>BL8 3BN</t>
  </si>
  <si>
    <t>Walshaw</t>
  </si>
  <si>
    <t>37 Church Street</t>
  </si>
  <si>
    <t>lornarowland33@gmail.com</t>
  </si>
  <si>
    <t xml:space="preserve">TW18 3DF </t>
  </si>
  <si>
    <t xml:space="preserve">Staines upon Thames </t>
  </si>
  <si>
    <t xml:space="preserve">168 Wendover Road </t>
  </si>
  <si>
    <t>alrowe38@gmail.com</t>
  </si>
  <si>
    <t>De Laune CC</t>
  </si>
  <si>
    <t>DA3 8BP</t>
  </si>
  <si>
    <t>Longfield</t>
  </si>
  <si>
    <t>42 Carmelite Way, Hartley</t>
  </si>
  <si>
    <t>Rowe</t>
  </si>
  <si>
    <t>ianrossinlymm@aol.com</t>
  </si>
  <si>
    <t>WA13 9AH</t>
  </si>
  <si>
    <t>26 Brook Road</t>
  </si>
  <si>
    <t>mavisinlymm@aol.com</t>
  </si>
  <si>
    <t>bigaldo1@hotmail.com</t>
  </si>
  <si>
    <t>Fruin Road Club</t>
  </si>
  <si>
    <t>G84 9BJ</t>
  </si>
  <si>
    <t>Argyll and Bute</t>
  </si>
  <si>
    <t>23 Glen Drive</t>
  </si>
  <si>
    <t>jmrosier@hotmail.co.uk</t>
  </si>
  <si>
    <t>Ipswich Bicycle Club</t>
  </si>
  <si>
    <t>IP51WA</t>
  </si>
  <si>
    <t>Rushmere St Andrew</t>
  </si>
  <si>
    <t>2 Wimpole Close</t>
  </si>
  <si>
    <t>Rosier</t>
  </si>
  <si>
    <t>Josephine</t>
  </si>
  <si>
    <t>TW19 5NE</t>
  </si>
  <si>
    <t>24 Station Road</t>
  </si>
  <si>
    <t>rose-woodcarpentry@hotmail.co.uk</t>
  </si>
  <si>
    <t>OX7 5JT</t>
  </si>
  <si>
    <t>Chipping Norton</t>
  </si>
  <si>
    <t>11 Lewis Road</t>
  </si>
  <si>
    <t xml:space="preserve">Rose </t>
  </si>
  <si>
    <t>christopher.rosam@ntlworld.com</t>
  </si>
  <si>
    <t>KT199RD</t>
  </si>
  <si>
    <t>1 Kingsmead Close</t>
  </si>
  <si>
    <t>Rosam</t>
  </si>
  <si>
    <t>EX4 2EA</t>
  </si>
  <si>
    <t>24 Lincoln Road</t>
  </si>
  <si>
    <t>Rorke</t>
  </si>
  <si>
    <t>nikrorke@virginmedia.com</t>
  </si>
  <si>
    <t>Exeter  Whlrs CC</t>
  </si>
  <si>
    <t>Nichola</t>
  </si>
  <si>
    <t>p.rogoll@sky.com</t>
  </si>
  <si>
    <t>BS4 5DX</t>
  </si>
  <si>
    <t xml:space="preserve">Brislington </t>
  </si>
  <si>
    <t>101A West Town Lane</t>
  </si>
  <si>
    <t>Avonlea</t>
  </si>
  <si>
    <t>Rogoll</t>
  </si>
  <si>
    <t>emmahawthornsimpson@googlemail.com</t>
  </si>
  <si>
    <t>Glenmarnock Wheelers &amp; VCGS</t>
  </si>
  <si>
    <t>G77 5UT</t>
  </si>
  <si>
    <t>42 Aldton Park</t>
  </si>
  <si>
    <t>Rogerson</t>
  </si>
  <si>
    <t>lucyrogers44@gmail.com</t>
  </si>
  <si>
    <t>CW8 1NB</t>
  </si>
  <si>
    <t xml:space="preserve">Hartford </t>
  </si>
  <si>
    <t>19 Riddings Lane</t>
  </si>
  <si>
    <t>Flat 2, Gilbert House</t>
  </si>
  <si>
    <t>adam@kontourcycles.co.uk</t>
  </si>
  <si>
    <t xml:space="preserve">Bn265qg </t>
  </si>
  <si>
    <t xml:space="preserve">Jevington </t>
  </si>
  <si>
    <t>Willingdon lane</t>
  </si>
  <si>
    <t xml:space="preserve">Deerfoot cottage </t>
  </si>
  <si>
    <t xml:space="preserve">Annual Lunch Annual Lunch </t>
  </si>
  <si>
    <t>david.g.rogers@ntlworld.com</t>
  </si>
  <si>
    <t>HP2 4AQ</t>
  </si>
  <si>
    <t>45 Alexandra Road</t>
  </si>
  <si>
    <t>peter.cyclist@zen.co.uk</t>
  </si>
  <si>
    <t>Team Tor 2000 | KALAS</t>
  </si>
  <si>
    <t>BS26 2LA</t>
  </si>
  <si>
    <t>Axbridge</t>
  </si>
  <si>
    <t>Weare</t>
  </si>
  <si>
    <t>Sunnymeade  Sparrow Hill Way</t>
  </si>
  <si>
    <t>hroby1@gmail.com</t>
  </si>
  <si>
    <t>Ride Revolution Coaching</t>
  </si>
  <si>
    <t>HP22 4NP</t>
  </si>
  <si>
    <t>2 Newville</t>
  </si>
  <si>
    <t>Roby</t>
  </si>
  <si>
    <t>mark.robson67@hotmail.co.uk</t>
  </si>
  <si>
    <t xml:space="preserve">Mersey Tri </t>
  </si>
  <si>
    <t>Pr8 6ny</t>
  </si>
  <si>
    <t xml:space="preserve">Southport </t>
  </si>
  <si>
    <t xml:space="preserve">1 Cumberland Road </t>
  </si>
  <si>
    <t xml:space="preserve">Robson </t>
  </si>
  <si>
    <t>sarahlourobson@hotmail.co.uk</t>
  </si>
  <si>
    <t xml:space="preserve">Grace </t>
  </si>
  <si>
    <t xml:space="preserve">Sarah-Louise </t>
  </si>
  <si>
    <t>Bonnybridge C.C.</t>
  </si>
  <si>
    <t>NE63 0DF</t>
  </si>
  <si>
    <t>ASHINGTON</t>
  </si>
  <si>
    <t>Waterford Green</t>
  </si>
  <si>
    <t>18 Cygnet Close</t>
  </si>
  <si>
    <t>Robson</t>
  </si>
  <si>
    <t>shaunrobbo2012@gmail.com</t>
  </si>
  <si>
    <t xml:space="preserve">Lindsey Roads </t>
  </si>
  <si>
    <t>DN33 2HQ</t>
  </si>
  <si>
    <t>27A Grantham Ave</t>
  </si>
  <si>
    <t>robboalex2@gmail.com</t>
  </si>
  <si>
    <t>Stone Wheelerâ€™s CC</t>
  </si>
  <si>
    <t xml:space="preserve">ST4 4TX </t>
  </si>
  <si>
    <t xml:space="preserve">Stoke On Trent </t>
  </si>
  <si>
    <t xml:space="preserve">Hanford </t>
  </si>
  <si>
    <t xml:space="preserve">3 Beatrice Close </t>
  </si>
  <si>
    <t>doodlebug1485@hotmail.com</t>
  </si>
  <si>
    <t>1485 Tri Club</t>
  </si>
  <si>
    <t>CV13 0NA</t>
  </si>
  <si>
    <t>7 Tudor Close</t>
  </si>
  <si>
    <t>louiserodosthenous@hotmail.co.uk</t>
  </si>
  <si>
    <t xml:space="preserve">Shaftesbury CC </t>
  </si>
  <si>
    <t xml:space="preserve">Ss68bh </t>
  </si>
  <si>
    <t xml:space="preserve">215A Hockley Road </t>
  </si>
  <si>
    <t>philip900@gmail.com</t>
  </si>
  <si>
    <t>M15 6SS</t>
  </si>
  <si>
    <t>13 Salutation Street</t>
  </si>
  <si>
    <t>dave_robbo@me.com</t>
  </si>
  <si>
    <t>EMC CYCLING</t>
  </si>
  <si>
    <t>NE2 1TJ</t>
  </si>
  <si>
    <t>Jesmond</t>
  </si>
  <si>
    <t>Fernwood Road</t>
  </si>
  <si>
    <t>Mayfield</t>
  </si>
  <si>
    <t>drob3219@gmail.com</t>
  </si>
  <si>
    <t>Louth Cycle Centre RT</t>
  </si>
  <si>
    <t>DN36 4QD</t>
  </si>
  <si>
    <t>New Waltham</t>
  </si>
  <si>
    <t>16A Cardiff Avenue</t>
  </si>
  <si>
    <t>a.robinson254@btinternet.com</t>
  </si>
  <si>
    <t>RH10 7RE</t>
  </si>
  <si>
    <t>Maidenbower</t>
  </si>
  <si>
    <t>13 Georgian Close</t>
  </si>
  <si>
    <t>beekayproducts2009@gmail.com</t>
  </si>
  <si>
    <t>PE11 2UE</t>
  </si>
  <si>
    <t>71, Little London</t>
  </si>
  <si>
    <t>Robins</t>
  </si>
  <si>
    <t>BL5 1EZ</t>
  </si>
  <si>
    <t>2 Firs Road</t>
  </si>
  <si>
    <t>Brackenfield</t>
  </si>
  <si>
    <t>Robey</t>
  </si>
  <si>
    <t>jmryeti@msn.com</t>
  </si>
  <si>
    <t>Pocomotion RT</t>
  </si>
  <si>
    <t>SY13 2AX</t>
  </si>
  <si>
    <t>Faulsgreen</t>
  </si>
  <si>
    <t>2 Emmanuel Terrace</t>
  </si>
  <si>
    <t xml:space="preserve">Robertson </t>
  </si>
  <si>
    <t>phrobertson@hotmail.co.uk</t>
  </si>
  <si>
    <t>Forres CC</t>
  </si>
  <si>
    <t>IV36 1HY</t>
  </si>
  <si>
    <t>16 Califer Road</t>
  </si>
  <si>
    <t>Haggart</t>
  </si>
  <si>
    <t>grobertson820@gmail.com</t>
  </si>
  <si>
    <t>DD5 3LX</t>
  </si>
  <si>
    <t>118 Balgillo Road</t>
  </si>
  <si>
    <t>jrdc@doctors.org.uk</t>
  </si>
  <si>
    <t>Vanelli Project GO</t>
  </si>
  <si>
    <t xml:space="preserve">FK83TQ </t>
  </si>
  <si>
    <t xml:space="preserve">Aberfoyle </t>
  </si>
  <si>
    <t>Creag Ard Lodge</t>
  </si>
  <si>
    <t>paul.roberts901@tiscali.co.uk</t>
  </si>
  <si>
    <t>Hambleton RC</t>
  </si>
  <si>
    <t xml:space="preserve">dl7 8bl </t>
  </si>
  <si>
    <t xml:space="preserve">north Yorks </t>
  </si>
  <si>
    <t>romanby Northallerton</t>
  </si>
  <si>
    <t xml:space="preserve">37 The Close </t>
  </si>
  <si>
    <t>roberts</t>
  </si>
  <si>
    <t>wtoddroberts@googlemail.com</t>
  </si>
  <si>
    <t>S5 9AP</t>
  </si>
  <si>
    <t>131 Yew Lane</t>
  </si>
  <si>
    <t>Todd</t>
  </si>
  <si>
    <t>michael@robertsms.f9.co.uk</t>
  </si>
  <si>
    <t>SK11 7RS</t>
  </si>
  <si>
    <t>2 Lyme Avenue</t>
  </si>
  <si>
    <t>SK10 3LF</t>
  </si>
  <si>
    <t>Broken Cross</t>
  </si>
  <si>
    <t>10 Dalesford Crescent</t>
  </si>
  <si>
    <t>Marion</t>
  </si>
  <si>
    <t>christinerobertsemail@gmail.com</t>
  </si>
  <si>
    <t>CA3 0HX</t>
  </si>
  <si>
    <t xml:space="preserve">Carlisle </t>
  </si>
  <si>
    <t xml:space="preserve">24, Millcroft </t>
  </si>
  <si>
    <t>Windy Lea</t>
  </si>
  <si>
    <t>alanroberts47@talktalk.net</t>
  </si>
  <si>
    <t>ST4 8ET</t>
  </si>
  <si>
    <t>Hanford</t>
  </si>
  <si>
    <t>13 Garfield Crescent</t>
  </si>
  <si>
    <t>philr997@gmail.com</t>
  </si>
  <si>
    <t>PR3 1PS</t>
  </si>
  <si>
    <t>Gubberford Lane</t>
  </si>
  <si>
    <t>Fowlers</t>
  </si>
  <si>
    <t>grob397656@aol.com</t>
  </si>
  <si>
    <t>Rhyl CC</t>
  </si>
  <si>
    <t>LL19 7AT</t>
  </si>
  <si>
    <t>Clwyd</t>
  </si>
  <si>
    <t>11 Brig y Don</t>
  </si>
  <si>
    <t>Gwynn</t>
  </si>
  <si>
    <t>douglasroberts601@btinternet.com</t>
  </si>
  <si>
    <t>BN23 7AF</t>
  </si>
  <si>
    <t>14 Fleming Close</t>
  </si>
  <si>
    <t>jeff@theroberts.house</t>
  </si>
  <si>
    <t>HP27 0RQ</t>
  </si>
  <si>
    <t>Speen</t>
  </si>
  <si>
    <t>4 Cottage Farm Waye</t>
  </si>
  <si>
    <t>kf.roberton@outlook.com</t>
  </si>
  <si>
    <t>Worthing Excelsior</t>
  </si>
  <si>
    <t>BN13 1HS</t>
  </si>
  <si>
    <t>133 St Andrews Road</t>
  </si>
  <si>
    <t>Roberton</t>
  </si>
  <si>
    <t>robo3speed@yahoo.co.uk</t>
  </si>
  <si>
    <t>Bristol South CC</t>
  </si>
  <si>
    <t>RG9 6SJ</t>
  </si>
  <si>
    <t>Pheasants Hill, Hambleden</t>
  </si>
  <si>
    <t>Maryon 2</t>
  </si>
  <si>
    <t>Roberson</t>
  </si>
  <si>
    <t>adrtucker@hotmail.com</t>
  </si>
  <si>
    <t>RG18 4ES</t>
  </si>
  <si>
    <t>Thatcham</t>
  </si>
  <si>
    <t>23 Mallow Gardens</t>
  </si>
  <si>
    <t>Tucker</t>
  </si>
  <si>
    <t>David Richard</t>
  </si>
  <si>
    <t>teresa_horne@hotmail.com</t>
  </si>
  <si>
    <t>Velo Clinic</t>
  </si>
  <si>
    <t>Robbins</t>
  </si>
  <si>
    <t>justin.robbins@me.com</t>
  </si>
  <si>
    <t>SN5 6EG</t>
  </si>
  <si>
    <t>37 Mulcaster Avenue</t>
  </si>
  <si>
    <t>jimrobb28@btinternet.com</t>
  </si>
  <si>
    <t>AB51 0HZ</t>
  </si>
  <si>
    <t>Daviot</t>
  </si>
  <si>
    <t>Hollycroft</t>
  </si>
  <si>
    <t>Robb</t>
  </si>
  <si>
    <t>TW20 8LA</t>
  </si>
  <si>
    <t>28 Ashleigh Avenue</t>
  </si>
  <si>
    <t>Roach</t>
  </si>
  <si>
    <t>rob-rix@outlook.com</t>
  </si>
  <si>
    <t>PR8 2NU</t>
  </si>
  <si>
    <t>Birkdale</t>
  </si>
  <si>
    <t>7 Grovewood</t>
  </si>
  <si>
    <t>andrew.rivett69@googlemail.com</t>
  </si>
  <si>
    <t xml:space="preserve">So506db </t>
  </si>
  <si>
    <t xml:space="preserve">Eastleigh </t>
  </si>
  <si>
    <t xml:space="preserve">Bishopstoke </t>
  </si>
  <si>
    <t>2 Wilmot Close</t>
  </si>
  <si>
    <t>Rivett</t>
  </si>
  <si>
    <t>Comrades CC</t>
  </si>
  <si>
    <t>RM9 4BJ</t>
  </si>
  <si>
    <t>25, Clementhorpe Rd</t>
  </si>
  <si>
    <t>Rising</t>
  </si>
  <si>
    <t>LE19 3FF</t>
  </si>
  <si>
    <t>1 Woodland Avenue</t>
  </si>
  <si>
    <t>Rimmington</t>
  </si>
  <si>
    <t>bikeriley@btinternet.com</t>
  </si>
  <si>
    <t>SY5 6DF</t>
  </si>
  <si>
    <t>Cressage</t>
  </si>
  <si>
    <t>The Old Post Office, 6 Harley Road</t>
  </si>
  <si>
    <t>Riley</t>
  </si>
  <si>
    <t>criise@aol.com</t>
  </si>
  <si>
    <t>Shetland Wheelers</t>
  </si>
  <si>
    <t>ZE1 0HQ</t>
  </si>
  <si>
    <t>Shetland</t>
  </si>
  <si>
    <t>Lerwick</t>
  </si>
  <si>
    <t>15 Haldene Burgess Crescent</t>
  </si>
  <si>
    <t>Riise</t>
  </si>
  <si>
    <t>Carlos</t>
  </si>
  <si>
    <t>rrrridge@gmail.com</t>
  </si>
  <si>
    <t>TPH</t>
  </si>
  <si>
    <t>IP14 6QY</t>
  </si>
  <si>
    <t xml:space="preserve">Debenham </t>
  </si>
  <si>
    <t>17 gardeners rd</t>
  </si>
  <si>
    <t>Lettisha</t>
  </si>
  <si>
    <t>l.ridden@sky.com</t>
  </si>
  <si>
    <t>NE9 6PP</t>
  </si>
  <si>
    <t>61 Beechwood Avenue, Tyne And Wear</t>
  </si>
  <si>
    <t>Ridden</t>
  </si>
  <si>
    <t>jacqueline.riddell@btinternet.com</t>
  </si>
  <si>
    <t>RG26 4DQ</t>
  </si>
  <si>
    <t>Tadley</t>
  </si>
  <si>
    <t>22 Huntsmoor Road</t>
  </si>
  <si>
    <t>Riddell</t>
  </si>
  <si>
    <t>garry.ricks@sky.com</t>
  </si>
  <si>
    <t>TN15 8EJ</t>
  </si>
  <si>
    <t>Borough Green</t>
  </si>
  <si>
    <t>45 Tolsey Mead</t>
  </si>
  <si>
    <t>Ricks</t>
  </si>
  <si>
    <t>15 Stockdale Walk</t>
  </si>
  <si>
    <t>Riches</t>
  </si>
  <si>
    <t>keithrichardson@tfl.gov.uk</t>
  </si>
  <si>
    <t>LU7 9FY</t>
  </si>
  <si>
    <t>Leighton BUzzard</t>
  </si>
  <si>
    <t>Pitstone</t>
  </si>
  <si>
    <t>21 Corfe Road</t>
  </si>
  <si>
    <t>Richardson (trike a/c)</t>
  </si>
  <si>
    <t>trichardson59@hotmail.co.uk</t>
  </si>
  <si>
    <t>TN263LX</t>
  </si>
  <si>
    <t>ASHFORD</t>
  </si>
  <si>
    <t>HIGH HALDEN</t>
  </si>
  <si>
    <t>6,MILLFIELD</t>
  </si>
  <si>
    <t>neive@richardsons.co.uk</t>
  </si>
  <si>
    <t xml:space="preserve">Cheltenham &amp; County Cycling Club </t>
  </si>
  <si>
    <t xml:space="preserve">GL52 3PN </t>
  </si>
  <si>
    <t xml:space="preserve">Cheltenham </t>
  </si>
  <si>
    <t xml:space="preserve">Cleeve Hill </t>
  </si>
  <si>
    <t xml:space="preserve">Bushcombe Lane </t>
  </si>
  <si>
    <t xml:space="preserve">Longwood house </t>
  </si>
  <si>
    <t xml:space="preserve">Richardson </t>
  </si>
  <si>
    <t xml:space="preserve">Josephine </t>
  </si>
  <si>
    <t xml:space="preserve">Neive </t>
  </si>
  <si>
    <t>rusrchrds@aol.com</t>
  </si>
  <si>
    <t>DL15 9EB</t>
  </si>
  <si>
    <t>3 Grey Street</t>
  </si>
  <si>
    <t>richardson-keith3@sky.com</t>
  </si>
  <si>
    <t>bobc.richardson@ntlworld.com</t>
  </si>
  <si>
    <t>BH6 5DS</t>
  </si>
  <si>
    <t>23 Stamford road</t>
  </si>
  <si>
    <t>carlrichardson1@hotmail.co.uk</t>
  </si>
  <si>
    <t>RH17 6UF</t>
  </si>
  <si>
    <t>Ardingly</t>
  </si>
  <si>
    <t>36 Gowers Close</t>
  </si>
  <si>
    <t>daverichards23@outlook.com</t>
  </si>
  <si>
    <t>Abellio SFA</t>
  </si>
  <si>
    <t>TN30 6PA</t>
  </si>
  <si>
    <t>37 Wayside Avenue</t>
  </si>
  <si>
    <t>p_richards_pete@hotmail.com</t>
  </si>
  <si>
    <t>MK45 1AY</t>
  </si>
  <si>
    <t>18 Ampthill Road</t>
  </si>
  <si>
    <t>rosemarie021148@ntlworld.com</t>
  </si>
  <si>
    <t>SP10 3QD</t>
  </si>
  <si>
    <t>2 Aster Court, Floral Way</t>
  </si>
  <si>
    <t>bobthespoke@gmail.com</t>
  </si>
  <si>
    <t>PL5 1NS</t>
  </si>
  <si>
    <t>9 Loughboro Road</t>
  </si>
  <si>
    <t>alastair.ribbands@googlemail.com</t>
  </si>
  <si>
    <t>WA14 5AQ</t>
  </si>
  <si>
    <t>52 Balmoral Drive</t>
  </si>
  <si>
    <t>Ribbands</t>
  </si>
  <si>
    <t>Glossop Kinder Velo Cycling Club</t>
  </si>
  <si>
    <t>SK15 2SU</t>
  </si>
  <si>
    <t>Stalybridge</t>
  </si>
  <si>
    <t>266 Mottram Road</t>
  </si>
  <si>
    <t>geodenreg@live.co.uk</t>
  </si>
  <si>
    <t>LE7 3FS</t>
  </si>
  <si>
    <t>QueniboroughLeics.</t>
  </si>
  <si>
    <t>7, New Street</t>
  </si>
  <si>
    <t>helenandjade@googlemail.com</t>
  </si>
  <si>
    <t>HP5 3PJ</t>
  </si>
  <si>
    <t>Ashley Green</t>
  </si>
  <si>
    <t>10 Curtis Cottages</t>
  </si>
  <si>
    <t>greynolds@freenetname.co.uk</t>
  </si>
  <si>
    <t>mnreynolds1963@gmail.com</t>
  </si>
  <si>
    <t>CB23 7XE</t>
  </si>
  <si>
    <t>Hardwick</t>
  </si>
  <si>
    <t>42 Bramley Way</t>
  </si>
  <si>
    <t>reynolds</t>
  </si>
  <si>
    <t>martin</t>
  </si>
  <si>
    <t>g.reynolds@live.co.uk</t>
  </si>
  <si>
    <t>HA5 5SG</t>
  </si>
  <si>
    <t>Pinner</t>
  </si>
  <si>
    <t>7 Birkdale Avenue</t>
  </si>
  <si>
    <t>North Devon Wheelers</t>
  </si>
  <si>
    <t>EX7 9RR</t>
  </si>
  <si>
    <t>Dawlish</t>
  </si>
  <si>
    <t>6 Nash Gardens</t>
  </si>
  <si>
    <t>miriam95@btinternet.com</t>
  </si>
  <si>
    <t>DD6 8NP</t>
  </si>
  <si>
    <t>Newport-on-Tay</t>
  </si>
  <si>
    <t>4 West Park Road</t>
  </si>
  <si>
    <t>Rennet</t>
  </si>
  <si>
    <t>jmrenard@btinternet.com</t>
  </si>
  <si>
    <t>SK10 5TX</t>
  </si>
  <si>
    <t>Rainow</t>
  </si>
  <si>
    <t>Galveston, Tower Hill</t>
  </si>
  <si>
    <t>Renard</t>
  </si>
  <si>
    <t>judyski@hotmail.co.uk</t>
  </si>
  <si>
    <t>MK45 1XS</t>
  </si>
  <si>
    <t>26 Chauntry Way,</t>
  </si>
  <si>
    <t>Judy</t>
  </si>
  <si>
    <t>jonnyreid1971@gmail.com</t>
  </si>
  <si>
    <t>LS11 6AQ</t>
  </si>
  <si>
    <t>3 Ladypit Lane</t>
  </si>
  <si>
    <t>andrew.reid11@talktalk.net</t>
  </si>
  <si>
    <t>ML3 9XE</t>
  </si>
  <si>
    <t>11 Corrie Court</t>
  </si>
  <si>
    <t>CT2 9DF</t>
  </si>
  <si>
    <t>13 Maple House, Rough Common</t>
  </si>
  <si>
    <t>Reeves</t>
  </si>
  <si>
    <t>jim.e.rees@gmail.com</t>
  </si>
  <si>
    <t>SK6 7NW</t>
  </si>
  <si>
    <t>5 Lyme Grove</t>
  </si>
  <si>
    <t>peter129reed@btinternet.com</t>
  </si>
  <si>
    <t>TQ7 2JF</t>
  </si>
  <si>
    <t>Kingsbridge</t>
  </si>
  <si>
    <t>Chillington</t>
  </si>
  <si>
    <t>Isernia   Coleridge Lane</t>
  </si>
  <si>
    <t>reed</t>
  </si>
  <si>
    <t>mdjredwood@icloud.com</t>
  </si>
  <si>
    <t>Ng103at</t>
  </si>
  <si>
    <t xml:space="preserve">Long Eaton </t>
  </si>
  <si>
    <t xml:space="preserve">Sawley </t>
  </si>
  <si>
    <t>368 Tamworth Road</t>
  </si>
  <si>
    <t>Redwood</t>
  </si>
  <si>
    <t>CO2 0AX</t>
  </si>
  <si>
    <t>Monkwick</t>
  </si>
  <si>
    <t>16 Thaxted Walk</t>
  </si>
  <si>
    <t>Redgewell</t>
  </si>
  <si>
    <t>matthewreader@btinternet.com</t>
  </si>
  <si>
    <t>AL5 2PQ</t>
  </si>
  <si>
    <t>Harpenden</t>
  </si>
  <si>
    <t>24 The Uplands</t>
  </si>
  <si>
    <t>Reader</t>
  </si>
  <si>
    <t>nicole_mallett@hotmail.co.uk</t>
  </si>
  <si>
    <t>Liverpool pheonix</t>
  </si>
  <si>
    <t>L40 0RP</t>
  </si>
  <si>
    <t>45 Marsh Moss Lane</t>
  </si>
  <si>
    <t>Nicole</t>
  </si>
  <si>
    <t>krea@blueyonder.co.uk</t>
  </si>
  <si>
    <t>EH54 8PD</t>
  </si>
  <si>
    <t>LIVINGSTON</t>
  </si>
  <si>
    <t>Carmondean</t>
  </si>
  <si>
    <t>4 Camps Rigg</t>
  </si>
  <si>
    <t>LM - Individual Membership - Scotland</t>
  </si>
  <si>
    <t>Rea</t>
  </si>
  <si>
    <t>e.rayson@outlook.com</t>
  </si>
  <si>
    <t>Gu27 3EN</t>
  </si>
  <si>
    <t>Haslemere Surrey</t>
  </si>
  <si>
    <t>Fernhurst</t>
  </si>
  <si>
    <t>Midhurst Road</t>
  </si>
  <si>
    <t>Rayson</t>
  </si>
  <si>
    <t>CT14 9FT</t>
  </si>
  <si>
    <t>Great Mongeham</t>
  </si>
  <si>
    <t>36 Caesar Court, Mongeham Road</t>
  </si>
  <si>
    <t>pgetyler@hotmail.com</t>
  </si>
  <si>
    <t>DL17 9HD</t>
  </si>
  <si>
    <t>Ferryhill</t>
  </si>
  <si>
    <t>West Cornforth</t>
  </si>
  <si>
    <t>64 Garmondsway Road</t>
  </si>
  <si>
    <t>Tyler</t>
  </si>
  <si>
    <t>ratcliffc44@gmail.com</t>
  </si>
  <si>
    <t>Ratcliff</t>
  </si>
  <si>
    <t>julianramsbottom@yahoo.co.uk</t>
  </si>
  <si>
    <t>DN16 3TD</t>
  </si>
  <si>
    <t>19 Ellison Avenue</t>
  </si>
  <si>
    <t>Ramsbottom</t>
  </si>
  <si>
    <t>carriden@jaramsay.plus.com</t>
  </si>
  <si>
    <t>AB31 5TU</t>
  </si>
  <si>
    <t>1 Lawson Crecent</t>
  </si>
  <si>
    <t>Ramsay</t>
  </si>
  <si>
    <t>G14 0EH</t>
  </si>
  <si>
    <t>15 Lesmuir Place</t>
  </si>
  <si>
    <t>Flat 1/2</t>
  </si>
  <si>
    <t>cliff.ralphs@btinternet.com</t>
  </si>
  <si>
    <t>LS16 9AZ</t>
  </si>
  <si>
    <t>Bramhope</t>
  </si>
  <si>
    <t>46 Old Lane</t>
  </si>
  <si>
    <t>krish.rajgopal@gmail.com</t>
  </si>
  <si>
    <t>WA144YU</t>
  </si>
  <si>
    <t>4 Plantin Road</t>
  </si>
  <si>
    <t>raj</t>
  </si>
  <si>
    <t>dabikeguru</t>
  </si>
  <si>
    <t>Krish</t>
  </si>
  <si>
    <t>S62 7RG</t>
  </si>
  <si>
    <t>Nether Haugh</t>
  </si>
  <si>
    <t>17 Daniel Lane</t>
  </si>
  <si>
    <t>Ragsdale</t>
  </si>
  <si>
    <t>gerrard.rafferty@kcl.ac.uk</t>
  </si>
  <si>
    <t>Beds Road Cycling Club</t>
  </si>
  <si>
    <t>MK40 2BD</t>
  </si>
  <si>
    <t>40 Byron Crescent</t>
  </si>
  <si>
    <t>Rafferty</t>
  </si>
  <si>
    <t>Gerrard</t>
  </si>
  <si>
    <t>tim@racedevelopments.co.uk</t>
  </si>
  <si>
    <t>GL2 4WB</t>
  </si>
  <si>
    <t>Quedgeley</t>
  </si>
  <si>
    <t>40 Carters Orchard</t>
  </si>
  <si>
    <t>Radley</t>
  </si>
  <si>
    <t>radleybuilding@outlook.com</t>
  </si>
  <si>
    <t>Oxonian cycling club</t>
  </si>
  <si>
    <t xml:space="preserve">OX294NH </t>
  </si>
  <si>
    <t xml:space="preserve">Eynsham </t>
  </si>
  <si>
    <t>20 spareacre lane</t>
  </si>
  <si>
    <t xml:space="preserve">Radburn </t>
  </si>
  <si>
    <t>garrycquinn@msn.com</t>
  </si>
  <si>
    <t>G75 8EL</t>
  </si>
  <si>
    <t>SOUTH LANRKSHIRE</t>
  </si>
  <si>
    <t>182 Rockhampton Ave</t>
  </si>
  <si>
    <t>Quinn</t>
  </si>
  <si>
    <t>sean.quinn1972@sky.com</t>
  </si>
  <si>
    <t>ML2 9AL</t>
  </si>
  <si>
    <t>Newmains</t>
  </si>
  <si>
    <t>136 Bonkle Road</t>
  </si>
  <si>
    <t>pe.q@outlook.com</t>
  </si>
  <si>
    <t>Wokingham CC</t>
  </si>
  <si>
    <t>RG41 2SS</t>
  </si>
  <si>
    <t>11 Arthur Road</t>
  </si>
  <si>
    <t>Quinlan</t>
  </si>
  <si>
    <t>jquimby@talk21.com</t>
  </si>
  <si>
    <t>YO7 4DA</t>
  </si>
  <si>
    <t xml:space="preserve">THIRSK </t>
  </si>
  <si>
    <t xml:space="preserve">Cemetery Road </t>
  </si>
  <si>
    <t>March House</t>
  </si>
  <si>
    <t>Quimby</t>
  </si>
  <si>
    <t>bob@quarton.co.uk</t>
  </si>
  <si>
    <t>IP14 2FG</t>
  </si>
  <si>
    <t>10 Forge Road</t>
  </si>
  <si>
    <t>Quarton</t>
  </si>
  <si>
    <t>grantpyke44@gmail.com</t>
  </si>
  <si>
    <t>KT4 8AL</t>
  </si>
  <si>
    <t>Worcester Park</t>
  </si>
  <si>
    <t>44 Green Lane</t>
  </si>
  <si>
    <t>Pyke</t>
  </si>
  <si>
    <t>gareth.purves@gmail.com</t>
  </si>
  <si>
    <t>Hastings &amp; St Leonards Cycling Club</t>
  </si>
  <si>
    <t>TN34 2UL</t>
  </si>
  <si>
    <t>hastings</t>
  </si>
  <si>
    <t>26 centurion rise</t>
  </si>
  <si>
    <t>Purves</t>
  </si>
  <si>
    <t>purdie.steven@googlemail.com</t>
  </si>
  <si>
    <t>G33 5AF</t>
  </si>
  <si>
    <t>Garthamlock</t>
  </si>
  <si>
    <t>48 Tillycairn Drive</t>
  </si>
  <si>
    <t>Purdie</t>
  </si>
  <si>
    <t xml:space="preserve">Standards: Solo Bike: unlimited attempts at any distance Annual Lunch 2024 </t>
  </si>
  <si>
    <t>NR38 9AT</t>
  </si>
  <si>
    <t>24 Yarmouth Road</t>
  </si>
  <si>
    <t>Pugh</t>
  </si>
  <si>
    <t>adpucks@gmail.com</t>
  </si>
  <si>
    <t>PO14 4NQ</t>
  </si>
  <si>
    <t>45 Trevose way</t>
  </si>
  <si>
    <t>Puckett</t>
  </si>
  <si>
    <t>routierdavid@yahoo.co.uk</t>
  </si>
  <si>
    <t xml:space="preserve">SAN fairy Ann </t>
  </si>
  <si>
    <t>CT4 6SJ</t>
  </si>
  <si>
    <t>Woolage Village</t>
  </si>
  <si>
    <t>28 Nethersole Road</t>
  </si>
  <si>
    <t>Prom</t>
  </si>
  <si>
    <t>ivanapr01@gmail.com</t>
  </si>
  <si>
    <t>EN11 8UJ</t>
  </si>
  <si>
    <t>Hoddesdon</t>
  </si>
  <si>
    <t>Pauls Lane</t>
  </si>
  <si>
    <t>5 Pauls Court</t>
  </si>
  <si>
    <t>Prokopova</t>
  </si>
  <si>
    <t>Ivana</t>
  </si>
  <si>
    <t>margaret@magjim.plus.com</t>
  </si>
  <si>
    <t>S30 4FY</t>
  </si>
  <si>
    <t>26 Briary Avenue</t>
  </si>
  <si>
    <t>dhpritchard1@aol.com</t>
  </si>
  <si>
    <t>TD3 6LU</t>
  </si>
  <si>
    <t>Berwickshire</t>
  </si>
  <si>
    <t>GORDON</t>
  </si>
  <si>
    <t>Bassendean</t>
  </si>
  <si>
    <t>Corner Cottage</t>
  </si>
  <si>
    <t>Hillary</t>
  </si>
  <si>
    <t>i.pritchard@sky.com</t>
  </si>
  <si>
    <t>BS20 6LZ</t>
  </si>
  <si>
    <t>21 Channel View Road</t>
  </si>
  <si>
    <t>Dovercourt</t>
  </si>
  <si>
    <t>mrtnprior@gmail.com</t>
  </si>
  <si>
    <t>OX294PT</t>
  </si>
  <si>
    <t>OXFORDSHIRE</t>
  </si>
  <si>
    <t>WITNEY</t>
  </si>
  <si>
    <t>EYNSHAM</t>
  </si>
  <si>
    <t>53 OLD WITNEY ROAD</t>
  </si>
  <si>
    <t>rwprior@me.com</t>
  </si>
  <si>
    <t>Southgate Cycling Club</t>
  </si>
  <si>
    <t>MK43 8HB</t>
  </si>
  <si>
    <t>Turvey</t>
  </si>
  <si>
    <t>8 Ladybridge Terrace</t>
  </si>
  <si>
    <t>priorsjbs@ntlworld.com</t>
  </si>
  <si>
    <t>SP10 2QS</t>
  </si>
  <si>
    <t>109 Springfield Close</t>
  </si>
  <si>
    <t>Jake</t>
  </si>
  <si>
    <t>clpriestley@hotmail.com</t>
  </si>
  <si>
    <t>SG6 1FL</t>
  </si>
  <si>
    <t>50 Principal Court</t>
  </si>
  <si>
    <t>Priestley</t>
  </si>
  <si>
    <t>jon.pridham@live.co.uk</t>
  </si>
  <si>
    <t>Rule 5</t>
  </si>
  <si>
    <t>PE2 7AY</t>
  </si>
  <si>
    <t>Orton Longueville</t>
  </si>
  <si>
    <t>3 Robert Rayner Close</t>
  </si>
  <si>
    <t>Pridham</t>
  </si>
  <si>
    <t>jim@jb-prentice.co.uk</t>
  </si>
  <si>
    <t>FK7 9JR</t>
  </si>
  <si>
    <t>28 Park Place</t>
  </si>
  <si>
    <t>Prentice</t>
  </si>
  <si>
    <t>mgnige@yahoo.co.uk</t>
  </si>
  <si>
    <t>SO21 3DF</t>
  </si>
  <si>
    <t>Micheldever</t>
  </si>
  <si>
    <t>Duke Street</t>
  </si>
  <si>
    <t>118a</t>
  </si>
  <si>
    <t>Pratt</t>
  </si>
  <si>
    <t>richard.pratt59@btinternet.com</t>
  </si>
  <si>
    <t>MK40 3SS</t>
  </si>
  <si>
    <t>13 Rosamond Road</t>
  </si>
  <si>
    <t>mrdmjpowell@googlemail.com</t>
  </si>
  <si>
    <t>Leighton Buzzard Road Cycling Club</t>
  </si>
  <si>
    <t>LU7 3NT</t>
  </si>
  <si>
    <t>24 South Street</t>
  </si>
  <si>
    <t>james.powell@mac.com</t>
  </si>
  <si>
    <t>SY14 8JE</t>
  </si>
  <si>
    <t>Ebnal</t>
  </si>
  <si>
    <t>Mates Lane</t>
  </si>
  <si>
    <t>Cotswold</t>
  </si>
  <si>
    <t>projectairwave@yahoo.co.uk</t>
  </si>
  <si>
    <t>Abergavenny RC</t>
  </si>
  <si>
    <t>NP15 2EH</t>
  </si>
  <si>
    <t>Raglan</t>
  </si>
  <si>
    <t>Usk</t>
  </si>
  <si>
    <t>13 Caestory Avenue</t>
  </si>
  <si>
    <t>waynerpowell@btinternet.com</t>
  </si>
  <si>
    <t>CW12 4JY</t>
  </si>
  <si>
    <t>Astbury Mere</t>
  </si>
  <si>
    <t>4 Walnut Rise</t>
  </si>
  <si>
    <t>powell</t>
  </si>
  <si>
    <t>wayne</t>
  </si>
  <si>
    <t>andypoulton1.ap@gmail.com</t>
  </si>
  <si>
    <t>LE16 8HG</t>
  </si>
  <si>
    <t>Near Market Harborough</t>
  </si>
  <si>
    <t>31 Main Street, Ashley</t>
  </si>
  <si>
    <t>ginnaflys@hotmail.com</t>
  </si>
  <si>
    <t>RAFCC</t>
  </si>
  <si>
    <t>NG348QF</t>
  </si>
  <si>
    <t xml:space="preserve">South Rauceby </t>
  </si>
  <si>
    <t xml:space="preserve">25 Southgate Spinneys </t>
  </si>
  <si>
    <t>Poulson</t>
  </si>
  <si>
    <t>jim35@hotmail.co.uk</t>
  </si>
  <si>
    <t>Orien,cc</t>
  </si>
  <si>
    <t>hu152eq</t>
  </si>
  <si>
    <t>brough</t>
  </si>
  <si>
    <t>south cave</t>
  </si>
  <si>
    <t>6 thornham close</t>
  </si>
  <si>
    <t>poulsom</t>
  </si>
  <si>
    <t xml:space="preserve">james </t>
  </si>
  <si>
    <t>jamespoulain@yahoo.com</t>
  </si>
  <si>
    <t>CM13 1NN</t>
  </si>
  <si>
    <t>Randalls Drive</t>
  </si>
  <si>
    <t>Poulain</t>
  </si>
  <si>
    <t>david.i.pottinger@gmail.com</t>
  </si>
  <si>
    <t>CH60 9HJ</t>
  </si>
  <si>
    <t>Heswall</t>
  </si>
  <si>
    <t>16 Ferns Close</t>
  </si>
  <si>
    <t>Pottinger</t>
  </si>
  <si>
    <t>lythclose26061954@hotmail.com</t>
  </si>
  <si>
    <t>YO16 6YJ</t>
  </si>
  <si>
    <t>Please select</t>
  </si>
  <si>
    <t xml:space="preserve">Bridlington </t>
  </si>
  <si>
    <t>6 Lyth Close</t>
  </si>
  <si>
    <t>davidpothecary12@btinternet.com</t>
  </si>
  <si>
    <t>PO9 6EQ</t>
  </si>
  <si>
    <t>Rowlands Castle</t>
  </si>
  <si>
    <t>Sunnyview, Forestside</t>
  </si>
  <si>
    <t>pothecary</t>
  </si>
  <si>
    <t>LE13 0QF</t>
  </si>
  <si>
    <t>3 Thrush Close</t>
  </si>
  <si>
    <t>Portess</t>
  </si>
  <si>
    <t>andrewchoras@supanet.com</t>
  </si>
  <si>
    <t>SG4 9QR</t>
  </si>
  <si>
    <t>58 Halsey Drive</t>
  </si>
  <si>
    <t>Porter</t>
  </si>
  <si>
    <t>roger_porter@btconnect.com</t>
  </si>
  <si>
    <t>AL3 4RQ</t>
  </si>
  <si>
    <t>8 Old Gardens Court</t>
  </si>
  <si>
    <t>philip.porteous@gmail.com</t>
  </si>
  <si>
    <t>HP12 4DQ</t>
  </si>
  <si>
    <t>Heathfield Road</t>
  </si>
  <si>
    <t>Cherrycroft</t>
  </si>
  <si>
    <t>Porteous</t>
  </si>
  <si>
    <t>r.poole@btinternet.com</t>
  </si>
  <si>
    <t>RG6 5XF</t>
  </si>
  <si>
    <t>27 Clevedon Road, Earley</t>
  </si>
  <si>
    <t>davepollard294@gmail.com</t>
  </si>
  <si>
    <t>BN25 3PN</t>
  </si>
  <si>
    <t>2 Harison Road</t>
  </si>
  <si>
    <t>Pollard</t>
  </si>
  <si>
    <t>impossiwoman@aol.com</t>
  </si>
  <si>
    <t>Gala Cycling Club</t>
  </si>
  <si>
    <t>TD1 1UE</t>
  </si>
  <si>
    <t>Selkirkshire</t>
  </si>
  <si>
    <t>Galashiels</t>
  </si>
  <si>
    <t>Clovenfords</t>
  </si>
  <si>
    <t>3 Caddonlee Farm Cottages</t>
  </si>
  <si>
    <t>Pogson</t>
  </si>
  <si>
    <t>C.R</t>
  </si>
  <si>
    <t>Andrea</t>
  </si>
  <si>
    <t>kp.gardendesign@ntlworld.com</t>
  </si>
  <si>
    <t>Team TMC Strada</t>
  </si>
  <si>
    <t>BN15 0QN</t>
  </si>
  <si>
    <t>North Lancing</t>
  </si>
  <si>
    <t>5 Norbury Drive</t>
  </si>
  <si>
    <t>Matt_plews@yahoo.com</t>
  </si>
  <si>
    <t>LE8 8EJ</t>
  </si>
  <si>
    <t>14 Garner Way</t>
  </si>
  <si>
    <t>Plews</t>
  </si>
  <si>
    <t>mervplayer33@gmail.com</t>
  </si>
  <si>
    <t>SG3 6NU</t>
  </si>
  <si>
    <t>18 New Close</t>
  </si>
  <si>
    <t>DLM - Individual Membership - East Anglian</t>
  </si>
  <si>
    <t>Player</t>
  </si>
  <si>
    <t>Merv</t>
  </si>
  <si>
    <t>kwp10@cam.ac.uk</t>
  </si>
  <si>
    <t>CB22 7PW</t>
  </si>
  <si>
    <t>7 Offa Lea</t>
  </si>
  <si>
    <t>Platts</t>
  </si>
  <si>
    <t>kathyplatts@btinternet.com</t>
  </si>
  <si>
    <t>LE12 7SG</t>
  </si>
  <si>
    <t>Sileby</t>
  </si>
  <si>
    <t>29 Sherrard Drive</t>
  </si>
  <si>
    <t>Kathy</t>
  </si>
  <si>
    <t>geoffplatts@btinternet.com</t>
  </si>
  <si>
    <t>TR10 9HB</t>
  </si>
  <si>
    <t>Burnthouse</t>
  </si>
  <si>
    <t>Mabe</t>
  </si>
  <si>
    <t>6 Cunningham Park</t>
  </si>
  <si>
    <t>Pixton</t>
  </si>
  <si>
    <t>nic@nicpillinger.co.uk</t>
  </si>
  <si>
    <t>35 West Street</t>
  </si>
  <si>
    <t>Pillinger</t>
  </si>
  <si>
    <t>Nic</t>
  </si>
  <si>
    <t>ianpike10@icloud.com</t>
  </si>
  <si>
    <t>PE12 6LS</t>
  </si>
  <si>
    <t>Moulton Seas End</t>
  </si>
  <si>
    <t>49 Carrington Road</t>
  </si>
  <si>
    <t>Pike</t>
  </si>
  <si>
    <t>vonviniga@gmail.com</t>
  </si>
  <si>
    <t>St Christophers Cycling Club</t>
  </si>
  <si>
    <t>G76 0LT</t>
  </si>
  <si>
    <t>Eaglesham</t>
  </si>
  <si>
    <t>17 Bonnyton Drive</t>
  </si>
  <si>
    <t>M41 9DQ</t>
  </si>
  <si>
    <t>Flixton</t>
  </si>
  <si>
    <t>27 Sunningdale Road</t>
  </si>
  <si>
    <t>a.pickard246@btinternet.com</t>
  </si>
  <si>
    <t>BS18 1JF</t>
  </si>
  <si>
    <t>128 Wellsway</t>
  </si>
  <si>
    <t>Pickard</t>
  </si>
  <si>
    <t>CM0 8ET</t>
  </si>
  <si>
    <t>25 Winstree Road</t>
  </si>
  <si>
    <t>Philpott</t>
  </si>
  <si>
    <t>lindsayphilp@gmail.com</t>
  </si>
  <si>
    <t>PDQ Property Elite Womens Race Team</t>
  </si>
  <si>
    <t>PL27 7RY</t>
  </si>
  <si>
    <t>St. Issey</t>
  </si>
  <si>
    <t>6, Highlanes</t>
  </si>
  <si>
    <t>Philp</t>
  </si>
  <si>
    <t>FK2 0TT</t>
  </si>
  <si>
    <t>BRIGHTONS</t>
  </si>
  <si>
    <t>1 Battock Road</t>
  </si>
  <si>
    <t>stuart.phillipson2543@gmail.com</t>
  </si>
  <si>
    <t xml:space="preserve">Velo Club Cumbria </t>
  </si>
  <si>
    <t>CA16 6QR</t>
  </si>
  <si>
    <t>Appleby-in-Westmorland</t>
  </si>
  <si>
    <t>8 Chapel Street</t>
  </si>
  <si>
    <t>Phillipson</t>
  </si>
  <si>
    <t>simon@balmersgm.com</t>
  </si>
  <si>
    <t xml:space="preserve">BB10 2DY </t>
  </si>
  <si>
    <t xml:space="preserve">24 Oakwood Close </t>
  </si>
  <si>
    <t>Willphillips0866@yahoo.co.uk</t>
  </si>
  <si>
    <t xml:space="preserve"># I have no club </t>
  </si>
  <si>
    <t xml:space="preserve">NN15 5DB </t>
  </si>
  <si>
    <t xml:space="preserve">Northants </t>
  </si>
  <si>
    <t xml:space="preserve">Kettering </t>
  </si>
  <si>
    <t>17 Beauly Court</t>
  </si>
  <si>
    <t xml:space="preserve">Phillips </t>
  </si>
  <si>
    <t xml:space="preserve">Will </t>
  </si>
  <si>
    <t>stephenrphillips@sky.com</t>
  </si>
  <si>
    <t>ML1 3GW</t>
  </si>
  <si>
    <t>Nth Lanarksshire</t>
  </si>
  <si>
    <t>Orchard Park</t>
  </si>
  <si>
    <t>89 John Muir Way</t>
  </si>
  <si>
    <t>m_s.phillips@yahoo.co.uk</t>
  </si>
  <si>
    <t>LS27 7AG</t>
  </si>
  <si>
    <t>Gildersome</t>
  </si>
  <si>
    <t>33 Ashwood Drive</t>
  </si>
  <si>
    <t>maphilipson@gmail.com</t>
  </si>
  <si>
    <t>HU10 6UG</t>
  </si>
  <si>
    <t>Anlaby</t>
  </si>
  <si>
    <t>52 Lloyd Street</t>
  </si>
  <si>
    <t>philipson</t>
  </si>
  <si>
    <t>jimfairmuir@aol.com</t>
  </si>
  <si>
    <t>DD3 8JD</t>
  </si>
  <si>
    <t>1 Fairmuir Square</t>
  </si>
  <si>
    <t>Petrie</t>
  </si>
  <si>
    <t>hnrk.prssn@gmail.com</t>
  </si>
  <si>
    <t>KT15 3HE</t>
  </si>
  <si>
    <t>36 Scotland Bridge Road</t>
  </si>
  <si>
    <t>Persson</t>
  </si>
  <si>
    <t>mikeperry@tiscali.co.uk</t>
  </si>
  <si>
    <t>CT20 1LR</t>
  </si>
  <si>
    <t>6 Cambridge Terrace</t>
  </si>
  <si>
    <t>martin.perrett@gmail.com</t>
  </si>
  <si>
    <t>NG16 1BZ</t>
  </si>
  <si>
    <t>Nuthall</t>
  </si>
  <si>
    <t>2 Boden Drive</t>
  </si>
  <si>
    <t>Perrett</t>
  </si>
  <si>
    <t>bob_perrett@hotmail.com</t>
  </si>
  <si>
    <t>LE18 3PS</t>
  </si>
  <si>
    <t>14 Whitegates Field</t>
  </si>
  <si>
    <t>perkinsframes@yahoo.co.uk</t>
  </si>
  <si>
    <t xml:space="preserve">Team Ohten Aveas </t>
  </si>
  <si>
    <t>Le12 8lLG</t>
  </si>
  <si>
    <t xml:space="preserve">Loughborough </t>
  </si>
  <si>
    <t xml:space="preserve">Barrow upon Soar </t>
  </si>
  <si>
    <t xml:space="preserve">1 Martin Avenue </t>
  </si>
  <si>
    <t>ray.deb@blueyonder.co.uk</t>
  </si>
  <si>
    <t>Kent Velo Girls</t>
  </si>
  <si>
    <t>ME5 9TR</t>
  </si>
  <si>
    <t>21 Concord Avenue</t>
  </si>
  <si>
    <t>Debbie</t>
  </si>
  <si>
    <t>normananne88@btinternet.com</t>
  </si>
  <si>
    <t>HA3 6HL</t>
  </si>
  <si>
    <t>Harrow Weald</t>
  </si>
  <si>
    <t>497 High Road</t>
  </si>
  <si>
    <t>Penstone</t>
  </si>
  <si>
    <t>mikepenrice66@gmail.com</t>
  </si>
  <si>
    <t>YO8 5HP</t>
  </si>
  <si>
    <t>Osgodby</t>
  </si>
  <si>
    <t>South Duffield Road</t>
  </si>
  <si>
    <t>Tawnylands</t>
  </si>
  <si>
    <t>Penrice</t>
  </si>
  <si>
    <t>barbara@mrpenrice.plus.com</t>
  </si>
  <si>
    <t>andrew-penny271@hotmail.com</t>
  </si>
  <si>
    <t xml:space="preserve">HU3 3QB </t>
  </si>
  <si>
    <t>East Yorks</t>
  </si>
  <si>
    <t>St Georgeâ€™s Rd</t>
  </si>
  <si>
    <t>9 Clifton Gardens</t>
  </si>
  <si>
    <t>dpem83rton@gmail.com</t>
  </si>
  <si>
    <t>Born to Bike/Bridgtown Cycles</t>
  </si>
  <si>
    <t>WV11 2DU</t>
  </si>
  <si>
    <t>Essington</t>
  </si>
  <si>
    <t>93 Sneyd Lane</t>
  </si>
  <si>
    <t>Pemberton</t>
  </si>
  <si>
    <t>alastair.pell@btinternet.com</t>
  </si>
  <si>
    <t>G644AQ</t>
  </si>
  <si>
    <t>Torrance</t>
  </si>
  <si>
    <t>Balmore</t>
  </si>
  <si>
    <t>Hillpark</t>
  </si>
  <si>
    <t>Pell</t>
  </si>
  <si>
    <t>Charles Hamish</t>
  </si>
  <si>
    <t>stuartpeckham007@gmail.com</t>
  </si>
  <si>
    <t xml:space="preserve">BH256SN </t>
  </si>
  <si>
    <t xml:space="preserve">New Milton </t>
  </si>
  <si>
    <t>20 Vincent Rd</t>
  </si>
  <si>
    <t xml:space="preserve">Peckham </t>
  </si>
  <si>
    <t xml:space="preserve">Stuart </t>
  </si>
  <si>
    <t>matt4physio@yahoo.co.uk</t>
  </si>
  <si>
    <t xml:space="preserve">IP44DA </t>
  </si>
  <si>
    <t xml:space="preserve">155 Brunswick Rd </t>
  </si>
  <si>
    <t xml:space="preserve">Peck </t>
  </si>
  <si>
    <t>joypayne27@gmail.com</t>
  </si>
  <si>
    <t>HP15 7NA</t>
  </si>
  <si>
    <t>149 Penn Road</t>
  </si>
  <si>
    <t>Payne</t>
  </si>
  <si>
    <t>stuartpayne1@hotmail.com</t>
  </si>
  <si>
    <t>RH6 9RE</t>
  </si>
  <si>
    <t>19 Broadbridge Lane</t>
  </si>
  <si>
    <t>richard.payn@ntlworld.com</t>
  </si>
  <si>
    <t>BR2 7QT</t>
  </si>
  <si>
    <t>12 Pickurst Green</t>
  </si>
  <si>
    <t>Payn</t>
  </si>
  <si>
    <t>ian@paint-inspection.co.uk</t>
  </si>
  <si>
    <t>SO40 8TH</t>
  </si>
  <si>
    <t>1 Elliot close</t>
  </si>
  <si>
    <t>david@thorntree.biz</t>
  </si>
  <si>
    <t>Southdown Velos CC</t>
  </si>
  <si>
    <t>BN18 9PU</t>
  </si>
  <si>
    <t>Poling</t>
  </si>
  <si>
    <t>Thorn Tree Cottage</t>
  </si>
  <si>
    <t>Patten</t>
  </si>
  <si>
    <t>angela.paterson@newmojo.co.uk</t>
  </si>
  <si>
    <t>Musselburgh Road Cycle Club</t>
  </si>
  <si>
    <t>EH32 0RJ</t>
  </si>
  <si>
    <t>Aberlady</t>
  </si>
  <si>
    <t>6 Kirk Road</t>
  </si>
  <si>
    <t>paterson</t>
  </si>
  <si>
    <t>angela</t>
  </si>
  <si>
    <t>haydene59@hotmail.com</t>
  </si>
  <si>
    <t>DL13 3AS</t>
  </si>
  <si>
    <t>Wolsingham</t>
  </si>
  <si>
    <t>21 West End</t>
  </si>
  <si>
    <t>Parvin</t>
  </si>
  <si>
    <t>reedpartridge@hotmail.co.uk</t>
  </si>
  <si>
    <t>Ambion R.T</t>
  </si>
  <si>
    <t>LE10 2HP</t>
  </si>
  <si>
    <t xml:space="preserve">2 Coventry Road </t>
  </si>
  <si>
    <t>richard@studiopartington.co.uk</t>
  </si>
  <si>
    <t>N19 4PJ</t>
  </si>
  <si>
    <t>2, Mercers Road</t>
  </si>
  <si>
    <t>Partington</t>
  </si>
  <si>
    <t>kevinparrym@googlemail.com</t>
  </si>
  <si>
    <t xml:space="preserve">Hereford cycle hub </t>
  </si>
  <si>
    <t>Hr4 9xj</t>
  </si>
  <si>
    <t xml:space="preserve">Hereford </t>
  </si>
  <si>
    <t xml:space="preserve">12 Tremlett Close </t>
  </si>
  <si>
    <t>e.parry49@btinternet.com</t>
  </si>
  <si>
    <t xml:space="preserve">Vtta Merseyside </t>
  </si>
  <si>
    <t>Ll57 3EG</t>
  </si>
  <si>
    <t>Gwynedd</t>
  </si>
  <si>
    <t>Bangor</t>
  </si>
  <si>
    <t>Rachub</t>
  </si>
  <si>
    <t>49 Maes Bleddyn</t>
  </si>
  <si>
    <t>Eurwyn</t>
  </si>
  <si>
    <t>ajp40@btinternet.com</t>
  </si>
  <si>
    <t>Plymouth City Cycle Couriers</t>
  </si>
  <si>
    <t>PL8 2AB</t>
  </si>
  <si>
    <t xml:space="preserve">Brixton </t>
  </si>
  <si>
    <t xml:space="preserve">1 Horn Lane </t>
  </si>
  <si>
    <t xml:space="preserve">Parnowski </t>
  </si>
  <si>
    <t xml:space="preserve">Jason </t>
  </si>
  <si>
    <t>stephen.parnell@gmail.com</t>
  </si>
  <si>
    <t>SK96HJ</t>
  </si>
  <si>
    <t>WILMSLOW</t>
  </si>
  <si>
    <t>28 St. Johns Road</t>
  </si>
  <si>
    <t>Parnell</t>
  </si>
  <si>
    <t>brianps127@gmail.com</t>
  </si>
  <si>
    <t>Rochdale Triathlon Club</t>
  </si>
  <si>
    <t>OL16 3UX</t>
  </si>
  <si>
    <t>35 Weir Road</t>
  </si>
  <si>
    <t>Parkinson-Silk</t>
  </si>
  <si>
    <t>cdp@lineone.net</t>
  </si>
  <si>
    <t>LE3 2BA</t>
  </si>
  <si>
    <t>12 Collingham Road</t>
  </si>
  <si>
    <t>cmparkins@live.co.uk</t>
  </si>
  <si>
    <t>PE8 5JE</t>
  </si>
  <si>
    <t>Mayfield, Elton Road, Fotheringhay</t>
  </si>
  <si>
    <t>Parkins</t>
  </si>
  <si>
    <t>ritchieparkins@outlook.com</t>
  </si>
  <si>
    <t>Fotheringhay</t>
  </si>
  <si>
    <t>Elton Road</t>
  </si>
  <si>
    <t>Ritchie</t>
  </si>
  <si>
    <t>jeremyparker133@gmail.com</t>
  </si>
  <si>
    <t>ME3 8EE</t>
  </si>
  <si>
    <t>Wainscott</t>
  </si>
  <si>
    <t>40 Grant Road</t>
  </si>
  <si>
    <t>1972bparker@gmail.com</t>
  </si>
  <si>
    <t>LS104GF</t>
  </si>
  <si>
    <t>New Forest Village</t>
  </si>
  <si>
    <t>11 Blenkinsop Drive</t>
  </si>
  <si>
    <t>ChrisParkerPett@aol.com</t>
  </si>
  <si>
    <t>TN5 7EG</t>
  </si>
  <si>
    <t>Stonegate, Wadhurst</t>
  </si>
  <si>
    <t>5 Limden Close</t>
  </si>
  <si>
    <t>jimclareparker@gmail.com</t>
  </si>
  <si>
    <t>GU10 3PE</t>
  </si>
  <si>
    <t>Timber Lodge  School Lane</t>
  </si>
  <si>
    <t>michaeljamesparker@me.com</t>
  </si>
  <si>
    <t>North Cotswold CC</t>
  </si>
  <si>
    <t>OX7 6RG.</t>
  </si>
  <si>
    <t>Milton-under-Wychwood</t>
  </si>
  <si>
    <t>3 Wellington Way</t>
  </si>
  <si>
    <t>don.parker1@icloud.com</t>
  </si>
  <si>
    <t>BN3 7RD</t>
  </si>
  <si>
    <t>5 Chartfield</t>
  </si>
  <si>
    <t xml:space="preserve">Standards: Solo Bike: unlimited attempts at any distance Annual Lunch Annual Lunch </t>
  </si>
  <si>
    <t>mrwaite@btinternet.com</t>
  </si>
  <si>
    <t>Hereford  Wheelers</t>
  </si>
  <si>
    <t>NP7 7LE</t>
  </si>
  <si>
    <t>Abergavenny</t>
  </si>
  <si>
    <t>Old Hereford Road</t>
  </si>
  <si>
    <t>Little Llwyn Gwyn Farm</t>
  </si>
  <si>
    <t>VeloSistas TT Team</t>
  </si>
  <si>
    <t>Parish</t>
  </si>
  <si>
    <t>pjpardoe@gmail.com</t>
  </si>
  <si>
    <t>PE2 9SP</t>
  </si>
  <si>
    <t>Sugar Way</t>
  </si>
  <si>
    <t>21 Wye Valley Road</t>
  </si>
  <si>
    <t>Pardoe</t>
  </si>
  <si>
    <t>jp1kg@talktalk.net</t>
  </si>
  <si>
    <t>NG15 6QA</t>
  </si>
  <si>
    <t>Off Robert's Lane</t>
  </si>
  <si>
    <t>3 Rosedale Gardens</t>
  </si>
  <si>
    <t>Pardo</t>
  </si>
  <si>
    <t>gary@gatewaypartnership.co.uk</t>
  </si>
  <si>
    <t>CO3 0HU</t>
  </si>
  <si>
    <t>Stanway</t>
  </si>
  <si>
    <t>2 New Road</t>
  </si>
  <si>
    <t>Pamment</t>
  </si>
  <si>
    <t>krpalmer2@yahoo.co.uk</t>
  </si>
  <si>
    <t xml:space="preserve">Ilkeston CC </t>
  </si>
  <si>
    <t>Ng3 7az</t>
  </si>
  <si>
    <t xml:space="preserve">Carlton </t>
  </si>
  <si>
    <t xml:space="preserve">8 Kilnwood Close </t>
  </si>
  <si>
    <t>SK10 5DZ</t>
  </si>
  <si>
    <t>28 Barnfield Road</t>
  </si>
  <si>
    <t>Palk</t>
  </si>
  <si>
    <t>paine.jayne@gmail.com</t>
  </si>
  <si>
    <t>Willesden C C</t>
  </si>
  <si>
    <t>W10 6DU</t>
  </si>
  <si>
    <t>North Kensington</t>
  </si>
  <si>
    <t>38 Hewer St</t>
  </si>
  <si>
    <t>Paine</t>
  </si>
  <si>
    <t>Jempage@btinternet.com</t>
  </si>
  <si>
    <t>Tn86nd</t>
  </si>
  <si>
    <t>Four Elms, Edenbridge</t>
  </si>
  <si>
    <t>alan-page@virginmedia.com</t>
  </si>
  <si>
    <t>BD6 1RT</t>
  </si>
  <si>
    <t>Wibsey</t>
  </si>
  <si>
    <t>2 Briarwood Drive</t>
  </si>
  <si>
    <t>packman@heymede.net</t>
  </si>
  <si>
    <t>GS Vecchi</t>
  </si>
  <si>
    <t>RH5 6AF</t>
  </si>
  <si>
    <t>Westhumble, Dorking</t>
  </si>
  <si>
    <t>Westhumble Street</t>
  </si>
  <si>
    <t>12 Cleveland Court</t>
  </si>
  <si>
    <t>Packman</t>
  </si>
  <si>
    <t>martinosulliv2@hotmail.com</t>
  </si>
  <si>
    <t>Teddington and Turing Velo</t>
  </si>
  <si>
    <t>Kt11 2AH</t>
  </si>
  <si>
    <t>109 Hogshill Lane</t>
  </si>
  <si>
    <t xml:space="preserve">Oâ€™Sullivan </t>
  </si>
  <si>
    <t>l_oregan@hotmail.com</t>
  </si>
  <si>
    <t>Cv12 0dy</t>
  </si>
  <si>
    <t>Bedworth</t>
  </si>
  <si>
    <t xml:space="preserve">10 Hollyhurst </t>
  </si>
  <si>
    <t>Oâ€™Regan</t>
  </si>
  <si>
    <t>muratozdenya@hotmail.com</t>
  </si>
  <si>
    <t>E4 9HE</t>
  </si>
  <si>
    <t xml:space="preserve">47 Normanshire drive </t>
  </si>
  <si>
    <t>Ozdenya</t>
  </si>
  <si>
    <t>Murat</t>
  </si>
  <si>
    <t>CV37 7EL</t>
  </si>
  <si>
    <t>Stratford on Avon</t>
  </si>
  <si>
    <t>10 Evenlode Close</t>
  </si>
  <si>
    <t>Oxtoby</t>
  </si>
  <si>
    <t>Bethan@ouseley.co.uk</t>
  </si>
  <si>
    <t xml:space="preserve">SA63 4QS </t>
  </si>
  <si>
    <t xml:space="preserve">Clarbeston Road </t>
  </si>
  <si>
    <t xml:space="preserve">Woodbine </t>
  </si>
  <si>
    <t>Ouseley</t>
  </si>
  <si>
    <t>Bethan</t>
  </si>
  <si>
    <t>alanottiwell@hotmail.co.uk</t>
  </si>
  <si>
    <t>Wa13 0DT</t>
  </si>
  <si>
    <t>73 Highfield Road</t>
  </si>
  <si>
    <t>Ottiwell</t>
  </si>
  <si>
    <t>ME12 2LU</t>
  </si>
  <si>
    <t>Sheerness</t>
  </si>
  <si>
    <t>Minster-on-Sea</t>
  </si>
  <si>
    <t>159, Southsea Ave</t>
  </si>
  <si>
    <t>adrian.osborn@virgin.net</t>
  </si>
  <si>
    <t>Stratford upon Avon Cycling Club</t>
  </si>
  <si>
    <t>CV35 9TQ</t>
  </si>
  <si>
    <t>WARWICKSHIRE</t>
  </si>
  <si>
    <t>WELLESBOURNE</t>
  </si>
  <si>
    <t>9 GLOSTER GARDENS</t>
  </si>
  <si>
    <t>Kelvin</t>
  </si>
  <si>
    <t>MK451RX</t>
  </si>
  <si>
    <t>12 Hawk close</t>
  </si>
  <si>
    <t>Orsborn</t>
  </si>
  <si>
    <t>orridge999@btinternet.com</t>
  </si>
  <si>
    <t>Bicester Millennium Cycling Club</t>
  </si>
  <si>
    <t>OX25 4SF</t>
  </si>
  <si>
    <t>Bicester, OXON</t>
  </si>
  <si>
    <t>Steeple Aston</t>
  </si>
  <si>
    <t>Fir Lane,</t>
  </si>
  <si>
    <t>Orridge</t>
  </si>
  <si>
    <t>Harriet</t>
  </si>
  <si>
    <t>john.g.orridge@gmail.com</t>
  </si>
  <si>
    <t>Bicester Millenium</t>
  </si>
  <si>
    <t>Fir Lane</t>
  </si>
  <si>
    <t>a.40oliver@gmail.com</t>
  </si>
  <si>
    <t>Team Enable- MI Racing-McCann</t>
  </si>
  <si>
    <t xml:space="preserve">NN4 8LJ </t>
  </si>
  <si>
    <t>40 Briar Hill Rd</t>
  </si>
  <si>
    <t>doliver.sen@icloud.com</t>
  </si>
  <si>
    <t>HARTLEPOOL CC</t>
  </si>
  <si>
    <t>DL16 7JD</t>
  </si>
  <si>
    <t>Kirk Merrington</t>
  </si>
  <si>
    <t>"Ryhill"</t>
  </si>
  <si>
    <t>jobr1919@googlemail.com</t>
  </si>
  <si>
    <t>OX29 8JY</t>
  </si>
  <si>
    <t>Flat B Cedar Lodge</t>
  </si>
  <si>
    <t>Henry John</t>
  </si>
  <si>
    <t>susanoldham49@gmail.com</t>
  </si>
  <si>
    <t>OX26 2DR</t>
  </si>
  <si>
    <t>72 Bucknell Road</t>
  </si>
  <si>
    <t>john0d311@gmail.com</t>
  </si>
  <si>
    <t>NG13 8EZ</t>
  </si>
  <si>
    <t>1 Rupert Road</t>
  </si>
  <si>
    <t>Odell</t>
  </si>
  <si>
    <t>roakes1@me.com</t>
  </si>
  <si>
    <t>LE15 8PN</t>
  </si>
  <si>
    <t>Empingham</t>
  </si>
  <si>
    <t>St. Peters Barn, Church Street</t>
  </si>
  <si>
    <t>Oakes</t>
  </si>
  <si>
    <t>maggieandroy@icloud.com</t>
  </si>
  <si>
    <t>NG8 6AF</t>
  </si>
  <si>
    <t>Cinderhill</t>
  </si>
  <si>
    <t>635 Nuthall Road</t>
  </si>
  <si>
    <t>Roy.</t>
  </si>
  <si>
    <t>orourkerichard1@gmail.com</t>
  </si>
  <si>
    <t xml:space="preserve">Team Vision Racing-Silverhook </t>
  </si>
  <si>
    <t xml:space="preserve">CM61SZ </t>
  </si>
  <si>
    <t xml:space="preserve">Little Canfield </t>
  </si>
  <si>
    <t xml:space="preserve">Warwick road </t>
  </si>
  <si>
    <t xml:space="preserve">The nest </t>
  </si>
  <si>
    <t>O'Rourke</t>
  </si>
  <si>
    <t>moyna.oneill@live.co.uk</t>
  </si>
  <si>
    <t>L37 4HX</t>
  </si>
  <si>
    <t xml:space="preserve">Formby </t>
  </si>
  <si>
    <t xml:space="preserve">11 Glendale Way </t>
  </si>
  <si>
    <t>Moyna</t>
  </si>
  <si>
    <t>michael@nw3ventures.com</t>
  </si>
  <si>
    <t>SW5 0NJ</t>
  </si>
  <si>
    <t>Flat 2, 69 Courtfield Gardens</t>
  </si>
  <si>
    <t>O'Keeffe</t>
  </si>
  <si>
    <t>chris.oconnor63@btinternet.com</t>
  </si>
  <si>
    <t>Exeter Wheelers CC</t>
  </si>
  <si>
    <t>EX17 4NJ</t>
  </si>
  <si>
    <t>CREDITON</t>
  </si>
  <si>
    <t>Sandford</t>
  </si>
  <si>
    <t>10 Snows Estate</t>
  </si>
  <si>
    <t>pippa@poda.co.uk</t>
  </si>
  <si>
    <t>RT PODA</t>
  </si>
  <si>
    <t>SL4 2RX</t>
  </si>
  <si>
    <t>Old Windsor</t>
  </si>
  <si>
    <t>44 Straight Road</t>
  </si>
  <si>
    <t>Pippa</t>
  </si>
  <si>
    <t>hannah.obrien@me.com</t>
  </si>
  <si>
    <t>IP13 6XA</t>
  </si>
  <si>
    <t>Grundisburgh</t>
  </si>
  <si>
    <t>Gurdon Road</t>
  </si>
  <si>
    <t>matt.obrien@me.com</t>
  </si>
  <si>
    <t>69 Gurdon Road Grundisburgh</t>
  </si>
  <si>
    <t>snwaka@outlook.com</t>
  </si>
  <si>
    <t>NG31 8QN</t>
  </si>
  <si>
    <t>Manthorpe</t>
  </si>
  <si>
    <t>Low Road</t>
  </si>
  <si>
    <t>The Old Reading Room</t>
  </si>
  <si>
    <t>Nwaka</t>
  </si>
  <si>
    <t>snutley56@gmail.com</t>
  </si>
  <si>
    <t>Bottomcraig</t>
  </si>
  <si>
    <t>Catlins</t>
  </si>
  <si>
    <t>Nutley</t>
  </si>
  <si>
    <t>chrisnu@hotmail.co.uk</t>
  </si>
  <si>
    <t>NR14 8GP</t>
  </si>
  <si>
    <t>Mulbarton</t>
  </si>
  <si>
    <t>22 Sowdlefield Walk</t>
  </si>
  <si>
    <t>nudds</t>
  </si>
  <si>
    <t>chris</t>
  </si>
  <si>
    <t>aandj@mailcan.co.uk</t>
  </si>
  <si>
    <t>GL8 8EX</t>
  </si>
  <si>
    <t>Tetbury</t>
  </si>
  <si>
    <t>9 Southfield</t>
  </si>
  <si>
    <t>Jenala</t>
  </si>
  <si>
    <t>Norwood</t>
  </si>
  <si>
    <t>bobn@tinyonline.co.uk</t>
  </si>
  <si>
    <t>CW11 3BU</t>
  </si>
  <si>
    <t>52 Vicarage Lane</t>
  </si>
  <si>
    <t>Georgina</t>
  </si>
  <si>
    <t>nortonbob4@gmail.com</t>
  </si>
  <si>
    <t>k.e.a.norris@icloud.com</t>
  </si>
  <si>
    <t>360VRT</t>
  </si>
  <si>
    <t xml:space="preserve">Sn27jn </t>
  </si>
  <si>
    <t xml:space="preserve">Upper stratton </t>
  </si>
  <si>
    <t>6 cloche way</t>
  </si>
  <si>
    <t>davenormanscenery@gmail.com</t>
  </si>
  <si>
    <t>Birkenhead Victoria C.C</t>
  </si>
  <si>
    <t>CH41 0DU</t>
  </si>
  <si>
    <t>188 Bidston Avenue</t>
  </si>
  <si>
    <t>suzynoon1979@yahoo.com</t>
  </si>
  <si>
    <t>BD18 4AA</t>
  </si>
  <si>
    <t>Shipley</t>
  </si>
  <si>
    <t>300 Bingley Road</t>
  </si>
  <si>
    <t>Noon</t>
  </si>
  <si>
    <t>david-nolan@hotmail.co.uk</t>
  </si>
  <si>
    <t>HU16 5FR</t>
  </si>
  <si>
    <t>19 Taylor Avenue</t>
  </si>
  <si>
    <t>pcgnoble@blueyonder.co.uk</t>
  </si>
  <si>
    <t>CB7 6aj</t>
  </si>
  <si>
    <t>82 perch chase</t>
  </si>
  <si>
    <t>gnoble2007@btinternet.com</t>
  </si>
  <si>
    <t>Graham weigh racing</t>
  </si>
  <si>
    <t>Ch1 5nb</t>
  </si>
  <si>
    <t xml:space="preserve">Blacon </t>
  </si>
  <si>
    <t>25 dalton close</t>
  </si>
  <si>
    <t>rotoni@gmail.com</t>
  </si>
  <si>
    <t>KT26EU</t>
  </si>
  <si>
    <t>200 Acre Road</t>
  </si>
  <si>
    <t>Nilsson</t>
  </si>
  <si>
    <t>Tobias</t>
  </si>
  <si>
    <t>hansdnilsson@mac.com</t>
  </si>
  <si>
    <t>NW3 4UJ</t>
  </si>
  <si>
    <t>29 Primrose Gardens</t>
  </si>
  <si>
    <t>susan.wilde1@gmail.com</t>
  </si>
  <si>
    <t>LL55 1SW</t>
  </si>
  <si>
    <t>Cymru</t>
  </si>
  <si>
    <t>17 Church Street</t>
  </si>
  <si>
    <t>Wilde</t>
  </si>
  <si>
    <t>brigidnight@gmail.com</t>
  </si>
  <si>
    <t>Night</t>
  </si>
  <si>
    <t>Brigid</t>
  </si>
  <si>
    <t xml:space="preserve">Standards: Tandem Bike: unlimited attempts at any distance </t>
  </si>
  <si>
    <t>keith.nield@mypostoffice.co.uk</t>
  </si>
  <si>
    <t>WA5 1ZL</t>
  </si>
  <si>
    <t>Great Sankey</t>
  </si>
  <si>
    <t>6 Charleston Grove</t>
  </si>
  <si>
    <t>jen.bike@hotmail.com</t>
  </si>
  <si>
    <t>Velo Club Vitesse</t>
  </si>
  <si>
    <t>KA1 1RP</t>
  </si>
  <si>
    <t>Kilmarnock</t>
  </si>
  <si>
    <t>2 Holmes Park View</t>
  </si>
  <si>
    <t>brian.w.nicol@hotmail.co.uk</t>
  </si>
  <si>
    <t>richard.nicholl@nationaltrust.org.uk</t>
  </si>
  <si>
    <t>Banbridge Cycling Club</t>
  </si>
  <si>
    <t>BT66 8TJ</t>
  </si>
  <si>
    <t>Select</t>
  </si>
  <si>
    <t>CRAIGAVON</t>
  </si>
  <si>
    <t>Lurgan</t>
  </si>
  <si>
    <t>19 Drumgask Lane</t>
  </si>
  <si>
    <t>Nicholl</t>
  </si>
  <si>
    <t>dnichol@btopenworld.com</t>
  </si>
  <si>
    <t>TS21 1LQ</t>
  </si>
  <si>
    <t>Whitton</t>
  </si>
  <si>
    <t>Manor Farmhouse</t>
  </si>
  <si>
    <t>Nichol</t>
  </si>
  <si>
    <t>Barnesbury CC</t>
  </si>
  <si>
    <t>NE13 6JD</t>
  </si>
  <si>
    <t>Wideopen</t>
  </si>
  <si>
    <t>Woodlands Park</t>
  </si>
  <si>
    <t>51 Worcester Way</t>
  </si>
  <si>
    <t>marcey1@sky.com</t>
  </si>
  <si>
    <t>chester road club</t>
  </si>
  <si>
    <t>CH60 7SZ</t>
  </si>
  <si>
    <t>34 Tower Road South</t>
  </si>
  <si>
    <t>newton</t>
  </si>
  <si>
    <t>dave</t>
  </si>
  <si>
    <t>newton-mark2@sky.com</t>
  </si>
  <si>
    <t>BR3 3JX</t>
  </si>
  <si>
    <t>6 Beck Way</t>
  </si>
  <si>
    <t>bhnewton69@gmail.com</t>
  </si>
  <si>
    <t>gnewsome708@gmail.com</t>
  </si>
  <si>
    <t>VTTA (Kent Group)</t>
  </si>
  <si>
    <t>ME17 2DX</t>
  </si>
  <si>
    <t>3 Rayners Hill Cottages</t>
  </si>
  <si>
    <t>Newsome</t>
  </si>
  <si>
    <t>geoff55newman@gmail.com</t>
  </si>
  <si>
    <t>GU512TH</t>
  </si>
  <si>
    <t>fleet</t>
  </si>
  <si>
    <t>3 highland drive</t>
  </si>
  <si>
    <t>newman</t>
  </si>
  <si>
    <t>geoffrey</t>
  </si>
  <si>
    <t>pauln29.3.67@gmail.com</t>
  </si>
  <si>
    <t>DL10 4YP</t>
  </si>
  <si>
    <t>RICHMOND</t>
  </si>
  <si>
    <t>1 The Ghyll</t>
  </si>
  <si>
    <t>NEWMAN</t>
  </si>
  <si>
    <t>dnewman120@gmail.com</t>
  </si>
  <si>
    <t>UB4 0BH</t>
  </si>
  <si>
    <t>179, Shakespeare Avenue</t>
  </si>
  <si>
    <t>john.g6zqe@gmail.com</t>
  </si>
  <si>
    <t>NR18 9BH</t>
  </si>
  <si>
    <t>51, The Lizard</t>
  </si>
  <si>
    <t>cccclaire@ntlworld.com</t>
  </si>
  <si>
    <t>SO40 7EP</t>
  </si>
  <si>
    <t>andynewham@msn.com</t>
  </si>
  <si>
    <t>LN6 7EZ</t>
  </si>
  <si>
    <t>47 Swallowbeck Avenue</t>
  </si>
  <si>
    <t>Newham</t>
  </si>
  <si>
    <t>richard.newell@ntlworld.com</t>
  </si>
  <si>
    <t>CB25 0RT</t>
  </si>
  <si>
    <t>Burwell</t>
  </si>
  <si>
    <t>33,Kentwell Place</t>
  </si>
  <si>
    <t>newell</t>
  </si>
  <si>
    <t>pnewby33@tiscali.co.uk</t>
  </si>
  <si>
    <t>HP6 5DD</t>
  </si>
  <si>
    <t>4 Elm Close</t>
  </si>
  <si>
    <t>Nevster21@yahoo.com</t>
  </si>
  <si>
    <t>Hart Evolution RC</t>
  </si>
  <si>
    <t>GU47 0UR</t>
  </si>
  <si>
    <t xml:space="preserve">Sandhurst </t>
  </si>
  <si>
    <t xml:space="preserve">Claremont wood </t>
  </si>
  <si>
    <t xml:space="preserve">121 Harvard Road </t>
  </si>
  <si>
    <t xml:space="preserve">Neville </t>
  </si>
  <si>
    <t>mj.nelson@hotmail.co.uk</t>
  </si>
  <si>
    <t>Out of the Saddle</t>
  </si>
  <si>
    <t>S66 7RR</t>
  </si>
  <si>
    <t xml:space="preserve">Micklebring </t>
  </si>
  <si>
    <t>2 Greaves Sike Lane</t>
  </si>
  <si>
    <t>ed@vivelevelo.cc</t>
  </si>
  <si>
    <t>YO25 8DU</t>
  </si>
  <si>
    <t>Bewholme</t>
  </si>
  <si>
    <t>The Old Chapel</t>
  </si>
  <si>
    <t>Neilson</t>
  </si>
  <si>
    <t>nasht881@gmail.com</t>
  </si>
  <si>
    <t>DN16 3QB</t>
  </si>
  <si>
    <t>SCUNTHORPE</t>
  </si>
  <si>
    <t>Bottesford</t>
  </si>
  <si>
    <t>7 Silver Birch Rise</t>
  </si>
  <si>
    <t>Nash</t>
  </si>
  <si>
    <t>richardnapper12@gmail.com</t>
  </si>
  <si>
    <t>Sitwell Cycling Club</t>
  </si>
  <si>
    <t>S26 2DB</t>
  </si>
  <si>
    <t>37 Rosegarth Avenue</t>
  </si>
  <si>
    <t>Napper</t>
  </si>
  <si>
    <t>ronenaman@gmail.com</t>
  </si>
  <si>
    <t>CM12 9EG</t>
  </si>
  <si>
    <t>Billericay</t>
  </si>
  <si>
    <t>43 West Park Crescent</t>
  </si>
  <si>
    <t>Naman</t>
  </si>
  <si>
    <t>robmuzio@gmail.com</t>
  </si>
  <si>
    <t>LE14 3RG</t>
  </si>
  <si>
    <t>Asfordby</t>
  </si>
  <si>
    <t>17 Dwyers Close</t>
  </si>
  <si>
    <t>Muzio</t>
  </si>
  <si>
    <t>gjmurray66@gmail.com</t>
  </si>
  <si>
    <t>CV11 6FU</t>
  </si>
  <si>
    <t>St Nicolas Park</t>
  </si>
  <si>
    <t>6 Gloucester Close</t>
  </si>
  <si>
    <t>sarah.j1@btinternet.com</t>
  </si>
  <si>
    <t xml:space="preserve">Clwb Beico Egni Eryri </t>
  </si>
  <si>
    <t xml:space="preserve">LL55 4FE </t>
  </si>
  <si>
    <t xml:space="preserve">Gwynedd </t>
  </si>
  <si>
    <t xml:space="preserve">Caernarfon </t>
  </si>
  <si>
    <t xml:space="preserve">Llanberis </t>
  </si>
  <si>
    <t xml:space="preserve">3 Trem y Chwarel </t>
  </si>
  <si>
    <t xml:space="preserve">Murray </t>
  </si>
  <si>
    <t>m15kwm@me.com</t>
  </si>
  <si>
    <t>DL3 0ZJ</t>
  </si>
  <si>
    <t>15 Camborne Drive</t>
  </si>
  <si>
    <t>Willam</t>
  </si>
  <si>
    <t>chrissielesmore@aol.com</t>
  </si>
  <si>
    <t>SN15 4QB</t>
  </si>
  <si>
    <t>Lyneham</t>
  </si>
  <si>
    <t>15 Muscovey Close</t>
  </si>
  <si>
    <t>ianmurray43@talktalk.net</t>
  </si>
  <si>
    <t>EH14 1XP</t>
  </si>
  <si>
    <t>5 / 11 Meggatland Square</t>
  </si>
  <si>
    <t>murphybradley@aol.com</t>
  </si>
  <si>
    <t>Chorlton Velo</t>
  </si>
  <si>
    <t>SK9 2GU</t>
  </si>
  <si>
    <t>16 Kingsbury Drive</t>
  </si>
  <si>
    <t>bmurph79@gmail.com</t>
  </si>
  <si>
    <t>CH5 2DX</t>
  </si>
  <si>
    <t>Leaches Lane</t>
  </si>
  <si>
    <t>3 Oak Court</t>
  </si>
  <si>
    <t>thesmurfs@blueyonder.co.uk</t>
  </si>
  <si>
    <t>CM2 9NE</t>
  </si>
  <si>
    <t>34 Orange Tree Close</t>
  </si>
  <si>
    <t>murphy</t>
  </si>
  <si>
    <t>the_murphy5@yahoo.co.uk</t>
  </si>
  <si>
    <t>G61 1AX</t>
  </si>
  <si>
    <t>East Dunbartonshire</t>
  </si>
  <si>
    <t>46 Ravelston Road</t>
  </si>
  <si>
    <t>MurphyJames</t>
  </si>
  <si>
    <t>jjmurphy40@btinternet.com</t>
  </si>
  <si>
    <t>GL1 5NE</t>
  </si>
  <si>
    <t>28 Tuffley Crescent</t>
  </si>
  <si>
    <t>marlynmunro@btinternet.com</t>
  </si>
  <si>
    <t>G67 4HA</t>
  </si>
  <si>
    <t>Chapelton Road</t>
  </si>
  <si>
    <t>13A Auchenkilns Holdings</t>
  </si>
  <si>
    <t>Munro</t>
  </si>
  <si>
    <t>amunro879@gmail.com</t>
  </si>
  <si>
    <t>West Lancs</t>
  </si>
  <si>
    <t>Holmeswood</t>
  </si>
  <si>
    <t>m.mmunnings07@yahoo.co.uk</t>
  </si>
  <si>
    <t>Lowestoft Wheelers Cycling Club</t>
  </si>
  <si>
    <t>Nr32 4xg</t>
  </si>
  <si>
    <t xml:space="preserve">7 lawn Grove </t>
  </si>
  <si>
    <t>Munnings</t>
  </si>
  <si>
    <t>paulmulready@hotmail.co.uk</t>
  </si>
  <si>
    <t>Bridgnorth Cycling Club</t>
  </si>
  <si>
    <t>WV16 4HE</t>
  </si>
  <si>
    <t>22 Love Lane</t>
  </si>
  <si>
    <t>Mulready</t>
  </si>
  <si>
    <t>fergusmuir@btinternet.com</t>
  </si>
  <si>
    <t>TA East</t>
  </si>
  <si>
    <t>NR3 1BY</t>
  </si>
  <si>
    <t>15 Calvert Street</t>
  </si>
  <si>
    <t>Fergus</t>
  </si>
  <si>
    <t>james@jwfltd.com</t>
  </si>
  <si>
    <t>G64 2HJ</t>
  </si>
  <si>
    <t>BISHOPBRIGGS</t>
  </si>
  <si>
    <t>8 Dalkeith Avenue</t>
  </si>
  <si>
    <t>r.moule998@btinternet.com</t>
  </si>
  <si>
    <t>LU7 9RD</t>
  </si>
  <si>
    <t xml:space="preserve">59 Old Farm, </t>
  </si>
  <si>
    <t>Moule</t>
  </si>
  <si>
    <t>SK7 1JZ</t>
  </si>
  <si>
    <t>37 Meadway</t>
  </si>
  <si>
    <t>Mottershead</t>
  </si>
  <si>
    <t>james_moss@hotmail.co.uk</t>
  </si>
  <si>
    <t>ME195LQ</t>
  </si>
  <si>
    <t>Vine Cottage, The Street, Ryarsh</t>
  </si>
  <si>
    <t>info@edwardmoss.co.uk</t>
  </si>
  <si>
    <t>B29 6NG</t>
  </si>
  <si>
    <t xml:space="preserve">Birmingham </t>
  </si>
  <si>
    <t>Selly Oak</t>
  </si>
  <si>
    <t>110 Lodge Hill Road</t>
  </si>
  <si>
    <t>soupdragon.moss@btopenworld.com</t>
  </si>
  <si>
    <t>WN6 9PZ</t>
  </si>
  <si>
    <t>Wrightington</t>
  </si>
  <si>
    <t>Robin Hood Lane</t>
  </si>
  <si>
    <t>Boars Den Farm</t>
  </si>
  <si>
    <t>Conpmoss@aol.com</t>
  </si>
  <si>
    <t xml:space="preserve">Nopinz </t>
  </si>
  <si>
    <t xml:space="preserve">tq33sx </t>
  </si>
  <si>
    <t>devon</t>
  </si>
  <si>
    <t>paignton</t>
  </si>
  <si>
    <t xml:space="preserve">paignton </t>
  </si>
  <si>
    <t xml:space="preserve">5 Spencer rd </t>
  </si>
  <si>
    <t>moss</t>
  </si>
  <si>
    <t>conrad</t>
  </si>
  <si>
    <t>steve@fixedwheel.co.uk</t>
  </si>
  <si>
    <t>SK23 7AW</t>
  </si>
  <si>
    <t>Whaley Bridge</t>
  </si>
  <si>
    <t>36 Williamson Road</t>
  </si>
  <si>
    <t>rogermorris47@hotmail.co.uk</t>
  </si>
  <si>
    <t>ST20 0BP</t>
  </si>
  <si>
    <t>Gnosall</t>
  </si>
  <si>
    <t>25 Glendower Close</t>
  </si>
  <si>
    <t>morris67@talktalk.net</t>
  </si>
  <si>
    <t>S65 4JR</t>
  </si>
  <si>
    <t>Ravenfield</t>
  </si>
  <si>
    <t>3 Cayton Close</t>
  </si>
  <si>
    <t>DN22 8LQ</t>
  </si>
  <si>
    <t>RETFORD</t>
  </si>
  <si>
    <t>Ranskill</t>
  </si>
  <si>
    <t>60 Station Avenue</t>
  </si>
  <si>
    <t>mickmorris42@sky.com</t>
  </si>
  <si>
    <t>DA13 0SJ</t>
  </si>
  <si>
    <t>Vigo</t>
  </si>
  <si>
    <t xml:space="preserve">42, Churchside, </t>
  </si>
  <si>
    <t xml:space="preserve">Morris </t>
  </si>
  <si>
    <t>cttphil@hotmail.co.uk</t>
  </si>
  <si>
    <t>PO15 6EZ</t>
  </si>
  <si>
    <t>26 Walton Court</t>
  </si>
  <si>
    <t>MORRIS</t>
  </si>
  <si>
    <t>NG17 9AY</t>
  </si>
  <si>
    <t>Kirkby-in-Ashfield</t>
  </si>
  <si>
    <t>5 Ethelbert Avenue</t>
  </si>
  <si>
    <t>jmorris8954@gmail.com</t>
  </si>
  <si>
    <t>LE10 1TH</t>
  </si>
  <si>
    <t>4 Field Close</t>
  </si>
  <si>
    <t>amorris1317@gmail.com</t>
  </si>
  <si>
    <t>brmorrell@btinternet.com</t>
  </si>
  <si>
    <t>Dumfries CC</t>
  </si>
  <si>
    <t>DG1 2DU</t>
  </si>
  <si>
    <t>1 Leafield Gardens</t>
  </si>
  <si>
    <t>Morrell</t>
  </si>
  <si>
    <t>leemorley2003@hotmail.co.uk</t>
  </si>
  <si>
    <t>TS251GA</t>
  </si>
  <si>
    <t>29 Gala close</t>
  </si>
  <si>
    <t>derek.morgan2@btinternet.com</t>
  </si>
  <si>
    <t>GANNET C C</t>
  </si>
  <si>
    <t>HR8 2AJ</t>
  </si>
  <si>
    <t>Ledbury</t>
  </si>
  <si>
    <t>3A Bridge Street</t>
  </si>
  <si>
    <t>The Wayside</t>
  </si>
  <si>
    <t>sgmog@hotmail.com</t>
  </si>
  <si>
    <t xml:space="preserve">VÃ©loElite </t>
  </si>
  <si>
    <t>NN9 6HQ</t>
  </si>
  <si>
    <t>Raunds</t>
  </si>
  <si>
    <t>16 York Way</t>
  </si>
  <si>
    <t>amorgan1214@gmail.com</t>
  </si>
  <si>
    <t>BS37 6LG</t>
  </si>
  <si>
    <t>40 Gorlands Road</t>
  </si>
  <si>
    <t>smoorhouse17@hotmail.co.uk</t>
  </si>
  <si>
    <t>BD23 4JG</t>
  </si>
  <si>
    <t>7 Rowan Lane</t>
  </si>
  <si>
    <t>Moorhouse</t>
  </si>
  <si>
    <t>davidmoore08@btinternet.com</t>
  </si>
  <si>
    <t>TF136HH</t>
  </si>
  <si>
    <t xml:space="preserve">Much Wenlock </t>
  </si>
  <si>
    <t>38 oakfield Park</t>
  </si>
  <si>
    <t>tracy_moore44@hotmail.com</t>
  </si>
  <si>
    <t>the tricycle association north west</t>
  </si>
  <si>
    <t>CA22 2TG</t>
  </si>
  <si>
    <t>Bigrigg, Egremont</t>
  </si>
  <si>
    <t>Springfield Road</t>
  </si>
  <si>
    <t xml:space="preserve">2 Smithy Cottages, </t>
  </si>
  <si>
    <t>baccaandtracy@btinternet.com</t>
  </si>
  <si>
    <t xml:space="preserve">Standards: Solo Trike: unlimited attempts at any distance Standards: Solo Trike: unlimited attempts at any distance </t>
  </si>
  <si>
    <t>malcmoore666@icloud.com</t>
  </si>
  <si>
    <t xml:space="preserve">LE10 2NX </t>
  </si>
  <si>
    <t xml:space="preserve">9 Herald Way </t>
  </si>
  <si>
    <t>robertloum@gmail.com</t>
  </si>
  <si>
    <t>IG10 4BP</t>
  </si>
  <si>
    <t xml:space="preserve">Loughton </t>
  </si>
  <si>
    <t>123 Smarts Lane</t>
  </si>
  <si>
    <t>Louis</t>
  </si>
  <si>
    <t>pam939y@gmail.com</t>
  </si>
  <si>
    <t>LE67 5PQ</t>
  </si>
  <si>
    <t xml:space="preserve">Whitwick </t>
  </si>
  <si>
    <t xml:space="preserve">2 Perran Avenue </t>
  </si>
  <si>
    <t xml:space="preserve">Pamela </t>
  </si>
  <si>
    <t>baccamoore61@hotmail.com</t>
  </si>
  <si>
    <t>Big Rigg</t>
  </si>
  <si>
    <t>2 Smithy Cottages</t>
  </si>
  <si>
    <t>harry_louise@btinternet.com</t>
  </si>
  <si>
    <t>Cycling Club Hackney</t>
  </si>
  <si>
    <t>E8 4NE</t>
  </si>
  <si>
    <t>105 Lansdowne Drive</t>
  </si>
  <si>
    <t>ML6 8SL</t>
  </si>
  <si>
    <t>Airdrie</t>
  </si>
  <si>
    <t>Chapelhall</t>
  </si>
  <si>
    <t>33 Gibb Street</t>
  </si>
  <si>
    <t>UB10 8PG</t>
  </si>
  <si>
    <t>UXBRIDGE</t>
  </si>
  <si>
    <t>Ickenham</t>
  </si>
  <si>
    <t>104 Glebe Avenue</t>
  </si>
  <si>
    <t>skinhatboy@gmail.com</t>
  </si>
  <si>
    <t>BN41 2WN</t>
  </si>
  <si>
    <t>125 Graham Avenue</t>
  </si>
  <si>
    <t>Molloy</t>
  </si>
  <si>
    <t>jim@pirtonltd.com</t>
  </si>
  <si>
    <t>SG5 3HB</t>
  </si>
  <si>
    <t>Pirton</t>
  </si>
  <si>
    <t>Pirton Grange</t>
  </si>
  <si>
    <t>Moffatt</t>
  </si>
  <si>
    <t>allistairmoffat@googlemail.com</t>
  </si>
  <si>
    <t>CA13 0BG</t>
  </si>
  <si>
    <t xml:space="preserve">Cumbria </t>
  </si>
  <si>
    <t xml:space="preserve">Cockermouth </t>
  </si>
  <si>
    <t xml:space="preserve">6 Albemarle Street </t>
  </si>
  <si>
    <t xml:space="preserve">Allistair </t>
  </si>
  <si>
    <t>mitchellinnis82@gmail.com</t>
  </si>
  <si>
    <t>Ross-shire Roads C.C</t>
  </si>
  <si>
    <t xml:space="preserve">Mitchell </t>
  </si>
  <si>
    <t>a.mitchell88@btinternet.com</t>
  </si>
  <si>
    <t>Ross-shire Roads C.C.</t>
  </si>
  <si>
    <t>email@brucemitchell.co.uk</t>
  </si>
  <si>
    <t>Inverness Cycle Club</t>
  </si>
  <si>
    <t>IV38RN</t>
  </si>
  <si>
    <t>Lentran</t>
  </si>
  <si>
    <t>Newtonhill</t>
  </si>
  <si>
    <t>altnacardich woodland house</t>
  </si>
  <si>
    <t>robbie81mitchell@gmail.com</t>
  </si>
  <si>
    <t>Auchencrow Thistle</t>
  </si>
  <si>
    <t>Td113ql</t>
  </si>
  <si>
    <t>Duns</t>
  </si>
  <si>
    <t xml:space="preserve">Scotston </t>
  </si>
  <si>
    <t>Robbie</t>
  </si>
  <si>
    <t>damitchell@sky.com</t>
  </si>
  <si>
    <t>Perth United CC</t>
  </si>
  <si>
    <t>PH1 1JU</t>
  </si>
  <si>
    <t>48 Muirend Road</t>
  </si>
  <si>
    <t>amitchebrick@hotmail.com</t>
  </si>
  <si>
    <t>WC1H 9DW</t>
  </si>
  <si>
    <t>Tonbridge Street</t>
  </si>
  <si>
    <t>Queen Alexandra Mansions</t>
  </si>
  <si>
    <t>Flat 110</t>
  </si>
  <si>
    <t>molly.mitchell@tiscali.co.uk</t>
  </si>
  <si>
    <t>AB39 2DT</t>
  </si>
  <si>
    <t>STONEHAVEN</t>
  </si>
  <si>
    <t>3 Mans Hill Avenue</t>
  </si>
  <si>
    <t>lindawhitelegg@talktalk.net</t>
  </si>
  <si>
    <t>1485 Triathlon Club</t>
  </si>
  <si>
    <t>LE10 1AQ</t>
  </si>
  <si>
    <t>Leicesstershire</t>
  </si>
  <si>
    <t>45 Priesthills Road</t>
  </si>
  <si>
    <t>Whitelegg</t>
  </si>
  <si>
    <t>chris.minto@6-echo.com</t>
  </si>
  <si>
    <t>SY2 6DF</t>
  </si>
  <si>
    <t>6 Stonehurst Drive</t>
  </si>
  <si>
    <t>Milsom</t>
  </si>
  <si>
    <t>FK3 0HT</t>
  </si>
  <si>
    <t>33 Earn Court</t>
  </si>
  <si>
    <t>Milne</t>
  </si>
  <si>
    <t>chetton@me.com</t>
  </si>
  <si>
    <t>WV16 6UF</t>
  </si>
  <si>
    <t>shropshire</t>
  </si>
  <si>
    <t>Chetton</t>
  </si>
  <si>
    <t>Orchard View</t>
  </si>
  <si>
    <t>Mills-Keeling</t>
  </si>
  <si>
    <t>davemil42@hotmail.com</t>
  </si>
  <si>
    <t xml:space="preserve">Cm150BD </t>
  </si>
  <si>
    <t xml:space="preserve">Kelvedon Hatch </t>
  </si>
  <si>
    <t xml:space="preserve">46 Glovers Field </t>
  </si>
  <si>
    <t xml:space="preserve">Mills </t>
  </si>
  <si>
    <t>YO32 2PR</t>
  </si>
  <si>
    <t>Wiggington</t>
  </si>
  <si>
    <t>49 The Village</t>
  </si>
  <si>
    <t>air_mat@mac.com</t>
  </si>
  <si>
    <t>Barton In The Beans</t>
  </si>
  <si>
    <t>47 Main Street</t>
  </si>
  <si>
    <t>Millns</t>
  </si>
  <si>
    <t>Mat</t>
  </si>
  <si>
    <t>millington@onetel.com</t>
  </si>
  <si>
    <t>SK6 8AT</t>
  </si>
  <si>
    <t>High Lane</t>
  </si>
  <si>
    <t>27 Derwent Road</t>
  </si>
  <si>
    <t>Millington</t>
  </si>
  <si>
    <t>Anthony   [Tony]</t>
  </si>
  <si>
    <t>millera2@me.com</t>
  </si>
  <si>
    <t xml:space="preserve">Hu14 3bj </t>
  </si>
  <si>
    <t xml:space="preserve">North Ferriby </t>
  </si>
  <si>
    <t>Swanland</t>
  </si>
  <si>
    <t>11 St Maryâ€™s walk</t>
  </si>
  <si>
    <t>mwa3452@gmail.com</t>
  </si>
  <si>
    <t>Caesarean CC (Jersey)</t>
  </si>
  <si>
    <t>JE3 8FW</t>
  </si>
  <si>
    <t>St Brelade</t>
  </si>
  <si>
    <t>Clement</t>
  </si>
  <si>
    <t>Kimberly,  28 La Mielle</t>
  </si>
  <si>
    <t>janicemillard_6@hotmail.com</t>
  </si>
  <si>
    <t>GU2 4LF</t>
  </si>
  <si>
    <t>42 Agraria Road</t>
  </si>
  <si>
    <t>Millard</t>
  </si>
  <si>
    <t>Leonard William</t>
  </si>
  <si>
    <t>kddrochetta@yahoo.co.uk</t>
  </si>
  <si>
    <t>Hart Veloce</t>
  </si>
  <si>
    <t>RG21 3DD</t>
  </si>
  <si>
    <t>2 Bounty Road</t>
  </si>
  <si>
    <t>Millar</t>
  </si>
  <si>
    <t>davemillar@ntlworld.com</t>
  </si>
  <si>
    <t>G73 2TA</t>
  </si>
  <si>
    <t>RUTHERGLEN</t>
  </si>
  <si>
    <t>71 Landemer Drive</t>
  </si>
  <si>
    <t>joe.b.millar16@gmail.com</t>
  </si>
  <si>
    <t>DD8 3HL</t>
  </si>
  <si>
    <t>Forfar</t>
  </si>
  <si>
    <t>16 Lochbank Road</t>
  </si>
  <si>
    <t>Dunthorn'</t>
  </si>
  <si>
    <t>s.miles6@ntlworld.com</t>
  </si>
  <si>
    <t>SG1 2JR</t>
  </si>
  <si>
    <t>Stevenage</t>
  </si>
  <si>
    <t>32, Kessingland Avenue</t>
  </si>
  <si>
    <t>tim26miles@gmail.com</t>
  </si>
  <si>
    <t>TN34 2HE</t>
  </si>
  <si>
    <t>26 Park View</t>
  </si>
  <si>
    <t>middletoncarol931@gmail.com</t>
  </si>
  <si>
    <t>AB41 7GX</t>
  </si>
  <si>
    <t>Ellon</t>
  </si>
  <si>
    <t>Tarves</t>
  </si>
  <si>
    <t>andymetherell@yahoo.co.uk</t>
  </si>
  <si>
    <t>BS16 7DN</t>
  </si>
  <si>
    <t>90 Westons Hill Drivew</t>
  </si>
  <si>
    <t>Metherell</t>
  </si>
  <si>
    <t>alastairmerrill@gmail.com</t>
  </si>
  <si>
    <t>SL3 9NH</t>
  </si>
  <si>
    <t>29 Montrose Avenue</t>
  </si>
  <si>
    <t>Merrill</t>
  </si>
  <si>
    <t>VTTA North Lancs and Lakes Group</t>
  </si>
  <si>
    <t>BB12 8HE</t>
  </si>
  <si>
    <t>25 Albert Street</t>
  </si>
  <si>
    <t>DA12 4LP</t>
  </si>
  <si>
    <t>6 Sirdar Strand</t>
  </si>
  <si>
    <t>Mepham</t>
  </si>
  <si>
    <t>paulandkathleen.mepham@btinternet.com</t>
  </si>
  <si>
    <t>andymelvin7@gmail.com</t>
  </si>
  <si>
    <t>SK42JH</t>
  </si>
  <si>
    <t>Heaton Norris</t>
  </si>
  <si>
    <t>16 Bankfield Avenue</t>
  </si>
  <si>
    <t>phil@argylefinancialgroup.co.uk</t>
  </si>
  <si>
    <t>HP4 1PE</t>
  </si>
  <si>
    <t>Little Gaddesden</t>
  </si>
  <si>
    <t>Farthings</t>
  </si>
  <si>
    <t>Melville</t>
  </si>
  <si>
    <t>cyclingrichard@hotmail.com</t>
  </si>
  <si>
    <t>CM8 2JG</t>
  </si>
  <si>
    <t>Witham</t>
  </si>
  <si>
    <t>Chalks Road</t>
  </si>
  <si>
    <t xml:space="preserve">Lingfield </t>
  </si>
  <si>
    <t>jamesmeldrum2003@yahoo.co.uk</t>
  </si>
  <si>
    <t>L23 7YH</t>
  </si>
  <si>
    <t>3 Kaigh Avenue</t>
  </si>
  <si>
    <t>Meldrum</t>
  </si>
  <si>
    <t>andrew.meilak@icloud.com</t>
  </si>
  <si>
    <t>TN17 2DG</t>
  </si>
  <si>
    <t>Frittenden, Cranbrook</t>
  </si>
  <si>
    <t>The Street,</t>
  </si>
  <si>
    <t>The Pump House</t>
  </si>
  <si>
    <t>Meilak</t>
  </si>
  <si>
    <t>mee.dave@btinternet.com</t>
  </si>
  <si>
    <t>Marlboro AC</t>
  </si>
  <si>
    <t>HP7 9ET</t>
  </si>
  <si>
    <t>206 Stanley Hill</t>
  </si>
  <si>
    <t>Mee</t>
  </si>
  <si>
    <t>mrmeado56@gmail.com</t>
  </si>
  <si>
    <t>NG10 1EU</t>
  </si>
  <si>
    <t>5 Thorpe Leys</t>
  </si>
  <si>
    <t>Meaden</t>
  </si>
  <si>
    <t>hello@charlottemead.co.uk</t>
  </si>
  <si>
    <t>Monmouthshire Wheelers</t>
  </si>
  <si>
    <t>NP7 9AT</t>
  </si>
  <si>
    <t xml:space="preserve">Monmouthshire </t>
  </si>
  <si>
    <t xml:space="preserve">Abergavenny </t>
  </si>
  <si>
    <t xml:space="preserve">Penpergwm </t>
  </si>
  <si>
    <t>Stables Cottage</t>
  </si>
  <si>
    <t>janice@chroot.myzen.co.uk</t>
  </si>
  <si>
    <t>East MidlandsYorkshire</t>
  </si>
  <si>
    <t>Todwick Grange</t>
  </si>
  <si>
    <t>pedaller1@sky.com</t>
  </si>
  <si>
    <t>Gala CC</t>
  </si>
  <si>
    <t>TD12FD</t>
  </si>
  <si>
    <t>Melrose Gait</t>
  </si>
  <si>
    <t>'Chapeau'  3 Adam Kelly Way</t>
  </si>
  <si>
    <t>McTaggart</t>
  </si>
  <si>
    <t>TD1 2FD</t>
  </si>
  <si>
    <t>kirstymcseveney@gmail.com</t>
  </si>
  <si>
    <t>PO14 4FB</t>
  </si>
  <si>
    <t>Titchfield Common</t>
  </si>
  <si>
    <t>9 Peckham Close</t>
  </si>
  <si>
    <t>McSeveney</t>
  </si>
  <si>
    <t>Dooley RT</t>
  </si>
  <si>
    <t>KA3 3BU</t>
  </si>
  <si>
    <t>77 Kilwinning Road</t>
  </si>
  <si>
    <t>t.mcnulty1@ntlworld.com</t>
  </si>
  <si>
    <t>G23 5JN</t>
  </si>
  <si>
    <t>4 Duich Gardens</t>
  </si>
  <si>
    <t>Mcnulty</t>
  </si>
  <si>
    <t>simacracing@yahoo.com</t>
  </si>
  <si>
    <t>Hunt RT</t>
  </si>
  <si>
    <t>BN5 9YH</t>
  </si>
  <si>
    <t>Smalldole</t>
  </si>
  <si>
    <t>Newhall Lane</t>
  </si>
  <si>
    <t>Cielo</t>
  </si>
  <si>
    <t>eleanorandpeter@talktalk.net</t>
  </si>
  <si>
    <t>S66 7BD</t>
  </si>
  <si>
    <t>Braithwell</t>
  </si>
  <si>
    <t>17 Willow Place</t>
  </si>
  <si>
    <t>McNally</t>
  </si>
  <si>
    <t>mgtcomcmillan@gmail.com</t>
  </si>
  <si>
    <t>AB31 4EZ</t>
  </si>
  <si>
    <t>1 Upper Arbeadie Place</t>
  </si>
  <si>
    <t>McMillan</t>
  </si>
  <si>
    <t>derekmcmillan33@btinternet.com</t>
  </si>
  <si>
    <t>G75 9GA</t>
  </si>
  <si>
    <t>Lindsay View</t>
  </si>
  <si>
    <t>6 Cheviot Crescent</t>
  </si>
  <si>
    <t>wroseholm@aol.com</t>
  </si>
  <si>
    <t>KA29 0ED</t>
  </si>
  <si>
    <t>Fairlie</t>
  </si>
  <si>
    <t>14 Southannan Road</t>
  </si>
  <si>
    <t>iaintmcleod@btinternet.com</t>
  </si>
  <si>
    <t>FK4 1PG</t>
  </si>
  <si>
    <t>3 Rose Street</t>
  </si>
  <si>
    <t>McLeod</t>
  </si>
  <si>
    <t>Kenny.mclellan@me.com</t>
  </si>
  <si>
    <t>DH2 3ST</t>
  </si>
  <si>
    <t>Chester Le Street</t>
  </si>
  <si>
    <t>9 Falstone Drive</t>
  </si>
  <si>
    <t>McLellan</t>
  </si>
  <si>
    <t>david.mclellan@btopenworld.com</t>
  </si>
  <si>
    <t>KA24 4JG</t>
  </si>
  <si>
    <t>The Den</t>
  </si>
  <si>
    <t>Dungoyle'</t>
  </si>
  <si>
    <t>mike@mmcl.karoo.co.uk</t>
  </si>
  <si>
    <t>HU11 5EA</t>
  </si>
  <si>
    <t>Skirlaugh</t>
  </si>
  <si>
    <t>29 Benningholme Lane</t>
  </si>
  <si>
    <t>McLeavy</t>
  </si>
  <si>
    <t>donaldmclean0691@gmail.com</t>
  </si>
  <si>
    <t>Flying Kippers</t>
  </si>
  <si>
    <t>KW17 2RL</t>
  </si>
  <si>
    <t>St Margarets Hope</t>
  </si>
  <si>
    <t>Stews Road</t>
  </si>
  <si>
    <t>Smiddy Park</t>
  </si>
  <si>
    <t>McLean</t>
  </si>
  <si>
    <t>mclean.shetland@btinternet.com</t>
  </si>
  <si>
    <t>ZE2 9HX</t>
  </si>
  <si>
    <t>Levenwick</t>
  </si>
  <si>
    <t>Kinnoull</t>
  </si>
  <si>
    <t>gmclaughlan41@gmail.com</t>
  </si>
  <si>
    <t>ML2 0AR</t>
  </si>
  <si>
    <t>NETHERTON</t>
  </si>
  <si>
    <t>151 Netherton Road</t>
  </si>
  <si>
    <t>DLM - Individual Membership - Scotland</t>
  </si>
  <si>
    <t>McLaughlan</t>
  </si>
  <si>
    <t>WA8 4TL</t>
  </si>
  <si>
    <t>Hough Green</t>
  </si>
  <si>
    <t>90 Cherry Sutton</t>
  </si>
  <si>
    <t>McKnight</t>
  </si>
  <si>
    <t>mckieelizabeth@gmail.com</t>
  </si>
  <si>
    <t>Verulamreallymoving.com</t>
  </si>
  <si>
    <t>AL5 1JY</t>
  </si>
  <si>
    <t>3, Paddock End</t>
  </si>
  <si>
    <t>McKie</t>
  </si>
  <si>
    <t>john.mchugh2@ntlworld.com</t>
  </si>
  <si>
    <t>Glasgow Road Club</t>
  </si>
  <si>
    <t>G64 1HE</t>
  </si>
  <si>
    <t>36 Carron Crescent</t>
  </si>
  <si>
    <t>McHugh</t>
  </si>
  <si>
    <t>Adrian_mchale@hotmail.com</t>
  </si>
  <si>
    <t>PE3 6GQ</t>
  </si>
  <si>
    <t>10 Waterend</t>
  </si>
  <si>
    <t>McHale</t>
  </si>
  <si>
    <t>gerard_mcguire@btinternet.com</t>
  </si>
  <si>
    <t>Pentland Velo</t>
  </si>
  <si>
    <t>EH10 7JG</t>
  </si>
  <si>
    <t>Fairmilhead</t>
  </si>
  <si>
    <t>26 Galachlawside</t>
  </si>
  <si>
    <t>McGuire</t>
  </si>
  <si>
    <t>Gerard</t>
  </si>
  <si>
    <t>alanmcguire@btinternet.com</t>
  </si>
  <si>
    <t>IP11 7RH</t>
  </si>
  <si>
    <t>6 Princes Garden</t>
  </si>
  <si>
    <t>michellemcguinness247@yahoo.com</t>
  </si>
  <si>
    <t>Didcot Phoenix Cycling Club</t>
  </si>
  <si>
    <t>OX13 5JS</t>
  </si>
  <si>
    <t xml:space="preserve">Appleton </t>
  </si>
  <si>
    <t xml:space="preserve">Oaksmere </t>
  </si>
  <si>
    <t xml:space="preserve">Bell Cottage </t>
  </si>
  <si>
    <t>McGuinness</t>
  </si>
  <si>
    <t>mcgowanjason@sky.com</t>
  </si>
  <si>
    <t>Kernow Racing Team</t>
  </si>
  <si>
    <t>PL268EH</t>
  </si>
  <si>
    <t>St Dennis</t>
  </si>
  <si>
    <t>32 Hendra Road</t>
  </si>
  <si>
    <t>mcgowan</t>
  </si>
  <si>
    <t>jason</t>
  </si>
  <si>
    <t>johnmcglashan51@hotmail.com</t>
  </si>
  <si>
    <t>TN8 5LL</t>
  </si>
  <si>
    <t>EDENBRIDGE</t>
  </si>
  <si>
    <t>Crouch House Road</t>
  </si>
  <si>
    <t>33 St Brelades Court</t>
  </si>
  <si>
    <t>McGlashan</t>
  </si>
  <si>
    <t>sue.mcfarlanee@sky.com</t>
  </si>
  <si>
    <t>YO41 1NU</t>
  </si>
  <si>
    <t xml:space="preserve">Full Sutton </t>
  </si>
  <si>
    <t xml:space="preserve">3 Halifax Close </t>
  </si>
  <si>
    <t>McFarlane</t>
  </si>
  <si>
    <t>ttnmcf@gmail.com</t>
  </si>
  <si>
    <t>G67 2NT</t>
  </si>
  <si>
    <t>CUMBERNAULD</t>
  </si>
  <si>
    <t>North Carbrain</t>
  </si>
  <si>
    <t>53 Glenacre Road</t>
  </si>
  <si>
    <t>seanmcdou@hotmail.com</t>
  </si>
  <si>
    <t>MK430QL</t>
  </si>
  <si>
    <t>Marston Moretaine</t>
  </si>
  <si>
    <t xml:space="preserve">4 Squires Road </t>
  </si>
  <si>
    <t>McDougall</t>
  </si>
  <si>
    <t>hosburne@hotmail.com</t>
  </si>
  <si>
    <t>Oxonian</t>
  </si>
  <si>
    <t>OX14 2 DW</t>
  </si>
  <si>
    <t>2 Further Wore</t>
  </si>
  <si>
    <t>McDermott</t>
  </si>
  <si>
    <t>Colinmcdermott6@gmail.com</t>
  </si>
  <si>
    <t>SM4 4BU</t>
  </si>
  <si>
    <t>223 Hillcross Avenue</t>
  </si>
  <si>
    <t xml:space="preserve">Standards: Solo Bike: unlimited attempts at any distance Annual Lunch </t>
  </si>
  <si>
    <t>pbmcdaid@gmail.com</t>
  </si>
  <si>
    <t>TN6 3PL</t>
  </si>
  <si>
    <t>Mark Cross</t>
  </si>
  <si>
    <t>Quern</t>
  </si>
  <si>
    <t>McDaid</t>
  </si>
  <si>
    <t>captain_contours@yahoo.co.uk</t>
  </si>
  <si>
    <t>M33 4JJ</t>
  </si>
  <si>
    <t>51 Newgate Road</t>
  </si>
  <si>
    <t>McCulloch</t>
  </si>
  <si>
    <t>McIntosh</t>
  </si>
  <si>
    <t>Alexander.mcculley@sky.com</t>
  </si>
  <si>
    <t>FK1 2QR</t>
  </si>
  <si>
    <t>Hallglen</t>
  </si>
  <si>
    <t>56 Dochart Place</t>
  </si>
  <si>
    <t>Mcculley</t>
  </si>
  <si>
    <t>stuart.mccormick@mobileinventory.co.uk</t>
  </si>
  <si>
    <t>benmccaulder@hotmail.com</t>
  </si>
  <si>
    <t>CW3 9RL</t>
  </si>
  <si>
    <t>Woore</t>
  </si>
  <si>
    <t>Audlem Road</t>
  </si>
  <si>
    <t>Fernbank</t>
  </si>
  <si>
    <t>McCaulder</t>
  </si>
  <si>
    <t>jimonhisbike@yahoo.co.uk</t>
  </si>
  <si>
    <t>G63 0TR</t>
  </si>
  <si>
    <t>BALFRON</t>
  </si>
  <si>
    <t>36 Buchanan Street</t>
  </si>
  <si>
    <t>17 Battock Road</t>
  </si>
  <si>
    <t>LM Joint Membership - Scotland</t>
  </si>
  <si>
    <t>McCartan</t>
  </si>
  <si>
    <t>gerardmccann1@outlook.com</t>
  </si>
  <si>
    <t xml:space="preserve">Greenwich Tritons </t>
  </si>
  <si>
    <t>SE91QJ</t>
  </si>
  <si>
    <t xml:space="preserve">Eltham </t>
  </si>
  <si>
    <t>117 Elibank Road</t>
  </si>
  <si>
    <t>DD3 9RB</t>
  </si>
  <si>
    <t>Downfield</t>
  </si>
  <si>
    <t>2 Collace Crescent</t>
  </si>
  <si>
    <t>McCallum</t>
  </si>
  <si>
    <t>mccalltom466@gmail.com</t>
  </si>
  <si>
    <t>VTTA (Surrey/Sussex)</t>
  </si>
  <si>
    <t>CR78ND</t>
  </si>
  <si>
    <t>Thornton Heath</t>
  </si>
  <si>
    <t>1 Norfolk Road</t>
  </si>
  <si>
    <t>McCall</t>
  </si>
  <si>
    <t>andymccall54@hotmail.co.uk</t>
  </si>
  <si>
    <t>CT9 5ET</t>
  </si>
  <si>
    <t>54 Royal Esplanade</t>
  </si>
  <si>
    <t>Mccall</t>
  </si>
  <si>
    <t>brendan.mccabe@btinternet.com</t>
  </si>
  <si>
    <t>AB30 1SE</t>
  </si>
  <si>
    <t>Laurencekirk</t>
  </si>
  <si>
    <t>West Cairnbeg</t>
  </si>
  <si>
    <t>17 Finella Grange</t>
  </si>
  <si>
    <t>alexmcallister07@gmail.com</t>
  </si>
  <si>
    <t>KA10 7LA</t>
  </si>
  <si>
    <t>7 Maberry Place</t>
  </si>
  <si>
    <t>trevormayne11@gmail.com</t>
  </si>
  <si>
    <t>S36 9RA</t>
  </si>
  <si>
    <t>Thurlstone</t>
  </si>
  <si>
    <t>11 Prospect</t>
  </si>
  <si>
    <t>Mayne</t>
  </si>
  <si>
    <t>aleclinda24@yahoo.com</t>
  </si>
  <si>
    <t>TN23 3LR</t>
  </si>
  <si>
    <t>24, Chestnut Lane</t>
  </si>
  <si>
    <t>Mayes</t>
  </si>
  <si>
    <t>liammaybank@mac.com</t>
  </si>
  <si>
    <t>KT10 0RB</t>
  </si>
  <si>
    <t>Claygate</t>
  </si>
  <si>
    <t>94 Hare Lane</t>
  </si>
  <si>
    <t>Flat 8</t>
  </si>
  <si>
    <t>Maybank</t>
  </si>
  <si>
    <t>Jeremy Bartholomew</t>
  </si>
  <si>
    <t>Liam</t>
  </si>
  <si>
    <t>roymay@gmail.com</t>
  </si>
  <si>
    <t>SL9 9SF</t>
  </si>
  <si>
    <t>Penn Road</t>
  </si>
  <si>
    <t>Kynmar</t>
  </si>
  <si>
    <t>richard.may99@gmail.com</t>
  </si>
  <si>
    <t>N7 6RN</t>
  </si>
  <si>
    <t>Holloway</t>
  </si>
  <si>
    <t>74 Tollington Way</t>
  </si>
  <si>
    <t>d.may@shu.ac.uk</t>
  </si>
  <si>
    <t>Sheffrec CC</t>
  </si>
  <si>
    <t>S11 9RS</t>
  </si>
  <si>
    <t>24 Alms Hill Road</t>
  </si>
  <si>
    <t>tim.may@hotmail.co.uk</t>
  </si>
  <si>
    <t xml:space="preserve">CV13 6AQ </t>
  </si>
  <si>
    <t>Higham-on-the-Hill</t>
  </si>
  <si>
    <t xml:space="preserve">9 Hilary Bevins Close </t>
  </si>
  <si>
    <t>bill.maxwell90@btinternet.com</t>
  </si>
  <si>
    <t>CA8 1TD</t>
  </si>
  <si>
    <t>27 Ash Lea</t>
  </si>
  <si>
    <t>Maxwell</t>
  </si>
  <si>
    <t>hamblin2012@gmail.com</t>
  </si>
  <si>
    <t>Rachael</t>
  </si>
  <si>
    <t>RG20 7LJ</t>
  </si>
  <si>
    <t>East Ilsley</t>
  </si>
  <si>
    <t>St.Jude,Compton Road</t>
  </si>
  <si>
    <t>Maunder</t>
  </si>
  <si>
    <t>richard.maughan@ymail.com</t>
  </si>
  <si>
    <t xml:space="preserve">PR15UA </t>
  </si>
  <si>
    <t>12 Farringdon Pl</t>
  </si>
  <si>
    <t>Maughan</t>
  </si>
  <si>
    <t>julia.mattison@btinternet.com</t>
  </si>
  <si>
    <t>LA6 1DD</t>
  </si>
  <si>
    <t>Over Kellet</t>
  </si>
  <si>
    <t>Rose Lea</t>
  </si>
  <si>
    <t>Mattison</t>
  </si>
  <si>
    <t>sfmatthewshome@mac.com</t>
  </si>
  <si>
    <t>GU27 3NT</t>
  </si>
  <si>
    <t>Hawksfold Stable, Hawksfold Lane West</t>
  </si>
  <si>
    <t xml:space="preserve">Standards: Solo Bike: unlimited attempts at any distance Annual Lunch 2022 - 2 course </t>
  </si>
  <si>
    <t>david.mastin@btinternet.com</t>
  </si>
  <si>
    <t>CT12 6SE</t>
  </si>
  <si>
    <t>399 Margate Road</t>
  </si>
  <si>
    <t>Mastin</t>
  </si>
  <si>
    <t xml:space="preserve">Annual Lunch 2024 </t>
  </si>
  <si>
    <t>georgemasson1@blueyonder.co.uk</t>
  </si>
  <si>
    <t>WF2 9DJ</t>
  </si>
  <si>
    <t>Dewsbury Road</t>
  </si>
  <si>
    <t>17 Eden Avenue</t>
  </si>
  <si>
    <t>Masson</t>
  </si>
  <si>
    <t>wimason@yahoo.com</t>
  </si>
  <si>
    <t>Vegetarian C &amp; AC</t>
  </si>
  <si>
    <t>WA13 0HW</t>
  </si>
  <si>
    <t>LYMM</t>
  </si>
  <si>
    <t>1a, The Grove</t>
  </si>
  <si>
    <t>mason</t>
  </si>
  <si>
    <t>warren</t>
  </si>
  <si>
    <t>leemason826@hotmail.com</t>
  </si>
  <si>
    <t>SG14 1NZ</t>
  </si>
  <si>
    <t>8 Swallow Court</t>
  </si>
  <si>
    <t xml:space="preserve">Lee </t>
  </si>
  <si>
    <t>woldbeck@yahoo.co.uk</t>
  </si>
  <si>
    <t>ln8 3lr</t>
  </si>
  <si>
    <t>lincolnshire</t>
  </si>
  <si>
    <t>market rasen</t>
  </si>
  <si>
    <t xml:space="preserve">west rasen </t>
  </si>
  <si>
    <t>2 toft lane</t>
  </si>
  <si>
    <t>brian</t>
  </si>
  <si>
    <t>Therese</t>
  </si>
  <si>
    <t>masonady@aol.com</t>
  </si>
  <si>
    <t xml:space="preserve">OX16 9YL </t>
  </si>
  <si>
    <t xml:space="preserve">8 Hazeldene Gardens </t>
  </si>
  <si>
    <t xml:space="preserve">Mason </t>
  </si>
  <si>
    <t>valeriemartin1@outlook.com</t>
  </si>
  <si>
    <t>Dooleys Cycles</t>
  </si>
  <si>
    <t>johnmartin@jm246.plus.com</t>
  </si>
  <si>
    <t>WF9 2NJ</t>
  </si>
  <si>
    <t>24 Little Lane</t>
  </si>
  <si>
    <t>HU5 3LX</t>
  </si>
  <si>
    <t>Chanterlands Avenue</t>
  </si>
  <si>
    <t>35 Wharcliffe Street</t>
  </si>
  <si>
    <t>bmmartin34@gmail.com</t>
  </si>
  <si>
    <t>CM8 3SW</t>
  </si>
  <si>
    <t>Nr. Witham</t>
  </si>
  <si>
    <t>Silver End</t>
  </si>
  <si>
    <t>34, Daniel Way</t>
  </si>
  <si>
    <t>mwmartin_actuary@hotmail.co.uk</t>
  </si>
  <si>
    <t>SG7 6UT</t>
  </si>
  <si>
    <t>7 Penfold Close</t>
  </si>
  <si>
    <t>garysfretwise@blueyonder.co.uk</t>
  </si>
  <si>
    <t>W4 3LX</t>
  </si>
  <si>
    <t>Chiswick</t>
  </si>
  <si>
    <t>6 Deans Close</t>
  </si>
  <si>
    <t>paulj59martin@gmail.com</t>
  </si>
  <si>
    <t>DE73 6TL</t>
  </si>
  <si>
    <t>DERBY</t>
  </si>
  <si>
    <t>Chellaston</t>
  </si>
  <si>
    <t>11 Bensley Close</t>
  </si>
  <si>
    <t>ricmarshall1975@yahoo.com</t>
  </si>
  <si>
    <t>WheelGuru</t>
  </si>
  <si>
    <t>SK15 2RH</t>
  </si>
  <si>
    <t>2b Ashes Lane</t>
  </si>
  <si>
    <t>rabm71@hotmail.co.uk</t>
  </si>
  <si>
    <t>Andrew Allen Architecture</t>
  </si>
  <si>
    <t>18 Tolmount Drive</t>
  </si>
  <si>
    <t>tim@timmarshall.co.uk</t>
  </si>
  <si>
    <t>WA5 3RH</t>
  </si>
  <si>
    <t>6 Bembridge Close</t>
  </si>
  <si>
    <t>davemarsh40@hotmail.co.uk</t>
  </si>
  <si>
    <t>WD17 4AN</t>
  </si>
  <si>
    <t>Grandfield Avenue</t>
  </si>
  <si>
    <t>1 Woodview Court</t>
  </si>
  <si>
    <t xml:space="preserve">Marshall </t>
  </si>
  <si>
    <t>jeff.m@ivycot.eclipse.co.uk</t>
  </si>
  <si>
    <t>GU24 9NF</t>
  </si>
  <si>
    <t>Brentmoor Road</t>
  </si>
  <si>
    <t>Ivy Cottage</t>
  </si>
  <si>
    <t>SS9 5EA</t>
  </si>
  <si>
    <t>7, Glenwood Avenue</t>
  </si>
  <si>
    <t>neal127@btinternet.com</t>
  </si>
  <si>
    <t>N20 0AG</t>
  </si>
  <si>
    <t>66 Weirdale Avenue</t>
  </si>
  <si>
    <t>Marrin</t>
  </si>
  <si>
    <t>zeno_om@msn.com</t>
  </si>
  <si>
    <t>G41 3SJ</t>
  </si>
  <si>
    <t>9 St Ronans Drive</t>
  </si>
  <si>
    <t xml:space="preserve">Marletta </t>
  </si>
  <si>
    <t>Oscar</t>
  </si>
  <si>
    <t>marlettam@cardiff.ac.uk</t>
  </si>
  <si>
    <t>Cardiff JIF</t>
  </si>
  <si>
    <t>CF23 9AZ</t>
  </si>
  <si>
    <t>90 Colchester Avenue</t>
  </si>
  <si>
    <t>Marletta</t>
  </si>
  <si>
    <t>Marco</t>
  </si>
  <si>
    <t>johnmarinko65@gmail.com</t>
  </si>
  <si>
    <t>BN3 5DF</t>
  </si>
  <si>
    <t>71 Pembroke Crescent</t>
  </si>
  <si>
    <t>Marinko</t>
  </si>
  <si>
    <t>paulmarchant2409@live.co.uk</t>
  </si>
  <si>
    <t>HP5 1LW</t>
  </si>
  <si>
    <t>74 Germain Street</t>
  </si>
  <si>
    <t>Marchant</t>
  </si>
  <si>
    <t>pa.mapletoft@hotmail.co.uk</t>
  </si>
  <si>
    <t>S40 1EP</t>
  </si>
  <si>
    <t>58 Vernon Road</t>
  </si>
  <si>
    <t>Mapletoft</t>
  </si>
  <si>
    <t>alan.manson39@gmail.com</t>
  </si>
  <si>
    <t>FK12 5PE</t>
  </si>
  <si>
    <t>Alva</t>
  </si>
  <si>
    <t>16 Provost Hunter Avenue</t>
  </si>
  <si>
    <t>Manson</t>
  </si>
  <si>
    <t>judemansfield68@gmail.com</t>
  </si>
  <si>
    <t xml:space="preserve">Birmingham Midland Cycling </t>
  </si>
  <si>
    <t>B91 1SQ</t>
  </si>
  <si>
    <t>15 White House Way</t>
  </si>
  <si>
    <t>Jude</t>
  </si>
  <si>
    <t>NE62 5YP</t>
  </si>
  <si>
    <t>Choppington</t>
  </si>
  <si>
    <t>Stakeford</t>
  </si>
  <si>
    <t>26 Ringway</t>
  </si>
  <si>
    <t>Manners</t>
  </si>
  <si>
    <t>manngraham@hotmail.com</t>
  </si>
  <si>
    <t>Hainault Roads Club</t>
  </si>
  <si>
    <t>CM15 0EF</t>
  </si>
  <si>
    <t>Stondon Massey</t>
  </si>
  <si>
    <t>Ganns Cottage, Ongar Road</t>
  </si>
  <si>
    <t>john.mamlow@sky.com</t>
  </si>
  <si>
    <t>CB6 1QL</t>
  </si>
  <si>
    <t>7 Manor Place</t>
  </si>
  <si>
    <t>Manlow</t>
  </si>
  <si>
    <t>spmzim@live.co.uk</t>
  </si>
  <si>
    <t>Swindon Road Club</t>
  </si>
  <si>
    <t>SN5 6AG</t>
  </si>
  <si>
    <t xml:space="preserve">47 Chandos Close </t>
  </si>
  <si>
    <t>Mallon</t>
  </si>
  <si>
    <t>fredo007@hotmail.co.uk</t>
  </si>
  <si>
    <t>DY9 0YH</t>
  </si>
  <si>
    <t xml:space="preserve">Pedmore </t>
  </si>
  <si>
    <t>Thicknall drive</t>
  </si>
  <si>
    <t>Mallen</t>
  </si>
  <si>
    <t>lynnmark100@gmail.com</t>
  </si>
  <si>
    <t>Amblon Racing Team</t>
  </si>
  <si>
    <t>LE10 2QB</t>
  </si>
  <si>
    <t>19 North Close, Burbage</t>
  </si>
  <si>
    <t>Malin</t>
  </si>
  <si>
    <t>clinmaisey@hotmail.com</t>
  </si>
  <si>
    <t>ME1 2RT</t>
  </si>
  <si>
    <t>150 Haig Avenue</t>
  </si>
  <si>
    <t>Maisey</t>
  </si>
  <si>
    <t>Clinton</t>
  </si>
  <si>
    <t>peter.main1@sky.com</t>
  </si>
  <si>
    <t>rh20 3qH</t>
  </si>
  <si>
    <t>22 Chanctonbury</t>
  </si>
  <si>
    <t>Main</t>
  </si>
  <si>
    <t>paintedman76@hotmail.com</t>
  </si>
  <si>
    <t>HP21 8TX</t>
  </si>
  <si>
    <t>41 Carnation Way</t>
  </si>
  <si>
    <t>Mahoney</t>
  </si>
  <si>
    <t>jbx3849@gmail.com</t>
  </si>
  <si>
    <t>N42JX</t>
  </si>
  <si>
    <t>Finsbury Park</t>
  </si>
  <si>
    <t>36A Finsbury Park Road</t>
  </si>
  <si>
    <t>Maffey</t>
  </si>
  <si>
    <t>mafdandb@gmail.com</t>
  </si>
  <si>
    <t xml:space="preserve">360 Cycling </t>
  </si>
  <si>
    <t>BL8 3HL</t>
  </si>
  <si>
    <t>Tottington</t>
  </si>
  <si>
    <t>56 Sunny Bower Street</t>
  </si>
  <si>
    <t>Maffei</t>
  </si>
  <si>
    <t>madelsnene@aol.com</t>
  </si>
  <si>
    <t>TS15 9JB</t>
  </si>
  <si>
    <t>3 Falcon Walk</t>
  </si>
  <si>
    <t>Honeysuckle House</t>
  </si>
  <si>
    <t>davidmacneil@hotmail.co.uk</t>
  </si>
  <si>
    <t>KY30TF</t>
  </si>
  <si>
    <t>Aberdour</t>
  </si>
  <si>
    <t xml:space="preserve">6 inch Avenue </t>
  </si>
  <si>
    <t>robin.maclagan@btinternet.com</t>
  </si>
  <si>
    <t>DN10 5AX</t>
  </si>
  <si>
    <t>Everton Sluice Lane,</t>
  </si>
  <si>
    <t>Holme Close</t>
  </si>
  <si>
    <t>Maclagan</t>
  </si>
  <si>
    <t>mackleyneil@gmail.com</t>
  </si>
  <si>
    <t>PO16 7HA</t>
  </si>
  <si>
    <t>24 Old Turnpike</t>
  </si>
  <si>
    <t>Mackley</t>
  </si>
  <si>
    <t>carolemacklam@gmail.com</t>
  </si>
  <si>
    <t>LS15 8JA</t>
  </si>
  <si>
    <t>5 Manston Lane</t>
  </si>
  <si>
    <t>Macklam</t>
  </si>
  <si>
    <t>gabrielamackinnon77@gmail.com</t>
  </si>
  <si>
    <t>Coventry Triathletes</t>
  </si>
  <si>
    <t>CV7 7GD</t>
  </si>
  <si>
    <t>89 Meeting House Lane</t>
  </si>
  <si>
    <t>MacKinnon</t>
  </si>
  <si>
    <t>Gabriela</t>
  </si>
  <si>
    <t>d.mackey1971@outlook.com</t>
  </si>
  <si>
    <t>ME5 9PD</t>
  </si>
  <si>
    <t>24 Forest Drive</t>
  </si>
  <si>
    <t>Mackey</t>
  </si>
  <si>
    <t>ME5 9HA</t>
  </si>
  <si>
    <t>Walderslade</t>
  </si>
  <si>
    <t>62 Montfort Road</t>
  </si>
  <si>
    <t>Denise</t>
  </si>
  <si>
    <t>emackey@btinternet.com</t>
  </si>
  <si>
    <t>ian.mackerness@ntlworld.com</t>
  </si>
  <si>
    <t>LU3 1EE</t>
  </si>
  <si>
    <t>20 Lansdowne Road</t>
  </si>
  <si>
    <t>Mackerness</t>
  </si>
  <si>
    <t>christinamackenzie1@hotmail.com</t>
  </si>
  <si>
    <t>FK7 9RA</t>
  </si>
  <si>
    <t>Cambusbarron</t>
  </si>
  <si>
    <t>73 Woolcarders Court</t>
  </si>
  <si>
    <t>tony.mack@btinternet.com</t>
  </si>
  <si>
    <t>DA3 7LF</t>
  </si>
  <si>
    <t>24 Longfield Road, New Barn</t>
  </si>
  <si>
    <t>Mack</t>
  </si>
  <si>
    <t>Gravesend CC / club cyclopark</t>
  </si>
  <si>
    <t>mack</t>
  </si>
  <si>
    <t>edwardmacinnes@mac.com</t>
  </si>
  <si>
    <t>GU22 0SP</t>
  </si>
  <si>
    <t>Mayford</t>
  </si>
  <si>
    <t>26 Prey Heath Close</t>
  </si>
  <si>
    <t>MacInnes</t>
  </si>
  <si>
    <t>Julian Edward</t>
  </si>
  <si>
    <t>purereplican@yahoo.co.uk</t>
  </si>
  <si>
    <t>CH66 1PE</t>
  </si>
  <si>
    <t>Little Sutton</t>
  </si>
  <si>
    <t>1 Greenfield Road</t>
  </si>
  <si>
    <t>thecatsatonthem@hotmail.com</t>
  </si>
  <si>
    <t>Fullarton Wheelers CC</t>
  </si>
  <si>
    <t>KA21 5BX</t>
  </si>
  <si>
    <t>1 Montgomerie Crescent</t>
  </si>
  <si>
    <t>michaellythgoe@tiscali.co.uk</t>
  </si>
  <si>
    <t>CV344NZ</t>
  </si>
  <si>
    <t xml:space="preserve">Warwick </t>
  </si>
  <si>
    <t>68 Campriano Drive</t>
  </si>
  <si>
    <t xml:space="preserve">Lythgoe </t>
  </si>
  <si>
    <t>s-lyons@talktalk.net</t>
  </si>
  <si>
    <t>Oldham Century Road Club</t>
  </si>
  <si>
    <t>OL2 6YE</t>
  </si>
  <si>
    <t>Royton</t>
  </si>
  <si>
    <t>12, Bishopdale Close, Royton</t>
  </si>
  <si>
    <t>david.lynes@uniqueiq.co.uk</t>
  </si>
  <si>
    <t>B966BG</t>
  </si>
  <si>
    <t>Astwood Bank</t>
  </si>
  <si>
    <t>Edgioake Lane</t>
  </si>
  <si>
    <t>St Denys</t>
  </si>
  <si>
    <t>Lynes</t>
  </si>
  <si>
    <t>al@luxford.me</t>
  </si>
  <si>
    <t>Full Gas Racing Team</t>
  </si>
  <si>
    <t>PO331YE</t>
  </si>
  <si>
    <t xml:space="preserve">Ryde </t>
  </si>
  <si>
    <t>St.Helens</t>
  </si>
  <si>
    <t>46 Downs View Road</t>
  </si>
  <si>
    <t>Luxford</t>
  </si>
  <si>
    <t>thomasluxford@btinternet.com</t>
  </si>
  <si>
    <t>DA53NN</t>
  </si>
  <si>
    <t>18 Ravenswood</t>
  </si>
  <si>
    <t>Jlumley100@icloud.com</t>
  </si>
  <si>
    <t>Walkers Cycling Club</t>
  </si>
  <si>
    <t>KA1 1SB</t>
  </si>
  <si>
    <t>3 Wallace Street</t>
  </si>
  <si>
    <t>Lumley</t>
  </si>
  <si>
    <t>lornasloan2712@gmail.com</t>
  </si>
  <si>
    <t>Ayrodynamic Triathlon Club</t>
  </si>
  <si>
    <t>Peterlukes@hotmail.com</t>
  </si>
  <si>
    <t xml:space="preserve">Chevaliers </t>
  </si>
  <si>
    <t>KT2 5BD</t>
  </si>
  <si>
    <t>Kingston upon Thames</t>
  </si>
  <si>
    <t>104 lower ham road</t>
  </si>
  <si>
    <t>Lukes</t>
  </si>
  <si>
    <t>robert@vikext.co.uk</t>
  </si>
  <si>
    <t>BN16 2BT</t>
  </si>
  <si>
    <t>Rustington</t>
  </si>
  <si>
    <t>47 (Spinners) The Parkway</t>
  </si>
  <si>
    <t>Luff</t>
  </si>
  <si>
    <t>cyclists778@gmail.com</t>
  </si>
  <si>
    <t>team velo culture</t>
  </si>
  <si>
    <t>NE24 3TR</t>
  </si>
  <si>
    <t>Blyth</t>
  </si>
  <si>
    <t>24 Bromley Gardens</t>
  </si>
  <si>
    <t>cycledean@outlook.com</t>
  </si>
  <si>
    <t>IG6 3SP</t>
  </si>
  <si>
    <t>223 Huntsman Road</t>
  </si>
  <si>
    <t>Lubin</t>
  </si>
  <si>
    <t>lowe.james1@sky.com</t>
  </si>
  <si>
    <t>E18 1DN</t>
  </si>
  <si>
    <t>12 Gordon Road</t>
  </si>
  <si>
    <t>Truckerpaul@icloud.com</t>
  </si>
  <si>
    <t>St5 4hg</t>
  </si>
  <si>
    <t>Gaillowe2023@outlook.com</t>
  </si>
  <si>
    <t>cyclingvambo@gmail.com</t>
  </si>
  <si>
    <t>SN6 7HJ</t>
  </si>
  <si>
    <t>Highworth</t>
  </si>
  <si>
    <t>49 Westrop</t>
  </si>
  <si>
    <t>ben.love79@gmail.com</t>
  </si>
  <si>
    <t>LL18 4BH</t>
  </si>
  <si>
    <t>Rhyl</t>
  </si>
  <si>
    <t>26 Oakwood Road</t>
  </si>
  <si>
    <t>Love</t>
  </si>
  <si>
    <t>mlord746@gmail.com</t>
  </si>
  <si>
    <t>Ambion Racing</t>
  </si>
  <si>
    <t>LE102LD</t>
  </si>
  <si>
    <t>5 Crownhill Road</t>
  </si>
  <si>
    <t>Lord</t>
  </si>
  <si>
    <t>chris@graphicdetail.co.uk</t>
  </si>
  <si>
    <t>BN1 3PH</t>
  </si>
  <si>
    <t>6 Clifton Street</t>
  </si>
  <si>
    <t>steveloraine1@aol.com</t>
  </si>
  <si>
    <t>B78 1EL</t>
  </si>
  <si>
    <t>Polesworth</t>
  </si>
  <si>
    <t>1a Station Road</t>
  </si>
  <si>
    <t>Loraine</t>
  </si>
  <si>
    <t>paullooke@virginmedia.com</t>
  </si>
  <si>
    <t xml:space="preserve">Rm38qb </t>
  </si>
  <si>
    <t xml:space="preserve">Romford </t>
  </si>
  <si>
    <t>52 Halesworth Road</t>
  </si>
  <si>
    <t>Looke</t>
  </si>
  <si>
    <t>sue_antelope@hotmail.com</t>
  </si>
  <si>
    <t>SO16 0XG</t>
  </si>
  <si>
    <t>32 Testlands Avenue</t>
  </si>
  <si>
    <t>Longland</t>
  </si>
  <si>
    <t>rukglenntli@gmail.com</t>
  </si>
  <si>
    <t>tornadoplumber@gmail.com</t>
  </si>
  <si>
    <t>Elgin Cycling Club</t>
  </si>
  <si>
    <t>IV30 1PG</t>
  </si>
  <si>
    <t>18 Hawthorn Road</t>
  </si>
  <si>
    <t>Long</t>
  </si>
  <si>
    <t>bryan_long@talk21.com</t>
  </si>
  <si>
    <t>CO9 4LJ</t>
  </si>
  <si>
    <t>Little Yeldham</t>
  </si>
  <si>
    <t>Church Green</t>
  </si>
  <si>
    <t>4 The Birches</t>
  </si>
  <si>
    <t>Feltham RC</t>
  </si>
  <si>
    <t>HP13 5JD</t>
  </si>
  <si>
    <t>Downley</t>
  </si>
  <si>
    <t>21 Lyndhurst Close</t>
  </si>
  <si>
    <t>tinalohr@gmail.com</t>
  </si>
  <si>
    <t>Horsham Cycling</t>
  </si>
  <si>
    <t>RH13 5BN</t>
  </si>
  <si>
    <t>HORSHAM</t>
  </si>
  <si>
    <t>37  TANYARD CLOSE</t>
  </si>
  <si>
    <t>Lohr</t>
  </si>
  <si>
    <t>declan.logue@outlook.com</t>
  </si>
  <si>
    <t>B49 5FF</t>
  </si>
  <si>
    <t>Alcester</t>
  </si>
  <si>
    <t>102 Payne Drive</t>
  </si>
  <si>
    <t>Declan</t>
  </si>
  <si>
    <t>gonecycling401@gmail.com</t>
  </si>
  <si>
    <t>Fullarton Wheelers Cycling Club</t>
  </si>
  <si>
    <t>KA11 1QB</t>
  </si>
  <si>
    <t>G33 5PZ</t>
  </si>
  <si>
    <t>4 Rigside Road</t>
  </si>
  <si>
    <t>cm.lodge@tiscali.co.uk</t>
  </si>
  <si>
    <t>EN5 5LT</t>
  </si>
  <si>
    <t>43 Norfolk Road</t>
  </si>
  <si>
    <t>Lodge</t>
  </si>
  <si>
    <t>SP4 0BY</t>
  </si>
  <si>
    <t>Allington</t>
  </si>
  <si>
    <t>Cynwyd, Wyndham Lane</t>
  </si>
  <si>
    <t>peterlock2003@yahoo.co.uk</t>
  </si>
  <si>
    <t>NW2 1XF</t>
  </si>
  <si>
    <t>Cricklewood</t>
  </si>
  <si>
    <t>3,Amber Grove</t>
  </si>
  <si>
    <t>Lock</t>
  </si>
  <si>
    <t>chris_loake@hotmail.com</t>
  </si>
  <si>
    <t>KT160QG</t>
  </si>
  <si>
    <t>Ottershaw</t>
  </si>
  <si>
    <t>14 Ottershaw Park</t>
  </si>
  <si>
    <t>Loake</t>
  </si>
  <si>
    <t>ian@ianloades.co.uk</t>
  </si>
  <si>
    <t xml:space="preserve">Hart Evolution Racing Team </t>
  </si>
  <si>
    <t>RG45 7DE</t>
  </si>
  <si>
    <t>62 Upper Broadmoor Road</t>
  </si>
  <si>
    <t>Loades</t>
  </si>
  <si>
    <t>loaderr99@gmail.com</t>
  </si>
  <si>
    <t>TN13 1QP</t>
  </si>
  <si>
    <t>1, Lea Road</t>
  </si>
  <si>
    <t>Loader</t>
  </si>
  <si>
    <t>dave.loader47@hotmail.co.uk</t>
  </si>
  <si>
    <t>Bath Road Club</t>
  </si>
  <si>
    <t>RG22 4PH</t>
  </si>
  <si>
    <t>10 Gloucester Drive</t>
  </si>
  <si>
    <t>sl.valeting@outlook.com</t>
  </si>
  <si>
    <t>Frodsham wheelers</t>
  </si>
  <si>
    <t>Wa76ue</t>
  </si>
  <si>
    <t xml:space="preserve">Beechwood </t>
  </si>
  <si>
    <t>18 Coniston close</t>
  </si>
  <si>
    <t>chrishoyisagod@googlemail.com</t>
  </si>
  <si>
    <t>SK23 9UW</t>
  </si>
  <si>
    <t>Charnwood, combs road</t>
  </si>
  <si>
    <t xml:space="preserve">Leigh </t>
  </si>
  <si>
    <t>racing.snake1969@yahoo.co.uk</t>
  </si>
  <si>
    <t>BD20 6LA</t>
  </si>
  <si>
    <t>9 Vernon Hall, Vernon Court</t>
  </si>
  <si>
    <t>llewellynrt@hotmail.com</t>
  </si>
  <si>
    <t>Imperial Racing Team</t>
  </si>
  <si>
    <t>RG27 0AY</t>
  </si>
  <si>
    <t>21 Avington Way</t>
  </si>
  <si>
    <t>Llewellyn</t>
  </si>
  <si>
    <t>cml49@cam.ac.uk</t>
  </si>
  <si>
    <t>CB25 9AD</t>
  </si>
  <si>
    <t>Stow cum Quy</t>
  </si>
  <si>
    <t>61 Stow road</t>
  </si>
  <si>
    <t>Lizieri</t>
  </si>
  <si>
    <t>msjlittle01@btinternet.com</t>
  </si>
  <si>
    <t>Ne462hd</t>
  </si>
  <si>
    <t xml:space="preserve">Hexham </t>
  </si>
  <si>
    <t xml:space="preserve">35 Elvaston Road </t>
  </si>
  <si>
    <t>sanlittle@btinternet.com</t>
  </si>
  <si>
    <t>mel@kings-school.co.uk</t>
  </si>
  <si>
    <t>CT1 2EW</t>
  </si>
  <si>
    <t>The King's School Canterbury</t>
  </si>
  <si>
    <t>Linacre House</t>
  </si>
  <si>
    <t>17 The precincts</t>
  </si>
  <si>
    <t>Lister</t>
  </si>
  <si>
    <t>mlelister@hotmail.com</t>
  </si>
  <si>
    <t>NG31 8GQ</t>
  </si>
  <si>
    <t>2 Cambrian Close</t>
  </si>
  <si>
    <t>liptrot.mark@yahoo.com</t>
  </si>
  <si>
    <t>CH7 6RB</t>
  </si>
  <si>
    <t>New Brighton</t>
  </si>
  <si>
    <t>New Brighton Road</t>
  </si>
  <si>
    <t>1 Mynydd Bychan</t>
  </si>
  <si>
    <t>Liptrot</t>
  </si>
  <si>
    <t>mdlelectrical@btinternet.com</t>
  </si>
  <si>
    <t>WR2 4NB</t>
  </si>
  <si>
    <t>Claverham Close</t>
  </si>
  <si>
    <t>Lines</t>
  </si>
  <si>
    <t>knockies@aol.com</t>
  </si>
  <si>
    <t>AB51 5DQ</t>
  </si>
  <si>
    <t>INVERURIE</t>
  </si>
  <si>
    <t>Inveramsay</t>
  </si>
  <si>
    <t>Rowan Cottage</t>
  </si>
  <si>
    <t>Lindsay MBE</t>
  </si>
  <si>
    <t>pat.miller19@hotmail.com</t>
  </si>
  <si>
    <t>MK43 0DD</t>
  </si>
  <si>
    <t>20 Great Linns</t>
  </si>
  <si>
    <t>michellelindley@outlook.com</t>
  </si>
  <si>
    <t>Poole Wheelers Cycling Club</t>
  </si>
  <si>
    <t>DT5 1DJ</t>
  </si>
  <si>
    <t>Portland</t>
  </si>
  <si>
    <t>19 Shepherds Croft</t>
  </si>
  <si>
    <t>LN6 7RD</t>
  </si>
  <si>
    <t>64 Moorland Avenue</t>
  </si>
  <si>
    <t>Lill</t>
  </si>
  <si>
    <t>PR3 1RQ</t>
  </si>
  <si>
    <t>6 Greenacres Drive</t>
  </si>
  <si>
    <t>philiproylewis@hotmail.co.uk</t>
  </si>
  <si>
    <t>CHIPPENHAM &amp; DISTRICT WHEELERS</t>
  </si>
  <si>
    <t>NN2 8QT</t>
  </si>
  <si>
    <t>35 Obelisk Rise</t>
  </si>
  <si>
    <t>LEWIS</t>
  </si>
  <si>
    <t>ROY</t>
  </si>
  <si>
    <t>PHILIP</t>
  </si>
  <si>
    <t>blewis6@sky.com</t>
  </si>
  <si>
    <t xml:space="preserve">Royal Dean Forest CC </t>
  </si>
  <si>
    <t>OX26 2HW</t>
  </si>
  <si>
    <t>2 Rowan Road</t>
  </si>
  <si>
    <t>stu@stulev.com</t>
  </si>
  <si>
    <t>AL7 2PZ</t>
  </si>
  <si>
    <t>23 Somersham</t>
  </si>
  <si>
    <t>Levene</t>
  </si>
  <si>
    <t>Stu</t>
  </si>
  <si>
    <t>wigel2001@yahoo.com</t>
  </si>
  <si>
    <t>Yeovil Cycling Club</t>
  </si>
  <si>
    <t>DT6 3LF</t>
  </si>
  <si>
    <t>Bridport</t>
  </si>
  <si>
    <t>26 East Street</t>
  </si>
  <si>
    <t>1st Floor</t>
  </si>
  <si>
    <t>Letheren</t>
  </si>
  <si>
    <t>del999@aol.com</t>
  </si>
  <si>
    <t>K20 Cycling Club</t>
  </si>
  <si>
    <t>ME19 5AU</t>
  </si>
  <si>
    <t>266 London Road</t>
  </si>
  <si>
    <t>stuart_lemanski@hotmail.com</t>
  </si>
  <si>
    <t>CB24 6BS</t>
  </si>
  <si>
    <t>Milton</t>
  </si>
  <si>
    <t>43A Old School Lane</t>
  </si>
  <si>
    <t>Lemanski</t>
  </si>
  <si>
    <t>dunc5400@aol.com</t>
  </si>
  <si>
    <t>SE9 3XE</t>
  </si>
  <si>
    <t>25 Broadlawn</t>
  </si>
  <si>
    <t>Leith</t>
  </si>
  <si>
    <t>aleggeknight+vtta@gmail.com</t>
  </si>
  <si>
    <t>33 Highworth Road</t>
  </si>
  <si>
    <t>Legge-Knight</t>
  </si>
  <si>
    <t>jleggeknight+vtta@gmail.com</t>
  </si>
  <si>
    <t>legg@dpengineeringltd.co.uk</t>
  </si>
  <si>
    <t xml:space="preserve">TR14 7ST </t>
  </si>
  <si>
    <t xml:space="preserve">Camborne </t>
  </si>
  <si>
    <t>Beacon</t>
  </si>
  <si>
    <t>53 Tregrea</t>
  </si>
  <si>
    <t>daniellegg@sky.com</t>
  </si>
  <si>
    <t>RG27 9SS</t>
  </si>
  <si>
    <t>Hook</t>
  </si>
  <si>
    <t>5 Painters Pightle</t>
  </si>
  <si>
    <t>jamjim118@yahoo.co.uk</t>
  </si>
  <si>
    <t>CV10 0JH</t>
  </si>
  <si>
    <t>20 Camphill Road</t>
  </si>
  <si>
    <t>Lees</t>
  </si>
  <si>
    <t>claire.a.lee@btinternet.com</t>
  </si>
  <si>
    <t>CM13 3RJ</t>
  </si>
  <si>
    <t>Ingrave</t>
  </si>
  <si>
    <t>Thorndon Hall</t>
  </si>
  <si>
    <t xml:space="preserve">64 West Pavilion </t>
  </si>
  <si>
    <t>LU2 8EJ</t>
  </si>
  <si>
    <t>35 Ravenbank Road</t>
  </si>
  <si>
    <t>bardenhouse@hotmail.com</t>
  </si>
  <si>
    <t>LS29 6AH</t>
  </si>
  <si>
    <t>Menston</t>
  </si>
  <si>
    <t>Clarence Drive</t>
  </si>
  <si>
    <t>Lanshaw</t>
  </si>
  <si>
    <t>Leckenby</t>
  </si>
  <si>
    <t>Johnleal1965@gmail.com</t>
  </si>
  <si>
    <t>AB12 3LN</t>
  </si>
  <si>
    <t>Nigg</t>
  </si>
  <si>
    <t>Cairnbeg</t>
  </si>
  <si>
    <t>Leal</t>
  </si>
  <si>
    <t>markleadbetter310766@gmail.com</t>
  </si>
  <si>
    <t xml:space="preserve">Flying Kippers </t>
  </si>
  <si>
    <t>FK12 5AJ</t>
  </si>
  <si>
    <t>64 James Street</t>
  </si>
  <si>
    <t>Leadbetter</t>
  </si>
  <si>
    <t>leachyh@aol.com</t>
  </si>
  <si>
    <t>BB4 8HH</t>
  </si>
  <si>
    <t>194 Burnley Road</t>
  </si>
  <si>
    <t>valerieleach4@aol.com</t>
  </si>
  <si>
    <t>BB4 8NQ</t>
  </si>
  <si>
    <t>Rossendale, Lancashire</t>
  </si>
  <si>
    <t>Reedsholme</t>
  </si>
  <si>
    <t>16 Rushbed Drive</t>
  </si>
  <si>
    <t>jsleach45@gmail.com</t>
  </si>
  <si>
    <t>chris.leacycling@btinternet.com</t>
  </si>
  <si>
    <t>SK17 6FA</t>
  </si>
  <si>
    <t>BUXTON</t>
  </si>
  <si>
    <t>12 Sheraton Way</t>
  </si>
  <si>
    <t>Lea</t>
  </si>
  <si>
    <t>keith.lea@outlook.com</t>
  </si>
  <si>
    <t>RH1 4BB</t>
  </si>
  <si>
    <t>Redhill</t>
  </si>
  <si>
    <t>32 Chanctonbury Chase</t>
  </si>
  <si>
    <t>laycockgang1@hotmail.co.uk</t>
  </si>
  <si>
    <t>SG4 9JD</t>
  </si>
  <si>
    <t>50 Oakfield Avenue</t>
  </si>
  <si>
    <t>Laycock</t>
  </si>
  <si>
    <t>lewis.lawton@btinternet.com</t>
  </si>
  <si>
    <t>SN6 8DT</t>
  </si>
  <si>
    <t>Shrivenham</t>
  </si>
  <si>
    <t>9 Vicarage Lane</t>
  </si>
  <si>
    <t>Lawton</t>
  </si>
  <si>
    <t>Sylvester</t>
  </si>
  <si>
    <t>lawto21@hotmail.com</t>
  </si>
  <si>
    <t>Leeds Wellington</t>
  </si>
  <si>
    <t>LS17 7ED</t>
  </si>
  <si>
    <t>21 Nursery Lane</t>
  </si>
  <si>
    <t>chrislawson@sky.com</t>
  </si>
  <si>
    <t>CH5 1NN</t>
  </si>
  <si>
    <t>Shotton</t>
  </si>
  <si>
    <t>25 Cornwall Road</t>
  </si>
  <si>
    <t>lawson</t>
  </si>
  <si>
    <t>David@screenmatic.co.uk</t>
  </si>
  <si>
    <t>LE65 2AU</t>
  </si>
  <si>
    <t>Ashby de la Zouch</t>
  </si>
  <si>
    <t xml:space="preserve">21 Millstone Drive </t>
  </si>
  <si>
    <t>Lawrie</t>
  </si>
  <si>
    <t>lawrenson.g@btinternet.com</t>
  </si>
  <si>
    <t xml:space="preserve">CM150PP </t>
  </si>
  <si>
    <t>Hook End</t>
  </si>
  <si>
    <t xml:space="preserve">Mill Lane </t>
  </si>
  <si>
    <t xml:space="preserve">Greetwell </t>
  </si>
  <si>
    <t>Lawrenson</t>
  </si>
  <si>
    <t>nehosting@gmail.com</t>
  </si>
  <si>
    <t>TS17 8DD</t>
  </si>
  <si>
    <t xml:space="preserve">Stockton-on-Tees </t>
  </si>
  <si>
    <t>10 Diamond Road</t>
  </si>
  <si>
    <t>jlfrcng@jameslawlerfinancial.com</t>
  </si>
  <si>
    <t>VTTA (East Anglia)</t>
  </si>
  <si>
    <t>MK44 3RZ</t>
  </si>
  <si>
    <t>Priory Business Park</t>
  </si>
  <si>
    <t>Bedford i-Lab</t>
  </si>
  <si>
    <t>Lawler</t>
  </si>
  <si>
    <t>richardlaw97@btinternet.com</t>
  </si>
  <si>
    <t>SG19 2UT</t>
  </si>
  <si>
    <t>7 Dove Close</t>
  </si>
  <si>
    <t>Law</t>
  </si>
  <si>
    <t>simonlaw1@ntlworld.com</t>
  </si>
  <si>
    <t>Team Enable MI Racing</t>
  </si>
  <si>
    <t>CV10 0BG</t>
  </si>
  <si>
    <t>64 Shanklin Drive</t>
  </si>
  <si>
    <t>tjlaw@tiscali.co.uk</t>
  </si>
  <si>
    <t>CO3 9TR</t>
  </si>
  <si>
    <t>Fordham Heath</t>
  </si>
  <si>
    <t>Golden Lodge Wood Lane</t>
  </si>
  <si>
    <t>dlavery62@gmail.com</t>
  </si>
  <si>
    <t>NE25 9AJ</t>
  </si>
  <si>
    <t>Whitley Bay</t>
  </si>
  <si>
    <t>25 Hillfield</t>
  </si>
  <si>
    <t>adrianlauchlan@gmail.com</t>
  </si>
  <si>
    <t>N14 7BN</t>
  </si>
  <si>
    <t xml:space="preserve">75 Ulleswater Road </t>
  </si>
  <si>
    <t xml:space="preserve">Lauchlan </t>
  </si>
  <si>
    <t>underpressure@talktalk.net</t>
  </si>
  <si>
    <t>Icknield Road Club (IRC)</t>
  </si>
  <si>
    <t>MK417QB</t>
  </si>
  <si>
    <t>67 Brickhill Drive</t>
  </si>
  <si>
    <t>Lattughi</t>
  </si>
  <si>
    <t>n.latimer@sheffield.ac.uk</t>
  </si>
  <si>
    <t>Team Lifting Gear Products</t>
  </si>
  <si>
    <t>S32 2HE</t>
  </si>
  <si>
    <t>Willow Bank, Main Road</t>
  </si>
  <si>
    <t>boblatchem@hotmail.co.uk</t>
  </si>
  <si>
    <t>SOMER VALLEY CYCLING CLUB</t>
  </si>
  <si>
    <t>BA3 3SB</t>
  </si>
  <si>
    <t>Radstock</t>
  </si>
  <si>
    <t>56 Wells Road</t>
  </si>
  <si>
    <t>LATCHEM</t>
  </si>
  <si>
    <t>FRANCIS</t>
  </si>
  <si>
    <t>ROBERT</t>
  </si>
  <si>
    <t>larmer.kevin@gmail.com</t>
  </si>
  <si>
    <t>CH63 0PG</t>
  </si>
  <si>
    <t>225 Brookhurst Avenue</t>
  </si>
  <si>
    <t>Larmer</t>
  </si>
  <si>
    <t>zero.one@hotmail.co.uk</t>
  </si>
  <si>
    <t>PO9 2UX</t>
  </si>
  <si>
    <t>13 Rowan Road</t>
  </si>
  <si>
    <t>andy.langdown@btinternet.com</t>
  </si>
  <si>
    <t>PO10 7HR</t>
  </si>
  <si>
    <t>Emsworth</t>
  </si>
  <si>
    <t>30 Beach Road</t>
  </si>
  <si>
    <t>Langdown</t>
  </si>
  <si>
    <t>jacqui.lane5@icloud.com</t>
  </si>
  <si>
    <t xml:space="preserve">Eastbourne Rovers </t>
  </si>
  <si>
    <t>BN227JA</t>
  </si>
  <si>
    <t xml:space="preserve">6 Seaford Road </t>
  </si>
  <si>
    <t>Jacqui</t>
  </si>
  <si>
    <t>r.lane474@btinternet.com</t>
  </si>
  <si>
    <t>CV5 9DX</t>
  </si>
  <si>
    <t>68 St Helens Way</t>
  </si>
  <si>
    <t>LANE</t>
  </si>
  <si>
    <t>gavinlanc@gmail.com</t>
  </si>
  <si>
    <t>SN1 4HR</t>
  </si>
  <si>
    <t>7 Goddard Ave</t>
  </si>
  <si>
    <t>PE30 3WY</t>
  </si>
  <si>
    <t>2, Rosebay</t>
  </si>
  <si>
    <t>Filey</t>
  </si>
  <si>
    <t>31 Station Avenue</t>
  </si>
  <si>
    <t>andrewjlambe@yahoo.co.uk</t>
  </si>
  <si>
    <t xml:space="preserve">LS29 8UN </t>
  </si>
  <si>
    <t>16 Low Beck</t>
  </si>
  <si>
    <t>Lambe</t>
  </si>
  <si>
    <t>muntjack123@yahoo.co.uk</t>
  </si>
  <si>
    <t>HP3 9EF</t>
  </si>
  <si>
    <t>11 Crabtree Close</t>
  </si>
  <si>
    <t>bike_lamb@btinternet.com</t>
  </si>
  <si>
    <t>LN9 5SR</t>
  </si>
  <si>
    <t>Horncastle</t>
  </si>
  <si>
    <t>2 Granary Way</t>
  </si>
  <si>
    <t>ian.lakey@gmail.com</t>
  </si>
  <si>
    <t>Okehampton CC</t>
  </si>
  <si>
    <t>EX17 6EN</t>
  </si>
  <si>
    <t>Crediton</t>
  </si>
  <si>
    <t>Bow</t>
  </si>
  <si>
    <t xml:space="preserve">Moorquest House, </t>
  </si>
  <si>
    <t>doug17laidlow@yahoo.com</t>
  </si>
  <si>
    <t>NG34 9BD</t>
  </si>
  <si>
    <t>17, Fen Rd, Little Hale</t>
  </si>
  <si>
    <t>Laidlow</t>
  </si>
  <si>
    <t>mhairilaffoley@gmail.com</t>
  </si>
  <si>
    <t>KY11 9LR</t>
  </si>
  <si>
    <t>22 Frankfield Place</t>
  </si>
  <si>
    <t>Laffoley</t>
  </si>
  <si>
    <t>Mhairi</t>
  </si>
  <si>
    <t>kevin.lackie62@btinternet.com</t>
  </si>
  <si>
    <t>IV30 4DA</t>
  </si>
  <si>
    <t>Corowa, 2 Newfield Road</t>
  </si>
  <si>
    <t>Lackie</t>
  </si>
  <si>
    <t>annettelacey@btinternet.com</t>
  </si>
  <si>
    <t>HP5 2SQ</t>
  </si>
  <si>
    <t>329 Chartridge Lane</t>
  </si>
  <si>
    <t>Lacey</t>
  </si>
  <si>
    <t>johnlacey@btinternet.com</t>
  </si>
  <si>
    <t>laasna.reuter@gmail.com</t>
  </si>
  <si>
    <t>Virtual Cycling Club</t>
  </si>
  <si>
    <t>BS7 8SZ</t>
  </si>
  <si>
    <t>Horfield</t>
  </si>
  <si>
    <t>10 Wellington Crescent</t>
  </si>
  <si>
    <t>Laasna Reuter</t>
  </si>
  <si>
    <t xml:space="preserve">Dan </t>
  </si>
  <si>
    <t>gkondor62@hotmail.co.uk</t>
  </si>
  <si>
    <t>NG22 8TQ</t>
  </si>
  <si>
    <t>15 Meadow Grove</t>
  </si>
  <si>
    <t xml:space="preserve">Kondor </t>
  </si>
  <si>
    <t>kober-martin@web.de</t>
  </si>
  <si>
    <t>San Fairy Ann - Abellio SFA RT</t>
  </si>
  <si>
    <t>ME18 5ER</t>
  </si>
  <si>
    <t>Wateringbury</t>
  </si>
  <si>
    <t>Maidsone Road</t>
  </si>
  <si>
    <t>10 Kings Cottages</t>
  </si>
  <si>
    <t>Kober</t>
  </si>
  <si>
    <t>trikie1201@yahoo.co.uk</t>
  </si>
  <si>
    <t>TS27 4AY</t>
  </si>
  <si>
    <t>Blachall Rocks</t>
  </si>
  <si>
    <t>Coast Road</t>
  </si>
  <si>
    <t>Avondale</t>
  </si>
  <si>
    <t>Knox</t>
  </si>
  <si>
    <t>eandr@harwichrunners.co.uk</t>
  </si>
  <si>
    <t>CO11 2PJ</t>
  </si>
  <si>
    <t>Little Bromley</t>
  </si>
  <si>
    <t>Paynes Cottage Paynes Lane</t>
  </si>
  <si>
    <t xml:space="preserve">Elinor </t>
  </si>
  <si>
    <t>Elspeth</t>
  </si>
  <si>
    <t>knighty0007@gmail.com</t>
  </si>
  <si>
    <t>SP11 8LR</t>
  </si>
  <si>
    <t>East Cholderton</t>
  </si>
  <si>
    <t>Brooklands, East Cholderton</t>
  </si>
  <si>
    <t>richardwknight2@me.com</t>
  </si>
  <si>
    <t>N128AB</t>
  </si>
  <si>
    <t>123 Nether Street</t>
  </si>
  <si>
    <t>rolaki@hotmail.co.uk</t>
  </si>
  <si>
    <t>RH13 8GE</t>
  </si>
  <si>
    <t>Dragons Lane</t>
  </si>
  <si>
    <t>Yew Tree Cottage</t>
  </si>
  <si>
    <t>Kitson</t>
  </si>
  <si>
    <t>Arthur John</t>
  </si>
  <si>
    <t>Foodhoover@yahoo.co.uk</t>
  </si>
  <si>
    <t>PH16 5FH</t>
  </si>
  <si>
    <t>Pitlochry</t>
  </si>
  <si>
    <t>4 Finlay Close</t>
  </si>
  <si>
    <t>Kirton</t>
  </si>
  <si>
    <t>murraykirton@aol.com</t>
  </si>
  <si>
    <t>NN12 6AW</t>
  </si>
  <si>
    <t>38 Jenkinson Road</t>
  </si>
  <si>
    <t>katherinehkirkland@gmail.com</t>
  </si>
  <si>
    <t>BornToBike</t>
  </si>
  <si>
    <t>DE73 8EG</t>
  </si>
  <si>
    <t xml:space="preserve">Melbourne </t>
  </si>
  <si>
    <t>The Grange, Pack Horse Road</t>
  </si>
  <si>
    <t>Kirkland</t>
  </si>
  <si>
    <t>jkirkham505@gmail.com</t>
  </si>
  <si>
    <t>BL0 9RL</t>
  </si>
  <si>
    <t xml:space="preserve">Ramsbottom </t>
  </si>
  <si>
    <t>Holcombe Brook</t>
  </si>
  <si>
    <t xml:space="preserve">8 Honeywood Close </t>
  </si>
  <si>
    <t>WN6 7RX</t>
  </si>
  <si>
    <t>Beech Hill</t>
  </si>
  <si>
    <t>22 Harbury Walk</t>
  </si>
  <si>
    <t>mike.kirby@highfieldfoods.co.uk</t>
  </si>
  <si>
    <t>OX17 2GS</t>
  </si>
  <si>
    <t>Middleton Cheney</t>
  </si>
  <si>
    <t>1 Michaelmas Close</t>
  </si>
  <si>
    <t>Kirby</t>
  </si>
  <si>
    <t>BS16 2EL</t>
  </si>
  <si>
    <t>Fishponds</t>
  </si>
  <si>
    <t>107 Manor Road</t>
  </si>
  <si>
    <t>Kington</t>
  </si>
  <si>
    <t>danfidow@gmail.com</t>
  </si>
  <si>
    <t xml:space="preserve">NP116BH </t>
  </si>
  <si>
    <t xml:space="preserve">Caerphilly </t>
  </si>
  <si>
    <t xml:space="preserve">Risca / Newport </t>
  </si>
  <si>
    <t xml:space="preserve">9 Brookland Road </t>
  </si>
  <si>
    <t>tim_kingston@hotmail.com</t>
  </si>
  <si>
    <t>GS Invicta - Eye Level Optical- Herbert Cycles</t>
  </si>
  <si>
    <t>CT14 6SA</t>
  </si>
  <si>
    <t>20 North Lea</t>
  </si>
  <si>
    <t>mail@edwardkingsley.com</t>
  </si>
  <si>
    <t>DL1 3LA</t>
  </si>
  <si>
    <t xml:space="preserve">Darlington </t>
  </si>
  <si>
    <t>Brafferton</t>
  </si>
  <si>
    <t xml:space="preserve">29 The Green, </t>
  </si>
  <si>
    <t>Swinton House Farm</t>
  </si>
  <si>
    <t>ack.king@btinternet.com</t>
  </si>
  <si>
    <t>NN14 1LG</t>
  </si>
  <si>
    <t>Loddington</t>
  </si>
  <si>
    <t>14 Parklands Close</t>
  </si>
  <si>
    <t>p.paulk42@gmail.com</t>
  </si>
  <si>
    <t>AL2 3HE</t>
  </si>
  <si>
    <t xml:space="preserve">32 Mount Drive </t>
  </si>
  <si>
    <t>jking@woodcomp.co.uk</t>
  </si>
  <si>
    <t>OX3 9TX</t>
  </si>
  <si>
    <t>Noke</t>
  </si>
  <si>
    <t>Cherry Cottage</t>
  </si>
  <si>
    <t>rosemary.tedk@me.com</t>
  </si>
  <si>
    <t>BS36 1NA</t>
  </si>
  <si>
    <t>48 Friary Grange Park</t>
  </si>
  <si>
    <t>ian.king12@hotmail.com</t>
  </si>
  <si>
    <t>Pedal Power Loughborough</t>
  </si>
  <si>
    <t>LE12 9UA</t>
  </si>
  <si>
    <t>7 Mill Close</t>
  </si>
  <si>
    <t>king</t>
  </si>
  <si>
    <t>michaelkillingsworth@btinternet.com</t>
  </si>
  <si>
    <t xml:space="preserve">Lincoln Wheelers </t>
  </si>
  <si>
    <t>LN4 1DZ</t>
  </si>
  <si>
    <t>12 Keeble Drive</t>
  </si>
  <si>
    <t>Killingsworth</t>
  </si>
  <si>
    <t>BN3 8BA</t>
  </si>
  <si>
    <t>11 Sherbourne Road</t>
  </si>
  <si>
    <t>Kilby</t>
  </si>
  <si>
    <t>LA5 0JH</t>
  </si>
  <si>
    <t>Carnforth, Lancashire</t>
  </si>
  <si>
    <t>Station Road</t>
  </si>
  <si>
    <t>26 Ashleigh Court</t>
  </si>
  <si>
    <t>Kilburn</t>
  </si>
  <si>
    <t>jasongkierman@outlook.com</t>
  </si>
  <si>
    <t>PE132HP</t>
  </si>
  <si>
    <t>14 Penrose Gardens</t>
  </si>
  <si>
    <t>Kierman</t>
  </si>
  <si>
    <t>Gustav</t>
  </si>
  <si>
    <t>bikefrank35@gmail.com</t>
  </si>
  <si>
    <t>BL7 9UR</t>
  </si>
  <si>
    <t>3 Fernhills</t>
  </si>
  <si>
    <t>Lancashire Road Club.</t>
  </si>
  <si>
    <t>len.kerry@talktalk.net</t>
  </si>
  <si>
    <t>BL2 3JJ</t>
  </si>
  <si>
    <t>3 Croft Gate</t>
  </si>
  <si>
    <t>LEN.KERRY@talktalk.net</t>
  </si>
  <si>
    <t>philip.kennell@btopenworld.com</t>
  </si>
  <si>
    <t>NE46 3LD</t>
  </si>
  <si>
    <t>HEXHAM</t>
  </si>
  <si>
    <t>Burswell Villas</t>
  </si>
  <si>
    <t>Oakbank</t>
  </si>
  <si>
    <t>Kennell</t>
  </si>
  <si>
    <t>kennywolves@hotmail.com</t>
  </si>
  <si>
    <t>DY6 8JD</t>
  </si>
  <si>
    <t>Kingswinford</t>
  </si>
  <si>
    <t>123 Lesley Drive</t>
  </si>
  <si>
    <t>Kennard</t>
  </si>
  <si>
    <t>jellyankles@blueyonder.co.uk</t>
  </si>
  <si>
    <t>DY11 6DE</t>
  </si>
  <si>
    <t>58 Manor Avenue South</t>
  </si>
  <si>
    <t>Kenderdine</t>
  </si>
  <si>
    <t>kemped@blueyonder.co.uk</t>
  </si>
  <si>
    <t>BS7 0DA</t>
  </si>
  <si>
    <t>29 Highbury Road</t>
  </si>
  <si>
    <t>Kempe</t>
  </si>
  <si>
    <t>glidergoth@gmail.com</t>
  </si>
  <si>
    <t>CB23 4LT</t>
  </si>
  <si>
    <t>1 High Street</t>
  </si>
  <si>
    <t>The Old Forge</t>
  </si>
  <si>
    <t>Kelman</t>
  </si>
  <si>
    <t>melissac1972@hotmail.co.uk</t>
  </si>
  <si>
    <t>LS15 8PT</t>
  </si>
  <si>
    <t xml:space="preserve">9 Barrowby Lane </t>
  </si>
  <si>
    <t>danielkelly.leeds@googlemail.com</t>
  </si>
  <si>
    <t>jj.gkelly@btinternet.com</t>
  </si>
  <si>
    <t>keightley.andrew@yahoo.co.uk</t>
  </si>
  <si>
    <t>LE13 0PY</t>
  </si>
  <si>
    <t>leics</t>
  </si>
  <si>
    <t>16 Southwell Close</t>
  </si>
  <si>
    <t>tartancustard@gmail.com</t>
  </si>
  <si>
    <t>PO9 1RN</t>
  </si>
  <si>
    <t>Langstone</t>
  </si>
  <si>
    <t>20 Southbrook Rd</t>
  </si>
  <si>
    <t>Keevil</t>
  </si>
  <si>
    <t>richard.keenlyside@elitetricoaching.com</t>
  </si>
  <si>
    <t xml:space="preserve">Fietsen Tempo </t>
  </si>
  <si>
    <t>TS159GA</t>
  </si>
  <si>
    <t>Conyers Green</t>
  </si>
  <si>
    <t>2 Braunton Way</t>
  </si>
  <si>
    <t>Keenlyside</t>
  </si>
  <si>
    <t>BS7 8NN</t>
  </si>
  <si>
    <t>Bishopton</t>
  </si>
  <si>
    <t>205 Gloucester Road</t>
  </si>
  <si>
    <t>andrewkeenan706@gmail.com</t>
  </si>
  <si>
    <t>Rotherham Wheelers</t>
  </si>
  <si>
    <t>S81 7RT</t>
  </si>
  <si>
    <t>18 Abingdon view</t>
  </si>
  <si>
    <t>Keenan</t>
  </si>
  <si>
    <t>B91 2DN</t>
  </si>
  <si>
    <t>47 Woodfield Road</t>
  </si>
  <si>
    <t>steven@engineturning.co.uk</t>
  </si>
  <si>
    <t>CO3 4NL</t>
  </si>
  <si>
    <t>Prettygate</t>
  </si>
  <si>
    <t>70, The Commons</t>
  </si>
  <si>
    <t>m.t.kearney@leeds.ac.uk</t>
  </si>
  <si>
    <t>LS225BQ</t>
  </si>
  <si>
    <t>Collingham</t>
  </si>
  <si>
    <t xml:space="preserve">School house, school Lane </t>
  </si>
  <si>
    <t xml:space="preserve">Kearney </t>
  </si>
  <si>
    <t>neill.keaney@gmail.com</t>
  </si>
  <si>
    <t>BR2 7HJ</t>
  </si>
  <si>
    <t>5 Tiepigs Lane</t>
  </si>
  <si>
    <t>Keaney</t>
  </si>
  <si>
    <t>alkwiggo@gmail.com</t>
  </si>
  <si>
    <t>HU10 7PB</t>
  </si>
  <si>
    <t xml:space="preserve">Kirk Ella </t>
  </si>
  <si>
    <t xml:space="preserve">31 Braids Walk </t>
  </si>
  <si>
    <t>hetchinslugsthebest@talktalk.net</t>
  </si>
  <si>
    <t>GL7 1DL</t>
  </si>
  <si>
    <t>Cirencester</t>
  </si>
  <si>
    <t>22 North Home Road</t>
  </si>
  <si>
    <t>Jupp</t>
  </si>
  <si>
    <t>anthonyjones623@gmail.com</t>
  </si>
  <si>
    <t xml:space="preserve">GS Henley </t>
  </si>
  <si>
    <t>RG9 3JY</t>
  </si>
  <si>
    <t xml:space="preserve">Henley-on-Thames, Oxfordshire </t>
  </si>
  <si>
    <t>Lower Shiplake</t>
  </si>
  <si>
    <t>Baskerville Lane</t>
  </si>
  <si>
    <t>Conway</t>
  </si>
  <si>
    <t>al_jonesy@hotmail.com</t>
  </si>
  <si>
    <t>Woking CC</t>
  </si>
  <si>
    <t xml:space="preserve">Kt15 1DT </t>
  </si>
  <si>
    <t xml:space="preserve">Addlestone </t>
  </si>
  <si>
    <t xml:space="preserve">Hare Hill </t>
  </si>
  <si>
    <t xml:space="preserve">Verona </t>
  </si>
  <si>
    <t>koukolimited@hotmail.com</t>
  </si>
  <si>
    <t>Vtta (Manchester &amp; nw)</t>
  </si>
  <si>
    <t>WA13 9NX</t>
  </si>
  <si>
    <t xml:space="preserve">23 Chaise Meadow </t>
  </si>
  <si>
    <t>Ivor</t>
  </si>
  <si>
    <t>john.brutaal@gmail.com</t>
  </si>
  <si>
    <t>Verulam Reallymoving.com</t>
  </si>
  <si>
    <t>AL5 5TZ</t>
  </si>
  <si>
    <t>65 Highfield Avenue</t>
  </si>
  <si>
    <t>RuthJones2704@googlemail.com</t>
  </si>
  <si>
    <t xml:space="preserve">Farnborough &amp; Camberley </t>
  </si>
  <si>
    <t>GU51 2UF</t>
  </si>
  <si>
    <t xml:space="preserve">15 Kerry Close </t>
  </si>
  <si>
    <t>anthonymark.jones@homecall.co.uk</t>
  </si>
  <si>
    <t>VMCC powered by Y Beic</t>
  </si>
  <si>
    <t>Sa31 3rl</t>
  </si>
  <si>
    <t xml:space="preserve">Llanllwch </t>
  </si>
  <si>
    <t>Manor way</t>
  </si>
  <si>
    <t>Hafan deg</t>
  </si>
  <si>
    <t>mark.litespeed@googlemail.com</t>
  </si>
  <si>
    <t>Fibrax Wrexham Roads Club</t>
  </si>
  <si>
    <t>CH5 3HF</t>
  </si>
  <si>
    <t>Hawarden</t>
  </si>
  <si>
    <t>160 Gladstone Way</t>
  </si>
  <si>
    <t>rich@rwjones.info</t>
  </si>
  <si>
    <t>HP16 9HJ</t>
  </si>
  <si>
    <t>Prestwood</t>
  </si>
  <si>
    <t>28 Honorwood Close</t>
  </si>
  <si>
    <t>primalracing67@gmail.com</t>
  </si>
  <si>
    <t>Primera sport/team jobs</t>
  </si>
  <si>
    <t>BH106JS</t>
  </si>
  <si>
    <t>9 Romney Close</t>
  </si>
  <si>
    <t>ben@artvisits.net</t>
  </si>
  <si>
    <t>Penge Cycle Club</t>
  </si>
  <si>
    <t>BR3 2NA</t>
  </si>
  <si>
    <t>24 Aldersmead Road</t>
  </si>
  <si>
    <t>phil@thejonesy.co.uk</t>
  </si>
  <si>
    <t>PE8 6JW</t>
  </si>
  <si>
    <t>15 Robins Field</t>
  </si>
  <si>
    <t>gazeddi@yahoo.com</t>
  </si>
  <si>
    <t xml:space="preserve">VTTA midlands </t>
  </si>
  <si>
    <t>DY10 1NS</t>
  </si>
  <si>
    <t>WORCS</t>
  </si>
  <si>
    <t>15 KENT CLOSE</t>
  </si>
  <si>
    <t>jonesg1937@gmail.com</t>
  </si>
  <si>
    <t>WA11 0WF</t>
  </si>
  <si>
    <t>St Helens</t>
  </si>
  <si>
    <t>2 Bethany Close</t>
  </si>
  <si>
    <t>robert.jones33@virgin.net</t>
  </si>
  <si>
    <t>CF64 4NH</t>
  </si>
  <si>
    <t>Glamorgan</t>
  </si>
  <si>
    <t>Dinas Powis</t>
  </si>
  <si>
    <t>2 Little Orchard</t>
  </si>
  <si>
    <t>jonesey2k13@hotmail.com</t>
  </si>
  <si>
    <t>CB23 7DL</t>
  </si>
  <si>
    <t>Comberton</t>
  </si>
  <si>
    <t>10, Fox's Way</t>
  </si>
  <si>
    <t>matt@miterdale.net</t>
  </si>
  <si>
    <t>WD19 4PG</t>
  </si>
  <si>
    <t>20 Vivian Gardens</t>
  </si>
  <si>
    <t>christian.jonez@gmail.com</t>
  </si>
  <si>
    <t>BR3 4PX</t>
  </si>
  <si>
    <t>49, Sidney Road</t>
  </si>
  <si>
    <t>mark.jones@physics.ox.ac.uk</t>
  </si>
  <si>
    <t>ox201ru</t>
  </si>
  <si>
    <t>bladon</t>
  </si>
  <si>
    <t>14 manor road</t>
  </si>
  <si>
    <t>christopher</t>
  </si>
  <si>
    <t>ttman.ghjones@gmail.com</t>
  </si>
  <si>
    <t>EH17 7SJ</t>
  </si>
  <si>
    <t>244 Guardwell Crescent</t>
  </si>
  <si>
    <t>markandheatherjones55@gmail.com</t>
  </si>
  <si>
    <t>RH20 4HJ</t>
  </si>
  <si>
    <t>55 Pulborough Road</t>
  </si>
  <si>
    <t>bob.jolliffe@btinternet.com</t>
  </si>
  <si>
    <t>BH25 5SS</t>
  </si>
  <si>
    <t>8 Forest Pines</t>
  </si>
  <si>
    <t>jockyjohnstone@hotmail.co.uk</t>
  </si>
  <si>
    <t>ICARUS</t>
  </si>
  <si>
    <t>ML8 5NL</t>
  </si>
  <si>
    <t>CROSSFORD</t>
  </si>
  <si>
    <t>5 Carfin Drive</t>
  </si>
  <si>
    <t>gordon@reigmor.co.uk</t>
  </si>
  <si>
    <t>Team Terminator</t>
  </si>
  <si>
    <t>DG1 3JP</t>
  </si>
  <si>
    <t>Gasstown</t>
  </si>
  <si>
    <t>Stoop Loaning</t>
  </si>
  <si>
    <t>Reigmor</t>
  </si>
  <si>
    <t>brian-bj@live.co.uk</t>
  </si>
  <si>
    <t>Riefen Racing</t>
  </si>
  <si>
    <t>NE22 6NS</t>
  </si>
  <si>
    <t>41 Ayton Court</t>
  </si>
  <si>
    <t>mr_rjohnson@outlook.com</t>
  </si>
  <si>
    <t>RH14 9TT</t>
  </si>
  <si>
    <t>7 Gorselands</t>
  </si>
  <si>
    <t xml:space="preserve">Subscription to The Veteran Standards: Solo Bike: unlimited attempts at any distance Annual Lunch Annual Lunch </t>
  </si>
  <si>
    <t>mr.panaflex@yahoo.co.uk</t>
  </si>
  <si>
    <t xml:space="preserve">OL14 8JF </t>
  </si>
  <si>
    <t xml:space="preserve">558 Burnley rd </t>
  </si>
  <si>
    <t>johns</t>
  </si>
  <si>
    <t>dean</t>
  </si>
  <si>
    <t>debjohnsportstherapy@gmail.com</t>
  </si>
  <si>
    <t>LA14PX</t>
  </si>
  <si>
    <t>North West England</t>
  </si>
  <si>
    <t>29 Piccadilly</t>
  </si>
  <si>
    <t>Rhian</t>
  </si>
  <si>
    <t>pat.jerome.66@gmail.com</t>
  </si>
  <si>
    <t>VTTA {S.WALES)</t>
  </si>
  <si>
    <t>CF38 2LX</t>
  </si>
  <si>
    <t>Llantwit Fardre</t>
  </si>
  <si>
    <t>29 Aspen Way</t>
  </si>
  <si>
    <t>Becontree Wheelers CC</t>
  </si>
  <si>
    <t>RG4 8TT</t>
  </si>
  <si>
    <t>Emmer Green</t>
  </si>
  <si>
    <t>22 The Horse Close</t>
  </si>
  <si>
    <t>Jepson</t>
  </si>
  <si>
    <t>pauljunejennings@yahoo.co.uk</t>
  </si>
  <si>
    <t>ST2 0HF</t>
  </si>
  <si>
    <t>STOKE-ON-TRENT</t>
  </si>
  <si>
    <t>316 Ubberley Road</t>
  </si>
  <si>
    <t>stevejmo7@hotmail.com</t>
  </si>
  <si>
    <t>CV5 7GD</t>
  </si>
  <si>
    <t>Eastern Green</t>
  </si>
  <si>
    <t>51 Handsworth Crescent</t>
  </si>
  <si>
    <t>Jenks</t>
  </si>
  <si>
    <t>danandgold@gmail.com</t>
  </si>
  <si>
    <t xml:space="preserve">SS91QD </t>
  </si>
  <si>
    <t>14 Alexandra Rd</t>
  </si>
  <si>
    <t>johnjenkins380@gmail.com</t>
  </si>
  <si>
    <t>Bretteville-sur-Ay</t>
  </si>
  <si>
    <t>21 Rue des Aubins</t>
  </si>
  <si>
    <t>AIMS Cycling</t>
  </si>
  <si>
    <t>pennick81@yahoo.co.uk</t>
  </si>
  <si>
    <t xml:space="preserve">Manilla </t>
  </si>
  <si>
    <t xml:space="preserve">Michelle </t>
  </si>
  <si>
    <t xml:space="preserve">Deborah </t>
  </si>
  <si>
    <t>pj@tvvracing.co.uk</t>
  </si>
  <si>
    <t>1 Jermyn Avenue</t>
  </si>
  <si>
    <t>Jay</t>
  </si>
  <si>
    <t>alanjardine4@gmail.com</t>
  </si>
  <si>
    <t xml:space="preserve">VC GLASGOW SOUTH </t>
  </si>
  <si>
    <t>G77 6YY</t>
  </si>
  <si>
    <t>Crookfur Road</t>
  </si>
  <si>
    <t>Flat 24 Ashbrae</t>
  </si>
  <si>
    <t>Jardine</t>
  </si>
  <si>
    <t>BS4 4PD</t>
  </si>
  <si>
    <t>Brislington</t>
  </si>
  <si>
    <t>107 Allison Avenue</t>
  </si>
  <si>
    <t>Janes</t>
  </si>
  <si>
    <t>Alen</t>
  </si>
  <si>
    <t>nickj26@hotmail.com</t>
  </si>
  <si>
    <t xml:space="preserve">OX28 1GF </t>
  </si>
  <si>
    <t xml:space="preserve">2a Cherry Tree Way </t>
  </si>
  <si>
    <t>mickj1956@gmail.com</t>
  </si>
  <si>
    <t>Kassei CC TeknoFuel</t>
  </si>
  <si>
    <t>TN24 9JT</t>
  </si>
  <si>
    <t>Kennington</t>
  </si>
  <si>
    <t>7 Tadworth Road</t>
  </si>
  <si>
    <t>SY11 1NT</t>
  </si>
  <si>
    <t>44 Vyrnwy Road</t>
  </si>
  <si>
    <t>cjjames@talktalk.net</t>
  </si>
  <si>
    <t xml:space="preserve">PO9 2RD </t>
  </si>
  <si>
    <t xml:space="preserve">Havant </t>
  </si>
  <si>
    <t xml:space="preserve">Oaklands Road </t>
  </si>
  <si>
    <t xml:space="preserve">27 Norfolk House </t>
  </si>
  <si>
    <t>p.james42@btinternet.com</t>
  </si>
  <si>
    <t>SN11 9PD</t>
  </si>
  <si>
    <t>Derry Hill</t>
  </si>
  <si>
    <t>5 Fitzmaurice Close</t>
  </si>
  <si>
    <t>ianmjames@metronet.co.uk</t>
  </si>
  <si>
    <t>BS15 3PF</t>
  </si>
  <si>
    <t>Hanham</t>
  </si>
  <si>
    <t>30 Grange Avenue</t>
  </si>
  <si>
    <t>NG4 4BJ</t>
  </si>
  <si>
    <t>5 Willow Lane</t>
  </si>
  <si>
    <t>Lin</t>
  </si>
  <si>
    <t>jojago22@hotmail.com</t>
  </si>
  <si>
    <t>BS34 5PB</t>
  </si>
  <si>
    <t>Patchway</t>
  </si>
  <si>
    <t>1 Lower Thirlmere Road</t>
  </si>
  <si>
    <t>Jago</t>
  </si>
  <si>
    <t>adrianjacksonv1@gmail.com</t>
  </si>
  <si>
    <t>DN22 8SJ</t>
  </si>
  <si>
    <t>Lound</t>
  </si>
  <si>
    <t>4 Pinfold Close</t>
  </si>
  <si>
    <t>jpeter804@aol.com</t>
  </si>
  <si>
    <t>SK10 5NB</t>
  </si>
  <si>
    <t>36 Grimshaw Lane</t>
  </si>
  <si>
    <t>garyribble8.gj@gmail.com</t>
  </si>
  <si>
    <t>IG10 2PS</t>
  </si>
  <si>
    <t>40 Hillcroft</t>
  </si>
  <si>
    <t>brendajackson64@btinternet.com</t>
  </si>
  <si>
    <t>LA12 9QA</t>
  </si>
  <si>
    <t>33 West Hills Drive</t>
  </si>
  <si>
    <t>YO41 4BW</t>
  </si>
  <si>
    <t>Sutton upon Derwent</t>
  </si>
  <si>
    <t>4 St Vincents Close</t>
  </si>
  <si>
    <t>petercjackson1@gmail.com</t>
  </si>
  <si>
    <t>SE3 9BE</t>
  </si>
  <si>
    <t>Blackheath</t>
  </si>
  <si>
    <t>34 The Hall, Foxes Dale</t>
  </si>
  <si>
    <t>CB9 7SR</t>
  </si>
  <si>
    <t>Haverhill</t>
  </si>
  <si>
    <t>74, Atterton Road</t>
  </si>
  <si>
    <t>SS4 3QH</t>
  </si>
  <si>
    <t>Canewdon</t>
  </si>
  <si>
    <t>6 Willow Walk</t>
  </si>
  <si>
    <t>wesleyiyanda23@hotmail.co.uk</t>
  </si>
  <si>
    <t xml:space="preserve">Liverpool Century RC </t>
  </si>
  <si>
    <t>L30 8SE</t>
  </si>
  <si>
    <t>Bootle</t>
  </si>
  <si>
    <t xml:space="preserve">Old Roan </t>
  </si>
  <si>
    <t xml:space="preserve">19 Primary Avenue </t>
  </si>
  <si>
    <t>Iyanda</t>
  </si>
  <si>
    <t>Wesley</t>
  </si>
  <si>
    <t>mat@ivings.co.uk</t>
  </si>
  <si>
    <t>SK17 6UN</t>
  </si>
  <si>
    <t>Southmead Bishops Lane</t>
  </si>
  <si>
    <t>Ivings</t>
  </si>
  <si>
    <t>robertivell@hotmail.co.uk</t>
  </si>
  <si>
    <t>KW6 6ED</t>
  </si>
  <si>
    <t>Dunbeath</t>
  </si>
  <si>
    <t>The Bungalow</t>
  </si>
  <si>
    <t>Ivell</t>
  </si>
  <si>
    <t>W.ITHELL@sky.com</t>
  </si>
  <si>
    <t>LE13 0FY</t>
  </si>
  <si>
    <t>11 Coltfoot Way</t>
  </si>
  <si>
    <t>Ithell</t>
  </si>
  <si>
    <t>john.iszatt@btinternet.com</t>
  </si>
  <si>
    <t>CM17 9PU</t>
  </si>
  <si>
    <t>HARLOW</t>
  </si>
  <si>
    <t>31,Ashworth Place</t>
  </si>
  <si>
    <t>Iszatt</t>
  </si>
  <si>
    <t>dave954@btinternet.com</t>
  </si>
  <si>
    <t>BB7 2 SJ</t>
  </si>
  <si>
    <t xml:space="preserve">Clitheroe </t>
  </si>
  <si>
    <t xml:space="preserve">3 Hatch Brook Avenue </t>
  </si>
  <si>
    <t xml:space="preserve">Isherwood </t>
  </si>
  <si>
    <t>johnisard@gmail.com</t>
  </si>
  <si>
    <t>PO19 5RY</t>
  </si>
  <si>
    <t>WEST SUSSEX</t>
  </si>
  <si>
    <t>36 Brandy Hole Lane</t>
  </si>
  <si>
    <t>Isard</t>
  </si>
  <si>
    <t>simon.inman@icloud.com</t>
  </si>
  <si>
    <t>OVB</t>
  </si>
  <si>
    <t>NG12 3GH</t>
  </si>
  <si>
    <t>Cropwell Bishop</t>
  </si>
  <si>
    <t>5 Barratt Close</t>
  </si>
  <si>
    <t>Inman</t>
  </si>
  <si>
    <t>colininett@aol.com</t>
  </si>
  <si>
    <t>CT3 3AX</t>
  </si>
  <si>
    <t>Aylesham</t>
  </si>
  <si>
    <t>63, Burgess Road</t>
  </si>
  <si>
    <t>Inett</t>
  </si>
  <si>
    <t>peteriffland.pi@gmail.com</t>
  </si>
  <si>
    <t>SN10 4QH</t>
  </si>
  <si>
    <t xml:space="preserve">Urchfont, Devizes </t>
  </si>
  <si>
    <t xml:space="preserve">3 Nags Head </t>
  </si>
  <si>
    <t>Iffland</t>
  </si>
  <si>
    <t>Grahame Mark</t>
  </si>
  <si>
    <t>terryicke@yahoo.co.uk</t>
  </si>
  <si>
    <t>Dt28bq</t>
  </si>
  <si>
    <t>Crosswsys</t>
  </si>
  <si>
    <t>9 Egdon glen</t>
  </si>
  <si>
    <t>Icke</t>
  </si>
  <si>
    <t>ibellr52@gmail.com</t>
  </si>
  <si>
    <t>SA15 2DE</t>
  </si>
  <si>
    <t>Machynys</t>
  </si>
  <si>
    <t>14 Pentre Nicklaus Village</t>
  </si>
  <si>
    <t>Ibell</t>
  </si>
  <si>
    <t>steve.ianson@ziosteve.co.uk</t>
  </si>
  <si>
    <t>SK12 2BE</t>
  </si>
  <si>
    <t>Disley</t>
  </si>
  <si>
    <t>15 Chantry Road</t>
  </si>
  <si>
    <t>I'Anson</t>
  </si>
  <si>
    <t>dianehynam@gmail.com</t>
  </si>
  <si>
    <t>Bynea cycling club</t>
  </si>
  <si>
    <t xml:space="preserve">Bro Hedydd </t>
  </si>
  <si>
    <t>brianhygate@gmail.com</t>
  </si>
  <si>
    <t>PO12 2LD</t>
  </si>
  <si>
    <t>Gosport</t>
  </si>
  <si>
    <t>19 Village Road,</t>
  </si>
  <si>
    <t>Hygate</t>
  </si>
  <si>
    <t>johnhyde365@gmail.com</t>
  </si>
  <si>
    <t>VC ST Raphael</t>
  </si>
  <si>
    <t>SO30 0GF</t>
  </si>
  <si>
    <t>Hedge End</t>
  </si>
  <si>
    <t>11 Hobb Lane</t>
  </si>
  <si>
    <t>deb.lumb@gmail.com</t>
  </si>
  <si>
    <t>TF10 8JR</t>
  </si>
  <si>
    <t>Edgmond</t>
  </si>
  <si>
    <t>37 High Street</t>
  </si>
  <si>
    <t>The Old Rectory</t>
  </si>
  <si>
    <t>Hutson-Lumb</t>
  </si>
  <si>
    <t>andycathy.hutchison@googlemail.com</t>
  </si>
  <si>
    <t>Ride Harder</t>
  </si>
  <si>
    <t>NR340DG</t>
  </si>
  <si>
    <t>Beccles</t>
  </si>
  <si>
    <t>Aldeby</t>
  </si>
  <si>
    <t>Hutchison</t>
  </si>
  <si>
    <t>scott.hutchinson1972@outlook.com</t>
  </si>
  <si>
    <t>KY11 8NS</t>
  </si>
  <si>
    <t>3 Lindsay Street</t>
  </si>
  <si>
    <t>BD13 3AU</t>
  </si>
  <si>
    <t>Thornton</t>
  </si>
  <si>
    <t>25 Hughendon Drive</t>
  </si>
  <si>
    <t>mary_jane.hutchinson@btinternet.com</t>
  </si>
  <si>
    <t>BS9 1BZ</t>
  </si>
  <si>
    <t>Stoke Bishop</t>
  </si>
  <si>
    <t>1 Kingsmill</t>
  </si>
  <si>
    <t>Mill Lodge</t>
  </si>
  <si>
    <t>Mary-Jane</t>
  </si>
  <si>
    <t>rob.hutchinson8@btinternet.com</t>
  </si>
  <si>
    <t>mickhutchins@hotmail.co.uk</t>
  </si>
  <si>
    <t>St7 3ef</t>
  </si>
  <si>
    <t>Church Lawton</t>
  </si>
  <si>
    <t>7 Woodgate Ave</t>
  </si>
  <si>
    <t>roger_m_h2003@hotmail.com</t>
  </si>
  <si>
    <t>VC Merlin</t>
  </si>
  <si>
    <t>RH19 2RB</t>
  </si>
  <si>
    <t>Felbridge</t>
  </si>
  <si>
    <t>Woodcock Hill</t>
  </si>
  <si>
    <t>Manor House</t>
  </si>
  <si>
    <t>SM3 9AW</t>
  </si>
  <si>
    <t>40 Egham Crescent</t>
  </si>
  <si>
    <t>ahussain55@hotmail.com</t>
  </si>
  <si>
    <t>LU2 7BU</t>
  </si>
  <si>
    <t>4, Kingsdown Avenue</t>
  </si>
  <si>
    <t>Hussain</t>
  </si>
  <si>
    <t>Abid</t>
  </si>
  <si>
    <t>philhurt@ntlworld.com</t>
  </si>
  <si>
    <t>LS12 4SZ</t>
  </si>
  <si>
    <t>11 Greenside Terrace</t>
  </si>
  <si>
    <t>dhurst085@aol.com</t>
  </si>
  <si>
    <t>ST8 7ED</t>
  </si>
  <si>
    <t>10 Firwood Road</t>
  </si>
  <si>
    <t>grhurst@doctors.org.uk</t>
  </si>
  <si>
    <t>NR4 7QJ</t>
  </si>
  <si>
    <t>448 Unthank Road</t>
  </si>
  <si>
    <t>grahamhurrell@hotmail.co.uk</t>
  </si>
  <si>
    <t>SS7 3JZ</t>
  </si>
  <si>
    <t>Thundersley</t>
  </si>
  <si>
    <t>20 Grandview Road</t>
  </si>
  <si>
    <t>hurrell</t>
  </si>
  <si>
    <t>graham</t>
  </si>
  <si>
    <t>jamesedwardhunt76@gmail.com</t>
  </si>
  <si>
    <t>OX18 3AA</t>
  </si>
  <si>
    <t xml:space="preserve">12C Burford Road </t>
  </si>
  <si>
    <t xml:space="preserve">Hunt </t>
  </si>
  <si>
    <t>sihunt1010@aol.com</t>
  </si>
  <si>
    <t>VeloElite RC</t>
  </si>
  <si>
    <t>NN3 3HZ</t>
  </si>
  <si>
    <t>548 Wellingborough Road</t>
  </si>
  <si>
    <t>5 Mackintosh Square</t>
  </si>
  <si>
    <t>sean.p.hunt@gmail.com</t>
  </si>
  <si>
    <t>LN2 3RT</t>
  </si>
  <si>
    <t>26 Roselea Avenue</t>
  </si>
  <si>
    <t>Paderick</t>
  </si>
  <si>
    <t>edmund.humphreys@nottingham.ac.uk</t>
  </si>
  <si>
    <t>LE12 6JF</t>
  </si>
  <si>
    <t>East Leake</t>
  </si>
  <si>
    <t>51 Carlton Crescent</t>
  </si>
  <si>
    <t>jenninicholson@btinternet.com</t>
  </si>
  <si>
    <t>Jenni</t>
  </si>
  <si>
    <t>humphreys109@btinternet.com</t>
  </si>
  <si>
    <t xml:space="preserve">Humphreys </t>
  </si>
  <si>
    <t>kn.humphreys@ntlworld.com</t>
  </si>
  <si>
    <t>NG5 8JS</t>
  </si>
  <si>
    <t>3 Richmond Gardens</t>
  </si>
  <si>
    <t>humphreys</t>
  </si>
  <si>
    <t>lesliehumphrey350@btinternet.com</t>
  </si>
  <si>
    <t>South Eastern RC</t>
  </si>
  <si>
    <t>BR4 9JZ</t>
  </si>
  <si>
    <t>142 The Grove</t>
  </si>
  <si>
    <t>little.brook@btinternet.com</t>
  </si>
  <si>
    <t>BN20 9SG</t>
  </si>
  <si>
    <t>73 Wannock Lane</t>
  </si>
  <si>
    <t>Human</t>
  </si>
  <si>
    <t>simonhulme@btinternet.com</t>
  </si>
  <si>
    <t>DL8 2FA</t>
  </si>
  <si>
    <t>Bedale</t>
  </si>
  <si>
    <t>3 College Court</t>
  </si>
  <si>
    <t>hulme</t>
  </si>
  <si>
    <t>jonathan</t>
  </si>
  <si>
    <t>shughes25@hotmail.com</t>
  </si>
  <si>
    <t>Thames Turbo Triathlon Club</t>
  </si>
  <si>
    <t>KT10 0Qd</t>
  </si>
  <si>
    <t>26 Greenways</t>
  </si>
  <si>
    <t>coachwayne@hotmail.co.uk</t>
  </si>
  <si>
    <t>Ambion cc</t>
  </si>
  <si>
    <t>CV130EG</t>
  </si>
  <si>
    <t>Barlestone</t>
  </si>
  <si>
    <t>11 Bagworth Road, Barlestone</t>
  </si>
  <si>
    <t>dghughes@btinternet.com</t>
  </si>
  <si>
    <t>Kingston Phoenix Road Club</t>
  </si>
  <si>
    <t>KT19 8JA</t>
  </si>
  <si>
    <t>Surrrey</t>
  </si>
  <si>
    <t>11A Richmond Crescent</t>
  </si>
  <si>
    <t>ade.hughes@3elm.co.uk</t>
  </si>
  <si>
    <t>M25 3DN</t>
  </si>
  <si>
    <t>Prestwich</t>
  </si>
  <si>
    <t>3 Elm Grove</t>
  </si>
  <si>
    <t>audrey@audrey-hughes.co.uk</t>
  </si>
  <si>
    <t>HP23 6LG</t>
  </si>
  <si>
    <t>Tring</t>
  </si>
  <si>
    <t>Lanes End</t>
  </si>
  <si>
    <t>40 Coppice Farm Park</t>
  </si>
  <si>
    <t>rogerdh@hotmail.co.uk</t>
  </si>
  <si>
    <t>BN42 4RF</t>
  </si>
  <si>
    <t>Southwick</t>
  </si>
  <si>
    <t>27 Downland Avenue</t>
  </si>
  <si>
    <t>steve.howgill@virginmedia.com</t>
  </si>
  <si>
    <t>LE7 7JL</t>
  </si>
  <si>
    <t>123 Leicester Road</t>
  </si>
  <si>
    <t>Howgill</t>
  </si>
  <si>
    <t>CC Islington</t>
  </si>
  <si>
    <t>CM23 3NS</t>
  </si>
  <si>
    <t>10, Salisbury Close</t>
  </si>
  <si>
    <t>john.howells1000@gmail.com</t>
  </si>
  <si>
    <t>Corinium Cycle Club</t>
  </si>
  <si>
    <t>GL6 8HR</t>
  </si>
  <si>
    <t>Chalford</t>
  </si>
  <si>
    <t>Cowcombe Lane</t>
  </si>
  <si>
    <t>Farm Bungalow</t>
  </si>
  <si>
    <t>steve_lsf@hotmail.com</t>
  </si>
  <si>
    <t xml:space="preserve">Rutland </t>
  </si>
  <si>
    <t>S10 4DN</t>
  </si>
  <si>
    <t>35 St Albans Road</t>
  </si>
  <si>
    <t>Howe</t>
  </si>
  <si>
    <t>neil.howarth7@btinternet.com</t>
  </si>
  <si>
    <t>AB31 5XU</t>
  </si>
  <si>
    <t>8 Cairds Wynd</t>
  </si>
  <si>
    <t xml:space="preserve">Neil </t>
  </si>
  <si>
    <t>ocdathlete@icloud.com</t>
  </si>
  <si>
    <t xml:space="preserve">Liverpool Century CC </t>
  </si>
  <si>
    <t>L37 0AF</t>
  </si>
  <si>
    <t>Brook Farm Moss Side</t>
  </si>
  <si>
    <t>tonyonbike@hotmail.com</t>
  </si>
  <si>
    <t>CO7 6NS</t>
  </si>
  <si>
    <t>Holton St. Mary</t>
  </si>
  <si>
    <t>"Avalon" Hadleigh Road</t>
  </si>
  <si>
    <t>oldtester1801@gmail.com</t>
  </si>
  <si>
    <t>DY116PQ</t>
  </si>
  <si>
    <t>21 Birchfield Road</t>
  </si>
  <si>
    <t>shourigan14@live.co.uk</t>
  </si>
  <si>
    <t xml:space="preserve">Velorefined </t>
  </si>
  <si>
    <t>GU23 7BS</t>
  </si>
  <si>
    <t>60 Send Barns Lane</t>
  </si>
  <si>
    <t>Hourigan</t>
  </si>
  <si>
    <t>secretarylahc@btinternet.com</t>
  </si>
  <si>
    <t>SL3 8SB</t>
  </si>
  <si>
    <t>8 Ryvers Road</t>
  </si>
  <si>
    <t>Hoskins</t>
  </si>
  <si>
    <t>mandbhorwood@googlemail.com</t>
  </si>
  <si>
    <t>BS27 3BP</t>
  </si>
  <si>
    <t>Cheddar</t>
  </si>
  <si>
    <t>Round Oak Road</t>
  </si>
  <si>
    <t>'Two Stacks'</t>
  </si>
  <si>
    <t>Horwood</t>
  </si>
  <si>
    <t>peter_horton@icloud.com</t>
  </si>
  <si>
    <t>B94 6az</t>
  </si>
  <si>
    <t xml:space="preserve">Lapworth </t>
  </si>
  <si>
    <t xml:space="preserve">Old Warwick road </t>
  </si>
  <si>
    <t xml:space="preserve">Bear house farm lodge </t>
  </si>
  <si>
    <t>CM6 1EQ</t>
  </si>
  <si>
    <t>Great Dunmow</t>
  </si>
  <si>
    <t>Chequers Lane</t>
  </si>
  <si>
    <t>Redbond Lodge</t>
  </si>
  <si>
    <t>Horsnell</t>
  </si>
  <si>
    <t>peterhorsnell358@gmail.com</t>
  </si>
  <si>
    <t>sahorsley@hotmail.com</t>
  </si>
  <si>
    <t>LA9 7GX</t>
  </si>
  <si>
    <t xml:space="preserve"> </t>
  </si>
  <si>
    <t>4 Clover Rise</t>
  </si>
  <si>
    <t>Horsley</t>
  </si>
  <si>
    <t>peterhorsfield333@googlemail.com</t>
  </si>
  <si>
    <t>KT22 9UU</t>
  </si>
  <si>
    <t>94 Hilley Field Lane</t>
  </si>
  <si>
    <t>Horsfield</t>
  </si>
  <si>
    <t xml:space="preserve">Annual Lunch </t>
  </si>
  <si>
    <t>andyhorner43@outlook.com</t>
  </si>
  <si>
    <t>BB1 4BJ</t>
  </si>
  <si>
    <t>BLACKBURN</t>
  </si>
  <si>
    <t>rishton</t>
  </si>
  <si>
    <t>15 sussex road</t>
  </si>
  <si>
    <t>hornerrjh@hotmail.co.uk</t>
  </si>
  <si>
    <t>HU17 9SY</t>
  </si>
  <si>
    <t>107 Churchfields</t>
  </si>
  <si>
    <t>mhorner@iprolink.ch</t>
  </si>
  <si>
    <t>CH-1296</t>
  </si>
  <si>
    <t>Switzerland</t>
  </si>
  <si>
    <t>Coppet</t>
  </si>
  <si>
    <t>1 Chemin des Rannaux</t>
  </si>
  <si>
    <t>mickieandgeoff@gmail.com</t>
  </si>
  <si>
    <t>YO32 2RA</t>
  </si>
  <si>
    <t>Wigginton</t>
  </si>
  <si>
    <t>Sutton Road</t>
  </si>
  <si>
    <t xml:space="preserve">The Pleasance 	 		</t>
  </si>
  <si>
    <t>Mickie</t>
  </si>
  <si>
    <t>The Pleasance</t>
  </si>
  <si>
    <t>hopporaam2005@googlemail.com</t>
  </si>
  <si>
    <t xml:space="preserve">API/Anglia Sport </t>
  </si>
  <si>
    <t xml:space="preserve">Landes Du Marche </t>
  </si>
  <si>
    <t>TR12 7HZ</t>
  </si>
  <si>
    <t>Helston</t>
  </si>
  <si>
    <t>Mullion</t>
  </si>
  <si>
    <t>Ryecroft          The Commons</t>
  </si>
  <si>
    <t>LM Joint Membership - London &amp; Home Counties</t>
  </si>
  <si>
    <t>mallorycoatings@hotmail.com</t>
  </si>
  <si>
    <t>cv136hu</t>
  </si>
  <si>
    <t>24 Hinckley Rd</t>
  </si>
  <si>
    <t>Hood</t>
  </si>
  <si>
    <t>brian@graciemac.plus.com</t>
  </si>
  <si>
    <t>CT14 6QL</t>
  </si>
  <si>
    <t>Seaways 3 King Edward Road</t>
  </si>
  <si>
    <t>markandlindahones@gmail.com</t>
  </si>
  <si>
    <t>cb25 0bj</t>
  </si>
  <si>
    <t>cambridgeshire</t>
  </si>
  <si>
    <t>burwell</t>
  </si>
  <si>
    <t>waterside</t>
  </si>
  <si>
    <t>lynton</t>
  </si>
  <si>
    <t>Hones</t>
  </si>
  <si>
    <t>stevenghomer@yahoo.co.uk</t>
  </si>
  <si>
    <t>NE38 9HR</t>
  </si>
  <si>
    <t>Rickleton</t>
  </si>
  <si>
    <t>6 Swinhope</t>
  </si>
  <si>
    <t>homer</t>
  </si>
  <si>
    <t>barryholyoak@hotmail.co.uk</t>
  </si>
  <si>
    <t>South Shields Velo Cc</t>
  </si>
  <si>
    <t xml:space="preserve">NE388NP </t>
  </si>
  <si>
    <t xml:space="preserve">Washington </t>
  </si>
  <si>
    <t>16 Ovingham Close</t>
  </si>
  <si>
    <t>Holyoak</t>
  </si>
  <si>
    <t>chris_holmes@btinternet.com</t>
  </si>
  <si>
    <t xml:space="preserve">VC Norwich </t>
  </si>
  <si>
    <t>NR2 2HT</t>
  </si>
  <si>
    <t>111 Newmarket Road</t>
  </si>
  <si>
    <t>laurieholmes@tiscali.co.uk</t>
  </si>
  <si>
    <t>LS25 6LJ</t>
  </si>
  <si>
    <t>1 Pasture Close</t>
  </si>
  <si>
    <t>philhollingsworth@talktalk.net</t>
  </si>
  <si>
    <t>NR5 9EW</t>
  </si>
  <si>
    <t>Bowthorpe</t>
  </si>
  <si>
    <t>41, Yaxley Way Clover Hill</t>
  </si>
  <si>
    <t xml:space="preserve">Hollingsworth </t>
  </si>
  <si>
    <t xml:space="preserve">Phil </t>
  </si>
  <si>
    <t>ME10 1SG</t>
  </si>
  <si>
    <t>28, Woodside Gardens</t>
  </si>
  <si>
    <t>Holdstock</t>
  </si>
  <si>
    <t>Nobby</t>
  </si>
  <si>
    <t>Beryl</t>
  </si>
  <si>
    <t>holder_s@yahoo.com</t>
  </si>
  <si>
    <t>TW2 6HS</t>
  </si>
  <si>
    <t>London, City of</t>
  </si>
  <si>
    <t>20 Blandford Avenue</t>
  </si>
  <si>
    <t>Holder</t>
  </si>
  <si>
    <t>garyholder1965@gmail.com</t>
  </si>
  <si>
    <t>RH14 9DN</t>
  </si>
  <si>
    <t>Coneyhurst</t>
  </si>
  <si>
    <t>North End Barn, West Chiltington Lane</t>
  </si>
  <si>
    <t>philholden35@gmail.com</t>
  </si>
  <si>
    <t>WA15 7QF</t>
  </si>
  <si>
    <t>8 Stanley Drive</t>
  </si>
  <si>
    <t>ST158GF</t>
  </si>
  <si>
    <t>andy.hoiles@hotmail.com</t>
  </si>
  <si>
    <t>RG24 8TD</t>
  </si>
  <si>
    <t>Chineham</t>
  </si>
  <si>
    <t>20 Cibbons Road</t>
  </si>
  <si>
    <t>Hoiles</t>
  </si>
  <si>
    <t>alan.hodgson.89@btinternet.com</t>
  </si>
  <si>
    <t>SL4 1RX</t>
  </si>
  <si>
    <t>110 Arthur Road</t>
  </si>
  <si>
    <t>Hodgson</t>
  </si>
  <si>
    <t>nigelhodge68@yahoo.co.uk</t>
  </si>
  <si>
    <t>Trianglia Triathlon Club</t>
  </si>
  <si>
    <t>NR14 8GE</t>
  </si>
  <si>
    <t>Trowse</t>
  </si>
  <si>
    <t>5 Devon Way</t>
  </si>
  <si>
    <t>Hodge</t>
  </si>
  <si>
    <t>obbsie10@sky.com</t>
  </si>
  <si>
    <t>OX18 1 AH</t>
  </si>
  <si>
    <t>4 Rowan Close</t>
  </si>
  <si>
    <t>kevin.hobbs@hotmail.co.uk</t>
  </si>
  <si>
    <t>PE7 1LX</t>
  </si>
  <si>
    <t>Whittlesey</t>
  </si>
  <si>
    <t>7 Cross Road</t>
  </si>
  <si>
    <t>gavin.hinxman@mercedes-amg-hpp.com</t>
  </si>
  <si>
    <t>NN14 2NS</t>
  </si>
  <si>
    <t>Linden Rise 3 Rothwell Road</t>
  </si>
  <si>
    <t>Hinxman</t>
  </si>
  <si>
    <t>bobjh4872@live.co.uk</t>
  </si>
  <si>
    <t>TN31 6NN</t>
  </si>
  <si>
    <t>Rye</t>
  </si>
  <si>
    <t>Church Gate, Church Lane, Northam</t>
  </si>
  <si>
    <t>steve1hilton@sky.com</t>
  </si>
  <si>
    <t>WA3 4HE</t>
  </si>
  <si>
    <t>Culcheth</t>
  </si>
  <si>
    <t>2, The Limes</t>
  </si>
  <si>
    <t>dicconhill@yahoo.com</t>
  </si>
  <si>
    <t>Cardiff 100 Milers CC</t>
  </si>
  <si>
    <t>SA34 0NL</t>
  </si>
  <si>
    <t>Tavernspite</t>
  </si>
  <si>
    <t>Glenview</t>
  </si>
  <si>
    <t xml:space="preserve">Diccon </t>
  </si>
  <si>
    <t>nickjhill@hotmail.co.uk</t>
  </si>
  <si>
    <t>Bristol Mile Monkeys</t>
  </si>
  <si>
    <t>BS149HZ</t>
  </si>
  <si>
    <t>5 Whitecross Avenue</t>
  </si>
  <si>
    <t>jonny@fastmail.co.uk</t>
  </si>
  <si>
    <t>LA14 4HJ</t>
  </si>
  <si>
    <t>Barrow in Furness</t>
  </si>
  <si>
    <t>34 Cowlarns Road</t>
  </si>
  <si>
    <t>mattjhill50@yahoo.co.uk</t>
  </si>
  <si>
    <t>Zubaran Racing</t>
  </si>
  <si>
    <t>DL8 3DG</t>
  </si>
  <si>
    <t xml:space="preserve">Askrigg </t>
  </si>
  <si>
    <t xml:space="preserve">Marsett </t>
  </si>
  <si>
    <t xml:space="preserve">Langstrough House </t>
  </si>
  <si>
    <t>w136hill@gmail.com</t>
  </si>
  <si>
    <t>Bourne Wheelers</t>
  </si>
  <si>
    <t>PE2 8TD</t>
  </si>
  <si>
    <t>--</t>
  </si>
  <si>
    <t>Stanground</t>
  </si>
  <si>
    <t>180 Oakdale Ave</t>
  </si>
  <si>
    <t>philhill1@btinternet.com</t>
  </si>
  <si>
    <t xml:space="preserve">Ch37rz </t>
  </si>
  <si>
    <t>Waverton</t>
  </si>
  <si>
    <t xml:space="preserve">Guy Lane </t>
  </si>
  <si>
    <t xml:space="preserve">Guylane Farm Cottage </t>
  </si>
  <si>
    <t>ST5 5JQ</t>
  </si>
  <si>
    <t>Stableford</t>
  </si>
  <si>
    <t>Weston Lodge</t>
  </si>
  <si>
    <t>markvelorefined@gmail.com</t>
  </si>
  <si>
    <t>CT2 7AB</t>
  </si>
  <si>
    <t>25 Hales Drive</t>
  </si>
  <si>
    <t>brian@epsomcc.co.uk</t>
  </si>
  <si>
    <t>KT22 9QR</t>
  </si>
  <si>
    <t>72 Gatesden Road</t>
  </si>
  <si>
    <t>daveonribble@virginmedia.com</t>
  </si>
  <si>
    <t>FY5 5DD</t>
  </si>
  <si>
    <t>4 Maple Avenue</t>
  </si>
  <si>
    <t>Hilditch</t>
  </si>
  <si>
    <t>michelle.highfield1@btinternet.com</t>
  </si>
  <si>
    <t>Berwick Wheelers Cycling Club</t>
  </si>
  <si>
    <t xml:space="preserve">TD15 1UH </t>
  </si>
  <si>
    <t xml:space="preserve">Berwick-upon-Tweed </t>
  </si>
  <si>
    <t xml:space="preserve">Foulden </t>
  </si>
  <si>
    <t xml:space="preserve">The Arches </t>
  </si>
  <si>
    <t>Highfield</t>
  </si>
  <si>
    <t>SP10 4AY</t>
  </si>
  <si>
    <t>6 Lakeside Close, Charlton</t>
  </si>
  <si>
    <t>High</t>
  </si>
  <si>
    <t>nick.j.hickman@outlook.com</t>
  </si>
  <si>
    <t>Bedfordshire Road Cycling Club</t>
  </si>
  <si>
    <t>Cherry Tree Cottage 106 Mill Road</t>
  </si>
  <si>
    <t>andyhicklin@hotmail.co.uk</t>
  </si>
  <si>
    <t>S40 3NF</t>
  </si>
  <si>
    <t>Somersall</t>
  </si>
  <si>
    <t>19 Miriam Avenue</t>
  </si>
  <si>
    <t>Hicklin</t>
  </si>
  <si>
    <t>LS21 3NR</t>
  </si>
  <si>
    <t>20 Whitely Croft Rise</t>
  </si>
  <si>
    <t>Hick</t>
  </si>
  <si>
    <t>hibbardgary7@gmail.com</t>
  </si>
  <si>
    <t>ivor.hewitt@gmail.com</t>
  </si>
  <si>
    <t>RH8 0HA</t>
  </si>
  <si>
    <t>Oxted</t>
  </si>
  <si>
    <t>Rockfield Road</t>
  </si>
  <si>
    <t>Cloverlay</t>
  </si>
  <si>
    <t>Hermannm_uk@hotmail.com</t>
  </si>
  <si>
    <t>YO43 3DH</t>
  </si>
  <si>
    <t>Market Weighton</t>
  </si>
  <si>
    <t>34 Wold Avenue</t>
  </si>
  <si>
    <t>Hermann</t>
  </si>
  <si>
    <t>davidherd63@gmail.com</t>
  </si>
  <si>
    <t>NG23 5EQ</t>
  </si>
  <si>
    <t>Long Bennington</t>
  </si>
  <si>
    <t>2 Meadows Close</t>
  </si>
  <si>
    <t>Herd</t>
  </si>
  <si>
    <t>david1herbert@aol.com</t>
  </si>
  <si>
    <t>TS22 5QW</t>
  </si>
  <si>
    <t>Wynyard</t>
  </si>
  <si>
    <t>9 Spring Bank Wood</t>
  </si>
  <si>
    <t>jason.henson@firehaltinstall.co.uk</t>
  </si>
  <si>
    <t>LA2 8FD</t>
  </si>
  <si>
    <t>Settle</t>
  </si>
  <si>
    <t>Austwick</t>
  </si>
  <si>
    <t>Holm Barn, Holm Lane</t>
  </si>
  <si>
    <t>Henson</t>
  </si>
  <si>
    <t>DE56 2AN</t>
  </si>
  <si>
    <t>Heage</t>
  </si>
  <si>
    <t>Dungley Hill</t>
  </si>
  <si>
    <t>Windmill House</t>
  </si>
  <si>
    <t>Henshaw</t>
  </si>
  <si>
    <t>mikehennessy@totalise.co.uk</t>
  </si>
  <si>
    <t>SS7 1DT</t>
  </si>
  <si>
    <t>189 Oakfield Road</t>
  </si>
  <si>
    <t>Hennessy</t>
  </si>
  <si>
    <t>ewanhendon@hotmail.co.uk</t>
  </si>
  <si>
    <t>IG6 3AT</t>
  </si>
  <si>
    <t>49 Cypress Grove</t>
  </si>
  <si>
    <t>Hendon</t>
  </si>
  <si>
    <t>Ewan</t>
  </si>
  <si>
    <t>scottashbyhenderson@gmail.com</t>
  </si>
  <si>
    <t>Ashby</t>
  </si>
  <si>
    <t>stuart1.henderson@btinternet.com</t>
  </si>
  <si>
    <t>YO8 4JH</t>
  </si>
  <si>
    <t>163 Leeds Road</t>
  </si>
  <si>
    <t>dshenderson69@gmail.com</t>
  </si>
  <si>
    <t>EH5 3HQ</t>
  </si>
  <si>
    <t>17 Russell Place</t>
  </si>
  <si>
    <t>simonhenderson44@btinternet.com</t>
  </si>
  <si>
    <t>CT11 0JL</t>
  </si>
  <si>
    <t>9 Minster Road</t>
  </si>
  <si>
    <t>rihel@vestas.com</t>
  </si>
  <si>
    <t>LA12</t>
  </si>
  <si>
    <t xml:space="preserve">Ulverston </t>
  </si>
  <si>
    <t>37 alice fold</t>
  </si>
  <si>
    <t>Helm</t>
  </si>
  <si>
    <t>dhedges800@gmail.com</t>
  </si>
  <si>
    <t>Recycles RCC</t>
  </si>
  <si>
    <t>SN31 1FR</t>
  </si>
  <si>
    <t>Marlborough Park</t>
  </si>
  <si>
    <t>24 Orpen Close</t>
  </si>
  <si>
    <t>Hedges</t>
  </si>
  <si>
    <t>granner67@gmail.com</t>
  </si>
  <si>
    <t>HU8 9DW</t>
  </si>
  <si>
    <t>Westerngailes Way</t>
  </si>
  <si>
    <t>4 Augusta Close</t>
  </si>
  <si>
    <t>Heaton</t>
  </si>
  <si>
    <t>henryheathcote31@gmail.com</t>
  </si>
  <si>
    <t>PH1 3UZ</t>
  </si>
  <si>
    <t>LUNCARTY</t>
  </si>
  <si>
    <t>51 Hatton Road</t>
  </si>
  <si>
    <t>patrick@peakascentcycles.co.uk</t>
  </si>
  <si>
    <t>SK17 7PU</t>
  </si>
  <si>
    <t>Victoria Park Road</t>
  </si>
  <si>
    <t>Healy</t>
  </si>
  <si>
    <t>steven.hazeldine66@gmail.com</t>
  </si>
  <si>
    <t>ST150WP</t>
  </si>
  <si>
    <t>10 Worthington Grove</t>
  </si>
  <si>
    <t>Hazeldine</t>
  </si>
  <si>
    <t>dandkhayward@gmail.com</t>
  </si>
  <si>
    <t>DE4 3NL</t>
  </si>
  <si>
    <t>MATLOCK</t>
  </si>
  <si>
    <t>12 Imperial Road</t>
  </si>
  <si>
    <t>paul_hayward@icloud.com</t>
  </si>
  <si>
    <t>Pontypool Cycling Club</t>
  </si>
  <si>
    <t>NP44 8AD</t>
  </si>
  <si>
    <t>Llanfrechfa</t>
  </si>
  <si>
    <t>Church Road</t>
  </si>
  <si>
    <t>Ty-Carreg</t>
  </si>
  <si>
    <t>HAYWARD</t>
  </si>
  <si>
    <t>lesh978@outlook.com</t>
  </si>
  <si>
    <t>TN2 5HG</t>
  </si>
  <si>
    <t>25 Chieveley Drive</t>
  </si>
  <si>
    <t>Hayman</t>
  </si>
  <si>
    <t>colinhayes12@yahoo.com</t>
  </si>
  <si>
    <t>WN7 3PD</t>
  </si>
  <si>
    <t>268 St Helens Road</t>
  </si>
  <si>
    <t>willhayes1976@gmail.com</t>
  </si>
  <si>
    <t>NG9 5JU</t>
  </si>
  <si>
    <t>39 Haddon Crescent</t>
  </si>
  <si>
    <t>ianhayden@care4free.net</t>
  </si>
  <si>
    <t>BH23 5AP</t>
  </si>
  <si>
    <t>Highcliffe</t>
  </si>
  <si>
    <t>10 Cranemoor Close</t>
  </si>
  <si>
    <t>Hayden</t>
  </si>
  <si>
    <t>sueandclive@gmail.com</t>
  </si>
  <si>
    <t>CM1 4FL</t>
  </si>
  <si>
    <t>10 The Larthings</t>
  </si>
  <si>
    <t>Haworth</t>
  </si>
  <si>
    <t>annehaslam17@gmail.com</t>
  </si>
  <si>
    <t>SK17 8SL</t>
  </si>
  <si>
    <t>The Mount, Wormhill, Wormhill</t>
  </si>
  <si>
    <t>Haslam</t>
  </si>
  <si>
    <t>mileshaslam14@gmail.com</t>
  </si>
  <si>
    <t>Wormhill</t>
  </si>
  <si>
    <t>The Mount</t>
  </si>
  <si>
    <t>harryhaseley@hotmail.co.uk</t>
  </si>
  <si>
    <t>BB6 7NU</t>
  </si>
  <si>
    <t>Blackburn, Lancashire</t>
  </si>
  <si>
    <t>8 Ash Lane</t>
  </si>
  <si>
    <t>Delphi</t>
  </si>
  <si>
    <t>Haseley</t>
  </si>
  <si>
    <t>kym.harvey@yahoo.com</t>
  </si>
  <si>
    <t>SO30 2QD</t>
  </si>
  <si>
    <t>17 Fawn Crescent</t>
  </si>
  <si>
    <t>Kym</t>
  </si>
  <si>
    <t>S63 8NF</t>
  </si>
  <si>
    <t>16 Watermead</t>
  </si>
  <si>
    <t>harveyn731@gmail.com</t>
  </si>
  <si>
    <t>SO40 4UQ</t>
  </si>
  <si>
    <t>Yonne, Beaulieu Road, Marchwood</t>
  </si>
  <si>
    <t>DLM - Individual Membership - Wessex</t>
  </si>
  <si>
    <t>paul@huumun.com</t>
  </si>
  <si>
    <t>SL8 5RH</t>
  </si>
  <si>
    <t>Bourne End</t>
  </si>
  <si>
    <t>Wharf Lane</t>
  </si>
  <si>
    <t>10 Townsend Reach</t>
  </si>
  <si>
    <t>Hartigan</t>
  </si>
  <si>
    <t>doug.hart95@gmail.com</t>
  </si>
  <si>
    <t>BD18 4JS</t>
  </si>
  <si>
    <t>6 Beechwood Grove</t>
  </si>
  <si>
    <t>rosandrodney.harrow@btinternet.com</t>
  </si>
  <si>
    <t>TN31 7TB</t>
  </si>
  <si>
    <t>122 New Winchelsea Road</t>
  </si>
  <si>
    <t>mike.harrold@btinternet.com</t>
  </si>
  <si>
    <t>Glendale Cycling &amp; Athletic Club</t>
  </si>
  <si>
    <t>B75 5NP</t>
  </si>
  <si>
    <t>Four Oaks</t>
  </si>
  <si>
    <t>6 Willmott Close</t>
  </si>
  <si>
    <t>Harrold</t>
  </si>
  <si>
    <t>adamsbrand@live.com</t>
  </si>
  <si>
    <t xml:space="preserve">Bootleggers </t>
  </si>
  <si>
    <t xml:space="preserve">NE11 9xe </t>
  </si>
  <si>
    <t xml:space="preserve">Gateshead </t>
  </si>
  <si>
    <t xml:space="preserve">Dunston </t>
  </si>
  <si>
    <t xml:space="preserve">38 Monkridge gardens </t>
  </si>
  <si>
    <t>vtta@bigrex.co.uk</t>
  </si>
  <si>
    <t>PE38 9AT</t>
  </si>
  <si>
    <t>Downham Market</t>
  </si>
  <si>
    <t>112 London Road</t>
  </si>
  <si>
    <t>harrison.sarahj@gmail.com</t>
  </si>
  <si>
    <t>S7 1dd</t>
  </si>
  <si>
    <t>64 South View Road</t>
  </si>
  <si>
    <t>organic.harrison@googlemail.com</t>
  </si>
  <si>
    <t>RH19 4QJ</t>
  </si>
  <si>
    <t>West Hoathly</t>
  </si>
  <si>
    <t>5 Hilltop Road</t>
  </si>
  <si>
    <t>Beech House</t>
  </si>
  <si>
    <t>richdharrison@googlemail.com</t>
  </si>
  <si>
    <t>OX12 0NJ</t>
  </si>
  <si>
    <t>Wantage</t>
  </si>
  <si>
    <t>Grove</t>
  </si>
  <si>
    <t>27 Kennet Close</t>
  </si>
  <si>
    <t>clairharrison@tiscali.co.uk</t>
  </si>
  <si>
    <t>ST8 7LH</t>
  </si>
  <si>
    <t xml:space="preserve">Stoke-on-Trent	</t>
  </si>
  <si>
    <t>9 Trentley Drive</t>
  </si>
  <si>
    <t>ebikebryan@icloud.com</t>
  </si>
  <si>
    <t>S17 3GH</t>
  </si>
  <si>
    <t>8 Blacka Moor Road</t>
  </si>
  <si>
    <t xml:space="preserve">Bryan </t>
  </si>
  <si>
    <t>harrisonvictor32@gmail.com</t>
  </si>
  <si>
    <t>PA23 8QD</t>
  </si>
  <si>
    <t>Argyll &amp; Bute</t>
  </si>
  <si>
    <t>Dunoon</t>
  </si>
  <si>
    <t>Sandbank</t>
  </si>
  <si>
    <t>Wardwell, Shore Road</t>
  </si>
  <si>
    <t>HARRISON</t>
  </si>
  <si>
    <t>VICTOR</t>
  </si>
  <si>
    <t>charris3@gmail.com</t>
  </si>
  <si>
    <t>VTTA (Wessex)</t>
  </si>
  <si>
    <t>JE3 1EG</t>
  </si>
  <si>
    <t>St Lawrence</t>
  </si>
  <si>
    <t xml:space="preserve">La Vallee de St Pierre </t>
  </si>
  <si>
    <t>Le Bordage</t>
  </si>
  <si>
    <t>'Caz'</t>
  </si>
  <si>
    <t>stride.environmental@virgin.net</t>
  </si>
  <si>
    <t>TS19 7AE</t>
  </si>
  <si>
    <t>17 Grosvenor Road</t>
  </si>
  <si>
    <t>jamesrkharris@googlemail.com</t>
  </si>
  <si>
    <t>Catford CC</t>
  </si>
  <si>
    <t>SE8 4HL</t>
  </si>
  <si>
    <t>Brookmill Road</t>
  </si>
  <si>
    <t>54 Norfolk House</t>
  </si>
  <si>
    <t>robingcharris@gmail.com</t>
  </si>
  <si>
    <t>SW4 0SY</t>
  </si>
  <si>
    <t>Clapham Old Town</t>
  </si>
  <si>
    <t>28 Sycamore Mews</t>
  </si>
  <si>
    <t>w.harper@btinternet.com</t>
  </si>
  <si>
    <t>B80 7QX</t>
  </si>
  <si>
    <t>Studley</t>
  </si>
  <si>
    <t>1 Crooks Lane</t>
  </si>
  <si>
    <t>harper</t>
  </si>
  <si>
    <t>grahamharman@ymail.com</t>
  </si>
  <si>
    <t>SO21 2NT</t>
  </si>
  <si>
    <t>Sparsholt</t>
  </si>
  <si>
    <t>16 Woodman Close</t>
  </si>
  <si>
    <t>Harman</t>
  </si>
  <si>
    <t>info@porthveor.co.uk</t>
  </si>
  <si>
    <t>TR72RN</t>
  </si>
  <si>
    <t>8 Cardell Way</t>
  </si>
  <si>
    <t>harknett</t>
  </si>
  <si>
    <t>g</t>
  </si>
  <si>
    <t>johnsmoo001@gmail.com</t>
  </si>
  <si>
    <t>SN1 4ND</t>
  </si>
  <si>
    <t>7 Sunnyside Avenue</t>
  </si>
  <si>
    <t>adam@hardy.onl</t>
  </si>
  <si>
    <t>IG10 3HQ</t>
  </si>
  <si>
    <t>14 Alderton Close</t>
  </si>
  <si>
    <t>robh@talktalk.net</t>
  </si>
  <si>
    <t>M30 9FT</t>
  </si>
  <si>
    <t>68 Bradford Road</t>
  </si>
  <si>
    <t>Harcourt</t>
  </si>
  <si>
    <t>veterancharger@gmail.com</t>
  </si>
  <si>
    <t>North Cotswold Cycling Club</t>
  </si>
  <si>
    <t>OX7 6HD</t>
  </si>
  <si>
    <t>The Chestnuts, Fifield</t>
  </si>
  <si>
    <t>williamhanson@talktalk.net</t>
  </si>
  <si>
    <t>CH66 1HX</t>
  </si>
  <si>
    <t>9 Cloverfield Gardens</t>
  </si>
  <si>
    <t>Spain</t>
  </si>
  <si>
    <t>Santa Pola</t>
  </si>
  <si>
    <t xml:space="preserve">Bungalow 197,  Gran Alacant  03130 </t>
  </si>
  <si>
    <t>Santara Resort, Calle Monte de Santa Pola 13</t>
  </si>
  <si>
    <t>Bungalow 197   Gran Alacant 03130</t>
  </si>
  <si>
    <t>iphampton@btinternet.com</t>
  </si>
  <si>
    <t>YO23 3XB</t>
  </si>
  <si>
    <t>8 Coopers Drive</t>
  </si>
  <si>
    <t>margaretrhamon@btinternet.com</t>
  </si>
  <si>
    <t>IP25 6EL</t>
  </si>
  <si>
    <t>Watton</t>
  </si>
  <si>
    <t>27 Nelson Court</t>
  </si>
  <si>
    <t>Hamon</t>
  </si>
  <si>
    <t>loucancellara@gmail.com</t>
  </si>
  <si>
    <t>DL12 8HE</t>
  </si>
  <si>
    <t>Barnard Castle</t>
  </si>
  <si>
    <t>16 Kirk view</t>
  </si>
  <si>
    <t>benhamilton1949@aol.com</t>
  </si>
  <si>
    <t>S6 6DT</t>
  </si>
  <si>
    <t>Stannington</t>
  </si>
  <si>
    <t>58 Oldfield Road</t>
  </si>
  <si>
    <t>m_hamer@outlook.com</t>
  </si>
  <si>
    <t xml:space="preserve">CV358JZ </t>
  </si>
  <si>
    <t>10 Hawkes Hill close</t>
  </si>
  <si>
    <t>david.f.halliday@googlemail.com</t>
  </si>
  <si>
    <t>CB259FL</t>
  </si>
  <si>
    <t>Bottisham</t>
  </si>
  <si>
    <t>65 Ox Meadow</t>
  </si>
  <si>
    <t>simple.solutions@btinternet.com</t>
  </si>
  <si>
    <t>WD3 5AY</t>
  </si>
  <si>
    <t>15 Parkfield</t>
  </si>
  <si>
    <t>Kendall</t>
  </si>
  <si>
    <t>Mirfield CC</t>
  </si>
  <si>
    <t>WF14 9DZ</t>
  </si>
  <si>
    <t>Mirfield</t>
  </si>
  <si>
    <t>18 Lady Heton Drive</t>
  </si>
  <si>
    <t>reaphallam@gmail.com</t>
  </si>
  <si>
    <t>DE75 7AH</t>
  </si>
  <si>
    <t>Heanor</t>
  </si>
  <si>
    <t>PE13 4UN</t>
  </si>
  <si>
    <t>412 North Brink</t>
  </si>
  <si>
    <t>Hallahan</t>
  </si>
  <si>
    <t>denese.hallahan@btinternet.com</t>
  </si>
  <si>
    <t>Denese</t>
  </si>
  <si>
    <t>dougi.hall@btinternet.com</t>
  </si>
  <si>
    <t xml:space="preserve">Border City Wheelers CC </t>
  </si>
  <si>
    <t>CA166AF</t>
  </si>
  <si>
    <t>Crackenthorpe</t>
  </si>
  <si>
    <t>Rose Cottage</t>
  </si>
  <si>
    <t>Dougi</t>
  </si>
  <si>
    <t>rayjhall5@gmail.com</t>
  </si>
  <si>
    <t xml:space="preserve">Adept </t>
  </si>
  <si>
    <t>Ts25 1ea</t>
  </si>
  <si>
    <t xml:space="preserve">Hartlepool </t>
  </si>
  <si>
    <t xml:space="preserve">Seaton Carew </t>
  </si>
  <si>
    <t xml:space="preserve">74 Castleton Road </t>
  </si>
  <si>
    <t>NE65 0GA</t>
  </si>
  <si>
    <t>30 Robsons Way</t>
  </si>
  <si>
    <t>Phil.hall99@gmail.com</t>
  </si>
  <si>
    <t>mphalluk@yahoo.co.uk</t>
  </si>
  <si>
    <t>CF36 5BG</t>
  </si>
  <si>
    <t>Porthcawl</t>
  </si>
  <si>
    <t>237 New Road</t>
  </si>
  <si>
    <t>sjhall@ymail.com</t>
  </si>
  <si>
    <t>SO32 2SX</t>
  </si>
  <si>
    <t>Botley</t>
  </si>
  <si>
    <t>34 Oakland Road</t>
  </si>
  <si>
    <t>claire.hall123@gmail.com</t>
  </si>
  <si>
    <t>martin3348@hotmail.co.uk</t>
  </si>
  <si>
    <t>ADDFORM Vive le Velo</t>
  </si>
  <si>
    <t>DN20 0FE</t>
  </si>
  <si>
    <t xml:space="preserve">North Lincolnshire </t>
  </si>
  <si>
    <t xml:space="preserve">Brigg </t>
  </si>
  <si>
    <t>Worlaby</t>
  </si>
  <si>
    <t>1 Hurds Farm</t>
  </si>
  <si>
    <t xml:space="preserve">Hailstone </t>
  </si>
  <si>
    <t>prhaigh@btinternet.com</t>
  </si>
  <si>
    <t>north lancashire &amp;lakes vtta</t>
  </si>
  <si>
    <t>BB8 0NY</t>
  </si>
  <si>
    <t>Colne</t>
  </si>
  <si>
    <t>155 Skipton Road</t>
  </si>
  <si>
    <t>haigh</t>
  </si>
  <si>
    <t>geoffhague@talktalk.net</t>
  </si>
  <si>
    <t>S7 2GL</t>
  </si>
  <si>
    <t>3 Helston Rise</t>
  </si>
  <si>
    <t>Hague</t>
  </si>
  <si>
    <t>ML7 4BE</t>
  </si>
  <si>
    <t>SHOTTS</t>
  </si>
  <si>
    <t>22 Clive Street</t>
  </si>
  <si>
    <t>ian_haddock@yahoo.co.uk</t>
  </si>
  <si>
    <t xml:space="preserve">WA2 0HH </t>
  </si>
  <si>
    <t xml:space="preserve">Warrington </t>
  </si>
  <si>
    <t>21 Harding Avenue</t>
  </si>
  <si>
    <t>Haddock</t>
  </si>
  <si>
    <t>tom@aspirelabs.org</t>
  </si>
  <si>
    <t>Sunderland Clarion CC</t>
  </si>
  <si>
    <t>NE10 9UJ</t>
  </si>
  <si>
    <t>Felling</t>
  </si>
  <si>
    <t>4 The Green</t>
  </si>
  <si>
    <t>grandadguy@gmail.com</t>
  </si>
  <si>
    <t>SY4 4BH</t>
  </si>
  <si>
    <t>Hadnall</t>
  </si>
  <si>
    <t>6 Old Farm Road</t>
  </si>
  <si>
    <t>ovcyclingclub@hotmail.co.uk</t>
  </si>
  <si>
    <t>OV Cycling Club</t>
  </si>
  <si>
    <t>TN13 2TZ</t>
  </si>
  <si>
    <t>Dunton Green</t>
  </si>
  <si>
    <t>2 Plummers Croft</t>
  </si>
  <si>
    <t>guilor@desman-group.co.uk</t>
  </si>
  <si>
    <t>NG15 9AH</t>
  </si>
  <si>
    <t>Ravenshead</t>
  </si>
  <si>
    <t>224 Longdale Lane</t>
  </si>
  <si>
    <t>Guilor</t>
  </si>
  <si>
    <t>bill@teamgroves.net</t>
  </si>
  <si>
    <t>6 Jeffrey Avenue</t>
  </si>
  <si>
    <t>Groves</t>
  </si>
  <si>
    <t>paulgrindley@hotmail.co.uk</t>
  </si>
  <si>
    <t xml:space="preserve">Wa85dz </t>
  </si>
  <si>
    <t xml:space="preserve">Widnes </t>
  </si>
  <si>
    <t>22 Marsh Brook Rd</t>
  </si>
  <si>
    <t>grindley</t>
  </si>
  <si>
    <t>42 Seaford Road</t>
  </si>
  <si>
    <t>Grimshaw</t>
  </si>
  <si>
    <t>bike@grimble.name</t>
  </si>
  <si>
    <t>MK18 3QD</t>
  </si>
  <si>
    <t>16 Ovitts Close</t>
  </si>
  <si>
    <t>Grimble</t>
  </si>
  <si>
    <t>jamesygriff@hotmail.com</t>
  </si>
  <si>
    <t>Velotik RT</t>
  </si>
  <si>
    <t>CH60 3SY</t>
  </si>
  <si>
    <t>5 Gayton Parkway</t>
  </si>
  <si>
    <t>djjgriffiths@yahoo.co.uk</t>
  </si>
  <si>
    <t>CW2 6TQ</t>
  </si>
  <si>
    <t>2 Dunham Crescent</t>
  </si>
  <si>
    <t>John James</t>
  </si>
  <si>
    <t>rigriffiths1@yahoo.co.uk</t>
  </si>
  <si>
    <t>Graham Weigh Racing Team</t>
  </si>
  <si>
    <t xml:space="preserve">LL12 8LZ </t>
  </si>
  <si>
    <t xml:space="preserve">Wrexham </t>
  </si>
  <si>
    <t xml:space="preserve">Marford </t>
  </si>
  <si>
    <t xml:space="preserve">17 Gorse Crescent </t>
  </si>
  <si>
    <t xml:space="preserve">Griffiths </t>
  </si>
  <si>
    <t>bricyclehenleaze@mypostoffice.co.uk</t>
  </si>
  <si>
    <t>BS9 4LZ</t>
  </si>
  <si>
    <t>Henleaze</t>
  </si>
  <si>
    <t>27 Hobhouse Close</t>
  </si>
  <si>
    <t>delboy_savona@blueyonder.co.uk</t>
  </si>
  <si>
    <t>KT2 5TJ</t>
  </si>
  <si>
    <t>Kingston-upon-Thames</t>
  </si>
  <si>
    <t>19 Staunton Road</t>
  </si>
  <si>
    <t>keith.griffin950@btinternet.com</t>
  </si>
  <si>
    <t>TW1 4QZ</t>
  </si>
  <si>
    <t>Middx.</t>
  </si>
  <si>
    <t>9 Cross Deep Gardens</t>
  </si>
  <si>
    <t>neil.gregory@cableharnessesuk.com</t>
  </si>
  <si>
    <t>SA7 9TH</t>
  </si>
  <si>
    <t>Glais</t>
  </si>
  <si>
    <t>1 Clos Y Fran</t>
  </si>
  <si>
    <t>tracycritchlow@hotmail.co.uk</t>
  </si>
  <si>
    <t>SK17 7BH</t>
  </si>
  <si>
    <t>Lightwood Road</t>
  </si>
  <si>
    <t>13 Ash Terrace</t>
  </si>
  <si>
    <t>g-greg@live.co.uk</t>
  </si>
  <si>
    <t>YO18 7SD</t>
  </si>
  <si>
    <t>Thornton le Dale</t>
  </si>
  <si>
    <t>Maltongate</t>
  </si>
  <si>
    <t>Pickwood</t>
  </si>
  <si>
    <t>bikersue25@gmail.com</t>
  </si>
  <si>
    <t>Bush Healthcare CRT</t>
  </si>
  <si>
    <t>CF64 5XQ</t>
  </si>
  <si>
    <t>Vale of Glam.</t>
  </si>
  <si>
    <t>Penarth</t>
  </si>
  <si>
    <t>Fort Road</t>
  </si>
  <si>
    <t>103 Marconi Holiday Village</t>
  </si>
  <si>
    <t>Shook</t>
  </si>
  <si>
    <t>clare103@icloud.com</t>
  </si>
  <si>
    <t>greenwood</t>
  </si>
  <si>
    <t>clare</t>
  </si>
  <si>
    <t>greenwood_peter@sky.com</t>
  </si>
  <si>
    <t>BB11 5DU</t>
  </si>
  <si>
    <t>14 Stansfield Street</t>
  </si>
  <si>
    <t>Greenwood</t>
  </si>
  <si>
    <t>dmgreenwood65@aol.com</t>
  </si>
  <si>
    <t>16 Homestead</t>
  </si>
  <si>
    <t>james69greenwood@gmail.com</t>
  </si>
  <si>
    <t>IP31 3PG</t>
  </si>
  <si>
    <t>73 Barton Road</t>
  </si>
  <si>
    <t>iangreenstreet@gmail.com</t>
  </si>
  <si>
    <t>Newbury Velo CC</t>
  </si>
  <si>
    <t>RG14 2TH</t>
  </si>
  <si>
    <t>newbury</t>
  </si>
  <si>
    <t>Long Lane</t>
  </si>
  <si>
    <t>Davandy</t>
  </si>
  <si>
    <t>Greenstreet</t>
  </si>
  <si>
    <t>sales@ski-bitz.co.uk</t>
  </si>
  <si>
    <t>a3crg</t>
  </si>
  <si>
    <t>Thollon Les Memises</t>
  </si>
  <si>
    <t>Route du Mont Chalon</t>
  </si>
  <si>
    <t>Anthony-timetrialsecretary@outlook.com</t>
  </si>
  <si>
    <t>TR3 6JP</t>
  </si>
  <si>
    <t xml:space="preserve">Carnon Downs </t>
  </si>
  <si>
    <t xml:space="preserve">44 The Forge </t>
  </si>
  <si>
    <t>rachelgreen1961@outlook.com</t>
  </si>
  <si>
    <t>GL3 4SG</t>
  </si>
  <si>
    <t>Brockworth</t>
  </si>
  <si>
    <t>34 Martlet Way</t>
  </si>
  <si>
    <t>C.GREEN766@BTINTERNET.COM</t>
  </si>
  <si>
    <t>LS19 7WB</t>
  </si>
  <si>
    <t>7 Coverley Rise</t>
  </si>
  <si>
    <t>davegreen841@hotmail.com</t>
  </si>
  <si>
    <t>IP24 2XE</t>
  </si>
  <si>
    <t>29 Floxglove Road</t>
  </si>
  <si>
    <t>egreen159@btinternet.com</t>
  </si>
  <si>
    <t>GU24 9DQ</t>
  </si>
  <si>
    <t>Bisley</t>
  </si>
  <si>
    <t>7 Pilgrims Way</t>
  </si>
  <si>
    <t>philmaryg@btinternet.com</t>
  </si>
  <si>
    <t>SN3 1ET</t>
  </si>
  <si>
    <t>Lawn</t>
  </si>
  <si>
    <t>25 Wigmore Avenue</t>
  </si>
  <si>
    <t>grahamgreen42@btinternet.com</t>
  </si>
  <si>
    <t>LE6 7NY</t>
  </si>
  <si>
    <t>Thringstone</t>
  </si>
  <si>
    <t>6 Rumsey Close</t>
  </si>
  <si>
    <t>garythebike@btinternet.com</t>
  </si>
  <si>
    <t>DA1 3JU</t>
  </si>
  <si>
    <t>67 Denver road</t>
  </si>
  <si>
    <t>Grayland</t>
  </si>
  <si>
    <t>chris@thegrations.co.uk</t>
  </si>
  <si>
    <t>Belper BC</t>
  </si>
  <si>
    <t>DE55 7PD</t>
  </si>
  <si>
    <t>63 Long Meadow Road</t>
  </si>
  <si>
    <t>Gration</t>
  </si>
  <si>
    <t>malcolmgrant@hotmail.co.uk</t>
  </si>
  <si>
    <t>Pedal Power Inverurie</t>
  </si>
  <si>
    <t>AB51 3WY</t>
  </si>
  <si>
    <t>7 Fairway Avenue</t>
  </si>
  <si>
    <t>almacgrant@yahoo.com</t>
  </si>
  <si>
    <t>SW6 3DZ</t>
  </si>
  <si>
    <t>Peterborough Road</t>
  </si>
  <si>
    <t>45 Hurlingham Square</t>
  </si>
  <si>
    <t>andrew.grant411@gmail.com</t>
  </si>
  <si>
    <t>CM1 3FF</t>
  </si>
  <si>
    <t>Edney Common, Chelmsford</t>
  </si>
  <si>
    <t>Highwood Road</t>
  </si>
  <si>
    <t>Magnolia House, 12 Woodland Way</t>
  </si>
  <si>
    <t>grippergrant@hotmail.co.uk</t>
  </si>
  <si>
    <t>TS25 2PD</t>
  </si>
  <si>
    <t>19 Headingley Court</t>
  </si>
  <si>
    <t>Richie</t>
  </si>
  <si>
    <t>david_btr@yahoo.co.uk</t>
  </si>
  <si>
    <t>HX7 5LZ</t>
  </si>
  <si>
    <t>3 Spring Gardens</t>
  </si>
  <si>
    <t>andrew@grants.org.uk</t>
  </si>
  <si>
    <t>CB25 0LD</t>
  </si>
  <si>
    <t>Swaffham Prior</t>
  </si>
  <si>
    <t>42 High Street</t>
  </si>
  <si>
    <t>sharonsargent45@googlemail.com</t>
  </si>
  <si>
    <t>Tamworth Cycling Club</t>
  </si>
  <si>
    <t>B77 2JQ</t>
  </si>
  <si>
    <t>8 Honeybourne</t>
  </si>
  <si>
    <t>goweradrian@yahoo.com</t>
  </si>
  <si>
    <t xml:space="preserve">Sg175pt </t>
  </si>
  <si>
    <t>Clifton Beds</t>
  </si>
  <si>
    <t xml:space="preserve">New road </t>
  </si>
  <si>
    <t xml:space="preserve">Clifton park </t>
  </si>
  <si>
    <t>75 Rose lodge</t>
  </si>
  <si>
    <t>stevengh@me.com</t>
  </si>
  <si>
    <t>GU22 8TX</t>
  </si>
  <si>
    <t>25 Wexfenne Gardens</t>
  </si>
  <si>
    <t>Gordon Head</t>
  </si>
  <si>
    <t>matt_goodwin_1@hotmail.co.uk</t>
  </si>
  <si>
    <t>Barton Wheelers</t>
  </si>
  <si>
    <t>LN8 2AZ</t>
  </si>
  <si>
    <t>Bishop Norton</t>
  </si>
  <si>
    <t>Well Street</t>
  </si>
  <si>
    <t>Sandy Nook</t>
  </si>
  <si>
    <t>owen777888999@hotmail.com</t>
  </si>
  <si>
    <t>Century RC</t>
  </si>
  <si>
    <t>EN1 3DJ</t>
  </si>
  <si>
    <t>44, Riversfield Road</t>
  </si>
  <si>
    <t>GOODSPEED</t>
  </si>
  <si>
    <t>OWEN</t>
  </si>
  <si>
    <t>bgoodsell26@gmail.com</t>
  </si>
  <si>
    <t>TN31 6AY</t>
  </si>
  <si>
    <t>Udimore</t>
  </si>
  <si>
    <t xml:space="preserve">2 Forstal cottage, </t>
  </si>
  <si>
    <t>Goodsell</t>
  </si>
  <si>
    <t>sonia@cherryhall.com</t>
  </si>
  <si>
    <t>TVS</t>
  </si>
  <si>
    <t>KT2 5EU</t>
  </si>
  <si>
    <t>2 thorpe rd</t>
  </si>
  <si>
    <t>Goodland</t>
  </si>
  <si>
    <t>gavin@cherryhall.com</t>
  </si>
  <si>
    <t>cgoode@yorkshire.net</t>
  </si>
  <si>
    <t>YO12 7LQ</t>
  </si>
  <si>
    <t>56 Raleigh Street</t>
  </si>
  <si>
    <t>Goode</t>
  </si>
  <si>
    <t>Hypermoore2013@gmail.com</t>
  </si>
  <si>
    <t>DE7 8AX</t>
  </si>
  <si>
    <t>ilkeston</t>
  </si>
  <si>
    <t>87 Lord haddon Road</t>
  </si>
  <si>
    <t>richard.golding@zen.co.uk</t>
  </si>
  <si>
    <t>Equipe Velo</t>
  </si>
  <si>
    <t>cholmsie@hotmail.co.uk</t>
  </si>
  <si>
    <t>CO10 7FX</t>
  </si>
  <si>
    <t xml:space="preserve">19 Old Silk Mill, </t>
  </si>
  <si>
    <t>Golder</t>
  </si>
  <si>
    <t>jgolder66@outlook.com</t>
  </si>
  <si>
    <t>anettha_g@yahoo.co.uk</t>
  </si>
  <si>
    <t xml:space="preserve">Rugby Racing Cycling Club </t>
  </si>
  <si>
    <t>NN6 7ET</t>
  </si>
  <si>
    <t>West Haddon</t>
  </si>
  <si>
    <t>51 Old Forge Drive</t>
  </si>
  <si>
    <t>Golawska</t>
  </si>
  <si>
    <t>rongoff@goff2.plus.com</t>
  </si>
  <si>
    <t>BR4 9BB</t>
  </si>
  <si>
    <t>8 Corkscrew Hill</t>
  </si>
  <si>
    <t>Goff</t>
  </si>
  <si>
    <t>SM1 4JU</t>
  </si>
  <si>
    <t>2 Rossdale</t>
  </si>
  <si>
    <t>Goat</t>
  </si>
  <si>
    <t>peterandchrisglover@tiscali.co.uk</t>
  </si>
  <si>
    <t>CA8 9EJ</t>
  </si>
  <si>
    <t>Carlisle, Cumbria</t>
  </si>
  <si>
    <t>Heads Nook, Brampton</t>
  </si>
  <si>
    <t>Broadwath</t>
  </si>
  <si>
    <t>19 Broadwath Holdings</t>
  </si>
  <si>
    <t>GLOVER</t>
  </si>
  <si>
    <t>suziglossy@gmail.com</t>
  </si>
  <si>
    <t>Elysium Kalas RT</t>
  </si>
  <si>
    <t>mk19 7fz</t>
  </si>
  <si>
    <t xml:space="preserve">hanslope </t>
  </si>
  <si>
    <t>13 crick close</t>
  </si>
  <si>
    <t>glossy</t>
  </si>
  <si>
    <t xml:space="preserve">david </t>
  </si>
  <si>
    <t>stephen.glenwright@btinternet.com</t>
  </si>
  <si>
    <t>VTTA (Merseyside)</t>
  </si>
  <si>
    <t>CH42 5PS</t>
  </si>
  <si>
    <t>32 Ivydale Road</t>
  </si>
  <si>
    <t>Glenwright</t>
  </si>
  <si>
    <t>drrichardglennie@gmail.com</t>
  </si>
  <si>
    <t>NE61 6PE</t>
  </si>
  <si>
    <t>31 Green Close</t>
  </si>
  <si>
    <t>Glennie</t>
  </si>
  <si>
    <t>tommymagic@blueyonder.co.uk</t>
  </si>
  <si>
    <t>FK2 0RE</t>
  </si>
  <si>
    <t>Polmont</t>
  </si>
  <si>
    <t>11 Dochart Crescent</t>
  </si>
  <si>
    <t>Glendinning</t>
  </si>
  <si>
    <t>johnbglen@yahoo.co.uk</t>
  </si>
  <si>
    <t>FK3 9LB</t>
  </si>
  <si>
    <t>8 Westcliff Court</t>
  </si>
  <si>
    <t>nigelgleeson@yahoo.com</t>
  </si>
  <si>
    <t>Merida Cycling USA</t>
  </si>
  <si>
    <t xml:space="preserve"> D12 PK35</t>
  </si>
  <si>
    <t>Dublin</t>
  </si>
  <si>
    <t>Kimmage Road West</t>
  </si>
  <si>
    <t>42 Royston</t>
  </si>
  <si>
    <t>Gleeson</t>
  </si>
  <si>
    <t>johnglaysher@hotmail.com</t>
  </si>
  <si>
    <t xml:space="preserve">SM1 2SN </t>
  </si>
  <si>
    <t>15 Sherwood Park Road</t>
  </si>
  <si>
    <t>Flat 8 Lindsay Court</t>
  </si>
  <si>
    <t xml:space="preserve">Glaysher </t>
  </si>
  <si>
    <t>ashleyglass@btinternet.com</t>
  </si>
  <si>
    <t>AL10 9RP</t>
  </si>
  <si>
    <t>HATFIELD</t>
  </si>
  <si>
    <t>11 Ellenbrook Crescent</t>
  </si>
  <si>
    <t>Laureldene</t>
  </si>
  <si>
    <t>Glass</t>
  </si>
  <si>
    <t>wjgladwin@blueyonder.co.uk</t>
  </si>
  <si>
    <t>HA4 8PE</t>
  </si>
  <si>
    <t>Eastcote</t>
  </si>
  <si>
    <t>5 Elm Avenue</t>
  </si>
  <si>
    <t>Gladwin</t>
  </si>
  <si>
    <t>simon.ginger@yahoo.co.uk</t>
  </si>
  <si>
    <t>CM23 4JY</t>
  </si>
  <si>
    <t xml:space="preserve">Bishopâ€™s Stortford </t>
  </si>
  <si>
    <t>3 Broadleaf Avenue</t>
  </si>
  <si>
    <t>Ginger</t>
  </si>
  <si>
    <t>rob51gilmour@gmail.com</t>
  </si>
  <si>
    <t>TW18 2PH</t>
  </si>
  <si>
    <t>51 Garrick Close</t>
  </si>
  <si>
    <t>desmon.gillitt@sky.com</t>
  </si>
  <si>
    <t>CV3 5HS</t>
  </si>
  <si>
    <t>9 Crecy Road</t>
  </si>
  <si>
    <t>Gillitt</t>
  </si>
  <si>
    <t>mrobingillespie@icloud.com</t>
  </si>
  <si>
    <t>CA11 9LR</t>
  </si>
  <si>
    <t xml:space="preserve">Penrith </t>
  </si>
  <si>
    <t xml:space="preserve">5 Lamley Gardens </t>
  </si>
  <si>
    <t>Gillespie</t>
  </si>
  <si>
    <t>malc.giles1@yahoo.co.uk</t>
  </si>
  <si>
    <t>Pocomotion RC</t>
  </si>
  <si>
    <t>WA2 0LP</t>
  </si>
  <si>
    <t>198 Grasmere Avenue</t>
  </si>
  <si>
    <t>Malc</t>
  </si>
  <si>
    <t>nick.pocoloco@gmail.com</t>
  </si>
  <si>
    <t>Pocomotion Road Club</t>
  </si>
  <si>
    <t>LL12 0AZ</t>
  </si>
  <si>
    <t>Rosset</t>
  </si>
  <si>
    <t>10 Dovenby Court,</t>
  </si>
  <si>
    <t>shaygiles@talktalk.net</t>
  </si>
  <si>
    <t>CT67BJ</t>
  </si>
  <si>
    <t>HERNE BAY</t>
  </si>
  <si>
    <t>84 MARGATE ROAD</t>
  </si>
  <si>
    <t>Shay</t>
  </si>
  <si>
    <t>robertggiles@icloud.com</t>
  </si>
  <si>
    <t>ME17 4EX</t>
  </si>
  <si>
    <t>Coxheath</t>
  </si>
  <si>
    <t>91 Park Way</t>
  </si>
  <si>
    <t>mike26giles@yahoo.co.uk</t>
  </si>
  <si>
    <t>AB41 7PW</t>
  </si>
  <si>
    <t>Udny Green</t>
  </si>
  <si>
    <t>1 Hawthorn Close</t>
  </si>
  <si>
    <t>richard.gifford@stcrispin.co.uk</t>
  </si>
  <si>
    <t>TN21 0QH</t>
  </si>
  <si>
    <t>Heathfield</t>
  </si>
  <si>
    <t>Cross in Hand</t>
  </si>
  <si>
    <t>St Crispins, Back Lane</t>
  </si>
  <si>
    <t>markgidney2002@mail.com</t>
  </si>
  <si>
    <t>wgiddins123@gmail.com</t>
  </si>
  <si>
    <t>WA4 4FW</t>
  </si>
  <si>
    <t>Daresbury</t>
  </si>
  <si>
    <t>7 St. Elphin's View</t>
  </si>
  <si>
    <t>Giddins</t>
  </si>
  <si>
    <t>iag1@btinternet.com</t>
  </si>
  <si>
    <t xml:space="preserve">CF373PS </t>
  </si>
  <si>
    <t>R.C.T.</t>
  </si>
  <si>
    <t xml:space="preserve">Pontypridd </t>
  </si>
  <si>
    <t xml:space="preserve">Glyncoch </t>
  </si>
  <si>
    <t xml:space="preserve">56 Cefn Close </t>
  </si>
  <si>
    <t xml:space="preserve">Gibson </t>
  </si>
  <si>
    <t>stevegib1966@gmail.com</t>
  </si>
  <si>
    <t>Sandygate Park Road</t>
  </si>
  <si>
    <t>gibson</t>
  </si>
  <si>
    <t>gibsonguitars@talktalk.net</t>
  </si>
  <si>
    <t>CR0 6TE</t>
  </si>
  <si>
    <t>1 Cross Road</t>
  </si>
  <si>
    <t>5 Georgian Court</t>
  </si>
  <si>
    <t>robmag.bg@gmail.com</t>
  </si>
  <si>
    <t>DD10 0JD</t>
  </si>
  <si>
    <t>Montrose</t>
  </si>
  <si>
    <t>Station Place</t>
  </si>
  <si>
    <t>Ellington</t>
  </si>
  <si>
    <t>paddygib63@gmail.com</t>
  </si>
  <si>
    <t>S60 3PB</t>
  </si>
  <si>
    <t>1 Havercroft Road</t>
  </si>
  <si>
    <t>Giblin</t>
  </si>
  <si>
    <t>cgibbard81@gmail.com</t>
  </si>
  <si>
    <t>SA2 7XQ</t>
  </si>
  <si>
    <t>128 Garrod Ave</t>
  </si>
  <si>
    <t>Gibbard</t>
  </si>
  <si>
    <t>neil_gerrard@fastmail.fm</t>
  </si>
  <si>
    <t>CT20 3NY</t>
  </si>
  <si>
    <t>Sandgate</t>
  </si>
  <si>
    <t>4 Meadowbrook</t>
  </si>
  <si>
    <t>geraci67@btinternet.com</t>
  </si>
  <si>
    <t>Geraci</t>
  </si>
  <si>
    <t>jen.george@hotmail.com</t>
  </si>
  <si>
    <t>HUUB WATTSHOP CC</t>
  </si>
  <si>
    <t>SE20 7YQ</t>
  </si>
  <si>
    <t>6 Suffield Road</t>
  </si>
  <si>
    <t>gentrussell@gmail.com</t>
  </si>
  <si>
    <t>LE3 6HR</t>
  </si>
  <si>
    <t>14 Westfield Road</t>
  </si>
  <si>
    <t>Gent</t>
  </si>
  <si>
    <t>jgcoachworks@tiscali.co.uk</t>
  </si>
  <si>
    <t>KA18 2BH</t>
  </si>
  <si>
    <t xml:space="preserve">Cumnock </t>
  </si>
  <si>
    <t xml:space="preserve">Auchinleck </t>
  </si>
  <si>
    <t>4 Market Place</t>
  </si>
  <si>
    <t>Gemmell</t>
  </si>
  <si>
    <t xml:space="preserve">Morton </t>
  </si>
  <si>
    <t>christiangeldard@hotmail.com</t>
  </si>
  <si>
    <t>RG22 4RS</t>
  </si>
  <si>
    <t>2 Mayfield Ridge</t>
  </si>
  <si>
    <t>Geldard</t>
  </si>
  <si>
    <t xml:space="preserve">Christian </t>
  </si>
  <si>
    <t>cy.gearing@googlemail.com</t>
  </si>
  <si>
    <t>PE7 3XA</t>
  </si>
  <si>
    <t>Stilton</t>
  </si>
  <si>
    <t>69 Manor Road</t>
  </si>
  <si>
    <t>Gearing</t>
  </si>
  <si>
    <t>Cy</t>
  </si>
  <si>
    <t>desg@kentonrc.co.uk</t>
  </si>
  <si>
    <t xml:space="preserve">Kenton RC </t>
  </si>
  <si>
    <t>HA2 7QN</t>
  </si>
  <si>
    <t xml:space="preserve">North Harrow </t>
  </si>
  <si>
    <t xml:space="preserve">58 The Ridgeway </t>
  </si>
  <si>
    <t>Gayler</t>
  </si>
  <si>
    <t>lynn_60@hotmail.com</t>
  </si>
  <si>
    <t>DN18 6JP</t>
  </si>
  <si>
    <t>Barton on Humber</t>
  </si>
  <si>
    <t>South Ferriby</t>
  </si>
  <si>
    <t>10 Mill Lane</t>
  </si>
  <si>
    <t>Gay</t>
  </si>
  <si>
    <t>iangaskins1@gmail.com</t>
  </si>
  <si>
    <t>DL14 6LG</t>
  </si>
  <si>
    <t>41 Lambton Drive</t>
  </si>
  <si>
    <t>Gaskins</t>
  </si>
  <si>
    <t>t.garwell@yahoo.com</t>
  </si>
  <si>
    <t>LS21 3EL</t>
  </si>
  <si>
    <t>otley</t>
  </si>
  <si>
    <t>ashgrove</t>
  </si>
  <si>
    <t>rosedene</t>
  </si>
  <si>
    <t>Garwell</t>
  </si>
  <si>
    <t>mg@chandlergarvey.com</t>
  </si>
  <si>
    <t>OX39 4AH</t>
  </si>
  <si>
    <t>Henton</t>
  </si>
  <si>
    <t>Kynama</t>
  </si>
  <si>
    <t>Garvey</t>
  </si>
  <si>
    <t>jonathanegarrow@gmail.com</t>
  </si>
  <si>
    <t>OX10 8EL</t>
  </si>
  <si>
    <t>Crowmarsh Gifford</t>
  </si>
  <si>
    <t>12 Home Farm</t>
  </si>
  <si>
    <t>Garrow</t>
  </si>
  <si>
    <t>dopeyden@gmail.com</t>
  </si>
  <si>
    <t>NR34 7HA</t>
  </si>
  <si>
    <t>Wrentham</t>
  </si>
  <si>
    <t>6 Palmers Lane</t>
  </si>
  <si>
    <t>Hurren</t>
  </si>
  <si>
    <t>lee.garrod@icloud.com</t>
  </si>
  <si>
    <t>Garrod</t>
  </si>
  <si>
    <t>jarod@gjelec.co.uk</t>
  </si>
  <si>
    <t>CH603SL</t>
  </si>
  <si>
    <t xml:space="preserve">Wirral </t>
  </si>
  <si>
    <t xml:space="preserve">Gayton </t>
  </si>
  <si>
    <t>5 Queensway</t>
  </si>
  <si>
    <t xml:space="preserve">Garrington </t>
  </si>
  <si>
    <t>Jarod</t>
  </si>
  <si>
    <t>jason.garratt@hotmail.co.uk</t>
  </si>
  <si>
    <t>Apache Brace Racing Cycle Team (ABR)</t>
  </si>
  <si>
    <t>DY6 7RP</t>
  </si>
  <si>
    <t>Charterfields Estate</t>
  </si>
  <si>
    <t>7 Digby Road</t>
  </si>
  <si>
    <t>Garratt</t>
  </si>
  <si>
    <t>alexgarner75@yahoo.co.uk</t>
  </si>
  <si>
    <t>NN1 3DZ</t>
  </si>
  <si>
    <t>70 Bailiff Street</t>
  </si>
  <si>
    <t>mikegarner23@gmail.com</t>
  </si>
  <si>
    <t>GU33 7UZ</t>
  </si>
  <si>
    <t>1 Longacre Close</t>
  </si>
  <si>
    <t>rickgarman69@gmail.com</t>
  </si>
  <si>
    <t>PO13 8GN</t>
  </si>
  <si>
    <t>Hants.</t>
  </si>
  <si>
    <t>57 Proctor Drive</t>
  </si>
  <si>
    <t>Garman</t>
  </si>
  <si>
    <t>T.Garlinge@icloud.com</t>
  </si>
  <si>
    <t>Easterley Road Club</t>
  </si>
  <si>
    <t xml:space="preserve">IG119XZ </t>
  </si>
  <si>
    <t>Barking</t>
  </si>
  <si>
    <t xml:space="preserve">108 Lyndhurst Gardens </t>
  </si>
  <si>
    <t>Garlinge</t>
  </si>
  <si>
    <t>martingargett@googlemail.com</t>
  </si>
  <si>
    <t>Hx4 8HE</t>
  </si>
  <si>
    <t>143a Rochdale Road</t>
  </si>
  <si>
    <t>p.m.gardner@hotmail.co.uk</t>
  </si>
  <si>
    <t>SY5 9EU</t>
  </si>
  <si>
    <t>Crew Green</t>
  </si>
  <si>
    <t>6 Malt Rise</t>
  </si>
  <si>
    <t>lesw.gardner@virginmedia.com</t>
  </si>
  <si>
    <t>OX10 6RR</t>
  </si>
  <si>
    <t>Benson</t>
  </si>
  <si>
    <t>6 Old London Road</t>
  </si>
  <si>
    <t>john.hawklaw@googlemail.com</t>
  </si>
  <si>
    <t>ME15 6DG</t>
  </si>
  <si>
    <t>Loose</t>
  </si>
  <si>
    <t xml:space="preserve">12 Regent Drive, </t>
  </si>
  <si>
    <t>Hawkridge</t>
  </si>
  <si>
    <t>carole.gandy12@gmail.com</t>
  </si>
  <si>
    <t>Gandy</t>
  </si>
  <si>
    <t>Carole</t>
  </si>
  <si>
    <t>LE2 7JE</t>
  </si>
  <si>
    <t>8 Filbert Street East</t>
  </si>
  <si>
    <t>Gamble</t>
  </si>
  <si>
    <t>rashbournegalley@yahoo.co.uk</t>
  </si>
  <si>
    <t>BS15 3TG</t>
  </si>
  <si>
    <t>1H Sydenham Way</t>
  </si>
  <si>
    <t>Galley</t>
  </si>
  <si>
    <t>andrewg7173@gmail.com</t>
  </si>
  <si>
    <t>EH14 1XJ</t>
  </si>
  <si>
    <t>North Meggetland</t>
  </si>
  <si>
    <t>86/8</t>
  </si>
  <si>
    <t>Gallacher</t>
  </si>
  <si>
    <t>John.gadie37@gmail.com</t>
  </si>
  <si>
    <t>Barton Wh</t>
  </si>
  <si>
    <t>DN16 1LH</t>
  </si>
  <si>
    <t>Nth Lincolnshire</t>
  </si>
  <si>
    <t>37 King Edward Street</t>
  </si>
  <si>
    <t>Gadie</t>
  </si>
  <si>
    <t>kengab1938@googlemail.com</t>
  </si>
  <si>
    <t>YO8 9NN</t>
  </si>
  <si>
    <t>Thorpe Willoughby</t>
  </si>
  <si>
    <t>57 Foxdale Avenue</t>
  </si>
  <si>
    <t>gabriels</t>
  </si>
  <si>
    <t>kenneth</t>
  </si>
  <si>
    <t>micf@rocketmail.com</t>
  </si>
  <si>
    <t>LS178WD</t>
  </si>
  <si>
    <t>Shadwell</t>
  </si>
  <si>
    <t>7 Cricketers View</t>
  </si>
  <si>
    <t>Furby</t>
  </si>
  <si>
    <t>Carlfullerton@hotmail.com</t>
  </si>
  <si>
    <t>Donegal Bay CC</t>
  </si>
  <si>
    <t>F93 E971</t>
  </si>
  <si>
    <t>Aileach Road</t>
  </si>
  <si>
    <t>Swilly Villa</t>
  </si>
  <si>
    <t>Fullerton</t>
  </si>
  <si>
    <t>stevefullerton01@gmail.com</t>
  </si>
  <si>
    <t>DL3 0SX</t>
  </si>
  <si>
    <t>2 Westgate  Crescent</t>
  </si>
  <si>
    <t>fullerton</t>
  </si>
  <si>
    <t>george</t>
  </si>
  <si>
    <t>dennisfuller@sky.com</t>
  </si>
  <si>
    <t>VTTA north</t>
  </si>
  <si>
    <t>NE22 6LH</t>
  </si>
  <si>
    <t>20 Forum  Court</t>
  </si>
  <si>
    <t>stephendfryer@googlemail.com</t>
  </si>
  <si>
    <t>Marlow Riders</t>
  </si>
  <si>
    <t>SL6 9EJ</t>
  </si>
  <si>
    <t>Cookham</t>
  </si>
  <si>
    <t>The Oaks, Hatch Place, Lower Road</t>
  </si>
  <si>
    <t>Fryer</t>
  </si>
  <si>
    <t>frydman@btinternet.com</t>
  </si>
  <si>
    <t>CV32 5BE</t>
  </si>
  <si>
    <t>Frydman</t>
  </si>
  <si>
    <t>michael.l.fry@gmail.com</t>
  </si>
  <si>
    <t>IP1 3QE</t>
  </si>
  <si>
    <t>2, Graham Road</t>
  </si>
  <si>
    <t>Fry</t>
  </si>
  <si>
    <t>jandcfry@gmail.com</t>
  </si>
  <si>
    <t>BS16 2TN</t>
  </si>
  <si>
    <t>8 Conifer Close</t>
  </si>
  <si>
    <t>DrGeoffFrost@gmail.com</t>
  </si>
  <si>
    <t>NR20 5NE</t>
  </si>
  <si>
    <t>Bintree</t>
  </si>
  <si>
    <t>38 The Street</t>
  </si>
  <si>
    <t>ja.freeman@tiscali.co.uk</t>
  </si>
  <si>
    <t>CM13 2EN</t>
  </si>
  <si>
    <t>47 Knights Way</t>
  </si>
  <si>
    <t>PR4 5QD</t>
  </si>
  <si>
    <t>nr Preston</t>
  </si>
  <si>
    <t>Walmer Bridge</t>
  </si>
  <si>
    <t>323 Liverpool Road</t>
  </si>
  <si>
    <t>vfreeley@gmail.com</t>
  </si>
  <si>
    <t>N21 2DN</t>
  </si>
  <si>
    <t>Winchmore Hill</t>
  </si>
  <si>
    <t>13 The Orchard</t>
  </si>
  <si>
    <t>Freeley</t>
  </si>
  <si>
    <t>pfreegard@mac.com</t>
  </si>
  <si>
    <t>SN16 0JE</t>
  </si>
  <si>
    <t>Malmsbury</t>
  </si>
  <si>
    <t>Kembrough</t>
  </si>
  <si>
    <t>lee.t.francis@googlemail.com</t>
  </si>
  <si>
    <t>BS16 4QS</t>
  </si>
  <si>
    <t>11 Morley Road</t>
  </si>
  <si>
    <t>adrianfox2071@gmail.com</t>
  </si>
  <si>
    <t>CW11 3NA</t>
  </si>
  <si>
    <t xml:space="preserve">Sandbach </t>
  </si>
  <si>
    <t xml:space="preserve">Ettiley Heath </t>
  </si>
  <si>
    <t xml:space="preserve">25 Proctors Lane </t>
  </si>
  <si>
    <t>simon.fox03@hotmail.co.uk</t>
  </si>
  <si>
    <t>CW9 8QA</t>
  </si>
  <si>
    <t>Jack Lane, Moulton</t>
  </si>
  <si>
    <t>Snaefell</t>
  </si>
  <si>
    <t>foxesuk66@gmail.com</t>
  </si>
  <si>
    <t>CB244SP</t>
  </si>
  <si>
    <t>CAMBRIDGE</t>
  </si>
  <si>
    <t>FEN DRAYTON</t>
  </si>
  <si>
    <t>36 THE PLANTATION</t>
  </si>
  <si>
    <t>Kevin.v.fowler@gmail.com</t>
  </si>
  <si>
    <t>GL13 9HR</t>
  </si>
  <si>
    <t>Berkeley</t>
  </si>
  <si>
    <t>Church Lane, Purton</t>
  </si>
  <si>
    <t>Fishermans Cottage</t>
  </si>
  <si>
    <t>V</t>
  </si>
  <si>
    <t>Kev</t>
  </si>
  <si>
    <t>waltfowler@hotmail.co.uk</t>
  </si>
  <si>
    <t>Stourbridge CC</t>
  </si>
  <si>
    <t>DY7 6LR</t>
  </si>
  <si>
    <t>STOURBRIDGE</t>
  </si>
  <si>
    <t>KINVER</t>
  </si>
  <si>
    <t>21 Brindley Brae</t>
  </si>
  <si>
    <t>tritim50@gmail.com</t>
  </si>
  <si>
    <t>PSSA Cycling Club</t>
  </si>
  <si>
    <t>MK18 2NX</t>
  </si>
  <si>
    <t>Steeple Clayton</t>
  </si>
  <si>
    <t>4 Greenwood Place</t>
  </si>
  <si>
    <t xml:space="preserve">Timothy </t>
  </si>
  <si>
    <t>garyfouracres@googlemail.com</t>
  </si>
  <si>
    <t>Yeovil cc</t>
  </si>
  <si>
    <t>TA116SF</t>
  </si>
  <si>
    <t>116 Behind Berry</t>
  </si>
  <si>
    <t>Fouracres</t>
  </si>
  <si>
    <t>mick@mickfountain.co.uk</t>
  </si>
  <si>
    <t>OX11 7DG</t>
  </si>
  <si>
    <t>20 Merritt Road</t>
  </si>
  <si>
    <t>Fountain</t>
  </si>
  <si>
    <t>sarah.foulds291@gmail.com</t>
  </si>
  <si>
    <t>Team VC</t>
  </si>
  <si>
    <t xml:space="preserve">Yo71qX </t>
  </si>
  <si>
    <t>Thirsk</t>
  </si>
  <si>
    <t xml:space="preserve">Sowerby </t>
  </si>
  <si>
    <t xml:space="preserve">1 Victoria Avenue </t>
  </si>
  <si>
    <t>Foulds</t>
  </si>
  <si>
    <t>eric.southward57@gmail.com</t>
  </si>
  <si>
    <t>Royal Leamington Spa Cycle Club</t>
  </si>
  <si>
    <t>CV34 8DJ</t>
  </si>
  <si>
    <t>Please Select</t>
  </si>
  <si>
    <t>2 Hollybush Close</t>
  </si>
  <si>
    <t>foster.i@sky.com</t>
  </si>
  <si>
    <t xml:space="preserve">Stafford Road club </t>
  </si>
  <si>
    <t>WS8 7RN</t>
  </si>
  <si>
    <t xml:space="preserve">Clayhanger </t>
  </si>
  <si>
    <t>1 Snowdrop Close</t>
  </si>
  <si>
    <t>mrbigfoz@gmail.com</t>
  </si>
  <si>
    <t>KA3 5AT</t>
  </si>
  <si>
    <t>25 Dunlop Street</t>
  </si>
  <si>
    <t>lee.foster1949@btinternet.com</t>
  </si>
  <si>
    <t>CA5 6HR</t>
  </si>
  <si>
    <t>Kirkbampton</t>
  </si>
  <si>
    <t>13 Solway View</t>
  </si>
  <si>
    <t>PE31 8JZ</t>
  </si>
  <si>
    <t>21, Crofts Close</t>
  </si>
  <si>
    <t>denaf66@gmail.com</t>
  </si>
  <si>
    <t>HP27 0LH</t>
  </si>
  <si>
    <t xml:space="preserve">Buckinghamshire </t>
  </si>
  <si>
    <t>Whiteleaf</t>
  </si>
  <si>
    <t>Westfields</t>
  </si>
  <si>
    <t>Dena</t>
  </si>
  <si>
    <t>cford1966@gmail.com</t>
  </si>
  <si>
    <t>gary_ford@hotmail.com</t>
  </si>
  <si>
    <t>GL8 8HJ</t>
  </si>
  <si>
    <t>20 Dormers Close</t>
  </si>
  <si>
    <t>alexa@alexaforbes.com</t>
  </si>
  <si>
    <t>SW11 6NR</t>
  </si>
  <si>
    <t>55 Alfriston Road</t>
  </si>
  <si>
    <t>Alexa</t>
  </si>
  <si>
    <t>brian.foran@herts.police.uk</t>
  </si>
  <si>
    <t>Lu63lx</t>
  </si>
  <si>
    <t>12 Bowles Way</t>
  </si>
  <si>
    <t>hunt</t>
  </si>
  <si>
    <t>Nikki</t>
  </si>
  <si>
    <t>brianforan1@yahoo.co.uk</t>
  </si>
  <si>
    <t>VTTA (London and home counties)</t>
  </si>
  <si>
    <t>foran</t>
  </si>
  <si>
    <t>philip</t>
  </si>
  <si>
    <t>meltonroad118@btinternet.com</t>
  </si>
  <si>
    <t>LE14 4DA</t>
  </si>
  <si>
    <t>Harby</t>
  </si>
  <si>
    <t>49b Stathern Lane</t>
  </si>
  <si>
    <t>Foot</t>
  </si>
  <si>
    <t>george.flockhart@glnf63.plus.com</t>
  </si>
  <si>
    <t>PH10 6HL</t>
  </si>
  <si>
    <t>BLAIRGOWRIE</t>
  </si>
  <si>
    <t>Upper Allan Street</t>
  </si>
  <si>
    <t>"Grianan"</t>
  </si>
  <si>
    <t>Flockhart</t>
  </si>
  <si>
    <t>OldAffric84@gmail.com</t>
  </si>
  <si>
    <t>KY11 1FG</t>
  </si>
  <si>
    <t>Inverkeithing</t>
  </si>
  <si>
    <t>22 Curlew Way</t>
  </si>
  <si>
    <t>Maclean</t>
  </si>
  <si>
    <t>VC Glasgow</t>
  </si>
  <si>
    <t>dfleming.gb@icloud.com</t>
  </si>
  <si>
    <t>EX1 1TB</t>
  </si>
  <si>
    <t>30 Spicer Road</t>
  </si>
  <si>
    <t>Fleming</t>
  </si>
  <si>
    <t>paul3665@tiscali.co.uk</t>
  </si>
  <si>
    <t>PR5 4RJ</t>
  </si>
  <si>
    <t>Walton le Dale</t>
  </si>
  <si>
    <t>21 Holland Avenue</t>
  </si>
  <si>
    <t>muatt@btinternet.com</t>
  </si>
  <si>
    <t>CW7 1SP</t>
  </si>
  <si>
    <t>46 Redshank Avenue</t>
  </si>
  <si>
    <t>Flannery</t>
  </si>
  <si>
    <t>angelhannon666@gmail.com</t>
  </si>
  <si>
    <t>WF8 3BH</t>
  </si>
  <si>
    <t>Pontefract, West Yorkshire</t>
  </si>
  <si>
    <t>Darrington</t>
  </si>
  <si>
    <t xml:space="preserve">Philips Lane </t>
  </si>
  <si>
    <t>The Dovecote</t>
  </si>
  <si>
    <t>Hannon-Flaherty</t>
  </si>
  <si>
    <t>spikefire1000@hotmail.com</t>
  </si>
  <si>
    <t>Flaherty</t>
  </si>
  <si>
    <t>BarryFittes@yahoo.co.uk</t>
  </si>
  <si>
    <t>LA13 9TS</t>
  </si>
  <si>
    <t>18 St Lukes Avenue</t>
  </si>
  <si>
    <t>Fittes</t>
  </si>
  <si>
    <t>mikefishpool@gmail.com</t>
  </si>
  <si>
    <t>CB22 5JX</t>
  </si>
  <si>
    <t>Great Shelford</t>
  </si>
  <si>
    <t>34 Granham's Road</t>
  </si>
  <si>
    <t>Fishpool</t>
  </si>
  <si>
    <t>afisher272@gmail.com</t>
  </si>
  <si>
    <t>NN10 9EH</t>
  </si>
  <si>
    <t>Rushden</t>
  </si>
  <si>
    <t xml:space="preserve">21 Dean Close, </t>
  </si>
  <si>
    <t>martinpaulfisher@gmail.com</t>
  </si>
  <si>
    <t>Le130JZ</t>
  </si>
  <si>
    <t>1B Charnwood Drive</t>
  </si>
  <si>
    <t>aileenfisher@btinternet.com</t>
  </si>
  <si>
    <t xml:space="preserve">KA7 4LE </t>
  </si>
  <si>
    <t>Dunure</t>
  </si>
  <si>
    <t>Lagg Farm</t>
  </si>
  <si>
    <t>Aileen</t>
  </si>
  <si>
    <t>paula_fisher@hotmail.co.uk</t>
  </si>
  <si>
    <t>S663RU</t>
  </si>
  <si>
    <t xml:space="preserve">Sunnyside </t>
  </si>
  <si>
    <t>19 Elton Lane</t>
  </si>
  <si>
    <t>mackenzie.ianm@gmail.com</t>
  </si>
  <si>
    <t>Durham Triathlon Club</t>
  </si>
  <si>
    <t>DH1 4DY</t>
  </si>
  <si>
    <t>Percy Terrace</t>
  </si>
  <si>
    <t>Sunnybrae</t>
  </si>
  <si>
    <t>MacKenzie</t>
  </si>
  <si>
    <t>sunnybrae4@gmail.com</t>
  </si>
  <si>
    <t>Finnighan</t>
  </si>
  <si>
    <t>Ellen Ann</t>
  </si>
  <si>
    <t>LA89AS</t>
  </si>
  <si>
    <t>KA9 2AA</t>
  </si>
  <si>
    <t>PRESTWICK</t>
  </si>
  <si>
    <t>12a Waterloo Road</t>
  </si>
  <si>
    <t>gf.cycling@outlook.com</t>
  </si>
  <si>
    <t>Forres Cycling Club</t>
  </si>
  <si>
    <t>IV36 3XW</t>
  </si>
  <si>
    <t>Forres</t>
  </si>
  <si>
    <t>Kinloss</t>
  </si>
  <si>
    <t>14 South Road</t>
  </si>
  <si>
    <t>Findlater</t>
  </si>
  <si>
    <t>mattf845@gmail.com</t>
  </si>
  <si>
    <t>LE3 6HE</t>
  </si>
  <si>
    <t>7 Hilders Road</t>
  </si>
  <si>
    <t>cnfinch1@gmail.com</t>
  </si>
  <si>
    <t>DE65 6EF</t>
  </si>
  <si>
    <t>10 Main Street</t>
  </si>
  <si>
    <t>BL5 3UD</t>
  </si>
  <si>
    <t>3 Fellbridge Close</t>
  </si>
  <si>
    <t>LM - Individual Membership - Manchester &amp; North West</t>
  </si>
  <si>
    <t>Fildes</t>
  </si>
  <si>
    <t>anthonyfidow@yahoo.co.uk</t>
  </si>
  <si>
    <t>Newport Phoenix CC.</t>
  </si>
  <si>
    <t>NP11 6BH</t>
  </si>
  <si>
    <t xml:space="preserve">caerphilly </t>
  </si>
  <si>
    <t>risca</t>
  </si>
  <si>
    <t xml:space="preserve">9 Brookland Road, </t>
  </si>
  <si>
    <t xml:space="preserve">Fidow </t>
  </si>
  <si>
    <t>ferrisliam@yahoo.com</t>
  </si>
  <si>
    <t xml:space="preserve">Port Sunlight Wheelers </t>
  </si>
  <si>
    <t>ch48 4dr</t>
  </si>
  <si>
    <t>West Kirby</t>
  </si>
  <si>
    <t>13 Dunraven Road</t>
  </si>
  <si>
    <t>Ferris</t>
  </si>
  <si>
    <t>p.m.ferrett@gmail.com</t>
  </si>
  <si>
    <t>OX18 4BT</t>
  </si>
  <si>
    <t>Burford</t>
  </si>
  <si>
    <t>Fulbrook</t>
  </si>
  <si>
    <t>Orchard Row</t>
  </si>
  <si>
    <t>2 The Spinney</t>
  </si>
  <si>
    <t>Ferrett</t>
  </si>
  <si>
    <t>ianferrell@sky.com</t>
  </si>
  <si>
    <t>VC DEAL</t>
  </si>
  <si>
    <t>CT14 7QY</t>
  </si>
  <si>
    <t>7, John Tapping Close, Walmer</t>
  </si>
  <si>
    <t>Ferrell</t>
  </si>
  <si>
    <t>greg@hexa.co.uk</t>
  </si>
  <si>
    <t>Luctonians Cycling Club</t>
  </si>
  <si>
    <t>HR6 0RP</t>
  </si>
  <si>
    <t>HEREFORDSHIRE</t>
  </si>
  <si>
    <t>LEOMINSTER</t>
  </si>
  <si>
    <t>Bromyard Road</t>
  </si>
  <si>
    <t>Valley View</t>
  </si>
  <si>
    <t>Ferrari</t>
  </si>
  <si>
    <t>timfergus@hotmail.com</t>
  </si>
  <si>
    <t>Sportcity Velo</t>
  </si>
  <si>
    <t>M12 5SY</t>
  </si>
  <si>
    <t>25 Stovell Avenue</t>
  </si>
  <si>
    <t xml:space="preserve">Ferguson </t>
  </si>
  <si>
    <t>mark@msffitness.co.uk</t>
  </si>
  <si>
    <t>Shropshire CCA</t>
  </si>
  <si>
    <t>TF2 6QT</t>
  </si>
  <si>
    <t>29 Springfield Road, Trench, Trench</t>
  </si>
  <si>
    <t>fennn720@gmail.com</t>
  </si>
  <si>
    <t>WV16 6AY</t>
  </si>
  <si>
    <t>Ditton Priors</t>
  </si>
  <si>
    <t>13 Ordnance Place, Station Road</t>
  </si>
  <si>
    <t xml:space="preserve">Norman </t>
  </si>
  <si>
    <t>nwef1@yahoo.com</t>
  </si>
  <si>
    <t>HG1 3LL</t>
  </si>
  <si>
    <t>NORTH YORKSHIRE</t>
  </si>
  <si>
    <t xml:space="preserve">6 Meadow View </t>
  </si>
  <si>
    <t>Fearn</t>
  </si>
  <si>
    <t>William Everett</t>
  </si>
  <si>
    <t>jimfearick@hotmail.com</t>
  </si>
  <si>
    <t>VTTA (Manchester &amp; NW)</t>
  </si>
  <si>
    <t>M28 1FT</t>
  </si>
  <si>
    <t>Boothstown, Worsley</t>
  </si>
  <si>
    <t xml:space="preserve">11 Orchard Avenue, </t>
  </si>
  <si>
    <t>Fearick</t>
  </si>
  <si>
    <t>mrgfay@yahoo.co.uk</t>
  </si>
  <si>
    <t xml:space="preserve">Mk452Ln </t>
  </si>
  <si>
    <t xml:space="preserve">Ampthill </t>
  </si>
  <si>
    <t xml:space="preserve">4 Chapel Lane </t>
  </si>
  <si>
    <t>Fay</t>
  </si>
  <si>
    <t>Garret</t>
  </si>
  <si>
    <t>hannahsammut@hotmail.com</t>
  </si>
  <si>
    <t>Liverpool Braveheart Bicycle Club</t>
  </si>
  <si>
    <t>L15 9EY</t>
  </si>
  <si>
    <t>69 Heathfield Road</t>
  </si>
  <si>
    <t>carl@gklg.co.uk</t>
  </si>
  <si>
    <t>WF8 1NE</t>
  </si>
  <si>
    <t>1A The Mount</t>
  </si>
  <si>
    <t>Farrow</t>
  </si>
  <si>
    <t>liamfarrell@ntlworld.com</t>
  </si>
  <si>
    <t>PA2 8NX</t>
  </si>
  <si>
    <t>Glenburn</t>
  </si>
  <si>
    <t>16 Mossneuk Drive</t>
  </si>
  <si>
    <t>Farrell</t>
  </si>
  <si>
    <t>f.t.a.1@icloud.com</t>
  </si>
  <si>
    <t>Lealtad</t>
  </si>
  <si>
    <t>Billie</t>
  </si>
  <si>
    <t>nigelfarr@yahoo.com</t>
  </si>
  <si>
    <t>SY7 8BA</t>
  </si>
  <si>
    <t>Lydbury North</t>
  </si>
  <si>
    <t>9 Brockton</t>
  </si>
  <si>
    <t>FARR</t>
  </si>
  <si>
    <t>NIGEL</t>
  </si>
  <si>
    <t>farmerjan0@gmail.com</t>
  </si>
  <si>
    <t>W14 0PY</t>
  </si>
  <si>
    <t>36 Ceylon Road</t>
  </si>
  <si>
    <t>falconer82@aol.com</t>
  </si>
  <si>
    <t>KW14 8NP</t>
  </si>
  <si>
    <t>THURSO</t>
  </si>
  <si>
    <t>82 Royal Terrace</t>
  </si>
  <si>
    <t>Falconer</t>
  </si>
  <si>
    <t>michef1975@yahoo.co.uk</t>
  </si>
  <si>
    <t>M38 9TE</t>
  </si>
  <si>
    <t xml:space="preserve">Little Hulton </t>
  </si>
  <si>
    <t>98 Captain Fold Road</t>
  </si>
  <si>
    <t>Fairclough</t>
  </si>
  <si>
    <t>Janet.Fairclough1@outlook.com</t>
  </si>
  <si>
    <t>L39 9EE</t>
  </si>
  <si>
    <t>Bickerstaffe</t>
  </si>
  <si>
    <t>Boundary Cottage</t>
  </si>
  <si>
    <t>jon.fairclough54@gmail.com</t>
  </si>
  <si>
    <t>Kelso Wheelers CC</t>
  </si>
  <si>
    <t>TD5 7QL</t>
  </si>
  <si>
    <t>Kelso</t>
  </si>
  <si>
    <t>Ednam</t>
  </si>
  <si>
    <t>Edenwater House</t>
  </si>
  <si>
    <t xml:space="preserve">Standards: Solo Bike: unlimited attempts at any distance Annual Lunch 2024 Standards: Solo Bike: unlimited attempts at any distance </t>
  </si>
  <si>
    <t>bigbevans@hotmail.com</t>
  </si>
  <si>
    <t>SG13 7EU</t>
  </si>
  <si>
    <t>10 Cockbush Avenue</t>
  </si>
  <si>
    <t>swdevs9sb@talktalk.net</t>
  </si>
  <si>
    <t>Ty-Rosa</t>
  </si>
  <si>
    <t>evans</t>
  </si>
  <si>
    <t>lynnwheelersrest@gmail.com</t>
  </si>
  <si>
    <t>NR33 0UA</t>
  </si>
  <si>
    <t>160 Kimberley Road</t>
  </si>
  <si>
    <t>Margaret Edith</t>
  </si>
  <si>
    <t>englishdavid85@gmail.com</t>
  </si>
  <si>
    <t>SN16 0HN</t>
  </si>
  <si>
    <t>13A Common Road</t>
  </si>
  <si>
    <t>blenkinsop612@btinternet.com</t>
  </si>
  <si>
    <t>SO42 7WG</t>
  </si>
  <si>
    <t>BROCKENHURST</t>
  </si>
  <si>
    <t>East Boldre</t>
  </si>
  <si>
    <t>Pages Lane</t>
  </si>
  <si>
    <t>Fiddlers Roof</t>
  </si>
  <si>
    <t>sarah.emslie@gmail.com</t>
  </si>
  <si>
    <t>EH10 7HY</t>
  </si>
  <si>
    <t xml:space="preserve">Edinburgh </t>
  </si>
  <si>
    <t>146 Swanston Muir</t>
  </si>
  <si>
    <t>Emslie</t>
  </si>
  <si>
    <t>bikealot@hotmail.co.uk</t>
  </si>
  <si>
    <t>PE30 4AH</t>
  </si>
  <si>
    <t>Queensway</t>
  </si>
  <si>
    <t>15, Suffolk Road</t>
  </si>
  <si>
    <t>Empson</t>
  </si>
  <si>
    <t>wemons@gmail.com</t>
  </si>
  <si>
    <t>Wessex VTTA</t>
  </si>
  <si>
    <t>RG20 9XE</t>
  </si>
  <si>
    <t>Tile Barn</t>
  </si>
  <si>
    <t>Lorien</t>
  </si>
  <si>
    <t>Emons</t>
  </si>
  <si>
    <t>fambafamba@yahoo.co.uk</t>
  </si>
  <si>
    <t xml:space="preserve">Annual Lunch and Awards 2024 Annual Lunch and Awards 2024 </t>
  </si>
  <si>
    <t>we@acm.org</t>
  </si>
  <si>
    <t>NW3 4DN</t>
  </si>
  <si>
    <t>20 Glenloch Road</t>
  </si>
  <si>
    <t>Emmerich</t>
  </si>
  <si>
    <t>Josef</t>
  </si>
  <si>
    <t>Wolfgang</t>
  </si>
  <si>
    <t>gregelwell@live.co.uk</t>
  </si>
  <si>
    <t>HX7 6NS</t>
  </si>
  <si>
    <t>Turret Hall Road</t>
  </si>
  <si>
    <t>Wood Farm</t>
  </si>
  <si>
    <t>Elwell</t>
  </si>
  <si>
    <t>chris.elves@ntlworld.com</t>
  </si>
  <si>
    <t>SR3 3TA</t>
  </si>
  <si>
    <t>40 Park Lea</t>
  </si>
  <si>
    <t>Elves</t>
  </si>
  <si>
    <t xml:space="preserve">Jarman </t>
  </si>
  <si>
    <t xml:space="preserve">Frances May </t>
  </si>
  <si>
    <t xml:space="preserve">Natasha </t>
  </si>
  <si>
    <t>pedroelms@yahoo.co.uk</t>
  </si>
  <si>
    <t>davidellisdecs@ntlworld.com</t>
  </si>
  <si>
    <t>Born 2 Bike Bridgetown cycles &amp; Mapperley CC</t>
  </si>
  <si>
    <t>NG15 9DA</t>
  </si>
  <si>
    <t xml:space="preserve">Ravenshead </t>
  </si>
  <si>
    <t>38 Chapel Lane</t>
  </si>
  <si>
    <t>flatchat@live.co.uk</t>
  </si>
  <si>
    <t>NN13 5SA</t>
  </si>
  <si>
    <t>Evenley</t>
  </si>
  <si>
    <t>Monks House Barn</t>
  </si>
  <si>
    <t>craigr.elliott@gmail.com</t>
  </si>
  <si>
    <t>Becontree Wheelers</t>
  </si>
  <si>
    <t>CM13 1NE</t>
  </si>
  <si>
    <t xml:space="preserve">21 Cedar Close </t>
  </si>
  <si>
    <t>rachael.elliott@gmail.com</t>
  </si>
  <si>
    <t xml:space="preserve">RG142RR </t>
  </si>
  <si>
    <t>DE72 3GS</t>
  </si>
  <si>
    <t>Borrowash</t>
  </si>
  <si>
    <t>1 Priors Barn Close</t>
  </si>
  <si>
    <t>composure218@hotmail.com</t>
  </si>
  <si>
    <t>Hawick CC</t>
  </si>
  <si>
    <t>TD9 7BY</t>
  </si>
  <si>
    <t>22 Harden Place</t>
  </si>
  <si>
    <t>patellers54@hotmail.co.uk</t>
  </si>
  <si>
    <t xml:space="preserve">PE280BN </t>
  </si>
  <si>
    <t xml:space="preserve">Perry </t>
  </si>
  <si>
    <t>1and 2 the cottages,Highfield farm</t>
  </si>
  <si>
    <t>Ellerbeck</t>
  </si>
  <si>
    <t>darraneggleton@hotmail.co.uk</t>
  </si>
  <si>
    <t>HP7 0LB</t>
  </si>
  <si>
    <t xml:space="preserve">Amersham </t>
  </si>
  <si>
    <t>Tower Road</t>
  </si>
  <si>
    <t>8 Coleshill House</t>
  </si>
  <si>
    <t>Eggleton</t>
  </si>
  <si>
    <t>didiew@gmail.com</t>
  </si>
  <si>
    <t>Team Enable - M.I. Racing - McCann</t>
  </si>
  <si>
    <t>CV32 4TD</t>
  </si>
  <si>
    <t>35 Leicester Street</t>
  </si>
  <si>
    <t>Egerton-Warburton</t>
  </si>
  <si>
    <t>Diana</t>
  </si>
  <si>
    <t>charlie1972@gmail.com</t>
  </si>
  <si>
    <t>Graham Weigh Racing Deeside Olympic</t>
  </si>
  <si>
    <t>L120SN</t>
  </si>
  <si>
    <t>2 Minton Close</t>
  </si>
  <si>
    <t>pa_ed@hotmail.com</t>
  </si>
  <si>
    <t>Leamington Cycling &amp; Athletics Club</t>
  </si>
  <si>
    <t>CV32 5UN</t>
  </si>
  <si>
    <t>LEAMINGTON SPA</t>
  </si>
  <si>
    <t>7 Dereham Court</t>
  </si>
  <si>
    <t>nutty_edwards@hotmail.com</t>
  </si>
  <si>
    <t>PL65QT</t>
  </si>
  <si>
    <t>Crownhill</t>
  </si>
  <si>
    <t>174 Austin Crescent</t>
  </si>
  <si>
    <t>redgum722@gmail.com</t>
  </si>
  <si>
    <t>SN14 0QD</t>
  </si>
  <si>
    <t>22 Wells Road</t>
  </si>
  <si>
    <t>marcus@adv2k.co.uk</t>
  </si>
  <si>
    <t>SM2 7DJ</t>
  </si>
  <si>
    <t>The Drive</t>
  </si>
  <si>
    <t>Calderstones</t>
  </si>
  <si>
    <t>pauledwards1966@yahoo.com</t>
  </si>
  <si>
    <t>CH7 3DE</t>
  </si>
  <si>
    <t>Alltami</t>
  </si>
  <si>
    <t>3 Ffordd Brannan</t>
  </si>
  <si>
    <t>scotsfavourites@hotmail.co.uk</t>
  </si>
  <si>
    <t>DE12 7EZ</t>
  </si>
  <si>
    <t>Swadlincote</t>
  </si>
  <si>
    <t>Measham</t>
  </si>
  <si>
    <t>14 Shelly Close</t>
  </si>
  <si>
    <t>geoff.edgerton@outlook.com</t>
  </si>
  <si>
    <t>SY4 5JR</t>
  </si>
  <si>
    <t>10 Hazlitt Place</t>
  </si>
  <si>
    <t>Edgerton</t>
  </si>
  <si>
    <t>davidjeccleston@gmail.com</t>
  </si>
  <si>
    <t>LL12 8LE</t>
  </si>
  <si>
    <t>Marford</t>
  </si>
  <si>
    <t>Pistyll Hill</t>
  </si>
  <si>
    <t>White Top</t>
  </si>
  <si>
    <t>Eccleston</t>
  </si>
  <si>
    <t>johneames@hotmail.com</t>
  </si>
  <si>
    <t>SN12 8DT</t>
  </si>
  <si>
    <t>54 Southbrook Road</t>
  </si>
  <si>
    <t>eames</t>
  </si>
  <si>
    <t>neildyson00@gmail.com</t>
  </si>
  <si>
    <t>Cambridge Cycling Club</t>
  </si>
  <si>
    <t>CB1 3AL</t>
  </si>
  <si>
    <t>107 Sedgwick Street</t>
  </si>
  <si>
    <t>Dyson</t>
  </si>
  <si>
    <t>jam.dynes@gmail.com</t>
  </si>
  <si>
    <t>CB24 8XX</t>
  </si>
  <si>
    <t>10 The Herons</t>
  </si>
  <si>
    <t>billydyer1620@yahoo.co.uk</t>
  </si>
  <si>
    <t xml:space="preserve">VTTA West Group </t>
  </si>
  <si>
    <t>SN10 3FF</t>
  </si>
  <si>
    <t>devizes</t>
  </si>
  <si>
    <t>8 Freeman rd</t>
  </si>
  <si>
    <t>Billy</t>
  </si>
  <si>
    <t>cdyason@hotmail.com</t>
  </si>
  <si>
    <t>CB24 9AG</t>
  </si>
  <si>
    <t>Histon</t>
  </si>
  <si>
    <t>2, Prime's Corner</t>
  </si>
  <si>
    <t>Dyason</t>
  </si>
  <si>
    <t>paul@dwyer55.plus.com</t>
  </si>
  <si>
    <t>Wetherby Velo</t>
  </si>
  <si>
    <t>LS23 6JB</t>
  </si>
  <si>
    <t xml:space="preserve">Clifford </t>
  </si>
  <si>
    <t>4 Nursery Way</t>
  </si>
  <si>
    <t>Dwyer</t>
  </si>
  <si>
    <t>nick.dwyer@acm.org</t>
  </si>
  <si>
    <t>BN1 6NH</t>
  </si>
  <si>
    <t>27 Friar Road</t>
  </si>
  <si>
    <t>ajw.dutton@gmail.com</t>
  </si>
  <si>
    <t>BA2 5QA</t>
  </si>
  <si>
    <t>Combe Down</t>
  </si>
  <si>
    <t>21 Hawthorn Grove</t>
  </si>
  <si>
    <t>Dutton</t>
  </si>
  <si>
    <t>John Walter</t>
  </si>
  <si>
    <t>Geoffduteson@aol.com</t>
  </si>
  <si>
    <t>PR2 3EP</t>
  </si>
  <si>
    <t>49 Conway Drive</t>
  </si>
  <si>
    <t>Duteson</t>
  </si>
  <si>
    <t>jon@durnin.co.uk</t>
  </si>
  <si>
    <t>LE8 9DW</t>
  </si>
  <si>
    <t>Great Glen</t>
  </si>
  <si>
    <t>1 Hewett Close</t>
  </si>
  <si>
    <t>Durnin</t>
  </si>
  <si>
    <t>richarddurham17@hotmail.com</t>
  </si>
  <si>
    <t>BD24 0HZ</t>
  </si>
  <si>
    <t>Selside</t>
  </si>
  <si>
    <t>Hillfoot Barn</t>
  </si>
  <si>
    <t>dupen@me.com</t>
  </si>
  <si>
    <t>NR34 8PA</t>
  </si>
  <si>
    <t>Nr. Beccles</t>
  </si>
  <si>
    <t>Redisham</t>
  </si>
  <si>
    <t>3, The Orchard</t>
  </si>
  <si>
    <t>Dupen</t>
  </si>
  <si>
    <t>Lorraine</t>
  </si>
  <si>
    <t>niel.dunnage@gmail.com</t>
  </si>
  <si>
    <t>Gl539NN</t>
  </si>
  <si>
    <t>2 Rose Cottage</t>
  </si>
  <si>
    <t>Dunnage</t>
  </si>
  <si>
    <t>Niel</t>
  </si>
  <si>
    <t>peter@bradway.co.uk</t>
  </si>
  <si>
    <t>Sheffield Phoenix Cycling Club/ Sheffield Racing CC</t>
  </si>
  <si>
    <t>S17 4PA</t>
  </si>
  <si>
    <t>24 Oxclose Avenue</t>
  </si>
  <si>
    <t>Dungworth</t>
  </si>
  <si>
    <t>christopher.dugher444@btinternet.com</t>
  </si>
  <si>
    <t>YO8 9QD</t>
  </si>
  <si>
    <t>Hambleton</t>
  </si>
  <si>
    <t>44 Garth Drive</t>
  </si>
  <si>
    <t>Dugher</t>
  </si>
  <si>
    <t>dryburghcycles@gmail.com</t>
  </si>
  <si>
    <t>Ross shire roads</t>
  </si>
  <si>
    <t>IV15 9HY</t>
  </si>
  <si>
    <t>Ross shire</t>
  </si>
  <si>
    <t xml:space="preserve">Dingwall </t>
  </si>
  <si>
    <t>Castle gardens</t>
  </si>
  <si>
    <t>Dryburgh</t>
  </si>
  <si>
    <t>jpd47@hotmail.com</t>
  </si>
  <si>
    <t>So50 9fs</t>
  </si>
  <si>
    <t>29 tennyson road</t>
  </si>
  <si>
    <t>Drury</t>
  </si>
  <si>
    <t>Neil@DruceAccountants.co.uk</t>
  </si>
  <si>
    <t>OX12 0QF</t>
  </si>
  <si>
    <t>17 Teal Close</t>
  </si>
  <si>
    <t>Druce</t>
  </si>
  <si>
    <t>driverdavid97@gmail.com</t>
  </si>
  <si>
    <t>DT9 4LF</t>
  </si>
  <si>
    <t>Sherborne</t>
  </si>
  <si>
    <t>Poyntington</t>
  </si>
  <si>
    <t>Grafton Cottage</t>
  </si>
  <si>
    <t>Driver</t>
  </si>
  <si>
    <t>shawanddrewett@googlemail.com</t>
  </si>
  <si>
    <t>OX13 6QQ</t>
  </si>
  <si>
    <t>Cothill</t>
  </si>
  <si>
    <t>Cothill Road</t>
  </si>
  <si>
    <t>Byways</t>
  </si>
  <si>
    <t>Drewett</t>
  </si>
  <si>
    <t>ben.gav@hotmail.co.uk</t>
  </si>
  <si>
    <t>NHRC</t>
  </si>
  <si>
    <t>RG22 5UL</t>
  </si>
  <si>
    <t xml:space="preserve">Basingstoke </t>
  </si>
  <si>
    <t>Kempshott</t>
  </si>
  <si>
    <t>25 Firecrest Road, Gabriel Park</t>
  </si>
  <si>
    <t>Alfred Charles</t>
  </si>
  <si>
    <t>crispin_doyle@hotmail.com</t>
  </si>
  <si>
    <t>Magspeed Racing</t>
  </si>
  <si>
    <t>RG1 7NU</t>
  </si>
  <si>
    <t>Basement Flat, 36 Battle Street</t>
  </si>
  <si>
    <t>johndowling161@btinternet.com</t>
  </si>
  <si>
    <t>HP22 4PB</t>
  </si>
  <si>
    <t>Wingrave</t>
  </si>
  <si>
    <t>5 Baldways Close</t>
  </si>
  <si>
    <t>Dowling</t>
  </si>
  <si>
    <t>cdove.life@gmail.com</t>
  </si>
  <si>
    <t>PO10 7QL</t>
  </si>
  <si>
    <t>12 Westwood Close</t>
  </si>
  <si>
    <t>Dove</t>
  </si>
  <si>
    <t>vincentjamesdouglas@hotmail.com</t>
  </si>
  <si>
    <t xml:space="preserve">GL3 1JH </t>
  </si>
  <si>
    <t xml:space="preserve">Churchdown </t>
  </si>
  <si>
    <t xml:space="preserve">25B Sandycroft Road </t>
  </si>
  <si>
    <t>terryddoughty@gmail.com</t>
  </si>
  <si>
    <t>Godric cycling club</t>
  </si>
  <si>
    <t>NR35 2SU</t>
  </si>
  <si>
    <t>Earsham</t>
  </si>
  <si>
    <t>Juniper Cottage, Milestone Lane</t>
  </si>
  <si>
    <t>Doughty</t>
  </si>
  <si>
    <t>krd51@icloud.com</t>
  </si>
  <si>
    <t>dools65@hotmail.com</t>
  </si>
  <si>
    <t xml:space="preserve">WA14 1LU </t>
  </si>
  <si>
    <t xml:space="preserve">Altrincham </t>
  </si>
  <si>
    <t xml:space="preserve">12 Newton Road </t>
  </si>
  <si>
    <t xml:space="preserve">Dooley </t>
  </si>
  <si>
    <t>S64 8PF</t>
  </si>
  <si>
    <t>4 Hatherley Road</t>
  </si>
  <si>
    <t>Doocey</t>
  </si>
  <si>
    <t>matt_donovan82@hotmail.com</t>
  </si>
  <si>
    <t>Beds Road Race Team</t>
  </si>
  <si>
    <t>Mk44 3FD</t>
  </si>
  <si>
    <t>20 Armistice Croft</t>
  </si>
  <si>
    <t>Donovan</t>
  </si>
  <si>
    <t>michaeldongworth8@gmail.com</t>
  </si>
  <si>
    <t>dawnparr1973@yahoo.co.uk</t>
  </si>
  <si>
    <t xml:space="preserve">St Neots cycling club </t>
  </si>
  <si>
    <t>PE191Ua</t>
  </si>
  <si>
    <t xml:space="preserve">Cambs </t>
  </si>
  <si>
    <t xml:space="preserve">St Neots </t>
  </si>
  <si>
    <t>12 Acacia Grove</t>
  </si>
  <si>
    <t>Dawn</t>
  </si>
  <si>
    <t>drew.donaldson59@gmail.com</t>
  </si>
  <si>
    <t>DL6 2FT</t>
  </si>
  <si>
    <t>50 Goldfinch Way</t>
  </si>
  <si>
    <t>steve_donaldson@yahoo.com</t>
  </si>
  <si>
    <t xml:space="preserve">KA30 8JD </t>
  </si>
  <si>
    <t xml:space="preserve">Largs </t>
  </si>
  <si>
    <t xml:space="preserve">3 Haylie Neuk </t>
  </si>
  <si>
    <t xml:space="preserve">Donaldson </t>
  </si>
  <si>
    <t>adonald11@btinternet.com</t>
  </si>
  <si>
    <t>AIMS</t>
  </si>
  <si>
    <t>DL7 8YN</t>
  </si>
  <si>
    <t xml:space="preserve">Northallerton </t>
  </si>
  <si>
    <t>2 St Pauls Close</t>
  </si>
  <si>
    <t>matt.doe135@gmail.com</t>
  </si>
  <si>
    <t>PO8 9EG</t>
  </si>
  <si>
    <t>17 Redshank Road</t>
  </si>
  <si>
    <t>Doe</t>
  </si>
  <si>
    <t>idobbie@gmail.com</t>
  </si>
  <si>
    <t>West Lothian Clarion</t>
  </si>
  <si>
    <t>EH54 9DT</t>
  </si>
  <si>
    <t>14 Murieston Park</t>
  </si>
  <si>
    <t>Dobbie</t>
  </si>
  <si>
    <t>bendixon1@hotmail.com</t>
  </si>
  <si>
    <t>EH42 1TE</t>
  </si>
  <si>
    <t>Stenton</t>
  </si>
  <si>
    <t>St Maryâ€™s</t>
  </si>
  <si>
    <t>WF14 ONF</t>
  </si>
  <si>
    <t>44 Sunnybank Avenue</t>
  </si>
  <si>
    <t>sdix@hotmail.com</t>
  </si>
  <si>
    <t>TN22 1TS</t>
  </si>
  <si>
    <t>Uckfield</t>
  </si>
  <si>
    <t>11 Woodlands Close</t>
  </si>
  <si>
    <t>Dix</t>
  </si>
  <si>
    <t>nick@njdsportsinjuries.co.uk</t>
  </si>
  <si>
    <t>BB7 4PY</t>
  </si>
  <si>
    <t>CLITHEROE</t>
  </si>
  <si>
    <t xml:space="preserve">36 Moorland Crescent </t>
  </si>
  <si>
    <t xml:space="preserve">Dinsdale </t>
  </si>
  <si>
    <t>sgdighton@hotmail.com</t>
  </si>
  <si>
    <t>B67 5EA</t>
  </si>
  <si>
    <t>W MIDLANDS</t>
  </si>
  <si>
    <t>Smethwick</t>
  </si>
  <si>
    <t>28 Lightwoods Hill</t>
  </si>
  <si>
    <t>Dighton</t>
  </si>
  <si>
    <t>simon@360cycling.co.uk</t>
  </si>
  <si>
    <t xml:space="preserve">360cycling </t>
  </si>
  <si>
    <t xml:space="preserve">BL8 4QN </t>
  </si>
  <si>
    <t xml:space="preserve">Bury </t>
  </si>
  <si>
    <t xml:space="preserve">Greenmount </t>
  </si>
  <si>
    <t xml:space="preserve">1 Brookhouse Close </t>
  </si>
  <si>
    <t xml:space="preserve">Diggins </t>
  </si>
  <si>
    <t>difelice1@sky.com</t>
  </si>
  <si>
    <t>G52 2JD</t>
  </si>
  <si>
    <t>24 Burnfoot Drive</t>
  </si>
  <si>
    <t>Difelice</t>
  </si>
  <si>
    <t>colincdickens@outlook.com</t>
  </si>
  <si>
    <t>YO12 4Uh</t>
  </si>
  <si>
    <t xml:space="preserve">Crossgates </t>
  </si>
  <si>
    <t>36The Pheasantry</t>
  </si>
  <si>
    <t>lindagdewhurst@yahoo.co.uk</t>
  </si>
  <si>
    <t>Ride Revolution</t>
  </si>
  <si>
    <t>MK18 3NP</t>
  </si>
  <si>
    <t>Granborough</t>
  </si>
  <si>
    <t>4 Marston Road</t>
  </si>
  <si>
    <t>Dewhurst</t>
  </si>
  <si>
    <t>TD1 1NB</t>
  </si>
  <si>
    <t>GALASHIELS</t>
  </si>
  <si>
    <t>4 Manse Lane</t>
  </si>
  <si>
    <t>Devlin</t>
  </si>
  <si>
    <t>devso@hotmail.co.uk</t>
  </si>
  <si>
    <t>FK4 1ED</t>
  </si>
  <si>
    <t>Larbert Road</t>
  </si>
  <si>
    <t>Wheatlands Nursing Home</t>
  </si>
  <si>
    <t>brcel_presidente@yahoo.co.uk</t>
  </si>
  <si>
    <t>SL1 9AW</t>
  </si>
  <si>
    <t>Cippenham</t>
  </si>
  <si>
    <t>14 Raleigh Close</t>
  </si>
  <si>
    <t>Devine</t>
  </si>
  <si>
    <t>help@adeydent.com</t>
  </si>
  <si>
    <t>Team Othen Aveas</t>
  </si>
  <si>
    <t>DL10 5AS</t>
  </si>
  <si>
    <t>46 Beechfield Road</t>
  </si>
  <si>
    <t>Dent</t>
  </si>
  <si>
    <t>SN4 0SE</t>
  </si>
  <si>
    <t>Wroughton</t>
  </si>
  <si>
    <t>Willow Walk</t>
  </si>
  <si>
    <t>Harry Garrett Court</t>
  </si>
  <si>
    <t>carla.dennis@sky.com</t>
  </si>
  <si>
    <t xml:space="preserve">East Grinstead CC </t>
  </si>
  <si>
    <t>RH10 6NQ</t>
  </si>
  <si>
    <t>Furnace Green</t>
  </si>
  <si>
    <t>15 Sherwood Walk</t>
  </si>
  <si>
    <t>adydench@aol.com</t>
  </si>
  <si>
    <t>Team Sheffield</t>
  </si>
  <si>
    <t>S118JD</t>
  </si>
  <si>
    <t>214A Ecclesall Road</t>
  </si>
  <si>
    <t>Dench</t>
  </si>
  <si>
    <t>Ady</t>
  </si>
  <si>
    <t>chirpy-d@hotmail.co.uk</t>
  </si>
  <si>
    <t>Northumbria Police C.C.</t>
  </si>
  <si>
    <t>NE3 5RD</t>
  </si>
  <si>
    <t>GOSFORTH</t>
  </si>
  <si>
    <t>169 WARKWORTH WOODS</t>
  </si>
  <si>
    <t>Delaney</t>
  </si>
  <si>
    <t>Derwent19@proton.me</t>
  </si>
  <si>
    <t>Velo Club Cumbria</t>
  </si>
  <si>
    <t>CA14 1SW</t>
  </si>
  <si>
    <t>13 Stainburn Road</t>
  </si>
  <si>
    <t>Inglewood</t>
  </si>
  <si>
    <t>Degraff</t>
  </si>
  <si>
    <t>mikedebney@googlemail.com</t>
  </si>
  <si>
    <t>Verulam-reallymoving.com</t>
  </si>
  <si>
    <t>AL6 9GR</t>
  </si>
  <si>
    <t>Welwyn</t>
  </si>
  <si>
    <t>Pottersheath Road</t>
  </si>
  <si>
    <t>6 The Stables</t>
  </si>
  <si>
    <t>Debney</t>
  </si>
  <si>
    <t>CM11 1BG</t>
  </si>
  <si>
    <t>33, Norsey Road</t>
  </si>
  <si>
    <t>De Cruz</t>
  </si>
  <si>
    <t>janineday135@gmail.com</t>
  </si>
  <si>
    <t>Crewe Clarion Wheeler</t>
  </si>
  <si>
    <t>ST13 7LZ</t>
  </si>
  <si>
    <t xml:space="preserve">Leek </t>
  </si>
  <si>
    <t xml:space="preserve">Bradnop </t>
  </si>
  <si>
    <t xml:space="preserve">Sunny View </t>
  </si>
  <si>
    <t xml:space="preserve">Janine </t>
  </si>
  <si>
    <t>stuartday857@aol.com</t>
  </si>
  <si>
    <t>matthewrday@btinternet.com</t>
  </si>
  <si>
    <t>Addiscombe</t>
  </si>
  <si>
    <t>RH2 9DW</t>
  </si>
  <si>
    <t>17 Evesham Road North</t>
  </si>
  <si>
    <t>s.j.bike@outlook.com</t>
  </si>
  <si>
    <t>CB6 1DT</t>
  </si>
  <si>
    <t>12 John Amner Close</t>
  </si>
  <si>
    <t>sprockets@hotmail.co.uk</t>
  </si>
  <si>
    <t>NR20 3NU</t>
  </si>
  <si>
    <t>Mattishall</t>
  </si>
  <si>
    <t>82 Dereham Road</t>
  </si>
  <si>
    <t>barringtonday@talktalk.net</t>
  </si>
  <si>
    <t>PO15 5BQ</t>
  </si>
  <si>
    <t>227 Highlands Road</t>
  </si>
  <si>
    <t>john.dawson69@ntlworld.com</t>
  </si>
  <si>
    <t>SK8 3EY</t>
  </si>
  <si>
    <t>Heald Green</t>
  </si>
  <si>
    <t>105 Crantock Drive</t>
  </si>
  <si>
    <t>paul.ap.dawson@gmail.com</t>
  </si>
  <si>
    <t>VTTA (North Group)</t>
  </si>
  <si>
    <t>TS5 8LY</t>
  </si>
  <si>
    <t>Acklam</t>
  </si>
  <si>
    <t>45 Yearby Close</t>
  </si>
  <si>
    <t>richard@davison.scot</t>
  </si>
  <si>
    <t>KY12 0XZ</t>
  </si>
  <si>
    <t>49 Craigston Park</t>
  </si>
  <si>
    <t>marjorie.boissinot@gmail.com</t>
  </si>
  <si>
    <t>WF14 0AP</t>
  </si>
  <si>
    <t>7B, Greenside Road</t>
  </si>
  <si>
    <t>Marjorie</t>
  </si>
  <si>
    <t>cjd.justride@tiscali.co.uk</t>
  </si>
  <si>
    <t>Giant CC  Halo Films</t>
  </si>
  <si>
    <t>BS16 1LR</t>
  </si>
  <si>
    <t>Frenchay Hill</t>
  </si>
  <si>
    <t>Flock Mil</t>
  </si>
  <si>
    <t>Weirside</t>
  </si>
  <si>
    <t>brett.davis44@gmail.com</t>
  </si>
  <si>
    <t>TN21 0TA</t>
  </si>
  <si>
    <t>Cross-in-Hand</t>
  </si>
  <si>
    <t xml:space="preserve">Pumpsfield </t>
  </si>
  <si>
    <t>Lisa.j.davis3@gmail.com</t>
  </si>
  <si>
    <t>dennisdavis@fastmail.fm</t>
  </si>
  <si>
    <t>BA2 5DA</t>
  </si>
  <si>
    <t>182 Bradford Road</t>
  </si>
  <si>
    <t>mikedavismr@gmail.com</t>
  </si>
  <si>
    <t>LE12 9NB</t>
  </si>
  <si>
    <t>38 Penrith Avenue</t>
  </si>
  <si>
    <t>simodavis@gmail.com</t>
  </si>
  <si>
    <t>DY11 6RB</t>
  </si>
  <si>
    <t>62 Hume Street</t>
  </si>
  <si>
    <t>emmadavies1968@outlook.com</t>
  </si>
  <si>
    <t xml:space="preserve">Port talbot wheelers </t>
  </si>
  <si>
    <t>CF36 3DP</t>
  </si>
  <si>
    <t xml:space="preserve">Mid Glamorgan </t>
  </si>
  <si>
    <t xml:space="preserve">36 Philadelphia road </t>
  </si>
  <si>
    <t xml:space="preserve">Emma </t>
  </si>
  <si>
    <t>brynpdavies@live.co.uk</t>
  </si>
  <si>
    <t xml:space="preserve">SY39FL </t>
  </si>
  <si>
    <t>19 Drapers Rise</t>
  </si>
  <si>
    <t>haydngd1954@gmail.com</t>
  </si>
  <si>
    <t>Giant CC / Halo Films</t>
  </si>
  <si>
    <t>BS8 3PL</t>
  </si>
  <si>
    <t>Leigh Woods</t>
  </si>
  <si>
    <t>The Lodge House</t>
  </si>
  <si>
    <t>Haydn</t>
  </si>
  <si>
    <t>eledog93@gmail.com</t>
  </si>
  <si>
    <t>M41 9GL</t>
  </si>
  <si>
    <t>2A Carlton Road</t>
  </si>
  <si>
    <t>steve.davies2k@gmail.com</t>
  </si>
  <si>
    <t>Ferryhill Whs C C</t>
  </si>
  <si>
    <t>DL1 3PL</t>
  </si>
  <si>
    <t>14 Egton Way</t>
  </si>
  <si>
    <t>gareth.cramlington@gmail.com</t>
  </si>
  <si>
    <t>NE24 2ED</t>
  </si>
  <si>
    <t>25 Union Street</t>
  </si>
  <si>
    <t>Ty Mon</t>
  </si>
  <si>
    <t>davies</t>
  </si>
  <si>
    <t>gareth</t>
  </si>
  <si>
    <t>hugh45@sky.com</t>
  </si>
  <si>
    <t>CF32 0HW</t>
  </si>
  <si>
    <t>Laleston</t>
  </si>
  <si>
    <t>11 Heol Trelales</t>
  </si>
  <si>
    <t>HUGH</t>
  </si>
  <si>
    <t>briandavies@btinternet.com</t>
  </si>
  <si>
    <t>Velo Club Baracchi.</t>
  </si>
  <si>
    <t>NR32 4PQ</t>
  </si>
  <si>
    <t>1 Links Court Links Road</t>
  </si>
  <si>
    <t>steve.bikingman@gmail.com</t>
  </si>
  <si>
    <t>GU15 1QU</t>
  </si>
  <si>
    <t>9 Buttermere Drive</t>
  </si>
  <si>
    <t>timdavies100@hotmail.com</t>
  </si>
  <si>
    <t>MK45 1AE</t>
  </si>
  <si>
    <t>40 Church Road</t>
  </si>
  <si>
    <t>johngill.davidson@googlemail.com</t>
  </si>
  <si>
    <t>DH2 1QH</t>
  </si>
  <si>
    <t>CO DURHAM</t>
  </si>
  <si>
    <t>PELTON</t>
  </si>
  <si>
    <t>166 THORNTONS CLOSE</t>
  </si>
  <si>
    <t>mylesdavidson@me.com</t>
  </si>
  <si>
    <t>BigfootCC</t>
  </si>
  <si>
    <t>br1 2ap</t>
  </si>
  <si>
    <t>Woodlands Road</t>
  </si>
  <si>
    <t>Halcyon Heights</t>
  </si>
  <si>
    <t>Myles</t>
  </si>
  <si>
    <t>PH12 8SF</t>
  </si>
  <si>
    <t>Meigle</t>
  </si>
  <si>
    <t>Dundee Road</t>
  </si>
  <si>
    <t>Kirkhill</t>
  </si>
  <si>
    <t xml:space="preserve">Fiona </t>
  </si>
  <si>
    <t>giantrob1970@gmail.com</t>
  </si>
  <si>
    <t>DN18 6AX</t>
  </si>
  <si>
    <t>Barton Upon Humber</t>
  </si>
  <si>
    <t>16 Park View</t>
  </si>
  <si>
    <t>Danson</t>
  </si>
  <si>
    <t>Gareth.daniels@hotmail.com</t>
  </si>
  <si>
    <t xml:space="preserve">Gu46 6ne </t>
  </si>
  <si>
    <t xml:space="preserve">Yateley </t>
  </si>
  <si>
    <t xml:space="preserve">2 Byways </t>
  </si>
  <si>
    <t>Team Quinta</t>
  </si>
  <si>
    <t>AL8 6JX</t>
  </si>
  <si>
    <t>33 Barleycroft Road</t>
  </si>
  <si>
    <t>LM - Individual Membership - London &amp; Home Counties</t>
  </si>
  <si>
    <t>Daniell</t>
  </si>
  <si>
    <t>greg_dancer@yahoo.co.uk</t>
  </si>
  <si>
    <t>ian.damant@googlemail.com</t>
  </si>
  <si>
    <t>SS12 9BY</t>
  </si>
  <si>
    <t>Wickford</t>
  </si>
  <si>
    <t>2 Larkswood Walk</t>
  </si>
  <si>
    <t>Damant</t>
  </si>
  <si>
    <t>Collin</t>
  </si>
  <si>
    <t>Pmdaly@hotmail.co.uk</t>
  </si>
  <si>
    <t>TS285PN</t>
  </si>
  <si>
    <t>Wingate</t>
  </si>
  <si>
    <t>1 Roxby Wynd</t>
  </si>
  <si>
    <t>david.dallimore@sky.com</t>
  </si>
  <si>
    <t>BN3 7QL</t>
  </si>
  <si>
    <t>14 Nevill Way</t>
  </si>
  <si>
    <t>Dallimore</t>
  </si>
  <si>
    <t>Marc.daigneault@gmail.com</t>
  </si>
  <si>
    <t>S11 7EE</t>
  </si>
  <si>
    <t>21 Cruise Road</t>
  </si>
  <si>
    <t>Daigneault</t>
  </si>
  <si>
    <t>charlotte.dadd@gmail.com</t>
  </si>
  <si>
    <t xml:space="preserve">Melton Olympic </t>
  </si>
  <si>
    <t>LE15 8sa</t>
  </si>
  <si>
    <t>Wing</t>
  </si>
  <si>
    <t>25 Morcott Road</t>
  </si>
  <si>
    <t>Dadd</t>
  </si>
  <si>
    <t>S63 7PD</t>
  </si>
  <si>
    <t>24 Willow Road</t>
  </si>
  <si>
    <t>Jameszcusick@gmail.com</t>
  </si>
  <si>
    <t>G78 4AB</t>
  </si>
  <si>
    <t>Uplawmoor</t>
  </si>
  <si>
    <t>21 Neilston Road</t>
  </si>
  <si>
    <t>Cusick</t>
  </si>
  <si>
    <t>john.curtin@ntlworld.com</t>
  </si>
  <si>
    <t>SG63QD</t>
  </si>
  <si>
    <t>Letchworth</t>
  </si>
  <si>
    <t>20 Highfield</t>
  </si>
  <si>
    <t>Curtin</t>
  </si>
  <si>
    <t>stevejcurry@yahoo.co.uk</t>
  </si>
  <si>
    <t>CF71 7QW</t>
  </si>
  <si>
    <t>Wick</t>
  </si>
  <si>
    <t>63 St James Road</t>
  </si>
  <si>
    <t>Curry</t>
  </si>
  <si>
    <t>cdcurrie83@gmail.com</t>
  </si>
  <si>
    <t>CB7 4JF</t>
  </si>
  <si>
    <t>10 Silver Street</t>
  </si>
  <si>
    <t>fatsheep99@hotmail.com</t>
  </si>
  <si>
    <t>Velotik Race Team</t>
  </si>
  <si>
    <t xml:space="preserve">LL16 4LR </t>
  </si>
  <si>
    <t xml:space="preserve">Denbigh </t>
  </si>
  <si>
    <t xml:space="preserve">Llandyrnog </t>
  </si>
  <si>
    <t xml:space="preserve">Bryn Teg Ucha </t>
  </si>
  <si>
    <t xml:space="preserve">Cunliffe </t>
  </si>
  <si>
    <t xml:space="preserve">Sally </t>
  </si>
  <si>
    <t>thomascummings@email.com</t>
  </si>
  <si>
    <t>Fife Century C.C.</t>
  </si>
  <si>
    <t>KY15 4DU</t>
  </si>
  <si>
    <t>CUPAR</t>
  </si>
  <si>
    <t>North Union Street</t>
  </si>
  <si>
    <t>St Margarets</t>
  </si>
  <si>
    <t>nkcroxford@gmail.com</t>
  </si>
  <si>
    <t>TN26 3QD</t>
  </si>
  <si>
    <t>Woodchurch</t>
  </si>
  <si>
    <t>15 Rectory Close</t>
  </si>
  <si>
    <t>Croxford</t>
  </si>
  <si>
    <t xml:space="preserve">Keith </t>
  </si>
  <si>
    <t>crossleyruth62@gmail.com</t>
  </si>
  <si>
    <t>DL6 3HA</t>
  </si>
  <si>
    <t>Potto</t>
  </si>
  <si>
    <t>66 Cooper Lane</t>
  </si>
  <si>
    <t>"Merle Cottage"</t>
  </si>
  <si>
    <t xml:space="preserve">Subscription to The Veteran Subscription to The Veteran </t>
  </si>
  <si>
    <t>PR2 9TY</t>
  </si>
  <si>
    <t>50 Janice Drive</t>
  </si>
  <si>
    <t>SL4 4JU</t>
  </si>
  <si>
    <t>Roses Lane</t>
  </si>
  <si>
    <t>Thursley</t>
  </si>
  <si>
    <t>petanita78@gmail.com</t>
  </si>
  <si>
    <t xml:space="preserve">Southborough and District Wheelers </t>
  </si>
  <si>
    <t>SY3 6BL</t>
  </si>
  <si>
    <t>30 Henlow Rise</t>
  </si>
  <si>
    <t>Crofts</t>
  </si>
  <si>
    <t>davidcrocker@talktalk.net</t>
  </si>
  <si>
    <t>SO51 5PW</t>
  </si>
  <si>
    <t>Romsey</t>
  </si>
  <si>
    <t>5 Meon Close</t>
  </si>
  <si>
    <t>Crocker</t>
  </si>
  <si>
    <t>andycritchlow@me.com</t>
  </si>
  <si>
    <t>Ohten Aveas</t>
  </si>
  <si>
    <t>RH2 8AN</t>
  </si>
  <si>
    <t>Cockshot Hill</t>
  </si>
  <si>
    <t>Critchlow</t>
  </si>
  <si>
    <t>acritcher101@gmail.com</t>
  </si>
  <si>
    <t>Team wheelguru</t>
  </si>
  <si>
    <t>sk13 1au</t>
  </si>
  <si>
    <t>hadfield</t>
  </si>
  <si>
    <t xml:space="preserve">26 kiln lane </t>
  </si>
  <si>
    <t>Critcher</t>
  </si>
  <si>
    <t>david.creese@talktalk.net</t>
  </si>
  <si>
    <t>Chronos RT</t>
  </si>
  <si>
    <t>SG17 5GB</t>
  </si>
  <si>
    <t>Meppershall</t>
  </si>
  <si>
    <t>38 Coneygate</t>
  </si>
  <si>
    <t>Creese</t>
  </si>
  <si>
    <t>Kevin.Creese@ntlworld.com</t>
  </si>
  <si>
    <t>SG4 9LP</t>
  </si>
  <si>
    <t>13 Whitegale Close</t>
  </si>
  <si>
    <t xml:space="preserve">Creese </t>
  </si>
  <si>
    <t xml:space="preserve">Kevin </t>
  </si>
  <si>
    <t>alancranecram5i@gmail.com</t>
  </si>
  <si>
    <t>MK41 7HX</t>
  </si>
  <si>
    <t>39 Curlew Crescent</t>
  </si>
  <si>
    <t>Crane</t>
  </si>
  <si>
    <t>craigmcfeely@btinternet.com</t>
  </si>
  <si>
    <t>GU33 7QA</t>
  </si>
  <si>
    <t>Hillbrow Road</t>
  </si>
  <si>
    <t>Tintern</t>
  </si>
  <si>
    <t>Craig-McFeely</t>
  </si>
  <si>
    <t>debbiebiscuit@yahoo.co.uk</t>
  </si>
  <si>
    <t>Shaftesbury cycling club</t>
  </si>
  <si>
    <t>CM13 2JA</t>
  </si>
  <si>
    <t>78a Victors crescent</t>
  </si>
  <si>
    <t>The Oaks</t>
  </si>
  <si>
    <t>Coyle</t>
  </si>
  <si>
    <t>Gean</t>
  </si>
  <si>
    <t>criscoxon@gmail.com</t>
  </si>
  <si>
    <t>BN443SH</t>
  </si>
  <si>
    <t>11 Mimmack close</t>
  </si>
  <si>
    <t>Coxon</t>
  </si>
  <si>
    <t>Cris</t>
  </si>
  <si>
    <t>rory.coxhill@gmail.com</t>
  </si>
  <si>
    <t>CO10 9AN</t>
  </si>
  <si>
    <t>Stanstead</t>
  </si>
  <si>
    <t>9 Alston Crescent</t>
  </si>
  <si>
    <t>Coxhill</t>
  </si>
  <si>
    <t>malcolm.cox1@icloud.com</t>
  </si>
  <si>
    <t>SO300PY</t>
  </si>
  <si>
    <t>5 Whitebeam Road</t>
  </si>
  <si>
    <t>michael45cox@gmail.com</t>
  </si>
  <si>
    <t>PR3 3YN</t>
  </si>
  <si>
    <t>Ribchester</t>
  </si>
  <si>
    <t>Stoneygate Lane</t>
  </si>
  <si>
    <t>iancox1969@gmail.com</t>
  </si>
  <si>
    <t>Fogartys Insurance Tri Team</t>
  </si>
  <si>
    <t>BB3 1JN</t>
  </si>
  <si>
    <t>Darwen</t>
  </si>
  <si>
    <t>37 sunnyhurst lane</t>
  </si>
  <si>
    <t>tom_rosemary@hotmail.co.uk</t>
  </si>
  <si>
    <t>Saint Piran</t>
  </si>
  <si>
    <t>TA1 4NE</t>
  </si>
  <si>
    <t>4 Hine Road</t>
  </si>
  <si>
    <t>cowleyharry@gmail.com</t>
  </si>
  <si>
    <t>CH3 5PA</t>
  </si>
  <si>
    <t>1 Richmond Crescent</t>
  </si>
  <si>
    <t>Hadyn</t>
  </si>
  <si>
    <t>m.cowgill35@btinternet.com</t>
  </si>
  <si>
    <t>LS14 3JR</t>
  </si>
  <si>
    <t>Scarcroft</t>
  </si>
  <si>
    <t>Thorner Lane</t>
  </si>
  <si>
    <t>4 Marlborough Court</t>
  </si>
  <si>
    <t>Cowgill</t>
  </si>
  <si>
    <t>cowdeni54.ic@gmail.com</t>
  </si>
  <si>
    <t>G43 2TX</t>
  </si>
  <si>
    <t>Newlands</t>
  </si>
  <si>
    <t>46 Briar Road</t>
  </si>
  <si>
    <t>cycling@spencerbaby.co.uk</t>
  </si>
  <si>
    <t>QN Racing</t>
  </si>
  <si>
    <t>MK16 0AY</t>
  </si>
  <si>
    <t>Newport Pagnell</t>
  </si>
  <si>
    <t>24 Whitethorns</t>
  </si>
  <si>
    <t xml:space="preserve">Stephanie </t>
  </si>
  <si>
    <t>rwcoupe@yahoo.co.uk</t>
  </si>
  <si>
    <t>Apache Brave Racing</t>
  </si>
  <si>
    <t>CV3 2FF</t>
  </si>
  <si>
    <t>Binley</t>
  </si>
  <si>
    <t>20 Tysoe Croft</t>
  </si>
  <si>
    <t>Coupe</t>
  </si>
  <si>
    <t>William Marshall</t>
  </si>
  <si>
    <t>mjcoulter@solest.plus.com</t>
  </si>
  <si>
    <t>DA12 3AT</t>
  </si>
  <si>
    <t>Sole Street</t>
  </si>
  <si>
    <t>21 Greenlands</t>
  </si>
  <si>
    <t>Coulter</t>
  </si>
  <si>
    <t>S25 4GB</t>
  </si>
  <si>
    <t>North Anston</t>
  </si>
  <si>
    <t>4 Coniston Close</t>
  </si>
  <si>
    <t>Coulson</t>
  </si>
  <si>
    <t>S8 7RX</t>
  </si>
  <si>
    <t>115 Meadow Head Avenue</t>
  </si>
  <si>
    <t>andrew.coulbeck@btopenworld.com</t>
  </si>
  <si>
    <t>DN14 7TX</t>
  </si>
  <si>
    <t>13 Springfield</t>
  </si>
  <si>
    <t>coulbeck</t>
  </si>
  <si>
    <t>andrew</t>
  </si>
  <si>
    <t>Poole Whs</t>
  </si>
  <si>
    <t>DT11 0SQ</t>
  </si>
  <si>
    <t>BLANDFORD FORUM</t>
  </si>
  <si>
    <t>Shillingstone</t>
  </si>
  <si>
    <t>Blandford Road</t>
  </si>
  <si>
    <t>Burtswater Cottage</t>
  </si>
  <si>
    <t>Cotty</t>
  </si>
  <si>
    <t>robertcotton2006@yahoo.co.uk</t>
  </si>
  <si>
    <t>Droitwich CC</t>
  </si>
  <si>
    <t>WR7 4LD</t>
  </si>
  <si>
    <t>Dormston</t>
  </si>
  <si>
    <t>Cockshot Lane</t>
  </si>
  <si>
    <t>9 The Bourne</t>
  </si>
  <si>
    <t>Cotton</t>
  </si>
  <si>
    <t>peter.cot1962@gmail.com</t>
  </si>
  <si>
    <t>TW11 0PS</t>
  </si>
  <si>
    <t>6 Connaught Road</t>
  </si>
  <si>
    <t>Cottington</t>
  </si>
  <si>
    <t>steven@ovenrescue.co.uk</t>
  </si>
  <si>
    <t>SN13 9 AF</t>
  </si>
  <si>
    <t>30 Prospect</t>
  </si>
  <si>
    <t>mike.cotgreave@gmail.com</t>
  </si>
  <si>
    <t>SK7 3NL</t>
  </si>
  <si>
    <t>8,Longham Close</t>
  </si>
  <si>
    <t>Cotgreave</t>
  </si>
  <si>
    <t>MIke</t>
  </si>
  <si>
    <t>mjpcostello@outlook.com</t>
  </si>
  <si>
    <t>LE13 0GQ</t>
  </si>
  <si>
    <t>4 Shrew Close</t>
  </si>
  <si>
    <t>joeandkathcostello@hotmail.com</t>
  </si>
  <si>
    <t>WS11 1HD</t>
  </si>
  <si>
    <t>29 Dartmouth Road</t>
  </si>
  <si>
    <t xml:space="preserve">Costello </t>
  </si>
  <si>
    <t xml:space="preserve">Joseph </t>
  </si>
  <si>
    <t>tt@bluefrontdoor.com</t>
  </si>
  <si>
    <t>SE11 4JJ</t>
  </si>
  <si>
    <t>89 Kennington Park Road</t>
  </si>
  <si>
    <t>Cosgrove</t>
  </si>
  <si>
    <t>robert.corry@hotmail.co.uk</t>
  </si>
  <si>
    <t>PO15 7ED</t>
  </si>
  <si>
    <t>Whiteley</t>
  </si>
  <si>
    <t>10 Ibsen Close</t>
  </si>
  <si>
    <t>Corry</t>
  </si>
  <si>
    <t>ian.corrin@sky.com</t>
  </si>
  <si>
    <t>CH63 7LJ</t>
  </si>
  <si>
    <t>1 Rocklands Avenue</t>
  </si>
  <si>
    <t>Corrin</t>
  </si>
  <si>
    <t>kcorpes@hotmail.com</t>
  </si>
  <si>
    <t>GU7 2LJ</t>
  </si>
  <si>
    <t>123 Aarons Hill</t>
  </si>
  <si>
    <t>Corpez</t>
  </si>
  <si>
    <t>steve@stevecornish.net</t>
  </si>
  <si>
    <t>St Ives Cycling Club</t>
  </si>
  <si>
    <t>PE28 5AN</t>
  </si>
  <si>
    <t>Buckworth</t>
  </si>
  <si>
    <t>Barham Road</t>
  </si>
  <si>
    <t>2 New Cottages</t>
  </si>
  <si>
    <t>Cornish</t>
  </si>
  <si>
    <t>scragcorbett@gmail.com</t>
  </si>
  <si>
    <t>NG22 8FT</t>
  </si>
  <si>
    <t>Farnsfield</t>
  </si>
  <si>
    <t>18 Pasture Way</t>
  </si>
  <si>
    <t>kcorbett12@icloud.com</t>
  </si>
  <si>
    <t>S71 2ND</t>
  </si>
  <si>
    <t>Monk Bretton</t>
  </si>
  <si>
    <t>24 Cornwall Close</t>
  </si>
  <si>
    <t>mary.corbett7@btinternet.com</t>
  </si>
  <si>
    <t>SO43 7EL</t>
  </si>
  <si>
    <t>28 The Meadows</t>
  </si>
  <si>
    <t xml:space="preserve">Standards: Tandem Trike: unlimited attempts at any distance </t>
  </si>
  <si>
    <t>westmilljerry@gmail.com</t>
  </si>
  <si>
    <t>Wightlink-Wight Mountain</t>
  </si>
  <si>
    <t>PO368HS</t>
  </si>
  <si>
    <t xml:space="preserve">St Johnâ€™s Road </t>
  </si>
  <si>
    <t>45b</t>
  </si>
  <si>
    <t>Jerry</t>
  </si>
  <si>
    <t>peterjamescookson@icloud.com</t>
  </si>
  <si>
    <t>HA8 8YP</t>
  </si>
  <si>
    <t>98 Fairmead Crescent</t>
  </si>
  <si>
    <t>Cookson</t>
  </si>
  <si>
    <t>alan.cooke64@gmail.com</t>
  </si>
  <si>
    <t>S40 4UN</t>
  </si>
  <si>
    <t>Holme Hall Farm</t>
  </si>
  <si>
    <t>14 Weston Close</t>
  </si>
  <si>
    <t>stevecooke5@hotmail.co.uk</t>
  </si>
  <si>
    <t>WS11 1DY</t>
  </si>
  <si>
    <t>79 Allport Road</t>
  </si>
  <si>
    <t>russ.cook386@gmail.com</t>
  </si>
  <si>
    <t>TN62DR</t>
  </si>
  <si>
    <t>crowborough</t>
  </si>
  <si>
    <t>rochester way</t>
  </si>
  <si>
    <t>Paehdum</t>
  </si>
  <si>
    <t>mattcook674@gmail.com</t>
  </si>
  <si>
    <t>MK41 7NP</t>
  </si>
  <si>
    <t>Brickhill</t>
  </si>
  <si>
    <t>11 Morland Way</t>
  </si>
  <si>
    <t>info@andycookcycling.com</t>
  </si>
  <si>
    <t>SN14 0LJ</t>
  </si>
  <si>
    <t>13 Lords Mead</t>
  </si>
  <si>
    <t>andy@andycookcycling.com</t>
  </si>
  <si>
    <t>jamesconlan1@aol.com</t>
  </si>
  <si>
    <t>BN3 6UA</t>
  </si>
  <si>
    <t>43A, Shirley Drive</t>
  </si>
  <si>
    <t>Conlan</t>
  </si>
  <si>
    <t>patrickjcompton@yahoo.co.uk</t>
  </si>
  <si>
    <t>CM201SJ</t>
  </si>
  <si>
    <t>131 Foldcroft</t>
  </si>
  <si>
    <t>compton</t>
  </si>
  <si>
    <t>FK4 2BB</t>
  </si>
  <si>
    <t>BONNYBRIDGE</t>
  </si>
  <si>
    <t>High Bonnybridge</t>
  </si>
  <si>
    <t>38 Reilly Gardens</t>
  </si>
  <si>
    <t>Colvan</t>
  </si>
  <si>
    <t>pcolman1960@gmail.com</t>
  </si>
  <si>
    <t>SA72 6SG</t>
  </si>
  <si>
    <t>PEMBROKESHIRE</t>
  </si>
  <si>
    <t>Pembroke Dock</t>
  </si>
  <si>
    <t>Pennar</t>
  </si>
  <si>
    <t>80 Military Road</t>
  </si>
  <si>
    <t>colman</t>
  </si>
  <si>
    <t>murray</t>
  </si>
  <si>
    <t>dougan1@aol.com</t>
  </si>
  <si>
    <t>DL14 0SH</t>
  </si>
  <si>
    <t>51 Middlehope Grove</t>
  </si>
  <si>
    <t>Dougan</t>
  </si>
  <si>
    <t>dcb@a3crg.co.uk</t>
  </si>
  <si>
    <t>GU27  3EN</t>
  </si>
  <si>
    <t>59 Midhurst Road</t>
  </si>
  <si>
    <t>Collard-Berry</t>
  </si>
  <si>
    <t>wendycole60@gmail.com</t>
  </si>
  <si>
    <t>HD4 5XA</t>
  </si>
  <si>
    <t>Cowlersley</t>
  </si>
  <si>
    <t>5 Ladybower Avenue</t>
  </si>
  <si>
    <t>margaret.colburn20@outlook.com</t>
  </si>
  <si>
    <t>WR6 6PE</t>
  </si>
  <si>
    <t>Jury Lane</t>
  </si>
  <si>
    <t>The Willows</t>
  </si>
  <si>
    <t>Colburn</t>
  </si>
  <si>
    <t>alancolburn@btinternet.com</t>
  </si>
  <si>
    <t>Nick18.coe@gmail.com</t>
  </si>
  <si>
    <t>Verulam</t>
  </si>
  <si>
    <t>WD5 0AZ</t>
  </si>
  <si>
    <t>Abbots Langley</t>
  </si>
  <si>
    <t>18a Abbots Road</t>
  </si>
  <si>
    <t>waynecoates8@gmail.com</t>
  </si>
  <si>
    <t>NE11 9TT</t>
  </si>
  <si>
    <t>12 Festival Park Drive</t>
  </si>
  <si>
    <t>Coates</t>
  </si>
  <si>
    <t>neilcleminshaw@hotmail.com</t>
  </si>
  <si>
    <t>HU10 7PF</t>
  </si>
  <si>
    <t>8 The Paddocks</t>
  </si>
  <si>
    <t>Cleminshaw</t>
  </si>
  <si>
    <t>nigelnjc@hotmail.co.uk</t>
  </si>
  <si>
    <t xml:space="preserve">Wigan wheelers </t>
  </si>
  <si>
    <t xml:space="preserve">80 Shevington Moor </t>
  </si>
  <si>
    <t>robertclements55@gmail.com</t>
  </si>
  <si>
    <t>G71 7AJ</t>
  </si>
  <si>
    <t>Uddingston</t>
  </si>
  <si>
    <t>18 Holmwood Avenue</t>
  </si>
  <si>
    <t>jencycle@outlook.com</t>
  </si>
  <si>
    <t>LE2 1TE</t>
  </si>
  <si>
    <t>Not Known</t>
  </si>
  <si>
    <t>29 East Avenue</t>
  </si>
  <si>
    <t>Clegg</t>
  </si>
  <si>
    <t>davidcl1964@gmail.com</t>
  </si>
  <si>
    <t>Macclesfield Whs</t>
  </si>
  <si>
    <t>SK11 7YJ</t>
  </si>
  <si>
    <t>117 Thirlmere</t>
  </si>
  <si>
    <t>VC Elan - Harry Perry Cycles</t>
  </si>
  <si>
    <t>DA17 6DJ</t>
  </si>
  <si>
    <t>9 Parkside Road</t>
  </si>
  <si>
    <t>Claxton</t>
  </si>
  <si>
    <t>S8 7RB</t>
  </si>
  <si>
    <t>53 Greenhill Main Road</t>
  </si>
  <si>
    <t>agcmerdeka@yahoo.co.uk</t>
  </si>
  <si>
    <t>SY4 2DS</t>
  </si>
  <si>
    <t>SHREWSBURY</t>
  </si>
  <si>
    <t>Baschurch</t>
  </si>
  <si>
    <t>Middlemarch, 3 Prescott Meadows</t>
  </si>
  <si>
    <t>Clarke.keith@talktalk.net</t>
  </si>
  <si>
    <t>CO3 3BE</t>
  </si>
  <si>
    <t>242, Maldon Road</t>
  </si>
  <si>
    <t>douglastclark@hotmail.com</t>
  </si>
  <si>
    <t>PA91BN</t>
  </si>
  <si>
    <t xml:space="preserve">Renfrewshire </t>
  </si>
  <si>
    <t>Howwood</t>
  </si>
  <si>
    <t>17 Beith Road</t>
  </si>
  <si>
    <t>steve.clark365@googlemail.com</t>
  </si>
  <si>
    <t>Ng25 0ht</t>
  </si>
  <si>
    <t>22 Farthingate</t>
  </si>
  <si>
    <t>stephenclark25@btinternet.com</t>
  </si>
  <si>
    <t>BA14 7RF</t>
  </si>
  <si>
    <t>Hilperton</t>
  </si>
  <si>
    <t>18 Castley Road</t>
  </si>
  <si>
    <t>anne.interface@btinternet.com</t>
  </si>
  <si>
    <t xml:space="preserve">18 Castley Road </t>
  </si>
  <si>
    <t>glenclarkshop@gmail.com</t>
  </si>
  <si>
    <t>Ely &amp; District Cycling Club</t>
  </si>
  <si>
    <t>CB24 9PL</t>
  </si>
  <si>
    <t>Impington</t>
  </si>
  <si>
    <t>3 College Road</t>
  </si>
  <si>
    <t>daveron@wishhill.co.uk</t>
  </si>
  <si>
    <t>BN20 9HA</t>
  </si>
  <si>
    <t>70 Wish Hill</t>
  </si>
  <si>
    <t>cliftonclark@dsl.pipex.com</t>
  </si>
  <si>
    <t>PA11 3EG</t>
  </si>
  <si>
    <t xml:space="preserve">BRIDGE of WEIR </t>
  </si>
  <si>
    <t>3 Kilbarchan Road</t>
  </si>
  <si>
    <t>Clifton</t>
  </si>
  <si>
    <t>mail@pclaridge.com</t>
  </si>
  <si>
    <t xml:space="preserve">Chelmer CC </t>
  </si>
  <si>
    <t>CM5 9QD</t>
  </si>
  <si>
    <t>Stanford Rivers</t>
  </si>
  <si>
    <t>Traceys Farm</t>
  </si>
  <si>
    <t>Claridge</t>
  </si>
  <si>
    <t>joval@talktalk.net</t>
  </si>
  <si>
    <t>BD16 3HE</t>
  </si>
  <si>
    <t>Eldwick</t>
  </si>
  <si>
    <t>8 Lyndale Road</t>
  </si>
  <si>
    <t>Churchman</t>
  </si>
  <si>
    <t>katetheplumber@gmail.com</t>
  </si>
  <si>
    <t>NR33 7DN</t>
  </si>
  <si>
    <t>1 Ship Road</t>
  </si>
  <si>
    <t>Churchill</t>
  </si>
  <si>
    <t>gavin.church@btinternet.com</t>
  </si>
  <si>
    <t>Vanelli Project-Go</t>
  </si>
  <si>
    <t>DG9 8EP</t>
  </si>
  <si>
    <t xml:space="preserve">Stranraer </t>
  </si>
  <si>
    <t>47 London Road</t>
  </si>
  <si>
    <t>lizmik@btinternet.com</t>
  </si>
  <si>
    <t>NN6 9RW</t>
  </si>
  <si>
    <t>Walgrave</t>
  </si>
  <si>
    <t>9 Amber Drive</t>
  </si>
  <si>
    <t>HA5 1BJ</t>
  </si>
  <si>
    <t>14 West End Avenue</t>
  </si>
  <si>
    <t>Christie</t>
  </si>
  <si>
    <t>alanchorley99@gmail.com</t>
  </si>
  <si>
    <t>WA4 5JH</t>
  </si>
  <si>
    <t>65 Lyons Lane</t>
  </si>
  <si>
    <t>garychiverton@gmail.com</t>
  </si>
  <si>
    <t>SP6 3EB</t>
  </si>
  <si>
    <t>Crendell</t>
  </si>
  <si>
    <t>Old pond  farm</t>
  </si>
  <si>
    <t>Chiverton</t>
  </si>
  <si>
    <t xml:space="preserve">Standards: Solo Bike: unlimited attempts at any distance Annual Lunch and Awards 2024 Annual Lunch and Awards 2024 </t>
  </si>
  <si>
    <t>suechittock@msn.com</t>
  </si>
  <si>
    <t>IP5 1WA</t>
  </si>
  <si>
    <t>Chittock</t>
  </si>
  <si>
    <t>victor.chetta@yahoo.com</t>
  </si>
  <si>
    <t>SY4 5JD</t>
  </si>
  <si>
    <t>Aston Road</t>
  </si>
  <si>
    <t>Dilkush</t>
  </si>
  <si>
    <t>Chetta</t>
  </si>
  <si>
    <t>davidcheshire75@gmail.com</t>
  </si>
  <si>
    <t>27 Tea Kettle Lane</t>
  </si>
  <si>
    <t>alan.chell@aol.com</t>
  </si>
  <si>
    <t>ST7 4LW</t>
  </si>
  <si>
    <t>26 Hillside Avenue</t>
  </si>
  <si>
    <t>suecheetham63@gmail.com</t>
  </si>
  <si>
    <t>BB2 4QB</t>
  </si>
  <si>
    <t>Livesey</t>
  </si>
  <si>
    <t>25 Full View</t>
  </si>
  <si>
    <t>Cheetham</t>
  </si>
  <si>
    <t>cheesy12@talktalk.net</t>
  </si>
  <si>
    <t>BN12 4RA</t>
  </si>
  <si>
    <t>Goring By Sea</t>
  </si>
  <si>
    <t>59 Mulberry Lane</t>
  </si>
  <si>
    <t>Cheesman</t>
  </si>
  <si>
    <t>sales@forelock-books.co.uk</t>
  </si>
  <si>
    <t xml:space="preserve">Rhos on sea CC </t>
  </si>
  <si>
    <t>LL260YR</t>
  </si>
  <si>
    <t xml:space="preserve">Llanrwst </t>
  </si>
  <si>
    <t>Maenan</t>
  </si>
  <si>
    <t>Tan Y Celyn</t>
  </si>
  <si>
    <t>Charman</t>
  </si>
  <si>
    <t>charltonpatrickjohn@gmail.com</t>
  </si>
  <si>
    <t>IP4 5JN</t>
  </si>
  <si>
    <t>22 Risby Close</t>
  </si>
  <si>
    <t>BD2 2LA</t>
  </si>
  <si>
    <t>Eccleshill</t>
  </si>
  <si>
    <t>10a Norman Lane</t>
  </si>
  <si>
    <t>Charge</t>
  </si>
  <si>
    <t>rogersbeacon@btinternet.com</t>
  </si>
  <si>
    <t>API-Anglia Sport</t>
  </si>
  <si>
    <t>B437BW</t>
  </si>
  <si>
    <t>Great Barr</t>
  </si>
  <si>
    <t>82 Beacon Road</t>
  </si>
  <si>
    <t>jocelyn.chappell@gmail.com</t>
  </si>
  <si>
    <t>HP21 7JR</t>
  </si>
  <si>
    <t>112 Walton Way</t>
  </si>
  <si>
    <t>Jocelyn</t>
  </si>
  <si>
    <t>chappe.tandem@btinternet.com</t>
  </si>
  <si>
    <t>NP16 6NA</t>
  </si>
  <si>
    <t>Chepstow</t>
  </si>
  <si>
    <t>Rushmoor</t>
  </si>
  <si>
    <t>Chappe</t>
  </si>
  <si>
    <t>alwayshorizontal@hotmail.co.uk</t>
  </si>
  <si>
    <t>Frome and District Whs</t>
  </si>
  <si>
    <t>BA12 9JZ</t>
  </si>
  <si>
    <t>22 Rock Lane</t>
  </si>
  <si>
    <t>BR6 9NT</t>
  </si>
  <si>
    <t>21 Melrose Cresent</t>
  </si>
  <si>
    <t>Maryse</t>
  </si>
  <si>
    <t>max_20215@hotmail.com</t>
  </si>
  <si>
    <t>royal sutton cycling club</t>
  </si>
  <si>
    <t>b76 1yu</t>
  </si>
  <si>
    <t xml:space="preserve">Sutton Coldfield </t>
  </si>
  <si>
    <t>16 wye close</t>
  </si>
  <si>
    <t>chan</t>
  </si>
  <si>
    <t>HON MAX</t>
  </si>
  <si>
    <t>monachammas@gmail.com</t>
  </si>
  <si>
    <t>SW11 4FR</t>
  </si>
  <si>
    <t>Apartment 12, College Building</t>
  </si>
  <si>
    <t>3 Forfar Road</t>
  </si>
  <si>
    <t>Chammas</t>
  </si>
  <si>
    <t>Mona</t>
  </si>
  <si>
    <t>jeff_chambers@talk21.com</t>
  </si>
  <si>
    <t>CW11 1EJ</t>
  </si>
  <si>
    <t>99 Park Lane</t>
  </si>
  <si>
    <t>Garfield</t>
  </si>
  <si>
    <t>alangchalmers2@googlemail.com</t>
  </si>
  <si>
    <t>LS8 2EX</t>
  </si>
  <si>
    <t>9 Park Lane</t>
  </si>
  <si>
    <t>Chalmers</t>
  </si>
  <si>
    <t>jonathan_chadwick@hotmail.com</t>
  </si>
  <si>
    <t>High Wycombe. Cycling club</t>
  </si>
  <si>
    <t>Bh2 e4fr</t>
  </si>
  <si>
    <t xml:space="preserve">1 gorse bank close </t>
  </si>
  <si>
    <t xml:space="preserve">Chadwick </t>
  </si>
  <si>
    <t>littlesthobo_77@hotmail.co.uk</t>
  </si>
  <si>
    <t>joannacebrat@gmail.com</t>
  </si>
  <si>
    <t>360cycling</t>
  </si>
  <si>
    <t xml:space="preserve">Cebrat </t>
  </si>
  <si>
    <t>cavenhj@btinternet.com</t>
  </si>
  <si>
    <t>LE7 9SR</t>
  </si>
  <si>
    <t>Bushby</t>
  </si>
  <si>
    <t>1 Limes Close</t>
  </si>
  <si>
    <t>geraintcatherall@gmail.com</t>
  </si>
  <si>
    <t>CH7 6LT</t>
  </si>
  <si>
    <t>Mold, Flintshire</t>
  </si>
  <si>
    <t>Sychdyn</t>
  </si>
  <si>
    <t>Blackbrook</t>
  </si>
  <si>
    <t>Tegfan</t>
  </si>
  <si>
    <t>Catherall</t>
  </si>
  <si>
    <t>Geraint</t>
  </si>
  <si>
    <t>YO12 6UG</t>
  </si>
  <si>
    <t xml:space="preserve"> 73 Danes Dyke</t>
  </si>
  <si>
    <t>Cater</t>
  </si>
  <si>
    <t>ian.f.casson@btinternet.com</t>
  </si>
  <si>
    <t>CH48 8AT</t>
  </si>
  <si>
    <t>Pine Tree Drive</t>
  </si>
  <si>
    <t>Pine Cottage</t>
  </si>
  <si>
    <t>Casson</t>
  </si>
  <si>
    <t>Ferdinand</t>
  </si>
  <si>
    <t>mcaseys@gmail.com</t>
  </si>
  <si>
    <t>LS25 2LY</t>
  </si>
  <si>
    <t>WEST YORKSHIRE</t>
  </si>
  <si>
    <t>GARFORTH</t>
  </si>
  <si>
    <t>47 LUDLOW AVENUE</t>
  </si>
  <si>
    <t>stu@besomcourt.co.uk</t>
  </si>
  <si>
    <t>RG26 3AW</t>
  </si>
  <si>
    <t>9 Besom Court</t>
  </si>
  <si>
    <t>Carver</t>
  </si>
  <si>
    <t>markcarty@btinternet.com</t>
  </si>
  <si>
    <t xml:space="preserve"> K20 CC</t>
  </si>
  <si>
    <t>TN27 9DN</t>
  </si>
  <si>
    <t>17 Harmers Way</t>
  </si>
  <si>
    <t>Sandstones</t>
  </si>
  <si>
    <t>Carty</t>
  </si>
  <si>
    <t>stevecartlidge18@gmail.com</t>
  </si>
  <si>
    <t xml:space="preserve">Lyme RC </t>
  </si>
  <si>
    <t>ST4 8WJ</t>
  </si>
  <si>
    <t>Stoke-on-trent</t>
  </si>
  <si>
    <t>37 Harold Hines Way</t>
  </si>
  <si>
    <t>Cartlidge</t>
  </si>
  <si>
    <t>wagenfuhrer@talktalk.net</t>
  </si>
  <si>
    <t>BL8 3JP</t>
  </si>
  <si>
    <t>41 Holthouse Road</t>
  </si>
  <si>
    <t>graemeandlouise@btinternet.com</t>
  </si>
  <si>
    <t>TS17 5GJ</t>
  </si>
  <si>
    <t>52 Lullingstone Crescent</t>
  </si>
  <si>
    <t>russellcdg@googlemail.com</t>
  </si>
  <si>
    <t>DE6 1SH</t>
  </si>
  <si>
    <t>14 Stanton Road</t>
  </si>
  <si>
    <t>jamesjcarson@sky.com</t>
  </si>
  <si>
    <t>L7 0EE</t>
  </si>
  <si>
    <t>19 Needham Road</t>
  </si>
  <si>
    <t>richardkcarrington@yahoo.co.uk</t>
  </si>
  <si>
    <t>IP28 7HT</t>
  </si>
  <si>
    <t>Bury Road, Mildenhall</t>
  </si>
  <si>
    <t>Tarn Hows, Pine Trees Avenue</t>
  </si>
  <si>
    <t>Carrington</t>
  </si>
  <si>
    <t>charles.carraz@gmail.com</t>
  </si>
  <si>
    <t>M33 6RG</t>
  </si>
  <si>
    <t>36 Barkers Lane</t>
  </si>
  <si>
    <t>Carraz</t>
  </si>
  <si>
    <t>gardner.d@btinternet.com</t>
  </si>
  <si>
    <t>NR32 3JB</t>
  </si>
  <si>
    <t>Oulton Broad, Lowestoft</t>
  </si>
  <si>
    <t>80 Chestnut Avenue</t>
  </si>
  <si>
    <t>mezcarpenter@gmail.com</t>
  </si>
  <si>
    <t>BA1 3BX</t>
  </si>
  <si>
    <t>70 Hungerford Road</t>
  </si>
  <si>
    <t>Mariane</t>
  </si>
  <si>
    <t>timcarpentervtta@gmail.com</t>
  </si>
  <si>
    <t>SW6 3HD</t>
  </si>
  <si>
    <t>Fulham</t>
  </si>
  <si>
    <t>8 Breer Street</t>
  </si>
  <si>
    <t xml:space="preserve">Carpenter </t>
  </si>
  <si>
    <t>esthercarpenter@rocketmail.com</t>
  </si>
  <si>
    <t>c/o Tim Carpenter</t>
  </si>
  <si>
    <t>Esther</t>
  </si>
  <si>
    <t>spizlay67@googlemail.com</t>
  </si>
  <si>
    <t>Dundee Thistle CC</t>
  </si>
  <si>
    <t>DD2 4SP</t>
  </si>
  <si>
    <t>1/L 14 Myrekirk Tce</t>
  </si>
  <si>
    <t>Carnegie</t>
  </si>
  <si>
    <t>ian.m.cardy@btinternet.com</t>
  </si>
  <si>
    <t>CM1 6QT</t>
  </si>
  <si>
    <t>3 Primula Way</t>
  </si>
  <si>
    <t>Cardy</t>
  </si>
  <si>
    <t>tomcapstick@icloud.com</t>
  </si>
  <si>
    <t>YO24 1JW</t>
  </si>
  <si>
    <t>13 Middlethorpe Grove</t>
  </si>
  <si>
    <t>Capstick</t>
  </si>
  <si>
    <t>carolannec4@gmail.com</t>
  </si>
  <si>
    <t>KY5 8BH</t>
  </si>
  <si>
    <t>fife</t>
  </si>
  <si>
    <t>Lochgelly</t>
  </si>
  <si>
    <t>Crosshill</t>
  </si>
  <si>
    <t>49 Park Street</t>
  </si>
  <si>
    <t>Cappie</t>
  </si>
  <si>
    <t>Carolanne</t>
  </si>
  <si>
    <t>NR35 1RS</t>
  </si>
  <si>
    <t>37, Princes Road</t>
  </si>
  <si>
    <t>Caplin</t>
  </si>
  <si>
    <t>debbie.capewell@hotmail.co.uk</t>
  </si>
  <si>
    <t>WS14 9RY</t>
  </si>
  <si>
    <t>STAFFS</t>
  </si>
  <si>
    <t>LICHFIELD</t>
  </si>
  <si>
    <t>5 GABLE CROFT</t>
  </si>
  <si>
    <t>Capewell</t>
  </si>
  <si>
    <t>elizabethcannon@icloud.com</t>
  </si>
  <si>
    <t xml:space="preserve">Homecroft </t>
  </si>
  <si>
    <t xml:space="preserve">DE56 0SU </t>
  </si>
  <si>
    <t xml:space="preserve">Bargate </t>
  </si>
  <si>
    <t>129 Belper Rd</t>
  </si>
  <si>
    <t>johncampbell27@icloud.com</t>
  </si>
  <si>
    <t>Royal Albert C.C.</t>
  </si>
  <si>
    <t>G71 5DX</t>
  </si>
  <si>
    <t>21 Rowantree Avenue</t>
  </si>
  <si>
    <t>richard.camp@hotmail.co.uk</t>
  </si>
  <si>
    <t>kings lynn</t>
  </si>
  <si>
    <t>PE33 9DX</t>
  </si>
  <si>
    <t>Crimplesham</t>
  </si>
  <si>
    <t>Rosedene, Main Road</t>
  </si>
  <si>
    <t>camp</t>
  </si>
  <si>
    <t>cameron_kirsten@hotmail.com</t>
  </si>
  <si>
    <t>PH1 1AF</t>
  </si>
  <si>
    <t>Clathymore</t>
  </si>
  <si>
    <t>7 Lysander Lane</t>
  </si>
  <si>
    <t>Kirsten</t>
  </si>
  <si>
    <t>john.calvert1@btinternet.com</t>
  </si>
  <si>
    <t>Walden Velo</t>
  </si>
  <si>
    <t>CB11 3TH</t>
  </si>
  <si>
    <t>Bridge End</t>
  </si>
  <si>
    <t>Tudor House</t>
  </si>
  <si>
    <t>markcain1976@yahoo.co.uk</t>
  </si>
  <si>
    <t>ME19 4SW</t>
  </si>
  <si>
    <t>Kings hill</t>
  </si>
  <si>
    <t xml:space="preserve">21 Edington Way </t>
  </si>
  <si>
    <t>Cain</t>
  </si>
  <si>
    <t>CH66 3QF</t>
  </si>
  <si>
    <t>246 Parklands</t>
  </si>
  <si>
    <t>Cadwallader</t>
  </si>
  <si>
    <t>bill.byth@gmail.com</t>
  </si>
  <si>
    <t xml:space="preserve">AB314FX </t>
  </si>
  <si>
    <t xml:space="preserve">Banchory </t>
  </si>
  <si>
    <t>Inchmarlo</t>
  </si>
  <si>
    <t xml:space="preserve">12 Pinecrest </t>
  </si>
  <si>
    <t>Byth</t>
  </si>
  <si>
    <t>richard.ext.byrne@gmail.com</t>
  </si>
  <si>
    <t>Newbury Road Club</t>
  </si>
  <si>
    <t xml:space="preserve">RG18 9HX </t>
  </si>
  <si>
    <t xml:space="preserve">Thatcham </t>
  </si>
  <si>
    <t>Cold Ash</t>
  </si>
  <si>
    <t>The Ridge</t>
  </si>
  <si>
    <t>Midway</t>
  </si>
  <si>
    <t xml:space="preserve">Byrne </t>
  </si>
  <si>
    <t>anthonybye7@gmail.com</t>
  </si>
  <si>
    <t>PE13 4NB</t>
  </si>
  <si>
    <t>Gorefield</t>
  </si>
  <si>
    <t>Chapel Lane House 71c High Road</t>
  </si>
  <si>
    <t>Bye</t>
  </si>
  <si>
    <t>byattjim@gmail.com</t>
  </si>
  <si>
    <t>NG6 8DN</t>
  </si>
  <si>
    <t>bulwell, nottingham</t>
  </si>
  <si>
    <t>bulwell</t>
  </si>
  <si>
    <t>30 Ludford Road</t>
  </si>
  <si>
    <t>Byatt</t>
  </si>
  <si>
    <t>alexander</t>
  </si>
  <si>
    <t>mauricebuxton@btinternet.com</t>
  </si>
  <si>
    <t>NG9 6JF</t>
  </si>
  <si>
    <t>Toton</t>
  </si>
  <si>
    <t>20 Petworth Avenue</t>
  </si>
  <si>
    <t>al.bux@hotmail.com</t>
  </si>
  <si>
    <t xml:space="preserve">Team enable mi racing </t>
  </si>
  <si>
    <t>Cv31 2qu</t>
  </si>
  <si>
    <t xml:space="preserve">Leamington </t>
  </si>
  <si>
    <t xml:space="preserve">3 canon young rd </t>
  </si>
  <si>
    <t xml:space="preserve">Buxcey </t>
  </si>
  <si>
    <t>ann.butterworth@cssystems.net</t>
  </si>
  <si>
    <t>SK9 1NP</t>
  </si>
  <si>
    <t>4 Whitehall Close</t>
  </si>
  <si>
    <t>DLM - Individual Membership - Manchester &amp; North West</t>
  </si>
  <si>
    <t>simon.butteriss6@googlemail.com</t>
  </si>
  <si>
    <t>CB7 4FN</t>
  </si>
  <si>
    <t>5 Charles Graven Court</t>
  </si>
  <si>
    <t>Butteriss</t>
  </si>
  <si>
    <t>dhb6654@hotmail.com</t>
  </si>
  <si>
    <t xml:space="preserve">DT12TX </t>
  </si>
  <si>
    <t xml:space="preserve">Dorchester </t>
  </si>
  <si>
    <t xml:space="preserve">Thomas Hardye Gardens </t>
  </si>
  <si>
    <t xml:space="preserve">1 Buckbury Mews </t>
  </si>
  <si>
    <t>timd.butler74@gmail.com</t>
  </si>
  <si>
    <t>GL3 2BT</t>
  </si>
  <si>
    <t>CHURCHDOWN</t>
  </si>
  <si>
    <t>11 BERRYFIELD GLADE</t>
  </si>
  <si>
    <t>Butler</t>
  </si>
  <si>
    <t>gillandgeth@tiscali.co.uk</t>
  </si>
  <si>
    <t>PR1 8JH</t>
  </si>
  <si>
    <t>29 Grafton Street</t>
  </si>
  <si>
    <t>Gethin</t>
  </si>
  <si>
    <t>j.edwards990@ntlworld.com</t>
  </si>
  <si>
    <t>NP20 4HL</t>
  </si>
  <si>
    <t>Caerau road,</t>
  </si>
  <si>
    <t>26,</t>
  </si>
  <si>
    <t>alanbusuttil2@gmail.com</t>
  </si>
  <si>
    <t>Belper Bicycle Club</t>
  </si>
  <si>
    <t>DE55 7FE</t>
  </si>
  <si>
    <t>9 Tavistock square</t>
  </si>
  <si>
    <t>Busuttil</t>
  </si>
  <si>
    <t>blairbuss@btinternet.com</t>
  </si>
  <si>
    <t>Addfrom Vive le velo</t>
  </si>
  <si>
    <t>HX3 8ST</t>
  </si>
  <si>
    <t>6 Bramley View</t>
  </si>
  <si>
    <t>Buss</t>
  </si>
  <si>
    <t>Blair</t>
  </si>
  <si>
    <t>boblizb@talktalk.net</t>
  </si>
  <si>
    <t>CO10 0YU</t>
  </si>
  <si>
    <t>42,Davidson Close</t>
  </si>
  <si>
    <t>Bush</t>
  </si>
  <si>
    <t>johnniebush2@aol.com</t>
  </si>
  <si>
    <t>TW20 0JN</t>
  </si>
  <si>
    <t>Englefield Green, Egham</t>
  </si>
  <si>
    <t>14 Spencer Gardens</t>
  </si>
  <si>
    <t>Greshams</t>
  </si>
  <si>
    <t>BUSH</t>
  </si>
  <si>
    <t>RICHARD MICHAEL</t>
  </si>
  <si>
    <t>ironmanmark@btinternet.com</t>
  </si>
  <si>
    <t>YO7 2PS</t>
  </si>
  <si>
    <t>Burtonshaw</t>
  </si>
  <si>
    <t>matthewsburton@gmail.com</t>
  </si>
  <si>
    <t>ARCC</t>
  </si>
  <si>
    <t>HP8 4TX</t>
  </si>
  <si>
    <t>Cokes Lane</t>
  </si>
  <si>
    <t>Cherry Garth</t>
  </si>
  <si>
    <t>pejburton@btinternet.com</t>
  </si>
  <si>
    <t>KT24 5EY</t>
  </si>
  <si>
    <t>East Horsley</t>
  </si>
  <si>
    <t>Forest Road</t>
  </si>
  <si>
    <t>Wildwood</t>
  </si>
  <si>
    <t>G61 4LE</t>
  </si>
  <si>
    <t>6 Sidlaw Road</t>
  </si>
  <si>
    <t>Agnes</t>
  </si>
  <si>
    <t>paulburrows604@gmail.com</t>
  </si>
  <si>
    <t>CT9 5JT</t>
  </si>
  <si>
    <t>26 Orchard Gardens</t>
  </si>
  <si>
    <t>den_curtis@yahoo.co.uk</t>
  </si>
  <si>
    <t>CV23 9EA</t>
  </si>
  <si>
    <t>Church Lawford</t>
  </si>
  <si>
    <t>1 Holly Grove</t>
  </si>
  <si>
    <t>Colleen</t>
  </si>
  <si>
    <t>badgersmithycottage@gmail.com</t>
  </si>
  <si>
    <t xml:space="preserve">Skelton </t>
  </si>
  <si>
    <t>burrowssmithycottage@gmail.com</t>
  </si>
  <si>
    <t>terryburrell@telkomsa.net</t>
  </si>
  <si>
    <t>Cape Town, South Africa</t>
  </si>
  <si>
    <t>Parow 7500</t>
  </si>
  <si>
    <t>Kleinbosch</t>
  </si>
  <si>
    <t>9 Nabygelegen</t>
  </si>
  <si>
    <t>thomas.burke@mac.com</t>
  </si>
  <si>
    <t>BS4 2JA</t>
  </si>
  <si>
    <t>137 Somerset Road</t>
  </si>
  <si>
    <t>Burke-Nott</t>
  </si>
  <si>
    <t>stewartburke60@hotmail.com</t>
  </si>
  <si>
    <t xml:space="preserve">Team Andrew Allan architecture </t>
  </si>
  <si>
    <t>KY113JX</t>
  </si>
  <si>
    <t>Limekilns</t>
  </si>
  <si>
    <t>7 South Roundall</t>
  </si>
  <si>
    <t>Burke</t>
  </si>
  <si>
    <t>jim.burgin1@btinternet.com</t>
  </si>
  <si>
    <t>RG7 4QB</t>
  </si>
  <si>
    <t>Padworth Common</t>
  </si>
  <si>
    <t>Welshmans Road</t>
  </si>
  <si>
    <t>33 Pinelands Park</t>
  </si>
  <si>
    <t>owen_burgess@hotmail.co.uk</t>
  </si>
  <si>
    <t>UF Rowe &amp; King</t>
  </si>
  <si>
    <t>NP18 2NT</t>
  </si>
  <si>
    <t>57 The Nurseries</t>
  </si>
  <si>
    <t>marcburden@outlook.com</t>
  </si>
  <si>
    <t>TCOS</t>
  </si>
  <si>
    <t>PE9 2YU</t>
  </si>
  <si>
    <t>5 Angus Close</t>
  </si>
  <si>
    <t>Burden</t>
  </si>
  <si>
    <t>alynye64@gmail.com</t>
  </si>
  <si>
    <t>Spinwheels Team</t>
  </si>
  <si>
    <t>TN23 7QH</t>
  </si>
  <si>
    <t>1 Mayhew Close</t>
  </si>
  <si>
    <t>Nye</t>
  </si>
  <si>
    <t>Alyson</t>
  </si>
  <si>
    <t>bobby.burden@btinternet.com</t>
  </si>
  <si>
    <t>bunyan_william@yahoo.co.uk</t>
  </si>
  <si>
    <t xml:space="preserve">Andrewallanarchitecture </t>
  </si>
  <si>
    <t>KY12 7XJ</t>
  </si>
  <si>
    <t>26 Hailes Place</t>
  </si>
  <si>
    <t>jbunting1978@gmail.com</t>
  </si>
  <si>
    <t>BL81XH</t>
  </si>
  <si>
    <t>73 Hunstanton Drive</t>
  </si>
  <si>
    <t>Bunting</t>
  </si>
  <si>
    <t>martinb46@gmail.com</t>
  </si>
  <si>
    <t>S18 1UQ</t>
  </si>
  <si>
    <t>DRONFIELD</t>
  </si>
  <si>
    <t>18 Longacre Road</t>
  </si>
  <si>
    <t>kevinjbull@hotmail.com</t>
  </si>
  <si>
    <t xml:space="preserve">Naut cycling </t>
  </si>
  <si>
    <t>PO37 7NQ</t>
  </si>
  <si>
    <t>102 Carter Avenue</t>
  </si>
  <si>
    <t>s.buckley@outlook.com</t>
  </si>
  <si>
    <t>GL6 9DY</t>
  </si>
  <si>
    <t>SG19 3LP</t>
  </si>
  <si>
    <t>Gamlingay</t>
  </si>
  <si>
    <t>11 Green Acres</t>
  </si>
  <si>
    <t>Brydson</t>
  </si>
  <si>
    <t>McKinlay</t>
  </si>
  <si>
    <t>svtta@andrewbruce.org</t>
  </si>
  <si>
    <t>Vanelli-Project GO</t>
  </si>
  <si>
    <t>KY11 2BD</t>
  </si>
  <si>
    <t>Rosyth</t>
  </si>
  <si>
    <t>71 Peasehill Gait</t>
  </si>
  <si>
    <t>markbrownless@icloud.com</t>
  </si>
  <si>
    <t>DL12 8NN</t>
  </si>
  <si>
    <t>Park Terrace</t>
  </si>
  <si>
    <t>Fir Tree</t>
  </si>
  <si>
    <t>g.brown1307@gmail.com</t>
  </si>
  <si>
    <t>RG9 6LF</t>
  </si>
  <si>
    <t>Henley-on-thames</t>
  </si>
  <si>
    <t>Northend</t>
  </si>
  <si>
    <t>Vine Lodge</t>
  </si>
  <si>
    <t xml:space="preserve">Gina </t>
  </si>
  <si>
    <t>richbrown10@yahoo.co.uk</t>
  </si>
  <si>
    <t>S41 8WD</t>
  </si>
  <si>
    <t>16 Ashopton Road</t>
  </si>
  <si>
    <t>judyehbrown@gmail.com</t>
  </si>
  <si>
    <t>CB25 0AQ</t>
  </si>
  <si>
    <t>2 Church Lane</t>
  </si>
  <si>
    <t>davebrown.cyclist@tiscali.co.uk</t>
  </si>
  <si>
    <t>BL7  9JG</t>
  </si>
  <si>
    <t>Bromley Cross</t>
  </si>
  <si>
    <t>Darwen Road</t>
  </si>
  <si>
    <t>30 Eagley Court</t>
  </si>
  <si>
    <t>martinbrown900@btinternet.com</t>
  </si>
  <si>
    <t>TN13 1EX</t>
  </si>
  <si>
    <t>13 Granville Rd</t>
  </si>
  <si>
    <t>ME8 6LX</t>
  </si>
  <si>
    <t>56 Beechings Way</t>
  </si>
  <si>
    <t>tonyb93@sky.com</t>
  </si>
  <si>
    <t>George Fox Cycling Solutions</t>
  </si>
  <si>
    <t>PE28 5BQ</t>
  </si>
  <si>
    <t>Brington</t>
  </si>
  <si>
    <t>25 Hill Place</t>
  </si>
  <si>
    <t>pawandmawbroon@hotmail.co.uk</t>
  </si>
  <si>
    <t>EH4 2BA</t>
  </si>
  <si>
    <t>22 Telford Road</t>
  </si>
  <si>
    <t>steve@swbrown.com</t>
  </si>
  <si>
    <t>SE22 8EN</t>
  </si>
  <si>
    <t>95 Grove Vale, East Dulwich</t>
  </si>
  <si>
    <t>bernie_b@live.co.uk</t>
  </si>
  <si>
    <t>BS16 5LF</t>
  </si>
  <si>
    <t>35 Park Road</t>
  </si>
  <si>
    <t>Bernie</t>
  </si>
  <si>
    <t>brown.philip8@sky.com</t>
  </si>
  <si>
    <t>WS6 6PZ</t>
  </si>
  <si>
    <t>Great Wyrley</t>
  </si>
  <si>
    <t>15 St Marks Close</t>
  </si>
  <si>
    <t>jason.brotherhood@eon-uk.com</t>
  </si>
  <si>
    <t>LE10 2HG</t>
  </si>
  <si>
    <t>30 Brockhurst Avenue</t>
  </si>
  <si>
    <t>Brotherhood</t>
  </si>
  <si>
    <t>neilandwendy48@gmail.com</t>
  </si>
  <si>
    <t>Team Zoyland</t>
  </si>
  <si>
    <t>TA7 8JP</t>
  </si>
  <si>
    <t>Woolavington</t>
  </si>
  <si>
    <t>48 Horton Way</t>
  </si>
  <si>
    <t>brooks</t>
  </si>
  <si>
    <t>a_e_brooks@btinternet.com</t>
  </si>
  <si>
    <t>NP12 2AE</t>
  </si>
  <si>
    <t>Pontllanfraith</t>
  </si>
  <si>
    <t>15A Brookfield Road</t>
  </si>
  <si>
    <t>suebrooks162@yahoo.com</t>
  </si>
  <si>
    <t>PE7 3TH</t>
  </si>
  <si>
    <t>Folksworth</t>
  </si>
  <si>
    <t>6 Blackmans Road</t>
  </si>
  <si>
    <t>nigelnigel@gmx.com</t>
  </si>
  <si>
    <t>FK8 3RZ</t>
  </si>
  <si>
    <t>Gartmore</t>
  </si>
  <si>
    <t>The Crooks</t>
  </si>
  <si>
    <t>NN11 3PX</t>
  </si>
  <si>
    <t>Daventry</t>
  </si>
  <si>
    <t>4 Station Gardens</t>
  </si>
  <si>
    <t>Brookling</t>
  </si>
  <si>
    <t>fjgadget@ntlworld.com</t>
  </si>
  <si>
    <t>PO16 8HY</t>
  </si>
  <si>
    <t>1 Edward Grove</t>
  </si>
  <si>
    <t>Bromyard</t>
  </si>
  <si>
    <t>jimbromley@live.co.uk</t>
  </si>
  <si>
    <t>CM8 3EZ</t>
  </si>
  <si>
    <t>Braxted Lane</t>
  </si>
  <si>
    <t>2 Appleford Farm Cottage</t>
  </si>
  <si>
    <t>bromley</t>
  </si>
  <si>
    <t>dennis</t>
  </si>
  <si>
    <t>peter.brocklehurst@btinternet.com</t>
  </si>
  <si>
    <t>SK15 2UL</t>
  </si>
  <si>
    <t>14 Fawns Keep</t>
  </si>
  <si>
    <t>Brocklehurst</t>
  </si>
  <si>
    <t>stephenbroadley@tiscali.co.uk</t>
  </si>
  <si>
    <t>HG3 1QS</t>
  </si>
  <si>
    <t>Beckwithshaw</t>
  </si>
  <si>
    <t xml:space="preserve">Home Farm Cottage </t>
  </si>
  <si>
    <t>Broadley</t>
  </si>
  <si>
    <t>bbroadfield@hotmail.com</t>
  </si>
  <si>
    <t>CM6 3SG</t>
  </si>
  <si>
    <t>High Street Stebbing</t>
  </si>
  <si>
    <t>The Old Dairy Town Farm</t>
  </si>
  <si>
    <t>Broadfield</t>
  </si>
  <si>
    <t>ajbroad1973@aol.com</t>
  </si>
  <si>
    <t>LL12 8PH</t>
  </si>
  <si>
    <t>Gresford</t>
  </si>
  <si>
    <t>8, Farriers Walk</t>
  </si>
  <si>
    <t>ttandy@hotmail.co.uk</t>
  </si>
  <si>
    <t>Pe29 1xd</t>
  </si>
  <si>
    <t>20 Kestrel close</t>
  </si>
  <si>
    <t xml:space="preserve">Bright </t>
  </si>
  <si>
    <t>nigel.briggs@btinternet.com</t>
  </si>
  <si>
    <t>DE65 6JN</t>
  </si>
  <si>
    <t>41 Belfield Road</t>
  </si>
  <si>
    <t>Briggs</t>
  </si>
  <si>
    <t>abriers@sky.com</t>
  </si>
  <si>
    <t>LU1 4ER</t>
  </si>
  <si>
    <t>Caddington</t>
  </si>
  <si>
    <t>40 CROSSLANDS</t>
  </si>
  <si>
    <t>Briers</t>
  </si>
  <si>
    <t>paul.brierley@hotmail.co.uk</t>
  </si>
  <si>
    <t>HD6 3NX</t>
  </si>
  <si>
    <t>22 Holly Bank Park</t>
  </si>
  <si>
    <t>liz.bridgen@gmail.com</t>
  </si>
  <si>
    <t>Ilkeston CC</t>
  </si>
  <si>
    <t>NG9 1DQ</t>
  </si>
  <si>
    <t>109 Denison Street</t>
  </si>
  <si>
    <t>Bridgen</t>
  </si>
  <si>
    <t>lornabreetzke@gmail.com</t>
  </si>
  <si>
    <t>AB56 1FR</t>
  </si>
  <si>
    <t>Buckie</t>
  </si>
  <si>
    <t>2a Muirton Way</t>
  </si>
  <si>
    <t>Breetzke</t>
  </si>
  <si>
    <t>julian.bray@btinternet.com</t>
  </si>
  <si>
    <t>SE10 8UJ</t>
  </si>
  <si>
    <t>Greenwich</t>
  </si>
  <si>
    <t>55 Ashburnham Grove</t>
  </si>
  <si>
    <t>nevbray@hotmail.com</t>
  </si>
  <si>
    <t>LE65 1WG</t>
  </si>
  <si>
    <t>Packington</t>
  </si>
  <si>
    <t>26 Homecroft Drive</t>
  </si>
  <si>
    <t>gary_bratt@yahoo.co.uk</t>
  </si>
  <si>
    <t>G84 8LE</t>
  </si>
  <si>
    <t>Rhu</t>
  </si>
  <si>
    <t>Torwoodhill Road</t>
  </si>
  <si>
    <t>Bratt</t>
  </si>
  <si>
    <t>alison.brashier@gmail.com</t>
  </si>
  <si>
    <t>RG26 3AZ</t>
  </si>
  <si>
    <t>3 Ropley Close</t>
  </si>
  <si>
    <t>Brashier</t>
  </si>
  <si>
    <t>D36stu@gmail.com</t>
  </si>
  <si>
    <t>Racehub</t>
  </si>
  <si>
    <t>NG235PN</t>
  </si>
  <si>
    <t>Sibthorpe</t>
  </si>
  <si>
    <t>Trinco</t>
  </si>
  <si>
    <t>mark.brambleby@sky.com</t>
  </si>
  <si>
    <t>Northover Vets</t>
  </si>
  <si>
    <t>TW15 3ES</t>
  </si>
  <si>
    <t>45 Gordon Road</t>
  </si>
  <si>
    <t>Brambleby</t>
  </si>
  <si>
    <t>Lorrain</t>
  </si>
  <si>
    <t>pbraith@me.com</t>
  </si>
  <si>
    <t>Pendle Forest CC</t>
  </si>
  <si>
    <t>BB8 9QQ</t>
  </si>
  <si>
    <t>64 Alikcoats Road</t>
  </si>
  <si>
    <t>Braithwaite</t>
  </si>
  <si>
    <t>barkmadly@live.co.uk</t>
  </si>
  <si>
    <t>BS48 2NF</t>
  </si>
  <si>
    <t>45 Sunnymede Road</t>
  </si>
  <si>
    <t>debbie.bradley@cancer.org.uk</t>
  </si>
  <si>
    <t xml:space="preserve">Peddlamaniacs </t>
  </si>
  <si>
    <t>B91 2SX</t>
  </si>
  <si>
    <t xml:space="preserve">347 Barston Lane </t>
  </si>
  <si>
    <t>mbrad1945@gmail.com</t>
  </si>
  <si>
    <t>LE67 2AR</t>
  </si>
  <si>
    <t>Ravenstone</t>
  </si>
  <si>
    <t>43 Leicester Road</t>
  </si>
  <si>
    <t>spbrace@hotmail.com</t>
  </si>
  <si>
    <t>Bath CC</t>
  </si>
  <si>
    <t>BA2 0FA</t>
  </si>
  <si>
    <t>6 Brook View</t>
  </si>
  <si>
    <t>Brace</t>
  </si>
  <si>
    <t>bobbrabbins@yahoo.com</t>
  </si>
  <si>
    <t>Wellington Wheelers Cycling Club</t>
  </si>
  <si>
    <t>nr192st</t>
  </si>
  <si>
    <t>dereham norfolk</t>
  </si>
  <si>
    <t>2 oakwood close</t>
  </si>
  <si>
    <t>brabbins</t>
  </si>
  <si>
    <t>e</t>
  </si>
  <si>
    <t>bob</t>
  </si>
  <si>
    <t>anthony.boynton@icloud.com</t>
  </si>
  <si>
    <t>HU5 4NA</t>
  </si>
  <si>
    <t>62 Hayburn Avenue</t>
  </si>
  <si>
    <t>Boynton</t>
  </si>
  <si>
    <t>rob@robandellen.plus.com</t>
  </si>
  <si>
    <t>CB8 9EE</t>
  </si>
  <si>
    <t>5 Mill Road</t>
  </si>
  <si>
    <t>jimboyle1940@gmail.com</t>
  </si>
  <si>
    <t>NG23 7EQ</t>
  </si>
  <si>
    <t>Elderberry House</t>
  </si>
  <si>
    <t>BS10 6HJ</t>
  </si>
  <si>
    <t>Southmead</t>
  </si>
  <si>
    <t>16 Dunmail Road</t>
  </si>
  <si>
    <t>toni_scott@btconnect.com</t>
  </si>
  <si>
    <t>GU27 5JY</t>
  </si>
  <si>
    <t>12 The Leys, Fernhurst</t>
  </si>
  <si>
    <t>Boyce</t>
  </si>
  <si>
    <t>notsoyoungbob@gmail.com</t>
  </si>
  <si>
    <t>RG17 8YP</t>
  </si>
  <si>
    <t>Lambourn</t>
  </si>
  <si>
    <t>5 Mill Lane</t>
  </si>
  <si>
    <t>Boxall</t>
  </si>
  <si>
    <t>sjbcontractors@btinternet.com</t>
  </si>
  <si>
    <t>Berkhamsted cycling club</t>
  </si>
  <si>
    <t>HP5 3LN</t>
  </si>
  <si>
    <t>1 Lye Green Road</t>
  </si>
  <si>
    <t>Bowller</t>
  </si>
  <si>
    <t>suejbowler@gmail.com</t>
  </si>
  <si>
    <t>DE23 1JP</t>
  </si>
  <si>
    <t>Littleover</t>
  </si>
  <si>
    <t>14 Sunnyhill Avenue</t>
  </si>
  <si>
    <t>ergomanic@gmail.com</t>
  </si>
  <si>
    <t>cbowers1@sky.com</t>
  </si>
  <si>
    <t>Mid Wirral Wheelers</t>
  </si>
  <si>
    <t>CH46 9RY</t>
  </si>
  <si>
    <t>9, Wimbrick Close</t>
  </si>
  <si>
    <t>davebower1@aol.com</t>
  </si>
  <si>
    <t>Yo255NB</t>
  </si>
  <si>
    <t>17 Wansford Road</t>
  </si>
  <si>
    <t>Bower</t>
  </si>
  <si>
    <t>richardbowditch@hotmail.co.uk</t>
  </si>
  <si>
    <t xml:space="preserve">Congleton cycling Club </t>
  </si>
  <si>
    <t>ST2 9JH</t>
  </si>
  <si>
    <t>24 Broughton Road</t>
  </si>
  <si>
    <t xml:space="preserve">Bowditch </t>
  </si>
  <si>
    <t>rbowditch@live.com</t>
  </si>
  <si>
    <t>ST27 7HZ</t>
  </si>
  <si>
    <t>Baddeley green</t>
  </si>
  <si>
    <t>5 Trentfields Road</t>
  </si>
  <si>
    <t>Bowditch</t>
  </si>
  <si>
    <t>nick.bowden@optimum-pdm.com</t>
  </si>
  <si>
    <t>SK224AS</t>
  </si>
  <si>
    <t>5, Spring Bank</t>
  </si>
  <si>
    <t>m444ttb@hotmail.com</t>
  </si>
  <si>
    <t>SN25 2DD</t>
  </si>
  <si>
    <t>51 Muirfield</t>
  </si>
  <si>
    <t>Boulton</t>
  </si>
  <si>
    <t>lescentralcropsprayers@gmail.com</t>
  </si>
  <si>
    <t>SY13 2BG</t>
  </si>
  <si>
    <t>Lower Heath</t>
  </si>
  <si>
    <t>Fir Tree House</t>
  </si>
  <si>
    <t>Boughey</t>
  </si>
  <si>
    <t xml:space="preserve">Les </t>
  </si>
  <si>
    <t>matthew_bottrill@hotmail.com</t>
  </si>
  <si>
    <t>LE67 5ES</t>
  </si>
  <si>
    <t>Whitwick</t>
  </si>
  <si>
    <t>22 Valley Way</t>
  </si>
  <si>
    <t>bottrill</t>
  </si>
  <si>
    <t>julesbosley@gmail.com</t>
  </si>
  <si>
    <t>Stowmarket &amp; District CC</t>
  </si>
  <si>
    <t>IP13 7ER</t>
  </si>
  <si>
    <t>Low Road Monk Soham</t>
  </si>
  <si>
    <t>The Bantams</t>
  </si>
  <si>
    <t>luciaborradaile@gmail.com</t>
  </si>
  <si>
    <t>Weymouth cycling club</t>
  </si>
  <si>
    <t>DT83JT</t>
  </si>
  <si>
    <t xml:space="preserve">Beaminster </t>
  </si>
  <si>
    <t xml:space="preserve">Stoke Abbott </t>
  </si>
  <si>
    <t>Lewesdon House</t>
  </si>
  <si>
    <t>Borradaile</t>
  </si>
  <si>
    <t>Lucia</t>
  </si>
  <si>
    <t>ME9 7DX</t>
  </si>
  <si>
    <t>3, Burntwick Drive, Lr. Halstow</t>
  </si>
  <si>
    <t>Booty</t>
  </si>
  <si>
    <t>Eunice</t>
  </si>
  <si>
    <t>Lower Halstow</t>
  </si>
  <si>
    <t>3, Burntwick Drive</t>
  </si>
  <si>
    <t>charlyboo83@icloud.com</t>
  </si>
  <si>
    <t>360 cycling</t>
  </si>
  <si>
    <t>Bb4 7ph</t>
  </si>
  <si>
    <t>2 dobbin court</t>
  </si>
  <si>
    <t>pboothashigaru@hotmail.com</t>
  </si>
  <si>
    <t>Rhos-on-Sea CC</t>
  </si>
  <si>
    <t>LL34 6DH</t>
  </si>
  <si>
    <t>Penmaenmawr</t>
  </si>
  <si>
    <t>57 Merton Park</t>
  </si>
  <si>
    <t>geoffbooker25148@gmail.com</t>
  </si>
  <si>
    <t>OX9 2NE</t>
  </si>
  <si>
    <t>Tiddington</t>
  </si>
  <si>
    <t>Fairmead</t>
  </si>
  <si>
    <t>phillipjurczyk@gmail.com</t>
  </si>
  <si>
    <t>EH48 4NA</t>
  </si>
  <si>
    <t xml:space="preserve">West Lothian </t>
  </si>
  <si>
    <t>Torphichen</t>
  </si>
  <si>
    <t>Gormyre Cottage</t>
  </si>
  <si>
    <t>Jurczyk</t>
  </si>
  <si>
    <t>Bondi</t>
  </si>
  <si>
    <t>Carlbond71@gmail.com</t>
  </si>
  <si>
    <t>WD19 5BN</t>
  </si>
  <si>
    <t>135 Carpenders Avenue</t>
  </si>
  <si>
    <t>Bond</t>
  </si>
  <si>
    <t>bompas.j@ntlworld.com</t>
  </si>
  <si>
    <t>Finsbury Park CC   and Bournemouth Jubilee Wheelers</t>
  </si>
  <si>
    <t>BH12 4JQ</t>
  </si>
  <si>
    <t>2 Evering Avenue</t>
  </si>
  <si>
    <t>Bompas</t>
  </si>
  <si>
    <t>george.boden@gxlcapital.com</t>
  </si>
  <si>
    <t>CM1 4QP</t>
  </si>
  <si>
    <t>High Easter</t>
  </si>
  <si>
    <t>The Old School House School Lane</t>
  </si>
  <si>
    <t>Boden</t>
  </si>
  <si>
    <t>tonyboardman2@gmail.com</t>
  </si>
  <si>
    <t>CW7 2SD</t>
  </si>
  <si>
    <t>29 Gleneagles Drive</t>
  </si>
  <si>
    <t>Boardman</t>
  </si>
  <si>
    <t>MIDWAYLIMITED@AOL.COM</t>
  </si>
  <si>
    <t>M24 4AE</t>
  </si>
  <si>
    <t>Archer Park</t>
  </si>
  <si>
    <t>11 Lime Gardens</t>
  </si>
  <si>
    <t>iainboardman@gmail.com</t>
  </si>
  <si>
    <t>E8 3PA</t>
  </si>
  <si>
    <t>Flat 5   10a Ellingfort Road</t>
  </si>
  <si>
    <t>robertboak@live.co.uk</t>
  </si>
  <si>
    <t>NE28 8TR</t>
  </si>
  <si>
    <t>Wallsend</t>
  </si>
  <si>
    <t>25 Swaledale</t>
  </si>
  <si>
    <t>Boak</t>
  </si>
  <si>
    <t>terry.blake4@btinternet.com</t>
  </si>
  <si>
    <t>DA5 1AR</t>
  </si>
  <si>
    <t>34 Parkhurst Road</t>
  </si>
  <si>
    <t>kevin.blades@icloud.com</t>
  </si>
  <si>
    <t>BL0 9HY</t>
  </si>
  <si>
    <t>69 Bolton Street, Ramsbottom</t>
  </si>
  <si>
    <t>ablacker@outlook.com</t>
  </si>
  <si>
    <t>RH1 6BT</t>
  </si>
  <si>
    <t>12 Oakdene Road</t>
  </si>
  <si>
    <t>bargey01@hotmail.com</t>
  </si>
  <si>
    <t>WA3 1LH</t>
  </si>
  <si>
    <t xml:space="preserve">Lowton </t>
  </si>
  <si>
    <t>16 Kenyon Lane</t>
  </si>
  <si>
    <t>jasminebsd@hotmail.com</t>
  </si>
  <si>
    <t>Wigan Wheelers &amp;triathlon cycling club</t>
  </si>
  <si>
    <t>WN2 2BU</t>
  </si>
  <si>
    <t>Ince</t>
  </si>
  <si>
    <t>16 The Grove</t>
  </si>
  <si>
    <t>Ewart</t>
  </si>
  <si>
    <t>samantha.drury83@gmail.com</t>
  </si>
  <si>
    <t>HU114PU</t>
  </si>
  <si>
    <t>Sproatley</t>
  </si>
  <si>
    <t>31 Mill Road</t>
  </si>
  <si>
    <t>Bissell</t>
  </si>
  <si>
    <t>brettbishopabc@hotmail.co.uk</t>
  </si>
  <si>
    <t>HA3 9ET</t>
  </si>
  <si>
    <t>23 Waghorn Rd</t>
  </si>
  <si>
    <t>ruthstapleton81@hotmail.com</t>
  </si>
  <si>
    <t>Newhall CC</t>
  </si>
  <si>
    <t>CM17 9SN</t>
  </si>
  <si>
    <t>Newhall</t>
  </si>
  <si>
    <t>6 Rose Crescent</t>
  </si>
  <si>
    <t>jamie.bishop@me.com</t>
  </si>
  <si>
    <t>paul.birkin1@hotmail.co.uk</t>
  </si>
  <si>
    <t>SK17 7BW</t>
  </si>
  <si>
    <t>41 Nunsfield Road</t>
  </si>
  <si>
    <t>Birkin</t>
  </si>
  <si>
    <t>budgie@oookaudio.com</t>
  </si>
  <si>
    <t>S36 7RD</t>
  </si>
  <si>
    <t>Royd Moor Road</t>
  </si>
  <si>
    <t>6 Royd Moor Hall Farm</t>
  </si>
  <si>
    <t>CM08BW</t>
  </si>
  <si>
    <t>20 Alexandra Road</t>
  </si>
  <si>
    <t>Richard@CrystallineCeramics.co.uk</t>
  </si>
  <si>
    <t>BB10 4SJ</t>
  </si>
  <si>
    <t>Cliviger</t>
  </si>
  <si>
    <t>11 Longfield Terrace</t>
  </si>
  <si>
    <t>Bideau</t>
  </si>
  <si>
    <t>steviebiddulph@gmail.com</t>
  </si>
  <si>
    <t>WS7 1GN</t>
  </si>
  <si>
    <t>12 Angel Croft</t>
  </si>
  <si>
    <t>ianbibbylondon@gmail.com</t>
  </si>
  <si>
    <t>N5 1DE</t>
  </si>
  <si>
    <t>3 Legard Road</t>
  </si>
  <si>
    <t>Bibby</t>
  </si>
  <si>
    <t>emmabexson@icloud.com</t>
  </si>
  <si>
    <t>B50 4BQ</t>
  </si>
  <si>
    <t xml:space="preserve">Alcester </t>
  </si>
  <si>
    <t>37a High Street</t>
  </si>
  <si>
    <t>Bexson</t>
  </si>
  <si>
    <t>Len.Best2@gmail.com</t>
  </si>
  <si>
    <t>DE4 3GS</t>
  </si>
  <si>
    <t>41 Wellington Street</t>
  </si>
  <si>
    <t>Best</t>
  </si>
  <si>
    <t>rich.berry@me.com</t>
  </si>
  <si>
    <t>W45DJ</t>
  </si>
  <si>
    <t>300 Acton Lane</t>
  </si>
  <si>
    <t xml:space="preserve">Flat 8 </t>
  </si>
  <si>
    <t>ceejay_uk@mac.com</t>
  </si>
  <si>
    <t>Breveting Wheelers</t>
  </si>
  <si>
    <t>WS12 4TL</t>
  </si>
  <si>
    <t>10 Skylark Close</t>
  </si>
  <si>
    <t>rich.benson83@gmail.com</t>
  </si>
  <si>
    <t>Vector racing</t>
  </si>
  <si>
    <t xml:space="preserve">Hg2 0as </t>
  </si>
  <si>
    <t xml:space="preserve">Harrogate </t>
  </si>
  <si>
    <t xml:space="preserve">44 Harlow Avenue </t>
  </si>
  <si>
    <t xml:space="preserve">Rich </t>
  </si>
  <si>
    <t>jaredbenney@btinternet.com</t>
  </si>
  <si>
    <t>CV4 9SU</t>
  </si>
  <si>
    <t>134 Astoria Srive</t>
  </si>
  <si>
    <t>Benney</t>
  </si>
  <si>
    <t>William Henry</t>
  </si>
  <si>
    <t>Jared</t>
  </si>
  <si>
    <t>somersetbennetts@gmail.com</t>
  </si>
  <si>
    <t>Mendip Cycling Club</t>
  </si>
  <si>
    <t>BS24 0 BT</t>
  </si>
  <si>
    <t xml:space="preserve">Weston Super Mare </t>
  </si>
  <si>
    <t xml:space="preserve">Lympsham </t>
  </si>
  <si>
    <t>12 Ferry Lane</t>
  </si>
  <si>
    <t>bennett2000@btinternet.com</t>
  </si>
  <si>
    <t>Serpentine RC</t>
  </si>
  <si>
    <t>NW6 4TD</t>
  </si>
  <si>
    <t>21C Kingsgate ~Road</t>
  </si>
  <si>
    <t>richardjohnbennett@gmail.com</t>
  </si>
  <si>
    <t>RG14 2SQ</t>
  </si>
  <si>
    <t>47 Marsham Drive</t>
  </si>
  <si>
    <t>mkbennett@gmail.com</t>
  </si>
  <si>
    <t>MK18 4JX</t>
  </si>
  <si>
    <t>Barton Hartshorn</t>
  </si>
  <si>
    <t>Rooster's Barn</t>
  </si>
  <si>
    <t>kevin@nevik.co.uk</t>
  </si>
  <si>
    <t xml:space="preserve">Forres CC </t>
  </si>
  <si>
    <t>IV30 6GB</t>
  </si>
  <si>
    <t>46 Bain Avenue</t>
  </si>
  <si>
    <t>pbell39@gmail.com</t>
  </si>
  <si>
    <t>LE17 5QE</t>
  </si>
  <si>
    <t>Bruntingthorpe</t>
  </si>
  <si>
    <t>The Woodlands, Main Street</t>
  </si>
  <si>
    <t>Cedar House</t>
  </si>
  <si>
    <t>euan.bell@gmail.com</t>
  </si>
  <si>
    <t>KT17 4BE</t>
  </si>
  <si>
    <t>2 Osborne Close</t>
  </si>
  <si>
    <t>Euan</t>
  </si>
  <si>
    <t>immby@me.com</t>
  </si>
  <si>
    <t>NP7 9LJ</t>
  </si>
  <si>
    <t>LLanfoist</t>
  </si>
  <si>
    <t>43 Briardene</t>
  </si>
  <si>
    <t>Moore MacCormack</t>
  </si>
  <si>
    <t>beebell707@gmail.com</t>
  </si>
  <si>
    <t>BB3 3AE</t>
  </si>
  <si>
    <t>75 Higher Perry Street</t>
  </si>
  <si>
    <t>peternsylvia@virginmedia.com</t>
  </si>
  <si>
    <t>WA1 4OS</t>
  </si>
  <si>
    <t>Martinscroft</t>
  </si>
  <si>
    <t>1 Edward Gardens</t>
  </si>
  <si>
    <t>tvrcar@gmail.com</t>
  </si>
  <si>
    <t>LS13 2AR</t>
  </si>
  <si>
    <t>11 Hillcourt Avenue</t>
  </si>
  <si>
    <t>bell</t>
  </si>
  <si>
    <t>glyn</t>
  </si>
  <si>
    <t>allen</t>
  </si>
  <si>
    <t>rbelk59105@aol.com</t>
  </si>
  <si>
    <t>LA9 6AU</t>
  </si>
  <si>
    <t>6 Larch Grove</t>
  </si>
  <si>
    <t>Belk</t>
  </si>
  <si>
    <t>ringer31@btinternet.com</t>
  </si>
  <si>
    <t>YO8 3ND</t>
  </si>
  <si>
    <t>45 Hillfields</t>
  </si>
  <si>
    <t>t_belbin@sky.com</t>
  </si>
  <si>
    <t>BH20 4DN</t>
  </si>
  <si>
    <t xml:space="preserve">Dorset		</t>
  </si>
  <si>
    <t>73 Northport Drive</t>
  </si>
  <si>
    <t>Belbin</t>
  </si>
  <si>
    <t>anthonybee@btinternet.com</t>
  </si>
  <si>
    <t>ME10 4RJ</t>
  </si>
  <si>
    <t>73 Crossways,</t>
  </si>
  <si>
    <t>Bee</t>
  </si>
  <si>
    <t>markbeds@hotmail.com</t>
  </si>
  <si>
    <t>Hg5 0SP</t>
  </si>
  <si>
    <t xml:space="preserve">Knaresborough </t>
  </si>
  <si>
    <t xml:space="preserve">The Gateways </t>
  </si>
  <si>
    <t>lindabeckett1@aol.com</t>
  </si>
  <si>
    <t>SY4 5JP</t>
  </si>
  <si>
    <t>11 Hazlitt Place</t>
  </si>
  <si>
    <t>thebeats19@hotmail.com</t>
  </si>
  <si>
    <t>GS METRO</t>
  </si>
  <si>
    <t>NE47 9QQ</t>
  </si>
  <si>
    <t>Catton</t>
  </si>
  <si>
    <t>13 Allen View</t>
  </si>
  <si>
    <t>Beaty</t>
  </si>
  <si>
    <t>debs_82@hotmail.com</t>
  </si>
  <si>
    <t xml:space="preserve">IRC </t>
  </si>
  <si>
    <t>MK45 1RX</t>
  </si>
  <si>
    <t>12, Hawk close</t>
  </si>
  <si>
    <t>Beare</t>
  </si>
  <si>
    <t>Frances</t>
  </si>
  <si>
    <t>mowermec@sky.com</t>
  </si>
  <si>
    <t>Bridgnorth CC</t>
  </si>
  <si>
    <t xml:space="preserve">WV155DZ </t>
  </si>
  <si>
    <t xml:space="preserve">Bridgnorth </t>
  </si>
  <si>
    <t>42 Oaklands</t>
  </si>
  <si>
    <t>Beardmore</t>
  </si>
  <si>
    <t>scott.beard73@gmail.com</t>
  </si>
  <si>
    <t>CM13 2HY</t>
  </si>
  <si>
    <t xml:space="preserve">Hutton </t>
  </si>
  <si>
    <t xml:space="preserve">30 Hanging Hill lane </t>
  </si>
  <si>
    <t>NP20 4JG</t>
  </si>
  <si>
    <t>31 Penllyn Avenue</t>
  </si>
  <si>
    <t>martinbeale28@gmail.com</t>
  </si>
  <si>
    <t>BH24 6UA</t>
  </si>
  <si>
    <t>6 Glengary</t>
  </si>
  <si>
    <t>chrisbeal58@hotmail.com</t>
  </si>
  <si>
    <t>NG4 1DZ</t>
  </si>
  <si>
    <t>73 Kesington Gardens</t>
  </si>
  <si>
    <t>Beal</t>
  </si>
  <si>
    <t>Tyne And Wear</t>
  </si>
  <si>
    <t>h_bayley@sky.com</t>
  </si>
  <si>
    <t>BN17 5PZ</t>
  </si>
  <si>
    <t xml:space="preserve">Littlehampton </t>
  </si>
  <si>
    <t xml:space="preserve">23 st Maryâ€™s close </t>
  </si>
  <si>
    <t>valerieandtonybaxter@yahoo.co.uk</t>
  </si>
  <si>
    <t>Withington Wheelers</t>
  </si>
  <si>
    <t>S32 3YT</t>
  </si>
  <si>
    <t>Hope Valley,</t>
  </si>
  <si>
    <t>Curbar</t>
  </si>
  <si>
    <t>Riddings Lane</t>
  </si>
  <si>
    <t>Barn Close</t>
  </si>
  <si>
    <t xml:space="preserve">21 Manor Gardens		</t>
  </si>
  <si>
    <t>WN2 5QY</t>
  </si>
  <si>
    <t>Abram</t>
  </si>
  <si>
    <t>197 Warrington Road</t>
  </si>
  <si>
    <t>Baxendale</t>
  </si>
  <si>
    <t>peter.baumber2@gmail.com</t>
  </si>
  <si>
    <t>CB25 9NQ</t>
  </si>
  <si>
    <t>116 Way Lane</t>
  </si>
  <si>
    <t>Wheatsheaf Lodge</t>
  </si>
  <si>
    <t>kevinbaumber@gmail.com</t>
  </si>
  <si>
    <t>CM15 0TA</t>
  </si>
  <si>
    <t>Mountnessing</t>
  </si>
  <si>
    <t>Thoby Lane</t>
  </si>
  <si>
    <t>LS26 8DN</t>
  </si>
  <si>
    <t>Swillington</t>
  </si>
  <si>
    <t>11 Woodland Crescent</t>
  </si>
  <si>
    <t>jason2bateman@hotmail.co.uk</t>
  </si>
  <si>
    <t>Pendle Forest Cycling Club</t>
  </si>
  <si>
    <t>BB8 9PL</t>
  </si>
  <si>
    <t>The Locks</t>
  </si>
  <si>
    <t>9 Grenfell Gardens</t>
  </si>
  <si>
    <t>mbmartinandjane893@gmail.com</t>
  </si>
  <si>
    <t>OX28 3QX</t>
  </si>
  <si>
    <t>14 Oxlease</t>
  </si>
  <si>
    <t>bate</t>
  </si>
  <si>
    <t>HG4 1EX</t>
  </si>
  <si>
    <t>Palace Road</t>
  </si>
  <si>
    <t>18 Residential Park</t>
  </si>
  <si>
    <t>Bate</t>
  </si>
  <si>
    <t>paulbasson1999@icloud.com</t>
  </si>
  <si>
    <t xml:space="preserve">ABC Centreville </t>
  </si>
  <si>
    <t>M28 1up</t>
  </si>
  <si>
    <t xml:space="preserve">Boothstown </t>
  </si>
  <si>
    <t>2 amberhill way</t>
  </si>
  <si>
    <t>Basson</t>
  </si>
  <si>
    <t>ian.baskeyfield@outlook.com</t>
  </si>
  <si>
    <t>Mid Wirral wheelers</t>
  </si>
  <si>
    <t>CH62 1HE</t>
  </si>
  <si>
    <t>5 Samaria Avenue</t>
  </si>
  <si>
    <t>Baskeyfield</t>
  </si>
  <si>
    <t>gerryrbarton@hotmail.com</t>
  </si>
  <si>
    <t>IP30 9AL</t>
  </si>
  <si>
    <t>Beyton</t>
  </si>
  <si>
    <t>Beynor  Church Road</t>
  </si>
  <si>
    <t>jill@thewholesomepeapod.co.uk</t>
  </si>
  <si>
    <t>SL4 5RQ</t>
  </si>
  <si>
    <t>16 Pierson Road</t>
  </si>
  <si>
    <t>Bartlett</t>
  </si>
  <si>
    <t>sheilactt@sky.com</t>
  </si>
  <si>
    <t>sportfagley</t>
  </si>
  <si>
    <t>CV1 3PQ</t>
  </si>
  <si>
    <t>Sherbourne Gardens</t>
  </si>
  <si>
    <t>85 Waverley Road</t>
  </si>
  <si>
    <t>sportfagley@sky.com</t>
  </si>
  <si>
    <t>dabarron@doctors.org.uk</t>
  </si>
  <si>
    <t>LS29 8UN</t>
  </si>
  <si>
    <t>5 Low Beck</t>
  </si>
  <si>
    <t>Barron</t>
  </si>
  <si>
    <t>faybarrington@gmail.com</t>
  </si>
  <si>
    <t>Aberdeen Wheelers Cycling Club</t>
  </si>
  <si>
    <t>AB10 6QL</t>
  </si>
  <si>
    <t xml:space="preserve">Aberdeen </t>
  </si>
  <si>
    <t>12 A Great Western Place</t>
  </si>
  <si>
    <t xml:space="preserve">Barrington </t>
  </si>
  <si>
    <t>Donbarrell@hotmail.com</t>
  </si>
  <si>
    <t xml:space="preserve">Gregarios </t>
  </si>
  <si>
    <t>Wd231de</t>
  </si>
  <si>
    <t>Bushey</t>
  </si>
  <si>
    <t>Merryhill Road</t>
  </si>
  <si>
    <t>brian.barraclough@hotmail.co.uk</t>
  </si>
  <si>
    <t>BS18 5AU</t>
  </si>
  <si>
    <t>Hinton Blewitt</t>
  </si>
  <si>
    <t>Lower Road</t>
  </si>
  <si>
    <t>Seven Stars House</t>
  </si>
  <si>
    <t>Barraclough</t>
  </si>
  <si>
    <t>Marilyn</t>
  </si>
  <si>
    <t>john.barnett1154@gmail.com</t>
  </si>
  <si>
    <t>LS21 3NZ</t>
  </si>
  <si>
    <t>1 Pegholme Drive</t>
  </si>
  <si>
    <t>daniel.barnett74@gmail.com</t>
  </si>
  <si>
    <t>NG17 4PF</t>
  </si>
  <si>
    <t>Sutton in Ashfield</t>
  </si>
  <si>
    <t>7 Dobsons Mews</t>
  </si>
  <si>
    <t>Sharonclifford48@gmail.com</t>
  </si>
  <si>
    <t>BL6 6DR</t>
  </si>
  <si>
    <t>1 Derwent Close</t>
  </si>
  <si>
    <t>fylbike@gmail.com</t>
  </si>
  <si>
    <t>the2bobbys@gmail.com</t>
  </si>
  <si>
    <t>NN17 2DD</t>
  </si>
  <si>
    <t>Corby</t>
  </si>
  <si>
    <t>12 Crawford Grove</t>
  </si>
  <si>
    <t>S72 8QP</t>
  </si>
  <si>
    <t>Shafton</t>
  </si>
  <si>
    <t>12 Pontefract Road</t>
  </si>
  <si>
    <t>grahambarker49@outlook.com</t>
  </si>
  <si>
    <t>georgelee.barker@talktalk.net</t>
  </si>
  <si>
    <t>LS28 7AN</t>
  </si>
  <si>
    <t>Pudsey</t>
  </si>
  <si>
    <t>3 Rosemont Drive</t>
  </si>
  <si>
    <t>Polhill Racing Club</t>
  </si>
  <si>
    <t>Enid</t>
  </si>
  <si>
    <t>barfordc@aol.com</t>
  </si>
  <si>
    <t>45 RC</t>
  </si>
  <si>
    <t>NN5 6HN</t>
  </si>
  <si>
    <t>22 Southfield Road</t>
  </si>
  <si>
    <t xml:space="preserve">Barford </t>
  </si>
  <si>
    <t>kimberley.brace@hotmail.com</t>
  </si>
  <si>
    <t xml:space="preserve">BA2 0FA </t>
  </si>
  <si>
    <t xml:space="preserve">Farmborough </t>
  </si>
  <si>
    <t>Barfoot-Brace</t>
  </si>
  <si>
    <t>jeanette.barber@outlook.com</t>
  </si>
  <si>
    <t>WA159HP</t>
  </si>
  <si>
    <t>71 Hale Rd</t>
  </si>
  <si>
    <t>alpen76@hotmail.co.uk</t>
  </si>
  <si>
    <t>NR33 8QD</t>
  </si>
  <si>
    <t>57 Conrad Road</t>
  </si>
  <si>
    <t>Allistair</t>
  </si>
  <si>
    <t>stu.ballard@gmail.com</t>
  </si>
  <si>
    <t xml:space="preserve">Ingatestone </t>
  </si>
  <si>
    <t>63 Tor Bryan</t>
  </si>
  <si>
    <t>Ballard</t>
  </si>
  <si>
    <t>michaelballard1@btinternet.com</t>
  </si>
  <si>
    <t>DA6 8LJ</t>
  </si>
  <si>
    <t>2 Lewin Road</t>
  </si>
  <si>
    <t>tonyball300@gmail.com</t>
  </si>
  <si>
    <t xml:space="preserve">Ox15 0QR </t>
  </si>
  <si>
    <t xml:space="preserve">Nr Deddington </t>
  </si>
  <si>
    <t xml:space="preserve">Hempton </t>
  </si>
  <si>
    <t>20 St John's Way</t>
  </si>
  <si>
    <t>Ball</t>
  </si>
  <si>
    <t>keball999@gmail.com</t>
  </si>
  <si>
    <t>EH9 1NU</t>
  </si>
  <si>
    <t>20 St Catherine's Place</t>
  </si>
  <si>
    <t>martin.balk@hotmail.co.uk</t>
  </si>
  <si>
    <t>SO45 5EZ</t>
  </si>
  <si>
    <t>Holbury</t>
  </si>
  <si>
    <t>12 Harrier Way</t>
  </si>
  <si>
    <t>Balk</t>
  </si>
  <si>
    <t>shaun@tbalfe.co.uk</t>
  </si>
  <si>
    <t>NG32 1SH</t>
  </si>
  <si>
    <t>leicesterhsite</t>
  </si>
  <si>
    <t>Old Threshing Barn, Waltham Lane</t>
  </si>
  <si>
    <t>Balfe</t>
  </si>
  <si>
    <t>shaun</t>
  </si>
  <si>
    <t>jonathanbaker2@mac.com</t>
  </si>
  <si>
    <t>RH16 1RN</t>
  </si>
  <si>
    <t>The Well House, Summerhill Lane</t>
  </si>
  <si>
    <t>waynewab@aol.com</t>
  </si>
  <si>
    <t>BS22 9JQ</t>
  </si>
  <si>
    <t>Weston-super-Mare</t>
  </si>
  <si>
    <t>14A Bramblewood Road</t>
  </si>
  <si>
    <t xml:space="preserve">Standards: Solo Trike: unlimited attempts at any distance Standards: Solo Bike: unlimited attempts at any distance </t>
  </si>
  <si>
    <t>alan.baker.0@gmail.com</t>
  </si>
  <si>
    <t>BH24 3NL</t>
  </si>
  <si>
    <t>Ringwood</t>
  </si>
  <si>
    <t>South Gorley</t>
  </si>
  <si>
    <t>Russet Dene</t>
  </si>
  <si>
    <t>ME6 9JW</t>
  </si>
  <si>
    <t>Barming</t>
  </si>
  <si>
    <t>12, Northfields</t>
  </si>
  <si>
    <t>bakerfam.home@btinternet.com</t>
  </si>
  <si>
    <t>BN7 2EY</t>
  </si>
  <si>
    <t>5 Dunvan Close</t>
  </si>
  <si>
    <t>baird427@hotmail.com</t>
  </si>
  <si>
    <t>Ecosse Performance Cycling Coaching</t>
  </si>
  <si>
    <t>PA16 7TJ</t>
  </si>
  <si>
    <t>16 Lylefoot Cresent</t>
  </si>
  <si>
    <t>baines432@btinternet.com</t>
  </si>
  <si>
    <t>DE130AJ</t>
  </si>
  <si>
    <t>Outwoods</t>
  </si>
  <si>
    <t>326 Tutbury Road</t>
  </si>
  <si>
    <t>Baines</t>
  </si>
  <si>
    <t>john@timetrial.plus.com</t>
  </si>
  <si>
    <t>LS24 9SZ</t>
  </si>
  <si>
    <t>Barkston Ash</t>
  </si>
  <si>
    <t>3 Church Croft</t>
  </si>
  <si>
    <t>ML11 7AT</t>
  </si>
  <si>
    <t>LANARK</t>
  </si>
  <si>
    <t>11 St Nickolas Road</t>
  </si>
  <si>
    <t>Bain</t>
  </si>
  <si>
    <t>bailey_nick@sky.com</t>
  </si>
  <si>
    <t>CW12 4LZ</t>
  </si>
  <si>
    <t>3 Grasmere Avenue</t>
  </si>
  <si>
    <t>phil.bailey@btinternet.com</t>
  </si>
  <si>
    <t>24 Gurdon Road</t>
  </si>
  <si>
    <t>bailey_thomas48@yahoo.co.uk</t>
  </si>
  <si>
    <t>NN157QG</t>
  </si>
  <si>
    <t>4 Southlands</t>
  </si>
  <si>
    <t>tim_baggs@hotmail.com</t>
  </si>
  <si>
    <t>NG23 5BY</t>
  </si>
  <si>
    <t>Brandon Road</t>
  </si>
  <si>
    <t>Church Cottage</t>
  </si>
  <si>
    <t>Baggs</t>
  </si>
  <si>
    <t>johnandpat@allaboutimage.net</t>
  </si>
  <si>
    <t>ST15 0DB</t>
  </si>
  <si>
    <t>29 Redwood Avenue</t>
  </si>
  <si>
    <t>BADDELEY</t>
  </si>
  <si>
    <t>ERIC</t>
  </si>
  <si>
    <t>ronbackwsw@gmail.com</t>
  </si>
  <si>
    <t>IP29 4RH</t>
  </si>
  <si>
    <t>Stanningfield</t>
  </si>
  <si>
    <t>11, Smithy Close</t>
  </si>
  <si>
    <t>Back</t>
  </si>
  <si>
    <t>peter@cheringtonmill.com</t>
  </si>
  <si>
    <t>CV36 5HS</t>
  </si>
  <si>
    <t>Shipston on Stour</t>
  </si>
  <si>
    <t>Cherington</t>
  </si>
  <si>
    <t>Cherington Mill</t>
  </si>
  <si>
    <t>Babbage</t>
  </si>
  <si>
    <t>peterbabb@manx.net</t>
  </si>
  <si>
    <t>Ellan Vannin CC</t>
  </si>
  <si>
    <t>IM2 5LB</t>
  </si>
  <si>
    <t>Isle of Man</t>
  </si>
  <si>
    <t>Tromode Park</t>
  </si>
  <si>
    <t>Applegarth</t>
  </si>
  <si>
    <t>Babb</t>
  </si>
  <si>
    <t>bob.awcock@btinternet.com</t>
  </si>
  <si>
    <t>CV5 9LG</t>
  </si>
  <si>
    <t>Allesley Park</t>
  </si>
  <si>
    <t>2 Marlston Walk</t>
  </si>
  <si>
    <t>Awcock</t>
  </si>
  <si>
    <t>ianapost@sky.com</t>
  </si>
  <si>
    <t>GU34 2FS</t>
  </si>
  <si>
    <t>31 Bello Abbey Way</t>
  </si>
  <si>
    <t>BARRIEBIKE42@NTLWORLD.COM</t>
  </si>
  <si>
    <t>Elm Tree Wheelers</t>
  </si>
  <si>
    <t>SP10 4EN</t>
  </si>
  <si>
    <t>HANTS</t>
  </si>
  <si>
    <t>CHARLTON ANDOVER</t>
  </si>
  <si>
    <t>1 BRANCASTER AVENUE</t>
  </si>
  <si>
    <t>PEDALLERS REST</t>
  </si>
  <si>
    <t>Austen</t>
  </si>
  <si>
    <t>TS16 0LQ</t>
  </si>
  <si>
    <t>16 Seymore Drive</t>
  </si>
  <si>
    <t>Athey</t>
  </si>
  <si>
    <t>smaston3@gmail.com</t>
  </si>
  <si>
    <t>LL14 2AJ</t>
  </si>
  <si>
    <t>67 Brandy Brook</t>
  </si>
  <si>
    <t>lynsey.astles@barclays.com</t>
  </si>
  <si>
    <t>CW11 2SB</t>
  </si>
  <si>
    <t>Arclid</t>
  </si>
  <si>
    <t>5 John Ford Way</t>
  </si>
  <si>
    <t>Astles</t>
  </si>
  <si>
    <t>Lynsey</t>
  </si>
  <si>
    <t>Matthew.asquith@ntlworld.com</t>
  </si>
  <si>
    <t>ls285ed</t>
  </si>
  <si>
    <t>leeds</t>
  </si>
  <si>
    <t xml:space="preserve">Farsley </t>
  </si>
  <si>
    <t xml:space="preserve">15 cote Lane </t>
  </si>
  <si>
    <t>Asquith</t>
  </si>
  <si>
    <t>r.j.askwith@ljmu.ac.uk</t>
  </si>
  <si>
    <t>YO25 8HJ</t>
  </si>
  <si>
    <t>East Riding</t>
  </si>
  <si>
    <t>Little Kelk</t>
  </si>
  <si>
    <t>White Cottage</t>
  </si>
  <si>
    <t>mike_ashurst@hotmail.com</t>
  </si>
  <si>
    <t>Royal Air Force Cycling Association</t>
  </si>
  <si>
    <t>EX31 4RP</t>
  </si>
  <si>
    <t>Chelfham</t>
  </si>
  <si>
    <t>Chelfham Barton Manor</t>
  </si>
  <si>
    <t>neville.ashman@ntlworld.com</t>
  </si>
  <si>
    <t>Mancheste &amp; NW Group</t>
  </si>
  <si>
    <t>SK8 6JZ</t>
  </si>
  <si>
    <t>77 Hulme Hall Road</t>
  </si>
  <si>
    <t>Ashman</t>
  </si>
  <si>
    <t>colin.ashcroft@outlook.com</t>
  </si>
  <si>
    <t>DA6 8LS</t>
  </si>
  <si>
    <t>127 Upton Road</t>
  </si>
  <si>
    <t>Ashcroft</t>
  </si>
  <si>
    <t>philip.ashbourn@gmail.com</t>
  </si>
  <si>
    <t>MK15 9AX</t>
  </si>
  <si>
    <t>Downhead Park</t>
  </si>
  <si>
    <t>29 Kemble Court</t>
  </si>
  <si>
    <t>Ashbourn</t>
  </si>
  <si>
    <t>martin@arundelnet.biz</t>
  </si>
  <si>
    <t>AL1 2LR</t>
  </si>
  <si>
    <t>7 Holyrood Crescent</t>
  </si>
  <si>
    <t>swanage@davearrowsmith.co.uk</t>
  </si>
  <si>
    <t>BH19 1JS</t>
  </si>
  <si>
    <t xml:space="preserve">5 Newton Manor Close </t>
  </si>
  <si>
    <t>Arrowsmith</t>
  </si>
  <si>
    <t>Reginald</t>
  </si>
  <si>
    <t>pnut.tpr@gmail.com</t>
  </si>
  <si>
    <t>VTTA East Anglian Group</t>
  </si>
  <si>
    <t>IP28 8TF</t>
  </si>
  <si>
    <t>49 Heathersett Way</t>
  </si>
  <si>
    <t>mikemersey@yahoo.co.uk</t>
  </si>
  <si>
    <t>Liverpool  centuryr RC</t>
  </si>
  <si>
    <t>L31 1EX</t>
  </si>
  <si>
    <t>Brewery Lane</t>
  </si>
  <si>
    <t>sbradleyarmstrong@gmail.com</t>
  </si>
  <si>
    <t>Velo Club Rutland</t>
  </si>
  <si>
    <t>LE15 7FH</t>
  </si>
  <si>
    <t xml:space="preserve">East Wing, The Mansion House, Oakham, Rutland </t>
  </si>
  <si>
    <t xml:space="preserve">Bradley </t>
  </si>
  <si>
    <t xml:space="preserve">Stafford </t>
  </si>
  <si>
    <t>Sunderland Clarion</t>
  </si>
  <si>
    <t>NE6 4SR</t>
  </si>
  <si>
    <t>Walkerville</t>
  </si>
  <si>
    <t>1034 Shields Road</t>
  </si>
  <si>
    <t>williamvcc@hotmail.co.uk</t>
  </si>
  <si>
    <t>CA7 3DJ</t>
  </si>
  <si>
    <t>Wigton</t>
  </si>
  <si>
    <t>Aspatria</t>
  </si>
  <si>
    <t>5 Brayton Road, Aspatria</t>
  </si>
  <si>
    <t>Sylvia</t>
  </si>
  <si>
    <t>BA2 2AU</t>
  </si>
  <si>
    <t>Camerton</t>
  </si>
  <si>
    <t>1 The Heritage</t>
  </si>
  <si>
    <t>Arayan</t>
  </si>
  <si>
    <t>peteranstey@live.co.uk</t>
  </si>
  <si>
    <t>AL8 6JU</t>
  </si>
  <si>
    <t>34 Barleycroft Road</t>
  </si>
  <si>
    <t>robndrwrth@gmail.com</t>
  </si>
  <si>
    <t>PL19 8HZ</t>
  </si>
  <si>
    <t>Tavistock</t>
  </si>
  <si>
    <t>Gulworthy</t>
  </si>
  <si>
    <t>Old Crebor Farm</t>
  </si>
  <si>
    <t>Andrewartha</t>
  </si>
  <si>
    <t>rattymooey@mac.com</t>
  </si>
  <si>
    <t>B79 9JD</t>
  </si>
  <si>
    <t>Edingale</t>
  </si>
  <si>
    <t>darren.anderson365@ntlworld.com</t>
  </si>
  <si>
    <t>Fareham wheelers cycling club</t>
  </si>
  <si>
    <t>So304er</t>
  </si>
  <si>
    <t>Hedge End, Southampton</t>
  </si>
  <si>
    <t>Hedge end</t>
  </si>
  <si>
    <t>11 Allen road</t>
  </si>
  <si>
    <t>anderson</t>
  </si>
  <si>
    <t>darren</t>
  </si>
  <si>
    <t>maplant@icloud.com</t>
  </si>
  <si>
    <t xml:space="preserve">GTR-return to life </t>
  </si>
  <si>
    <t xml:space="preserve">KA17 0NS </t>
  </si>
  <si>
    <t xml:space="preserve">5 Laggan view </t>
  </si>
  <si>
    <t>mikeveloman@gmail.com</t>
  </si>
  <si>
    <t>CC Moncontour</t>
  </si>
  <si>
    <t>SP6 1QR</t>
  </si>
  <si>
    <t>64 Avon Meade</t>
  </si>
  <si>
    <t>jenny.j.anderson@gmail.com</t>
  </si>
  <si>
    <t>NR32 5PY</t>
  </si>
  <si>
    <t>Somerleyton</t>
  </si>
  <si>
    <t>Policemans Loke</t>
  </si>
  <si>
    <t xml:space="preserve">Appletree Cottage </t>
  </si>
  <si>
    <t>frankanderson52@hotmail.com</t>
  </si>
  <si>
    <t>EH54 6NP</t>
  </si>
  <si>
    <t>26 Palmer Rise</t>
  </si>
  <si>
    <t>jornia74@gmail.com</t>
  </si>
  <si>
    <t>CK Elverum</t>
  </si>
  <si>
    <t>Elverum</t>
  </si>
  <si>
    <t>Strandbygdvegen 44</t>
  </si>
  <si>
    <t>Andersen</t>
  </si>
  <si>
    <t>JÃ¸rn</t>
  </si>
  <si>
    <t>samuelallport11@gmail.com</t>
  </si>
  <si>
    <t>Denmark Avenue</t>
  </si>
  <si>
    <t>15 Parker Court</t>
  </si>
  <si>
    <t>Allport</t>
  </si>
  <si>
    <t>oleeallen@hotmail.com</t>
  </si>
  <si>
    <t>DN12 2BP</t>
  </si>
  <si>
    <t>Conisbrough</t>
  </si>
  <si>
    <t xml:space="preserve">4 Holywell Lane </t>
  </si>
  <si>
    <t>NE47 0DF</t>
  </si>
  <si>
    <t>Slaley</t>
  </si>
  <si>
    <t>West Woodfoot</t>
  </si>
  <si>
    <t>TEAM ENABLE.mi.racing McCann</t>
  </si>
  <si>
    <t>DE5 9TA</t>
  </si>
  <si>
    <t>Waingroves</t>
  </si>
  <si>
    <t>7 Grove Court</t>
  </si>
  <si>
    <t>Nikz@ntlworld.com</t>
  </si>
  <si>
    <t>Team TMC Strada wheels</t>
  </si>
  <si>
    <t>BN14 7PT</t>
  </si>
  <si>
    <t>72 Wiston Avenue</t>
  </si>
  <si>
    <t>Nik</t>
  </si>
  <si>
    <t>alan.allcock1@ntlworld.com</t>
  </si>
  <si>
    <t>OX11 7PA</t>
  </si>
  <si>
    <t>13 Mead Walk</t>
  </si>
  <si>
    <t>Allcock</t>
  </si>
  <si>
    <t>galdridge1951@gmail.com</t>
  </si>
  <si>
    <t>Birkenhead North End Cycling Club</t>
  </si>
  <si>
    <t>Ch42 8pd</t>
  </si>
  <si>
    <t>Prenton,Birkenhhead</t>
  </si>
  <si>
    <t>33 Curzon Road</t>
  </si>
  <si>
    <t>susanaldridge@hotmail.com</t>
  </si>
  <si>
    <t>keithalderson56@yahoo.co.uk</t>
  </si>
  <si>
    <t>DL1 3HL</t>
  </si>
  <si>
    <t>4 Clarendon Road</t>
  </si>
  <si>
    <t>Alderson</t>
  </si>
  <si>
    <t>andyalcorn1@gmail.com</t>
  </si>
  <si>
    <t>BA1 2BG</t>
  </si>
  <si>
    <t xml:space="preserve">Norfolk Crescent </t>
  </si>
  <si>
    <t xml:space="preserve">26 Cumberland House </t>
  </si>
  <si>
    <t>Alcorn</t>
  </si>
  <si>
    <t>kennethraddison@hotmail.co.uk</t>
  </si>
  <si>
    <t>PR1 0JJ</t>
  </si>
  <si>
    <t>53 Stanley Grove</t>
  </si>
  <si>
    <t>Addison</t>
  </si>
  <si>
    <t>maxfaxtriathlete@outlook.com</t>
  </si>
  <si>
    <t>HG3 1EJ</t>
  </si>
  <si>
    <t>Pannal</t>
  </si>
  <si>
    <t xml:space="preserve">17 Walton Park </t>
  </si>
  <si>
    <t>Aidan</t>
  </si>
  <si>
    <t>jazzymalc@aol.com</t>
  </si>
  <si>
    <t>CT6 6HP</t>
  </si>
  <si>
    <t>Greystones, 28 Landon Rd</t>
  </si>
  <si>
    <t>georgeadam8@live.com</t>
  </si>
  <si>
    <t>PH1 4NN</t>
  </si>
  <si>
    <t>3 Sheilhill Place</t>
  </si>
  <si>
    <t>paul.abraham@live.com</t>
  </si>
  <si>
    <t>Hitchin Nomads</t>
  </si>
  <si>
    <t>SG5 2LU</t>
  </si>
  <si>
    <t>14 Lavender Way</t>
  </si>
  <si>
    <t>simonabdy@gmail.com</t>
  </si>
  <si>
    <t>DN18 5FF</t>
  </si>
  <si>
    <t>North Lincs</t>
  </si>
  <si>
    <t>9 Heron Way</t>
  </si>
  <si>
    <t>Abdy</t>
  </si>
  <si>
    <t>Gender At Birth</t>
  </si>
  <si>
    <t>Classification</t>
  </si>
  <si>
    <t>CTT number</t>
  </si>
  <si>
    <t>Photos - opt in</t>
  </si>
  <si>
    <t>Contact - opt in</t>
  </si>
  <si>
    <t>Imported</t>
  </si>
  <si>
    <t>End date</t>
  </si>
  <si>
    <t>Date joined</t>
  </si>
  <si>
    <t>Handbook opt-out</t>
  </si>
  <si>
    <t>Veteran opt-out</t>
  </si>
  <si>
    <t>Communication method</t>
  </si>
  <si>
    <t>Last paid date</t>
  </si>
  <si>
    <t>Payment Method</t>
  </si>
  <si>
    <t>Email</t>
  </si>
  <si>
    <t>Club</t>
  </si>
  <si>
    <t>Phone 2</t>
  </si>
  <si>
    <t>Phone 1</t>
  </si>
  <si>
    <t>Post Code</t>
  </si>
  <si>
    <t>Address Line 4</t>
  </si>
  <si>
    <t>Address Line 3</t>
  </si>
  <si>
    <t>Address Line 2</t>
  </si>
  <si>
    <t>Address Line 1</t>
  </si>
  <si>
    <t>Payment status</t>
  </si>
  <si>
    <t>Membership Category</t>
  </si>
  <si>
    <t>Group name</t>
  </si>
  <si>
    <t>DoB</t>
  </si>
  <si>
    <t>Last name</t>
  </si>
  <si>
    <t>Middle name</t>
  </si>
  <si>
    <t>First name</t>
  </si>
  <si>
    <t>Membership extras for 2024</t>
  </si>
  <si>
    <t>Membership type</t>
  </si>
  <si>
    <t>Membership status</t>
  </si>
  <si>
    <t>Membership number</t>
  </si>
  <si>
    <t>Adjustment on event date</t>
  </si>
  <si>
    <t>Age for 25</t>
  </si>
  <si>
    <t>Age for 50</t>
  </si>
  <si>
    <t>Age for 100</t>
  </si>
  <si>
    <t>AAT for 25</t>
  </si>
  <si>
    <t>AAT for 50</t>
  </si>
  <si>
    <t>AAT for 100</t>
  </si>
  <si>
    <t>VTTA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</si>
</sst>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
    <numFmt numFmtId="165" formatCode="h:mm:ss;@"/>
  </numFmts>
  <fonts count="9" x14ac:knownFonts="1">
    <font>
      <sz val="11"/>
      <color theme="1"/>
      <name val="Calibri"/>
      <family val="2"/>
      <scheme val="minor"/>
    </font>
    <font>
      <sz val="11"/>
      <color theme="1"/>
      <name val="Calibri"/>
      <family val="2"/>
    </font>
    <font>
      <b/>
      <sz val="11"/>
      <color theme="1"/>
      <name val="Calibri"/>
      <family val="2"/>
      <scheme val="minor"/>
    </font>
    <font>
      <sz val="10"/>
      <name val="Arial"/>
      <family val="2"/>
    </font>
    <font>
      <b/>
      <sz val="11"/>
      <color rgb="FF000000"/>
      <name val="Calibri"/>
      <family val="2"/>
    </font>
    <font>
      <b/>
      <sz val="28"/>
      <color theme="1"/>
      <name val="Calibri"/>
      <family val="2"/>
      <scheme val="minor"/>
    </font>
    <font>
      <sz val="8"/>
      <name val="Calibri"/>
      <family val="2"/>
      <scheme val="minor"/>
    </font>
    <font>
      <sz val="11"/>
      <color rgb="FF000000"/>
      <name val="Calibri"/>
      <family val="2"/>
    </font>
    <font>
      <b/>
      <sz val="22"/>
      <color theme="1"/>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rgb="FFE7E6E6"/>
        <bgColor rgb="FF000000"/>
      </patternFill>
    </fill>
    <fill>
      <patternFill patternType="solid">
        <fgColor rgb="FFF2F2F2"/>
        <bgColor rgb="FF000000"/>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CCFF"/>
        <bgColor indexed="64"/>
      </patternFill>
    </fill>
    <fill>
      <patternFill patternType="solid">
        <fgColor theme="4" tint="0.79998168889431442"/>
        <bgColor indexed="64"/>
      </patternFill>
    </fill>
    <fill>
      <patternFill patternType="solid">
        <fgColor theme="7" tint="0.79998168889431442"/>
        <bgColor indexed="64"/>
      </patternFill>
    </fill>
  </fills>
  <borders count="2">
    <border>
      <left/>
      <right/>
      <top/>
      <bottom/>
      <diagonal/>
    </border>
    <border>
      <left/>
      <right/>
      <top/>
      <bottom style="thin">
        <color indexed="64"/>
      </bottom>
      <diagonal/>
    </border>
  </borders>
  <cellStyleXfs count="2">
    <xf numFmtId="0" fontId="0" fillId="0" borderId="0"/>
    <xf numFmtId="0" fontId="3" fillId="0" borderId="0"/>
  </cellStyleXfs>
  <cellXfs count="81">
    <xf numFmtId="0" fontId="0" fillId="0" borderId="0" xfId="0"/>
    <xf numFmtId="0" fontId="2" fillId="0" borderId="0" xfId="0" applyFont="1"/>
    <xf numFmtId="0" fontId="0" fillId="0" borderId="0" xfId="0" applyAlignment="1">
      <alignment horizontal="left"/>
    </xf>
    <xf numFmtId="0" fontId="0" fillId="0" borderId="0" xfId="0" applyAlignment="1">
      <alignment horizontal="center"/>
    </xf>
    <xf numFmtId="0" fontId="2" fillId="2" borderId="0" xfId="0" applyFont="1" applyFill="1" applyAlignment="1">
      <alignment horizontal="center"/>
    </xf>
    <xf numFmtId="0" fontId="2" fillId="0" borderId="0" xfId="0" applyFont="1" applyAlignment="1">
      <alignment horizontal="center"/>
    </xf>
    <xf numFmtId="10" fontId="0" fillId="0" borderId="0" xfId="0" applyNumberFormat="1"/>
    <xf numFmtId="14" fontId="0" fillId="0" borderId="0" xfId="0" applyNumberFormat="1" applyAlignment="1">
      <alignment horizontal="left"/>
    </xf>
    <xf numFmtId="0" fontId="0" fillId="0" borderId="0" xfId="0" applyAlignment="1">
      <alignment horizontal="right" indent="1"/>
    </xf>
    <xf numFmtId="0" fontId="2" fillId="2" borderId="0" xfId="0" applyFont="1" applyFill="1" applyAlignment="1">
      <alignment horizontal="center" vertical="top" wrapText="1"/>
    </xf>
    <xf numFmtId="0" fontId="2" fillId="2" borderId="0" xfId="0" applyFont="1" applyFill="1" applyAlignment="1">
      <alignment horizontal="center" vertical="top"/>
    </xf>
    <xf numFmtId="0" fontId="0" fillId="2" borderId="0" xfId="0" applyFill="1" applyAlignment="1">
      <alignment horizontal="left" vertical="top"/>
    </xf>
    <xf numFmtId="0" fontId="2" fillId="0" borderId="0" xfId="0" applyFont="1" applyAlignment="1">
      <alignment horizontal="left" vertical="top"/>
    </xf>
    <xf numFmtId="0" fontId="4" fillId="3" borderId="0" xfId="0" applyFont="1" applyFill="1" applyAlignment="1">
      <alignment horizontal="center" vertical="top" wrapText="1"/>
    </xf>
    <xf numFmtId="0" fontId="4" fillId="3" borderId="0" xfId="0" applyFont="1" applyFill="1" applyAlignment="1">
      <alignment horizontal="center" vertical="top"/>
    </xf>
    <xf numFmtId="0" fontId="1" fillId="3" borderId="0" xfId="0" applyFont="1" applyFill="1" applyAlignment="1">
      <alignment horizontal="center" vertical="top"/>
    </xf>
    <xf numFmtId="0" fontId="4" fillId="3" borderId="0" xfId="0" applyFont="1" applyFill="1" applyAlignment="1">
      <alignment horizontal="center" vertical="center"/>
    </xf>
    <xf numFmtId="0" fontId="4" fillId="4" borderId="0" xfId="0" applyFont="1" applyFill="1" applyAlignment="1">
      <alignment horizontal="center"/>
    </xf>
    <xf numFmtId="164" fontId="0" fillId="0" borderId="0" xfId="0" applyNumberFormat="1"/>
    <xf numFmtId="0" fontId="5" fillId="0" borderId="0" xfId="0" applyFont="1"/>
    <xf numFmtId="0" fontId="2" fillId="0" borderId="0" xfId="0" applyFont="1" applyAlignment="1">
      <alignment horizontal="right"/>
    </xf>
    <xf numFmtId="49" fontId="4" fillId="3" borderId="0" xfId="0" applyNumberFormat="1" applyFont="1" applyFill="1" applyAlignment="1">
      <alignment horizontal="center" vertical="top" wrapText="1"/>
    </xf>
    <xf numFmtId="49" fontId="4" fillId="3" borderId="0" xfId="0" applyNumberFormat="1" applyFont="1" applyFill="1" applyAlignment="1">
      <alignment horizontal="center" vertical="top"/>
    </xf>
    <xf numFmtId="49" fontId="1" fillId="3" borderId="0" xfId="0" applyNumberFormat="1" applyFont="1" applyFill="1" applyAlignment="1">
      <alignment horizontal="center" vertical="top"/>
    </xf>
    <xf numFmtId="49" fontId="4" fillId="3" borderId="0" xfId="0" applyNumberFormat="1" applyFont="1" applyFill="1" applyAlignment="1">
      <alignment horizontal="center" vertical="center"/>
    </xf>
    <xf numFmtId="49" fontId="4" fillId="4" borderId="0" xfId="0" applyNumberFormat="1" applyFont="1" applyFill="1" applyAlignment="1">
      <alignment horizontal="center"/>
    </xf>
    <xf numFmtId="165" fontId="1" fillId="0" borderId="0" xfId="0" applyNumberFormat="1" applyFont="1" applyAlignment="1">
      <alignment horizontal="right"/>
    </xf>
    <xf numFmtId="2" fontId="1" fillId="0" borderId="0" xfId="0" applyNumberFormat="1" applyFont="1" applyAlignment="1">
      <alignment horizontal="right"/>
    </xf>
    <xf numFmtId="1" fontId="0" fillId="0" borderId="0" xfId="0" applyNumberFormat="1"/>
    <xf numFmtId="1" fontId="0" fillId="0" borderId="0" xfId="0" applyNumberFormat="1" applyAlignment="1">
      <alignment vertical="top"/>
    </xf>
    <xf numFmtId="165" fontId="0" fillId="0" borderId="0" xfId="0" applyNumberFormat="1"/>
    <xf numFmtId="2" fontId="0" fillId="0" borderId="0" xfId="0" applyNumberFormat="1"/>
    <xf numFmtId="0" fontId="0" fillId="0" borderId="0" xfId="0" applyAlignment="1">
      <alignment vertical="top"/>
    </xf>
    <xf numFmtId="165" fontId="7" fillId="0" borderId="0" xfId="0" applyNumberFormat="1" applyFont="1" applyAlignment="1">
      <alignment horizontal="right" vertical="top"/>
    </xf>
    <xf numFmtId="2" fontId="7" fillId="0" borderId="0" xfId="0" applyNumberFormat="1" applyFont="1" applyAlignment="1">
      <alignment horizontal="right" vertical="top"/>
    </xf>
    <xf numFmtId="1" fontId="0" fillId="0" borderId="0" xfId="0" applyNumberFormat="1" applyAlignment="1">
      <alignment horizontal="right"/>
    </xf>
    <xf numFmtId="1" fontId="0" fillId="0" borderId="0" xfId="0" applyNumberFormat="1" applyAlignment="1">
      <alignment horizontal="right" vertical="top"/>
    </xf>
    <xf numFmtId="0" fontId="2" fillId="0" borderId="0" xfId="0" applyFont="1" applyAlignment="1">
      <alignment vertical="top"/>
    </xf>
    <xf numFmtId="0" fontId="0" fillId="0" borderId="0" xfId="0" applyAlignment="1">
      <alignment horizontal="left" vertical="top"/>
    </xf>
    <xf numFmtId="14" fontId="0" fillId="0" borderId="0" xfId="0" applyNumberFormat="1" applyAlignment="1">
      <alignment horizontal="left" vertical="top"/>
    </xf>
    <xf numFmtId="0" fontId="0" fillId="0" borderId="0" xfId="0" applyAlignment="1">
      <alignment vertical="top" wrapText="1"/>
    </xf>
    <xf numFmtId="0" fontId="0" fillId="0" borderId="0" xfId="0" applyAlignment="1">
      <alignment horizontal="left" vertical="top" wrapText="1"/>
    </xf>
    <xf numFmtId="0" fontId="8" fillId="0" borderId="0" xfId="0" applyFont="1" applyAlignment="1">
      <alignment horizontal="left"/>
    </xf>
    <xf numFmtId="164" fontId="0" fillId="0" borderId="0" xfId="0" applyNumberFormat="1" applyAlignment="1">
      <alignment horizontal="right"/>
    </xf>
    <xf numFmtId="10" fontId="0" fillId="0" borderId="0" xfId="0" applyNumberFormat="1" applyAlignment="1">
      <alignment horizontal="right"/>
    </xf>
    <xf numFmtId="0" fontId="0" fillId="0" borderId="1" xfId="0" applyBorder="1" applyAlignment="1">
      <alignment horizontal="center"/>
    </xf>
    <xf numFmtId="2" fontId="0" fillId="0" borderId="0" xfId="0" applyNumberFormat="1" applyAlignment="1">
      <alignment horizontal="right" indent="1"/>
    </xf>
    <xf numFmtId="2" fontId="0" fillId="0" borderId="0" xfId="0" applyNumberFormat="1" applyAlignment="1">
      <alignment horizontal="center"/>
    </xf>
    <xf numFmtId="2" fontId="0" fillId="0" borderId="1" xfId="0" applyNumberFormat="1" applyBorder="1" applyAlignment="1">
      <alignment horizontal="right" indent="1"/>
    </xf>
    <xf numFmtId="2" fontId="0" fillId="0" borderId="1" xfId="0" applyNumberFormat="1" applyBorder="1" applyAlignment="1">
      <alignment horizontal="center"/>
    </xf>
    <xf numFmtId="165" fontId="7" fillId="5" borderId="0" xfId="0" applyNumberFormat="1" applyFont="1" applyFill="1" applyAlignment="1">
      <alignment horizontal="right" vertical="top"/>
    </xf>
    <xf numFmtId="2" fontId="7" fillId="5" borderId="0" xfId="0" applyNumberFormat="1" applyFont="1" applyFill="1" applyAlignment="1">
      <alignment horizontal="right" vertical="top"/>
    </xf>
    <xf numFmtId="165" fontId="7" fillId="6" borderId="0" xfId="0" applyNumberFormat="1" applyFont="1" applyFill="1" applyAlignment="1">
      <alignment horizontal="right" vertical="top"/>
    </xf>
    <xf numFmtId="165" fontId="7" fillId="7" borderId="0" xfId="0" applyNumberFormat="1" applyFont="1" applyFill="1" applyAlignment="1">
      <alignment horizontal="right" vertical="top"/>
    </xf>
    <xf numFmtId="2" fontId="7" fillId="7" borderId="0" xfId="0" applyNumberFormat="1" applyFont="1" applyFill="1" applyAlignment="1">
      <alignment horizontal="right" vertical="top"/>
    </xf>
    <xf numFmtId="165" fontId="7" fillId="8" borderId="0" xfId="0" applyNumberFormat="1" applyFont="1" applyFill="1" applyAlignment="1">
      <alignment horizontal="right" vertical="top"/>
    </xf>
    <xf numFmtId="2" fontId="7" fillId="8" borderId="0" xfId="0" applyNumberFormat="1" applyFont="1" applyFill="1" applyAlignment="1">
      <alignment horizontal="right" vertical="top"/>
    </xf>
    <xf numFmtId="165" fontId="7" fillId="10" borderId="0" xfId="0" applyNumberFormat="1" applyFont="1" applyFill="1" applyAlignment="1">
      <alignment horizontal="right" vertical="top"/>
    </xf>
    <xf numFmtId="2" fontId="7" fillId="10" borderId="0" xfId="0" applyNumberFormat="1" applyFont="1" applyFill="1" applyAlignment="1">
      <alignment horizontal="right" vertical="top"/>
    </xf>
    <xf numFmtId="49" fontId="2" fillId="2" borderId="0" xfId="0" applyNumberFormat="1" applyFont="1" applyFill="1" applyAlignment="1">
      <alignment horizontal="center"/>
    </xf>
    <xf numFmtId="2" fontId="2" fillId="2" borderId="0" xfId="0" applyNumberFormat="1" applyFont="1" applyFill="1" applyAlignment="1">
      <alignment horizontal="center" vertical="top"/>
    </xf>
    <xf numFmtId="21" fontId="0" fillId="0" borderId="0" xfId="0" applyNumberFormat="1"/>
    <xf numFmtId="0" fontId="0" fillId="0" borderId="0" xfId="0" applyAlignment="1">
      <alignment horizontal="center" vertical="center" wrapText="1"/>
    </xf>
    <xf numFmtId="14" fontId="0" fillId="0" borderId="0" xfId="0" applyNumberFormat="1"/>
    <xf numFmtId="14" fontId="0" fillId="0" borderId="0" xfId="0" applyNumberFormat="1" applyAlignment="1">
      <alignment horizontal="center" vertical="center" wrapText="1"/>
    </xf>
    <xf numFmtId="1" fontId="0" fillId="0" borderId="0" xfId="0" applyNumberFormat="1" applyAlignment="1">
      <alignment horizontal="center" vertical="center" wrapText="1"/>
    </xf>
    <xf numFmtId="21" fontId="7" fillId="7" borderId="0" xfId="0" applyNumberFormat="1" applyFont="1" applyFill="1" applyAlignment="1">
      <alignment horizontal="right" vertical="top"/>
    </xf>
    <xf numFmtId="45" fontId="0" fillId="0" borderId="0" xfId="0" applyNumberFormat="1" applyAlignment="1">
      <alignment horizontal="center" vertical="center"/>
    </xf>
    <xf numFmtId="21" fontId="0" fillId="0" borderId="0" xfId="0" applyNumberFormat="1" applyAlignment="1">
      <alignment horizontal="right" vertical="center" wrapText="1"/>
    </xf>
    <xf numFmtId="21" fontId="0" fillId="0" borderId="0" xfId="0" applyNumberFormat="1" applyAlignment="1">
      <alignment horizontal="right"/>
    </xf>
    <xf numFmtId="0" fontId="2" fillId="9" borderId="0" xfId="0" applyFont="1" applyFill="1" applyAlignment="1">
      <alignment horizontal="center"/>
    </xf>
    <xf numFmtId="0" fontId="2" fillId="6" borderId="0" xfId="0" applyFont="1" applyFill="1" applyAlignment="1">
      <alignment horizontal="center"/>
    </xf>
    <xf numFmtId="0" fontId="2" fillId="7" borderId="0" xfId="0" applyFont="1" applyFill="1" applyAlignment="1">
      <alignment horizontal="center"/>
    </xf>
    <xf numFmtId="0" fontId="2" fillId="0" borderId="0" xfId="0" applyFont="1" applyAlignment="1">
      <alignment horizontal="center"/>
    </xf>
    <xf numFmtId="0" fontId="2" fillId="10" borderId="0" xfId="0" applyFont="1" applyFill="1" applyAlignment="1">
      <alignment horizontal="center"/>
    </xf>
    <xf numFmtId="0" fontId="2" fillId="5" borderId="0" xfId="0" applyFont="1" applyFill="1" applyAlignment="1">
      <alignment horizontal="center"/>
    </xf>
    <xf numFmtId="0" fontId="0" fillId="0" borderId="0" xfId="0" applyAlignment="1">
      <alignment horizontal="center"/>
    </xf>
    <xf numFmtId="0" fontId="0" fillId="8" borderId="0" xfId="0" applyFill="1" applyAlignment="1">
      <alignment horizontal="center"/>
    </xf>
    <xf numFmtId="0" fontId="2" fillId="8" borderId="0" xfId="0" applyFont="1" applyFill="1" applyAlignment="1">
      <alignment horizontal="center"/>
    </xf>
    <xf numFmtId="0" fontId="0" fillId="7" borderId="0" xfId="0" applyFill="1" applyAlignment="1">
      <alignment horizontal="center"/>
    </xf>
    <xf numFmtId="0" fontId="0" fillId="10" borderId="0" xfId="0" applyFill="1" applyAlignment="1">
      <alignment horizontal="center"/>
    </xf>
  </cellXfs>
  <cellStyles count="2">
    <cellStyle name="Normal" xfId="0" builtinId="0"/>
    <cellStyle name="Normal 2" xfId="1" xr:uid="{8E4225E4-7B8A-448A-B7D9-DE41385BA511}"/>
  </cellStyles>
  <dxfs count="0"/>
  <tableStyles count="0" defaultTableStyle="TableStyleMedium2" defaultPivotStyle="PivotStyleLight16"/>
  <colors>
    <mruColors>
      <color rgb="FFFFCCFF"/>
      <color rgb="FFFF99CC"/>
      <color rgb="FF99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568326</xdr:colOff>
      <xdr:row>1</xdr:row>
      <xdr:rowOff>174625</xdr:rowOff>
    </xdr:from>
    <xdr:to>
      <xdr:col>2</xdr:col>
      <xdr:colOff>876300</xdr:colOff>
      <xdr:row>10</xdr:row>
      <xdr:rowOff>140953</xdr:rowOff>
    </xdr:to>
    <xdr:pic>
      <xdr:nvPicPr>
        <xdr:cNvPr id="5" name="Picture 4">
          <a:extLst>
            <a:ext uri="{FF2B5EF4-FFF2-40B4-BE49-F238E27FC236}">
              <a16:creationId xmlns:a16="http://schemas.microsoft.com/office/drawing/2014/main" id="{11DBC7B0-E783-2837-2C8C-6B41230FDB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8326" y="361950"/>
          <a:ext cx="1641474" cy="1652253"/>
        </a:xfrm>
        <a:prstGeom prst="rect">
          <a:avLst/>
        </a:prstGeom>
      </xdr:spPr>
    </xdr:pic>
    <xdr:clientData/>
  </xdr:twoCellAnchor>
  <xdr:twoCellAnchor editAs="oneCell">
    <xdr:from>
      <xdr:col>6</xdr:col>
      <xdr:colOff>288925</xdr:colOff>
      <xdr:row>2</xdr:row>
      <xdr:rowOff>120650</xdr:rowOff>
    </xdr:from>
    <xdr:to>
      <xdr:col>18</xdr:col>
      <xdr:colOff>424753</xdr:colOff>
      <xdr:row>17</xdr:row>
      <xdr:rowOff>352425</xdr:rowOff>
    </xdr:to>
    <xdr:pic>
      <xdr:nvPicPr>
        <xdr:cNvPr id="4" name="Picture 3">
          <a:extLst>
            <a:ext uri="{FF2B5EF4-FFF2-40B4-BE49-F238E27FC236}">
              <a16:creationId xmlns:a16="http://schemas.microsoft.com/office/drawing/2014/main" id="{80B56E00-7C3C-3987-A1CA-28DF67C004C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78325" y="495300"/>
          <a:ext cx="7451028" cy="35877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E1098-AAED-47D5-B327-F0CAD06101AD}">
  <sheetPr codeName="Sheet48">
    <pageSetUpPr fitToPage="1"/>
  </sheetPr>
  <dimension ref="B15:C21"/>
  <sheetViews>
    <sheetView showGridLines="0" zoomScale="90" zoomScaleNormal="90" workbookViewId="0"/>
  </sheetViews>
  <sheetFormatPr defaultRowHeight="15" x14ac:dyDescent="0.25"/>
  <cols>
    <col min="2" max="2" width="10.42578125" bestFit="1" customWidth="1"/>
    <col min="3" max="3" width="13.28515625" customWidth="1"/>
  </cols>
  <sheetData>
    <row r="15" spans="2:2" ht="36" x14ac:dyDescent="0.55000000000000004">
      <c r="B15" s="19" t="s">
        <v>40</v>
      </c>
    </row>
    <row r="16" spans="2:2" ht="36" x14ac:dyDescent="0.55000000000000004">
      <c r="B16" s="19" t="s">
        <v>52</v>
      </c>
    </row>
    <row r="17" spans="2:3" x14ac:dyDescent="0.25">
      <c r="B17" s="1"/>
      <c r="C17" s="2"/>
    </row>
    <row r="18" spans="2:3" ht="28.5" x14ac:dyDescent="0.45">
      <c r="B18" s="42">
        <f>Revision</f>
        <v>2024</v>
      </c>
      <c r="C18" s="7"/>
    </row>
    <row r="19" spans="2:3" x14ac:dyDescent="0.25">
      <c r="B19" s="1"/>
      <c r="C19" s="2"/>
    </row>
    <row r="21" spans="2:3" x14ac:dyDescent="0.25">
      <c r="B21" s="1"/>
      <c r="C21" s="2"/>
    </row>
  </sheetData>
  <sheetProtection algorithmName="SHA-512" hashValue="kBDWVq8mh4lkWZVnfIi7YeUnd33u0bn6uvJBLoUsEpHzrr1Y45Wc8n6SZiUOKXK1KYi5SCXMpjk44k6KqGO17Q==" saltValue="msqVT7KhXm20yJdvKDRQ9g==" spinCount="100000" sheet="1" objects="1" scenarios="1"/>
  <pageMargins left="0.7" right="0.7" top="0.75" bottom="0.75" header="0.3" footer="0.3"/>
  <pageSetup paperSize="9" scale="7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E168F-BE67-47FF-962A-A3629B3757F0}">
  <sheetPr codeName="Sheet10">
    <pageSetUpPr fitToPage="1"/>
  </sheetPr>
  <dimension ref="A1:T29"/>
  <sheetViews>
    <sheetView zoomScale="75" zoomScaleNormal="75" workbookViewId="0"/>
  </sheetViews>
  <sheetFormatPr defaultRowHeight="15" x14ac:dyDescent="0.25"/>
  <cols>
    <col min="1" max="1" width="4.5703125" customWidth="1"/>
    <col min="2" max="9" width="8.5703125" customWidth="1"/>
    <col min="10" max="11" width="4.5703125" customWidth="1"/>
    <col min="12" max="19" width="8.5703125" customWidth="1"/>
  </cols>
  <sheetData>
    <row r="1" spans="1:19" s="11" customFormat="1" x14ac:dyDescent="0.25">
      <c r="A1" s="9" t="s">
        <v>1</v>
      </c>
      <c r="B1" s="10" t="s">
        <v>13</v>
      </c>
      <c r="C1" s="10" t="s">
        <v>14</v>
      </c>
      <c r="D1" s="10" t="s">
        <v>15</v>
      </c>
      <c r="E1" s="10" t="s">
        <v>16</v>
      </c>
      <c r="F1" s="10" t="s">
        <v>17</v>
      </c>
      <c r="G1" s="10" t="s">
        <v>18</v>
      </c>
      <c r="H1" s="60" t="s">
        <v>19</v>
      </c>
      <c r="I1" s="60" t="s">
        <v>20</v>
      </c>
      <c r="J1" s="12"/>
      <c r="K1" s="9" t="s">
        <v>1</v>
      </c>
      <c r="L1" s="10" t="s">
        <v>13</v>
      </c>
      <c r="M1" s="10" t="s">
        <v>14</v>
      </c>
      <c r="N1" s="10" t="s">
        <v>15</v>
      </c>
      <c r="O1" s="10" t="s">
        <v>16</v>
      </c>
      <c r="P1" s="10" t="s">
        <v>17</v>
      </c>
      <c r="Q1" s="10" t="s">
        <v>18</v>
      </c>
      <c r="R1" s="60" t="s">
        <v>19</v>
      </c>
      <c r="S1" s="60" t="s">
        <v>20</v>
      </c>
    </row>
    <row r="2" spans="1:19" x14ac:dyDescent="0.25">
      <c r="A2" s="4">
        <f>'All Tandem Adjustments'!A33</f>
        <v>40</v>
      </c>
      <c r="B2" s="3" t="str">
        <f>'All Tandem Adjustments'!R33</f>
        <v>0:54</v>
      </c>
      <c r="C2" s="3" t="str">
        <f>'All Tandem Adjustments'!S33</f>
        <v>1:22</v>
      </c>
      <c r="D2" s="3" t="str">
        <f>'All Tandem Adjustments'!T33</f>
        <v>2:18</v>
      </c>
      <c r="E2" s="3" t="str">
        <f>'All Tandem Adjustments'!U33</f>
        <v>2:46</v>
      </c>
      <c r="F2" s="3" t="str">
        <f>'All Tandem Adjustments'!V33</f>
        <v>4:40</v>
      </c>
      <c r="G2" s="3" t="str">
        <f>'All Tandem Adjustments'!W33</f>
        <v>9:41</v>
      </c>
      <c r="H2" s="47">
        <f>'All Tandem Adjustments'!X33</f>
        <v>10.774398148148148</v>
      </c>
      <c r="I2" s="47">
        <f>'All Tandem Adjustments'!Y33</f>
        <v>14.965601851851853</v>
      </c>
      <c r="K2" s="4">
        <f>'All Tandem Adjustments'!A61</f>
        <v>68</v>
      </c>
      <c r="L2" s="3" t="str">
        <f>'All Tandem Adjustments'!R61</f>
        <v>2:33</v>
      </c>
      <c r="M2" s="3" t="str">
        <f>'All Tandem Adjustments'!S61</f>
        <v>3:51</v>
      </c>
      <c r="N2" s="3" t="str">
        <f>'All Tandem Adjustments'!T61</f>
        <v>6:33</v>
      </c>
      <c r="O2" s="3" t="str">
        <f>'All Tandem Adjustments'!U61</f>
        <v>7:56</v>
      </c>
      <c r="P2" s="3" t="str">
        <f>'All Tandem Adjustments'!V61</f>
        <v>13:43</v>
      </c>
      <c r="Q2" s="3" t="str">
        <f>'All Tandem Adjustments'!W61</f>
        <v>30:14</v>
      </c>
      <c r="R2" s="47">
        <f>'All Tandem Adjustments'!X61</f>
        <v>33.898796296296297</v>
      </c>
      <c r="S2" s="47">
        <f>'All Tandem Adjustments'!Y61</f>
        <v>60.45</v>
      </c>
    </row>
    <row r="3" spans="1:19" x14ac:dyDescent="0.25">
      <c r="A3" s="4">
        <f>'All Tandem Adjustments'!A34</f>
        <v>41</v>
      </c>
      <c r="B3" s="3" t="str">
        <f>'All Tandem Adjustments'!R34</f>
        <v>0:56</v>
      </c>
      <c r="C3" s="3" t="str">
        <f>'All Tandem Adjustments'!S34</f>
        <v>1:24</v>
      </c>
      <c r="D3" s="3" t="str">
        <f>'All Tandem Adjustments'!T34</f>
        <v>2:21</v>
      </c>
      <c r="E3" s="3" t="str">
        <f>'All Tandem Adjustments'!U34</f>
        <v>2:50</v>
      </c>
      <c r="F3" s="3" t="str">
        <f>'All Tandem Adjustments'!V34</f>
        <v>4:47</v>
      </c>
      <c r="G3" s="3" t="str">
        <f>'All Tandem Adjustments'!W34</f>
        <v>9:56</v>
      </c>
      <c r="H3" s="47">
        <f>'All Tandem Adjustments'!X34</f>
        <v>11.107199074074074</v>
      </c>
      <c r="I3" s="47">
        <f>'All Tandem Adjustments'!Y34</f>
        <v>15.631203703703704</v>
      </c>
      <c r="K3" s="4">
        <f>'All Tandem Adjustments'!A62</f>
        <v>69</v>
      </c>
      <c r="L3" s="45" t="str">
        <f>'All Tandem Adjustments'!R62</f>
        <v>2:39</v>
      </c>
      <c r="M3" s="45" t="str">
        <f>'All Tandem Adjustments'!S62</f>
        <v>4:01</v>
      </c>
      <c r="N3" s="45" t="str">
        <f>'All Tandem Adjustments'!T62</f>
        <v>6:49</v>
      </c>
      <c r="O3" s="45" t="str">
        <f>'All Tandem Adjustments'!U62</f>
        <v>8:15</v>
      </c>
      <c r="P3" s="45" t="str">
        <f>'All Tandem Adjustments'!V62</f>
        <v>14:18</v>
      </c>
      <c r="Q3" s="45" t="str">
        <f>'All Tandem Adjustments'!W62</f>
        <v>31:35</v>
      </c>
      <c r="R3" s="49">
        <f>'All Tandem Adjustments'!X62</f>
        <v>35.146805555555552</v>
      </c>
      <c r="S3" s="49">
        <f>'All Tandem Adjustments'!Y62</f>
        <v>62.862800925925924</v>
      </c>
    </row>
    <row r="4" spans="1:19" x14ac:dyDescent="0.25">
      <c r="A4" s="4">
        <f>'All Tandem Adjustments'!A35</f>
        <v>42</v>
      </c>
      <c r="B4" s="3" t="str">
        <f>'All Tandem Adjustments'!R35</f>
        <v>0:57</v>
      </c>
      <c r="C4" s="3" t="str">
        <f>'All Tandem Adjustments'!S35</f>
        <v>1:26</v>
      </c>
      <c r="D4" s="3" t="str">
        <f>'All Tandem Adjustments'!T35</f>
        <v>2:24</v>
      </c>
      <c r="E4" s="3" t="str">
        <f>'All Tandem Adjustments'!U35</f>
        <v>2:54</v>
      </c>
      <c r="F4" s="3" t="str">
        <f>'All Tandem Adjustments'!V35</f>
        <v>4:55</v>
      </c>
      <c r="G4" s="3" t="str">
        <f>'All Tandem Adjustments'!W35</f>
        <v>10:13</v>
      </c>
      <c r="H4" s="47">
        <f>'All Tandem Adjustments'!X35</f>
        <v>11.492002314814815</v>
      </c>
      <c r="I4" s="47">
        <f>'All Tandem Adjustments'!Y35</f>
        <v>16.39560185185185</v>
      </c>
      <c r="K4" s="4">
        <f>'All Tandem Adjustments'!A63</f>
        <v>70</v>
      </c>
      <c r="L4" s="3" t="str">
        <f>'All Tandem Adjustments'!R63</f>
        <v>2:46</v>
      </c>
      <c r="M4" s="3" t="str">
        <f>'All Tandem Adjustments'!S63</f>
        <v>4:11</v>
      </c>
      <c r="N4" s="3" t="str">
        <f>'All Tandem Adjustments'!T63</f>
        <v>7:06</v>
      </c>
      <c r="O4" s="3" t="str">
        <f>'All Tandem Adjustments'!U63</f>
        <v>8:36</v>
      </c>
      <c r="P4" s="3" t="str">
        <f>'All Tandem Adjustments'!V63</f>
        <v>14:54</v>
      </c>
      <c r="Q4" s="3" t="str">
        <f>'All Tandem Adjustments'!W63</f>
        <v>33:00</v>
      </c>
      <c r="R4" s="47">
        <f>'All Tandem Adjustments'!X63</f>
        <v>36.415601851851854</v>
      </c>
      <c r="S4" s="47">
        <f>'All Tandem Adjustments'!Y63</f>
        <v>65.32760416666666</v>
      </c>
    </row>
    <row r="5" spans="1:19" x14ac:dyDescent="0.25">
      <c r="A5" s="4">
        <f>'All Tandem Adjustments'!A36</f>
        <v>43</v>
      </c>
      <c r="B5" s="3" t="str">
        <f>'All Tandem Adjustments'!R36</f>
        <v>0:59</v>
      </c>
      <c r="C5" s="3" t="str">
        <f>'All Tandem Adjustments'!S36</f>
        <v>1:28</v>
      </c>
      <c r="D5" s="3" t="str">
        <f>'All Tandem Adjustments'!T36</f>
        <v>2:29</v>
      </c>
      <c r="E5" s="3" t="str">
        <f>'All Tandem Adjustments'!U36</f>
        <v>2:59</v>
      </c>
      <c r="F5" s="3" t="str">
        <f>'All Tandem Adjustments'!V36</f>
        <v>5:03</v>
      </c>
      <c r="G5" s="3" t="str">
        <f>'All Tandem Adjustments'!W36</f>
        <v>10:33</v>
      </c>
      <c r="H5" s="47">
        <f>'All Tandem Adjustments'!X36</f>
        <v>11.923599537037036</v>
      </c>
      <c r="I5" s="47">
        <f>'All Tandem Adjustments'!Y36</f>
        <v>17.253599537037037</v>
      </c>
      <c r="K5" s="4">
        <f>'All Tandem Adjustments'!A64</f>
        <v>71</v>
      </c>
      <c r="L5" s="3" t="str">
        <f>'All Tandem Adjustments'!R64</f>
        <v>2:52</v>
      </c>
      <c r="M5" s="3" t="str">
        <f>'All Tandem Adjustments'!S64</f>
        <v>4:21</v>
      </c>
      <c r="N5" s="3" t="str">
        <f>'All Tandem Adjustments'!T64</f>
        <v>7:24</v>
      </c>
      <c r="O5" s="3" t="str">
        <f>'All Tandem Adjustments'!U64</f>
        <v>8:58</v>
      </c>
      <c r="P5" s="3" t="str">
        <f>'All Tandem Adjustments'!V64</f>
        <v>15:32</v>
      </c>
      <c r="Q5" s="3" t="str">
        <f>'All Tandem Adjustments'!W64</f>
        <v>34:28</v>
      </c>
      <c r="R5" s="47">
        <f>'All Tandem Adjustments'!X64</f>
        <v>37.715601851851851</v>
      </c>
      <c r="S5" s="47">
        <f>'All Tandem Adjustments'!Y64</f>
        <v>67.834004629629632</v>
      </c>
    </row>
    <row r="6" spans="1:19" x14ac:dyDescent="0.25">
      <c r="A6" s="4">
        <f>'All Tandem Adjustments'!A37</f>
        <v>44</v>
      </c>
      <c r="B6" s="3" t="str">
        <f>'All Tandem Adjustments'!R37</f>
        <v>1:00</v>
      </c>
      <c r="C6" s="3" t="str">
        <f>'All Tandem Adjustments'!S37</f>
        <v>1:31</v>
      </c>
      <c r="D6" s="3" t="str">
        <f>'All Tandem Adjustments'!T37</f>
        <v>2:33</v>
      </c>
      <c r="E6" s="3" t="str">
        <f>'All Tandem Adjustments'!U37</f>
        <v>3:05</v>
      </c>
      <c r="F6" s="3" t="str">
        <f>'All Tandem Adjustments'!V37</f>
        <v>5:13</v>
      </c>
      <c r="G6" s="3" t="str">
        <f>'All Tandem Adjustments'!W37</f>
        <v>10:54</v>
      </c>
      <c r="H6" s="47">
        <f>'All Tandem Adjustments'!X37</f>
        <v>12.396805555555556</v>
      </c>
      <c r="I6" s="47">
        <f>'All Tandem Adjustments'!Y37</f>
        <v>18.19480324074074</v>
      </c>
      <c r="K6" s="4">
        <f>'All Tandem Adjustments'!A65</f>
        <v>72</v>
      </c>
      <c r="L6" s="3" t="str">
        <f>'All Tandem Adjustments'!R65</f>
        <v>2:59</v>
      </c>
      <c r="M6" s="3" t="str">
        <f>'All Tandem Adjustments'!S65</f>
        <v>4:32</v>
      </c>
      <c r="N6" s="3" t="str">
        <f>'All Tandem Adjustments'!T65</f>
        <v>7:42</v>
      </c>
      <c r="O6" s="3" t="str">
        <f>'All Tandem Adjustments'!U65</f>
        <v>9:20</v>
      </c>
      <c r="P6" s="3" t="str">
        <f>'All Tandem Adjustments'!V65</f>
        <v>16:11</v>
      </c>
      <c r="Q6" s="3" t="str">
        <f>'All Tandem Adjustments'!W65</f>
        <v>36:00</v>
      </c>
      <c r="R6" s="47">
        <f>'All Tandem Adjustments'!X65</f>
        <v>39.036400462962966</v>
      </c>
      <c r="S6" s="47">
        <f>'All Tandem Adjustments'!Y65</f>
        <v>70.382002314814812</v>
      </c>
    </row>
    <row r="7" spans="1:19" x14ac:dyDescent="0.25">
      <c r="A7" s="4">
        <f>'All Tandem Adjustments'!A38</f>
        <v>45</v>
      </c>
      <c r="B7" s="3" t="str">
        <f>'All Tandem Adjustments'!R38</f>
        <v>1:02</v>
      </c>
      <c r="C7" s="3" t="str">
        <f>'All Tandem Adjustments'!S38</f>
        <v>1:34</v>
      </c>
      <c r="D7" s="3" t="str">
        <f>'All Tandem Adjustments'!T38</f>
        <v>2:38</v>
      </c>
      <c r="E7" s="3" t="str">
        <f>'All Tandem Adjustments'!U38</f>
        <v>3:11</v>
      </c>
      <c r="F7" s="3" t="str">
        <f>'All Tandem Adjustments'!V38</f>
        <v>5:24</v>
      </c>
      <c r="G7" s="3" t="str">
        <f>'All Tandem Adjustments'!W38</f>
        <v>11:17</v>
      </c>
      <c r="H7" s="47">
        <f>'All Tandem Adjustments'!X38</f>
        <v>12.916805555555555</v>
      </c>
      <c r="I7" s="47">
        <f>'All Tandem Adjustments'!Y38</f>
        <v>19.224398148148147</v>
      </c>
      <c r="K7" s="4">
        <f>'All Tandem Adjustments'!A66</f>
        <v>73</v>
      </c>
      <c r="L7" s="3" t="str">
        <f>'All Tandem Adjustments'!R66</f>
        <v>3:06</v>
      </c>
      <c r="M7" s="3" t="str">
        <f>'All Tandem Adjustments'!S66</f>
        <v>4:43</v>
      </c>
      <c r="N7" s="3" t="str">
        <f>'All Tandem Adjustments'!T66</f>
        <v>8:00</v>
      </c>
      <c r="O7" s="3" t="str">
        <f>'All Tandem Adjustments'!U66</f>
        <v>9:43</v>
      </c>
      <c r="P7" s="3" t="str">
        <f>'All Tandem Adjustments'!V66</f>
        <v>16:52</v>
      </c>
      <c r="Q7" s="3" t="str">
        <f>'All Tandem Adjustments'!W66</f>
        <v>37:37</v>
      </c>
      <c r="R7" s="47">
        <f>'All Tandem Adjustments'!X66</f>
        <v>40.383194444444442</v>
      </c>
      <c r="S7" s="47">
        <f>'All Tandem Adjustments'!Y66</f>
        <v>72.976805555555558</v>
      </c>
    </row>
    <row r="8" spans="1:19" x14ac:dyDescent="0.25">
      <c r="A8" s="4">
        <f>'All Tandem Adjustments'!A39</f>
        <v>46</v>
      </c>
      <c r="B8" s="3" t="str">
        <f>'All Tandem Adjustments'!R39</f>
        <v>1:04</v>
      </c>
      <c r="C8" s="3" t="str">
        <f>'All Tandem Adjustments'!S39</f>
        <v>1:37</v>
      </c>
      <c r="D8" s="3" t="str">
        <f>'All Tandem Adjustments'!T39</f>
        <v>2:44</v>
      </c>
      <c r="E8" s="3" t="str">
        <f>'All Tandem Adjustments'!U39</f>
        <v>3:17</v>
      </c>
      <c r="F8" s="3" t="str">
        <f>'All Tandem Adjustments'!V39</f>
        <v>5:35</v>
      </c>
      <c r="G8" s="3" t="str">
        <f>'All Tandem Adjustments'!W39</f>
        <v>11:43</v>
      </c>
      <c r="H8" s="47">
        <f>'All Tandem Adjustments'!X39</f>
        <v>13.473194444444445</v>
      </c>
      <c r="I8" s="47">
        <f>'All Tandem Adjustments'!Y39</f>
        <v>20.332002314814815</v>
      </c>
      <c r="K8" s="4">
        <f>'All Tandem Adjustments'!A67</f>
        <v>74</v>
      </c>
      <c r="L8" s="3" t="str">
        <f>'All Tandem Adjustments'!R67</f>
        <v>3:14</v>
      </c>
      <c r="M8" s="3" t="str">
        <f>'All Tandem Adjustments'!S67</f>
        <v>4:54</v>
      </c>
      <c r="N8" s="3" t="str">
        <f>'All Tandem Adjustments'!T67</f>
        <v>8:21</v>
      </c>
      <c r="O8" s="3" t="str">
        <f>'All Tandem Adjustments'!U67</f>
        <v>10:07</v>
      </c>
      <c r="P8" s="3" t="str">
        <f>'All Tandem Adjustments'!V67</f>
        <v>17:35</v>
      </c>
      <c r="Q8" s="3" t="str">
        <f>'All Tandem Adjustments'!W67</f>
        <v>39:18</v>
      </c>
      <c r="R8" s="47">
        <f>'All Tandem Adjustments'!X67</f>
        <v>41.755995370370371</v>
      </c>
      <c r="S8" s="47">
        <f>'All Tandem Adjustments'!Y67</f>
        <v>75.618402777777774</v>
      </c>
    </row>
    <row r="9" spans="1:19" x14ac:dyDescent="0.25">
      <c r="A9" s="4">
        <f>'All Tandem Adjustments'!A40</f>
        <v>47</v>
      </c>
      <c r="B9" s="3" t="str">
        <f>'All Tandem Adjustments'!R40</f>
        <v>1:07</v>
      </c>
      <c r="C9" s="3" t="str">
        <f>'All Tandem Adjustments'!S40</f>
        <v>1:40</v>
      </c>
      <c r="D9" s="3" t="str">
        <f>'All Tandem Adjustments'!T40</f>
        <v>2:49</v>
      </c>
      <c r="E9" s="3" t="str">
        <f>'All Tandem Adjustments'!U40</f>
        <v>3:24</v>
      </c>
      <c r="F9" s="3" t="str">
        <f>'All Tandem Adjustments'!V40</f>
        <v>5:48</v>
      </c>
      <c r="G9" s="3" t="str">
        <f>'All Tandem Adjustments'!W40</f>
        <v>12:11</v>
      </c>
      <c r="H9" s="47">
        <f>'All Tandem Adjustments'!X40</f>
        <v>14.071203703703704</v>
      </c>
      <c r="I9" s="47">
        <f>'All Tandem Adjustments'!Y40</f>
        <v>21.512395833333333</v>
      </c>
      <c r="K9" s="4">
        <f>'All Tandem Adjustments'!A68</f>
        <v>75</v>
      </c>
      <c r="L9" s="3" t="str">
        <f>'All Tandem Adjustments'!R68</f>
        <v>3:22</v>
      </c>
      <c r="M9" s="3" t="str">
        <f>'All Tandem Adjustments'!S68</f>
        <v>5:06</v>
      </c>
      <c r="N9" s="3" t="str">
        <f>'All Tandem Adjustments'!T68</f>
        <v>8:41</v>
      </c>
      <c r="O9" s="3" t="str">
        <f>'All Tandem Adjustments'!U68</f>
        <v>10:32</v>
      </c>
      <c r="P9" s="3" t="str">
        <f>'All Tandem Adjustments'!V68</f>
        <v>18:20</v>
      </c>
      <c r="Q9" s="3" t="str">
        <f>'All Tandem Adjustments'!W68</f>
        <v>41:04</v>
      </c>
      <c r="R9" s="47">
        <f>'All Tandem Adjustments'!X68</f>
        <v>43.15480324074074</v>
      </c>
      <c r="S9" s="47">
        <f>'All Tandem Adjustments'!Y68</f>
        <v>78.301597222222227</v>
      </c>
    </row>
    <row r="10" spans="1:19" x14ac:dyDescent="0.25">
      <c r="A10" s="4">
        <f>'All Tandem Adjustments'!A41</f>
        <v>48</v>
      </c>
      <c r="B10" s="3" t="str">
        <f>'All Tandem Adjustments'!R41</f>
        <v>1:09</v>
      </c>
      <c r="C10" s="3" t="str">
        <f>'All Tandem Adjustments'!S41</f>
        <v>1:44</v>
      </c>
      <c r="D10" s="3" t="str">
        <f>'All Tandem Adjustments'!T41</f>
        <v>2:56</v>
      </c>
      <c r="E10" s="3" t="str">
        <f>'All Tandem Adjustments'!U41</f>
        <v>3:32</v>
      </c>
      <c r="F10" s="3" t="str">
        <f>'All Tandem Adjustments'!V41</f>
        <v>6:00</v>
      </c>
      <c r="G10" s="3" t="str">
        <f>'All Tandem Adjustments'!W41</f>
        <v>12:40</v>
      </c>
      <c r="H10" s="47">
        <f>'All Tandem Adjustments'!X41</f>
        <v>14.705601851851851</v>
      </c>
      <c r="I10" s="47">
        <f>'All Tandem Adjustments'!Y41</f>
        <v>22.770798611111111</v>
      </c>
      <c r="K10" s="4">
        <f>'All Tandem Adjustments'!A69</f>
        <v>76</v>
      </c>
      <c r="L10" s="3" t="str">
        <f>'All Tandem Adjustments'!R69</f>
        <v>3:30</v>
      </c>
      <c r="M10" s="3" t="str">
        <f>'All Tandem Adjustments'!S69</f>
        <v>5:18</v>
      </c>
      <c r="N10" s="3" t="str">
        <f>'All Tandem Adjustments'!T69</f>
        <v>9:02</v>
      </c>
      <c r="O10" s="3" t="str">
        <f>'All Tandem Adjustments'!U69</f>
        <v>10:58</v>
      </c>
      <c r="P10" s="3" t="str">
        <f>'All Tandem Adjustments'!V69</f>
        <v>19:06</v>
      </c>
      <c r="Q10" s="3" t="str">
        <f>'All Tandem Adjustments'!W69</f>
        <v>42:55</v>
      </c>
      <c r="R10" s="47">
        <f>'All Tandem Adjustments'!X69</f>
        <v>44.579594907407404</v>
      </c>
      <c r="S10" s="47">
        <f>'All Tandem Adjustments'!Y69</f>
        <v>81.031597222222217</v>
      </c>
    </row>
    <row r="11" spans="1:19" x14ac:dyDescent="0.25">
      <c r="A11" s="4">
        <f>'All Tandem Adjustments'!A42</f>
        <v>49</v>
      </c>
      <c r="B11" s="45" t="str">
        <f>'All Tandem Adjustments'!R42</f>
        <v>1:12</v>
      </c>
      <c r="C11" s="45" t="str">
        <f>'All Tandem Adjustments'!S42</f>
        <v>1:48</v>
      </c>
      <c r="D11" s="45" t="str">
        <f>'All Tandem Adjustments'!T42</f>
        <v>3:02</v>
      </c>
      <c r="E11" s="45" t="str">
        <f>'All Tandem Adjustments'!U42</f>
        <v>3:40</v>
      </c>
      <c r="F11" s="45" t="str">
        <f>'All Tandem Adjustments'!V42</f>
        <v>6:14</v>
      </c>
      <c r="G11" s="45" t="str">
        <f>'All Tandem Adjustments'!W42</f>
        <v>13:12</v>
      </c>
      <c r="H11" s="49">
        <f>'All Tandem Adjustments'!X42</f>
        <v>15.376400462962962</v>
      </c>
      <c r="I11" s="49">
        <f>'All Tandem Adjustments'!Y42</f>
        <v>24.096805555555555</v>
      </c>
      <c r="K11" s="4">
        <f>'All Tandem Adjustments'!A70</f>
        <v>77</v>
      </c>
      <c r="L11" s="3" t="str">
        <f>'All Tandem Adjustments'!R70</f>
        <v>3:38</v>
      </c>
      <c r="M11" s="3" t="str">
        <f>'All Tandem Adjustments'!S70</f>
        <v>5:32</v>
      </c>
      <c r="N11" s="3" t="str">
        <f>'All Tandem Adjustments'!T70</f>
        <v>9:25</v>
      </c>
      <c r="O11" s="3" t="str">
        <f>'All Tandem Adjustments'!U70</f>
        <v>11:25</v>
      </c>
      <c r="P11" s="3" t="str">
        <f>'All Tandem Adjustments'!V70</f>
        <v>19:55</v>
      </c>
      <c r="Q11" s="3" t="str">
        <f>'All Tandem Adjustments'!W70</f>
        <v>44:52</v>
      </c>
      <c r="R11" s="47">
        <f>'All Tandem Adjustments'!X70</f>
        <v>46.030405092592595</v>
      </c>
      <c r="S11" s="47">
        <f>'All Tandem Adjustments'!Y70</f>
        <v>83.808402777777772</v>
      </c>
    </row>
    <row r="12" spans="1:19" x14ac:dyDescent="0.25">
      <c r="A12" s="4">
        <f>'All Tandem Adjustments'!A43</f>
        <v>50</v>
      </c>
      <c r="B12" s="3" t="str">
        <f>'All Tandem Adjustments'!R43</f>
        <v>1:14</v>
      </c>
      <c r="C12" s="3" t="str">
        <f>'All Tandem Adjustments'!S43</f>
        <v>1:52</v>
      </c>
      <c r="D12" s="3" t="str">
        <f>'All Tandem Adjustments'!T43</f>
        <v>3:10</v>
      </c>
      <c r="E12" s="3" t="str">
        <f>'All Tandem Adjustments'!U43</f>
        <v>3:49</v>
      </c>
      <c r="F12" s="3" t="str">
        <f>'All Tandem Adjustments'!V43</f>
        <v>6:30</v>
      </c>
      <c r="G12" s="3" t="str">
        <f>'All Tandem Adjustments'!W43</f>
        <v>13:46</v>
      </c>
      <c r="H12" s="47">
        <f>'All Tandem Adjustments'!X43</f>
        <v>16.078402777777779</v>
      </c>
      <c r="I12" s="47">
        <f>'All Tandem Adjustments'!Y43</f>
        <v>25.495601851851852</v>
      </c>
      <c r="K12" s="4">
        <f>'All Tandem Adjustments'!A71</f>
        <v>78</v>
      </c>
      <c r="L12" s="3" t="str">
        <f>'All Tandem Adjustments'!R71</f>
        <v>3:48</v>
      </c>
      <c r="M12" s="3" t="str">
        <f>'All Tandem Adjustments'!S71</f>
        <v>5:45</v>
      </c>
      <c r="N12" s="3" t="str">
        <f>'All Tandem Adjustments'!T71</f>
        <v>9:48</v>
      </c>
      <c r="O12" s="3" t="str">
        <f>'All Tandem Adjustments'!U71</f>
        <v>11:54</v>
      </c>
      <c r="P12" s="3" t="str">
        <f>'All Tandem Adjustments'!V71</f>
        <v>20:46</v>
      </c>
      <c r="Q12" s="3" t="str">
        <f>'All Tandem Adjustments'!W71</f>
        <v>46:54</v>
      </c>
      <c r="R12" s="47">
        <f>'All Tandem Adjustments'!X71</f>
        <v>47.507199074074073</v>
      </c>
      <c r="S12" s="47">
        <f>'All Tandem Adjustments'!Y71</f>
        <v>86.626805555555549</v>
      </c>
    </row>
    <row r="13" spans="1:19" x14ac:dyDescent="0.25">
      <c r="A13" s="4">
        <f>'All Tandem Adjustments'!A44</f>
        <v>51</v>
      </c>
      <c r="B13" s="3" t="str">
        <f>'All Tandem Adjustments'!R44</f>
        <v>1:17</v>
      </c>
      <c r="C13" s="3" t="str">
        <f>'All Tandem Adjustments'!S44</f>
        <v>1:57</v>
      </c>
      <c r="D13" s="3" t="str">
        <f>'All Tandem Adjustments'!T44</f>
        <v>3:17</v>
      </c>
      <c r="E13" s="3" t="str">
        <f>'All Tandem Adjustments'!U44</f>
        <v>3:58</v>
      </c>
      <c r="F13" s="3" t="str">
        <f>'All Tandem Adjustments'!V44</f>
        <v>6:46</v>
      </c>
      <c r="G13" s="3" t="str">
        <f>'All Tandem Adjustments'!W44</f>
        <v>14:21</v>
      </c>
      <c r="H13" s="47">
        <f>'All Tandem Adjustments'!X44</f>
        <v>16.822002314814814</v>
      </c>
      <c r="I13" s="47">
        <f>'All Tandem Adjustments'!Y44</f>
        <v>26.956805555555555</v>
      </c>
      <c r="K13" s="4">
        <f>'All Tandem Adjustments'!A72</f>
        <v>79</v>
      </c>
      <c r="L13" s="45" t="str">
        <f>'All Tandem Adjustments'!R72</f>
        <v>3:57</v>
      </c>
      <c r="M13" s="45" t="str">
        <f>'All Tandem Adjustments'!S72</f>
        <v>5:59</v>
      </c>
      <c r="N13" s="45" t="str">
        <f>'All Tandem Adjustments'!T72</f>
        <v>10:12</v>
      </c>
      <c r="O13" s="45" t="str">
        <f>'All Tandem Adjustments'!U72</f>
        <v>12:24</v>
      </c>
      <c r="P13" s="45" t="str">
        <f>'All Tandem Adjustments'!V72</f>
        <v>21:39</v>
      </c>
      <c r="Q13" s="45" t="str">
        <f>'All Tandem Adjustments'!W72</f>
        <v>49:03</v>
      </c>
      <c r="R13" s="49">
        <f>'All Tandem Adjustments'!X72</f>
        <v>49.01</v>
      </c>
      <c r="S13" s="49">
        <f>'All Tandem Adjustments'!Y72</f>
        <v>89.486805555555549</v>
      </c>
    </row>
    <row r="14" spans="1:19" x14ac:dyDescent="0.25">
      <c r="A14" s="4">
        <f>'All Tandem Adjustments'!A45</f>
        <v>52</v>
      </c>
      <c r="B14" s="3" t="str">
        <f>'All Tandem Adjustments'!R45</f>
        <v>1:21</v>
      </c>
      <c r="C14" s="3" t="str">
        <f>'All Tandem Adjustments'!S45</f>
        <v>2:01</v>
      </c>
      <c r="D14" s="3" t="str">
        <f>'All Tandem Adjustments'!T45</f>
        <v>3:25</v>
      </c>
      <c r="E14" s="3" t="str">
        <f>'All Tandem Adjustments'!U45</f>
        <v>4:08</v>
      </c>
      <c r="F14" s="3" t="str">
        <f>'All Tandem Adjustments'!V45</f>
        <v>7:02</v>
      </c>
      <c r="G14" s="3" t="str">
        <f>'All Tandem Adjustments'!W45</f>
        <v>14:59</v>
      </c>
      <c r="H14" s="47">
        <f>'All Tandem Adjustments'!X45</f>
        <v>17.591597222222223</v>
      </c>
      <c r="I14" s="47">
        <f>'All Tandem Adjustments'!Y45</f>
        <v>28.48560185185185</v>
      </c>
      <c r="K14" s="4">
        <f>'All Tandem Adjustments'!A73</f>
        <v>80</v>
      </c>
      <c r="L14" s="3" t="str">
        <f>'All Tandem Adjustments'!R73</f>
        <v>4:06</v>
      </c>
      <c r="M14" s="3" t="str">
        <f>'All Tandem Adjustments'!S73</f>
        <v>6:14</v>
      </c>
      <c r="N14" s="3" t="str">
        <f>'All Tandem Adjustments'!T73</f>
        <v>10:38</v>
      </c>
      <c r="O14" s="3" t="str">
        <f>'All Tandem Adjustments'!U73</f>
        <v>12:55</v>
      </c>
      <c r="P14" s="3" t="str">
        <f>'All Tandem Adjustments'!V73</f>
        <v>22:35</v>
      </c>
      <c r="Q14" s="3" t="str">
        <f>'All Tandem Adjustments'!W73</f>
        <v>51:19</v>
      </c>
      <c r="R14" s="47">
        <f>'All Tandem Adjustments'!X73</f>
        <v>50.544004629629633</v>
      </c>
      <c r="S14" s="47">
        <f>'All Tandem Adjustments'!Y73</f>
        <v>92.393599537037034</v>
      </c>
    </row>
    <row r="15" spans="1:19" x14ac:dyDescent="0.25">
      <c r="A15" s="4">
        <f>'All Tandem Adjustments'!A46</f>
        <v>53</v>
      </c>
      <c r="B15" s="3" t="str">
        <f>'All Tandem Adjustments'!R46</f>
        <v>1:24</v>
      </c>
      <c r="C15" s="3" t="str">
        <f>'All Tandem Adjustments'!S46</f>
        <v>2:06</v>
      </c>
      <c r="D15" s="3" t="str">
        <f>'All Tandem Adjustments'!T46</f>
        <v>3:33</v>
      </c>
      <c r="E15" s="3" t="str">
        <f>'All Tandem Adjustments'!U46</f>
        <v>4:18</v>
      </c>
      <c r="F15" s="3" t="str">
        <f>'All Tandem Adjustments'!V46</f>
        <v>7:20</v>
      </c>
      <c r="G15" s="3" t="str">
        <f>'All Tandem Adjustments'!W46</f>
        <v>15:38</v>
      </c>
      <c r="H15" s="47">
        <f>'All Tandem Adjustments'!X46</f>
        <v>18.397604166666667</v>
      </c>
      <c r="I15" s="47">
        <f>'All Tandem Adjustments'!Y46</f>
        <v>30.076805555555556</v>
      </c>
      <c r="K15" s="4">
        <f>'All Tandem Adjustments'!A74</f>
        <v>81</v>
      </c>
      <c r="L15" s="3" t="str">
        <f>'All Tandem Adjustments'!R74</f>
        <v>4:16</v>
      </c>
      <c r="M15" s="3" t="str">
        <f>'All Tandem Adjustments'!S74</f>
        <v>6:29</v>
      </c>
      <c r="N15" s="3" t="str">
        <f>'All Tandem Adjustments'!T74</f>
        <v>11:05</v>
      </c>
      <c r="O15" s="3" t="str">
        <f>'All Tandem Adjustments'!U74</f>
        <v>13:27</v>
      </c>
      <c r="P15" s="3" t="str">
        <f>'All Tandem Adjustments'!V74</f>
        <v>23:33</v>
      </c>
      <c r="Q15" s="3" t="str">
        <f>'All Tandem Adjustments'!W74</f>
        <v>53:41</v>
      </c>
      <c r="R15" s="47">
        <f>'All Tandem Adjustments'!X74</f>
        <v>52.104004629629628</v>
      </c>
      <c r="S15" s="47">
        <f>'All Tandem Adjustments'!Y74</f>
        <v>95.347199074074069</v>
      </c>
    </row>
    <row r="16" spans="1:19" x14ac:dyDescent="0.25">
      <c r="A16" s="4">
        <f>'All Tandem Adjustments'!A47</f>
        <v>54</v>
      </c>
      <c r="B16" s="3" t="str">
        <f>'All Tandem Adjustments'!R47</f>
        <v>1:27</v>
      </c>
      <c r="C16" s="3" t="str">
        <f>'All Tandem Adjustments'!S47</f>
        <v>2:12</v>
      </c>
      <c r="D16" s="3" t="str">
        <f>'All Tandem Adjustments'!T47</f>
        <v>3:42</v>
      </c>
      <c r="E16" s="3" t="str">
        <f>'All Tandem Adjustments'!U47</f>
        <v>4:28</v>
      </c>
      <c r="F16" s="3" t="str">
        <f>'All Tandem Adjustments'!V47</f>
        <v>7:38</v>
      </c>
      <c r="G16" s="3" t="str">
        <f>'All Tandem Adjustments'!W47</f>
        <v>16:20</v>
      </c>
      <c r="H16" s="47">
        <f>'All Tandem Adjustments'!X47</f>
        <v>19.234803240740742</v>
      </c>
      <c r="I16" s="47">
        <f>'All Tandem Adjustments'!Y47</f>
        <v>31.725196759259259</v>
      </c>
      <c r="K16" s="4">
        <f>'All Tandem Adjustments'!A75</f>
        <v>82</v>
      </c>
      <c r="L16" s="3" t="str">
        <f>'All Tandem Adjustments'!R75</f>
        <v>4:27</v>
      </c>
      <c r="M16" s="3" t="str">
        <f>'All Tandem Adjustments'!S75</f>
        <v>6:46</v>
      </c>
      <c r="N16" s="3" t="str">
        <f>'All Tandem Adjustments'!T75</f>
        <v>11:33</v>
      </c>
      <c r="O16" s="3" t="str">
        <f>'All Tandem Adjustments'!U75</f>
        <v>14:01</v>
      </c>
      <c r="P16" s="3" t="str">
        <f>'All Tandem Adjustments'!V75</f>
        <v>24:35</v>
      </c>
      <c r="Q16" s="3" t="str">
        <f>'All Tandem Adjustments'!W75</f>
        <v>56:12</v>
      </c>
      <c r="R16" s="47">
        <f>'All Tandem Adjustments'!X75</f>
        <v>53.69</v>
      </c>
      <c r="S16" s="47">
        <f>'All Tandem Adjustments'!Y75</f>
        <v>98.34760416666667</v>
      </c>
    </row>
    <row r="17" spans="1:20" x14ac:dyDescent="0.25">
      <c r="A17" s="4">
        <f>'All Tandem Adjustments'!A48</f>
        <v>55</v>
      </c>
      <c r="B17" s="3" t="str">
        <f>'All Tandem Adjustments'!R48</f>
        <v>1:31</v>
      </c>
      <c r="C17" s="3" t="str">
        <f>'All Tandem Adjustments'!S48</f>
        <v>2:17</v>
      </c>
      <c r="D17" s="3" t="str">
        <f>'All Tandem Adjustments'!T48</f>
        <v>3:51</v>
      </c>
      <c r="E17" s="3" t="str">
        <f>'All Tandem Adjustments'!U48</f>
        <v>4:39</v>
      </c>
      <c r="F17" s="3" t="str">
        <f>'All Tandem Adjustments'!V48</f>
        <v>7:58</v>
      </c>
      <c r="G17" s="3" t="str">
        <f>'All Tandem Adjustments'!W48</f>
        <v>17:04</v>
      </c>
      <c r="H17" s="47">
        <f>'All Tandem Adjustments'!X48</f>
        <v>20.097997685185184</v>
      </c>
      <c r="I17" s="47">
        <f>'All Tandem Adjustments'!Y48</f>
        <v>33.435995370370371</v>
      </c>
      <c r="K17" s="4">
        <f>'All Tandem Adjustments'!A76</f>
        <v>83</v>
      </c>
      <c r="L17" s="3" t="str">
        <f>'All Tandem Adjustments'!R76</f>
        <v>4:38</v>
      </c>
      <c r="M17" s="3" t="str">
        <f>'All Tandem Adjustments'!S76</f>
        <v>7:02</v>
      </c>
      <c r="N17" s="3" t="str">
        <f>'All Tandem Adjustments'!T76</f>
        <v>12:02</v>
      </c>
      <c r="O17" s="3" t="str">
        <f>'All Tandem Adjustments'!U76</f>
        <v>14:37</v>
      </c>
      <c r="P17" s="3" t="str">
        <f>'All Tandem Adjustments'!V76</f>
        <v>25:39</v>
      </c>
      <c r="Q17" s="3" t="str">
        <f>'All Tandem Adjustments'!W76</f>
        <v>58:52</v>
      </c>
      <c r="R17" s="47">
        <f>'All Tandem Adjustments'!X76</f>
        <v>55.307199074074077</v>
      </c>
      <c r="S17" s="47">
        <f>'All Tandem Adjustments'!Y76</f>
        <v>101.38959490740741</v>
      </c>
    </row>
    <row r="18" spans="1:20" x14ac:dyDescent="0.25">
      <c r="A18" s="4">
        <f>'All Tandem Adjustments'!A49</f>
        <v>56</v>
      </c>
      <c r="B18" s="3" t="str">
        <f>'All Tandem Adjustments'!R49</f>
        <v>1:34</v>
      </c>
      <c r="C18" s="3" t="str">
        <f>'All Tandem Adjustments'!S49</f>
        <v>2:23</v>
      </c>
      <c r="D18" s="3" t="str">
        <f>'All Tandem Adjustments'!T49</f>
        <v>4:00</v>
      </c>
      <c r="E18" s="3" t="str">
        <f>'All Tandem Adjustments'!U49</f>
        <v>4:51</v>
      </c>
      <c r="F18" s="3" t="str">
        <f>'All Tandem Adjustments'!V49</f>
        <v>8:18</v>
      </c>
      <c r="G18" s="3" t="str">
        <f>'All Tandem Adjustments'!W49</f>
        <v>17:50</v>
      </c>
      <c r="H18" s="47">
        <f>'All Tandem Adjustments'!X49</f>
        <v>20.997604166666665</v>
      </c>
      <c r="I18" s="47">
        <f>'All Tandem Adjustments'!Y49</f>
        <v>35.20400462962963</v>
      </c>
      <c r="K18" s="4">
        <f>'All Tandem Adjustments'!A77</f>
        <v>84</v>
      </c>
      <c r="L18" s="3" t="str">
        <f>'All Tandem Adjustments'!R77</f>
        <v>4:49</v>
      </c>
      <c r="M18" s="3" t="str">
        <f>'All Tandem Adjustments'!S77</f>
        <v>7:20</v>
      </c>
      <c r="N18" s="3" t="str">
        <f>'All Tandem Adjustments'!T77</f>
        <v>12:32</v>
      </c>
      <c r="O18" s="3" t="str">
        <f>'All Tandem Adjustments'!U77</f>
        <v>15:15</v>
      </c>
      <c r="P18" s="3" t="str">
        <f>'All Tandem Adjustments'!V77</f>
        <v>26:47</v>
      </c>
      <c r="Q18" s="3" t="str">
        <f>'All Tandem Adjustments'!W77</f>
        <v>1:01:40</v>
      </c>
      <c r="R18" s="47">
        <f>'All Tandem Adjustments'!X77</f>
        <v>56.955601851851853</v>
      </c>
      <c r="S18" s="47">
        <f>'All Tandem Adjustments'!Y77</f>
        <v>104.47840277777777</v>
      </c>
    </row>
    <row r="19" spans="1:20" x14ac:dyDescent="0.25">
      <c r="A19" s="4">
        <f>'All Tandem Adjustments'!A50</f>
        <v>57</v>
      </c>
      <c r="B19" s="3" t="str">
        <f>'All Tandem Adjustments'!R50</f>
        <v>1:38</v>
      </c>
      <c r="C19" s="3" t="str">
        <f>'All Tandem Adjustments'!S50</f>
        <v>2:28</v>
      </c>
      <c r="D19" s="3" t="str">
        <f>'All Tandem Adjustments'!T50</f>
        <v>4:11</v>
      </c>
      <c r="E19" s="3" t="str">
        <f>'All Tandem Adjustments'!U50</f>
        <v>5:03</v>
      </c>
      <c r="F19" s="3" t="str">
        <f>'All Tandem Adjustments'!V50</f>
        <v>8:39</v>
      </c>
      <c r="G19" s="3" t="str">
        <f>'All Tandem Adjustments'!W50</f>
        <v>18:38</v>
      </c>
      <c r="H19" s="47">
        <f>'All Tandem Adjustments'!X50</f>
        <v>21.923194444444444</v>
      </c>
      <c r="I19" s="47">
        <f>'All Tandem Adjustments'!Y50</f>
        <v>37.02400462962963</v>
      </c>
      <c r="K19" s="4">
        <f>'All Tandem Adjustments'!A78</f>
        <v>85</v>
      </c>
      <c r="L19" s="3" t="str">
        <f>'All Tandem Adjustments'!R78</f>
        <v>5:02</v>
      </c>
      <c r="M19" s="3" t="str">
        <f>'All Tandem Adjustments'!S78</f>
        <v>7:38</v>
      </c>
      <c r="N19" s="3" t="str">
        <f>'All Tandem Adjustments'!T78</f>
        <v>13:04</v>
      </c>
      <c r="O19" s="3" t="str">
        <f>'All Tandem Adjustments'!U78</f>
        <v>15:54</v>
      </c>
      <c r="P19" s="3" t="str">
        <f>'All Tandem Adjustments'!V78</f>
        <v>27:58</v>
      </c>
      <c r="Q19" s="3" t="str">
        <f>'All Tandem Adjustments'!W78</f>
        <v>1:04:40</v>
      </c>
      <c r="R19" s="47">
        <f>'All Tandem Adjustments'!X78</f>
        <v>58.63</v>
      </c>
      <c r="S19" s="47">
        <f>'All Tandem Adjustments'!Y78</f>
        <v>107.61920138888888</v>
      </c>
    </row>
    <row r="20" spans="1:20" x14ac:dyDescent="0.25">
      <c r="A20" s="4">
        <f>'All Tandem Adjustments'!A51</f>
        <v>58</v>
      </c>
      <c r="B20" s="3" t="str">
        <f>'All Tandem Adjustments'!R51</f>
        <v>1:42</v>
      </c>
      <c r="C20" s="3" t="str">
        <f>'All Tandem Adjustments'!S51</f>
        <v>2:35</v>
      </c>
      <c r="D20" s="3" t="str">
        <f>'All Tandem Adjustments'!T51</f>
        <v>4:21</v>
      </c>
      <c r="E20" s="3" t="str">
        <f>'All Tandem Adjustments'!U51</f>
        <v>5:16</v>
      </c>
      <c r="F20" s="3" t="str">
        <f>'All Tandem Adjustments'!V51</f>
        <v>9:01</v>
      </c>
      <c r="G20" s="3" t="str">
        <f>'All Tandem Adjustments'!W51</f>
        <v>19:28</v>
      </c>
      <c r="H20" s="47">
        <f>'All Tandem Adjustments'!X51</f>
        <v>22.874803240740739</v>
      </c>
      <c r="I20" s="47">
        <f>'All Tandem Adjustments'!Y51</f>
        <v>38.9012037037037</v>
      </c>
      <c r="K20" s="4">
        <f>'All Tandem Adjustments'!A79</f>
        <v>86</v>
      </c>
      <c r="L20" s="3" t="str">
        <f>'All Tandem Adjustments'!R79</f>
        <v>5:14</v>
      </c>
      <c r="M20" s="3" t="str">
        <f>'All Tandem Adjustments'!S79</f>
        <v>7:58</v>
      </c>
      <c r="N20" s="3" t="str">
        <f>'All Tandem Adjustments'!T79</f>
        <v>13:38</v>
      </c>
      <c r="O20" s="3" t="str">
        <f>'All Tandem Adjustments'!U79</f>
        <v>16:36</v>
      </c>
      <c r="P20" s="3" t="str">
        <f>'All Tandem Adjustments'!V79</f>
        <v>29:13</v>
      </c>
      <c r="Q20" s="3" t="str">
        <f>'All Tandem Adjustments'!W79</f>
        <v>1:07:50</v>
      </c>
      <c r="R20" s="47">
        <f>'All Tandem Adjustments'!X79</f>
        <v>60.335601851851855</v>
      </c>
      <c r="S20" s="47">
        <f>'All Tandem Adjustments'!Y79</f>
        <v>110.80159722222223</v>
      </c>
    </row>
    <row r="21" spans="1:20" x14ac:dyDescent="0.25">
      <c r="A21" s="4">
        <f>'All Tandem Adjustments'!A52</f>
        <v>59</v>
      </c>
      <c r="B21" s="45" t="str">
        <f>'All Tandem Adjustments'!R52</f>
        <v>1:47</v>
      </c>
      <c r="C21" s="45" t="str">
        <f>'All Tandem Adjustments'!S52</f>
        <v>2:41</v>
      </c>
      <c r="D21" s="45" t="str">
        <f>'All Tandem Adjustments'!T52</f>
        <v>4:32</v>
      </c>
      <c r="E21" s="45" t="str">
        <f>'All Tandem Adjustments'!U52</f>
        <v>5:29</v>
      </c>
      <c r="F21" s="45" t="str">
        <f>'All Tandem Adjustments'!V52</f>
        <v>9:25</v>
      </c>
      <c r="G21" s="45" t="str">
        <f>'All Tandem Adjustments'!W52</f>
        <v>20:21</v>
      </c>
      <c r="H21" s="49">
        <f>'All Tandem Adjustments'!X52</f>
        <v>23.857604166666668</v>
      </c>
      <c r="I21" s="49">
        <f>'All Tandem Adjustments'!Y52</f>
        <v>40.830405092592592</v>
      </c>
      <c r="K21" s="4">
        <f>'All Tandem Adjustments'!A80</f>
        <v>87</v>
      </c>
      <c r="L21" s="3" t="str">
        <f>'All Tandem Adjustments'!R80</f>
        <v>5:28</v>
      </c>
      <c r="M21" s="3" t="str">
        <f>'All Tandem Adjustments'!S80</f>
        <v>8:18</v>
      </c>
      <c r="N21" s="3" t="str">
        <f>'All Tandem Adjustments'!T80</f>
        <v>14:14</v>
      </c>
      <c r="O21" s="3" t="str">
        <f>'All Tandem Adjustments'!U80</f>
        <v>17:19</v>
      </c>
      <c r="P21" s="3" t="str">
        <f>'All Tandem Adjustments'!V80</f>
        <v>30:33</v>
      </c>
      <c r="Q21" s="3" t="str">
        <f>'All Tandem Adjustments'!W80</f>
        <v>1:11:13</v>
      </c>
      <c r="R21" s="47">
        <f>'All Tandem Adjustments'!X80</f>
        <v>62.077604166666667</v>
      </c>
      <c r="S21" s="47">
        <f>'All Tandem Adjustments'!Y80</f>
        <v>114.03079861111111</v>
      </c>
    </row>
    <row r="22" spans="1:20" x14ac:dyDescent="0.25">
      <c r="A22" s="4">
        <f>'All Tandem Adjustments'!A53</f>
        <v>60</v>
      </c>
      <c r="B22" s="3" t="str">
        <f>'All Tandem Adjustments'!R53</f>
        <v>1:51</v>
      </c>
      <c r="C22" s="3" t="str">
        <f>'All Tandem Adjustments'!S53</f>
        <v>2:48</v>
      </c>
      <c r="D22" s="3" t="str">
        <f>'All Tandem Adjustments'!T53</f>
        <v>4:43</v>
      </c>
      <c r="E22" s="3" t="str">
        <f>'All Tandem Adjustments'!U53</f>
        <v>5:43</v>
      </c>
      <c r="F22" s="3" t="str">
        <f>'All Tandem Adjustments'!V53</f>
        <v>9:49</v>
      </c>
      <c r="G22" s="3" t="str">
        <f>'All Tandem Adjustments'!W53</f>
        <v>21:16</v>
      </c>
      <c r="H22" s="47">
        <f>'All Tandem Adjustments'!X53</f>
        <v>24.866400462962964</v>
      </c>
      <c r="I22" s="47">
        <f>'All Tandem Adjustments'!Y53</f>
        <v>42.816805555555554</v>
      </c>
      <c r="K22" s="4">
        <f>'All Tandem Adjustments'!A81</f>
        <v>88</v>
      </c>
      <c r="L22" s="3" t="str">
        <f>'All Tandem Adjustments'!R81</f>
        <v>5:42</v>
      </c>
      <c r="M22" s="3" t="str">
        <f>'All Tandem Adjustments'!S81</f>
        <v>8:40</v>
      </c>
      <c r="N22" s="3" t="str">
        <f>'All Tandem Adjustments'!T81</f>
        <v>14:51</v>
      </c>
      <c r="O22" s="3" t="str">
        <f>'All Tandem Adjustments'!U81</f>
        <v>18:05</v>
      </c>
      <c r="P22" s="3" t="str">
        <f>'All Tandem Adjustments'!V81</f>
        <v>31:58</v>
      </c>
      <c r="Q22" s="3" t="str">
        <f>'All Tandem Adjustments'!W81</f>
        <v>1:14:50</v>
      </c>
      <c r="R22" s="47">
        <f>'All Tandem Adjustments'!X81</f>
        <v>63.845601851851853</v>
      </c>
      <c r="S22" s="47">
        <f>'All Tandem Adjustments'!Y81</f>
        <v>117.31200231481482</v>
      </c>
    </row>
    <row r="23" spans="1:20" x14ac:dyDescent="0.25">
      <c r="A23" s="4">
        <f>'All Tandem Adjustments'!A54</f>
        <v>61</v>
      </c>
      <c r="B23" s="3" t="str">
        <f>'All Tandem Adjustments'!R54</f>
        <v>1:55</v>
      </c>
      <c r="C23" s="3" t="str">
        <f>'All Tandem Adjustments'!S54</f>
        <v>2:54</v>
      </c>
      <c r="D23" s="3" t="str">
        <f>'All Tandem Adjustments'!T54</f>
        <v>4:55</v>
      </c>
      <c r="E23" s="3" t="str">
        <f>'All Tandem Adjustments'!U54</f>
        <v>5:57</v>
      </c>
      <c r="F23" s="3" t="str">
        <f>'All Tandem Adjustments'!V54</f>
        <v>10:14</v>
      </c>
      <c r="G23" s="3" t="str">
        <f>'All Tandem Adjustments'!W54</f>
        <v>22:14</v>
      </c>
      <c r="H23" s="47">
        <f>'All Tandem Adjustments'!X54</f>
        <v>25.906400462962964</v>
      </c>
      <c r="I23" s="47">
        <f>'All Tandem Adjustments'!Y54</f>
        <v>44.85</v>
      </c>
      <c r="K23" s="4">
        <f>'All Tandem Adjustments'!A82</f>
        <v>89</v>
      </c>
      <c r="L23" s="45" t="str">
        <f>'All Tandem Adjustments'!R82</f>
        <v>5:57</v>
      </c>
      <c r="M23" s="45" t="str">
        <f>'All Tandem Adjustments'!S82</f>
        <v>9:03</v>
      </c>
      <c r="N23" s="45" t="str">
        <f>'All Tandem Adjustments'!T82</f>
        <v>15:31</v>
      </c>
      <c r="O23" s="45" t="str">
        <f>'All Tandem Adjustments'!U82</f>
        <v>18:54</v>
      </c>
      <c r="P23" s="45" t="str">
        <f>'All Tandem Adjustments'!V82</f>
        <v>33:27</v>
      </c>
      <c r="Q23" s="45" t="str">
        <f>'All Tandem Adjustments'!W82</f>
        <v>1:18:42</v>
      </c>
      <c r="R23" s="49">
        <f>'All Tandem Adjustments'!X82</f>
        <v>65.650000000000006</v>
      </c>
      <c r="S23" s="49">
        <f>'All Tandem Adjustments'!Y82</f>
        <v>120.64519675925926</v>
      </c>
    </row>
    <row r="24" spans="1:20" x14ac:dyDescent="0.25">
      <c r="A24" s="4">
        <f>'All Tandem Adjustments'!A55</f>
        <v>62</v>
      </c>
      <c r="B24" s="3" t="str">
        <f>'All Tandem Adjustments'!R55</f>
        <v>2:00</v>
      </c>
      <c r="C24" s="3" t="str">
        <f>'All Tandem Adjustments'!S55</f>
        <v>3:01</v>
      </c>
      <c r="D24" s="3" t="str">
        <f>'All Tandem Adjustments'!T55</f>
        <v>5:08</v>
      </c>
      <c r="E24" s="3" t="str">
        <f>'All Tandem Adjustments'!U55</f>
        <v>6:12</v>
      </c>
      <c r="F24" s="3" t="str">
        <f>'All Tandem Adjustments'!V55</f>
        <v>10:41</v>
      </c>
      <c r="G24" s="3" t="str">
        <f>'All Tandem Adjustments'!W55</f>
        <v>23:14</v>
      </c>
      <c r="H24" s="47">
        <f>'All Tandem Adjustments'!X55</f>
        <v>26.967199074074074</v>
      </c>
      <c r="I24" s="47">
        <f>'All Tandem Adjustments'!Y55</f>
        <v>46.93</v>
      </c>
      <c r="K24" s="4">
        <f>'All Tandem Adjustments'!A83</f>
        <v>90</v>
      </c>
      <c r="L24" s="3" t="str">
        <f>'All Tandem Adjustments'!R83</f>
        <v>6:12</v>
      </c>
      <c r="M24" s="3" t="str">
        <f>'All Tandem Adjustments'!S83</f>
        <v>9:27</v>
      </c>
      <c r="N24" s="3" t="str">
        <f>'All Tandem Adjustments'!T83</f>
        <v>16:13</v>
      </c>
      <c r="O24" s="3" t="str">
        <f>'All Tandem Adjustments'!U83</f>
        <v>19:46</v>
      </c>
      <c r="P24" s="3" t="str">
        <f>'All Tandem Adjustments'!V83</f>
        <v>35:01</v>
      </c>
      <c r="Q24" s="3" t="str">
        <f>'All Tandem Adjustments'!W83</f>
        <v>1:22:51</v>
      </c>
      <c r="R24" s="47">
        <f>'All Tandem Adjustments'!X83</f>
        <v>67.490798611111117</v>
      </c>
      <c r="S24" s="47">
        <f>'All Tandem Adjustments'!Y83</f>
        <v>124.02519675925926</v>
      </c>
    </row>
    <row r="25" spans="1:20" x14ac:dyDescent="0.25">
      <c r="A25" s="4">
        <f>'All Tandem Adjustments'!A56</f>
        <v>63</v>
      </c>
      <c r="B25" s="3" t="str">
        <f>'All Tandem Adjustments'!R56</f>
        <v>2:05</v>
      </c>
      <c r="C25" s="3" t="str">
        <f>'All Tandem Adjustments'!S56</f>
        <v>3:09</v>
      </c>
      <c r="D25" s="3" t="str">
        <f>'All Tandem Adjustments'!T56</f>
        <v>5:21</v>
      </c>
      <c r="E25" s="3" t="str">
        <f>'All Tandem Adjustments'!U56</f>
        <v>6:28</v>
      </c>
      <c r="F25" s="3" t="str">
        <f>'All Tandem Adjustments'!V56</f>
        <v>11:08</v>
      </c>
      <c r="G25" s="3" t="str">
        <f>'All Tandem Adjustments'!W56</f>
        <v>24:17</v>
      </c>
      <c r="H25" s="47">
        <f>'All Tandem Adjustments'!X56</f>
        <v>28.059201388888887</v>
      </c>
      <c r="I25" s="47">
        <f>'All Tandem Adjustments'!Y56</f>
        <v>49.067199074074075</v>
      </c>
      <c r="K25" s="4">
        <f>'All Tandem Adjustments'!A84</f>
        <v>91</v>
      </c>
      <c r="L25" s="3" t="str">
        <f>'All Tandem Adjustments'!R84</f>
        <v>6:29</v>
      </c>
      <c r="M25" s="3" t="str">
        <f>'All Tandem Adjustments'!S84</f>
        <v>9:52</v>
      </c>
      <c r="N25" s="3" t="str">
        <f>'All Tandem Adjustments'!T84</f>
        <v>16:58</v>
      </c>
      <c r="O25" s="3" t="str">
        <f>'All Tandem Adjustments'!U84</f>
        <v>20:40</v>
      </c>
      <c r="P25" s="3" t="str">
        <f>'All Tandem Adjustments'!V84</f>
        <v>36:42</v>
      </c>
      <c r="Q25" s="3" t="str">
        <f>'All Tandem Adjustments'!W84</f>
        <v>1:27:20</v>
      </c>
      <c r="R25" s="47">
        <f>'All Tandem Adjustments'!X84</f>
        <v>69.362800925925924</v>
      </c>
      <c r="S25" s="47">
        <f>'All Tandem Adjustments'!Y84</f>
        <v>127.45719907407407</v>
      </c>
    </row>
    <row r="26" spans="1:20" x14ac:dyDescent="0.25">
      <c r="A26" s="4">
        <f>'All Tandem Adjustments'!A57</f>
        <v>64</v>
      </c>
      <c r="B26" s="3" t="str">
        <f>'All Tandem Adjustments'!R57</f>
        <v>2:10</v>
      </c>
      <c r="C26" s="3" t="str">
        <f>'All Tandem Adjustments'!S57</f>
        <v>3:17</v>
      </c>
      <c r="D26" s="3" t="str">
        <f>'All Tandem Adjustments'!T57</f>
        <v>5:34</v>
      </c>
      <c r="E26" s="3" t="str">
        <f>'All Tandem Adjustments'!U57</f>
        <v>6:44</v>
      </c>
      <c r="F26" s="3" t="str">
        <f>'All Tandem Adjustments'!V57</f>
        <v>11:36</v>
      </c>
      <c r="G26" s="3" t="str">
        <f>'All Tandem Adjustments'!W57</f>
        <v>25:22</v>
      </c>
      <c r="H26" s="47">
        <f>'All Tandem Adjustments'!X57</f>
        <v>29.177199074074075</v>
      </c>
      <c r="I26" s="47">
        <f>'All Tandem Adjustments'!Y57</f>
        <v>51.245995370370373</v>
      </c>
      <c r="K26" s="4">
        <f>'All Tandem Adjustments'!A85</f>
        <v>92</v>
      </c>
      <c r="L26" s="3" t="str">
        <f>'All Tandem Adjustments'!R85</f>
        <v>6:47</v>
      </c>
      <c r="M26" s="3" t="str">
        <f>'All Tandem Adjustments'!S85</f>
        <v>10:19</v>
      </c>
      <c r="N26" s="3" t="str">
        <f>'All Tandem Adjustments'!T85</f>
        <v>17:45</v>
      </c>
      <c r="O26" s="3" t="str">
        <f>'All Tandem Adjustments'!U85</f>
        <v>21:38</v>
      </c>
      <c r="P26" s="3" t="str">
        <f>'All Tandem Adjustments'!V85</f>
        <v>38:30</v>
      </c>
      <c r="Q26" s="3" t="str">
        <f>'All Tandem Adjustments'!W85</f>
        <v>1:32:11</v>
      </c>
      <c r="R26" s="47">
        <f>'All Tandem Adjustments'!X85</f>
        <v>71.276400462962968</v>
      </c>
      <c r="S26" s="47">
        <f>'All Tandem Adjustments'!Y85</f>
        <v>130.94120370370371</v>
      </c>
    </row>
    <row r="27" spans="1:20" x14ac:dyDescent="0.25">
      <c r="A27" s="4">
        <f>'All Tandem Adjustments'!A58</f>
        <v>65</v>
      </c>
      <c r="B27" s="3" t="str">
        <f>'All Tandem Adjustments'!R58</f>
        <v>2:15</v>
      </c>
      <c r="C27" s="3" t="str">
        <f>'All Tandem Adjustments'!S58</f>
        <v>3:25</v>
      </c>
      <c r="D27" s="3" t="str">
        <f>'All Tandem Adjustments'!T58</f>
        <v>5:48</v>
      </c>
      <c r="E27" s="3" t="str">
        <f>'All Tandem Adjustments'!U58</f>
        <v>7:01</v>
      </c>
      <c r="F27" s="3" t="str">
        <f>'All Tandem Adjustments'!V58</f>
        <v>12:06</v>
      </c>
      <c r="G27" s="3" t="str">
        <f>'All Tandem Adjustments'!W58</f>
        <v>26:31</v>
      </c>
      <c r="H27" s="47">
        <f>'All Tandem Adjustments'!X58</f>
        <v>30.321203703703702</v>
      </c>
      <c r="I27" s="47">
        <f>'All Tandem Adjustments'!Y58</f>
        <v>53.476805555555558</v>
      </c>
      <c r="K27" s="4">
        <f>'All Tandem Adjustments'!A86</f>
        <v>93</v>
      </c>
      <c r="L27" s="3" t="str">
        <f>'All Tandem Adjustments'!R86</f>
        <v>7:05</v>
      </c>
      <c r="M27" s="3" t="str">
        <f>'All Tandem Adjustments'!S86</f>
        <v>10:48</v>
      </c>
      <c r="N27" s="3" t="str">
        <f>'All Tandem Adjustments'!T86</f>
        <v>18:35</v>
      </c>
      <c r="O27" s="3" t="str">
        <f>'All Tandem Adjustments'!U86</f>
        <v>22:40</v>
      </c>
      <c r="P27" s="3" t="str">
        <f>'All Tandem Adjustments'!V86</f>
        <v>40:25</v>
      </c>
      <c r="Q27" s="3" t="str">
        <f>'All Tandem Adjustments'!W86</f>
        <v>1:37:26</v>
      </c>
      <c r="R27" s="47">
        <f>'All Tandem Adjustments'!X86</f>
        <v>73.226400462962957</v>
      </c>
      <c r="S27" s="47">
        <f>'All Tandem Adjustments'!Y86</f>
        <v>134.47719907407406</v>
      </c>
    </row>
    <row r="28" spans="1:20" x14ac:dyDescent="0.25">
      <c r="A28" s="4">
        <f>'All Tandem Adjustments'!A59</f>
        <v>66</v>
      </c>
      <c r="B28" s="3" t="str">
        <f>'All Tandem Adjustments'!R59</f>
        <v>2:21</v>
      </c>
      <c r="C28" s="3" t="str">
        <f>'All Tandem Adjustments'!S59</f>
        <v>3:34</v>
      </c>
      <c r="D28" s="3" t="str">
        <f>'All Tandem Adjustments'!T59</f>
        <v>6:02</v>
      </c>
      <c r="E28" s="3" t="str">
        <f>'All Tandem Adjustments'!U59</f>
        <v>7:19</v>
      </c>
      <c r="F28" s="3" t="str">
        <f>'All Tandem Adjustments'!V59</f>
        <v>12:37</v>
      </c>
      <c r="G28" s="3" t="str">
        <f>'All Tandem Adjustments'!W59</f>
        <v>27:42</v>
      </c>
      <c r="H28" s="47">
        <f>'All Tandem Adjustments'!X59</f>
        <v>31.485995370370372</v>
      </c>
      <c r="I28" s="47">
        <f>'All Tandem Adjustments'!Y59</f>
        <v>55.754398148148148</v>
      </c>
      <c r="K28" s="4">
        <f>'All Tandem Adjustments'!A87</f>
        <v>94</v>
      </c>
      <c r="L28" s="3" t="str">
        <f>'All Tandem Adjustments'!R87</f>
        <v>7:25</v>
      </c>
      <c r="M28" s="3" t="str">
        <f>'All Tandem Adjustments'!S87</f>
        <v>11:18</v>
      </c>
      <c r="N28" s="3" t="str">
        <f>'All Tandem Adjustments'!T87</f>
        <v>19:28</v>
      </c>
      <c r="O28" s="3" t="str">
        <f>'All Tandem Adjustments'!U87</f>
        <v>23:47</v>
      </c>
      <c r="P28" s="3" t="str">
        <f>'All Tandem Adjustments'!V87</f>
        <v>42:29</v>
      </c>
      <c r="Q28" s="3" t="str">
        <f>'All Tandem Adjustments'!W87</f>
        <v>1:43:11</v>
      </c>
      <c r="R28" s="47">
        <f>'All Tandem Adjustments'!X87</f>
        <v>75.217997685185182</v>
      </c>
      <c r="S28" s="47">
        <f>'All Tandem Adjustments'!Y87</f>
        <v>138.06519675925927</v>
      </c>
    </row>
    <row r="29" spans="1:20" x14ac:dyDescent="0.25">
      <c r="A29" s="4">
        <f>'All Tandem Adjustments'!A60</f>
        <v>67</v>
      </c>
      <c r="B29" s="3" t="str">
        <f>'All Tandem Adjustments'!R60</f>
        <v>2:27</v>
      </c>
      <c r="C29" s="3" t="str">
        <f>'All Tandem Adjustments'!S60</f>
        <v>3:42</v>
      </c>
      <c r="D29" s="3" t="str">
        <f>'All Tandem Adjustments'!T60</f>
        <v>6:17</v>
      </c>
      <c r="E29" s="3" t="str">
        <f>'All Tandem Adjustments'!U60</f>
        <v>7:37</v>
      </c>
      <c r="F29" s="3" t="str">
        <f>'All Tandem Adjustments'!V60</f>
        <v>13:09</v>
      </c>
      <c r="G29" s="3" t="str">
        <f>'All Tandem Adjustments'!W60</f>
        <v>28:56</v>
      </c>
      <c r="H29" s="47">
        <f>'All Tandem Adjustments'!X60</f>
        <v>32.682002314814817</v>
      </c>
      <c r="I29" s="47">
        <f>'All Tandem Adjustments'!Y60</f>
        <v>58.078796296296296</v>
      </c>
      <c r="K29" s="4">
        <f>'All Tandem Adjustments'!A88</f>
        <v>95</v>
      </c>
      <c r="L29" s="3" t="str">
        <f>'All Tandem Adjustments'!R88</f>
        <v>7:46</v>
      </c>
      <c r="M29" s="3" t="str">
        <f>'All Tandem Adjustments'!S88</f>
        <v>11:50</v>
      </c>
      <c r="N29" s="3" t="str">
        <f>'All Tandem Adjustments'!T88</f>
        <v>20:26</v>
      </c>
      <c r="O29" s="3" t="str">
        <f>'All Tandem Adjustments'!U88</f>
        <v>24:57</v>
      </c>
      <c r="P29" s="3" t="str">
        <f>'All Tandem Adjustments'!V88</f>
        <v>44:43</v>
      </c>
      <c r="Q29" s="3" t="str">
        <f>'All Tandem Adjustments'!W88</f>
        <v>1:49:28</v>
      </c>
      <c r="R29" s="47">
        <f>'All Tandem Adjustments'!X88</f>
        <v>77.245995370370366</v>
      </c>
      <c r="S29" s="47">
        <f>'All Tandem Adjustments'!Y88</f>
        <v>141.71560185185186</v>
      </c>
      <c r="T29" s="36">
        <f>Revision</f>
        <v>2024</v>
      </c>
    </row>
  </sheetData>
  <sheetProtection algorithmName="SHA-512" hashValue="I2twcD0FJzEVCJrmGJBe5fdioK1CLYGAnEHqM+L2+DxOD6QY5t0U0Nyvw9GRDer9MHkzJ98HwVyDwitoVVhj5A==" saltValue="DdcETXM2TD+LteQOWH9KtA=="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ADJUSTMENTS (PER RIDER) OPEN TANDEM TRICYCLE</oddHeader>
    <oddFooter>&amp;L&amp;F&amp;CA tandem combined handicap is derived by adding the two individual handicaps from this and/or facing table
Page &amp;P of &amp;N&amp;R&amp;D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BA3F5-B3CE-4FB5-A4D4-F61598DE2C76}">
  <sheetPr codeName="Sheet11">
    <pageSetUpPr fitToPage="1"/>
  </sheetPr>
  <dimension ref="A1:T29"/>
  <sheetViews>
    <sheetView zoomScale="75" zoomScaleNormal="75" workbookViewId="0">
      <selection activeCell="W18" sqref="W18"/>
    </sheetView>
  </sheetViews>
  <sheetFormatPr defaultRowHeight="15" x14ac:dyDescent="0.25"/>
  <cols>
    <col min="1" max="1" width="4.5703125" customWidth="1"/>
    <col min="2" max="9" width="8.5703125" customWidth="1"/>
    <col min="10" max="11" width="4.5703125" customWidth="1"/>
    <col min="12" max="19" width="8.5703125" customWidth="1"/>
  </cols>
  <sheetData>
    <row r="1" spans="1:19" s="11" customFormat="1" x14ac:dyDescent="0.25">
      <c r="A1" s="9" t="s">
        <v>1</v>
      </c>
      <c r="B1" s="10" t="s">
        <v>13</v>
      </c>
      <c r="C1" s="10" t="s">
        <v>14</v>
      </c>
      <c r="D1" s="10" t="s">
        <v>15</v>
      </c>
      <c r="E1" s="10" t="s">
        <v>16</v>
      </c>
      <c r="F1" s="10" t="s">
        <v>17</v>
      </c>
      <c r="G1" s="10" t="s">
        <v>18</v>
      </c>
      <c r="H1" s="60" t="s">
        <v>19</v>
      </c>
      <c r="I1" s="60" t="s">
        <v>20</v>
      </c>
      <c r="J1" s="12"/>
      <c r="K1" s="9" t="s">
        <v>1</v>
      </c>
      <c r="L1" s="10" t="s">
        <v>13</v>
      </c>
      <c r="M1" s="10" t="s">
        <v>14</v>
      </c>
      <c r="N1" s="10" t="s">
        <v>15</v>
      </c>
      <c r="O1" s="10" t="s">
        <v>16</v>
      </c>
      <c r="P1" s="10" t="s">
        <v>17</v>
      </c>
      <c r="Q1" s="10" t="s">
        <v>18</v>
      </c>
      <c r="R1" s="60" t="s">
        <v>19</v>
      </c>
      <c r="S1" s="60" t="s">
        <v>20</v>
      </c>
    </row>
    <row r="2" spans="1:19" x14ac:dyDescent="0.25">
      <c r="A2" s="4">
        <f>'All Tandem Adjustments'!A33</f>
        <v>40</v>
      </c>
      <c r="B2" s="3" t="str">
        <f>'All Tandem Adjustments'!Z33</f>
        <v>2:14</v>
      </c>
      <c r="C2" s="3" t="str">
        <f>'All Tandem Adjustments'!AA33</f>
        <v>3:22</v>
      </c>
      <c r="D2" s="3" t="str">
        <f>'All Tandem Adjustments'!AB33</f>
        <v>5:38</v>
      </c>
      <c r="E2" s="3" t="str">
        <f>'All Tandem Adjustments'!AC33</f>
        <v>6:48</v>
      </c>
      <c r="F2" s="3" t="str">
        <f>'All Tandem Adjustments'!AD33</f>
        <v>11:29</v>
      </c>
      <c r="G2" s="3" t="str">
        <f>'All Tandem Adjustments'!AE33</f>
        <v>23:48</v>
      </c>
      <c r="H2" s="47">
        <f>'All Tandem Adjustments'!AF33</f>
        <v>23.997997685185187</v>
      </c>
      <c r="I2" s="47">
        <f>'All Tandem Adjustments'!AG33</f>
        <v>33.877997685185186</v>
      </c>
      <c r="K2" s="4">
        <f>'All Tandem Adjustments'!A61</f>
        <v>68</v>
      </c>
      <c r="L2" s="3" t="str">
        <f>'All Tandem Adjustments'!Z61</f>
        <v>4:04</v>
      </c>
      <c r="M2" s="3" t="str">
        <f>'All Tandem Adjustments'!AA61</f>
        <v>6:10</v>
      </c>
      <c r="N2" s="3" t="str">
        <f>'All Tandem Adjustments'!AB61</f>
        <v>10:25</v>
      </c>
      <c r="O2" s="3" t="str">
        <f>'All Tandem Adjustments'!AC61</f>
        <v>12:36</v>
      </c>
      <c r="P2" s="3" t="str">
        <f>'All Tandem Adjustments'!AD61</f>
        <v>21:38</v>
      </c>
      <c r="Q2" s="3" t="str">
        <f>'All Tandem Adjustments'!AE61</f>
        <v>46:54</v>
      </c>
      <c r="R2" s="47">
        <f>'All Tandem Adjustments'!AF61</f>
        <v>44.517199074074071</v>
      </c>
      <c r="S2" s="47">
        <f>'All Tandem Adjustments'!AG61</f>
        <v>74.385995370370367</v>
      </c>
    </row>
    <row r="3" spans="1:19" x14ac:dyDescent="0.25">
      <c r="A3" s="4">
        <f>'All Tandem Adjustments'!A34</f>
        <v>41</v>
      </c>
      <c r="B3" s="3" t="str">
        <f>'All Tandem Adjustments'!Z34</f>
        <v>2:14</v>
      </c>
      <c r="C3" s="3" t="str">
        <f>'All Tandem Adjustments'!AA34</f>
        <v>3:23</v>
      </c>
      <c r="D3" s="3" t="str">
        <f>'All Tandem Adjustments'!AB34</f>
        <v>5:40</v>
      </c>
      <c r="E3" s="3" t="str">
        <f>'All Tandem Adjustments'!AC34</f>
        <v>6:49</v>
      </c>
      <c r="F3" s="3" t="str">
        <f>'All Tandem Adjustments'!AD34</f>
        <v>11:32</v>
      </c>
      <c r="G3" s="3" t="str">
        <f>'All Tandem Adjustments'!AE34</f>
        <v>23:56</v>
      </c>
      <c r="H3" s="47">
        <f>'All Tandem Adjustments'!AF34</f>
        <v>24.185196759259259</v>
      </c>
      <c r="I3" s="47">
        <f>'All Tandem Adjustments'!AG34</f>
        <v>34.309594907407408</v>
      </c>
      <c r="K3" s="4">
        <f>'All Tandem Adjustments'!A62</f>
        <v>69</v>
      </c>
      <c r="L3" s="45" t="str">
        <f>'All Tandem Adjustments'!Z62</f>
        <v>4:12</v>
      </c>
      <c r="M3" s="45" t="str">
        <f>'All Tandem Adjustments'!AA62</f>
        <v>6:21</v>
      </c>
      <c r="N3" s="45" t="str">
        <f>'All Tandem Adjustments'!AB62</f>
        <v>10:44</v>
      </c>
      <c r="O3" s="45" t="str">
        <f>'All Tandem Adjustments'!AC62</f>
        <v>12:59</v>
      </c>
      <c r="P3" s="45" t="str">
        <f>'All Tandem Adjustments'!AD62</f>
        <v>22:19</v>
      </c>
      <c r="Q3" s="45" t="str">
        <f>'All Tandem Adjustments'!AE62</f>
        <v>48:28</v>
      </c>
      <c r="R3" s="49">
        <f>'All Tandem Adjustments'!AF62</f>
        <v>45.65599537037037</v>
      </c>
      <c r="S3" s="49">
        <f>'All Tandem Adjustments'!AG62</f>
        <v>76.585601851851848</v>
      </c>
    </row>
    <row r="4" spans="1:19" x14ac:dyDescent="0.25">
      <c r="A4" s="4">
        <f>'All Tandem Adjustments'!A35</f>
        <v>42</v>
      </c>
      <c r="B4" s="3" t="str">
        <f>'All Tandem Adjustments'!Z35</f>
        <v>2:15</v>
      </c>
      <c r="C4" s="3" t="str">
        <f>'All Tandem Adjustments'!AA35</f>
        <v>3:24</v>
      </c>
      <c r="D4" s="3" t="str">
        <f>'All Tandem Adjustments'!AB35</f>
        <v>5:42</v>
      </c>
      <c r="E4" s="3" t="str">
        <f>'All Tandem Adjustments'!AC35</f>
        <v>6:52</v>
      </c>
      <c r="F4" s="3" t="str">
        <f>'All Tandem Adjustments'!AD35</f>
        <v>11:36</v>
      </c>
      <c r="G4" s="3" t="str">
        <f>'All Tandem Adjustments'!AE35</f>
        <v>24:06</v>
      </c>
      <c r="H4" s="47">
        <f>'All Tandem Adjustments'!AF35</f>
        <v>24.387997685185184</v>
      </c>
      <c r="I4" s="47">
        <f>'All Tandem Adjustments'!AG35</f>
        <v>34.782800925925926</v>
      </c>
      <c r="K4" s="4">
        <f>'All Tandem Adjustments'!A63</f>
        <v>70</v>
      </c>
      <c r="L4" s="3" t="str">
        <f>'All Tandem Adjustments'!Z63</f>
        <v>4:19</v>
      </c>
      <c r="M4" s="3" t="str">
        <f>'All Tandem Adjustments'!AA63</f>
        <v>6:32</v>
      </c>
      <c r="N4" s="3" t="str">
        <f>'All Tandem Adjustments'!AB63</f>
        <v>11:03</v>
      </c>
      <c r="O4" s="3" t="str">
        <f>'All Tandem Adjustments'!AC63</f>
        <v>13:22</v>
      </c>
      <c r="P4" s="3" t="str">
        <f>'All Tandem Adjustments'!AD63</f>
        <v>23:00</v>
      </c>
      <c r="Q4" s="3" t="str">
        <f>'All Tandem Adjustments'!AE63</f>
        <v>50:03</v>
      </c>
      <c r="R4" s="47">
        <f>'All Tandem Adjustments'!AF63</f>
        <v>46.784398148148149</v>
      </c>
      <c r="S4" s="47">
        <f>'All Tandem Adjustments'!AG63</f>
        <v>78.790405092592593</v>
      </c>
    </row>
    <row r="5" spans="1:19" x14ac:dyDescent="0.25">
      <c r="A5" s="4">
        <f>'All Tandem Adjustments'!A36</f>
        <v>43</v>
      </c>
      <c r="B5" s="3" t="str">
        <f>'All Tandem Adjustments'!Z36</f>
        <v>2:16</v>
      </c>
      <c r="C5" s="3" t="str">
        <f>'All Tandem Adjustments'!AA36</f>
        <v>3:24</v>
      </c>
      <c r="D5" s="3" t="str">
        <f>'All Tandem Adjustments'!AB36</f>
        <v>5:44</v>
      </c>
      <c r="E5" s="3" t="str">
        <f>'All Tandem Adjustments'!AC36</f>
        <v>6:54</v>
      </c>
      <c r="F5" s="3" t="str">
        <f>'All Tandem Adjustments'!AD36</f>
        <v>11:40</v>
      </c>
      <c r="G5" s="3" t="str">
        <f>'All Tandem Adjustments'!AE36</f>
        <v>24:15</v>
      </c>
      <c r="H5" s="47">
        <f>'All Tandem Adjustments'!AF36</f>
        <v>24.601203703703703</v>
      </c>
      <c r="I5" s="47">
        <f>'All Tandem Adjustments'!AG36</f>
        <v>35.307997685185185</v>
      </c>
      <c r="K5" s="4">
        <f>'All Tandem Adjustments'!A64</f>
        <v>71</v>
      </c>
      <c r="L5" s="3" t="str">
        <f>'All Tandem Adjustments'!Z64</f>
        <v>4:26</v>
      </c>
      <c r="M5" s="3" t="str">
        <f>'All Tandem Adjustments'!AA64</f>
        <v>6:43</v>
      </c>
      <c r="N5" s="3" t="str">
        <f>'All Tandem Adjustments'!AB64</f>
        <v>11:23</v>
      </c>
      <c r="O5" s="3" t="str">
        <f>'All Tandem Adjustments'!AC64</f>
        <v>13:46</v>
      </c>
      <c r="P5" s="3" t="str">
        <f>'All Tandem Adjustments'!AD64</f>
        <v>23:43</v>
      </c>
      <c r="Q5" s="3" t="str">
        <f>'All Tandem Adjustments'!AE64</f>
        <v>51:43</v>
      </c>
      <c r="R5" s="47">
        <f>'All Tandem Adjustments'!AF64</f>
        <v>47.938796296296296</v>
      </c>
      <c r="S5" s="47">
        <f>'All Tandem Adjustments'!AG64</f>
        <v>81.03680555555556</v>
      </c>
    </row>
    <row r="6" spans="1:19" x14ac:dyDescent="0.25">
      <c r="A6" s="4">
        <f>'All Tandem Adjustments'!A37</f>
        <v>44</v>
      </c>
      <c r="B6" s="3" t="str">
        <f>'All Tandem Adjustments'!Z37</f>
        <v>2:16</v>
      </c>
      <c r="C6" s="3" t="str">
        <f>'All Tandem Adjustments'!AA37</f>
        <v>3:25</v>
      </c>
      <c r="D6" s="3" t="str">
        <f>'All Tandem Adjustments'!AB37</f>
        <v>5:46</v>
      </c>
      <c r="E6" s="3" t="str">
        <f>'All Tandem Adjustments'!AC37</f>
        <v>6:56</v>
      </c>
      <c r="F6" s="3" t="str">
        <f>'All Tandem Adjustments'!AD37</f>
        <v>11:45</v>
      </c>
      <c r="G6" s="3" t="str">
        <f>'All Tandem Adjustments'!AE37</f>
        <v>24:26</v>
      </c>
      <c r="H6" s="47">
        <f>'All Tandem Adjustments'!AF37</f>
        <v>24.840405092592594</v>
      </c>
      <c r="I6" s="47">
        <f>'All Tandem Adjustments'!AG37</f>
        <v>35.880000000000003</v>
      </c>
      <c r="K6" s="4">
        <f>'All Tandem Adjustments'!A65</f>
        <v>72</v>
      </c>
      <c r="L6" s="3" t="str">
        <f>'All Tandem Adjustments'!Z65</f>
        <v>4:35</v>
      </c>
      <c r="M6" s="3" t="str">
        <f>'All Tandem Adjustments'!AA65</f>
        <v>6:55</v>
      </c>
      <c r="N6" s="3" t="str">
        <f>'All Tandem Adjustments'!AB65</f>
        <v>11:43</v>
      </c>
      <c r="O6" s="3" t="str">
        <f>'All Tandem Adjustments'!AC65</f>
        <v>14:12</v>
      </c>
      <c r="P6" s="3" t="str">
        <f>'All Tandem Adjustments'!AD65</f>
        <v>24:27</v>
      </c>
      <c r="Q6" s="3" t="str">
        <f>'All Tandem Adjustments'!AE65</f>
        <v>53:27</v>
      </c>
      <c r="R6" s="47">
        <f>'All Tandem Adjustments'!AF65</f>
        <v>49.114004629629626</v>
      </c>
      <c r="S6" s="47">
        <f>'All Tandem Adjustments'!AG65</f>
        <v>83.319594907407406</v>
      </c>
    </row>
    <row r="7" spans="1:19" x14ac:dyDescent="0.25">
      <c r="A7" s="4">
        <f>'All Tandem Adjustments'!A38</f>
        <v>45</v>
      </c>
      <c r="B7" s="3" t="str">
        <f>'All Tandem Adjustments'!Z38</f>
        <v>2:17</v>
      </c>
      <c r="C7" s="3" t="str">
        <f>'All Tandem Adjustments'!AA38</f>
        <v>3:27</v>
      </c>
      <c r="D7" s="3" t="str">
        <f>'All Tandem Adjustments'!AB38</f>
        <v>5:48</v>
      </c>
      <c r="E7" s="3" t="str">
        <f>'All Tandem Adjustments'!AC38</f>
        <v>6:59</v>
      </c>
      <c r="F7" s="3" t="str">
        <f>'All Tandem Adjustments'!AD38</f>
        <v>11:49</v>
      </c>
      <c r="G7" s="3" t="str">
        <f>'All Tandem Adjustments'!AE38</f>
        <v>24:38</v>
      </c>
      <c r="H7" s="47">
        <f>'All Tandem Adjustments'!AF38</f>
        <v>25.100405092592592</v>
      </c>
      <c r="I7" s="47">
        <f>'All Tandem Adjustments'!AG38</f>
        <v>36.50920138888889</v>
      </c>
      <c r="K7" s="4">
        <f>'All Tandem Adjustments'!A66</f>
        <v>73</v>
      </c>
      <c r="L7" s="3" t="str">
        <f>'All Tandem Adjustments'!Z66</f>
        <v>4:43</v>
      </c>
      <c r="M7" s="3" t="str">
        <f>'All Tandem Adjustments'!AA66</f>
        <v>7:08</v>
      </c>
      <c r="N7" s="3" t="str">
        <f>'All Tandem Adjustments'!AB66</f>
        <v>12:05</v>
      </c>
      <c r="O7" s="3" t="str">
        <f>'All Tandem Adjustments'!AC66</f>
        <v>14:37</v>
      </c>
      <c r="P7" s="3" t="str">
        <f>'All Tandem Adjustments'!AD66</f>
        <v>25:13</v>
      </c>
      <c r="Q7" s="3" t="str">
        <f>'All Tandem Adjustments'!AE66</f>
        <v>55:16</v>
      </c>
      <c r="R7" s="47">
        <f>'All Tandem Adjustments'!AF66</f>
        <v>50.31</v>
      </c>
      <c r="S7" s="47">
        <f>'All Tandem Adjustments'!AG66</f>
        <v>85.649201388888883</v>
      </c>
    </row>
    <row r="8" spans="1:19" x14ac:dyDescent="0.25">
      <c r="A8" s="4">
        <f>'All Tandem Adjustments'!A39</f>
        <v>46</v>
      </c>
      <c r="B8" s="3" t="str">
        <f>'All Tandem Adjustments'!Z39</f>
        <v>2:18</v>
      </c>
      <c r="C8" s="3" t="str">
        <f>'All Tandem Adjustments'!AA39</f>
        <v>3:28</v>
      </c>
      <c r="D8" s="3" t="str">
        <f>'All Tandem Adjustments'!AB39</f>
        <v>5:50</v>
      </c>
      <c r="E8" s="3" t="str">
        <f>'All Tandem Adjustments'!AC39</f>
        <v>7:02</v>
      </c>
      <c r="F8" s="3" t="str">
        <f>'All Tandem Adjustments'!AD39</f>
        <v>11:55</v>
      </c>
      <c r="G8" s="3" t="str">
        <f>'All Tandem Adjustments'!AE39</f>
        <v>24:51</v>
      </c>
      <c r="H8" s="47">
        <f>'All Tandem Adjustments'!AF39</f>
        <v>25.386400462962964</v>
      </c>
      <c r="I8" s="47">
        <f>'All Tandem Adjustments'!AG39</f>
        <v>37.195601851851855</v>
      </c>
      <c r="K8" s="4">
        <f>'All Tandem Adjustments'!A67</f>
        <v>74</v>
      </c>
      <c r="L8" s="3" t="str">
        <f>'All Tandem Adjustments'!Z67</f>
        <v>4:51</v>
      </c>
      <c r="M8" s="3" t="str">
        <f>'All Tandem Adjustments'!AA67</f>
        <v>7:21</v>
      </c>
      <c r="N8" s="3" t="str">
        <f>'All Tandem Adjustments'!AB67</f>
        <v>12:27</v>
      </c>
      <c r="O8" s="3" t="str">
        <f>'All Tandem Adjustments'!AC67</f>
        <v>15:05</v>
      </c>
      <c r="P8" s="3" t="str">
        <f>'All Tandem Adjustments'!AD67</f>
        <v>26:01</v>
      </c>
      <c r="Q8" s="3" t="str">
        <f>'All Tandem Adjustments'!AE67</f>
        <v>57:11</v>
      </c>
      <c r="R8" s="47">
        <f>'All Tandem Adjustments'!AF67</f>
        <v>51.532002314814818</v>
      </c>
      <c r="S8" s="47">
        <f>'All Tandem Adjustments'!AG67</f>
        <v>88.015196759259254</v>
      </c>
    </row>
    <row r="9" spans="1:19" x14ac:dyDescent="0.25">
      <c r="A9" s="4">
        <f>'All Tandem Adjustments'!A40</f>
        <v>47</v>
      </c>
      <c r="B9" s="3" t="str">
        <f>'All Tandem Adjustments'!Z40</f>
        <v>2:19</v>
      </c>
      <c r="C9" s="3" t="str">
        <f>'All Tandem Adjustments'!AA40</f>
        <v>3:30</v>
      </c>
      <c r="D9" s="3" t="str">
        <f>'All Tandem Adjustments'!AB40</f>
        <v>5:53</v>
      </c>
      <c r="E9" s="3" t="str">
        <f>'All Tandem Adjustments'!AC40</f>
        <v>7:05</v>
      </c>
      <c r="F9" s="3" t="str">
        <f>'All Tandem Adjustments'!AD40</f>
        <v>12:01</v>
      </c>
      <c r="G9" s="3" t="str">
        <f>'All Tandem Adjustments'!AE40</f>
        <v>25:06</v>
      </c>
      <c r="H9" s="47">
        <f>'All Tandem Adjustments'!AF40</f>
        <v>25.703599537037036</v>
      </c>
      <c r="I9" s="47">
        <f>'All Tandem Adjustments'!AG40</f>
        <v>37.944398148148146</v>
      </c>
      <c r="K9" s="4">
        <f>'All Tandem Adjustments'!A68</f>
        <v>75</v>
      </c>
      <c r="L9" s="3" t="str">
        <f>'All Tandem Adjustments'!Z68</f>
        <v>5:00</v>
      </c>
      <c r="M9" s="3" t="str">
        <f>'All Tandem Adjustments'!AA68</f>
        <v>7:34</v>
      </c>
      <c r="N9" s="3" t="str">
        <f>'All Tandem Adjustments'!AB68</f>
        <v>12:50</v>
      </c>
      <c r="O9" s="3" t="str">
        <f>'All Tandem Adjustments'!AC68</f>
        <v>15:33</v>
      </c>
      <c r="P9" s="3" t="str">
        <f>'All Tandem Adjustments'!AD68</f>
        <v>26:52</v>
      </c>
      <c r="Q9" s="3" t="str">
        <f>'All Tandem Adjustments'!AE68</f>
        <v>59:10</v>
      </c>
      <c r="R9" s="47">
        <f>'All Tandem Adjustments'!AF68</f>
        <v>52.78</v>
      </c>
      <c r="S9" s="47">
        <f>'All Tandem Adjustments'!AG68</f>
        <v>90.42799768518519</v>
      </c>
    </row>
    <row r="10" spans="1:19" x14ac:dyDescent="0.25">
      <c r="A10" s="4">
        <f>'All Tandem Adjustments'!A41</f>
        <v>48</v>
      </c>
      <c r="B10" s="3" t="str">
        <f>'All Tandem Adjustments'!Z41</f>
        <v>2:21</v>
      </c>
      <c r="C10" s="3" t="str">
        <f>'All Tandem Adjustments'!AA41</f>
        <v>3:32</v>
      </c>
      <c r="D10" s="3" t="str">
        <f>'All Tandem Adjustments'!AB41</f>
        <v>5:56</v>
      </c>
      <c r="E10" s="3" t="str">
        <f>'All Tandem Adjustments'!AC41</f>
        <v>7:09</v>
      </c>
      <c r="F10" s="3" t="str">
        <f>'All Tandem Adjustments'!AD41</f>
        <v>12:08</v>
      </c>
      <c r="G10" s="3" t="str">
        <f>'All Tandem Adjustments'!AE41</f>
        <v>25:23</v>
      </c>
      <c r="H10" s="47">
        <f>'All Tandem Adjustments'!AF41</f>
        <v>26.052002314814814</v>
      </c>
      <c r="I10" s="47">
        <f>'All Tandem Adjustments'!AG41</f>
        <v>38.760798611111113</v>
      </c>
      <c r="K10" s="4">
        <f>'All Tandem Adjustments'!A69</f>
        <v>76</v>
      </c>
      <c r="L10" s="3" t="str">
        <f>'All Tandem Adjustments'!Z69</f>
        <v>5:09</v>
      </c>
      <c r="M10" s="3" t="str">
        <f>'All Tandem Adjustments'!AA69</f>
        <v>7:48</v>
      </c>
      <c r="N10" s="3" t="str">
        <f>'All Tandem Adjustments'!AB69</f>
        <v>13:14</v>
      </c>
      <c r="O10" s="3" t="str">
        <f>'All Tandem Adjustments'!AC69</f>
        <v>16:02</v>
      </c>
      <c r="P10" s="3" t="str">
        <f>'All Tandem Adjustments'!AD69</f>
        <v>27:45</v>
      </c>
      <c r="Q10" s="3" t="str">
        <f>'All Tandem Adjustments'!AE69</f>
        <v>1:01:15</v>
      </c>
      <c r="R10" s="47">
        <f>'All Tandem Adjustments'!AF69</f>
        <v>54.043599537037039</v>
      </c>
      <c r="S10" s="47">
        <f>'All Tandem Adjustments'!AG69</f>
        <v>92.87719907407407</v>
      </c>
    </row>
    <row r="11" spans="1:19" x14ac:dyDescent="0.25">
      <c r="A11" s="4">
        <f>'All Tandem Adjustments'!A42</f>
        <v>49</v>
      </c>
      <c r="B11" s="45" t="str">
        <f>'All Tandem Adjustments'!Z42</f>
        <v>2:22</v>
      </c>
      <c r="C11" s="45" t="str">
        <f>'All Tandem Adjustments'!AA42</f>
        <v>3:34</v>
      </c>
      <c r="D11" s="45" t="str">
        <f>'All Tandem Adjustments'!AB42</f>
        <v>6:00</v>
      </c>
      <c r="E11" s="45" t="str">
        <f>'All Tandem Adjustments'!AC42</f>
        <v>7:14</v>
      </c>
      <c r="F11" s="45" t="str">
        <f>'All Tandem Adjustments'!AD42</f>
        <v>12:16</v>
      </c>
      <c r="G11" s="45" t="str">
        <f>'All Tandem Adjustments'!AE42</f>
        <v>25:42</v>
      </c>
      <c r="H11" s="49">
        <f>'All Tandem Adjustments'!AF42</f>
        <v>26.442002314814815</v>
      </c>
      <c r="I11" s="49">
        <f>'All Tandem Adjustments'!AG42</f>
        <v>39.65</v>
      </c>
      <c r="K11" s="4">
        <f>'All Tandem Adjustments'!A70</f>
        <v>77</v>
      </c>
      <c r="L11" s="3" t="str">
        <f>'All Tandem Adjustments'!Z70</f>
        <v>5:19</v>
      </c>
      <c r="M11" s="3" t="str">
        <f>'All Tandem Adjustments'!AA70</f>
        <v>8:03</v>
      </c>
      <c r="N11" s="3" t="str">
        <f>'All Tandem Adjustments'!AB70</f>
        <v>13:40</v>
      </c>
      <c r="O11" s="3" t="str">
        <f>'All Tandem Adjustments'!AC70</f>
        <v>16:33</v>
      </c>
      <c r="P11" s="3" t="str">
        <f>'All Tandem Adjustments'!AD70</f>
        <v>28:39</v>
      </c>
      <c r="Q11" s="3" t="str">
        <f>'All Tandem Adjustments'!AE70</f>
        <v>1:03:26</v>
      </c>
      <c r="R11" s="47">
        <f>'All Tandem Adjustments'!AF70</f>
        <v>55.33840277777778</v>
      </c>
      <c r="S11" s="47">
        <f>'All Tandem Adjustments'!AG70</f>
        <v>95.367997685185188</v>
      </c>
    </row>
    <row r="12" spans="1:19" x14ac:dyDescent="0.25">
      <c r="A12" s="4">
        <f>'All Tandem Adjustments'!A43</f>
        <v>50</v>
      </c>
      <c r="B12" s="3" t="str">
        <f>'All Tandem Adjustments'!Z43</f>
        <v>2:24</v>
      </c>
      <c r="C12" s="3" t="str">
        <f>'All Tandem Adjustments'!AA43</f>
        <v>3:36</v>
      </c>
      <c r="D12" s="3" t="str">
        <f>'All Tandem Adjustments'!AB43</f>
        <v>6:04</v>
      </c>
      <c r="E12" s="3" t="str">
        <f>'All Tandem Adjustments'!AC43</f>
        <v>7:19</v>
      </c>
      <c r="F12" s="3" t="str">
        <f>'All Tandem Adjustments'!AD43</f>
        <v>12:25</v>
      </c>
      <c r="G12" s="3" t="str">
        <f>'All Tandem Adjustments'!AE43</f>
        <v>26:04</v>
      </c>
      <c r="H12" s="47">
        <f>'All Tandem Adjustments'!AF43</f>
        <v>26.863194444444446</v>
      </c>
      <c r="I12" s="47">
        <f>'All Tandem Adjustments'!AG43</f>
        <v>40.612002314814816</v>
      </c>
      <c r="K12" s="4">
        <f>'All Tandem Adjustments'!A71</f>
        <v>78</v>
      </c>
      <c r="L12" s="3" t="str">
        <f>'All Tandem Adjustments'!Z71</f>
        <v>5:29</v>
      </c>
      <c r="M12" s="3" t="str">
        <f>'All Tandem Adjustments'!AA71</f>
        <v>8:18</v>
      </c>
      <c r="N12" s="3" t="str">
        <f>'All Tandem Adjustments'!AB71</f>
        <v>14:06</v>
      </c>
      <c r="O12" s="3" t="str">
        <f>'All Tandem Adjustments'!AC71</f>
        <v>17:05</v>
      </c>
      <c r="P12" s="3" t="str">
        <f>'All Tandem Adjustments'!AD71</f>
        <v>29:37</v>
      </c>
      <c r="Q12" s="3" t="str">
        <f>'All Tandem Adjustments'!AE71</f>
        <v>1:05:45</v>
      </c>
      <c r="R12" s="47">
        <f>'All Tandem Adjustments'!AF71</f>
        <v>56.654004629629632</v>
      </c>
      <c r="S12" s="47">
        <f>'All Tandem Adjustments'!AG71</f>
        <v>97.900405092592592</v>
      </c>
    </row>
    <row r="13" spans="1:19" x14ac:dyDescent="0.25">
      <c r="A13" s="4">
        <f>'All Tandem Adjustments'!A44</f>
        <v>51</v>
      </c>
      <c r="B13" s="3" t="str">
        <f>'All Tandem Adjustments'!Z44</f>
        <v>2:25</v>
      </c>
      <c r="C13" s="3" t="str">
        <f>'All Tandem Adjustments'!AA44</f>
        <v>3:39</v>
      </c>
      <c r="D13" s="3" t="str">
        <f>'All Tandem Adjustments'!AB44</f>
        <v>6:09</v>
      </c>
      <c r="E13" s="3" t="str">
        <f>'All Tandem Adjustments'!AC44</f>
        <v>7:24</v>
      </c>
      <c r="F13" s="3" t="str">
        <f>'All Tandem Adjustments'!AD44</f>
        <v>12:35</v>
      </c>
      <c r="G13" s="3" t="str">
        <f>'All Tandem Adjustments'!AE44</f>
        <v>26:28</v>
      </c>
      <c r="H13" s="47">
        <f>'All Tandem Adjustments'!AF44</f>
        <v>27.331203703703704</v>
      </c>
      <c r="I13" s="47">
        <f>'All Tandem Adjustments'!AG44</f>
        <v>41.652002314814816</v>
      </c>
      <c r="K13" s="4">
        <f>'All Tandem Adjustments'!A72</f>
        <v>79</v>
      </c>
      <c r="L13" s="45" t="str">
        <f>'All Tandem Adjustments'!Z72</f>
        <v>5:39</v>
      </c>
      <c r="M13" s="45" t="str">
        <f>'All Tandem Adjustments'!AA72</f>
        <v>8:34</v>
      </c>
      <c r="N13" s="45" t="str">
        <f>'All Tandem Adjustments'!AB72</f>
        <v>14:34</v>
      </c>
      <c r="O13" s="45" t="str">
        <f>'All Tandem Adjustments'!AC72</f>
        <v>17:39</v>
      </c>
      <c r="P13" s="45" t="str">
        <f>'All Tandem Adjustments'!AD72</f>
        <v>30:37</v>
      </c>
      <c r="Q13" s="45" t="str">
        <f>'All Tandem Adjustments'!AE72</f>
        <v>1:08:10</v>
      </c>
      <c r="R13" s="49">
        <f>'All Tandem Adjustments'!AF72</f>
        <v>57.995601851851852</v>
      </c>
      <c r="S13" s="49">
        <f>'All Tandem Adjustments'!AG72</f>
        <v>100.47439814814815</v>
      </c>
    </row>
    <row r="14" spans="1:19" x14ac:dyDescent="0.25">
      <c r="A14" s="4">
        <f>'All Tandem Adjustments'!A45</f>
        <v>52</v>
      </c>
      <c r="B14" s="3" t="str">
        <f>'All Tandem Adjustments'!Z45</f>
        <v>2:27</v>
      </c>
      <c r="C14" s="3" t="str">
        <f>'All Tandem Adjustments'!AA45</f>
        <v>3:42</v>
      </c>
      <c r="D14" s="3" t="str">
        <f>'All Tandem Adjustments'!AB45</f>
        <v>6:14</v>
      </c>
      <c r="E14" s="3" t="str">
        <f>'All Tandem Adjustments'!AC45</f>
        <v>7:31</v>
      </c>
      <c r="F14" s="3" t="str">
        <f>'All Tandem Adjustments'!AD45</f>
        <v>12:47</v>
      </c>
      <c r="G14" s="3" t="str">
        <f>'All Tandem Adjustments'!AE45</f>
        <v>26:56</v>
      </c>
      <c r="H14" s="47">
        <f>'All Tandem Adjustments'!AF45</f>
        <v>27.845995370370371</v>
      </c>
      <c r="I14" s="47">
        <f>'All Tandem Adjustments'!AG45</f>
        <v>42.775196759259259</v>
      </c>
      <c r="K14" s="4">
        <f>'All Tandem Adjustments'!A73</f>
        <v>80</v>
      </c>
      <c r="L14" s="3" t="str">
        <f>'All Tandem Adjustments'!Z73</f>
        <v>5:50</v>
      </c>
      <c r="M14" s="3" t="str">
        <f>'All Tandem Adjustments'!AA73</f>
        <v>8:50</v>
      </c>
      <c r="N14" s="3" t="str">
        <f>'All Tandem Adjustments'!AB73</f>
        <v>15:02</v>
      </c>
      <c r="O14" s="3" t="str">
        <f>'All Tandem Adjustments'!AC73</f>
        <v>18:14</v>
      </c>
      <c r="P14" s="3" t="str">
        <f>'All Tandem Adjustments'!AD73</f>
        <v>31:40</v>
      </c>
      <c r="Q14" s="3" t="str">
        <f>'All Tandem Adjustments'!AE73</f>
        <v>1:10:42</v>
      </c>
      <c r="R14" s="47">
        <f>'All Tandem Adjustments'!AF73</f>
        <v>59.357997685185182</v>
      </c>
      <c r="S14" s="47">
        <f>'All Tandem Adjustments'!AG73</f>
        <v>103.09519675925925</v>
      </c>
    </row>
    <row r="15" spans="1:19" x14ac:dyDescent="0.25">
      <c r="A15" s="4">
        <f>'All Tandem Adjustments'!A46</f>
        <v>53</v>
      </c>
      <c r="B15" s="3" t="str">
        <f>'All Tandem Adjustments'!Z46</f>
        <v>2:30</v>
      </c>
      <c r="C15" s="3" t="str">
        <f>'All Tandem Adjustments'!AA46</f>
        <v>3:46</v>
      </c>
      <c r="D15" s="3" t="str">
        <f>'All Tandem Adjustments'!AB46</f>
        <v>6:20</v>
      </c>
      <c r="E15" s="3" t="str">
        <f>'All Tandem Adjustments'!AC46</f>
        <v>7:39</v>
      </c>
      <c r="F15" s="3" t="str">
        <f>'All Tandem Adjustments'!AD46</f>
        <v>13:00</v>
      </c>
      <c r="G15" s="3" t="str">
        <f>'All Tandem Adjustments'!AE46</f>
        <v>27:26</v>
      </c>
      <c r="H15" s="47">
        <f>'All Tandem Adjustments'!AF46</f>
        <v>28.412800925925925</v>
      </c>
      <c r="I15" s="47">
        <f>'All Tandem Adjustments'!AG46</f>
        <v>43.986805555555556</v>
      </c>
      <c r="K15" s="4">
        <f>'All Tandem Adjustments'!A74</f>
        <v>81</v>
      </c>
      <c r="L15" s="3" t="str">
        <f>'All Tandem Adjustments'!Z74</f>
        <v>6:01</v>
      </c>
      <c r="M15" s="3" t="str">
        <f>'All Tandem Adjustments'!AA74</f>
        <v>9:08</v>
      </c>
      <c r="N15" s="3" t="str">
        <f>'All Tandem Adjustments'!AB74</f>
        <v>15:32</v>
      </c>
      <c r="O15" s="3" t="str">
        <f>'All Tandem Adjustments'!AC74</f>
        <v>18:50</v>
      </c>
      <c r="P15" s="3" t="str">
        <f>'All Tandem Adjustments'!AD74</f>
        <v>32:46</v>
      </c>
      <c r="Q15" s="3" t="str">
        <f>'All Tandem Adjustments'!AE74</f>
        <v>1:13:23</v>
      </c>
      <c r="R15" s="47">
        <f>'All Tandem Adjustments'!AF74</f>
        <v>60.74640046296296</v>
      </c>
      <c r="S15" s="47">
        <f>'All Tandem Adjustments'!AG74</f>
        <v>105.75239583333334</v>
      </c>
    </row>
    <row r="16" spans="1:19" x14ac:dyDescent="0.25">
      <c r="A16" s="4">
        <f>'All Tandem Adjustments'!A47</f>
        <v>54</v>
      </c>
      <c r="B16" s="3" t="str">
        <f>'All Tandem Adjustments'!Z47</f>
        <v>2:32</v>
      </c>
      <c r="C16" s="3" t="str">
        <f>'All Tandem Adjustments'!AA47</f>
        <v>3:50</v>
      </c>
      <c r="D16" s="3" t="str">
        <f>'All Tandem Adjustments'!AB47</f>
        <v>6:27</v>
      </c>
      <c r="E16" s="3" t="str">
        <f>'All Tandem Adjustments'!AC47</f>
        <v>7:47</v>
      </c>
      <c r="F16" s="3" t="str">
        <f>'All Tandem Adjustments'!AD47</f>
        <v>13:15</v>
      </c>
      <c r="G16" s="3" t="str">
        <f>'All Tandem Adjustments'!AE47</f>
        <v>28:01</v>
      </c>
      <c r="H16" s="47">
        <f>'All Tandem Adjustments'!AF47</f>
        <v>29.026400462962965</v>
      </c>
      <c r="I16" s="47">
        <f>'All Tandem Adjustments'!AG47</f>
        <v>45.286805555555553</v>
      </c>
      <c r="K16" s="4">
        <f>'All Tandem Adjustments'!A75</f>
        <v>82</v>
      </c>
      <c r="L16" s="3" t="str">
        <f>'All Tandem Adjustments'!Z75</f>
        <v>6:13</v>
      </c>
      <c r="M16" s="3" t="str">
        <f>'All Tandem Adjustments'!AA75</f>
        <v>9:26</v>
      </c>
      <c r="N16" s="3" t="str">
        <f>'All Tandem Adjustments'!AB75</f>
        <v>16:04</v>
      </c>
      <c r="O16" s="3" t="str">
        <f>'All Tandem Adjustments'!AC75</f>
        <v>19:29</v>
      </c>
      <c r="P16" s="3" t="str">
        <f>'All Tandem Adjustments'!AD75</f>
        <v>33:55</v>
      </c>
      <c r="Q16" s="3" t="str">
        <f>'All Tandem Adjustments'!AE75</f>
        <v>1:16:13</v>
      </c>
      <c r="R16" s="47">
        <f>'All Tandem Adjustments'!AF75</f>
        <v>62.160798611111112</v>
      </c>
      <c r="S16" s="47">
        <f>'All Tandem Adjustments'!AG75</f>
        <v>108.45640046296296</v>
      </c>
    </row>
    <row r="17" spans="1:20" x14ac:dyDescent="0.25">
      <c r="A17" s="4">
        <f>'All Tandem Adjustments'!A48</f>
        <v>55</v>
      </c>
      <c r="B17" s="3" t="str">
        <f>'All Tandem Adjustments'!Z48</f>
        <v>2:36</v>
      </c>
      <c r="C17" s="3" t="str">
        <f>'All Tandem Adjustments'!AA48</f>
        <v>3:54</v>
      </c>
      <c r="D17" s="3" t="str">
        <f>'All Tandem Adjustments'!AB48</f>
        <v>6:35</v>
      </c>
      <c r="E17" s="3" t="str">
        <f>'All Tandem Adjustments'!AC48</f>
        <v>7:57</v>
      </c>
      <c r="F17" s="3" t="str">
        <f>'All Tandem Adjustments'!AD48</f>
        <v>13:32</v>
      </c>
      <c r="G17" s="3" t="str">
        <f>'All Tandem Adjustments'!AE48</f>
        <v>28:40</v>
      </c>
      <c r="H17" s="47">
        <f>'All Tandem Adjustments'!AF48</f>
        <v>29.697199074074074</v>
      </c>
      <c r="I17" s="47">
        <f>'All Tandem Adjustments'!AG48</f>
        <v>46.680405092592594</v>
      </c>
      <c r="K17" s="4">
        <f>'All Tandem Adjustments'!A76</f>
        <v>83</v>
      </c>
      <c r="L17" s="3" t="str">
        <f>'All Tandem Adjustments'!Z76</f>
        <v>6:26</v>
      </c>
      <c r="M17" s="3" t="str">
        <f>'All Tandem Adjustments'!AA76</f>
        <v>9:45</v>
      </c>
      <c r="N17" s="3" t="str">
        <f>'All Tandem Adjustments'!AB76</f>
        <v>16:36</v>
      </c>
      <c r="O17" s="3" t="str">
        <f>'All Tandem Adjustments'!AC76</f>
        <v>20:09</v>
      </c>
      <c r="P17" s="3" t="str">
        <f>'All Tandem Adjustments'!AD76</f>
        <v>35:07</v>
      </c>
      <c r="Q17" s="3" t="str">
        <f>'All Tandem Adjustments'!AE76</f>
        <v>1:19:13</v>
      </c>
      <c r="R17" s="47">
        <f>'All Tandem Adjustments'!AF76</f>
        <v>63.606400462962966</v>
      </c>
      <c r="S17" s="47">
        <f>'All Tandem Adjustments'!AG76</f>
        <v>111.20200231481482</v>
      </c>
    </row>
    <row r="18" spans="1:20" x14ac:dyDescent="0.25">
      <c r="A18" s="4">
        <f>'All Tandem Adjustments'!A49</f>
        <v>56</v>
      </c>
      <c r="B18" s="3" t="str">
        <f>'All Tandem Adjustments'!Z49</f>
        <v>2:39</v>
      </c>
      <c r="C18" s="3" t="str">
        <f>'All Tandem Adjustments'!AA49</f>
        <v>4:00</v>
      </c>
      <c r="D18" s="3" t="str">
        <f>'All Tandem Adjustments'!AB49</f>
        <v>6:44</v>
      </c>
      <c r="E18" s="3" t="str">
        <f>'All Tandem Adjustments'!AC49</f>
        <v>8:08</v>
      </c>
      <c r="F18" s="3" t="str">
        <f>'All Tandem Adjustments'!AD49</f>
        <v>13:51</v>
      </c>
      <c r="G18" s="3" t="str">
        <f>'All Tandem Adjustments'!AE49</f>
        <v>29:24</v>
      </c>
      <c r="H18" s="47">
        <f>'All Tandem Adjustments'!AF49</f>
        <v>30.425196759259258</v>
      </c>
      <c r="I18" s="47">
        <f>'All Tandem Adjustments'!AG49</f>
        <v>48.172800925925927</v>
      </c>
      <c r="K18" s="4">
        <f>'All Tandem Adjustments'!A77</f>
        <v>84</v>
      </c>
      <c r="L18" s="3" t="str">
        <f>'All Tandem Adjustments'!Z77</f>
        <v>6:39</v>
      </c>
      <c r="M18" s="3" t="str">
        <f>'All Tandem Adjustments'!AA77</f>
        <v>10:05</v>
      </c>
      <c r="N18" s="3" t="str">
        <f>'All Tandem Adjustments'!AB77</f>
        <v>17:11</v>
      </c>
      <c r="O18" s="3" t="str">
        <f>'All Tandem Adjustments'!AC77</f>
        <v>20:51</v>
      </c>
      <c r="P18" s="3" t="str">
        <f>'All Tandem Adjustments'!AD77</f>
        <v>36:24</v>
      </c>
      <c r="Q18" s="3" t="str">
        <f>'All Tandem Adjustments'!AE77</f>
        <v>1:22:23</v>
      </c>
      <c r="R18" s="47">
        <f>'All Tandem Adjustments'!AF77</f>
        <v>65.072800925925932</v>
      </c>
      <c r="S18" s="47">
        <f>'All Tandem Adjustments'!AG77</f>
        <v>113.98920138888889</v>
      </c>
    </row>
    <row r="19" spans="1:20" x14ac:dyDescent="0.25">
      <c r="A19" s="4">
        <f>'All Tandem Adjustments'!A50</f>
        <v>57</v>
      </c>
      <c r="B19" s="3" t="str">
        <f>'All Tandem Adjustments'!Z50</f>
        <v>2:43</v>
      </c>
      <c r="C19" s="3" t="str">
        <f>'All Tandem Adjustments'!AA50</f>
        <v>4:05</v>
      </c>
      <c r="D19" s="3" t="str">
        <f>'All Tandem Adjustments'!AB50</f>
        <v>6:54</v>
      </c>
      <c r="E19" s="3" t="str">
        <f>'All Tandem Adjustments'!AC50</f>
        <v>8:20</v>
      </c>
      <c r="F19" s="3" t="str">
        <f>'All Tandem Adjustments'!AD50</f>
        <v>14:12</v>
      </c>
      <c r="G19" s="3" t="str">
        <f>'All Tandem Adjustments'!AE50</f>
        <v>30:12</v>
      </c>
      <c r="H19" s="47">
        <f>'All Tandem Adjustments'!AF50</f>
        <v>31.215601851851851</v>
      </c>
      <c r="I19" s="47">
        <f>'All Tandem Adjustments'!AG50</f>
        <v>49.758796296296296</v>
      </c>
      <c r="K19" s="4">
        <f>'All Tandem Adjustments'!A78</f>
        <v>85</v>
      </c>
      <c r="L19" s="3" t="str">
        <f>'All Tandem Adjustments'!Z78</f>
        <v>6:53</v>
      </c>
      <c r="M19" s="3" t="str">
        <f>'All Tandem Adjustments'!AA78</f>
        <v>10:26</v>
      </c>
      <c r="N19" s="3" t="str">
        <f>'All Tandem Adjustments'!AB78</f>
        <v>17:48</v>
      </c>
      <c r="O19" s="3" t="str">
        <f>'All Tandem Adjustments'!AC78</f>
        <v>21:36</v>
      </c>
      <c r="P19" s="3" t="str">
        <f>'All Tandem Adjustments'!AD78</f>
        <v>37:44</v>
      </c>
      <c r="Q19" s="3" t="str">
        <f>'All Tandem Adjustments'!AE78</f>
        <v>1:25:45</v>
      </c>
      <c r="R19" s="47">
        <f>'All Tandem Adjustments'!AF78</f>
        <v>66.565196759259265</v>
      </c>
      <c r="S19" s="47">
        <f>'All Tandem Adjustments'!AG78</f>
        <v>116.82319444444444</v>
      </c>
    </row>
    <row r="20" spans="1:20" x14ac:dyDescent="0.25">
      <c r="A20" s="4">
        <f>'All Tandem Adjustments'!A51</f>
        <v>58</v>
      </c>
      <c r="B20" s="3" t="str">
        <f>'All Tandem Adjustments'!Z51</f>
        <v>2:47</v>
      </c>
      <c r="C20" s="3" t="str">
        <f>'All Tandem Adjustments'!AA51</f>
        <v>4:12</v>
      </c>
      <c r="D20" s="3" t="str">
        <f>'All Tandem Adjustments'!AB51</f>
        <v>7:05</v>
      </c>
      <c r="E20" s="3" t="str">
        <f>'All Tandem Adjustments'!AC51</f>
        <v>8:33</v>
      </c>
      <c r="F20" s="3" t="str">
        <f>'All Tandem Adjustments'!AD51</f>
        <v>14:36</v>
      </c>
      <c r="G20" s="3" t="str">
        <f>'All Tandem Adjustments'!AE51</f>
        <v>31:06</v>
      </c>
      <c r="H20" s="47">
        <f>'All Tandem Adjustments'!AF51</f>
        <v>32.063194444444441</v>
      </c>
      <c r="I20" s="47">
        <f>'All Tandem Adjustments'!AG51</f>
        <v>51.45400462962963</v>
      </c>
      <c r="K20" s="4">
        <f>'All Tandem Adjustments'!A79</f>
        <v>86</v>
      </c>
      <c r="L20" s="3" t="str">
        <f>'All Tandem Adjustments'!Z79</f>
        <v>7:07</v>
      </c>
      <c r="M20" s="3" t="str">
        <f>'All Tandem Adjustments'!AA79</f>
        <v>10:48</v>
      </c>
      <c r="N20" s="3" t="str">
        <f>'All Tandem Adjustments'!AB79</f>
        <v>18:25</v>
      </c>
      <c r="O20" s="3" t="str">
        <f>'All Tandem Adjustments'!AC79</f>
        <v>22:23</v>
      </c>
      <c r="P20" s="3" t="str">
        <f>'All Tandem Adjustments'!AD79</f>
        <v>39:09</v>
      </c>
      <c r="Q20" s="3" t="str">
        <f>'All Tandem Adjustments'!AE79</f>
        <v>1:29:20</v>
      </c>
      <c r="R20" s="47">
        <f>'All Tandem Adjustments'!AF79</f>
        <v>68.088796296296294</v>
      </c>
      <c r="S20" s="47">
        <f>'All Tandem Adjustments'!AG79</f>
        <v>119.70400462962964</v>
      </c>
    </row>
    <row r="21" spans="1:20" x14ac:dyDescent="0.25">
      <c r="A21" s="4">
        <f>'All Tandem Adjustments'!A52</f>
        <v>59</v>
      </c>
      <c r="B21" s="45" t="str">
        <f>'All Tandem Adjustments'!Z52</f>
        <v>2:52</v>
      </c>
      <c r="C21" s="45" t="str">
        <f>'All Tandem Adjustments'!AA52</f>
        <v>4:19</v>
      </c>
      <c r="D21" s="45" t="str">
        <f>'All Tandem Adjustments'!AB52</f>
        <v>7:17</v>
      </c>
      <c r="E21" s="45" t="str">
        <f>'All Tandem Adjustments'!AC52</f>
        <v>8:48</v>
      </c>
      <c r="F21" s="45" t="str">
        <f>'All Tandem Adjustments'!AD52</f>
        <v>15:02</v>
      </c>
      <c r="G21" s="45" t="str">
        <f>'All Tandem Adjustments'!AE52</f>
        <v>32:05</v>
      </c>
      <c r="H21" s="49">
        <f>'All Tandem Adjustments'!AF52</f>
        <v>32.983599537037037</v>
      </c>
      <c r="I21" s="49">
        <f>'All Tandem Adjustments'!AG52</f>
        <v>53.247997685185183</v>
      </c>
      <c r="K21" s="4">
        <f>'All Tandem Adjustments'!A80</f>
        <v>87</v>
      </c>
      <c r="L21" s="3" t="str">
        <f>'All Tandem Adjustments'!Z80</f>
        <v>7:22</v>
      </c>
      <c r="M21" s="3" t="str">
        <f>'All Tandem Adjustments'!AA80</f>
        <v>11:11</v>
      </c>
      <c r="N21" s="3" t="str">
        <f>'All Tandem Adjustments'!AB80</f>
        <v>19:06</v>
      </c>
      <c r="O21" s="3" t="str">
        <f>'All Tandem Adjustments'!AC80</f>
        <v>23:12</v>
      </c>
      <c r="P21" s="3" t="str">
        <f>'All Tandem Adjustments'!AD80</f>
        <v>40:39</v>
      </c>
      <c r="Q21" s="3" t="str">
        <f>'All Tandem Adjustments'!AE80</f>
        <v>1:33:09</v>
      </c>
      <c r="R21" s="47">
        <f>'All Tandem Adjustments'!AF80</f>
        <v>69.638402777777785</v>
      </c>
      <c r="S21" s="47">
        <f>'All Tandem Adjustments'!AG80</f>
        <v>122.62640046296296</v>
      </c>
    </row>
    <row r="22" spans="1:20" x14ac:dyDescent="0.25">
      <c r="A22" s="4">
        <f>'All Tandem Adjustments'!A53</f>
        <v>60</v>
      </c>
      <c r="B22" s="3" t="str">
        <f>'All Tandem Adjustments'!Z53</f>
        <v>2:57</v>
      </c>
      <c r="C22" s="3" t="str">
        <f>'All Tandem Adjustments'!AA53</f>
        <v>4:27</v>
      </c>
      <c r="D22" s="3" t="str">
        <f>'All Tandem Adjustments'!AB53</f>
        <v>7:31</v>
      </c>
      <c r="E22" s="3" t="str">
        <f>'All Tandem Adjustments'!AC53</f>
        <v>9:05</v>
      </c>
      <c r="F22" s="3" t="str">
        <f>'All Tandem Adjustments'!AD53</f>
        <v>15:31</v>
      </c>
      <c r="G22" s="3" t="str">
        <f>'All Tandem Adjustments'!AE53</f>
        <v>33:11</v>
      </c>
      <c r="H22" s="47">
        <f>'All Tandem Adjustments'!AF53</f>
        <v>33.966400462962966</v>
      </c>
      <c r="I22" s="47">
        <f>'All Tandem Adjustments'!AG53</f>
        <v>55.1512037037037</v>
      </c>
      <c r="K22" s="4">
        <f>'All Tandem Adjustments'!A81</f>
        <v>88</v>
      </c>
      <c r="L22" s="3" t="str">
        <f>'All Tandem Adjustments'!Z81</f>
        <v>7:38</v>
      </c>
      <c r="M22" s="3" t="str">
        <f>'All Tandem Adjustments'!AA81</f>
        <v>11:35</v>
      </c>
      <c r="N22" s="3" t="str">
        <f>'All Tandem Adjustments'!AB81</f>
        <v>19:48</v>
      </c>
      <c r="O22" s="3" t="str">
        <f>'All Tandem Adjustments'!AC81</f>
        <v>24:04</v>
      </c>
      <c r="P22" s="3" t="str">
        <f>'All Tandem Adjustments'!AD81</f>
        <v>42:13</v>
      </c>
      <c r="Q22" s="3" t="str">
        <f>'All Tandem Adjustments'!AE81</f>
        <v>1:37:13</v>
      </c>
      <c r="R22" s="47">
        <f>'All Tandem Adjustments'!AF81</f>
        <v>71.219201388888891</v>
      </c>
      <c r="S22" s="47">
        <f>'All Tandem Adjustments'!AG81</f>
        <v>125.60079861111112</v>
      </c>
    </row>
    <row r="23" spans="1:20" x14ac:dyDescent="0.25">
      <c r="A23" s="4">
        <f>'All Tandem Adjustments'!A54</f>
        <v>61</v>
      </c>
      <c r="B23" s="3" t="str">
        <f>'All Tandem Adjustments'!Z54</f>
        <v>3:03</v>
      </c>
      <c r="C23" s="3" t="str">
        <f>'All Tandem Adjustments'!AA54</f>
        <v>4:36</v>
      </c>
      <c r="D23" s="3" t="str">
        <f>'All Tandem Adjustments'!AB54</f>
        <v>7:46</v>
      </c>
      <c r="E23" s="3" t="str">
        <f>'All Tandem Adjustments'!AC54</f>
        <v>9:23</v>
      </c>
      <c r="F23" s="3" t="str">
        <f>'All Tandem Adjustments'!AD54</f>
        <v>16:03</v>
      </c>
      <c r="G23" s="3" t="str">
        <f>'All Tandem Adjustments'!AE54</f>
        <v>34:24</v>
      </c>
      <c r="H23" s="47">
        <f>'All Tandem Adjustments'!AF54</f>
        <v>35.022002314814813</v>
      </c>
      <c r="I23" s="47">
        <f>'All Tandem Adjustments'!AG54</f>
        <v>57.158402777777781</v>
      </c>
      <c r="K23" s="4">
        <f>'All Tandem Adjustments'!A82</f>
        <v>89</v>
      </c>
      <c r="L23" s="45" t="str">
        <f>'All Tandem Adjustments'!Z82</f>
        <v>7:55</v>
      </c>
      <c r="M23" s="45" t="str">
        <f>'All Tandem Adjustments'!AA82</f>
        <v>12:01</v>
      </c>
      <c r="N23" s="45" t="str">
        <f>'All Tandem Adjustments'!AB82</f>
        <v>20:33</v>
      </c>
      <c r="O23" s="45" t="str">
        <f>'All Tandem Adjustments'!AC82</f>
        <v>24:59</v>
      </c>
      <c r="P23" s="45" t="str">
        <f>'All Tandem Adjustments'!AD82</f>
        <v>43:54</v>
      </c>
      <c r="Q23" s="45" t="str">
        <f>'All Tandem Adjustments'!AE82</f>
        <v>1:41:35</v>
      </c>
      <c r="R23" s="49">
        <f>'All Tandem Adjustments'!AF82</f>
        <v>72.831203703703707</v>
      </c>
      <c r="S23" s="49">
        <f>'All Tandem Adjustments'!AG82</f>
        <v>128.61680555555554</v>
      </c>
    </row>
    <row r="24" spans="1:20" x14ac:dyDescent="0.25">
      <c r="A24" s="4">
        <f>'All Tandem Adjustments'!A55</f>
        <v>62</v>
      </c>
      <c r="B24" s="3" t="str">
        <f>'All Tandem Adjustments'!Z55</f>
        <v>3:09</v>
      </c>
      <c r="C24" s="3" t="str">
        <f>'All Tandem Adjustments'!AA55</f>
        <v>4:46</v>
      </c>
      <c r="D24" s="3" t="str">
        <f>'All Tandem Adjustments'!AB55</f>
        <v>8:03</v>
      </c>
      <c r="E24" s="3" t="str">
        <f>'All Tandem Adjustments'!AC55</f>
        <v>9:44</v>
      </c>
      <c r="F24" s="3" t="str">
        <f>'All Tandem Adjustments'!AD55</f>
        <v>16:39</v>
      </c>
      <c r="G24" s="3" t="str">
        <f>'All Tandem Adjustments'!AE55</f>
        <v>35:43</v>
      </c>
      <c r="H24" s="47">
        <f>'All Tandem Adjustments'!AF55</f>
        <v>36.150405092592592</v>
      </c>
      <c r="I24" s="47">
        <f>'All Tandem Adjustments'!AG55</f>
        <v>59.28</v>
      </c>
      <c r="K24" s="4">
        <f>'All Tandem Adjustments'!A83</f>
        <v>90</v>
      </c>
      <c r="L24" s="3" t="str">
        <f>'All Tandem Adjustments'!Z83</f>
        <v>8:12</v>
      </c>
      <c r="M24" s="3" t="str">
        <f>'All Tandem Adjustments'!AA83</f>
        <v>12:28</v>
      </c>
      <c r="N24" s="3" t="str">
        <f>'All Tandem Adjustments'!AB83</f>
        <v>21:20</v>
      </c>
      <c r="O24" s="3" t="str">
        <f>'All Tandem Adjustments'!AC83</f>
        <v>25:57</v>
      </c>
      <c r="P24" s="3" t="str">
        <f>'All Tandem Adjustments'!AD83</f>
        <v>45:41</v>
      </c>
      <c r="Q24" s="3" t="str">
        <f>'All Tandem Adjustments'!AE83</f>
        <v>1:46:15</v>
      </c>
      <c r="R24" s="47">
        <f>'All Tandem Adjustments'!AF83</f>
        <v>74.474398148148154</v>
      </c>
      <c r="S24" s="47">
        <f>'All Tandem Adjustments'!AG83</f>
        <v>131.68480324074073</v>
      </c>
    </row>
    <row r="25" spans="1:20" x14ac:dyDescent="0.25">
      <c r="A25" s="4">
        <f>'All Tandem Adjustments'!A56</f>
        <v>63</v>
      </c>
      <c r="B25" s="3" t="str">
        <f>'All Tandem Adjustments'!Z56</f>
        <v>3:16</v>
      </c>
      <c r="C25" s="3" t="str">
        <f>'All Tandem Adjustments'!AA56</f>
        <v>4:57</v>
      </c>
      <c r="D25" s="3" t="str">
        <f>'All Tandem Adjustments'!AB56</f>
        <v>8:22</v>
      </c>
      <c r="E25" s="3" t="str">
        <f>'All Tandem Adjustments'!AC56</f>
        <v>10:06</v>
      </c>
      <c r="F25" s="3" t="str">
        <f>'All Tandem Adjustments'!AD56</f>
        <v>17:18</v>
      </c>
      <c r="G25" s="3" t="str">
        <f>'All Tandem Adjustments'!AE56</f>
        <v>37:11</v>
      </c>
      <c r="H25" s="47">
        <f>'All Tandem Adjustments'!AF56</f>
        <v>37.351597222222225</v>
      </c>
      <c r="I25" s="47">
        <f>'All Tandem Adjustments'!AG56</f>
        <v>61.510798611111113</v>
      </c>
      <c r="K25" s="4">
        <f>'All Tandem Adjustments'!A84</f>
        <v>91</v>
      </c>
      <c r="L25" s="3" t="str">
        <f>'All Tandem Adjustments'!Z84</f>
        <v>8:31</v>
      </c>
      <c r="M25" s="3" t="str">
        <f>'All Tandem Adjustments'!AA84</f>
        <v>12:57</v>
      </c>
      <c r="N25" s="3" t="str">
        <f>'All Tandem Adjustments'!AB84</f>
        <v>22:10</v>
      </c>
      <c r="O25" s="3" t="str">
        <f>'All Tandem Adjustments'!AC84</f>
        <v>26:58</v>
      </c>
      <c r="P25" s="3" t="str">
        <f>'All Tandem Adjustments'!AD84</f>
        <v>47:35</v>
      </c>
      <c r="Q25" s="3" t="str">
        <f>'All Tandem Adjustments'!AE84</f>
        <v>1:51:18</v>
      </c>
      <c r="R25" s="47">
        <f>'All Tandem Adjustments'!AF84</f>
        <v>76.148796296296297</v>
      </c>
      <c r="S25" s="47">
        <f>'All Tandem Adjustments'!AG84</f>
        <v>134.80480324074074</v>
      </c>
    </row>
    <row r="26" spans="1:20" x14ac:dyDescent="0.25">
      <c r="A26" s="4">
        <f>'All Tandem Adjustments'!A57</f>
        <v>64</v>
      </c>
      <c r="B26" s="3" t="str">
        <f>'All Tandem Adjustments'!Z57</f>
        <v>3:24</v>
      </c>
      <c r="C26" s="3" t="str">
        <f>'All Tandem Adjustments'!AA57</f>
        <v>5:09</v>
      </c>
      <c r="D26" s="3" t="str">
        <f>'All Tandem Adjustments'!AB57</f>
        <v>8:42</v>
      </c>
      <c r="E26" s="3" t="str">
        <f>'All Tandem Adjustments'!AC57</f>
        <v>10:31</v>
      </c>
      <c r="F26" s="3" t="str">
        <f>'All Tandem Adjustments'!AD57</f>
        <v>18:01</v>
      </c>
      <c r="G26" s="3" t="str">
        <f>'All Tandem Adjustments'!AE57</f>
        <v>38:47</v>
      </c>
      <c r="H26" s="47">
        <f>'All Tandem Adjustments'!AF57</f>
        <v>38.625601851851854</v>
      </c>
      <c r="I26" s="47">
        <f>'All Tandem Adjustments'!AG57</f>
        <v>63.855995370370373</v>
      </c>
      <c r="K26" s="4">
        <f>'All Tandem Adjustments'!A85</f>
        <v>92</v>
      </c>
      <c r="L26" s="3" t="str">
        <f>'All Tandem Adjustments'!Z85</f>
        <v>8:50</v>
      </c>
      <c r="M26" s="3" t="str">
        <f>'All Tandem Adjustments'!AA85</f>
        <v>13:27</v>
      </c>
      <c r="N26" s="3" t="str">
        <f>'All Tandem Adjustments'!AB85</f>
        <v>23:03</v>
      </c>
      <c r="O26" s="3" t="str">
        <f>'All Tandem Adjustments'!AC85</f>
        <v>28:04</v>
      </c>
      <c r="P26" s="3" t="str">
        <f>'All Tandem Adjustments'!AD85</f>
        <v>49:36</v>
      </c>
      <c r="Q26" s="3" t="str">
        <f>'All Tandem Adjustments'!AE85</f>
        <v>1:56:46</v>
      </c>
      <c r="R26" s="47">
        <f>'All Tandem Adjustments'!AF85</f>
        <v>77.859594907407413</v>
      </c>
      <c r="S26" s="47">
        <f>'All Tandem Adjustments'!AG85</f>
        <v>137.97159722222221</v>
      </c>
    </row>
    <row r="27" spans="1:20" x14ac:dyDescent="0.25">
      <c r="A27" s="4">
        <f>'All Tandem Adjustments'!A58</f>
        <v>65</v>
      </c>
      <c r="B27" s="3" t="str">
        <f>'All Tandem Adjustments'!Z58</f>
        <v>3:33</v>
      </c>
      <c r="C27" s="3" t="str">
        <f>'All Tandem Adjustments'!AA58</f>
        <v>5:22</v>
      </c>
      <c r="D27" s="3" t="str">
        <f>'All Tandem Adjustments'!AB58</f>
        <v>9:04</v>
      </c>
      <c r="E27" s="3" t="str">
        <f>'All Tandem Adjustments'!AC58</f>
        <v>10:58</v>
      </c>
      <c r="F27" s="3" t="str">
        <f>'All Tandem Adjustments'!AD58</f>
        <v>18:48</v>
      </c>
      <c r="G27" s="3" t="str">
        <f>'All Tandem Adjustments'!AE58</f>
        <v>40:33</v>
      </c>
      <c r="H27" s="47">
        <f>'All Tandem Adjustments'!AF58</f>
        <v>39.977604166666666</v>
      </c>
      <c r="I27" s="47">
        <f>'All Tandem Adjustments'!AG58</f>
        <v>66.315601851851852</v>
      </c>
      <c r="K27" s="4">
        <f>'All Tandem Adjustments'!A86</f>
        <v>93</v>
      </c>
      <c r="L27" s="3" t="str">
        <f>'All Tandem Adjustments'!Z86</f>
        <v>9:12</v>
      </c>
      <c r="M27" s="3" t="str">
        <f>'All Tandem Adjustments'!AA86</f>
        <v>13:59</v>
      </c>
      <c r="N27" s="3" t="str">
        <f>'All Tandem Adjustments'!AB86</f>
        <v>24:00</v>
      </c>
      <c r="O27" s="3" t="str">
        <f>'All Tandem Adjustments'!AC86</f>
        <v>29:13</v>
      </c>
      <c r="P27" s="3" t="str">
        <f>'All Tandem Adjustments'!AD86</f>
        <v>51:47</v>
      </c>
      <c r="Q27" s="3" t="str">
        <f>'All Tandem Adjustments'!AE86</f>
        <v>2:02:42</v>
      </c>
      <c r="R27" s="47">
        <f>'All Tandem Adjustments'!AF86</f>
        <v>79.601597222222225</v>
      </c>
      <c r="S27" s="47">
        <f>'All Tandem Adjustments'!AG86</f>
        <v>141.19040509259258</v>
      </c>
    </row>
    <row r="28" spans="1:20" x14ac:dyDescent="0.25">
      <c r="A28" s="4">
        <f>'All Tandem Adjustments'!A59</f>
        <v>66</v>
      </c>
      <c r="B28" s="3" t="str">
        <f>'All Tandem Adjustments'!Z59</f>
        <v>3:43</v>
      </c>
      <c r="C28" s="3" t="str">
        <f>'All Tandem Adjustments'!AA59</f>
        <v>5:36</v>
      </c>
      <c r="D28" s="3" t="str">
        <f>'All Tandem Adjustments'!AB59</f>
        <v>9:29</v>
      </c>
      <c r="E28" s="3" t="str">
        <f>'All Tandem Adjustments'!AC59</f>
        <v>11:27</v>
      </c>
      <c r="F28" s="3" t="str">
        <f>'All Tandem Adjustments'!AD59</f>
        <v>19:40</v>
      </c>
      <c r="G28" s="3" t="str">
        <f>'All Tandem Adjustments'!AE59</f>
        <v>42:28</v>
      </c>
      <c r="H28" s="47">
        <f>'All Tandem Adjustments'!AF59</f>
        <v>41.412800925925929</v>
      </c>
      <c r="I28" s="47">
        <f>'All Tandem Adjustments'!AG59</f>
        <v>68.889594907407414</v>
      </c>
      <c r="K28" s="4">
        <f>'All Tandem Adjustments'!A87</f>
        <v>94</v>
      </c>
      <c r="L28" s="3" t="str">
        <f>'All Tandem Adjustments'!Z87</f>
        <v>9:34</v>
      </c>
      <c r="M28" s="3" t="str">
        <f>'All Tandem Adjustments'!AA87</f>
        <v>14:34</v>
      </c>
      <c r="N28" s="3" t="str">
        <f>'All Tandem Adjustments'!AB87</f>
        <v>25:00</v>
      </c>
      <c r="O28" s="3" t="str">
        <f>'All Tandem Adjustments'!AC87</f>
        <v>30:28</v>
      </c>
      <c r="P28" s="3" t="str">
        <f>'All Tandem Adjustments'!AD87</f>
        <v>54:06</v>
      </c>
      <c r="Q28" s="3" t="str">
        <f>'All Tandem Adjustments'!AE87</f>
        <v>2:09:10</v>
      </c>
      <c r="R28" s="47">
        <f>'All Tandem Adjustments'!AF87</f>
        <v>81.38</v>
      </c>
      <c r="S28" s="47">
        <f>'All Tandem Adjustments'!AG87</f>
        <v>144.46640046296295</v>
      </c>
    </row>
    <row r="29" spans="1:20" x14ac:dyDescent="0.25">
      <c r="A29" s="4">
        <f>'All Tandem Adjustments'!A60</f>
        <v>67</v>
      </c>
      <c r="B29" s="3" t="str">
        <f>'All Tandem Adjustments'!Z60</f>
        <v>3:53</v>
      </c>
      <c r="C29" s="3" t="str">
        <f>'All Tandem Adjustments'!AA60</f>
        <v>5:52</v>
      </c>
      <c r="D29" s="3" t="str">
        <f>'All Tandem Adjustments'!AB60</f>
        <v>9:56</v>
      </c>
      <c r="E29" s="3" t="str">
        <f>'All Tandem Adjustments'!AC60</f>
        <v>12:00</v>
      </c>
      <c r="F29" s="3" t="str">
        <f>'All Tandem Adjustments'!AD60</f>
        <v>20:36</v>
      </c>
      <c r="G29" s="3" t="str">
        <f>'All Tandem Adjustments'!AE60</f>
        <v>44:35</v>
      </c>
      <c r="H29" s="47">
        <f>'All Tandem Adjustments'!AF60</f>
        <v>42.92079861111111</v>
      </c>
      <c r="I29" s="47">
        <f>'All Tandem Adjustments'!AG60</f>
        <v>71.577997685185181</v>
      </c>
      <c r="K29" s="4">
        <f>'All Tandem Adjustments'!A88</f>
        <v>95</v>
      </c>
      <c r="L29" s="3" t="str">
        <f>'All Tandem Adjustments'!Z88</f>
        <v>9:58</v>
      </c>
      <c r="M29" s="3" t="str">
        <f>'All Tandem Adjustments'!AA88</f>
        <v>15:10</v>
      </c>
      <c r="N29" s="3" t="str">
        <f>'All Tandem Adjustments'!AB88</f>
        <v>26:05</v>
      </c>
      <c r="O29" s="3" t="str">
        <f>'All Tandem Adjustments'!AC88</f>
        <v>31:48</v>
      </c>
      <c r="P29" s="3" t="str">
        <f>'All Tandem Adjustments'!AD88</f>
        <v>56:36</v>
      </c>
      <c r="Q29" s="3" t="str">
        <f>'All Tandem Adjustments'!AE88</f>
        <v>2:16:14</v>
      </c>
      <c r="R29" s="47">
        <f>'All Tandem Adjustments'!AF88</f>
        <v>83.2</v>
      </c>
      <c r="S29" s="47">
        <f>'All Tandem Adjustments'!AG88</f>
        <v>147.79439814814816</v>
      </c>
      <c r="T29" s="36">
        <f>Revision</f>
        <v>2024</v>
      </c>
    </row>
  </sheetData>
  <sheetProtection algorithmName="SHA-512" hashValue="UfJblYJGne5npaIbVLnecHYdN3A3PD4dLVNBUgbeXt0APQO/E90fOvOAeUeq8A9uP7G1A08Y2zIKDVguMqiJiw==" saltValue="V77q7ffCYrNy0dRkyUM7rg=="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ADJUSTMENTS (PER RIDER) FEMALE TANDEM TRICYCLE</oddHeader>
    <oddFooter>&amp;L&amp;F&amp;CA tandem combined handicap is derived by adding the two individual handicaps from this and/or facing table
Page &amp;P of &amp;N&amp;R&amp;D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41705-7B54-4364-A616-A0FAF623FDBE}">
  <sheetPr filterMode="1"/>
  <dimension ref="A1:G29"/>
  <sheetViews>
    <sheetView tabSelected="1" workbookViewId="0">
      <selection activeCell="I32" sqref="I32"/>
    </sheetView>
  </sheetViews>
  <sheetFormatPr defaultRowHeight="15" x14ac:dyDescent="0.25"/>
  <cols>
    <col min="1" max="1" width="47.28515625" bestFit="1" customWidth="1"/>
    <col min="2" max="2" width="8.140625" bestFit="1" customWidth="1"/>
    <col min="3" max="3" width="8.28515625" style="28" customWidth="1"/>
    <col min="4" max="4" width="13.28515625" style="28" bestFit="1" customWidth="1"/>
    <col min="5" max="5" width="13.42578125" style="69" bestFit="1" customWidth="1"/>
    <col min="6" max="6" width="8.140625" bestFit="1" customWidth="1"/>
    <col min="7" max="7" width="10.7109375" bestFit="1" customWidth="1"/>
  </cols>
  <sheetData>
    <row r="1" spans="1:7" s="62" customFormat="1" ht="44.25" customHeight="1" x14ac:dyDescent="0.25">
      <c r="A1" s="62" t="s">
        <v>103</v>
      </c>
      <c r="B1" s="62" t="s">
        <v>104</v>
      </c>
      <c r="C1" s="65" t="s">
        <v>106</v>
      </c>
      <c r="D1" s="65" t="s">
        <v>11907</v>
      </c>
      <c r="E1" s="68" t="s">
        <v>11900</v>
      </c>
      <c r="F1" s="62" t="s">
        <v>107</v>
      </c>
      <c r="G1" s="64">
        <v>45578</v>
      </c>
    </row>
    <row r="2" spans="1:7" x14ac:dyDescent="0.25">
      <c r="A2" t="s">
        <v>92</v>
      </c>
      <c r="B2" s="61">
        <v>3.9085648148148147E-2</v>
      </c>
      <c r="C2" s="28">
        <v>15352</v>
      </c>
      <c r="D2" s="28" t="str">
        <f>IFERROR(VLOOKUP(C2,Stds!B:R,17,FALSE),"")</f>
        <v>West</v>
      </c>
      <c r="E2" s="69">
        <f>IFERROR(VLOOKUP(C2,Stds!B:M,12,FALSE),"00:00:00")</f>
        <v>3.4722222222222225E-3</v>
      </c>
      <c r="F2" s="61">
        <f t="shared" ref="F2:F29" si="0">B2-E2</f>
        <v>3.5613425925925923E-2</v>
      </c>
    </row>
    <row r="3" spans="1:7" x14ac:dyDescent="0.25">
      <c r="A3" t="s">
        <v>93</v>
      </c>
      <c r="B3" s="61">
        <v>3.9108796296296294E-2</v>
      </c>
      <c r="C3" s="28">
        <v>15806</v>
      </c>
      <c r="D3" s="28" t="str">
        <f>IFERROR(VLOOKUP(C3,Stds!B:R,17,FALSE),"")</f>
        <v>West</v>
      </c>
      <c r="E3" s="69">
        <f>IFERROR(VLOOKUP(C3,Stds!B:M,12,FALSE),"00:00:00")</f>
        <v>1.6666666666666668E-3</v>
      </c>
      <c r="F3" s="61">
        <f t="shared" si="0"/>
        <v>3.7442129629629631E-2</v>
      </c>
    </row>
    <row r="4" spans="1:7" hidden="1" x14ac:dyDescent="0.25">
      <c r="A4" t="s">
        <v>75</v>
      </c>
      <c r="B4" s="61">
        <v>3.7881944444444447E-2</v>
      </c>
      <c r="D4" s="28" t="str">
        <f>IFERROR(VLOOKUP(C4,Stds!B:R,17,FALSE),"")</f>
        <v/>
      </c>
      <c r="E4" s="69" t="str">
        <f>IFERROR(VLOOKUP(C4,Stds!B:M,12,FALSE),"00:00:00")</f>
        <v>00:00:00</v>
      </c>
      <c r="F4" s="61">
        <f t="shared" si="0"/>
        <v>3.7881944444444447E-2</v>
      </c>
    </row>
    <row r="5" spans="1:7" hidden="1" x14ac:dyDescent="0.25">
      <c r="A5" t="s">
        <v>90</v>
      </c>
      <c r="B5" s="61">
        <v>3.8368055555555558E-2</v>
      </c>
      <c r="D5" s="28" t="str">
        <f>IFERROR(VLOOKUP(C5,Stds!B:R,17,FALSE),"")</f>
        <v/>
      </c>
      <c r="E5" s="69" t="str">
        <f>IFERROR(VLOOKUP(C5,Stds!B:M,12,FALSE),"00:00:00")</f>
        <v>00:00:00</v>
      </c>
      <c r="F5" s="61">
        <f t="shared" si="0"/>
        <v>3.8368055555555558E-2</v>
      </c>
    </row>
    <row r="6" spans="1:7" hidden="1" x14ac:dyDescent="0.25">
      <c r="A6" t="s">
        <v>91</v>
      </c>
      <c r="B6" s="61">
        <v>3.8402777777777779E-2</v>
      </c>
      <c r="D6" s="28" t="str">
        <f>IFERROR(VLOOKUP(C6,Stds!B:R,17,FALSE),"")</f>
        <v/>
      </c>
      <c r="E6" s="69" t="str">
        <f>IFERROR(VLOOKUP(C6,Stds!B:M,12,FALSE),"00:00:00")</f>
        <v>00:00:00</v>
      </c>
      <c r="F6" s="61">
        <f t="shared" si="0"/>
        <v>3.8402777777777779E-2</v>
      </c>
    </row>
    <row r="7" spans="1:7" x14ac:dyDescent="0.25">
      <c r="A7" t="s">
        <v>99</v>
      </c>
      <c r="B7" s="61">
        <v>4.327546296296296E-2</v>
      </c>
      <c r="C7" s="28">
        <v>4646</v>
      </c>
      <c r="D7" s="28" t="str">
        <f>IFERROR(VLOOKUP(C7,Stds!B:R,17,FALSE),"")</f>
        <v>East Midlands</v>
      </c>
      <c r="E7" s="69">
        <f>IFERROR(VLOOKUP(C7,Stds!B:M,12,FALSE),"00:00:00")</f>
        <v>4.6180555555555558E-3</v>
      </c>
      <c r="F7" s="61">
        <f t="shared" si="0"/>
        <v>3.8657407407407404E-2</v>
      </c>
    </row>
    <row r="8" spans="1:7" x14ac:dyDescent="0.25">
      <c r="A8" t="s">
        <v>97</v>
      </c>
      <c r="B8" s="61">
        <v>4.2534722222222224E-2</v>
      </c>
      <c r="C8" s="28">
        <v>12083</v>
      </c>
      <c r="D8" s="28" t="str">
        <f>IFERROR(VLOOKUP(C8,Stds!B:R,17,FALSE),"")</f>
        <v>East Anglian</v>
      </c>
      <c r="E8" s="69">
        <f>IFERROR(VLOOKUP(C8,Stds!B:M,12,FALSE),"00:00:00")</f>
        <v>3.4722222222222225E-3</v>
      </c>
      <c r="F8" s="61">
        <f t="shared" si="0"/>
        <v>3.90625E-2</v>
      </c>
    </row>
    <row r="9" spans="1:7" hidden="1" x14ac:dyDescent="0.25">
      <c r="A9" t="s">
        <v>94</v>
      </c>
      <c r="B9" s="61">
        <v>3.9976851851851854E-2</v>
      </c>
      <c r="D9" s="28" t="str">
        <f>IFERROR(VLOOKUP(C9,Stds!B:R,17,FALSE),"")</f>
        <v/>
      </c>
      <c r="E9" s="69" t="str">
        <f>IFERROR(VLOOKUP(C9,Stds!B:M,12,FALSE),"00:00:00")</f>
        <v>00:00:00</v>
      </c>
      <c r="F9" s="61">
        <f t="shared" si="0"/>
        <v>3.9976851851851854E-2</v>
      </c>
    </row>
    <row r="10" spans="1:7" hidden="1" x14ac:dyDescent="0.25">
      <c r="A10" t="s">
        <v>95</v>
      </c>
      <c r="B10" s="61">
        <v>4.0671296296296296E-2</v>
      </c>
      <c r="D10" s="28" t="str">
        <f>IFERROR(VLOOKUP(C10,Stds!B:R,17,FALSE),"")</f>
        <v/>
      </c>
      <c r="E10" s="69" t="str">
        <f>IFERROR(VLOOKUP(C10,Stds!B:M,12,FALSE),"00:00:00")</f>
        <v>00:00:00</v>
      </c>
      <c r="F10" s="61">
        <f t="shared" si="0"/>
        <v>4.0671296296296296E-2</v>
      </c>
    </row>
    <row r="11" spans="1:7" hidden="1" x14ac:dyDescent="0.25">
      <c r="A11" t="s">
        <v>96</v>
      </c>
      <c r="B11" s="61">
        <v>4.0949074074074075E-2</v>
      </c>
      <c r="D11" s="28" t="str">
        <f>IFERROR(VLOOKUP(C11,Stds!B:R,17,FALSE),"")</f>
        <v/>
      </c>
      <c r="E11" s="69" t="str">
        <f>IFERROR(VLOOKUP(C11,Stds!B:M,12,FALSE),"00:00:00")</f>
        <v>00:00:00</v>
      </c>
      <c r="F11" s="61">
        <f t="shared" si="0"/>
        <v>4.0949074074074075E-2</v>
      </c>
    </row>
    <row r="12" spans="1:7" x14ac:dyDescent="0.25">
      <c r="A12" t="s">
        <v>81</v>
      </c>
      <c r="B12" s="61">
        <v>4.6724537037037037E-2</v>
      </c>
      <c r="C12" s="28">
        <v>15296</v>
      </c>
      <c r="D12" s="28" t="str">
        <f>IFERROR(VLOOKUP(C12,Stds!B:R,17,FALSE),"")</f>
        <v>Yorkshire</v>
      </c>
      <c r="E12" s="69">
        <f>IFERROR(VLOOKUP(C12,Stds!B:M,12,FALSE),"00:00:00")</f>
        <v>5.6597222222222222E-3</v>
      </c>
      <c r="F12" s="61">
        <f t="shared" si="0"/>
        <v>4.1064814814814818E-2</v>
      </c>
    </row>
    <row r="13" spans="1:7" hidden="1" x14ac:dyDescent="0.25">
      <c r="A13" t="s">
        <v>76</v>
      </c>
      <c r="B13" s="61">
        <v>4.2361111111111113E-2</v>
      </c>
      <c r="D13" s="28" t="str">
        <f>IFERROR(VLOOKUP(C13,Stds!B:R,17,FALSE),"")</f>
        <v/>
      </c>
      <c r="E13" s="69" t="str">
        <f>IFERROR(VLOOKUP(C13,Stds!B:M,12,FALSE),"00:00:00")</f>
        <v>00:00:00</v>
      </c>
      <c r="F13" s="61">
        <f t="shared" si="0"/>
        <v>4.2361111111111113E-2</v>
      </c>
    </row>
    <row r="14" spans="1:7" hidden="1" x14ac:dyDescent="0.25">
      <c r="A14" t="s">
        <v>98</v>
      </c>
      <c r="B14" s="61">
        <v>4.2557870370370371E-2</v>
      </c>
      <c r="D14" s="28" t="str">
        <f>IFERROR(VLOOKUP(C14,Stds!B:R,17,FALSE),"")</f>
        <v/>
      </c>
      <c r="E14" s="69" t="str">
        <f>IFERROR(VLOOKUP(C14,Stds!B:M,12,FALSE),"00:00:00")</f>
        <v>00:00:00</v>
      </c>
      <c r="F14" s="61">
        <f t="shared" si="0"/>
        <v>4.2557870370370371E-2</v>
      </c>
    </row>
    <row r="15" spans="1:7" hidden="1" x14ac:dyDescent="0.25">
      <c r="A15" t="s">
        <v>77</v>
      </c>
      <c r="B15" s="61">
        <v>4.3622685185185188E-2</v>
      </c>
      <c r="D15" s="28" t="str">
        <f>IFERROR(VLOOKUP(C15,Stds!B:R,17,FALSE),"")</f>
        <v/>
      </c>
      <c r="E15" s="69" t="str">
        <f>IFERROR(VLOOKUP(C15,Stds!B:M,12,FALSE),"00:00:00")</f>
        <v>00:00:00</v>
      </c>
      <c r="F15" s="61">
        <f t="shared" si="0"/>
        <v>4.3622685185185188E-2</v>
      </c>
    </row>
    <row r="16" spans="1:7" x14ac:dyDescent="0.25">
      <c r="A16" t="s">
        <v>79</v>
      </c>
      <c r="B16" s="61">
        <v>4.5983796296296293E-2</v>
      </c>
      <c r="C16" s="28">
        <v>5732</v>
      </c>
      <c r="D16" s="28" t="str">
        <f>IFERROR(VLOOKUP(C16,Stds!B:R,17,FALSE),"")</f>
        <v>Kent</v>
      </c>
      <c r="E16" s="69">
        <f>IFERROR(VLOOKUP(C16,Stds!B:M,12,FALSE),"00:00:00")</f>
        <v>2.2685185185185182E-3</v>
      </c>
      <c r="F16" s="61">
        <f t="shared" si="0"/>
        <v>4.3715277777777777E-2</v>
      </c>
    </row>
    <row r="17" spans="1:6" hidden="1" x14ac:dyDescent="0.25">
      <c r="A17" t="s">
        <v>78</v>
      </c>
      <c r="B17" s="61">
        <v>4.553240740740741E-2</v>
      </c>
      <c r="D17" s="28" t="str">
        <f>IFERROR(VLOOKUP(C17,Stds!B:R,17,FALSE),"")</f>
        <v/>
      </c>
      <c r="E17" s="69" t="str">
        <f>IFERROR(VLOOKUP(C17,Stds!B:M,12,FALSE),"00:00:00")</f>
        <v>00:00:00</v>
      </c>
      <c r="F17" s="61">
        <f t="shared" si="0"/>
        <v>4.553240740740741E-2</v>
      </c>
    </row>
    <row r="18" spans="1:6" hidden="1" x14ac:dyDescent="0.25">
      <c r="A18" t="s">
        <v>100</v>
      </c>
      <c r="B18" s="61">
        <v>4.5868055555555558E-2</v>
      </c>
      <c r="D18" s="28" t="str">
        <f>IFERROR(VLOOKUP(C18,Stds!B:R,17,FALSE),"")</f>
        <v/>
      </c>
      <c r="E18" s="69" t="str">
        <f>IFERROR(VLOOKUP(C18,Stds!B:M,12,FALSE),"00:00:00")</f>
        <v>00:00:00</v>
      </c>
      <c r="F18" s="61">
        <f t="shared" si="0"/>
        <v>4.5868055555555558E-2</v>
      </c>
    </row>
    <row r="19" spans="1:6" hidden="1" x14ac:dyDescent="0.25">
      <c r="A19" t="s">
        <v>80</v>
      </c>
      <c r="B19" s="61">
        <v>4.6273148148148147E-2</v>
      </c>
      <c r="D19" s="28" t="str">
        <f>IFERROR(VLOOKUP(C19,Stds!B:R,17,FALSE),"")</f>
        <v/>
      </c>
      <c r="E19" s="69" t="str">
        <f>IFERROR(VLOOKUP(C19,Stds!B:M,12,FALSE),"00:00:00")</f>
        <v>00:00:00</v>
      </c>
      <c r="F19" s="61">
        <f t="shared" si="0"/>
        <v>4.6273148148148147E-2</v>
      </c>
    </row>
    <row r="20" spans="1:6" hidden="1" x14ac:dyDescent="0.25">
      <c r="A20" t="s">
        <v>82</v>
      </c>
      <c r="B20" s="61">
        <v>4.7442129629629633E-2</v>
      </c>
      <c r="D20" s="28" t="str">
        <f>IFERROR(VLOOKUP(C20,Stds!B:R,17,FALSE),"")</f>
        <v/>
      </c>
      <c r="E20" s="69" t="str">
        <f>IFERROR(VLOOKUP(C20,Stds!B:M,12,FALSE),"00:00:00")</f>
        <v>00:00:00</v>
      </c>
      <c r="F20" s="61">
        <f t="shared" si="0"/>
        <v>4.7442129629629633E-2</v>
      </c>
    </row>
    <row r="21" spans="1:6" x14ac:dyDescent="0.25">
      <c r="A21" t="s">
        <v>84</v>
      </c>
      <c r="B21" s="61">
        <v>4.9247685185185186E-2</v>
      </c>
      <c r="C21" s="28">
        <v>14686</v>
      </c>
      <c r="D21" s="28" t="str">
        <f>IFERROR(VLOOKUP(C21,Stds!B:R,17,FALSE),"")</f>
        <v>Yorkshire</v>
      </c>
      <c r="E21" s="69">
        <f>IFERROR(VLOOKUP(C21,Stds!B:M,12,FALSE),"00:00:00")</f>
        <v>8.3333333333333339E-4</v>
      </c>
      <c r="F21" s="61">
        <f t="shared" si="0"/>
        <v>4.8414351851851854E-2</v>
      </c>
    </row>
    <row r="22" spans="1:6" hidden="1" x14ac:dyDescent="0.25">
      <c r="A22" t="s">
        <v>83</v>
      </c>
      <c r="B22" s="61">
        <v>4.9201388888888892E-2</v>
      </c>
      <c r="D22" s="28" t="str">
        <f>IFERROR(VLOOKUP(C22,Stds!B:R,17,FALSE),"")</f>
        <v/>
      </c>
      <c r="E22" s="69" t="str">
        <f>IFERROR(VLOOKUP(C22,Stds!B:M,12,FALSE),"00:00:00")</f>
        <v>00:00:00</v>
      </c>
      <c r="F22" s="61">
        <f t="shared" si="0"/>
        <v>4.9201388888888892E-2</v>
      </c>
    </row>
    <row r="23" spans="1:6" x14ac:dyDescent="0.25">
      <c r="A23" t="s">
        <v>88</v>
      </c>
      <c r="B23" s="61">
        <v>5.9409722222222225E-2</v>
      </c>
      <c r="C23" s="28">
        <v>16143</v>
      </c>
      <c r="D23" s="28" t="str">
        <f>IFERROR(VLOOKUP(C23,Stds!B:R,17,FALSE),"")</f>
        <v>Midlands</v>
      </c>
      <c r="E23" s="69">
        <f>IFERROR(VLOOKUP(C23,Stds!B:M,12,FALSE),"00:00:00")</f>
        <v>9.9189814814814817E-3</v>
      </c>
      <c r="F23" s="61">
        <f t="shared" si="0"/>
        <v>4.9490740740740745E-2</v>
      </c>
    </row>
    <row r="24" spans="1:6" hidden="1" x14ac:dyDescent="0.25">
      <c r="A24" t="s">
        <v>85</v>
      </c>
      <c r="B24" s="61">
        <v>4.9849537037037039E-2</v>
      </c>
      <c r="D24" s="28" t="str">
        <f>IFERROR(VLOOKUP(C24,Stds!B:R,17,FALSE),"")</f>
        <v/>
      </c>
      <c r="E24" s="69" t="str">
        <f>IFERROR(VLOOKUP(C24,Stds!B:M,12,FALSE),"00:00:00")</f>
        <v>00:00:00</v>
      </c>
      <c r="F24" s="61">
        <f t="shared" si="0"/>
        <v>4.9849537037037039E-2</v>
      </c>
    </row>
    <row r="25" spans="1:6" hidden="1" x14ac:dyDescent="0.25">
      <c r="A25" t="s">
        <v>86</v>
      </c>
      <c r="B25" s="61">
        <v>5.0497685185185187E-2</v>
      </c>
      <c r="D25" s="28" t="str">
        <f>IFERROR(VLOOKUP(C25,Stds!B:R,17,FALSE),"")</f>
        <v/>
      </c>
      <c r="E25" s="69" t="str">
        <f>IFERROR(VLOOKUP(C25,Stds!B:M,12,FALSE),"00:00:00")</f>
        <v>00:00:00</v>
      </c>
      <c r="F25" s="61">
        <f t="shared" si="0"/>
        <v>5.0497685185185187E-2</v>
      </c>
    </row>
    <row r="26" spans="1:6" x14ac:dyDescent="0.25">
      <c r="A26" t="s">
        <v>87</v>
      </c>
      <c r="B26" s="61">
        <v>5.4814814814814816E-2</v>
      </c>
      <c r="C26" s="28">
        <v>15295</v>
      </c>
      <c r="D26" s="28" t="str">
        <f>IFERROR(VLOOKUP(C26,Stds!B:R,17,FALSE),"")</f>
        <v>Yorkshire</v>
      </c>
      <c r="E26" s="69">
        <f>IFERROR(VLOOKUP(C26,Stds!B:M,12,FALSE),"00:00:00")</f>
        <v>3.7384259259259259E-3</v>
      </c>
      <c r="F26" s="61">
        <f t="shared" si="0"/>
        <v>5.1076388888888893E-2</v>
      </c>
    </row>
    <row r="27" spans="1:6" hidden="1" x14ac:dyDescent="0.25">
      <c r="A27" t="s">
        <v>101</v>
      </c>
      <c r="B27" s="61">
        <v>5.4710648148148147E-2</v>
      </c>
      <c r="D27" s="28" t="str">
        <f>IFERROR(VLOOKUP(C27,Stds!B:R,17,FALSE),"")</f>
        <v/>
      </c>
      <c r="E27" s="69" t="str">
        <f>IFERROR(VLOOKUP(C27,Stds!B:M,12,FALSE),"00:00:00")</f>
        <v>00:00:00</v>
      </c>
      <c r="F27" s="61">
        <f t="shared" si="0"/>
        <v>5.4710648148148147E-2</v>
      </c>
    </row>
    <row r="28" spans="1:6" hidden="1" x14ac:dyDescent="0.25">
      <c r="A28" t="s">
        <v>102</v>
      </c>
      <c r="B28" s="61">
        <v>5.8252314814814812E-2</v>
      </c>
      <c r="D28" s="28" t="str">
        <f>IFERROR(VLOOKUP(C28,Stds!B:R,17,FALSE),"")</f>
        <v/>
      </c>
      <c r="E28" s="69" t="str">
        <f>IFERROR(VLOOKUP(C28,Stds!B:M,12,FALSE),"00:00:00")</f>
        <v>00:00:00</v>
      </c>
      <c r="F28" s="61">
        <f t="shared" si="0"/>
        <v>5.8252314814814812E-2</v>
      </c>
    </row>
    <row r="29" spans="1:6" hidden="1" x14ac:dyDescent="0.25">
      <c r="A29" t="s">
        <v>89</v>
      </c>
      <c r="B29" s="61">
        <v>6.9189814814814815E-2</v>
      </c>
      <c r="D29" s="28" t="str">
        <f>IFERROR(VLOOKUP(C29,Stds!B:R,17,FALSE),"")</f>
        <v/>
      </c>
      <c r="E29" s="69" t="str">
        <f>IFERROR(VLOOKUP(C29,Stds!B:M,12,FALSE),"00:00:00")</f>
        <v>00:00:00</v>
      </c>
      <c r="F29" s="61">
        <f t="shared" si="0"/>
        <v>6.9189814814814815E-2</v>
      </c>
    </row>
  </sheetData>
  <autoFilter ref="A1:G29" xr:uid="{36941705-7B54-4364-A616-A0FAF623FDBE}">
    <filterColumn colId="2">
      <customFilters>
        <customFilter operator="notEqual" val=" "/>
      </customFilters>
    </filterColumn>
  </autoFilter>
  <sortState xmlns:xlrd2="http://schemas.microsoft.com/office/spreadsheetml/2017/richdata2" ref="A2:G29">
    <sortCondition ref="F2:F29"/>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D3202-E8CA-4FD7-B565-A91F7901DF8D}">
  <dimension ref="A1"/>
  <sheetViews>
    <sheetView workbookViewId="0">
      <selection activeCell="A2" sqref="A2"/>
    </sheetView>
  </sheetViews>
  <sheetFormatPr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85B5A-DB8E-40C1-9CF2-DFCE5658B394}">
  <dimension ref="A1"/>
  <sheetViews>
    <sheetView workbookViewId="0"/>
  </sheetViews>
  <sheetFormatPr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03C89-0C93-4D13-A809-612C5607F864}">
  <sheetPr codeName="Sheet14">
    <pageSetUpPr fitToPage="1"/>
  </sheetPr>
  <dimension ref="A1:M92"/>
  <sheetViews>
    <sheetView zoomScale="66" zoomScaleNormal="66" workbookViewId="0">
      <pane xSplit="1" ySplit="3" topLeftCell="B4" activePane="bottomRight" state="frozen"/>
      <selection pane="topRight" activeCell="B1" sqref="B1"/>
      <selection pane="bottomLeft" activeCell="A5" sqref="A5"/>
      <selection pane="bottomRight" activeCell="P44" sqref="P44"/>
    </sheetView>
  </sheetViews>
  <sheetFormatPr defaultColWidth="9" defaultRowHeight="15" x14ac:dyDescent="0.25"/>
  <cols>
    <col min="1" max="1" width="11" bestFit="1" customWidth="1"/>
    <col min="2" max="13" width="10.5703125" bestFit="1" customWidth="1"/>
  </cols>
  <sheetData>
    <row r="1" spans="1:13" x14ac:dyDescent="0.25">
      <c r="A1" s="13"/>
      <c r="B1" s="70" t="s">
        <v>60</v>
      </c>
      <c r="C1" s="70"/>
      <c r="D1" s="70"/>
      <c r="E1" s="70"/>
      <c r="F1" s="70"/>
      <c r="G1" s="70"/>
      <c r="H1" s="71" t="s">
        <v>61</v>
      </c>
      <c r="I1" s="71"/>
      <c r="J1" s="71"/>
      <c r="K1" s="71"/>
      <c r="L1" s="71"/>
      <c r="M1" s="71"/>
    </row>
    <row r="2" spans="1:13" ht="30" x14ac:dyDescent="0.25">
      <c r="A2" s="13" t="s">
        <v>34</v>
      </c>
      <c r="B2" s="14">
        <v>10</v>
      </c>
      <c r="C2" s="14">
        <v>15</v>
      </c>
      <c r="D2" s="14">
        <v>25</v>
      </c>
      <c r="E2" s="14">
        <v>30</v>
      </c>
      <c r="F2" s="14">
        <v>50</v>
      </c>
      <c r="G2" s="14">
        <v>100</v>
      </c>
      <c r="H2" s="14">
        <v>10</v>
      </c>
      <c r="I2" s="14">
        <v>15</v>
      </c>
      <c r="J2" s="14">
        <v>25</v>
      </c>
      <c r="K2" s="14">
        <v>30</v>
      </c>
      <c r="L2" s="14">
        <v>50</v>
      </c>
      <c r="M2" s="14">
        <v>100</v>
      </c>
    </row>
    <row r="3" spans="1:13" x14ac:dyDescent="0.25">
      <c r="A3" s="13" t="s">
        <v>8</v>
      </c>
      <c r="B3" s="16" t="s">
        <v>7</v>
      </c>
      <c r="C3" s="16" t="s">
        <v>7</v>
      </c>
      <c r="D3" s="16" t="s">
        <v>7</v>
      </c>
      <c r="E3" s="16" t="s">
        <v>7</v>
      </c>
      <c r="F3" s="16" t="s">
        <v>7</v>
      </c>
      <c r="G3" s="16" t="s">
        <v>7</v>
      </c>
      <c r="H3" s="16" t="s">
        <v>7</v>
      </c>
      <c r="I3" s="16" t="s">
        <v>7</v>
      </c>
      <c r="J3" s="16" t="s">
        <v>7</v>
      </c>
      <c r="K3" s="16" t="s">
        <v>7</v>
      </c>
      <c r="L3" s="16" t="s">
        <v>7</v>
      </c>
      <c r="M3" s="16" t="s">
        <v>7</v>
      </c>
    </row>
    <row r="4" spans="1:13" hidden="1" x14ac:dyDescent="0.25">
      <c r="A4" s="17">
        <f>'All Solo Adjustments Source'!A5</f>
        <v>11</v>
      </c>
      <c r="B4" s="53" t="str">
        <f>IF('All Solo Adjustments Source'!B5&lt;1/24,TEXT('All Solo Adjustments Source'!B5,"M:SS"),TEXT('All Solo Adjustments Source'!B5,"H:MM:SS"))</f>
        <v>11:02</v>
      </c>
      <c r="C4" s="53"/>
      <c r="D4" s="53"/>
      <c r="E4" s="53"/>
      <c r="F4" s="53"/>
      <c r="G4" s="53"/>
      <c r="H4" s="52" t="str">
        <f>IF('All Solo Adjustments Source'!C5&lt;1/24,TEXT('All Solo Adjustments Source'!C5,"M:SS"),TEXT('All Solo Adjustments Source'!C5,"H:MM:SS"))</f>
        <v>14:46</v>
      </c>
      <c r="I4" s="52"/>
      <c r="J4" s="52"/>
      <c r="K4" s="52"/>
      <c r="L4" s="52"/>
      <c r="M4" s="52"/>
    </row>
    <row r="5" spans="1:13" hidden="1" x14ac:dyDescent="0.25">
      <c r="A5" s="17">
        <f>'All Solo Adjustments Source'!A6</f>
        <v>12</v>
      </c>
      <c r="B5" s="53" t="str">
        <f>IF('All Solo Adjustments Source'!B6&lt;1/24,TEXT('All Solo Adjustments Source'!B6,"M:SS"),TEXT('All Solo Adjustments Source'!B6,"H:MM:SS"))</f>
        <v>6:16</v>
      </c>
      <c r="C5" s="53" t="str">
        <f>IF('All Solo Adjustments Source'!F6&lt;1/24,TEXT('All Solo Adjustments Source'!F6,"M:SS"),TEXT('All Solo Adjustments Source'!F6,"H:MM:SS"))</f>
        <v>9:50</v>
      </c>
      <c r="D5" s="53" t="str">
        <f>IF('All Solo Adjustments Source'!J6&lt;1/24,TEXT('All Solo Adjustments Source'!J6,"M:SS"),TEXT('All Solo Adjustments Source'!J6,"H:MM:SS"))</f>
        <v>17:57</v>
      </c>
      <c r="E5" s="53" t="str">
        <f>IF('All Solo Adjustments Source'!N6&lt;1/24,TEXT('All Solo Adjustments Source'!N6,"M:SS"),TEXT('All Solo Adjustments Source'!N6,"H:MM:SS"))</f>
        <v>22:36</v>
      </c>
      <c r="F5" s="53" t="str">
        <f>IF('All Solo Adjustments Source'!R6&lt;1/24,TEXT('All Solo Adjustments Source'!R6,"M:SS"),TEXT('All Solo Adjustments Source'!R6,"H:MM:SS"))</f>
        <v>46:25</v>
      </c>
      <c r="G5" s="53" t="str">
        <f>IF('All Solo Adjustments Source'!V6&lt;1/24,TEXT('All Solo Adjustments Source'!V6,"M:SS"),TEXT('All Solo Adjustments Source'!V6,"H:MM:SS"))</f>
        <v>3:13:43</v>
      </c>
      <c r="H5" s="52" t="str">
        <f>IF('All Solo Adjustments Source'!C6&lt;1/24,TEXT('All Solo Adjustments Source'!C6,"M:SS"),TEXT('All Solo Adjustments Source'!C6,"H:MM:SS"))</f>
        <v>9:29</v>
      </c>
      <c r="I5" s="52" t="str">
        <f>IF('All Solo Adjustments Source'!G6&lt;1/24,TEXT('All Solo Adjustments Source'!G6,"M:SS"),TEXT('All Solo Adjustments Source'!G6,"H:MM:SS"))</f>
        <v>14:43</v>
      </c>
      <c r="J5" s="52" t="str">
        <f>IF('All Solo Adjustments Source'!K6&lt;1/24,TEXT('All Solo Adjustments Source'!K6,"M:SS"),TEXT('All Solo Adjustments Source'!K6,"H:MM:SS"))</f>
        <v>26:19</v>
      </c>
      <c r="K5" s="52" t="str">
        <f>IF('All Solo Adjustments Source'!O6&lt;1/24,TEXT('All Solo Adjustments Source'!O6,"M:SS"),TEXT('All Solo Adjustments Source'!O6,"H:MM:SS"))</f>
        <v>32:47</v>
      </c>
      <c r="L5" s="52" t="str">
        <f>IF('All Solo Adjustments Source'!S6&lt;1/24,TEXT('All Solo Adjustments Source'!S6,"M:SS"),TEXT('All Solo Adjustments Source'!S6,"H:MM:SS"))</f>
        <v>1:04:32</v>
      </c>
      <c r="M5" s="52" t="str">
        <f>IF('All Solo Adjustments Source'!W6&lt;1/24,TEXT('All Solo Adjustments Source'!W6,"M:SS"),TEXT('All Solo Adjustments Source'!W6,"H:MM:SS"))</f>
        <v>4:02:05</v>
      </c>
    </row>
    <row r="6" spans="1:13" hidden="1" x14ac:dyDescent="0.25">
      <c r="A6" s="17">
        <f>'All Solo Adjustments Source'!A7</f>
        <v>13</v>
      </c>
      <c r="B6" s="53" t="str">
        <f>IF('All Solo Adjustments Source'!B7&lt;1/24,TEXT('All Solo Adjustments Source'!B7,"M:SS"),TEXT('All Solo Adjustments Source'!B7,"H:MM:SS"))</f>
        <v>3:46</v>
      </c>
      <c r="C6" s="53" t="str">
        <f>IF('All Solo Adjustments Source'!F7&lt;1/24,TEXT('All Solo Adjustments Source'!F7,"M:SS"),TEXT('All Solo Adjustments Source'!F7,"H:MM:SS"))</f>
        <v>5:52</v>
      </c>
      <c r="D6" s="53" t="str">
        <f>IF('All Solo Adjustments Source'!J7&lt;1/24,TEXT('All Solo Adjustments Source'!J7,"M:SS"),TEXT('All Solo Adjustments Source'!J7,"H:MM:SS"))</f>
        <v>10:36</v>
      </c>
      <c r="E6" s="53" t="str">
        <f>IF('All Solo Adjustments Source'!N7&lt;1/24,TEXT('All Solo Adjustments Source'!N7,"M:SS"),TEXT('All Solo Adjustments Source'!N7,"H:MM:SS"))</f>
        <v>13:15</v>
      </c>
      <c r="F6" s="53" t="str">
        <f>IF('All Solo Adjustments Source'!R7&lt;1/24,TEXT('All Solo Adjustments Source'!R7,"M:SS"),TEXT('All Solo Adjustments Source'!R7,"H:MM:SS"))</f>
        <v>26:26</v>
      </c>
      <c r="G6" s="53" t="str">
        <f>IF('All Solo Adjustments Source'!V7&lt;1/24,TEXT('All Solo Adjustments Source'!V7,"M:SS"),TEXT('All Solo Adjustments Source'!V7,"H:MM:SS"))</f>
        <v>1:34:17</v>
      </c>
      <c r="H6" s="52" t="str">
        <f>IF('All Solo Adjustments Source'!C7&lt;1/24,TEXT('All Solo Adjustments Source'!C7,"M:SS"),TEXT('All Solo Adjustments Source'!C7,"H:MM:SS"))</f>
        <v>6:42</v>
      </c>
      <c r="I6" s="52" t="str">
        <f>IF('All Solo Adjustments Source'!G7&lt;1/24,TEXT('All Solo Adjustments Source'!G7,"M:SS"),TEXT('All Solo Adjustments Source'!G7,"H:MM:SS"))</f>
        <v>10:18</v>
      </c>
      <c r="J6" s="52" t="str">
        <f>IF('All Solo Adjustments Source'!K7&lt;1/24,TEXT('All Solo Adjustments Source'!K7,"M:SS"),TEXT('All Solo Adjustments Source'!K7,"H:MM:SS"))</f>
        <v>18:08</v>
      </c>
      <c r="K6" s="52" t="str">
        <f>IF('All Solo Adjustments Source'!O7&lt;1/24,TEXT('All Solo Adjustments Source'!O7,"M:SS"),TEXT('All Solo Adjustments Source'!O7,"H:MM:SS"))</f>
        <v>22:24</v>
      </c>
      <c r="L6" s="52" t="str">
        <f>IF('All Solo Adjustments Source'!S7&lt;1/24,TEXT('All Solo Adjustments Source'!S7,"M:SS"),TEXT('All Solo Adjustments Source'!S7,"H:MM:SS"))</f>
        <v>42:20</v>
      </c>
      <c r="M6" s="52" t="str">
        <f>IF('All Solo Adjustments Source'!W7&lt;1/24,TEXT('All Solo Adjustments Source'!W7,"M:SS"),TEXT('All Solo Adjustments Source'!W7,"H:MM:SS"))</f>
        <v>2:11:36</v>
      </c>
    </row>
    <row r="7" spans="1:13" hidden="1" x14ac:dyDescent="0.25">
      <c r="A7" s="17">
        <f>'All Solo Adjustments Source'!A8</f>
        <v>14</v>
      </c>
      <c r="B7" s="53" t="str">
        <f>IF('All Solo Adjustments Source'!B8&lt;1/24,TEXT('All Solo Adjustments Source'!B8,"M:SS"),TEXT('All Solo Adjustments Source'!B8,"H:MM:SS"))</f>
        <v>2:14</v>
      </c>
      <c r="C7" s="53" t="str">
        <f>IF('All Solo Adjustments Source'!F8&lt;1/24,TEXT('All Solo Adjustments Source'!F8,"M:SS"),TEXT('All Solo Adjustments Source'!F8,"H:MM:SS"))</f>
        <v>3:29</v>
      </c>
      <c r="D7" s="53" t="str">
        <f>IF('All Solo Adjustments Source'!J8&lt;1/24,TEXT('All Solo Adjustments Source'!J8,"M:SS"),TEXT('All Solo Adjustments Source'!J8,"H:MM:SS"))</f>
        <v>6:16</v>
      </c>
      <c r="E7" s="53" t="str">
        <f>IF('All Solo Adjustments Source'!N8&lt;1/24,TEXT('All Solo Adjustments Source'!N8,"M:SS"),TEXT('All Solo Adjustments Source'!N8,"H:MM:SS"))</f>
        <v>7:49</v>
      </c>
      <c r="F7" s="53" t="str">
        <f>IF('All Solo Adjustments Source'!R8&lt;1/24,TEXT('All Solo Adjustments Source'!R8,"M:SS"),TEXT('All Solo Adjustments Source'!R8,"H:MM:SS"))</f>
        <v>15:20</v>
      </c>
      <c r="G7" s="53" t="str">
        <f>IF('All Solo Adjustments Source'!V8&lt;1/24,TEXT('All Solo Adjustments Source'!V8,"M:SS"),TEXT('All Solo Adjustments Source'!V8,"H:MM:SS"))</f>
        <v>51:05</v>
      </c>
      <c r="H7" s="52" t="str">
        <f>IF('All Solo Adjustments Source'!C8&lt;1/24,TEXT('All Solo Adjustments Source'!C8,"M:SS"),TEXT('All Solo Adjustments Source'!C8,"H:MM:SS"))</f>
        <v>5:00</v>
      </c>
      <c r="I7" s="52" t="str">
        <f>IF('All Solo Adjustments Source'!G8&lt;1/24,TEXT('All Solo Adjustments Source'!G8,"M:SS"),TEXT('All Solo Adjustments Source'!G8,"H:MM:SS"))</f>
        <v>7:40</v>
      </c>
      <c r="J7" s="52" t="str">
        <f>IF('All Solo Adjustments Source'!K8&lt;1/24,TEXT('All Solo Adjustments Source'!K8,"M:SS"),TEXT('All Solo Adjustments Source'!K8,"H:MM:SS"))</f>
        <v>13:20</v>
      </c>
      <c r="K7" s="52" t="str">
        <f>IF('All Solo Adjustments Source'!O8&lt;1/24,TEXT('All Solo Adjustments Source'!O8,"M:SS"),TEXT('All Solo Adjustments Source'!O8,"H:MM:SS"))</f>
        <v>16:21</v>
      </c>
      <c r="L7" s="52" t="str">
        <f>IF('All Solo Adjustments Source'!S8&lt;1/24,TEXT('All Solo Adjustments Source'!S8,"M:SS"),TEXT('All Solo Adjustments Source'!S8,"H:MM:SS"))</f>
        <v>30:00</v>
      </c>
      <c r="M7" s="52" t="str">
        <f>IF('All Solo Adjustments Source'!W8&lt;1/24,TEXT('All Solo Adjustments Source'!W8,"M:SS"),TEXT('All Solo Adjustments Source'!W8,"H:MM:SS"))</f>
        <v>1:23:36</v>
      </c>
    </row>
    <row r="8" spans="1:13" hidden="1" x14ac:dyDescent="0.25">
      <c r="A8" s="17">
        <f>'All Solo Adjustments Source'!A9</f>
        <v>15</v>
      </c>
      <c r="B8" s="53" t="str">
        <f>IF('All Solo Adjustments Source'!B9&lt;1/24,TEXT('All Solo Adjustments Source'!B9,"M:SS"),TEXT('All Solo Adjustments Source'!B9,"H:MM:SS"))</f>
        <v>1:16</v>
      </c>
      <c r="C8" s="53" t="str">
        <f>IF('All Solo Adjustments Source'!F9&lt;1/24,TEXT('All Solo Adjustments Source'!F9,"M:SS"),TEXT('All Solo Adjustments Source'!F9,"H:MM:SS"))</f>
        <v>1:59</v>
      </c>
      <c r="D8" s="53" t="str">
        <f>IF('All Solo Adjustments Source'!J9&lt;1/24,TEXT('All Solo Adjustments Source'!J9,"M:SS"),TEXT('All Solo Adjustments Source'!J9,"H:MM:SS"))</f>
        <v>3:33</v>
      </c>
      <c r="E8" s="53" t="str">
        <f>IF('All Solo Adjustments Source'!N9&lt;1/24,TEXT('All Solo Adjustments Source'!N9,"M:SS"),TEXT('All Solo Adjustments Source'!N9,"H:MM:SS"))</f>
        <v>4:24</v>
      </c>
      <c r="F8" s="53" t="str">
        <f>IF('All Solo Adjustments Source'!R9&lt;1/24,TEXT('All Solo Adjustments Source'!R9,"M:SS"),TEXT('All Solo Adjustments Source'!R9,"H:MM:SS"))</f>
        <v>8:34</v>
      </c>
      <c r="G8" s="53" t="str">
        <f>IF('All Solo Adjustments Source'!V9&lt;1/24,TEXT('All Solo Adjustments Source'!V9,"M:SS"),TEXT('All Solo Adjustments Source'!V9,"H:MM:SS"))</f>
        <v>27:30</v>
      </c>
      <c r="H8" s="52" t="str">
        <f>IF('All Solo Adjustments Source'!C9&lt;1/24,TEXT('All Solo Adjustments Source'!C9,"M:SS"),TEXT('All Solo Adjustments Source'!C9,"H:MM:SS"))</f>
        <v>3:56</v>
      </c>
      <c r="I8" s="52" t="str">
        <f>IF('All Solo Adjustments Source'!G9&lt;1/24,TEXT('All Solo Adjustments Source'!G9,"M:SS"),TEXT('All Solo Adjustments Source'!G9,"H:MM:SS"))</f>
        <v>5:59</v>
      </c>
      <c r="J8" s="52" t="str">
        <f>IF('All Solo Adjustments Source'!K9&lt;1/24,TEXT('All Solo Adjustments Source'!K9,"M:SS"),TEXT('All Solo Adjustments Source'!K9,"H:MM:SS"))</f>
        <v>10:18</v>
      </c>
      <c r="K8" s="52" t="str">
        <f>IF('All Solo Adjustments Source'!O9&lt;1/24,TEXT('All Solo Adjustments Source'!O9,"M:SS"),TEXT('All Solo Adjustments Source'!O9,"H:MM:SS"))</f>
        <v>12:34</v>
      </c>
      <c r="L8" s="52" t="str">
        <f>IF('All Solo Adjustments Source'!S9&lt;1/24,TEXT('All Solo Adjustments Source'!S9,"M:SS"),TEXT('All Solo Adjustments Source'!S9,"H:MM:SS"))</f>
        <v>22:28</v>
      </c>
      <c r="M8" s="52" t="str">
        <f>IF('All Solo Adjustments Source'!W9&lt;1/24,TEXT('All Solo Adjustments Source'!W9,"M:SS"),TEXT('All Solo Adjustments Source'!W9,"H:MM:SS"))</f>
        <v>57:23</v>
      </c>
    </row>
    <row r="9" spans="1:13" hidden="1" x14ac:dyDescent="0.25">
      <c r="A9" s="17">
        <f>'All Solo Adjustments Source'!A10</f>
        <v>16</v>
      </c>
      <c r="B9" s="53" t="str">
        <f>IF('All Solo Adjustments Source'!B10&lt;1/24,TEXT('All Solo Adjustments Source'!B10,"M:SS"),TEXT('All Solo Adjustments Source'!B10,"H:MM:SS"))</f>
        <v>0:39</v>
      </c>
      <c r="C9" s="53" t="str">
        <f>IF('All Solo Adjustments Source'!F10&lt;1/24,TEXT('All Solo Adjustments Source'!F10,"M:SS"),TEXT('All Solo Adjustments Source'!F10,"H:MM:SS"))</f>
        <v>1:00</v>
      </c>
      <c r="D9" s="53" t="str">
        <f>IF('All Solo Adjustments Source'!J10&lt;1/24,TEXT('All Solo Adjustments Source'!J10,"M:SS"),TEXT('All Solo Adjustments Source'!J10,"H:MM:SS"))</f>
        <v>1:48</v>
      </c>
      <c r="E9" s="53" t="str">
        <f>IF('All Solo Adjustments Source'!N10&lt;1/24,TEXT('All Solo Adjustments Source'!N10,"M:SS"),TEXT('All Solo Adjustments Source'!N10,"H:MM:SS"))</f>
        <v>2:14</v>
      </c>
      <c r="F9" s="53" t="str">
        <f>IF('All Solo Adjustments Source'!R10&lt;1/24,TEXT('All Solo Adjustments Source'!R10,"M:SS"),TEXT('All Solo Adjustments Source'!R10,"H:MM:SS"))</f>
        <v>4:19</v>
      </c>
      <c r="G9" s="53" t="str">
        <f>IF('All Solo Adjustments Source'!V10&lt;1/24,TEXT('All Solo Adjustments Source'!V10,"M:SS"),TEXT('All Solo Adjustments Source'!V10,"H:MM:SS"))</f>
        <v>13:34</v>
      </c>
      <c r="H9" s="52" t="str">
        <f>IF('All Solo Adjustments Source'!C10&lt;1/24,TEXT('All Solo Adjustments Source'!C10,"M:SS"),TEXT('All Solo Adjustments Source'!C10,"H:MM:SS"))</f>
        <v>3:14</v>
      </c>
      <c r="I9" s="52" t="str">
        <f>IF('All Solo Adjustments Source'!G10&lt;1/24,TEXT('All Solo Adjustments Source'!G10,"M:SS"),TEXT('All Solo Adjustments Source'!G10,"H:MM:SS"))</f>
        <v>4:54</v>
      </c>
      <c r="J9" s="52" t="str">
        <f>IF('All Solo Adjustments Source'!K10&lt;1/24,TEXT('All Solo Adjustments Source'!K10,"M:SS"),TEXT('All Solo Adjustments Source'!K10,"H:MM:SS"))</f>
        <v>8:21</v>
      </c>
      <c r="K9" s="52" t="str">
        <f>IF('All Solo Adjustments Source'!O10&lt;1/24,TEXT('All Solo Adjustments Source'!O10,"M:SS"),TEXT('All Solo Adjustments Source'!O10,"H:MM:SS"))</f>
        <v>10:09</v>
      </c>
      <c r="L9" s="52" t="str">
        <f>IF('All Solo Adjustments Source'!S10&lt;1/24,TEXT('All Solo Adjustments Source'!S10,"M:SS"),TEXT('All Solo Adjustments Source'!S10,"H:MM:SS"))</f>
        <v>17:45</v>
      </c>
      <c r="M9" s="52" t="str">
        <f>IF('All Solo Adjustments Source'!W10&lt;1/24,TEXT('All Solo Adjustments Source'!W10,"M:SS"),TEXT('All Solo Adjustments Source'!W10,"H:MM:SS"))</f>
        <v>41:54</v>
      </c>
    </row>
    <row r="10" spans="1:13" hidden="1" x14ac:dyDescent="0.25">
      <c r="A10" s="17">
        <f>'All Solo Adjustments Source'!A11</f>
        <v>17</v>
      </c>
      <c r="B10" s="53" t="str">
        <f>IF('All Solo Adjustments Source'!B11&lt;1/24,TEXT('All Solo Adjustments Source'!B11,"M:SS"),TEXT('All Solo Adjustments Source'!B11,"H:MM:SS"))</f>
        <v>0:15</v>
      </c>
      <c r="C10" s="53" t="str">
        <f>IF('All Solo Adjustments Source'!F11&lt;1/24,TEXT('All Solo Adjustments Source'!F11,"M:SS"),TEXT('All Solo Adjustments Source'!F11,"H:MM:SS"))</f>
        <v>0:24</v>
      </c>
      <c r="D10" s="53" t="str">
        <f>IF('All Solo Adjustments Source'!J11&lt;1/24,TEXT('All Solo Adjustments Source'!J11,"M:SS"),TEXT('All Solo Adjustments Source'!J11,"H:MM:SS"))</f>
        <v>0:44</v>
      </c>
      <c r="E10" s="53" t="str">
        <f>IF('All Solo Adjustments Source'!N11&lt;1/24,TEXT('All Solo Adjustments Source'!N11,"M:SS"),TEXT('All Solo Adjustments Source'!N11,"H:MM:SS"))</f>
        <v>0:54</v>
      </c>
      <c r="F10" s="53" t="str">
        <f>IF('All Solo Adjustments Source'!R11&lt;1/24,TEXT('All Solo Adjustments Source'!R11,"M:SS"),TEXT('All Solo Adjustments Source'!R11,"H:MM:SS"))</f>
        <v>1:44</v>
      </c>
      <c r="G10" s="53" t="str">
        <f>IF('All Solo Adjustments Source'!V11&lt;1/24,TEXT('All Solo Adjustments Source'!V11,"M:SS"),TEXT('All Solo Adjustments Source'!V11,"H:MM:SS"))</f>
        <v>5:24</v>
      </c>
      <c r="H10" s="52" t="str">
        <f>IF('All Solo Adjustments Source'!C11&lt;1/24,TEXT('All Solo Adjustments Source'!C11,"M:SS"),TEXT('All Solo Adjustments Source'!C11,"H:MM:SS"))</f>
        <v>2:48</v>
      </c>
      <c r="I10" s="52" t="str">
        <f>IF('All Solo Adjustments Source'!G11&lt;1/24,TEXT('All Solo Adjustments Source'!G11,"M:SS"),TEXT('All Solo Adjustments Source'!G11,"H:MM:SS"))</f>
        <v>4:14</v>
      </c>
      <c r="J10" s="52" t="str">
        <f>IF('All Solo Adjustments Source'!K11&lt;1/24,TEXT('All Solo Adjustments Source'!K11,"M:SS"),TEXT('All Solo Adjustments Source'!K11,"H:MM:SS"))</f>
        <v>7:10</v>
      </c>
      <c r="K10" s="52" t="str">
        <f>IF('All Solo Adjustments Source'!O11&lt;1/24,TEXT('All Solo Adjustments Source'!O11,"M:SS"),TEXT('All Solo Adjustments Source'!O11,"H:MM:SS"))</f>
        <v>8:40</v>
      </c>
      <c r="L10" s="52" t="str">
        <f>IF('All Solo Adjustments Source'!S11&lt;1/24,TEXT('All Solo Adjustments Source'!S11,"M:SS"),TEXT('All Solo Adjustments Source'!S11,"H:MM:SS"))</f>
        <v>14:53</v>
      </c>
      <c r="M10" s="52" t="str">
        <f>IF('All Solo Adjustments Source'!W11&lt;1/24,TEXT('All Solo Adjustments Source'!W11,"M:SS"),TEXT('All Solo Adjustments Source'!W11,"H:MM:SS"))</f>
        <v>32:50</v>
      </c>
    </row>
    <row r="11" spans="1:13" hidden="1" x14ac:dyDescent="0.25">
      <c r="A11" s="17">
        <f>'All Solo Adjustments Source'!A12</f>
        <v>18</v>
      </c>
      <c r="B11" s="53" t="str">
        <f>IF('All Solo Adjustments Source'!B12&lt;1/24,TEXT('All Solo Adjustments Source'!B12,"M:SS"),TEXT('All Solo Adjustments Source'!B12,"H:MM:SS"))</f>
        <v>0:03</v>
      </c>
      <c r="C11" s="53" t="str">
        <f>IF('All Solo Adjustments Source'!F12&lt;1/24,TEXT('All Solo Adjustments Source'!F12,"M:SS"),TEXT('All Solo Adjustments Source'!F12,"H:MM:SS"))</f>
        <v>0:05</v>
      </c>
      <c r="D11" s="53" t="str">
        <f>IF('All Solo Adjustments Source'!J12&lt;1/24,TEXT('All Solo Adjustments Source'!J12,"M:SS"),TEXT('All Solo Adjustments Source'!J12,"H:MM:SS"))</f>
        <v>0:10</v>
      </c>
      <c r="E11" s="53" t="str">
        <f>IF('All Solo Adjustments Source'!N12&lt;1/24,TEXT('All Solo Adjustments Source'!N12,"M:SS"),TEXT('All Solo Adjustments Source'!N12,"H:MM:SS"))</f>
        <v>0:12</v>
      </c>
      <c r="F11" s="53" t="str">
        <f>IF('All Solo Adjustments Source'!R12&lt;1/24,TEXT('All Solo Adjustments Source'!R12,"M:SS"),TEXT('All Solo Adjustments Source'!R12,"H:MM:SS"))</f>
        <v>0:23</v>
      </c>
      <c r="G11" s="53" t="str">
        <f>IF('All Solo Adjustments Source'!V12&lt;1/24,TEXT('All Solo Adjustments Source'!V12,"M:SS"),TEXT('All Solo Adjustments Source'!V12,"H:MM:SS"))</f>
        <v>1:11</v>
      </c>
      <c r="H11" s="52" t="str">
        <f>IF('All Solo Adjustments Source'!C12&lt;1/24,TEXT('All Solo Adjustments Source'!C12,"M:SS"),TEXT('All Solo Adjustments Source'!C12,"H:MM:SS"))</f>
        <v>2:34</v>
      </c>
      <c r="I11" s="52" t="str">
        <f>IF('All Solo Adjustments Source'!G12&lt;1/24,TEXT('All Solo Adjustments Source'!G12,"M:SS"),TEXT('All Solo Adjustments Source'!G12,"H:MM:SS"))</f>
        <v>3:53</v>
      </c>
      <c r="J11" s="52" t="str">
        <f>IF('All Solo Adjustments Source'!K12&lt;1/24,TEXT('All Solo Adjustments Source'!K12,"M:SS"),TEXT('All Solo Adjustments Source'!K12,"H:MM:SS"))</f>
        <v>6:32</v>
      </c>
      <c r="K11" s="52" t="str">
        <f>IF('All Solo Adjustments Source'!O12&lt;1/24,TEXT('All Solo Adjustments Source'!O12,"M:SS"),TEXT('All Solo Adjustments Source'!O12,"H:MM:SS"))</f>
        <v>7:53</v>
      </c>
      <c r="L11" s="52" t="str">
        <f>IF('All Solo Adjustments Source'!S12&lt;1/24,TEXT('All Solo Adjustments Source'!S12,"M:SS"),TEXT('All Solo Adjustments Source'!S12,"H:MM:SS"))</f>
        <v>13:22</v>
      </c>
      <c r="M11" s="52" t="str">
        <f>IF('All Solo Adjustments Source'!W12&lt;1/24,TEXT('All Solo Adjustments Source'!W12,"M:SS"),TEXT('All Solo Adjustments Source'!W12,"H:MM:SS"))</f>
        <v>28:09</v>
      </c>
    </row>
    <row r="12" spans="1:13" hidden="1" x14ac:dyDescent="0.25">
      <c r="A12" s="17">
        <f>'All Solo Adjustments Source'!A13</f>
        <v>19</v>
      </c>
      <c r="B12" s="53" t="str">
        <f>IF('All Solo Adjustments Source'!B13&lt;1/24,TEXT('All Solo Adjustments Source'!B13,"M:SS"),TEXT('All Solo Adjustments Source'!B13,"H:MM:SS"))</f>
        <v>0:00</v>
      </c>
      <c r="C12" s="53" t="str">
        <f>IF('All Solo Adjustments Source'!F13&lt;1/24,TEXT('All Solo Adjustments Source'!F13,"M:SS"),TEXT('All Solo Adjustments Source'!F13,"H:MM:SS"))</f>
        <v>0:00</v>
      </c>
      <c r="D12" s="53" t="str">
        <f>IF('All Solo Adjustments Source'!J13&lt;1/24,TEXT('All Solo Adjustments Source'!J13,"M:SS"),TEXT('All Solo Adjustments Source'!J13,"H:MM:SS"))</f>
        <v>0:00</v>
      </c>
      <c r="E12" s="53" t="str">
        <f>IF('All Solo Adjustments Source'!N13&lt;1/24,TEXT('All Solo Adjustments Source'!N13,"M:SS"),TEXT('All Solo Adjustments Source'!N13,"H:MM:SS"))</f>
        <v>0:00</v>
      </c>
      <c r="F12" s="53" t="str">
        <f>IF('All Solo Adjustments Source'!R13&lt;1/24,TEXT('All Solo Adjustments Source'!R13,"M:SS"),TEXT('All Solo Adjustments Source'!R13,"H:MM:SS"))</f>
        <v>0:00</v>
      </c>
      <c r="G12" s="53" t="str">
        <f>IF('All Solo Adjustments Source'!V13&lt;1/24,TEXT('All Solo Adjustments Source'!V13,"M:SS"),TEXT('All Solo Adjustments Source'!V13,"H:MM:SS"))</f>
        <v>0:00</v>
      </c>
      <c r="H12" s="52" t="str">
        <f>IF('All Solo Adjustments Source'!C13&lt;1/24,TEXT('All Solo Adjustments Source'!C13,"M:SS"),TEXT('All Solo Adjustments Source'!C13,"H:MM:SS"))</f>
        <v>2:31</v>
      </c>
      <c r="I12" s="52" t="str">
        <f>IF('All Solo Adjustments Source'!G13&lt;1/24,TEXT('All Solo Adjustments Source'!G13,"M:SS"),TEXT('All Solo Adjustments Source'!G13,"H:MM:SS"))</f>
        <v>3:47</v>
      </c>
      <c r="J12" s="52" t="str">
        <f>IF('All Solo Adjustments Source'!K13&lt;1/24,TEXT('All Solo Adjustments Source'!K13,"M:SS"),TEXT('All Solo Adjustments Source'!K13,"H:MM:SS"))</f>
        <v>6:22</v>
      </c>
      <c r="K12" s="52" t="str">
        <f>IF('All Solo Adjustments Source'!O13&lt;1/24,TEXT('All Solo Adjustments Source'!O13,"M:SS"),TEXT('All Solo Adjustments Source'!O13,"H:MM:SS"))</f>
        <v>7:40</v>
      </c>
      <c r="L12" s="52" t="str">
        <f>IF('All Solo Adjustments Source'!S13&lt;1/24,TEXT('All Solo Adjustments Source'!S13,"M:SS"),TEXT('All Solo Adjustments Source'!S13,"H:MM:SS"))</f>
        <v>12:57</v>
      </c>
      <c r="M12" s="52" t="str">
        <f>IF('All Solo Adjustments Source'!W13&lt;1/24,TEXT('All Solo Adjustments Source'!W13,"M:SS"),TEXT('All Solo Adjustments Source'!W13,"H:MM:SS"))</f>
        <v>26:50</v>
      </c>
    </row>
    <row r="13" spans="1:13" hidden="1" x14ac:dyDescent="0.25">
      <c r="A13" s="17">
        <f>'All Solo Adjustments Source'!A14</f>
        <v>20</v>
      </c>
      <c r="B13" s="53" t="str">
        <f>IF('All Solo Adjustments Source'!B14&lt;1/24,TEXT('All Solo Adjustments Source'!B14,"M:SS"),TEXT('All Solo Adjustments Source'!B14,"H:MM:SS"))</f>
        <v>0:00</v>
      </c>
      <c r="C13" s="53" t="str">
        <f>IF('All Solo Adjustments Source'!F14&lt;1/24,TEXT('All Solo Adjustments Source'!F14,"M:SS"),TEXT('All Solo Adjustments Source'!F14,"H:MM:SS"))</f>
        <v>0:00</v>
      </c>
      <c r="D13" s="53" t="str">
        <f>IF('All Solo Adjustments Source'!J14&lt;1/24,TEXT('All Solo Adjustments Source'!J14,"M:SS"),TEXT('All Solo Adjustments Source'!J14,"H:MM:SS"))</f>
        <v>0:00</v>
      </c>
      <c r="E13" s="53" t="str">
        <f>IF('All Solo Adjustments Source'!N14&lt;1/24,TEXT('All Solo Adjustments Source'!N14,"M:SS"),TEXT('All Solo Adjustments Source'!N14,"H:MM:SS"))</f>
        <v>0:00</v>
      </c>
      <c r="F13" s="53" t="str">
        <f>IF('All Solo Adjustments Source'!R14&lt;1/24,TEXT('All Solo Adjustments Source'!R14,"M:SS"),TEXT('All Solo Adjustments Source'!R14,"H:MM:SS"))</f>
        <v>0:00</v>
      </c>
      <c r="G13" s="53" t="str">
        <f>IF('All Solo Adjustments Source'!V14&lt;1/24,TEXT('All Solo Adjustments Source'!V14,"M:SS"),TEXT('All Solo Adjustments Source'!V14,"H:MM:SS"))</f>
        <v>0:00</v>
      </c>
      <c r="H13" s="52" t="str">
        <f>IF('All Solo Adjustments Source'!C14&lt;1/24,TEXT('All Solo Adjustments Source'!C14,"M:SS"),TEXT('All Solo Adjustments Source'!C14,"H:MM:SS"))</f>
        <v>2:31</v>
      </c>
      <c r="I13" s="52" t="str">
        <f>IF('All Solo Adjustments Source'!G14&lt;1/24,TEXT('All Solo Adjustments Source'!G14,"M:SS"),TEXT('All Solo Adjustments Source'!G14,"H:MM:SS"))</f>
        <v>3:47</v>
      </c>
      <c r="J13" s="52" t="str">
        <f>IF('All Solo Adjustments Source'!K14&lt;1/24,TEXT('All Solo Adjustments Source'!K14,"M:SS"),TEXT('All Solo Adjustments Source'!K14,"H:MM:SS"))</f>
        <v>6:22</v>
      </c>
      <c r="K13" s="52" t="str">
        <f>IF('All Solo Adjustments Source'!O14&lt;1/24,TEXT('All Solo Adjustments Source'!O14,"M:SS"),TEXT('All Solo Adjustments Source'!O14,"H:MM:SS"))</f>
        <v>7:40</v>
      </c>
      <c r="L13" s="52" t="str">
        <f>IF('All Solo Adjustments Source'!S14&lt;1/24,TEXT('All Solo Adjustments Source'!S14,"M:SS"),TEXT('All Solo Adjustments Source'!S14,"H:MM:SS"))</f>
        <v>12:57</v>
      </c>
      <c r="M13" s="52" t="str">
        <f>IF('All Solo Adjustments Source'!W14&lt;1/24,TEXT('All Solo Adjustments Source'!W14,"M:SS"),TEXT('All Solo Adjustments Source'!W14,"H:MM:SS"))</f>
        <v>26:50</v>
      </c>
    </row>
    <row r="14" spans="1:13" hidden="1" x14ac:dyDescent="0.25">
      <c r="A14" s="17">
        <f>'All Solo Adjustments Source'!A15</f>
        <v>21</v>
      </c>
      <c r="B14" s="53" t="str">
        <f>IF('All Solo Adjustments Source'!B15&lt;1/24,TEXT('All Solo Adjustments Source'!B15,"M:SS"),TEXT('All Solo Adjustments Source'!B15,"H:MM:SS"))</f>
        <v>0:00</v>
      </c>
      <c r="C14" s="53" t="str">
        <f>IF('All Solo Adjustments Source'!F15&lt;1/24,TEXT('All Solo Adjustments Source'!F15,"M:SS"),TEXT('All Solo Adjustments Source'!F15,"H:MM:SS"))</f>
        <v>0:00</v>
      </c>
      <c r="D14" s="53" t="str">
        <f>IF('All Solo Adjustments Source'!J15&lt;1/24,TEXT('All Solo Adjustments Source'!J15,"M:SS"),TEXT('All Solo Adjustments Source'!J15,"H:MM:SS"))</f>
        <v>0:00</v>
      </c>
      <c r="E14" s="53" t="str">
        <f>IF('All Solo Adjustments Source'!N15&lt;1/24,TEXT('All Solo Adjustments Source'!N15,"M:SS"),TEXT('All Solo Adjustments Source'!N15,"H:MM:SS"))</f>
        <v>0:00</v>
      </c>
      <c r="F14" s="53" t="str">
        <f>IF('All Solo Adjustments Source'!R15&lt;1/24,TEXT('All Solo Adjustments Source'!R15,"M:SS"),TEXT('All Solo Adjustments Source'!R15,"H:MM:SS"))</f>
        <v>0:00</v>
      </c>
      <c r="G14" s="53" t="str">
        <f>IF('All Solo Adjustments Source'!V15&lt;1/24,TEXT('All Solo Adjustments Source'!V15,"M:SS"),TEXT('All Solo Adjustments Source'!V15,"H:MM:SS"))</f>
        <v>0:00</v>
      </c>
      <c r="H14" s="52" t="str">
        <f>IF('All Solo Adjustments Source'!C15&lt;1/24,TEXT('All Solo Adjustments Source'!C15,"M:SS"),TEXT('All Solo Adjustments Source'!C15,"H:MM:SS"))</f>
        <v>2:31</v>
      </c>
      <c r="I14" s="52" t="str">
        <f>IF('All Solo Adjustments Source'!G15&lt;1/24,TEXT('All Solo Adjustments Source'!G15,"M:SS"),TEXT('All Solo Adjustments Source'!G15,"H:MM:SS"))</f>
        <v>3:47</v>
      </c>
      <c r="J14" s="52" t="str">
        <f>IF('All Solo Adjustments Source'!K15&lt;1/24,TEXT('All Solo Adjustments Source'!K15,"M:SS"),TEXT('All Solo Adjustments Source'!K15,"H:MM:SS"))</f>
        <v>6:22</v>
      </c>
      <c r="K14" s="52" t="str">
        <f>IF('All Solo Adjustments Source'!O15&lt;1/24,TEXT('All Solo Adjustments Source'!O15,"M:SS"),TEXT('All Solo Adjustments Source'!O15,"H:MM:SS"))</f>
        <v>7:40</v>
      </c>
      <c r="L14" s="52" t="str">
        <f>IF('All Solo Adjustments Source'!S15&lt;1/24,TEXT('All Solo Adjustments Source'!S15,"M:SS"),TEXT('All Solo Adjustments Source'!S15,"H:MM:SS"))</f>
        <v>12:57</v>
      </c>
      <c r="M14" s="52" t="str">
        <f>IF('All Solo Adjustments Source'!W15&lt;1/24,TEXT('All Solo Adjustments Source'!W15,"M:SS"),TEXT('All Solo Adjustments Source'!W15,"H:MM:SS"))</f>
        <v>26:50</v>
      </c>
    </row>
    <row r="15" spans="1:13" hidden="1" x14ac:dyDescent="0.25">
      <c r="A15" s="17">
        <f>'All Solo Adjustments Source'!A16</f>
        <v>22</v>
      </c>
      <c r="B15" s="53" t="str">
        <f>IF('All Solo Adjustments Source'!B16&lt;1/24,TEXT('All Solo Adjustments Source'!B16,"M:SS"),TEXT('All Solo Adjustments Source'!B16,"H:MM:SS"))</f>
        <v>0:00</v>
      </c>
      <c r="C15" s="53" t="str">
        <f>IF('All Solo Adjustments Source'!F16&lt;1/24,TEXT('All Solo Adjustments Source'!F16,"M:SS"),TEXT('All Solo Adjustments Source'!F16,"H:MM:SS"))</f>
        <v>0:00</v>
      </c>
      <c r="D15" s="53" t="str">
        <f>IF('All Solo Adjustments Source'!J16&lt;1/24,TEXT('All Solo Adjustments Source'!J16,"M:SS"),TEXT('All Solo Adjustments Source'!J16,"H:MM:SS"))</f>
        <v>0:00</v>
      </c>
      <c r="E15" s="53" t="str">
        <f>IF('All Solo Adjustments Source'!N16&lt;1/24,TEXT('All Solo Adjustments Source'!N16,"M:SS"),TEXT('All Solo Adjustments Source'!N16,"H:MM:SS"))</f>
        <v>0:00</v>
      </c>
      <c r="F15" s="53" t="str">
        <f>IF('All Solo Adjustments Source'!R16&lt;1/24,TEXT('All Solo Adjustments Source'!R16,"M:SS"),TEXT('All Solo Adjustments Source'!R16,"H:MM:SS"))</f>
        <v>0:00</v>
      </c>
      <c r="G15" s="53" t="str">
        <f>IF('All Solo Adjustments Source'!V16&lt;1/24,TEXT('All Solo Adjustments Source'!V16,"M:SS"),TEXT('All Solo Adjustments Source'!V16,"H:MM:SS"))</f>
        <v>0:00</v>
      </c>
      <c r="H15" s="52" t="str">
        <f>IF('All Solo Adjustments Source'!C16&lt;1/24,TEXT('All Solo Adjustments Source'!C16,"M:SS"),TEXT('All Solo Adjustments Source'!C16,"H:MM:SS"))</f>
        <v>2:31</v>
      </c>
      <c r="I15" s="52" t="str">
        <f>IF('All Solo Adjustments Source'!G16&lt;1/24,TEXT('All Solo Adjustments Source'!G16,"M:SS"),TEXT('All Solo Adjustments Source'!G16,"H:MM:SS"))</f>
        <v>3:47</v>
      </c>
      <c r="J15" s="52" t="str">
        <f>IF('All Solo Adjustments Source'!K16&lt;1/24,TEXT('All Solo Adjustments Source'!K16,"M:SS"),TEXT('All Solo Adjustments Source'!K16,"H:MM:SS"))</f>
        <v>6:22</v>
      </c>
      <c r="K15" s="52" t="str">
        <f>IF('All Solo Adjustments Source'!O16&lt;1/24,TEXT('All Solo Adjustments Source'!O16,"M:SS"),TEXT('All Solo Adjustments Source'!O16,"H:MM:SS"))</f>
        <v>7:40</v>
      </c>
      <c r="L15" s="52" t="str">
        <f>IF('All Solo Adjustments Source'!S16&lt;1/24,TEXT('All Solo Adjustments Source'!S16,"M:SS"),TEXT('All Solo Adjustments Source'!S16,"H:MM:SS"))</f>
        <v>12:57</v>
      </c>
      <c r="M15" s="52" t="str">
        <f>IF('All Solo Adjustments Source'!W16&lt;1/24,TEXT('All Solo Adjustments Source'!W16,"M:SS"),TEXT('All Solo Adjustments Source'!W16,"H:MM:SS"))</f>
        <v>26:50</v>
      </c>
    </row>
    <row r="16" spans="1:13" hidden="1" x14ac:dyDescent="0.25">
      <c r="A16" s="17">
        <f>'All Solo Adjustments Source'!A17</f>
        <v>23</v>
      </c>
      <c r="B16" s="53" t="str">
        <f>IF('All Solo Adjustments Source'!B17&lt;1/24,TEXT('All Solo Adjustments Source'!B17,"M:SS"),TEXT('All Solo Adjustments Source'!B17,"H:MM:SS"))</f>
        <v>0:00</v>
      </c>
      <c r="C16" s="53" t="str">
        <f>IF('All Solo Adjustments Source'!F17&lt;1/24,TEXT('All Solo Adjustments Source'!F17,"M:SS"),TEXT('All Solo Adjustments Source'!F17,"H:MM:SS"))</f>
        <v>0:00</v>
      </c>
      <c r="D16" s="53" t="str">
        <f>IF('All Solo Adjustments Source'!J17&lt;1/24,TEXT('All Solo Adjustments Source'!J17,"M:SS"),TEXT('All Solo Adjustments Source'!J17,"H:MM:SS"))</f>
        <v>0:00</v>
      </c>
      <c r="E16" s="53" t="str">
        <f>IF('All Solo Adjustments Source'!N17&lt;1/24,TEXT('All Solo Adjustments Source'!N17,"M:SS"),TEXT('All Solo Adjustments Source'!N17,"H:MM:SS"))</f>
        <v>0:00</v>
      </c>
      <c r="F16" s="53" t="str">
        <f>IF('All Solo Adjustments Source'!R17&lt;1/24,TEXT('All Solo Adjustments Source'!R17,"M:SS"),TEXT('All Solo Adjustments Source'!R17,"H:MM:SS"))</f>
        <v>0:00</v>
      </c>
      <c r="G16" s="53" t="str">
        <f>IF('All Solo Adjustments Source'!V17&lt;1/24,TEXT('All Solo Adjustments Source'!V17,"M:SS"),TEXT('All Solo Adjustments Source'!V17,"H:MM:SS"))</f>
        <v>0:00</v>
      </c>
      <c r="H16" s="52" t="str">
        <f>IF('All Solo Adjustments Source'!C17&lt;1/24,TEXT('All Solo Adjustments Source'!C17,"M:SS"),TEXT('All Solo Adjustments Source'!C17,"H:MM:SS"))</f>
        <v>2:31</v>
      </c>
      <c r="I16" s="52" t="str">
        <f>IF('All Solo Adjustments Source'!G17&lt;1/24,TEXT('All Solo Adjustments Source'!G17,"M:SS"),TEXT('All Solo Adjustments Source'!G17,"H:MM:SS"))</f>
        <v>3:47</v>
      </c>
      <c r="J16" s="52" t="str">
        <f>IF('All Solo Adjustments Source'!K17&lt;1/24,TEXT('All Solo Adjustments Source'!K17,"M:SS"),TEXT('All Solo Adjustments Source'!K17,"H:MM:SS"))</f>
        <v>6:22</v>
      </c>
      <c r="K16" s="52" t="str">
        <f>IF('All Solo Adjustments Source'!O17&lt;1/24,TEXT('All Solo Adjustments Source'!O17,"M:SS"),TEXT('All Solo Adjustments Source'!O17,"H:MM:SS"))</f>
        <v>7:40</v>
      </c>
      <c r="L16" s="52" t="str">
        <f>IF('All Solo Adjustments Source'!S17&lt;1/24,TEXT('All Solo Adjustments Source'!S17,"M:SS"),TEXT('All Solo Adjustments Source'!S17,"H:MM:SS"))</f>
        <v>12:57</v>
      </c>
      <c r="M16" s="52" t="str">
        <f>IF('All Solo Adjustments Source'!W17&lt;1/24,TEXT('All Solo Adjustments Source'!W17,"M:SS"),TEXT('All Solo Adjustments Source'!W17,"H:MM:SS"))</f>
        <v>26:50</v>
      </c>
    </row>
    <row r="17" spans="1:13" ht="14.1" hidden="1" customHeight="1" x14ac:dyDescent="0.25">
      <c r="A17" s="17">
        <f>'All Solo Adjustments Source'!A18</f>
        <v>24</v>
      </c>
      <c r="B17" s="53" t="str">
        <f>IF('All Solo Adjustments Source'!B18&lt;1/24,TEXT('All Solo Adjustments Source'!B18,"M:SS"),TEXT('All Solo Adjustments Source'!B18,"H:MM:SS"))</f>
        <v>0:00</v>
      </c>
      <c r="C17" s="53" t="str">
        <f>IF('All Solo Adjustments Source'!F18&lt;1/24,TEXT('All Solo Adjustments Source'!F18,"M:SS"),TEXT('All Solo Adjustments Source'!F18,"H:MM:SS"))</f>
        <v>0:00</v>
      </c>
      <c r="D17" s="53" t="str">
        <f>IF('All Solo Adjustments Source'!J18&lt;1/24,TEXT('All Solo Adjustments Source'!J18,"M:SS"),TEXT('All Solo Adjustments Source'!J18,"H:MM:SS"))</f>
        <v>0:00</v>
      </c>
      <c r="E17" s="53" t="str">
        <f>IF('All Solo Adjustments Source'!N18&lt;1/24,TEXT('All Solo Adjustments Source'!N18,"M:SS"),TEXT('All Solo Adjustments Source'!N18,"H:MM:SS"))</f>
        <v>0:00</v>
      </c>
      <c r="F17" s="53" t="str">
        <f>IF('All Solo Adjustments Source'!R18&lt;1/24,TEXT('All Solo Adjustments Source'!R18,"M:SS"),TEXT('All Solo Adjustments Source'!R18,"H:MM:SS"))</f>
        <v>0:00</v>
      </c>
      <c r="G17" s="53" t="str">
        <f>IF('All Solo Adjustments Source'!V18&lt;1/24,TEXT('All Solo Adjustments Source'!V18,"M:SS"),TEXT('All Solo Adjustments Source'!V18,"H:MM:SS"))</f>
        <v>0:00</v>
      </c>
      <c r="H17" s="52" t="str">
        <f>IF('All Solo Adjustments Source'!C18&lt;1/24,TEXT('All Solo Adjustments Source'!C18,"M:SS"),TEXT('All Solo Adjustments Source'!C18,"H:MM:SS"))</f>
        <v>2:31</v>
      </c>
      <c r="I17" s="52" t="str">
        <f>IF('All Solo Adjustments Source'!G18&lt;1/24,TEXT('All Solo Adjustments Source'!G18,"M:SS"),TEXT('All Solo Adjustments Source'!G18,"H:MM:SS"))</f>
        <v>3:47</v>
      </c>
      <c r="J17" s="52" t="str">
        <f>IF('All Solo Adjustments Source'!K18&lt;1/24,TEXT('All Solo Adjustments Source'!K18,"M:SS"),TEXT('All Solo Adjustments Source'!K18,"H:MM:SS"))</f>
        <v>6:22</v>
      </c>
      <c r="K17" s="52" t="str">
        <f>IF('All Solo Adjustments Source'!O18&lt;1/24,TEXT('All Solo Adjustments Source'!O18,"M:SS"),TEXT('All Solo Adjustments Source'!O18,"H:MM:SS"))</f>
        <v>7:40</v>
      </c>
      <c r="L17" s="52" t="str">
        <f>IF('All Solo Adjustments Source'!S18&lt;1/24,TEXT('All Solo Adjustments Source'!S18,"M:SS"),TEXT('All Solo Adjustments Source'!S18,"H:MM:SS"))</f>
        <v>12:57</v>
      </c>
      <c r="M17" s="52" t="str">
        <f>IF('All Solo Adjustments Source'!W18&lt;1/24,TEXT('All Solo Adjustments Source'!W18,"M:SS"),TEXT('All Solo Adjustments Source'!W18,"H:MM:SS"))</f>
        <v>26:50</v>
      </c>
    </row>
    <row r="18" spans="1:13" hidden="1" x14ac:dyDescent="0.25">
      <c r="A18" s="17">
        <f>'All Solo Adjustments Source'!A19</f>
        <v>25</v>
      </c>
      <c r="B18" s="53" t="str">
        <f>IF('All Solo Adjustments Source'!B19&lt;1/24,TEXT('All Solo Adjustments Source'!B19,"M:SS"),TEXT('All Solo Adjustments Source'!B19,"H:MM:SS"))</f>
        <v>0:00</v>
      </c>
      <c r="C18" s="53" t="str">
        <f>IF('All Solo Adjustments Source'!F19&lt;1/24,TEXT('All Solo Adjustments Source'!F19,"M:SS"),TEXT('All Solo Adjustments Source'!F19,"H:MM:SS"))</f>
        <v>0:00</v>
      </c>
      <c r="D18" s="53" t="str">
        <f>IF('All Solo Adjustments Source'!J19&lt;1/24,TEXT('All Solo Adjustments Source'!J19,"M:SS"),TEXT('All Solo Adjustments Source'!J19,"H:MM:SS"))</f>
        <v>0:00</v>
      </c>
      <c r="E18" s="53" t="str">
        <f>IF('All Solo Adjustments Source'!N19&lt;1/24,TEXT('All Solo Adjustments Source'!N19,"M:SS"),TEXT('All Solo Adjustments Source'!N19,"H:MM:SS"))</f>
        <v>0:00</v>
      </c>
      <c r="F18" s="53" t="str">
        <f>IF('All Solo Adjustments Source'!R19&lt;1/24,TEXT('All Solo Adjustments Source'!R19,"M:SS"),TEXT('All Solo Adjustments Source'!R19,"H:MM:SS"))</f>
        <v>0:00</v>
      </c>
      <c r="G18" s="53" t="str">
        <f>IF('All Solo Adjustments Source'!V19&lt;1/24,TEXT('All Solo Adjustments Source'!V19,"M:SS"),TEXT('All Solo Adjustments Source'!V19,"H:MM:SS"))</f>
        <v>0:00</v>
      </c>
      <c r="H18" s="52" t="str">
        <f>IF('All Solo Adjustments Source'!C19&lt;1/24,TEXT('All Solo Adjustments Source'!C19,"M:SS"),TEXT('All Solo Adjustments Source'!C19,"H:MM:SS"))</f>
        <v>2:31</v>
      </c>
      <c r="I18" s="52" t="str">
        <f>IF('All Solo Adjustments Source'!G19&lt;1/24,TEXT('All Solo Adjustments Source'!G19,"M:SS"),TEXT('All Solo Adjustments Source'!G19,"H:MM:SS"))</f>
        <v>3:47</v>
      </c>
      <c r="J18" s="52" t="str">
        <f>IF('All Solo Adjustments Source'!K19&lt;1/24,TEXT('All Solo Adjustments Source'!K19,"M:SS"),TEXT('All Solo Adjustments Source'!K19,"H:MM:SS"))</f>
        <v>6:22</v>
      </c>
      <c r="K18" s="52" t="str">
        <f>IF('All Solo Adjustments Source'!O19&lt;1/24,TEXT('All Solo Adjustments Source'!O19,"M:SS"),TEXT('All Solo Adjustments Source'!O19,"H:MM:SS"))</f>
        <v>7:40</v>
      </c>
      <c r="L18" s="52" t="str">
        <f>IF('All Solo Adjustments Source'!S19&lt;1/24,TEXT('All Solo Adjustments Source'!S19,"M:SS"),TEXT('All Solo Adjustments Source'!S19,"H:MM:SS"))</f>
        <v>12:57</v>
      </c>
      <c r="M18" s="52" t="str">
        <f>IF('All Solo Adjustments Source'!W19&lt;1/24,TEXT('All Solo Adjustments Source'!W19,"M:SS"),TEXT('All Solo Adjustments Source'!W19,"H:MM:SS"))</f>
        <v>26:50</v>
      </c>
    </row>
    <row r="19" spans="1:13" hidden="1" x14ac:dyDescent="0.25">
      <c r="A19" s="17">
        <f>'All Solo Adjustments Source'!A20</f>
        <v>26</v>
      </c>
      <c r="B19" s="53" t="str">
        <f>IF('All Solo Adjustments Source'!B20&lt;1/24,TEXT('All Solo Adjustments Source'!B20,"M:SS"),TEXT('All Solo Adjustments Source'!B20,"H:MM:SS"))</f>
        <v>0:00</v>
      </c>
      <c r="C19" s="53" t="str">
        <f>IF('All Solo Adjustments Source'!F20&lt;1/24,TEXT('All Solo Adjustments Source'!F20,"M:SS"),TEXT('All Solo Adjustments Source'!F20,"H:MM:SS"))</f>
        <v>0:00</v>
      </c>
      <c r="D19" s="53" t="str">
        <f>IF('All Solo Adjustments Source'!J20&lt;1/24,TEXT('All Solo Adjustments Source'!J20,"M:SS"),TEXT('All Solo Adjustments Source'!J20,"H:MM:SS"))</f>
        <v>0:00</v>
      </c>
      <c r="E19" s="53" t="str">
        <f>IF('All Solo Adjustments Source'!N20&lt;1/24,TEXT('All Solo Adjustments Source'!N20,"M:SS"),TEXT('All Solo Adjustments Source'!N20,"H:MM:SS"))</f>
        <v>0:00</v>
      </c>
      <c r="F19" s="53" t="str">
        <f>IF('All Solo Adjustments Source'!R20&lt;1/24,TEXT('All Solo Adjustments Source'!R20,"M:SS"),TEXT('All Solo Adjustments Source'!R20,"H:MM:SS"))</f>
        <v>0:00</v>
      </c>
      <c r="G19" s="53" t="str">
        <f>IF('All Solo Adjustments Source'!V20&lt;1/24,TEXT('All Solo Adjustments Source'!V20,"M:SS"),TEXT('All Solo Adjustments Source'!V20,"H:MM:SS"))</f>
        <v>0:00</v>
      </c>
      <c r="H19" s="52" t="str">
        <f>IF('All Solo Adjustments Source'!C20&lt;1/24,TEXT('All Solo Adjustments Source'!C20,"M:SS"),TEXT('All Solo Adjustments Source'!C20,"H:MM:SS"))</f>
        <v>2:31</v>
      </c>
      <c r="I19" s="52" t="str">
        <f>IF('All Solo Adjustments Source'!G20&lt;1/24,TEXT('All Solo Adjustments Source'!G20,"M:SS"),TEXT('All Solo Adjustments Source'!G20,"H:MM:SS"))</f>
        <v>3:47</v>
      </c>
      <c r="J19" s="52" t="str">
        <f>IF('All Solo Adjustments Source'!K20&lt;1/24,TEXT('All Solo Adjustments Source'!K20,"M:SS"),TEXT('All Solo Adjustments Source'!K20,"H:MM:SS"))</f>
        <v>6:22</v>
      </c>
      <c r="K19" s="52" t="str">
        <f>IF('All Solo Adjustments Source'!O20&lt;1/24,TEXT('All Solo Adjustments Source'!O20,"M:SS"),TEXT('All Solo Adjustments Source'!O20,"H:MM:SS"))</f>
        <v>7:40</v>
      </c>
      <c r="L19" s="52" t="str">
        <f>IF('All Solo Adjustments Source'!S20&lt;1/24,TEXT('All Solo Adjustments Source'!S20,"M:SS"),TEXT('All Solo Adjustments Source'!S20,"H:MM:SS"))</f>
        <v>12:57</v>
      </c>
      <c r="M19" s="52" t="str">
        <f>IF('All Solo Adjustments Source'!W20&lt;1/24,TEXT('All Solo Adjustments Source'!W20,"M:SS"),TEXT('All Solo Adjustments Source'!W20,"H:MM:SS"))</f>
        <v>26:50</v>
      </c>
    </row>
    <row r="20" spans="1:13" hidden="1" x14ac:dyDescent="0.25">
      <c r="A20" s="17">
        <f>'All Solo Adjustments Source'!A21</f>
        <v>27</v>
      </c>
      <c r="B20" s="53" t="str">
        <f>IF('All Solo Adjustments Source'!B21&lt;1/24,TEXT('All Solo Adjustments Source'!B21,"M:SS"),TEXT('All Solo Adjustments Source'!B21,"H:MM:SS"))</f>
        <v>0:00</v>
      </c>
      <c r="C20" s="53" t="str">
        <f>IF('All Solo Adjustments Source'!F21&lt;1/24,TEXT('All Solo Adjustments Source'!F21,"M:SS"),TEXT('All Solo Adjustments Source'!F21,"H:MM:SS"))</f>
        <v>0:00</v>
      </c>
      <c r="D20" s="53" t="str">
        <f>IF('All Solo Adjustments Source'!J21&lt;1/24,TEXT('All Solo Adjustments Source'!J21,"M:SS"),TEXT('All Solo Adjustments Source'!J21,"H:MM:SS"))</f>
        <v>0:00</v>
      </c>
      <c r="E20" s="53" t="str">
        <f>IF('All Solo Adjustments Source'!N21&lt;1/24,TEXT('All Solo Adjustments Source'!N21,"M:SS"),TEXT('All Solo Adjustments Source'!N21,"H:MM:SS"))</f>
        <v>0:00</v>
      </c>
      <c r="F20" s="53" t="str">
        <f>IF('All Solo Adjustments Source'!R21&lt;1/24,TEXT('All Solo Adjustments Source'!R21,"M:SS"),TEXT('All Solo Adjustments Source'!R21,"H:MM:SS"))</f>
        <v>0:00</v>
      </c>
      <c r="G20" s="53" t="str">
        <f>IF('All Solo Adjustments Source'!V21&lt;1/24,TEXT('All Solo Adjustments Source'!V21,"M:SS"),TEXT('All Solo Adjustments Source'!V21,"H:MM:SS"))</f>
        <v>0:00</v>
      </c>
      <c r="H20" s="52" t="str">
        <f>IF('All Solo Adjustments Source'!C21&lt;1/24,TEXT('All Solo Adjustments Source'!C21,"M:SS"),TEXT('All Solo Adjustments Source'!C21,"H:MM:SS"))</f>
        <v>2:31</v>
      </c>
      <c r="I20" s="52" t="str">
        <f>IF('All Solo Adjustments Source'!G21&lt;1/24,TEXT('All Solo Adjustments Source'!G21,"M:SS"),TEXT('All Solo Adjustments Source'!G21,"H:MM:SS"))</f>
        <v>3:47</v>
      </c>
      <c r="J20" s="52" t="str">
        <f>IF('All Solo Adjustments Source'!K21&lt;1/24,TEXT('All Solo Adjustments Source'!K21,"M:SS"),TEXT('All Solo Adjustments Source'!K21,"H:MM:SS"))</f>
        <v>6:22</v>
      </c>
      <c r="K20" s="52" t="str">
        <f>IF('All Solo Adjustments Source'!O21&lt;1/24,TEXT('All Solo Adjustments Source'!O21,"M:SS"),TEXT('All Solo Adjustments Source'!O21,"H:MM:SS"))</f>
        <v>7:40</v>
      </c>
      <c r="L20" s="52" t="str">
        <f>IF('All Solo Adjustments Source'!S21&lt;1/24,TEXT('All Solo Adjustments Source'!S21,"M:SS"),TEXT('All Solo Adjustments Source'!S21,"H:MM:SS"))</f>
        <v>12:57</v>
      </c>
      <c r="M20" s="52" t="str">
        <f>IF('All Solo Adjustments Source'!W21&lt;1/24,TEXT('All Solo Adjustments Source'!W21,"M:SS"),TEXT('All Solo Adjustments Source'!W21,"H:MM:SS"))</f>
        <v>26:50</v>
      </c>
    </row>
    <row r="21" spans="1:13" hidden="1" x14ac:dyDescent="0.25">
      <c r="A21" s="17">
        <f>'All Solo Adjustments Source'!A22</f>
        <v>28</v>
      </c>
      <c r="B21" s="53" t="str">
        <f>IF('All Solo Adjustments Source'!B22&lt;1/24,TEXT('All Solo Adjustments Source'!B22,"M:SS"),TEXT('All Solo Adjustments Source'!B22,"H:MM:SS"))</f>
        <v>0:00</v>
      </c>
      <c r="C21" s="53" t="str">
        <f>IF('All Solo Adjustments Source'!F22&lt;1/24,TEXT('All Solo Adjustments Source'!F22,"M:SS"),TEXT('All Solo Adjustments Source'!F22,"H:MM:SS"))</f>
        <v>0:00</v>
      </c>
      <c r="D21" s="53" t="str">
        <f>IF('All Solo Adjustments Source'!J22&lt;1/24,TEXT('All Solo Adjustments Source'!J22,"M:SS"),TEXT('All Solo Adjustments Source'!J22,"H:MM:SS"))</f>
        <v>0:00</v>
      </c>
      <c r="E21" s="53" t="str">
        <f>IF('All Solo Adjustments Source'!N22&lt;1/24,TEXT('All Solo Adjustments Source'!N22,"M:SS"),TEXT('All Solo Adjustments Source'!N22,"H:MM:SS"))</f>
        <v>0:00</v>
      </c>
      <c r="F21" s="53" t="str">
        <f>IF('All Solo Adjustments Source'!R22&lt;1/24,TEXT('All Solo Adjustments Source'!R22,"M:SS"),TEXT('All Solo Adjustments Source'!R22,"H:MM:SS"))</f>
        <v>0:00</v>
      </c>
      <c r="G21" s="53" t="str">
        <f>IF('All Solo Adjustments Source'!V22&lt;1/24,TEXT('All Solo Adjustments Source'!V22,"M:SS"),TEXT('All Solo Adjustments Source'!V22,"H:MM:SS"))</f>
        <v>0:00</v>
      </c>
      <c r="H21" s="52" t="str">
        <f>IF('All Solo Adjustments Source'!C22&lt;1/24,TEXT('All Solo Adjustments Source'!C22,"M:SS"),TEXT('All Solo Adjustments Source'!C22,"H:MM:SS"))</f>
        <v>2:31</v>
      </c>
      <c r="I21" s="52" t="str">
        <f>IF('All Solo Adjustments Source'!G22&lt;1/24,TEXT('All Solo Adjustments Source'!G22,"M:SS"),TEXT('All Solo Adjustments Source'!G22,"H:MM:SS"))</f>
        <v>3:47</v>
      </c>
      <c r="J21" s="52" t="str">
        <f>IF('All Solo Adjustments Source'!K22&lt;1/24,TEXT('All Solo Adjustments Source'!K22,"M:SS"),TEXT('All Solo Adjustments Source'!K22,"H:MM:SS"))</f>
        <v>6:22</v>
      </c>
      <c r="K21" s="52" t="str">
        <f>IF('All Solo Adjustments Source'!O22&lt;1/24,TEXT('All Solo Adjustments Source'!O22,"M:SS"),TEXT('All Solo Adjustments Source'!O22,"H:MM:SS"))</f>
        <v>7:40</v>
      </c>
      <c r="L21" s="52" t="str">
        <f>IF('All Solo Adjustments Source'!S22&lt;1/24,TEXT('All Solo Adjustments Source'!S22,"M:SS"),TEXT('All Solo Adjustments Source'!S22,"H:MM:SS"))</f>
        <v>12:57</v>
      </c>
      <c r="M21" s="52" t="str">
        <f>IF('All Solo Adjustments Source'!W22&lt;1/24,TEXT('All Solo Adjustments Source'!W22,"M:SS"),TEXT('All Solo Adjustments Source'!W22,"H:MM:SS"))</f>
        <v>26:50</v>
      </c>
    </row>
    <row r="22" spans="1:13" hidden="1" x14ac:dyDescent="0.25">
      <c r="A22" s="17">
        <f>'All Solo Adjustments Source'!A23</f>
        <v>29</v>
      </c>
      <c r="B22" s="53" t="str">
        <f>IF('All Solo Adjustments Source'!B23&lt;1/24,TEXT('All Solo Adjustments Source'!B23,"M:SS"),TEXT('All Solo Adjustments Source'!B23,"H:MM:SS"))</f>
        <v>0:00</v>
      </c>
      <c r="C22" s="53" t="str">
        <f>IF('All Solo Adjustments Source'!F23&lt;1/24,TEXT('All Solo Adjustments Source'!F23,"M:SS"),TEXT('All Solo Adjustments Source'!F23,"H:MM:SS"))</f>
        <v>0:00</v>
      </c>
      <c r="D22" s="53" t="str">
        <f>IF('All Solo Adjustments Source'!J23&lt;1/24,TEXT('All Solo Adjustments Source'!J23,"M:SS"),TEXT('All Solo Adjustments Source'!J23,"H:MM:SS"))</f>
        <v>0:00</v>
      </c>
      <c r="E22" s="53" t="str">
        <f>IF('All Solo Adjustments Source'!N23&lt;1/24,TEXT('All Solo Adjustments Source'!N23,"M:SS"),TEXT('All Solo Adjustments Source'!N23,"H:MM:SS"))</f>
        <v>0:00</v>
      </c>
      <c r="F22" s="53" t="str">
        <f>IF('All Solo Adjustments Source'!R23&lt;1/24,TEXT('All Solo Adjustments Source'!R23,"M:SS"),TEXT('All Solo Adjustments Source'!R23,"H:MM:SS"))</f>
        <v>0:00</v>
      </c>
      <c r="G22" s="53" t="str">
        <f>IF('All Solo Adjustments Source'!V23&lt;1/24,TEXT('All Solo Adjustments Source'!V23,"M:SS"),TEXT('All Solo Adjustments Source'!V23,"H:MM:SS"))</f>
        <v>0:00</v>
      </c>
      <c r="H22" s="52" t="str">
        <f>IF('All Solo Adjustments Source'!C23&lt;1/24,TEXT('All Solo Adjustments Source'!C23,"M:SS"),TEXT('All Solo Adjustments Source'!C23,"H:MM:SS"))</f>
        <v>2:31</v>
      </c>
      <c r="I22" s="52" t="str">
        <f>IF('All Solo Adjustments Source'!G23&lt;1/24,TEXT('All Solo Adjustments Source'!G23,"M:SS"),TEXT('All Solo Adjustments Source'!G23,"H:MM:SS"))</f>
        <v>3:47</v>
      </c>
      <c r="J22" s="52" t="str">
        <f>IF('All Solo Adjustments Source'!K23&lt;1/24,TEXT('All Solo Adjustments Source'!K23,"M:SS"),TEXT('All Solo Adjustments Source'!K23,"H:MM:SS"))</f>
        <v>6:22</v>
      </c>
      <c r="K22" s="52" t="str">
        <f>IF('All Solo Adjustments Source'!O23&lt;1/24,TEXT('All Solo Adjustments Source'!O23,"M:SS"),TEXT('All Solo Adjustments Source'!O23,"H:MM:SS"))</f>
        <v>7:40</v>
      </c>
      <c r="L22" s="52" t="str">
        <f>IF('All Solo Adjustments Source'!S23&lt;1/24,TEXT('All Solo Adjustments Source'!S23,"M:SS"),TEXT('All Solo Adjustments Source'!S23,"H:MM:SS"))</f>
        <v>12:57</v>
      </c>
      <c r="M22" s="52" t="str">
        <f>IF('All Solo Adjustments Source'!W23&lt;1/24,TEXT('All Solo Adjustments Source'!W23,"M:SS"),TEXT('All Solo Adjustments Source'!W23,"H:MM:SS"))</f>
        <v>26:50</v>
      </c>
    </row>
    <row r="23" spans="1:13" hidden="1" x14ac:dyDescent="0.25">
      <c r="A23" s="17">
        <f>'All Solo Adjustments Source'!A24</f>
        <v>30</v>
      </c>
      <c r="B23" s="53" t="str">
        <f>IF('All Solo Adjustments Source'!B24&lt;1/24,TEXT('All Solo Adjustments Source'!B24,"M:SS"),TEXT('All Solo Adjustments Source'!B24,"H:MM:SS"))</f>
        <v>0:00</v>
      </c>
      <c r="C23" s="53" t="str">
        <f>IF('All Solo Adjustments Source'!F24&lt;1/24,TEXT('All Solo Adjustments Source'!F24,"M:SS"),TEXT('All Solo Adjustments Source'!F24,"H:MM:SS"))</f>
        <v>0:00</v>
      </c>
      <c r="D23" s="53" t="str">
        <f>IF('All Solo Adjustments Source'!J24&lt;1/24,TEXT('All Solo Adjustments Source'!J24,"M:SS"),TEXT('All Solo Adjustments Source'!J24,"H:MM:SS"))</f>
        <v>0:00</v>
      </c>
      <c r="E23" s="53" t="str">
        <f>IF('All Solo Adjustments Source'!N24&lt;1/24,TEXT('All Solo Adjustments Source'!N24,"M:SS"),TEXT('All Solo Adjustments Source'!N24,"H:MM:SS"))</f>
        <v>0:00</v>
      </c>
      <c r="F23" s="53" t="str">
        <f>IF('All Solo Adjustments Source'!R24&lt;1/24,TEXT('All Solo Adjustments Source'!R24,"M:SS"),TEXT('All Solo Adjustments Source'!R24,"H:MM:SS"))</f>
        <v>0:00</v>
      </c>
      <c r="G23" s="53" t="str">
        <f>IF('All Solo Adjustments Source'!V24&lt;1/24,TEXT('All Solo Adjustments Source'!V24,"M:SS"),TEXT('All Solo Adjustments Source'!V24,"H:MM:SS"))</f>
        <v>0:00</v>
      </c>
      <c r="H23" s="52" t="str">
        <f>IF('All Solo Adjustments Source'!C24&lt;1/24,TEXT('All Solo Adjustments Source'!C24,"M:SS"),TEXT('All Solo Adjustments Source'!C24,"H:MM:SS"))</f>
        <v>2:31</v>
      </c>
      <c r="I23" s="52" t="str">
        <f>IF('All Solo Adjustments Source'!G24&lt;1/24,TEXT('All Solo Adjustments Source'!G24,"M:SS"),TEXT('All Solo Adjustments Source'!G24,"H:MM:SS"))</f>
        <v>3:47</v>
      </c>
      <c r="J23" s="52" t="str">
        <f>IF('All Solo Adjustments Source'!K24&lt;1/24,TEXT('All Solo Adjustments Source'!K24,"M:SS"),TEXT('All Solo Adjustments Source'!K24,"H:MM:SS"))</f>
        <v>6:22</v>
      </c>
      <c r="K23" s="52" t="str">
        <f>IF('All Solo Adjustments Source'!O24&lt;1/24,TEXT('All Solo Adjustments Source'!O24,"M:SS"),TEXT('All Solo Adjustments Source'!O24,"H:MM:SS"))</f>
        <v>7:40</v>
      </c>
      <c r="L23" s="52" t="str">
        <f>IF('All Solo Adjustments Source'!S24&lt;1/24,TEXT('All Solo Adjustments Source'!S24,"M:SS"),TEXT('All Solo Adjustments Source'!S24,"H:MM:SS"))</f>
        <v>12:57</v>
      </c>
      <c r="M23" s="52" t="str">
        <f>IF('All Solo Adjustments Source'!W24&lt;1/24,TEXT('All Solo Adjustments Source'!W24,"M:SS"),TEXT('All Solo Adjustments Source'!W24,"H:MM:SS"))</f>
        <v>26:50</v>
      </c>
    </row>
    <row r="24" spans="1:13" hidden="1" x14ac:dyDescent="0.25">
      <c r="A24" s="17">
        <f>'All Solo Adjustments Source'!A25</f>
        <v>31</v>
      </c>
      <c r="B24" s="53" t="str">
        <f>IF('All Solo Adjustments Source'!B25&lt;1/24,TEXT('All Solo Adjustments Source'!B25,"M:SS"),TEXT('All Solo Adjustments Source'!B25,"H:MM:SS"))</f>
        <v>0:00</v>
      </c>
      <c r="C24" s="53" t="str">
        <f>IF('All Solo Adjustments Source'!F25&lt;1/24,TEXT('All Solo Adjustments Source'!F25,"M:SS"),TEXT('All Solo Adjustments Source'!F25,"H:MM:SS"))</f>
        <v>0:00</v>
      </c>
      <c r="D24" s="53" t="str">
        <f>IF('All Solo Adjustments Source'!J25&lt;1/24,TEXT('All Solo Adjustments Source'!J25,"M:SS"),TEXT('All Solo Adjustments Source'!J25,"H:MM:SS"))</f>
        <v>0:00</v>
      </c>
      <c r="E24" s="53" t="str">
        <f>IF('All Solo Adjustments Source'!N25&lt;1/24,TEXT('All Solo Adjustments Source'!N25,"M:SS"),TEXT('All Solo Adjustments Source'!N25,"H:MM:SS"))</f>
        <v>0:00</v>
      </c>
      <c r="F24" s="53" t="str">
        <f>IF('All Solo Adjustments Source'!R25&lt;1/24,TEXT('All Solo Adjustments Source'!R25,"M:SS"),TEXT('All Solo Adjustments Source'!R25,"H:MM:SS"))</f>
        <v>0:00</v>
      </c>
      <c r="G24" s="53" t="str">
        <f>IF('All Solo Adjustments Source'!V25&lt;1/24,TEXT('All Solo Adjustments Source'!V25,"M:SS"),TEXT('All Solo Adjustments Source'!V25,"H:MM:SS"))</f>
        <v>0:00</v>
      </c>
      <c r="H24" s="52" t="str">
        <f>IF('All Solo Adjustments Source'!C25&lt;1/24,TEXT('All Solo Adjustments Source'!C25,"M:SS"),TEXT('All Solo Adjustments Source'!C25,"H:MM:SS"))</f>
        <v>2:31</v>
      </c>
      <c r="I24" s="52" t="str">
        <f>IF('All Solo Adjustments Source'!G25&lt;1/24,TEXT('All Solo Adjustments Source'!G25,"M:SS"),TEXT('All Solo Adjustments Source'!G25,"H:MM:SS"))</f>
        <v>3:47</v>
      </c>
      <c r="J24" s="52" t="str">
        <f>IF('All Solo Adjustments Source'!K25&lt;1/24,TEXT('All Solo Adjustments Source'!K25,"M:SS"),TEXT('All Solo Adjustments Source'!K25,"H:MM:SS"))</f>
        <v>6:22</v>
      </c>
      <c r="K24" s="52" t="str">
        <f>IF('All Solo Adjustments Source'!O25&lt;1/24,TEXT('All Solo Adjustments Source'!O25,"M:SS"),TEXT('All Solo Adjustments Source'!O25,"H:MM:SS"))</f>
        <v>7:40</v>
      </c>
      <c r="L24" s="52" t="str">
        <f>IF('All Solo Adjustments Source'!S25&lt;1/24,TEXT('All Solo Adjustments Source'!S25,"M:SS"),TEXT('All Solo Adjustments Source'!S25,"H:MM:SS"))</f>
        <v>12:57</v>
      </c>
      <c r="M24" s="52" t="str">
        <f>IF('All Solo Adjustments Source'!W25&lt;1/24,TEXT('All Solo Adjustments Source'!W25,"M:SS"),TEXT('All Solo Adjustments Source'!W25,"H:MM:SS"))</f>
        <v>26:50</v>
      </c>
    </row>
    <row r="25" spans="1:13" hidden="1" x14ac:dyDescent="0.25">
      <c r="A25" s="17">
        <f>'All Solo Adjustments Source'!A26</f>
        <v>32</v>
      </c>
      <c r="B25" s="53" t="str">
        <f>IF('All Solo Adjustments Source'!B26&lt;1/24,TEXT('All Solo Adjustments Source'!B26,"M:SS"),TEXT('All Solo Adjustments Source'!B26,"H:MM:SS"))</f>
        <v>0:00</v>
      </c>
      <c r="C25" s="53" t="str">
        <f>IF('All Solo Adjustments Source'!F26&lt;1/24,TEXT('All Solo Adjustments Source'!F26,"M:SS"),TEXT('All Solo Adjustments Source'!F26,"H:MM:SS"))</f>
        <v>0:00</v>
      </c>
      <c r="D25" s="53" t="str">
        <f>IF('All Solo Adjustments Source'!J26&lt;1/24,TEXT('All Solo Adjustments Source'!J26,"M:SS"),TEXT('All Solo Adjustments Source'!J26,"H:MM:SS"))</f>
        <v>0:00</v>
      </c>
      <c r="E25" s="53" t="str">
        <f>IF('All Solo Adjustments Source'!N26&lt;1/24,TEXT('All Solo Adjustments Source'!N26,"M:SS"),TEXT('All Solo Adjustments Source'!N26,"H:MM:SS"))</f>
        <v>0:00</v>
      </c>
      <c r="F25" s="53" t="str">
        <f>IF('All Solo Adjustments Source'!R26&lt;1/24,TEXT('All Solo Adjustments Source'!R26,"M:SS"),TEXT('All Solo Adjustments Source'!R26,"H:MM:SS"))</f>
        <v>0:00</v>
      </c>
      <c r="G25" s="53" t="str">
        <f>IF('All Solo Adjustments Source'!V26&lt;1/24,TEXT('All Solo Adjustments Source'!V26,"M:SS"),TEXT('All Solo Adjustments Source'!V26,"H:MM:SS"))</f>
        <v>0:00</v>
      </c>
      <c r="H25" s="52" t="str">
        <f>IF('All Solo Adjustments Source'!C26&lt;1/24,TEXT('All Solo Adjustments Source'!C26,"M:SS"),TEXT('All Solo Adjustments Source'!C26,"H:MM:SS"))</f>
        <v>2:31</v>
      </c>
      <c r="I25" s="52" t="str">
        <f>IF('All Solo Adjustments Source'!G26&lt;1/24,TEXT('All Solo Adjustments Source'!G26,"M:SS"),TEXT('All Solo Adjustments Source'!G26,"H:MM:SS"))</f>
        <v>3:47</v>
      </c>
      <c r="J25" s="52" t="str">
        <f>IF('All Solo Adjustments Source'!K26&lt;1/24,TEXT('All Solo Adjustments Source'!K26,"M:SS"),TEXT('All Solo Adjustments Source'!K26,"H:MM:SS"))</f>
        <v>6:22</v>
      </c>
      <c r="K25" s="52" t="str">
        <f>IF('All Solo Adjustments Source'!O26&lt;1/24,TEXT('All Solo Adjustments Source'!O26,"M:SS"),TEXT('All Solo Adjustments Source'!O26,"H:MM:SS"))</f>
        <v>7:40</v>
      </c>
      <c r="L25" s="52" t="str">
        <f>IF('All Solo Adjustments Source'!S26&lt;1/24,TEXT('All Solo Adjustments Source'!S26,"M:SS"),TEXT('All Solo Adjustments Source'!S26,"H:MM:SS"))</f>
        <v>12:57</v>
      </c>
      <c r="M25" s="52" t="str">
        <f>IF('All Solo Adjustments Source'!W26&lt;1/24,TEXT('All Solo Adjustments Source'!W26,"M:SS"),TEXT('All Solo Adjustments Source'!W26,"H:MM:SS"))</f>
        <v>26:50</v>
      </c>
    </row>
    <row r="26" spans="1:13" hidden="1" x14ac:dyDescent="0.25">
      <c r="A26" s="17">
        <f>'All Solo Adjustments Source'!A27</f>
        <v>33</v>
      </c>
      <c r="B26" s="53" t="str">
        <f>IF('All Solo Adjustments Source'!B27&lt;1/24,TEXT('All Solo Adjustments Source'!B27,"M:SS"),TEXT('All Solo Adjustments Source'!B27,"H:MM:SS"))</f>
        <v>0:00</v>
      </c>
      <c r="C26" s="53" t="str">
        <f>IF('All Solo Adjustments Source'!F27&lt;1/24,TEXT('All Solo Adjustments Source'!F27,"M:SS"),TEXT('All Solo Adjustments Source'!F27,"H:MM:SS"))</f>
        <v>0:00</v>
      </c>
      <c r="D26" s="53" t="str">
        <f>IF('All Solo Adjustments Source'!J27&lt;1/24,TEXT('All Solo Adjustments Source'!J27,"M:SS"),TEXT('All Solo Adjustments Source'!J27,"H:MM:SS"))</f>
        <v>0:00</v>
      </c>
      <c r="E26" s="53" t="str">
        <f>IF('All Solo Adjustments Source'!N27&lt;1/24,TEXT('All Solo Adjustments Source'!N27,"M:SS"),TEXT('All Solo Adjustments Source'!N27,"H:MM:SS"))</f>
        <v>0:00</v>
      </c>
      <c r="F26" s="53" t="str">
        <f>IF('All Solo Adjustments Source'!R27&lt;1/24,TEXT('All Solo Adjustments Source'!R27,"M:SS"),TEXT('All Solo Adjustments Source'!R27,"H:MM:SS"))</f>
        <v>0:00</v>
      </c>
      <c r="G26" s="53" t="str">
        <f>IF('All Solo Adjustments Source'!V27&lt;1/24,TEXT('All Solo Adjustments Source'!V27,"M:SS"),TEXT('All Solo Adjustments Source'!V27,"H:MM:SS"))</f>
        <v>0:00</v>
      </c>
      <c r="H26" s="52" t="str">
        <f>IF('All Solo Adjustments Source'!C27&lt;1/24,TEXT('All Solo Adjustments Source'!C27,"M:SS"),TEXT('All Solo Adjustments Source'!C27,"H:MM:SS"))</f>
        <v>2:31</v>
      </c>
      <c r="I26" s="52" t="str">
        <f>IF('All Solo Adjustments Source'!G27&lt;1/24,TEXT('All Solo Adjustments Source'!G27,"M:SS"),TEXT('All Solo Adjustments Source'!G27,"H:MM:SS"))</f>
        <v>3:47</v>
      </c>
      <c r="J26" s="52" t="str">
        <f>IF('All Solo Adjustments Source'!K27&lt;1/24,TEXT('All Solo Adjustments Source'!K27,"M:SS"),TEXT('All Solo Adjustments Source'!K27,"H:MM:SS"))</f>
        <v>6:22</v>
      </c>
      <c r="K26" s="52" t="str">
        <f>IF('All Solo Adjustments Source'!O27&lt;1/24,TEXT('All Solo Adjustments Source'!O27,"M:SS"),TEXT('All Solo Adjustments Source'!O27,"H:MM:SS"))</f>
        <v>7:40</v>
      </c>
      <c r="L26" s="52" t="str">
        <f>IF('All Solo Adjustments Source'!S27&lt;1/24,TEXT('All Solo Adjustments Source'!S27,"M:SS"),TEXT('All Solo Adjustments Source'!S27,"H:MM:SS"))</f>
        <v>12:57</v>
      </c>
      <c r="M26" s="52" t="str">
        <f>IF('All Solo Adjustments Source'!W27&lt;1/24,TEXT('All Solo Adjustments Source'!W27,"M:SS"),TEXT('All Solo Adjustments Source'!W27,"H:MM:SS"))</f>
        <v>26:50</v>
      </c>
    </row>
    <row r="27" spans="1:13" hidden="1" x14ac:dyDescent="0.25">
      <c r="A27" s="17">
        <f>'All Solo Adjustments Source'!A28</f>
        <v>34</v>
      </c>
      <c r="B27" s="53" t="str">
        <f>IF('All Solo Adjustments Source'!B28&lt;1/24,TEXT('All Solo Adjustments Source'!B28,"M:SS"),TEXT('All Solo Adjustments Source'!B28,"H:MM:SS"))</f>
        <v>0:00</v>
      </c>
      <c r="C27" s="53" t="str">
        <f>IF('All Solo Adjustments Source'!F28&lt;1/24,TEXT('All Solo Adjustments Source'!F28,"M:SS"),TEXT('All Solo Adjustments Source'!F28,"H:MM:SS"))</f>
        <v>0:00</v>
      </c>
      <c r="D27" s="53" t="str">
        <f>IF('All Solo Adjustments Source'!J28&lt;1/24,TEXT('All Solo Adjustments Source'!J28,"M:SS"),TEXT('All Solo Adjustments Source'!J28,"H:MM:SS"))</f>
        <v>0:00</v>
      </c>
      <c r="E27" s="53" t="str">
        <f>IF('All Solo Adjustments Source'!N28&lt;1/24,TEXT('All Solo Adjustments Source'!N28,"M:SS"),TEXT('All Solo Adjustments Source'!N28,"H:MM:SS"))</f>
        <v>0:00</v>
      </c>
      <c r="F27" s="53" t="str">
        <f>IF('All Solo Adjustments Source'!R28&lt;1/24,TEXT('All Solo Adjustments Source'!R28,"M:SS"),TEXT('All Solo Adjustments Source'!R28,"H:MM:SS"))</f>
        <v>0:00</v>
      </c>
      <c r="G27" s="53" t="str">
        <f>IF('All Solo Adjustments Source'!V28&lt;1/24,TEXT('All Solo Adjustments Source'!V28,"M:SS"),TEXT('All Solo Adjustments Source'!V28,"H:MM:SS"))</f>
        <v>0:00</v>
      </c>
      <c r="H27" s="52" t="str">
        <f>IF('All Solo Adjustments Source'!C28&lt;1/24,TEXT('All Solo Adjustments Source'!C28,"M:SS"),TEXT('All Solo Adjustments Source'!C28,"H:MM:SS"))</f>
        <v>2:31</v>
      </c>
      <c r="I27" s="52" t="str">
        <f>IF('All Solo Adjustments Source'!G28&lt;1/24,TEXT('All Solo Adjustments Source'!G28,"M:SS"),TEXT('All Solo Adjustments Source'!G28,"H:MM:SS"))</f>
        <v>3:47</v>
      </c>
      <c r="J27" s="52" t="str">
        <f>IF('All Solo Adjustments Source'!K28&lt;1/24,TEXT('All Solo Adjustments Source'!K28,"M:SS"),TEXT('All Solo Adjustments Source'!K28,"H:MM:SS"))</f>
        <v>6:22</v>
      </c>
      <c r="K27" s="52" t="str">
        <f>IF('All Solo Adjustments Source'!O28&lt;1/24,TEXT('All Solo Adjustments Source'!O28,"M:SS"),TEXT('All Solo Adjustments Source'!O28,"H:MM:SS"))</f>
        <v>7:40</v>
      </c>
      <c r="L27" s="52" t="str">
        <f>IF('All Solo Adjustments Source'!S28&lt;1/24,TEXT('All Solo Adjustments Source'!S28,"M:SS"),TEXT('All Solo Adjustments Source'!S28,"H:MM:SS"))</f>
        <v>12:57</v>
      </c>
      <c r="M27" s="52" t="str">
        <f>IF('All Solo Adjustments Source'!W28&lt;1/24,TEXT('All Solo Adjustments Source'!W28,"M:SS"),TEXT('All Solo Adjustments Source'!W28,"H:MM:SS"))</f>
        <v>26:50</v>
      </c>
    </row>
    <row r="28" spans="1:13" hidden="1" x14ac:dyDescent="0.25">
      <c r="A28" s="17">
        <f>'All Solo Adjustments Source'!A29</f>
        <v>35</v>
      </c>
      <c r="B28" s="53" t="str">
        <f>IF('All Solo Adjustments Source'!B29&lt;1/24,TEXT('All Solo Adjustments Source'!B29,"M:SS"),TEXT('All Solo Adjustments Source'!B29,"H:MM:SS"))</f>
        <v>0:00</v>
      </c>
      <c r="C28" s="53" t="str">
        <f>IF('All Solo Adjustments Source'!F29&lt;1/24,TEXT('All Solo Adjustments Source'!F29,"M:SS"),TEXT('All Solo Adjustments Source'!F29,"H:MM:SS"))</f>
        <v>0:00</v>
      </c>
      <c r="D28" s="53" t="str">
        <f>IF('All Solo Adjustments Source'!J29&lt;1/24,TEXT('All Solo Adjustments Source'!J29,"M:SS"),TEXT('All Solo Adjustments Source'!J29,"H:MM:SS"))</f>
        <v>0:00</v>
      </c>
      <c r="E28" s="53" t="str">
        <f>IF('All Solo Adjustments Source'!N29&lt;1/24,TEXT('All Solo Adjustments Source'!N29,"M:SS"),TEXT('All Solo Adjustments Source'!N29,"H:MM:SS"))</f>
        <v>0:00</v>
      </c>
      <c r="F28" s="53" t="str">
        <f>IF('All Solo Adjustments Source'!R29&lt;1/24,TEXT('All Solo Adjustments Source'!R29,"M:SS"),TEXT('All Solo Adjustments Source'!R29,"H:MM:SS"))</f>
        <v>0:00</v>
      </c>
      <c r="G28" s="53" t="str">
        <f>IF('All Solo Adjustments Source'!V29&lt;1/24,TEXT('All Solo Adjustments Source'!V29,"M:SS"),TEXT('All Solo Adjustments Source'!V29,"H:MM:SS"))</f>
        <v>0:00</v>
      </c>
      <c r="H28" s="52" t="str">
        <f>IF('All Solo Adjustments Source'!C29&lt;1/24,TEXT('All Solo Adjustments Source'!C29,"M:SS"),TEXT('All Solo Adjustments Source'!C29,"H:MM:SS"))</f>
        <v>2:31</v>
      </c>
      <c r="I28" s="52" t="str">
        <f>IF('All Solo Adjustments Source'!G29&lt;1/24,TEXT('All Solo Adjustments Source'!G29,"M:SS"),TEXT('All Solo Adjustments Source'!G29,"H:MM:SS"))</f>
        <v>3:47</v>
      </c>
      <c r="J28" s="52" t="str">
        <f>IF('All Solo Adjustments Source'!K29&lt;1/24,TEXT('All Solo Adjustments Source'!K29,"M:SS"),TEXT('All Solo Adjustments Source'!K29,"H:MM:SS"))</f>
        <v>6:22</v>
      </c>
      <c r="K28" s="52" t="str">
        <f>IF('All Solo Adjustments Source'!O29&lt;1/24,TEXT('All Solo Adjustments Source'!O29,"M:SS"),TEXT('All Solo Adjustments Source'!O29,"H:MM:SS"))</f>
        <v>7:40</v>
      </c>
      <c r="L28" s="52" t="str">
        <f>IF('All Solo Adjustments Source'!S29&lt;1/24,TEXT('All Solo Adjustments Source'!S29,"M:SS"),TEXT('All Solo Adjustments Source'!S29,"H:MM:SS"))</f>
        <v>12:57</v>
      </c>
      <c r="M28" s="52" t="str">
        <f>IF('All Solo Adjustments Source'!W29&lt;1/24,TEXT('All Solo Adjustments Source'!W29,"M:SS"),TEXT('All Solo Adjustments Source'!W29,"H:MM:SS"))</f>
        <v>26:50</v>
      </c>
    </row>
    <row r="29" spans="1:13" hidden="1" x14ac:dyDescent="0.25">
      <c r="A29" s="17">
        <f>'All Solo Adjustments Source'!A30</f>
        <v>36</v>
      </c>
      <c r="B29" s="53" t="str">
        <f>IF('All Solo Adjustments Source'!B30&lt;1/24,TEXT('All Solo Adjustments Source'!B30,"M:SS"),TEXT('All Solo Adjustments Source'!B30,"H:MM:SS"))</f>
        <v>0:00</v>
      </c>
      <c r="C29" s="53" t="str">
        <f>IF('All Solo Adjustments Source'!F30&lt;1/24,TEXT('All Solo Adjustments Source'!F30,"M:SS"),TEXT('All Solo Adjustments Source'!F30,"H:MM:SS"))</f>
        <v>0:00</v>
      </c>
      <c r="D29" s="53" t="str">
        <f>IF('All Solo Adjustments Source'!J30&lt;1/24,TEXT('All Solo Adjustments Source'!J30,"M:SS"),TEXT('All Solo Adjustments Source'!J30,"H:MM:SS"))</f>
        <v>0:00</v>
      </c>
      <c r="E29" s="53" t="str">
        <f>IF('All Solo Adjustments Source'!N30&lt;1/24,TEXT('All Solo Adjustments Source'!N30,"M:SS"),TEXT('All Solo Adjustments Source'!N30,"H:MM:SS"))</f>
        <v>0:00</v>
      </c>
      <c r="F29" s="53" t="str">
        <f>IF('All Solo Adjustments Source'!R30&lt;1/24,TEXT('All Solo Adjustments Source'!R30,"M:SS"),TEXT('All Solo Adjustments Source'!R30,"H:MM:SS"))</f>
        <v>0:00</v>
      </c>
      <c r="G29" s="53" t="str">
        <f>IF('All Solo Adjustments Source'!V30&lt;1/24,TEXT('All Solo Adjustments Source'!V30,"M:SS"),TEXT('All Solo Adjustments Source'!V30,"H:MM:SS"))</f>
        <v>0:00</v>
      </c>
      <c r="H29" s="52" t="str">
        <f>IF('All Solo Adjustments Source'!C30&lt;1/24,TEXT('All Solo Adjustments Source'!C30,"M:SS"),TEXT('All Solo Adjustments Source'!C30,"H:MM:SS"))</f>
        <v>2:31</v>
      </c>
      <c r="I29" s="52" t="str">
        <f>IF('All Solo Adjustments Source'!G30&lt;1/24,TEXT('All Solo Adjustments Source'!G30,"M:SS"),TEXT('All Solo Adjustments Source'!G30,"H:MM:SS"))</f>
        <v>3:47</v>
      </c>
      <c r="J29" s="52" t="str">
        <f>IF('All Solo Adjustments Source'!K30&lt;1/24,TEXT('All Solo Adjustments Source'!K30,"M:SS"),TEXT('All Solo Adjustments Source'!K30,"H:MM:SS"))</f>
        <v>6:22</v>
      </c>
      <c r="K29" s="52" t="str">
        <f>IF('All Solo Adjustments Source'!O30&lt;1/24,TEXT('All Solo Adjustments Source'!O30,"M:SS"),TEXT('All Solo Adjustments Source'!O30,"H:MM:SS"))</f>
        <v>7:40</v>
      </c>
      <c r="L29" s="52" t="str">
        <f>IF('All Solo Adjustments Source'!S30&lt;1/24,TEXT('All Solo Adjustments Source'!S30,"M:SS"),TEXT('All Solo Adjustments Source'!S30,"H:MM:SS"))</f>
        <v>12:57</v>
      </c>
      <c r="M29" s="52" t="str">
        <f>IF('All Solo Adjustments Source'!W30&lt;1/24,TEXT('All Solo Adjustments Source'!W30,"M:SS"),TEXT('All Solo Adjustments Source'!W30,"H:MM:SS"))</f>
        <v>26:50</v>
      </c>
    </row>
    <row r="30" spans="1:13" hidden="1" x14ac:dyDescent="0.25">
      <c r="A30" s="17">
        <f>'All Solo Adjustments Source'!A31</f>
        <v>37</v>
      </c>
      <c r="B30" s="53" t="str">
        <f>IF('All Solo Adjustments Source'!B31&lt;1/24,TEXT('All Solo Adjustments Source'!B31,"M:SS"),TEXT('All Solo Adjustments Source'!B31,"H:MM:SS"))</f>
        <v>0:00</v>
      </c>
      <c r="C30" s="53" t="str">
        <f>IF('All Solo Adjustments Source'!F31&lt;1/24,TEXT('All Solo Adjustments Source'!F31,"M:SS"),TEXT('All Solo Adjustments Source'!F31,"H:MM:SS"))</f>
        <v>0:00</v>
      </c>
      <c r="D30" s="53" t="str">
        <f>IF('All Solo Adjustments Source'!J31&lt;1/24,TEXT('All Solo Adjustments Source'!J31,"M:SS"),TEXT('All Solo Adjustments Source'!J31,"H:MM:SS"))</f>
        <v>0:00</v>
      </c>
      <c r="E30" s="53" t="str">
        <f>IF('All Solo Adjustments Source'!N31&lt;1/24,TEXT('All Solo Adjustments Source'!N31,"M:SS"),TEXT('All Solo Adjustments Source'!N31,"H:MM:SS"))</f>
        <v>0:00</v>
      </c>
      <c r="F30" s="53" t="str">
        <f>IF('All Solo Adjustments Source'!R31&lt;1/24,TEXT('All Solo Adjustments Source'!R31,"M:SS"),TEXT('All Solo Adjustments Source'!R31,"H:MM:SS"))</f>
        <v>0:00</v>
      </c>
      <c r="G30" s="53" t="str">
        <f>IF('All Solo Adjustments Source'!V31&lt;1/24,TEXT('All Solo Adjustments Source'!V31,"M:SS"),TEXT('All Solo Adjustments Source'!V31,"H:MM:SS"))</f>
        <v>0:00</v>
      </c>
      <c r="H30" s="52" t="str">
        <f>IF('All Solo Adjustments Source'!C31&lt;1/24,TEXT('All Solo Adjustments Source'!C31,"M:SS"),TEXT('All Solo Adjustments Source'!C31,"H:MM:SS"))</f>
        <v>2:31</v>
      </c>
      <c r="I30" s="52" t="str">
        <f>IF('All Solo Adjustments Source'!G31&lt;1/24,TEXT('All Solo Adjustments Source'!G31,"M:SS"),TEXT('All Solo Adjustments Source'!G31,"H:MM:SS"))</f>
        <v>3:47</v>
      </c>
      <c r="J30" s="52" t="str">
        <f>IF('All Solo Adjustments Source'!K31&lt;1/24,TEXT('All Solo Adjustments Source'!K31,"M:SS"),TEXT('All Solo Adjustments Source'!K31,"H:MM:SS"))</f>
        <v>6:22</v>
      </c>
      <c r="K30" s="52" t="str">
        <f>IF('All Solo Adjustments Source'!O31&lt;1/24,TEXT('All Solo Adjustments Source'!O31,"M:SS"),TEXT('All Solo Adjustments Source'!O31,"H:MM:SS"))</f>
        <v>7:40</v>
      </c>
      <c r="L30" s="52" t="str">
        <f>IF('All Solo Adjustments Source'!S31&lt;1/24,TEXT('All Solo Adjustments Source'!S31,"M:SS"),TEXT('All Solo Adjustments Source'!S31,"H:MM:SS"))</f>
        <v>12:57</v>
      </c>
      <c r="M30" s="52" t="str">
        <f>IF('All Solo Adjustments Source'!W31&lt;1/24,TEXT('All Solo Adjustments Source'!W31,"M:SS"),TEXT('All Solo Adjustments Source'!W31,"H:MM:SS"))</f>
        <v>26:50</v>
      </c>
    </row>
    <row r="31" spans="1:13" hidden="1" x14ac:dyDescent="0.25">
      <c r="A31" s="17">
        <f>'All Solo Adjustments Source'!A32</f>
        <v>38</v>
      </c>
      <c r="B31" s="53" t="str">
        <f>IF('All Solo Adjustments Source'!B32&lt;1/24,TEXT('All Solo Adjustments Source'!B32,"M:SS"),TEXT('All Solo Adjustments Source'!B32,"H:MM:SS"))</f>
        <v>0:00</v>
      </c>
      <c r="C31" s="53" t="str">
        <f>IF('All Solo Adjustments Source'!F32&lt;1/24,TEXT('All Solo Adjustments Source'!F32,"M:SS"),TEXT('All Solo Adjustments Source'!F32,"H:MM:SS"))</f>
        <v>0:00</v>
      </c>
      <c r="D31" s="53" t="str">
        <f>IF('All Solo Adjustments Source'!J32&lt;1/24,TEXT('All Solo Adjustments Source'!J32,"M:SS"),TEXT('All Solo Adjustments Source'!J32,"H:MM:SS"))</f>
        <v>0:00</v>
      </c>
      <c r="E31" s="53" t="str">
        <f>IF('All Solo Adjustments Source'!N32&lt;1/24,TEXT('All Solo Adjustments Source'!N32,"M:SS"),TEXT('All Solo Adjustments Source'!N32,"H:MM:SS"))</f>
        <v>0:00</v>
      </c>
      <c r="F31" s="53" t="str">
        <f>IF('All Solo Adjustments Source'!R32&lt;1/24,TEXT('All Solo Adjustments Source'!R32,"M:SS"),TEXT('All Solo Adjustments Source'!R32,"H:MM:SS"))</f>
        <v>0:00</v>
      </c>
      <c r="G31" s="53" t="str">
        <f>IF('All Solo Adjustments Source'!V32&lt;1/24,TEXT('All Solo Adjustments Source'!V32,"M:SS"),TEXT('All Solo Adjustments Source'!V32,"H:MM:SS"))</f>
        <v>0:00</v>
      </c>
      <c r="H31" s="52" t="str">
        <f>IF('All Solo Adjustments Source'!C32&lt;1/24,TEXT('All Solo Adjustments Source'!C32,"M:SS"),TEXT('All Solo Adjustments Source'!C32,"H:MM:SS"))</f>
        <v>2:31</v>
      </c>
      <c r="I31" s="52" t="str">
        <f>IF('All Solo Adjustments Source'!G32&lt;1/24,TEXT('All Solo Adjustments Source'!G32,"M:SS"),TEXT('All Solo Adjustments Source'!G32,"H:MM:SS"))</f>
        <v>3:47</v>
      </c>
      <c r="J31" s="52" t="str">
        <f>IF('All Solo Adjustments Source'!K32&lt;1/24,TEXT('All Solo Adjustments Source'!K32,"M:SS"),TEXT('All Solo Adjustments Source'!K32,"H:MM:SS"))</f>
        <v>6:22</v>
      </c>
      <c r="K31" s="52" t="str">
        <f>IF('All Solo Adjustments Source'!O32&lt;1/24,TEXT('All Solo Adjustments Source'!O32,"M:SS"),TEXT('All Solo Adjustments Source'!O32,"H:MM:SS"))</f>
        <v>7:40</v>
      </c>
      <c r="L31" s="52" t="str">
        <f>IF('All Solo Adjustments Source'!S32&lt;1/24,TEXT('All Solo Adjustments Source'!S32,"M:SS"),TEXT('All Solo Adjustments Source'!S32,"H:MM:SS"))</f>
        <v>12:57</v>
      </c>
      <c r="M31" s="52" t="str">
        <f>IF('All Solo Adjustments Source'!W32&lt;1/24,TEXT('All Solo Adjustments Source'!W32,"M:SS"),TEXT('All Solo Adjustments Source'!W32,"H:MM:SS"))</f>
        <v>26:50</v>
      </c>
    </row>
    <row r="32" spans="1:13" hidden="1" x14ac:dyDescent="0.25">
      <c r="A32" s="17">
        <f>'All Solo Adjustments Source'!A33</f>
        <v>39</v>
      </c>
      <c r="B32" s="53" t="str">
        <f>IF('All Solo Adjustments Source'!B33&lt;1/24,TEXT('All Solo Adjustments Source'!B33,"M:SS"),TEXT('All Solo Adjustments Source'!B33,"H:MM:SS"))</f>
        <v>0:00</v>
      </c>
      <c r="C32" s="53" t="str">
        <f>IF('All Solo Adjustments Source'!F33&lt;1/24,TEXT('All Solo Adjustments Source'!F33,"M:SS"),TEXT('All Solo Adjustments Source'!F33,"H:MM:SS"))</f>
        <v>0:00</v>
      </c>
      <c r="D32" s="53" t="str">
        <f>IF('All Solo Adjustments Source'!J33&lt;1/24,TEXT('All Solo Adjustments Source'!J33,"M:SS"),TEXT('All Solo Adjustments Source'!J33,"H:MM:SS"))</f>
        <v>0:00</v>
      </c>
      <c r="E32" s="53" t="str">
        <f>IF('All Solo Adjustments Source'!N33&lt;1/24,TEXT('All Solo Adjustments Source'!N33,"M:SS"),TEXT('All Solo Adjustments Source'!N33,"H:MM:SS"))</f>
        <v>0:00</v>
      </c>
      <c r="F32" s="53" t="str">
        <f>IF('All Solo Adjustments Source'!R33&lt;1/24,TEXT('All Solo Adjustments Source'!R33,"M:SS"),TEXT('All Solo Adjustments Source'!R33,"H:MM:SS"))</f>
        <v>0:00</v>
      </c>
      <c r="G32" s="53" t="str">
        <f>IF('All Solo Adjustments Source'!V33&lt;1/24,TEXT('All Solo Adjustments Source'!V33,"M:SS"),TEXT('All Solo Adjustments Source'!V33,"H:MM:SS"))</f>
        <v>0:00</v>
      </c>
      <c r="H32" s="52" t="str">
        <f>IF('All Solo Adjustments Source'!C33&lt;1/24,TEXT('All Solo Adjustments Source'!C33,"M:SS"),TEXT('All Solo Adjustments Source'!C33,"H:MM:SS"))</f>
        <v>2:31</v>
      </c>
      <c r="I32" s="52" t="str">
        <f>IF('All Solo Adjustments Source'!G33&lt;1/24,TEXT('All Solo Adjustments Source'!G33,"M:SS"),TEXT('All Solo Adjustments Source'!G33,"H:MM:SS"))</f>
        <v>3:47</v>
      </c>
      <c r="J32" s="52" t="str">
        <f>IF('All Solo Adjustments Source'!K33&lt;1/24,TEXT('All Solo Adjustments Source'!K33,"M:SS"),TEXT('All Solo Adjustments Source'!K33,"H:MM:SS"))</f>
        <v>6:22</v>
      </c>
      <c r="K32" s="52" t="str">
        <f>IF('All Solo Adjustments Source'!O33&lt;1/24,TEXT('All Solo Adjustments Source'!O33,"M:SS"),TEXT('All Solo Adjustments Source'!O33,"H:MM:SS"))</f>
        <v>7:40</v>
      </c>
      <c r="L32" s="52" t="str">
        <f>IF('All Solo Adjustments Source'!S33&lt;1/24,TEXT('All Solo Adjustments Source'!S33,"M:SS"),TEXT('All Solo Adjustments Source'!S33,"H:MM:SS"))</f>
        <v>12:57</v>
      </c>
      <c r="M32" s="52" t="str">
        <f>IF('All Solo Adjustments Source'!W33&lt;1/24,TEXT('All Solo Adjustments Source'!W33,"M:SS"),TEXT('All Solo Adjustments Source'!W33,"H:MM:SS"))</f>
        <v>26:50</v>
      </c>
    </row>
    <row r="33" spans="1:13" x14ac:dyDescent="0.25">
      <c r="A33" s="17">
        <f>'All Solo Adjustments Source'!A34</f>
        <v>40</v>
      </c>
      <c r="B33" s="66">
        <v>0</v>
      </c>
      <c r="C33" s="66">
        <v>0</v>
      </c>
      <c r="D33" s="66">
        <v>0</v>
      </c>
      <c r="E33" s="66">
        <v>0</v>
      </c>
      <c r="F33" s="66">
        <v>0</v>
      </c>
      <c r="G33" s="66">
        <v>0</v>
      </c>
      <c r="H33" s="66">
        <v>1.7476851851851852E-3</v>
      </c>
      <c r="I33" s="66">
        <v>2.6273148148148145E-3</v>
      </c>
      <c r="J33" s="66">
        <v>4.4212962962962964E-3</v>
      </c>
      <c r="K33" s="66">
        <v>5.324074074074074E-3</v>
      </c>
      <c r="L33" s="66">
        <v>8.9930555555555545E-3</v>
      </c>
      <c r="M33" s="66">
        <v>1.863425925925926E-2</v>
      </c>
    </row>
    <row r="34" spans="1:13" x14ac:dyDescent="0.25">
      <c r="A34" s="17">
        <f>'All Solo Adjustments Source'!A35</f>
        <v>41</v>
      </c>
      <c r="B34" s="66">
        <v>2.314814814814815E-5</v>
      </c>
      <c r="C34" s="66">
        <v>3.4722222222222222E-5</v>
      </c>
      <c r="D34" s="66">
        <v>6.9444444444444444E-5</v>
      </c>
      <c r="E34" s="66">
        <v>9.2592592592592602E-5</v>
      </c>
      <c r="F34" s="66">
        <v>1.5046296296296295E-4</v>
      </c>
      <c r="G34" s="66">
        <v>3.3564814814814818E-4</v>
      </c>
      <c r="H34" s="66">
        <v>1.7592592592592592E-3</v>
      </c>
      <c r="I34" s="66">
        <v>2.650462962962963E-3</v>
      </c>
      <c r="J34" s="66">
        <v>4.456018518518518E-3</v>
      </c>
      <c r="K34" s="66">
        <v>5.3703703703703708E-3</v>
      </c>
      <c r="L34" s="66">
        <v>9.0740740740740729E-3</v>
      </c>
      <c r="M34" s="66">
        <v>1.8831018518518521E-2</v>
      </c>
    </row>
    <row r="35" spans="1:13" x14ac:dyDescent="0.25">
      <c r="A35" s="17">
        <f>'All Solo Adjustments Source'!A36</f>
        <v>42</v>
      </c>
      <c r="B35" s="66">
        <v>5.7870370370370366E-5</v>
      </c>
      <c r="C35" s="66">
        <v>8.1018518518518516E-5</v>
      </c>
      <c r="D35" s="66">
        <v>1.5046296296296295E-4</v>
      </c>
      <c r="E35" s="66">
        <v>1.851851851851852E-4</v>
      </c>
      <c r="F35" s="66">
        <v>3.2407407407407406E-4</v>
      </c>
      <c r="G35" s="66">
        <v>7.0601851851851858E-4</v>
      </c>
      <c r="H35" s="66">
        <v>1.7708333333333332E-3</v>
      </c>
      <c r="I35" s="66">
        <v>2.6736111111111114E-3</v>
      </c>
      <c r="J35" s="66">
        <v>4.4907407407407405E-3</v>
      </c>
      <c r="K35" s="66">
        <v>5.4166666666666669E-3</v>
      </c>
      <c r="L35" s="66">
        <v>9.1550925925925931E-3</v>
      </c>
      <c r="M35" s="66">
        <v>1.9039351851851852E-2</v>
      </c>
    </row>
    <row r="36" spans="1:13" x14ac:dyDescent="0.25">
      <c r="A36" s="17">
        <f>'All Solo Adjustments Source'!A37</f>
        <v>43</v>
      </c>
      <c r="B36" s="66">
        <v>9.2592592592592602E-5</v>
      </c>
      <c r="C36" s="66">
        <v>1.3888888888888889E-4</v>
      </c>
      <c r="D36" s="66">
        <v>2.4305555555555555E-4</v>
      </c>
      <c r="E36" s="66">
        <v>3.0092592592592589E-4</v>
      </c>
      <c r="F36" s="66">
        <v>5.0925925925925921E-4</v>
      </c>
      <c r="G36" s="66">
        <v>1.1342592592592591E-3</v>
      </c>
      <c r="H36" s="66">
        <v>1.7939814814814817E-3</v>
      </c>
      <c r="I36" s="66">
        <v>2.6967592592592594E-3</v>
      </c>
      <c r="J36" s="66">
        <v>4.5254629629629629E-3</v>
      </c>
      <c r="K36" s="66">
        <v>5.4629629629629629E-3</v>
      </c>
      <c r="L36" s="66">
        <v>9.2476851851851852E-3</v>
      </c>
      <c r="M36" s="66">
        <v>1.9247685185185184E-2</v>
      </c>
    </row>
    <row r="37" spans="1:13" x14ac:dyDescent="0.25">
      <c r="A37" s="17">
        <f>'All Solo Adjustments Source'!A38</f>
        <v>44</v>
      </c>
      <c r="B37" s="66">
        <v>1.273148148148148E-4</v>
      </c>
      <c r="C37" s="66">
        <v>1.9675925925925926E-4</v>
      </c>
      <c r="D37" s="66">
        <v>3.3564814814814818E-4</v>
      </c>
      <c r="E37" s="66">
        <v>4.1666666666666669E-4</v>
      </c>
      <c r="F37" s="66">
        <v>7.1759259259259259E-4</v>
      </c>
      <c r="G37" s="66">
        <v>1.6087962962962963E-3</v>
      </c>
      <c r="H37" s="66">
        <v>1.8055555555555557E-3</v>
      </c>
      <c r="I37" s="66">
        <v>2.7199074074074074E-3</v>
      </c>
      <c r="J37" s="66">
        <v>4.5717592592592598E-3</v>
      </c>
      <c r="K37" s="66">
        <v>5.5208333333333333E-3</v>
      </c>
      <c r="L37" s="66">
        <v>9.3402777777777772E-3</v>
      </c>
      <c r="M37" s="66">
        <v>1.9490740740740743E-2</v>
      </c>
    </row>
    <row r="38" spans="1:13" x14ac:dyDescent="0.25">
      <c r="A38" s="17">
        <f>'All Solo Adjustments Source'!A39</f>
        <v>45</v>
      </c>
      <c r="B38" s="66">
        <v>1.7361111111111109E-4</v>
      </c>
      <c r="C38" s="66">
        <v>2.6620370370370367E-4</v>
      </c>
      <c r="D38" s="66">
        <v>4.5138888888888892E-4</v>
      </c>
      <c r="E38" s="66">
        <v>5.5555555555555556E-4</v>
      </c>
      <c r="F38" s="66">
        <v>9.4907407407407408E-4</v>
      </c>
      <c r="G38" s="66">
        <v>2.1296296296296293E-3</v>
      </c>
      <c r="H38" s="66">
        <v>1.8171296296296297E-3</v>
      </c>
      <c r="I38" s="66">
        <v>2.7430555555555554E-3</v>
      </c>
      <c r="J38" s="66">
        <v>4.6180555555555558E-3</v>
      </c>
      <c r="K38" s="66">
        <v>5.5787037037037029E-3</v>
      </c>
      <c r="L38" s="66">
        <v>9.4444444444444445E-3</v>
      </c>
      <c r="M38" s="66">
        <v>1.9745370370370371E-2</v>
      </c>
    </row>
    <row r="39" spans="1:13" x14ac:dyDescent="0.25">
      <c r="A39" s="17">
        <f>'All Solo Adjustments Source'!A40</f>
        <v>46</v>
      </c>
      <c r="B39" s="66">
        <v>2.199074074074074E-4</v>
      </c>
      <c r="C39" s="66">
        <v>3.3564814814814818E-4</v>
      </c>
      <c r="D39" s="66">
        <v>5.6712962962962956E-4</v>
      </c>
      <c r="E39" s="66">
        <v>6.9444444444444436E-4</v>
      </c>
      <c r="F39" s="66">
        <v>1.2037037037037036E-3</v>
      </c>
      <c r="G39" s="66">
        <v>2.6851851851851854E-3</v>
      </c>
      <c r="H39" s="66">
        <v>1.8402777777777777E-3</v>
      </c>
      <c r="I39" s="66">
        <v>2.7777777777777775E-3</v>
      </c>
      <c r="J39" s="66">
        <v>4.6759259259259263E-3</v>
      </c>
      <c r="K39" s="66">
        <v>5.6365740740740742E-3</v>
      </c>
      <c r="L39" s="66">
        <v>9.5601851851851837E-3</v>
      </c>
      <c r="M39" s="66">
        <v>2.0046296296296295E-2</v>
      </c>
    </row>
    <row r="40" spans="1:13" x14ac:dyDescent="0.25">
      <c r="A40" s="17">
        <f>'All Solo Adjustments Source'!A41</f>
        <v>47</v>
      </c>
      <c r="B40" s="66">
        <v>2.6620370370370367E-4</v>
      </c>
      <c r="C40" s="66">
        <v>4.0509259259259258E-4</v>
      </c>
      <c r="D40" s="66">
        <v>6.9444444444444436E-4</v>
      </c>
      <c r="E40" s="66">
        <v>8.5648148148148139E-4</v>
      </c>
      <c r="F40" s="66">
        <v>1.4814814814814816E-3</v>
      </c>
      <c r="G40" s="66">
        <v>3.2986111111111111E-3</v>
      </c>
      <c r="H40" s="66">
        <v>1.8634259259259259E-3</v>
      </c>
      <c r="I40" s="66">
        <v>2.8125000000000003E-3</v>
      </c>
      <c r="J40" s="66">
        <v>4.7337962962962958E-3</v>
      </c>
      <c r="K40" s="66">
        <v>5.7175925925925927E-3</v>
      </c>
      <c r="L40" s="66">
        <v>9.6990740740740752E-3</v>
      </c>
      <c r="M40" s="66">
        <v>2.0370370370370372E-2</v>
      </c>
    </row>
    <row r="41" spans="1:13" x14ac:dyDescent="0.25">
      <c r="A41" s="17">
        <f>'All Solo Adjustments Source'!A42</f>
        <v>48</v>
      </c>
      <c r="B41" s="66">
        <v>3.2407407407407406E-4</v>
      </c>
      <c r="C41" s="66">
        <v>4.861111111111111E-4</v>
      </c>
      <c r="D41" s="66">
        <v>8.3333333333333339E-4</v>
      </c>
      <c r="E41" s="66">
        <v>1.0185185185185184E-3</v>
      </c>
      <c r="F41" s="66">
        <v>1.7708333333333332E-3</v>
      </c>
      <c r="G41" s="66">
        <v>3.9467592592592592E-3</v>
      </c>
      <c r="H41" s="66">
        <v>1.8865740740740742E-3</v>
      </c>
      <c r="I41" s="66">
        <v>2.8472222222222223E-3</v>
      </c>
      <c r="J41" s="66">
        <v>4.8032407407407407E-3</v>
      </c>
      <c r="K41" s="66">
        <v>5.7986111111111112E-3</v>
      </c>
      <c r="L41" s="66">
        <v>9.8495370370370369E-3</v>
      </c>
      <c r="M41" s="66">
        <v>2.074074074074074E-2</v>
      </c>
    </row>
    <row r="42" spans="1:13" x14ac:dyDescent="0.25">
      <c r="A42" s="17">
        <f>'All Solo Adjustments Source'!A43</f>
        <v>49</v>
      </c>
      <c r="B42" s="66">
        <v>3.8194444444444441E-4</v>
      </c>
      <c r="C42" s="66">
        <v>5.7870370370370378E-4</v>
      </c>
      <c r="D42" s="66">
        <v>9.837962962962962E-4</v>
      </c>
      <c r="E42" s="66">
        <v>1.2037037037037036E-3</v>
      </c>
      <c r="F42" s="66">
        <v>2.0833333333333333E-3</v>
      </c>
      <c r="G42" s="66">
        <v>4.6412037037037038E-3</v>
      </c>
      <c r="H42" s="66">
        <v>1.9212962962962964E-3</v>
      </c>
      <c r="I42" s="66">
        <v>2.8935185185185184E-3</v>
      </c>
      <c r="J42" s="66">
        <v>4.8842592592592592E-3</v>
      </c>
      <c r="K42" s="66">
        <v>5.9027777777777785E-3</v>
      </c>
      <c r="L42" s="66">
        <v>1.0023148148148147E-2</v>
      </c>
      <c r="M42" s="66">
        <v>2.1157407407407406E-2</v>
      </c>
    </row>
    <row r="43" spans="1:13" x14ac:dyDescent="0.25">
      <c r="A43" s="17">
        <f>'All Solo Adjustments Source'!A44</f>
        <v>50</v>
      </c>
      <c r="B43" s="66">
        <v>4.3981481481481481E-4</v>
      </c>
      <c r="C43" s="66">
        <v>6.7129629629629635E-4</v>
      </c>
      <c r="D43" s="66">
        <v>1.1342592592592591E-3</v>
      </c>
      <c r="E43" s="66">
        <v>1.3888888888888887E-3</v>
      </c>
      <c r="F43" s="66">
        <v>2.4074074074074072E-3</v>
      </c>
      <c r="G43" s="66">
        <v>5.3819444444444444E-3</v>
      </c>
      <c r="H43" s="66">
        <v>1.9560185185185184E-3</v>
      </c>
      <c r="I43" s="66">
        <v>2.9513888888888892E-3</v>
      </c>
      <c r="J43" s="66">
        <v>4.9768518518518521E-3</v>
      </c>
      <c r="K43" s="66">
        <v>6.0069444444444441E-3</v>
      </c>
      <c r="L43" s="66">
        <v>1.0231481481481482E-2</v>
      </c>
      <c r="M43" s="66">
        <v>2.1631944444444443E-2</v>
      </c>
    </row>
    <row r="44" spans="1:13" x14ac:dyDescent="0.25">
      <c r="A44" s="17">
        <f>'All Solo Adjustments Source'!A45</f>
        <v>51</v>
      </c>
      <c r="B44" s="66">
        <v>4.9768518518518521E-4</v>
      </c>
      <c r="C44" s="66">
        <v>7.6388888888888882E-4</v>
      </c>
      <c r="D44" s="66">
        <v>1.3078703703703703E-3</v>
      </c>
      <c r="E44" s="66">
        <v>1.5856481481481481E-3</v>
      </c>
      <c r="F44" s="66">
        <v>2.7546296296296294E-3</v>
      </c>
      <c r="G44" s="66">
        <v>6.1689814814814819E-3</v>
      </c>
      <c r="H44" s="66">
        <v>2.0023148148148148E-3</v>
      </c>
      <c r="I44" s="66">
        <v>3.0092592592592593E-3</v>
      </c>
      <c r="J44" s="66">
        <v>5.0810185185185186E-3</v>
      </c>
      <c r="K44" s="66">
        <v>6.1342592592592594E-3</v>
      </c>
      <c r="L44" s="66">
        <v>1.0451388888888889E-2</v>
      </c>
      <c r="M44" s="66">
        <v>2.2164351851851852E-2</v>
      </c>
    </row>
    <row r="45" spans="1:13" x14ac:dyDescent="0.25">
      <c r="A45" s="17">
        <f>'All Solo Adjustments Source'!A46</f>
        <v>52</v>
      </c>
      <c r="B45" s="66">
        <v>5.6712962962962956E-4</v>
      </c>
      <c r="C45" s="66">
        <v>8.6805555555555562E-4</v>
      </c>
      <c r="D45" s="66">
        <v>1.4814814814814816E-3</v>
      </c>
      <c r="E45" s="66">
        <v>1.7939814814814817E-3</v>
      </c>
      <c r="F45" s="66">
        <v>3.1250000000000002E-3</v>
      </c>
      <c r="G45" s="66">
        <v>6.9907407407407409E-3</v>
      </c>
      <c r="H45" s="66">
        <v>2.0370370370370369E-3</v>
      </c>
      <c r="I45" s="66">
        <v>3.0787037037037037E-3</v>
      </c>
      <c r="J45" s="66">
        <v>5.1967592592592595E-3</v>
      </c>
      <c r="K45" s="66">
        <v>6.2847222222222219E-3</v>
      </c>
      <c r="L45" s="66">
        <v>1.0717592592592593E-2</v>
      </c>
      <c r="M45" s="66">
        <v>2.2777777777777779E-2</v>
      </c>
    </row>
    <row r="46" spans="1:13" x14ac:dyDescent="0.25">
      <c r="A46" s="17">
        <f>'All Solo Adjustments Source'!A47</f>
        <v>53</v>
      </c>
      <c r="B46" s="66">
        <v>6.3657407407407413E-4</v>
      </c>
      <c r="C46" s="66">
        <v>9.7222222222222219E-4</v>
      </c>
      <c r="D46" s="66">
        <v>1.6666666666666668E-3</v>
      </c>
      <c r="E46" s="66">
        <v>2.0254629629629629E-3</v>
      </c>
      <c r="F46" s="66">
        <v>3.5185185185185185E-3</v>
      </c>
      <c r="G46" s="66">
        <v>7.8703703703703696E-3</v>
      </c>
      <c r="H46" s="66">
        <v>2.0949074074074073E-3</v>
      </c>
      <c r="I46" s="66">
        <v>3.1597222222222222E-3</v>
      </c>
      <c r="J46" s="66">
        <v>5.3356481481481475E-3</v>
      </c>
      <c r="K46" s="66">
        <v>6.4467592592592597E-3</v>
      </c>
      <c r="L46" s="66">
        <v>1.1006944444444444E-2</v>
      </c>
      <c r="M46" s="66">
        <v>2.3460648148148147E-2</v>
      </c>
    </row>
    <row r="47" spans="1:13" x14ac:dyDescent="0.25">
      <c r="A47" s="17">
        <f>'All Solo Adjustments Source'!A48</f>
        <v>54</v>
      </c>
      <c r="B47" s="66">
        <v>7.1759259259259259E-4</v>
      </c>
      <c r="C47" s="66">
        <v>1.0879629629629631E-3</v>
      </c>
      <c r="D47" s="66">
        <v>1.8518518518518517E-3</v>
      </c>
      <c r="E47" s="66">
        <v>2.2569444444444442E-3</v>
      </c>
      <c r="F47" s="66">
        <v>3.9236111111111112E-3</v>
      </c>
      <c r="G47" s="66">
        <v>8.7847222222222233E-3</v>
      </c>
      <c r="H47" s="66">
        <v>2.1527777777777782E-3</v>
      </c>
      <c r="I47" s="66">
        <v>3.2523148148148147E-3</v>
      </c>
      <c r="J47" s="66">
        <v>5.4861111111111109E-3</v>
      </c>
      <c r="K47" s="66">
        <v>6.6319444444444438E-3</v>
      </c>
      <c r="L47" s="66">
        <v>1.133101851851852E-2</v>
      </c>
      <c r="M47" s="66">
        <v>2.4224537037037037E-2</v>
      </c>
    </row>
    <row r="48" spans="1:13" x14ac:dyDescent="0.25">
      <c r="A48" s="17">
        <f>'All Solo Adjustments Source'!A49</f>
        <v>55</v>
      </c>
      <c r="B48" s="66">
        <v>7.9861111111111116E-4</v>
      </c>
      <c r="C48" s="66">
        <v>1.2037037037037036E-3</v>
      </c>
      <c r="D48" s="66">
        <v>2.0601851851851853E-3</v>
      </c>
      <c r="E48" s="66">
        <v>2.5000000000000001E-3</v>
      </c>
      <c r="F48" s="66">
        <v>4.3518518518518524E-3</v>
      </c>
      <c r="G48" s="66">
        <v>9.7569444444444448E-3</v>
      </c>
      <c r="H48" s="66">
        <v>2.2222222222222222E-3</v>
      </c>
      <c r="I48" s="66">
        <v>3.3564814814814816E-3</v>
      </c>
      <c r="J48" s="66">
        <v>5.6597222222222222E-3</v>
      </c>
      <c r="K48" s="66">
        <v>6.8402777777777776E-3</v>
      </c>
      <c r="L48" s="66">
        <v>1.1712962962962961E-2</v>
      </c>
      <c r="M48" s="66">
        <v>2.508101851851852E-2</v>
      </c>
    </row>
    <row r="49" spans="1:13" x14ac:dyDescent="0.25">
      <c r="A49" s="17">
        <f>'All Solo Adjustments Source'!A50</f>
        <v>56</v>
      </c>
      <c r="B49" s="66">
        <v>8.7962962962962962E-4</v>
      </c>
      <c r="C49" s="66">
        <v>1.3310185185185185E-3</v>
      </c>
      <c r="D49" s="66">
        <v>2.2685185185185182E-3</v>
      </c>
      <c r="E49" s="66">
        <v>2.7546296296296294E-3</v>
      </c>
      <c r="F49" s="66">
        <v>4.8032407407407407E-3</v>
      </c>
      <c r="G49" s="66">
        <v>1.0763888888888889E-2</v>
      </c>
      <c r="H49" s="66">
        <v>2.2916666666666667E-3</v>
      </c>
      <c r="I49" s="66">
        <v>3.4606481481481485E-3</v>
      </c>
      <c r="J49" s="66">
        <v>5.8564814814814807E-3</v>
      </c>
      <c r="K49" s="66">
        <v>7.083333333333333E-3</v>
      </c>
      <c r="L49" s="66">
        <v>1.2129629629629629E-2</v>
      </c>
      <c r="M49" s="66">
        <v>2.6041666666666668E-2</v>
      </c>
    </row>
    <row r="50" spans="1:13" x14ac:dyDescent="0.25">
      <c r="A50" s="17">
        <f>'All Solo Adjustments Source'!A51</f>
        <v>57</v>
      </c>
      <c r="B50" s="66">
        <v>9.6064814814814819E-4</v>
      </c>
      <c r="C50" s="66">
        <v>1.4583333333333332E-3</v>
      </c>
      <c r="D50" s="66">
        <v>2.488425925925926E-3</v>
      </c>
      <c r="E50" s="66">
        <v>3.0208333333333333E-3</v>
      </c>
      <c r="F50" s="66">
        <v>5.2662037037037035E-3</v>
      </c>
      <c r="G50" s="66">
        <v>1.1828703703703704E-2</v>
      </c>
      <c r="H50" s="66">
        <v>2.3842592592592591E-3</v>
      </c>
      <c r="I50" s="66">
        <v>3.5879629629629634E-3</v>
      </c>
      <c r="J50" s="66">
        <v>6.076388888888889E-3</v>
      </c>
      <c r="K50" s="66">
        <v>7.3495370370370372E-3</v>
      </c>
      <c r="L50" s="66">
        <v>1.2592592592592593E-2</v>
      </c>
      <c r="M50" s="66">
        <v>2.7106481481481481E-2</v>
      </c>
    </row>
    <row r="51" spans="1:13" x14ac:dyDescent="0.25">
      <c r="A51" s="17">
        <f>'All Solo Adjustments Source'!A52</f>
        <v>58</v>
      </c>
      <c r="B51" s="66">
        <v>1.0532407407407407E-3</v>
      </c>
      <c r="C51" s="66">
        <v>1.5856481481481481E-3</v>
      </c>
      <c r="D51" s="66">
        <v>2.7199074074074074E-3</v>
      </c>
      <c r="E51" s="66">
        <v>3.2986111111111111E-3</v>
      </c>
      <c r="F51" s="66">
        <v>5.7523148148148151E-3</v>
      </c>
      <c r="G51" s="66">
        <v>1.2939814814814815E-2</v>
      </c>
      <c r="H51" s="66">
        <v>2.476851851851852E-3</v>
      </c>
      <c r="I51" s="66">
        <v>3.7384259259259259E-3</v>
      </c>
      <c r="J51" s="66">
        <v>6.3194444444444444E-3</v>
      </c>
      <c r="K51" s="66">
        <v>7.6504629629629622E-3</v>
      </c>
      <c r="L51" s="66">
        <v>1.3113425925925926E-2</v>
      </c>
      <c r="M51" s="66">
        <v>2.8287037037037038E-2</v>
      </c>
    </row>
    <row r="52" spans="1:13" x14ac:dyDescent="0.25">
      <c r="A52" s="17">
        <f>'All Solo Adjustments Source'!A53</f>
        <v>59</v>
      </c>
      <c r="B52" s="66">
        <v>1.1458333333333333E-3</v>
      </c>
      <c r="C52" s="66">
        <v>1.7361111111111112E-3</v>
      </c>
      <c r="D52" s="66">
        <v>2.9629629629629632E-3</v>
      </c>
      <c r="E52" s="66">
        <v>3.5995370370370374E-3</v>
      </c>
      <c r="F52" s="66">
        <v>6.2615740740740739E-3</v>
      </c>
      <c r="G52" s="66">
        <v>1.4097222222222223E-2</v>
      </c>
      <c r="H52" s="66">
        <v>2.5810185185185185E-3</v>
      </c>
      <c r="I52" s="66">
        <v>3.9004629629629628E-3</v>
      </c>
      <c r="J52" s="66">
        <v>6.5972222222222222E-3</v>
      </c>
      <c r="K52" s="66">
        <v>7.9745370370370369E-3</v>
      </c>
      <c r="L52" s="66">
        <v>1.3692129629629629E-2</v>
      </c>
      <c r="M52" s="66">
        <v>2.9594907407407407E-2</v>
      </c>
    </row>
    <row r="53" spans="1:13" x14ac:dyDescent="0.25">
      <c r="A53" s="17">
        <f>'All Solo Adjustments Source'!A54</f>
        <v>60</v>
      </c>
      <c r="B53" s="66">
        <v>1.238425925925926E-3</v>
      </c>
      <c r="C53" s="66">
        <v>1.8750000000000001E-3</v>
      </c>
      <c r="D53" s="66">
        <v>3.2060185185185186E-3</v>
      </c>
      <c r="E53" s="66">
        <v>3.9004629629629628E-3</v>
      </c>
      <c r="F53" s="66">
        <v>6.7939814814814816E-3</v>
      </c>
      <c r="G53" s="66">
        <v>1.53125E-2</v>
      </c>
      <c r="H53" s="66">
        <v>2.6967592592592594E-3</v>
      </c>
      <c r="I53" s="66">
        <v>4.0740740740740737E-3</v>
      </c>
      <c r="J53" s="66">
        <v>6.898148148148148E-3</v>
      </c>
      <c r="K53" s="66">
        <v>8.3449074074074068E-3</v>
      </c>
      <c r="L53" s="66">
        <v>1.4328703703703705E-2</v>
      </c>
      <c r="M53" s="66">
        <v>3.1041666666666669E-2</v>
      </c>
    </row>
    <row r="54" spans="1:13" x14ac:dyDescent="0.25">
      <c r="A54" s="17">
        <f>'All Solo Adjustments Source'!A55</f>
        <v>61</v>
      </c>
      <c r="B54" s="66">
        <v>1.3425925925925927E-3</v>
      </c>
      <c r="C54" s="66">
        <v>2.0370370370370369E-3</v>
      </c>
      <c r="D54" s="66">
        <v>3.4722222222222225E-3</v>
      </c>
      <c r="E54" s="66">
        <v>4.2129629629629626E-3</v>
      </c>
      <c r="F54" s="66">
        <v>7.3495370370370372E-3</v>
      </c>
      <c r="G54" s="66">
        <v>1.6574074074074074E-2</v>
      </c>
      <c r="H54" s="66">
        <v>2.8240740740740743E-3</v>
      </c>
      <c r="I54" s="66">
        <v>4.2708333333333331E-3</v>
      </c>
      <c r="J54" s="66">
        <v>7.2337962962962963E-3</v>
      </c>
      <c r="K54" s="66">
        <v>8.7500000000000008E-3</v>
      </c>
      <c r="L54" s="66">
        <v>1.5034722222222222E-2</v>
      </c>
      <c r="M54" s="66">
        <v>3.2638888888888891E-2</v>
      </c>
    </row>
    <row r="55" spans="1:13" x14ac:dyDescent="0.25">
      <c r="A55" s="17">
        <f>'All Solo Adjustments Source'!A56</f>
        <v>62</v>
      </c>
      <c r="B55" s="66">
        <v>1.4467592592592592E-3</v>
      </c>
      <c r="C55" s="66">
        <v>2.1875000000000002E-3</v>
      </c>
      <c r="D55" s="66">
        <v>3.7384259259259259E-3</v>
      </c>
      <c r="E55" s="66">
        <v>4.5486111111111109E-3</v>
      </c>
      <c r="F55" s="66">
        <v>7.9282407407407409E-3</v>
      </c>
      <c r="G55" s="66">
        <v>1.7905092592592594E-2</v>
      </c>
      <c r="H55" s="66">
        <v>2.9629629629629632E-3</v>
      </c>
      <c r="I55" s="66">
        <v>4.4907407407407405E-3</v>
      </c>
      <c r="J55" s="66">
        <v>7.6041666666666662E-3</v>
      </c>
      <c r="K55" s="66">
        <v>9.2013888888888892E-3</v>
      </c>
      <c r="L55" s="66">
        <v>1.5821759259259258E-2</v>
      </c>
      <c r="M55" s="66">
        <v>3.4386574074074076E-2</v>
      </c>
    </row>
    <row r="56" spans="1:13" x14ac:dyDescent="0.25">
      <c r="A56" s="17">
        <f>'All Solo Adjustments Source'!A57</f>
        <v>63</v>
      </c>
      <c r="B56" s="66">
        <v>1.5509259259259259E-3</v>
      </c>
      <c r="C56" s="66">
        <v>2.3611111111111111E-3</v>
      </c>
      <c r="D56" s="66">
        <v>4.0277777777777777E-3</v>
      </c>
      <c r="E56" s="66">
        <v>4.8958333333333336E-3</v>
      </c>
      <c r="F56" s="66">
        <v>8.5416666666666662E-3</v>
      </c>
      <c r="G56" s="66">
        <v>1.9282407407407408E-2</v>
      </c>
      <c r="H56" s="66">
        <v>3.1250000000000002E-3</v>
      </c>
      <c r="I56" s="66">
        <v>4.7222222222222223E-3</v>
      </c>
      <c r="J56" s="66">
        <v>8.0092592592592594E-3</v>
      </c>
      <c r="K56" s="66">
        <v>9.6874999999999999E-3</v>
      </c>
      <c r="L56" s="66">
        <v>1.6678240740740743E-2</v>
      </c>
      <c r="M56" s="66">
        <v>3.6319444444444446E-2</v>
      </c>
    </row>
    <row r="57" spans="1:13" x14ac:dyDescent="0.25">
      <c r="A57" s="17">
        <f>'All Solo Adjustments Source'!A58</f>
        <v>64</v>
      </c>
      <c r="B57" s="53">
        <v>1.6666666666666668E-3</v>
      </c>
      <c r="C57" s="53">
        <v>2.5231481481481481E-3</v>
      </c>
      <c r="D57" s="53">
        <v>4.31712962962963E-3</v>
      </c>
      <c r="E57" s="53">
        <v>5.2430555555555555E-3</v>
      </c>
      <c r="F57" s="53">
        <v>9.1666666666666667E-3</v>
      </c>
      <c r="G57" s="53">
        <v>2.0717592592592593E-2</v>
      </c>
      <c r="H57" s="52">
        <v>3.2986111111111111E-3</v>
      </c>
      <c r="I57" s="52">
        <v>4.9884259259259257E-3</v>
      </c>
      <c r="J57" s="52">
        <v>8.4490740740740741E-3</v>
      </c>
      <c r="K57" s="52">
        <v>1.0231481481481482E-2</v>
      </c>
      <c r="L57" s="52">
        <v>1.7627314814814814E-2</v>
      </c>
      <c r="M57" s="52">
        <v>3.8437499999999999E-2</v>
      </c>
    </row>
    <row r="58" spans="1:13" x14ac:dyDescent="0.25">
      <c r="A58" s="17">
        <f>'All Solo Adjustments Source'!A59</f>
        <v>65</v>
      </c>
      <c r="B58" s="53">
        <v>1.7824074074074072E-3</v>
      </c>
      <c r="C58" s="53">
        <v>2.7083333333333334E-3</v>
      </c>
      <c r="D58" s="53">
        <v>4.6180555555555558E-3</v>
      </c>
      <c r="E58" s="53">
        <v>5.6134259259259262E-3</v>
      </c>
      <c r="F58" s="53">
        <v>9.8148148148148144E-3</v>
      </c>
      <c r="G58" s="53">
        <v>2.222222222222222E-2</v>
      </c>
      <c r="H58" s="52">
        <v>3.4837962962962965E-3</v>
      </c>
      <c r="I58" s="52">
        <v>5.2777777777777779E-3</v>
      </c>
      <c r="J58" s="52">
        <v>8.9467592592592585E-3</v>
      </c>
      <c r="K58" s="52">
        <v>1.0833333333333334E-2</v>
      </c>
      <c r="L58" s="52">
        <v>1.8657407407407407E-2</v>
      </c>
      <c r="M58" s="52">
        <v>4.0763888888888891E-2</v>
      </c>
    </row>
    <row r="59" spans="1:13" x14ac:dyDescent="0.25">
      <c r="A59" s="17">
        <f>'All Solo Adjustments Source'!A60</f>
        <v>66</v>
      </c>
      <c r="B59" s="53">
        <v>1.9097222222222222E-3</v>
      </c>
      <c r="C59" s="53">
        <v>2.8935185185185184E-3</v>
      </c>
      <c r="D59" s="53">
        <v>4.9421296296296297E-3</v>
      </c>
      <c r="E59" s="53">
        <v>6.0069444444444441E-3</v>
      </c>
      <c r="F59" s="53">
        <v>1.0497685185185185E-2</v>
      </c>
      <c r="G59" s="53">
        <v>2.3796296296296298E-2</v>
      </c>
      <c r="H59" s="52">
        <v>3.7037037037037034E-3</v>
      </c>
      <c r="I59" s="52">
        <v>5.5902777777777773E-3</v>
      </c>
      <c r="J59" s="52">
        <v>9.4907407407407406E-3</v>
      </c>
      <c r="K59" s="52">
        <v>1.1481481481481481E-2</v>
      </c>
      <c r="L59" s="52">
        <v>1.9803240740740743E-2</v>
      </c>
      <c r="M59" s="52">
        <v>7.2183641975308646E-4</v>
      </c>
    </row>
    <row r="60" spans="1:13" x14ac:dyDescent="0.25">
      <c r="A60" s="17">
        <f>'All Solo Adjustments Source'!A61</f>
        <v>67</v>
      </c>
      <c r="B60" s="53">
        <v>2.0370370370370369E-3</v>
      </c>
      <c r="C60" s="53">
        <v>3.0787037037037037E-3</v>
      </c>
      <c r="D60" s="53">
        <v>5.2662037037037035E-3</v>
      </c>
      <c r="E60" s="53">
        <v>6.4120370370370373E-3</v>
      </c>
      <c r="F60" s="53">
        <v>1.1203703703703705E-2</v>
      </c>
      <c r="G60" s="53">
        <v>2.5428240740740741E-2</v>
      </c>
      <c r="H60" s="52">
        <v>3.9236111111111112E-3</v>
      </c>
      <c r="I60" s="52">
        <v>5.9375000000000001E-3</v>
      </c>
      <c r="J60" s="52">
        <v>1.0081018518518519E-2</v>
      </c>
      <c r="K60" s="52">
        <v>1.2199074074074074E-2</v>
      </c>
      <c r="L60" s="52">
        <v>2.105324074074074E-2</v>
      </c>
      <c r="M60" s="52">
        <v>7.6832561728395056E-4</v>
      </c>
    </row>
    <row r="61" spans="1:13" x14ac:dyDescent="0.25">
      <c r="A61" s="17">
        <f>'All Solo Adjustments Source'!A62</f>
        <v>68</v>
      </c>
      <c r="B61" s="53">
        <v>2.1643518518518522E-3</v>
      </c>
      <c r="C61" s="53">
        <v>3.2870370370370371E-3</v>
      </c>
      <c r="D61" s="53">
        <v>5.6134259259259262E-3</v>
      </c>
      <c r="E61" s="53">
        <v>6.8287037037037032E-3</v>
      </c>
      <c r="F61" s="53">
        <v>1.1944444444444445E-2</v>
      </c>
      <c r="G61" s="53">
        <v>2.7141203703703706E-2</v>
      </c>
      <c r="H61" s="52">
        <v>4.178240740740741E-3</v>
      </c>
      <c r="I61" s="52">
        <v>6.3194444444444444E-3</v>
      </c>
      <c r="J61" s="52">
        <v>1.0729166666666668E-2</v>
      </c>
      <c r="K61" s="52">
        <v>1.2986111111111111E-2</v>
      </c>
      <c r="L61" s="52">
        <v>2.2418981481481481E-2</v>
      </c>
      <c r="M61" s="52">
        <v>8.192515432098765E-4</v>
      </c>
    </row>
    <row r="62" spans="1:13" x14ac:dyDescent="0.25">
      <c r="A62" s="17">
        <f>'All Solo Adjustments Source'!A63</f>
        <v>69</v>
      </c>
      <c r="B62" s="53">
        <v>2.3032407407407407E-3</v>
      </c>
      <c r="C62" s="53">
        <v>3.4953703703703705E-3</v>
      </c>
      <c r="D62" s="53">
        <v>5.9722222222222225E-3</v>
      </c>
      <c r="E62" s="53">
        <v>7.2569444444444443E-3</v>
      </c>
      <c r="F62" s="53">
        <v>1.2708333333333332E-2</v>
      </c>
      <c r="G62" s="53">
        <v>2.8923611111111112E-2</v>
      </c>
      <c r="H62" s="52">
        <v>4.340277777777778E-3</v>
      </c>
      <c r="I62" s="52">
        <v>6.5740740740740742E-3</v>
      </c>
      <c r="J62" s="52">
        <v>1.1145833333333332E-2</v>
      </c>
      <c r="K62" s="52">
        <v>1.3495370370370371E-2</v>
      </c>
      <c r="L62" s="52">
        <v>2.3310185185185184E-2</v>
      </c>
      <c r="M62" s="52">
        <v>8.5378086419753087E-4</v>
      </c>
    </row>
    <row r="63" spans="1:13" x14ac:dyDescent="0.25">
      <c r="A63" s="17">
        <f>'All Solo Adjustments Source'!A64</f>
        <v>70</v>
      </c>
      <c r="B63" s="53">
        <v>2.4421296296296296E-3</v>
      </c>
      <c r="C63" s="53">
        <v>3.7152777777777778E-3</v>
      </c>
      <c r="D63" s="53">
        <v>6.3425925925925924E-3</v>
      </c>
      <c r="E63" s="53">
        <v>7.7083333333333335E-3</v>
      </c>
      <c r="F63" s="53">
        <v>1.3506944444444445E-2</v>
      </c>
      <c r="G63" s="53">
        <v>3.078703703703704E-2</v>
      </c>
      <c r="H63" s="52">
        <v>4.5023148148148149E-3</v>
      </c>
      <c r="I63" s="52">
        <v>6.8171296296296296E-3</v>
      </c>
      <c r="J63" s="52">
        <v>1.15625E-2</v>
      </c>
      <c r="K63" s="52">
        <v>1.4004629629629629E-2</v>
      </c>
      <c r="L63" s="52">
        <v>2.421296296296296E-2</v>
      </c>
      <c r="M63" s="52">
        <v>8.8869598765432096E-4</v>
      </c>
    </row>
    <row r="64" spans="1:13" x14ac:dyDescent="0.25">
      <c r="A64" s="17">
        <f>'All Solo Adjustments Source'!A65</f>
        <v>71</v>
      </c>
      <c r="B64" s="53">
        <v>2.5925925925925925E-3</v>
      </c>
      <c r="C64" s="53">
        <v>3.9351851851851848E-3</v>
      </c>
      <c r="D64" s="53">
        <v>6.7245370370370375E-3</v>
      </c>
      <c r="E64" s="53">
        <v>8.1828703703703699E-3</v>
      </c>
      <c r="F64" s="53">
        <v>1.4340277777777778E-2</v>
      </c>
      <c r="G64" s="53">
        <v>3.2731481481481479E-2</v>
      </c>
      <c r="H64" s="52">
        <v>4.6643518518518518E-3</v>
      </c>
      <c r="I64" s="52">
        <v>7.0717592592592594E-3</v>
      </c>
      <c r="J64" s="52">
        <v>1.2002314814814815E-2</v>
      </c>
      <c r="K64" s="52">
        <v>1.4537037037037038E-2</v>
      </c>
      <c r="L64" s="52">
        <v>2.5150462962962965E-2</v>
      </c>
      <c r="M64" s="52">
        <v>9.2534722222222215E-4</v>
      </c>
    </row>
    <row r="65" spans="1:13" x14ac:dyDescent="0.25">
      <c r="A65" s="17">
        <f>'All Solo Adjustments Source'!A66</f>
        <v>72</v>
      </c>
      <c r="B65" s="53">
        <v>2.7430555555555554E-3</v>
      </c>
      <c r="C65" s="53">
        <v>4.1666666666666666E-3</v>
      </c>
      <c r="D65" s="53">
        <v>7.129629629629629E-3</v>
      </c>
      <c r="E65" s="53">
        <v>8.6689814814814824E-3</v>
      </c>
      <c r="F65" s="53">
        <v>1.5208333333333332E-2</v>
      </c>
      <c r="G65" s="53">
        <v>3.4768518518518518E-2</v>
      </c>
      <c r="H65" s="52">
        <v>4.8379629629629632E-3</v>
      </c>
      <c r="I65" s="52">
        <v>7.3263888888888884E-3</v>
      </c>
      <c r="J65" s="52">
        <v>1.2453703703703705E-2</v>
      </c>
      <c r="K65" s="52">
        <v>1.5092592592592593E-2</v>
      </c>
      <c r="L65" s="52">
        <v>2.6122685185185186E-2</v>
      </c>
      <c r="M65" s="52">
        <v>9.6354166666666669E-4</v>
      </c>
    </row>
    <row r="66" spans="1:13" x14ac:dyDescent="0.25">
      <c r="A66" s="17">
        <f>'All Solo Adjustments Source'!A67</f>
        <v>73</v>
      </c>
      <c r="B66" s="53">
        <v>2.9050925925925924E-3</v>
      </c>
      <c r="C66" s="53">
        <v>4.409722222222222E-3</v>
      </c>
      <c r="D66" s="53">
        <v>7.5462962962962966E-3</v>
      </c>
      <c r="E66" s="53">
        <v>9.178240740740742E-3</v>
      </c>
      <c r="F66" s="53">
        <v>1.6111111111111111E-2</v>
      </c>
      <c r="G66" s="53">
        <v>3.6898148148148152E-2</v>
      </c>
      <c r="H66" s="52">
        <v>5.0231481481481481E-3</v>
      </c>
      <c r="I66" s="52">
        <v>7.6041666666666662E-3</v>
      </c>
      <c r="J66" s="52">
        <v>1.2928240740740742E-2</v>
      </c>
      <c r="K66" s="52">
        <v>1.5659722222222221E-2</v>
      </c>
      <c r="L66" s="52">
        <v>2.7141203703703706E-2</v>
      </c>
      <c r="M66" s="52">
        <v>1.0034722222222222E-3</v>
      </c>
    </row>
    <row r="67" spans="1:13" x14ac:dyDescent="0.25">
      <c r="A67" s="17">
        <f>'All Solo Adjustments Source'!A68</f>
        <v>74</v>
      </c>
      <c r="B67" s="53">
        <v>3.0671296296296297E-3</v>
      </c>
      <c r="C67" s="53">
        <v>4.6643518518518518E-3</v>
      </c>
      <c r="D67" s="53">
        <v>7.9861111111111122E-3</v>
      </c>
      <c r="E67" s="53">
        <v>9.7106481481481488E-3</v>
      </c>
      <c r="F67" s="53">
        <v>1.7048611111111112E-2</v>
      </c>
      <c r="G67" s="53">
        <v>3.9120370370370375E-2</v>
      </c>
      <c r="H67" s="52">
        <v>5.208333333333333E-3</v>
      </c>
      <c r="I67" s="52">
        <v>7.8935185185185185E-3</v>
      </c>
      <c r="J67" s="52">
        <v>1.3414351851851853E-2</v>
      </c>
      <c r="K67" s="52">
        <v>1.6261574074074074E-2</v>
      </c>
      <c r="L67" s="52">
        <v>2.8206018518518519E-2</v>
      </c>
      <c r="M67" s="52">
        <v>1.0453317901234567E-3</v>
      </c>
    </row>
    <row r="68" spans="1:13" x14ac:dyDescent="0.25">
      <c r="A68" s="17">
        <f>'All Solo Adjustments Source'!A69</f>
        <v>75</v>
      </c>
      <c r="B68" s="53">
        <v>3.2407407407407406E-3</v>
      </c>
      <c r="C68" s="53">
        <v>4.9305555555555552E-3</v>
      </c>
      <c r="D68" s="53">
        <v>8.4374999999999988E-3</v>
      </c>
      <c r="E68" s="53">
        <v>1.0266203703703704E-2</v>
      </c>
      <c r="F68" s="53">
        <v>1.8032407407407407E-2</v>
      </c>
      <c r="G68" s="53">
        <v>4.1458333333333333E-2</v>
      </c>
      <c r="H68" s="52">
        <v>5.4050925925925924E-3</v>
      </c>
      <c r="I68" s="52">
        <v>8.1828703703703699E-3</v>
      </c>
      <c r="J68" s="52">
        <v>1.3923611111111112E-2</v>
      </c>
      <c r="K68" s="52">
        <v>1.6886574074074075E-2</v>
      </c>
      <c r="L68" s="52">
        <v>2.931712962962963E-2</v>
      </c>
      <c r="M68" s="52">
        <v>1.0891203703703703E-3</v>
      </c>
    </row>
    <row r="69" spans="1:13" x14ac:dyDescent="0.25">
      <c r="A69" s="17">
        <f>'All Solo Adjustments Source'!A70</f>
        <v>76</v>
      </c>
      <c r="B69" s="53">
        <v>3.4259259259259256E-3</v>
      </c>
      <c r="C69" s="53">
        <v>5.208333333333333E-3</v>
      </c>
      <c r="D69" s="53">
        <v>8.912037037037036E-3</v>
      </c>
      <c r="E69" s="53">
        <v>1.0844907407407407E-2</v>
      </c>
      <c r="F69" s="53">
        <v>1.90625E-2</v>
      </c>
      <c r="G69" s="53">
        <v>7.3167438271604936E-4</v>
      </c>
      <c r="H69" s="52">
        <v>5.6018518518518527E-3</v>
      </c>
      <c r="I69" s="52">
        <v>8.4953703703703701E-3</v>
      </c>
      <c r="J69" s="52">
        <v>1.4456018518518519E-2</v>
      </c>
      <c r="K69" s="52">
        <v>1.7534722222222222E-2</v>
      </c>
      <c r="L69" s="52">
        <v>3.047453703703704E-2</v>
      </c>
      <c r="M69" s="52">
        <v>1.1352237654320987E-3</v>
      </c>
    </row>
    <row r="70" spans="1:13" x14ac:dyDescent="0.25">
      <c r="A70" s="17">
        <f>'All Solo Adjustments Source'!A71</f>
        <v>77</v>
      </c>
      <c r="B70" s="53">
        <v>3.6111111111111114E-3</v>
      </c>
      <c r="C70" s="53">
        <v>5.4861111111111109E-3</v>
      </c>
      <c r="D70" s="53">
        <v>9.3981481481481485E-3</v>
      </c>
      <c r="E70" s="53">
        <v>1.1446759259259259E-2</v>
      </c>
      <c r="F70" s="53">
        <v>2.0138888888888887E-2</v>
      </c>
      <c r="G70" s="53">
        <v>7.744984567901234E-4</v>
      </c>
      <c r="H70" s="52">
        <v>5.8217592592592592E-3</v>
      </c>
      <c r="I70" s="52">
        <v>8.819444444444444E-3</v>
      </c>
      <c r="J70" s="52">
        <v>1.5011574074074075E-2</v>
      </c>
      <c r="K70" s="52">
        <v>1.8206018518518517E-2</v>
      </c>
      <c r="L70" s="52">
        <v>3.1678240740740743E-2</v>
      </c>
      <c r="M70" s="52">
        <v>1.1832561728395063E-3</v>
      </c>
    </row>
    <row r="71" spans="1:13" x14ac:dyDescent="0.25">
      <c r="A71" s="17">
        <f>'All Solo Adjustments Source'!A72</f>
        <v>78</v>
      </c>
      <c r="B71" s="53">
        <v>3.8078703703703703E-3</v>
      </c>
      <c r="C71" s="53">
        <v>5.7870370370370367E-3</v>
      </c>
      <c r="D71" s="53">
        <v>9.9189814814814817E-3</v>
      </c>
      <c r="E71" s="53">
        <v>1.207175925925926E-2</v>
      </c>
      <c r="F71" s="53">
        <v>2.1249999999999998E-2</v>
      </c>
      <c r="G71" s="53">
        <v>8.1944444444444437E-4</v>
      </c>
      <c r="H71" s="52">
        <v>6.0416666666666665E-3</v>
      </c>
      <c r="I71" s="52">
        <v>9.1550925925925931E-3</v>
      </c>
      <c r="J71" s="52">
        <v>1.5590277777777778E-2</v>
      </c>
      <c r="K71" s="52">
        <v>1.8923611111111113E-2</v>
      </c>
      <c r="L71" s="52">
        <v>3.2939814814814818E-2</v>
      </c>
      <c r="M71" s="52">
        <v>1.2339891975308643E-3</v>
      </c>
    </row>
    <row r="72" spans="1:13" x14ac:dyDescent="0.25">
      <c r="A72" s="17">
        <f>'All Solo Adjustments Source'!A73</f>
        <v>79</v>
      </c>
      <c r="B72" s="53">
        <v>4.0162037037037041E-3</v>
      </c>
      <c r="C72" s="53">
        <v>6.099537037037037E-3</v>
      </c>
      <c r="D72" s="53">
        <v>1.0451388888888889E-2</v>
      </c>
      <c r="E72" s="53">
        <v>1.2719907407407407E-2</v>
      </c>
      <c r="F72" s="53">
        <v>2.2430555555555558E-2</v>
      </c>
      <c r="G72" s="53">
        <v>8.6651234567901238E-4</v>
      </c>
      <c r="H72" s="52">
        <v>6.2731481481481484E-3</v>
      </c>
      <c r="I72" s="52">
        <v>9.5023148148148141E-3</v>
      </c>
      <c r="J72" s="52">
        <v>1.6192129629629629E-2</v>
      </c>
      <c r="K72" s="52">
        <v>1.9652777777777779E-2</v>
      </c>
      <c r="L72" s="52">
        <v>3.4259259259259253E-2</v>
      </c>
      <c r="M72" s="52">
        <v>1.2872299382716049E-3</v>
      </c>
    </row>
    <row r="73" spans="1:13" x14ac:dyDescent="0.25">
      <c r="A73" s="17">
        <f>'All Solo Adjustments Source'!A74</f>
        <v>80</v>
      </c>
      <c r="B73" s="53">
        <v>4.2245370370370371E-3</v>
      </c>
      <c r="C73" s="53">
        <v>6.4236111111111117E-3</v>
      </c>
      <c r="D73" s="53">
        <v>1.1018518518518518E-2</v>
      </c>
      <c r="E73" s="53">
        <v>1.3414351851851853E-2</v>
      </c>
      <c r="F73" s="53">
        <v>2.3657407407407408E-2</v>
      </c>
      <c r="G73" s="53">
        <v>9.1628086419753092E-4</v>
      </c>
      <c r="H73" s="52">
        <v>6.5046296296296293E-3</v>
      </c>
      <c r="I73" s="52">
        <v>9.8726851851851857E-3</v>
      </c>
      <c r="J73" s="52">
        <v>1.6828703703703703E-2</v>
      </c>
      <c r="K73" s="52">
        <v>2.042824074074074E-2</v>
      </c>
      <c r="L73" s="52">
        <v>3.5648148148148144E-2</v>
      </c>
      <c r="M73" s="52">
        <v>1.3431712962962963E-3</v>
      </c>
    </row>
    <row r="74" spans="1:13" x14ac:dyDescent="0.25">
      <c r="A74" s="17">
        <f>'All Solo Adjustments Source'!A75</f>
        <v>81</v>
      </c>
      <c r="B74" s="53">
        <v>4.4444444444444444E-3</v>
      </c>
      <c r="C74" s="53">
        <v>6.7592592592592591E-3</v>
      </c>
      <c r="D74" s="53">
        <v>1.1597222222222222E-2</v>
      </c>
      <c r="E74" s="53">
        <v>1.412037037037037E-2</v>
      </c>
      <c r="F74" s="53">
        <v>2.4942129629629627E-2</v>
      </c>
      <c r="G74" s="53">
        <v>9.687500000000001E-4</v>
      </c>
      <c r="H74" s="52">
        <v>6.7592592592592591E-3</v>
      </c>
      <c r="I74" s="52">
        <v>1.0254629629629631E-2</v>
      </c>
      <c r="J74" s="52">
        <v>1.7488425925925925E-2</v>
      </c>
      <c r="K74" s="52">
        <v>2.1238425925925928E-2</v>
      </c>
      <c r="L74" s="52">
        <v>3.709490740740741E-2</v>
      </c>
      <c r="M74" s="52">
        <v>1.4021990740740739E-3</v>
      </c>
    </row>
    <row r="75" spans="1:13" x14ac:dyDescent="0.25">
      <c r="A75" s="17">
        <f>'All Solo Adjustments Source'!A76</f>
        <v>82</v>
      </c>
      <c r="B75" s="53">
        <v>4.6759259259259263E-3</v>
      </c>
      <c r="C75" s="53">
        <v>7.1180555555555554E-3</v>
      </c>
      <c r="D75" s="53">
        <v>1.2210648148148148E-2</v>
      </c>
      <c r="E75" s="53">
        <v>1.4872685185185187E-2</v>
      </c>
      <c r="F75" s="53">
        <v>2.6296296296296297E-2</v>
      </c>
      <c r="G75" s="53">
        <v>1.0241126543209876E-3</v>
      </c>
      <c r="H75" s="52">
        <v>7.0254629629629634E-3</v>
      </c>
      <c r="I75" s="52">
        <v>1.0648148148148148E-2</v>
      </c>
      <c r="J75" s="52">
        <v>1.818287037037037E-2</v>
      </c>
      <c r="K75" s="52">
        <v>2.2083333333333333E-2</v>
      </c>
      <c r="L75" s="52">
        <v>3.8622685185185184E-2</v>
      </c>
      <c r="M75" s="52">
        <v>1.464699074074074E-3</v>
      </c>
    </row>
    <row r="76" spans="1:13" x14ac:dyDescent="0.25">
      <c r="A76" s="17">
        <f>'All Solo Adjustments Source'!A77</f>
        <v>83</v>
      </c>
      <c r="B76" s="53">
        <v>4.9189814814814816E-3</v>
      </c>
      <c r="C76" s="53">
        <v>7.4884259259259262E-3</v>
      </c>
      <c r="D76" s="53">
        <v>1.2858796296296297E-2</v>
      </c>
      <c r="E76" s="53">
        <v>1.5659722222222221E-2</v>
      </c>
      <c r="F76" s="53">
        <v>2.7708333333333335E-2</v>
      </c>
      <c r="G76" s="53">
        <v>1.0825617283950618E-3</v>
      </c>
      <c r="H76" s="52">
        <v>7.2916666666666668E-3</v>
      </c>
      <c r="I76" s="52">
        <v>1.1076388888888889E-2</v>
      </c>
      <c r="J76" s="52">
        <v>1.8900462962962963E-2</v>
      </c>
      <c r="K76" s="52">
        <v>2.2962962962962963E-2</v>
      </c>
      <c r="L76" s="52">
        <v>4.0219907407407413E-2</v>
      </c>
      <c r="M76" s="52">
        <v>1.5304783950617284E-3</v>
      </c>
    </row>
    <row r="77" spans="1:13" x14ac:dyDescent="0.25">
      <c r="A77" s="17">
        <f>'All Solo Adjustments Source'!A78</f>
        <v>84</v>
      </c>
      <c r="B77" s="53">
        <v>5.1736111111111115E-3</v>
      </c>
      <c r="C77" s="53">
        <v>7.8819444444444449E-3</v>
      </c>
      <c r="D77" s="53">
        <v>1.3530092592592592E-2</v>
      </c>
      <c r="E77" s="53">
        <v>1.6493055555555556E-2</v>
      </c>
      <c r="F77" s="53">
        <v>2.9201388888888891E-2</v>
      </c>
      <c r="G77" s="53">
        <v>1.1444830246913581E-3</v>
      </c>
      <c r="H77" s="52">
        <v>7.5810185185185182E-3</v>
      </c>
      <c r="I77" s="52">
        <v>1.1516203703703704E-2</v>
      </c>
      <c r="J77" s="52">
        <v>1.966435185185185E-2</v>
      </c>
      <c r="K77" s="52">
        <v>2.390046296296296E-2</v>
      </c>
      <c r="L77" s="52">
        <v>6.9830246913580251E-4</v>
      </c>
      <c r="M77" s="52">
        <v>1.6003086419753086E-3</v>
      </c>
    </row>
    <row r="78" spans="1:13" x14ac:dyDescent="0.25">
      <c r="A78" s="17">
        <f>'All Solo Adjustments Source'!A79</f>
        <v>85</v>
      </c>
      <c r="B78" s="53">
        <v>5.4398148148148149E-3</v>
      </c>
      <c r="C78" s="53">
        <v>8.2870370370370372E-3</v>
      </c>
      <c r="D78" s="53">
        <v>1.4236111111111111E-2</v>
      </c>
      <c r="E78" s="53">
        <v>1.7349537037037035E-2</v>
      </c>
      <c r="F78" s="53">
        <v>3.0775462962962963E-2</v>
      </c>
      <c r="G78" s="53">
        <v>1.2102623456790125E-3</v>
      </c>
      <c r="H78" s="52">
        <v>7.8819444444444449E-3</v>
      </c>
      <c r="I78" s="52">
        <v>1.1967592592592592E-2</v>
      </c>
      <c r="J78" s="52">
        <v>2.0462962962962964E-2</v>
      </c>
      <c r="K78" s="52">
        <v>2.4872685185185185E-2</v>
      </c>
      <c r="L78" s="52">
        <v>7.2781635802469133E-4</v>
      </c>
      <c r="M78" s="52">
        <v>1.6743827160493826E-3</v>
      </c>
    </row>
    <row r="79" spans="1:13" x14ac:dyDescent="0.25">
      <c r="A79" s="17">
        <f>'All Solo Adjustments Source'!A80</f>
        <v>86</v>
      </c>
      <c r="B79" s="53">
        <v>5.7175925925925927E-3</v>
      </c>
      <c r="C79" s="53">
        <v>8.7152777777777784E-3</v>
      </c>
      <c r="D79" s="53">
        <v>1.4988425925925926E-2</v>
      </c>
      <c r="E79" s="53">
        <v>1.8263888888888892E-2</v>
      </c>
      <c r="F79" s="53">
        <v>3.2430555555555553E-2</v>
      </c>
      <c r="G79" s="53">
        <v>1.2800925925925927E-3</v>
      </c>
      <c r="H79" s="52">
        <v>8.1944444444444434E-3</v>
      </c>
      <c r="I79" s="52">
        <v>1.2453703703703705E-2</v>
      </c>
      <c r="J79" s="52">
        <v>2.1307870370370369E-2</v>
      </c>
      <c r="K79" s="52">
        <v>2.5902777777777778E-2</v>
      </c>
      <c r="L79" s="52">
        <v>7.5906635802469135E-4</v>
      </c>
      <c r="M79" s="52">
        <v>1.7530864197530865E-3</v>
      </c>
    </row>
    <row r="80" spans="1:13" x14ac:dyDescent="0.25">
      <c r="A80" s="17">
        <f>'All Solo Adjustments Source'!A81</f>
        <v>87</v>
      </c>
      <c r="B80" s="53">
        <v>6.0185185185185185E-3</v>
      </c>
      <c r="C80" s="53">
        <v>9.1666666666666667E-3</v>
      </c>
      <c r="D80" s="53">
        <v>1.576388888888889E-2</v>
      </c>
      <c r="E80" s="53">
        <v>1.9224537037037037E-2</v>
      </c>
      <c r="F80" s="53">
        <v>3.4178240740740738E-2</v>
      </c>
      <c r="G80" s="53">
        <v>1.3545524691358024E-3</v>
      </c>
      <c r="H80" s="52">
        <v>8.5300925925925926E-3</v>
      </c>
      <c r="I80" s="52">
        <v>1.2962962962962963E-2</v>
      </c>
      <c r="J80" s="52">
        <v>2.2187500000000002E-2</v>
      </c>
      <c r="K80" s="52">
        <v>2.6990740740740742E-2</v>
      </c>
      <c r="L80" s="52">
        <v>7.9185956790123462E-4</v>
      </c>
      <c r="M80" s="52">
        <v>1.8369984567901234E-3</v>
      </c>
    </row>
    <row r="81" spans="1:13" x14ac:dyDescent="0.25">
      <c r="A81" s="17">
        <f>'All Solo Adjustments Source'!A82</f>
        <v>88</v>
      </c>
      <c r="B81" s="53">
        <v>6.3310185185185179E-3</v>
      </c>
      <c r="C81" s="53">
        <v>9.6412037037037039E-3</v>
      </c>
      <c r="D81" s="53">
        <v>1.6597222222222222E-2</v>
      </c>
      <c r="E81" s="53">
        <v>2.0243055555555556E-2</v>
      </c>
      <c r="F81" s="53">
        <v>3.6041666666666666E-2</v>
      </c>
      <c r="G81" s="53">
        <v>1.4340277777777778E-3</v>
      </c>
      <c r="H81" s="52">
        <v>8.8773148148148153E-3</v>
      </c>
      <c r="I81" s="52">
        <v>1.3495370370370371E-2</v>
      </c>
      <c r="J81" s="52">
        <v>2.3113425925925926E-2</v>
      </c>
      <c r="K81" s="52">
        <v>2.8125000000000001E-2</v>
      </c>
      <c r="L81" s="52">
        <v>8.2677469135802471E-4</v>
      </c>
      <c r="M81" s="52">
        <v>1.9266975308641977E-3</v>
      </c>
    </row>
    <row r="82" spans="1:13" x14ac:dyDescent="0.25">
      <c r="A82" s="17">
        <f>'All Solo Adjustments Source'!A83</f>
        <v>89</v>
      </c>
      <c r="B82" s="53">
        <v>6.6550925925925927E-3</v>
      </c>
      <c r="C82" s="53">
        <v>1.0138888888888888E-2</v>
      </c>
      <c r="D82" s="53">
        <v>1.7465277777777777E-2</v>
      </c>
      <c r="E82" s="53">
        <v>2.1307870370370369E-2</v>
      </c>
      <c r="F82" s="53">
        <v>3.7997685185185183E-2</v>
      </c>
      <c r="G82" s="53">
        <v>1.5192901234567901E-3</v>
      </c>
      <c r="H82" s="52">
        <v>9.2476851851851852E-3</v>
      </c>
      <c r="I82" s="52">
        <v>1.40625E-2</v>
      </c>
      <c r="J82" s="52">
        <v>2.4097222222222221E-2</v>
      </c>
      <c r="K82" s="52">
        <v>2.9340277777777778E-2</v>
      </c>
      <c r="L82" s="52">
        <v>8.6361882716049388E-4</v>
      </c>
      <c r="M82" s="52">
        <v>2.0227623456790123E-3</v>
      </c>
    </row>
    <row r="83" spans="1:13" x14ac:dyDescent="0.25">
      <c r="A83" s="17">
        <f>'All Solo Adjustments Source'!A84</f>
        <v>90</v>
      </c>
      <c r="B83" s="53">
        <v>6.9907407407407409E-3</v>
      </c>
      <c r="C83" s="53">
        <v>1.0671296296296295E-2</v>
      </c>
      <c r="D83" s="53">
        <v>1.8391203703703705E-2</v>
      </c>
      <c r="E83" s="53">
        <v>2.2442129629629628E-2</v>
      </c>
      <c r="F83" s="53">
        <v>4.0092592592592589E-2</v>
      </c>
      <c r="G83" s="53">
        <v>1.6107253086419754E-3</v>
      </c>
      <c r="H83" s="52">
        <v>9.6296296296296286E-3</v>
      </c>
      <c r="I83" s="52">
        <v>1.4652777777777777E-2</v>
      </c>
      <c r="J83" s="52">
        <v>2.5138888888888888E-2</v>
      </c>
      <c r="K83" s="52">
        <v>3.0613425925925926E-2</v>
      </c>
      <c r="L83" s="52">
        <v>9.0277777777777784E-4</v>
      </c>
      <c r="M83" s="52">
        <v>2.1257716049382716E-3</v>
      </c>
    </row>
    <row r="84" spans="1:13" x14ac:dyDescent="0.25">
      <c r="A84" s="17">
        <f>'All Solo Adjustments Source'!A85</f>
        <v>91</v>
      </c>
      <c r="B84" s="53">
        <v>7.3611111111111108E-3</v>
      </c>
      <c r="C84" s="53">
        <v>1.1226851851851852E-2</v>
      </c>
      <c r="D84" s="53">
        <v>1.9363425925925926E-2</v>
      </c>
      <c r="E84" s="53">
        <v>2.3645833333333331E-2</v>
      </c>
      <c r="F84" s="53">
        <v>7.0524691358024691E-4</v>
      </c>
      <c r="G84" s="53">
        <v>1.7092978395061727E-3</v>
      </c>
      <c r="H84" s="52">
        <v>1.0046296296296296E-2</v>
      </c>
      <c r="I84" s="52">
        <v>1.5289351851851851E-2</v>
      </c>
      <c r="J84" s="52">
        <v>2.6238425925925925E-2</v>
      </c>
      <c r="K84" s="52">
        <v>3.1967592592592596E-2</v>
      </c>
      <c r="L84" s="52">
        <v>9.4463734567901234E-4</v>
      </c>
      <c r="M84" s="52">
        <v>2.2368827160493825E-3</v>
      </c>
    </row>
    <row r="85" spans="1:13" x14ac:dyDescent="0.25">
      <c r="A85" s="17">
        <f>'All Solo Adjustments Source'!A86</f>
        <v>92</v>
      </c>
      <c r="B85" s="53">
        <v>7.743055555555556E-3</v>
      </c>
      <c r="C85" s="53">
        <v>1.1817129629629631E-2</v>
      </c>
      <c r="D85" s="53">
        <v>2.0405092592592593E-2</v>
      </c>
      <c r="E85" s="53">
        <v>2.4930555555555556E-2</v>
      </c>
      <c r="F85" s="53">
        <v>7.4479166666666661E-4</v>
      </c>
      <c r="G85" s="53">
        <v>1.8159722222222223E-3</v>
      </c>
      <c r="H85" s="52">
        <v>1.0474537037037037E-2</v>
      </c>
      <c r="I85" s="52">
        <v>1.5949074074074074E-2</v>
      </c>
      <c r="J85" s="52">
        <v>2.7418981481481482E-2</v>
      </c>
      <c r="K85" s="52">
        <v>3.3414351851851848E-2</v>
      </c>
      <c r="L85" s="52">
        <v>9.8919753086419747E-4</v>
      </c>
      <c r="M85" s="52">
        <v>2.3570601851851856E-3</v>
      </c>
    </row>
    <row r="86" spans="1:13" x14ac:dyDescent="0.25">
      <c r="A86" s="17">
        <f>'All Solo Adjustments Source'!A87</f>
        <v>93</v>
      </c>
      <c r="B86" s="53">
        <v>8.1597222222222227E-3</v>
      </c>
      <c r="C86" s="53">
        <v>1.2453703703703705E-2</v>
      </c>
      <c r="D86" s="53">
        <v>2.1516203703703704E-2</v>
      </c>
      <c r="E86" s="53">
        <v>2.6296296296296297E-2</v>
      </c>
      <c r="F86" s="53">
        <v>7.8703703703703705E-4</v>
      </c>
      <c r="G86" s="53">
        <v>1.9317129629629628E-3</v>
      </c>
      <c r="H86" s="52">
        <v>1.0937499999999999E-2</v>
      </c>
      <c r="I86" s="52">
        <v>1.6666666666666666E-2</v>
      </c>
      <c r="J86" s="52">
        <v>2.8657407407407409E-2</v>
      </c>
      <c r="K86" s="52">
        <v>3.4953703703703702E-2</v>
      </c>
      <c r="L86" s="52">
        <v>1.0368441358024692E-3</v>
      </c>
      <c r="M86" s="52">
        <v>2.4874614197530867E-3</v>
      </c>
    </row>
    <row r="87" spans="1:13" x14ac:dyDescent="0.25">
      <c r="A87" s="17">
        <f>'All Solo Adjustments Source'!A88</f>
        <v>94</v>
      </c>
      <c r="B87" s="53">
        <v>8.5879629629629622E-3</v>
      </c>
      <c r="C87" s="53">
        <v>1.3125E-2</v>
      </c>
      <c r="D87" s="53">
        <v>2.2685185185185187E-2</v>
      </c>
      <c r="E87" s="53">
        <v>2.7743055555555556E-2</v>
      </c>
      <c r="F87" s="53">
        <v>8.3256172839506171E-4</v>
      </c>
      <c r="G87" s="53">
        <v>2.0578703703703705E-3</v>
      </c>
      <c r="H87" s="52">
        <v>1.1423611111111112E-2</v>
      </c>
      <c r="I87" s="52">
        <v>1.741898148148148E-2</v>
      </c>
      <c r="J87" s="52">
        <v>2.9988425925925925E-2</v>
      </c>
      <c r="K87" s="52">
        <v>3.6585648148148145E-2</v>
      </c>
      <c r="L87" s="52">
        <v>1.0879629629629631E-3</v>
      </c>
      <c r="M87" s="52">
        <v>2.6298225308641976E-3</v>
      </c>
    </row>
    <row r="88" spans="1:13" x14ac:dyDescent="0.25">
      <c r="A88" s="17">
        <f>'All Solo Adjustments Source'!A89</f>
        <v>95</v>
      </c>
      <c r="B88" s="53">
        <v>9.0509259259259258E-3</v>
      </c>
      <c r="C88" s="53">
        <v>1.3831018518518519E-2</v>
      </c>
      <c r="D88" s="53">
        <v>2.3946759259259258E-2</v>
      </c>
      <c r="E88" s="53">
        <v>2.9305555555555553E-2</v>
      </c>
      <c r="F88" s="53">
        <v>8.8136574074074083E-4</v>
      </c>
      <c r="G88" s="53">
        <v>2.1961805555555558E-3</v>
      </c>
      <c r="H88" s="52">
        <v>1.1956018518518519E-2</v>
      </c>
      <c r="I88" s="52">
        <v>1.8229166666666668E-2</v>
      </c>
      <c r="J88" s="52">
        <v>3.1412037037037037E-2</v>
      </c>
      <c r="K88" s="52">
        <v>3.8344907407407404E-2</v>
      </c>
      <c r="L88" s="52">
        <v>1.1431327160493826E-3</v>
      </c>
      <c r="M88" s="52">
        <v>2.7856867283950616E-3</v>
      </c>
    </row>
    <row r="89" spans="1:13" x14ac:dyDescent="0.25">
      <c r="A89" s="17">
        <f>'All Solo Adjustments Source'!A90</f>
        <v>96</v>
      </c>
      <c r="B89" s="53">
        <v>9.5486111111111101E-3</v>
      </c>
      <c r="C89" s="53">
        <v>1.4594907407407407E-2</v>
      </c>
      <c r="D89" s="53">
        <v>2.5300925925925925E-2</v>
      </c>
      <c r="E89" s="53">
        <v>3.0983796296296294E-2</v>
      </c>
      <c r="F89" s="53">
        <v>9.3422067901234574E-4</v>
      </c>
      <c r="G89" s="53">
        <v>2.3487654320987652E-3</v>
      </c>
      <c r="H89" s="52">
        <v>1.2511574074074074E-2</v>
      </c>
      <c r="I89" s="52">
        <v>1.908564814814815E-2</v>
      </c>
      <c r="J89" s="52">
        <v>3.2939814814814818E-2</v>
      </c>
      <c r="K89" s="52">
        <v>4.0231481481481479E-2</v>
      </c>
      <c r="L89" s="52">
        <v>1.2027391975308643E-3</v>
      </c>
      <c r="M89" s="52">
        <v>2.9575617283950618E-3</v>
      </c>
    </row>
    <row r="90" spans="1:13" x14ac:dyDescent="0.25">
      <c r="A90" s="17">
        <f>'All Solo Adjustments Source'!A91</f>
        <v>97</v>
      </c>
      <c r="B90" s="53">
        <v>1.0081018518518519E-2</v>
      </c>
      <c r="C90" s="53">
        <v>1.5416666666666667E-2</v>
      </c>
      <c r="D90" s="53">
        <v>2.675925925925926E-2</v>
      </c>
      <c r="E90" s="53">
        <v>3.2789351851851854E-2</v>
      </c>
      <c r="F90" s="53">
        <v>9.9151234567901227E-4</v>
      </c>
      <c r="G90" s="53">
        <v>2.5179398148148149E-3</v>
      </c>
      <c r="H90" s="52">
        <v>1.3113425925925926E-2</v>
      </c>
      <c r="I90" s="52">
        <v>2.0011574074074074E-2</v>
      </c>
      <c r="J90" s="52">
        <v>3.4583333333333334E-2</v>
      </c>
      <c r="K90" s="52">
        <v>7.0447530864197535E-4</v>
      </c>
      <c r="L90" s="52">
        <v>1.267361111111111E-3</v>
      </c>
      <c r="M90" s="52">
        <v>3.148341049382716E-3</v>
      </c>
    </row>
    <row r="91" spans="1:13" x14ac:dyDescent="0.25">
      <c r="A91" s="17">
        <f>'All Solo Adjustments Source'!A92</f>
        <v>98</v>
      </c>
      <c r="B91" s="53">
        <v>1.0648148148148148E-2</v>
      </c>
      <c r="C91" s="53">
        <v>1.6307870370370368E-2</v>
      </c>
      <c r="D91" s="53">
        <v>2.8333333333333332E-2</v>
      </c>
      <c r="E91" s="53">
        <v>3.4745370370370371E-2</v>
      </c>
      <c r="F91" s="53">
        <v>1.0540123456790123E-3</v>
      </c>
      <c r="G91" s="53">
        <v>2.7071759259259258E-3</v>
      </c>
      <c r="H91" s="52">
        <v>1.375E-2</v>
      </c>
      <c r="I91" s="52">
        <v>2.1006944444444446E-2</v>
      </c>
      <c r="J91" s="52">
        <v>3.6354166666666667E-2</v>
      </c>
      <c r="K91" s="52">
        <v>7.4112654320987654E-4</v>
      </c>
      <c r="L91" s="52">
        <v>1.337770061728395E-3</v>
      </c>
      <c r="M91" s="52">
        <v>3.3614969135802469E-3</v>
      </c>
    </row>
    <row r="92" spans="1:13" x14ac:dyDescent="0.25">
      <c r="A92" s="17">
        <f>'All Solo Adjustments Source'!A93</f>
        <v>99</v>
      </c>
      <c r="B92" s="53">
        <v>1.1261574074074075E-2</v>
      </c>
      <c r="C92" s="53">
        <v>1.7256944444444443E-2</v>
      </c>
      <c r="D92" s="53">
        <v>3.0046296296296297E-2</v>
      </c>
      <c r="E92" s="53">
        <v>3.6863425925925924E-2</v>
      </c>
      <c r="F92" s="53">
        <v>1.1224922839506173E-3</v>
      </c>
      <c r="G92" s="53">
        <v>2.9203317901234566E-3</v>
      </c>
      <c r="H92" s="52">
        <v>1.4444444444444446E-2</v>
      </c>
      <c r="I92" s="52">
        <v>2.2083333333333333E-2</v>
      </c>
      <c r="J92" s="52">
        <v>3.8275462962962963E-2</v>
      </c>
      <c r="K92" s="52">
        <v>7.8105709876543207E-4</v>
      </c>
      <c r="L92" s="52">
        <v>1.4147376543209877E-3</v>
      </c>
      <c r="M92" s="52">
        <v>3.6018518518518517E-3</v>
      </c>
    </row>
  </sheetData>
  <mergeCells count="2">
    <mergeCell ref="B1:G1"/>
    <mergeCell ref="H1:M1"/>
  </mergeCells>
  <pageMargins left="0.70866141732283472" right="0.70866141732283472" top="0.74803149606299213" bottom="0.74803149606299213" header="0.31496062992125984" footer="0.31496062992125984"/>
  <pageSetup paperSize="9" scale="44" orientation="landscape" r:id="rId1"/>
  <headerFooter>
    <oddHeader>&amp;C&amp;A</oddHeader>
    <oddFooter>&amp;L&amp;F&amp;CPage &amp;P of &amp;N&amp;R&amp;D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F8F36-A14A-44B1-9112-D84B21407C44}">
  <dimension ref="A1:AP2187"/>
  <sheetViews>
    <sheetView workbookViewId="0">
      <pane ySplit="1" topLeftCell="A2" activePane="bottomLeft" state="frozen"/>
      <selection pane="bottomLeft" activeCell="E7" sqref="E7"/>
    </sheetView>
  </sheetViews>
  <sheetFormatPr defaultRowHeight="15" x14ac:dyDescent="0.25"/>
  <cols>
    <col min="1" max="2" width="9.140625" style="28"/>
    <col min="11" max="11" width="10.7109375" bestFit="1" customWidth="1"/>
    <col min="12" max="17" width="10.7109375" customWidth="1"/>
  </cols>
  <sheetData>
    <row r="1" spans="1:42" x14ac:dyDescent="0.25">
      <c r="A1" s="28" t="s">
        <v>11899</v>
      </c>
      <c r="B1" s="28" t="s">
        <v>11899</v>
      </c>
      <c r="C1" t="s">
        <v>11898</v>
      </c>
      <c r="D1" t="s">
        <v>11897</v>
      </c>
      <c r="E1" t="s">
        <v>11896</v>
      </c>
      <c r="F1" t="s">
        <v>21</v>
      </c>
      <c r="G1" t="s">
        <v>11895</v>
      </c>
      <c r="H1" t="s">
        <v>11894</v>
      </c>
      <c r="I1" t="s">
        <v>11893</v>
      </c>
      <c r="J1" t="s">
        <v>5</v>
      </c>
      <c r="K1" t="s">
        <v>11892</v>
      </c>
      <c r="L1" t="s">
        <v>11901</v>
      </c>
      <c r="M1" t="s">
        <v>11904</v>
      </c>
      <c r="N1" t="s">
        <v>11902</v>
      </c>
      <c r="O1" t="s">
        <v>11905</v>
      </c>
      <c r="P1" t="s">
        <v>11903</v>
      </c>
      <c r="Q1" t="s">
        <v>11906</v>
      </c>
      <c r="R1" t="s">
        <v>11891</v>
      </c>
      <c r="S1" t="s">
        <v>11890</v>
      </c>
      <c r="T1" t="s">
        <v>11889</v>
      </c>
      <c r="U1" t="s">
        <v>11888</v>
      </c>
      <c r="V1" t="s">
        <v>11887</v>
      </c>
      <c r="W1" t="s">
        <v>11886</v>
      </c>
      <c r="X1" t="s">
        <v>11885</v>
      </c>
      <c r="Y1" t="s">
        <v>11884</v>
      </c>
      <c r="Z1" t="s">
        <v>11883</v>
      </c>
      <c r="AA1" t="s">
        <v>11882</v>
      </c>
      <c r="AB1" t="s">
        <v>11881</v>
      </c>
      <c r="AC1" t="s">
        <v>11880</v>
      </c>
      <c r="AD1" t="s">
        <v>11879</v>
      </c>
      <c r="AE1" t="s">
        <v>11878</v>
      </c>
      <c r="AF1" t="s">
        <v>11877</v>
      </c>
      <c r="AG1" t="s">
        <v>11876</v>
      </c>
      <c r="AH1" t="s">
        <v>11875</v>
      </c>
      <c r="AI1" t="s">
        <v>11874</v>
      </c>
      <c r="AJ1" t="s">
        <v>11873</v>
      </c>
      <c r="AK1" t="s">
        <v>11872</v>
      </c>
      <c r="AL1" t="s">
        <v>11871</v>
      </c>
      <c r="AM1" t="s">
        <v>11870</v>
      </c>
      <c r="AN1" t="s">
        <v>11869</v>
      </c>
      <c r="AO1" t="s">
        <v>11868</v>
      </c>
      <c r="AP1" t="s">
        <v>11867</v>
      </c>
    </row>
    <row r="2" spans="1:42" x14ac:dyDescent="0.25">
      <c r="A2" s="28" t="str">
        <f>"14144"</f>
        <v>14144</v>
      </c>
      <c r="B2">
        <v>14144</v>
      </c>
      <c r="C2" t="s">
        <v>2488</v>
      </c>
      <c r="D2" t="s">
        <v>121</v>
      </c>
      <c r="F2" t="s">
        <v>120</v>
      </c>
      <c r="G2" t="s">
        <v>400</v>
      </c>
      <c r="I2" t="s">
        <v>11866</v>
      </c>
      <c r="J2" t="s">
        <v>7</v>
      </c>
      <c r="K2" s="63">
        <v>25077</v>
      </c>
      <c r="L2" s="28">
        <f>DATEDIF(K2,Zwift25!G$1,"Y")</f>
        <v>56</v>
      </c>
      <c r="M2" s="67">
        <f>IF(J2="m",VLOOKUP(L2,'All Solo Adjustments'!A:D,4,FALSE),VLOOKUP(L2,'All Solo Adjustments'!A:J,10,FALSE))</f>
        <v>2.2685185185185182E-3</v>
      </c>
      <c r="N2" s="28"/>
      <c r="O2" s="28"/>
      <c r="P2" s="28"/>
      <c r="Q2" s="28"/>
      <c r="R2" t="s">
        <v>118</v>
      </c>
      <c r="S2" t="s">
        <v>117</v>
      </c>
      <c r="T2" t="s">
        <v>292</v>
      </c>
      <c r="U2" t="s">
        <v>11865</v>
      </c>
      <c r="W2" t="s">
        <v>9097</v>
      </c>
      <c r="X2" t="s">
        <v>11864</v>
      </c>
      <c r="Y2" t="s">
        <v>11863</v>
      </c>
      <c r="Z2" t="str">
        <f>"07783480198"</f>
        <v>07783480198</v>
      </c>
      <c r="AA2" t="str">
        <f>""</f>
        <v/>
      </c>
      <c r="AB2" t="s">
        <v>1295</v>
      </c>
      <c r="AC2" t="s">
        <v>11862</v>
      </c>
      <c r="AD2" t="s">
        <v>114</v>
      </c>
      <c r="AE2" s="63">
        <v>45408</v>
      </c>
      <c r="AF2" t="s">
        <v>156</v>
      </c>
      <c r="AG2" t="s">
        <v>112</v>
      </c>
      <c r="AH2" t="s">
        <v>112</v>
      </c>
      <c r="AI2" s="63">
        <v>45408</v>
      </c>
      <c r="AJ2" s="63">
        <v>45657</v>
      </c>
      <c r="AK2" t="s">
        <v>112</v>
      </c>
      <c r="AL2" t="s">
        <v>112</v>
      </c>
      <c r="AM2" t="s">
        <v>111</v>
      </c>
      <c r="AN2">
        <v>2843</v>
      </c>
      <c r="AO2" t="s">
        <v>110</v>
      </c>
      <c r="AP2" t="s">
        <v>109</v>
      </c>
    </row>
    <row r="3" spans="1:42" x14ac:dyDescent="0.25">
      <c r="A3" s="28" t="str">
        <f>"14247"</f>
        <v>14247</v>
      </c>
      <c r="B3">
        <v>14247</v>
      </c>
      <c r="C3" t="s">
        <v>2488</v>
      </c>
      <c r="D3" t="s">
        <v>121</v>
      </c>
      <c r="F3" t="s">
        <v>120</v>
      </c>
      <c r="G3" t="s">
        <v>185</v>
      </c>
      <c r="I3" t="s">
        <v>981</v>
      </c>
      <c r="J3" t="s">
        <v>7</v>
      </c>
      <c r="K3" s="63">
        <v>22334</v>
      </c>
      <c r="L3" s="28">
        <f>DATEDIF(K3,Zwift25!G$1,"Y")</f>
        <v>63</v>
      </c>
      <c r="M3" s="67">
        <f>IF(J3="m",VLOOKUP(L3,'All Solo Adjustments'!A:D,4,FALSE),VLOOKUP(L3,'All Solo Adjustments'!A:J,10,FALSE))</f>
        <v>4.0277777777777777E-3</v>
      </c>
      <c r="N3" s="63"/>
      <c r="O3" s="63"/>
      <c r="P3" s="63"/>
      <c r="Q3" s="63"/>
      <c r="R3" t="s">
        <v>184</v>
      </c>
      <c r="S3" t="s">
        <v>183</v>
      </c>
      <c r="T3" t="s">
        <v>292</v>
      </c>
      <c r="U3" t="s">
        <v>11861</v>
      </c>
      <c r="V3" t="s">
        <v>309</v>
      </c>
      <c r="Y3" t="s">
        <v>11860</v>
      </c>
      <c r="Z3" t="str">
        <f>"07962259239"</f>
        <v>07962259239</v>
      </c>
      <c r="AA3" t="str">
        <f>""</f>
        <v/>
      </c>
      <c r="AB3" t="s">
        <v>11859</v>
      </c>
      <c r="AC3" t="s">
        <v>11858</v>
      </c>
      <c r="AD3" t="s">
        <v>114</v>
      </c>
      <c r="AE3" s="63">
        <v>45277</v>
      </c>
      <c r="AF3" t="s">
        <v>156</v>
      </c>
      <c r="AG3" t="s">
        <v>112</v>
      </c>
      <c r="AH3" t="s">
        <v>112</v>
      </c>
      <c r="AI3" s="63">
        <v>43614</v>
      </c>
      <c r="AJ3" s="63">
        <v>45657</v>
      </c>
      <c r="AK3" t="s">
        <v>112</v>
      </c>
      <c r="AL3" t="s">
        <v>111</v>
      </c>
      <c r="AM3" t="s">
        <v>111</v>
      </c>
      <c r="AN3" t="s">
        <v>105</v>
      </c>
      <c r="AO3" t="s">
        <v>110</v>
      </c>
      <c r="AP3" t="s">
        <v>109</v>
      </c>
    </row>
    <row r="4" spans="1:42" x14ac:dyDescent="0.25">
      <c r="A4" s="28" t="str">
        <f>"0008"</f>
        <v>0008</v>
      </c>
      <c r="B4">
        <v>8</v>
      </c>
      <c r="C4" t="s">
        <v>2488</v>
      </c>
      <c r="D4" t="s">
        <v>121</v>
      </c>
      <c r="F4" t="s">
        <v>120</v>
      </c>
      <c r="G4" t="s">
        <v>506</v>
      </c>
      <c r="H4" t="s">
        <v>234</v>
      </c>
      <c r="I4" t="s">
        <v>884</v>
      </c>
      <c r="J4" t="s">
        <v>7</v>
      </c>
      <c r="K4" s="63">
        <v>21989</v>
      </c>
      <c r="L4" s="28">
        <f>DATEDIF(K4,Zwift25!G$1,"Y")</f>
        <v>64</v>
      </c>
      <c r="M4" s="67">
        <f>IF(J4="m",VLOOKUP(L4,'All Solo Adjustments'!A:D,4,FALSE),VLOOKUP(L4,'All Solo Adjustments'!A:J,10,FALSE))</f>
        <v>4.31712962962963E-3</v>
      </c>
      <c r="N4" s="63"/>
      <c r="O4" s="63"/>
      <c r="P4" s="63"/>
      <c r="Q4" s="63"/>
      <c r="R4" t="s">
        <v>296</v>
      </c>
      <c r="S4" t="s">
        <v>295</v>
      </c>
      <c r="T4" t="s">
        <v>292</v>
      </c>
      <c r="U4" t="s">
        <v>11857</v>
      </c>
      <c r="V4" t="s">
        <v>370</v>
      </c>
      <c r="W4" t="s">
        <v>599</v>
      </c>
      <c r="Y4" t="s">
        <v>11856</v>
      </c>
      <c r="Z4" t="str">
        <f>"01738 827169"</f>
        <v>01738 827169</v>
      </c>
      <c r="AA4" t="str">
        <f>"07446977238"</f>
        <v>07446977238</v>
      </c>
      <c r="AB4" t="s">
        <v>294</v>
      </c>
      <c r="AC4" t="s">
        <v>11855</v>
      </c>
      <c r="AD4" t="s">
        <v>145</v>
      </c>
      <c r="AE4" s="63">
        <v>45205</v>
      </c>
      <c r="AF4" t="s">
        <v>113</v>
      </c>
      <c r="AG4" t="s">
        <v>112</v>
      </c>
      <c r="AH4" t="s">
        <v>112</v>
      </c>
      <c r="AI4" s="63">
        <v>37322</v>
      </c>
      <c r="AJ4" s="63">
        <v>45657</v>
      </c>
      <c r="AK4" t="s">
        <v>111</v>
      </c>
      <c r="AL4" t="s">
        <v>111</v>
      </c>
      <c r="AM4" t="s">
        <v>111</v>
      </c>
      <c r="AN4">
        <v>3035</v>
      </c>
      <c r="AO4" t="s">
        <v>110</v>
      </c>
      <c r="AP4" t="s">
        <v>109</v>
      </c>
    </row>
    <row r="5" spans="1:42" x14ac:dyDescent="0.25">
      <c r="A5" s="28" t="str">
        <f>"0009"</f>
        <v>0009</v>
      </c>
      <c r="B5">
        <v>9</v>
      </c>
      <c r="C5" t="s">
        <v>2488</v>
      </c>
      <c r="D5" t="s">
        <v>121</v>
      </c>
      <c r="F5" t="s">
        <v>120</v>
      </c>
      <c r="G5" t="s">
        <v>783</v>
      </c>
      <c r="I5" t="s">
        <v>979</v>
      </c>
      <c r="J5" t="s">
        <v>7</v>
      </c>
      <c r="K5" s="63">
        <v>14297</v>
      </c>
      <c r="L5" s="28">
        <f>DATEDIF(K5,Zwift25!G$1,"Y")</f>
        <v>85</v>
      </c>
      <c r="M5" s="67">
        <f>IF(J5="m",VLOOKUP(L5,'All Solo Adjustments'!A:D,4,FALSE),VLOOKUP(L5,'All Solo Adjustments'!A:J,10,FALSE))</f>
        <v>1.4236111111111111E-2</v>
      </c>
      <c r="N5" s="63"/>
      <c r="O5" s="63"/>
      <c r="P5" s="63"/>
      <c r="Q5" s="63"/>
      <c r="R5" t="s">
        <v>159</v>
      </c>
      <c r="S5" t="s">
        <v>570</v>
      </c>
      <c r="T5" t="s">
        <v>292</v>
      </c>
      <c r="U5" t="s">
        <v>11854</v>
      </c>
      <c r="V5" t="s">
        <v>1461</v>
      </c>
      <c r="W5" t="s">
        <v>159</v>
      </c>
      <c r="Y5" t="s">
        <v>11853</v>
      </c>
      <c r="Z5" t="str">
        <f>"01227 373045"</f>
        <v>01227 373045</v>
      </c>
      <c r="AA5" t="str">
        <f>""</f>
        <v/>
      </c>
      <c r="AB5" t="s">
        <v>4859</v>
      </c>
      <c r="AC5" t="s">
        <v>11852</v>
      </c>
      <c r="AD5" t="s">
        <v>145</v>
      </c>
      <c r="AF5" t="s">
        <v>113</v>
      </c>
      <c r="AG5" t="s">
        <v>112</v>
      </c>
      <c r="AH5" t="s">
        <v>112</v>
      </c>
      <c r="AI5" s="63">
        <v>43455</v>
      </c>
      <c r="AK5" t="s">
        <v>111</v>
      </c>
      <c r="AL5" t="s">
        <v>111</v>
      </c>
      <c r="AM5" t="s">
        <v>111</v>
      </c>
      <c r="AN5" t="s">
        <v>105</v>
      </c>
      <c r="AO5" t="s">
        <v>110</v>
      </c>
      <c r="AP5" t="s">
        <v>109</v>
      </c>
    </row>
    <row r="6" spans="1:42" x14ac:dyDescent="0.25">
      <c r="A6" s="28" t="str">
        <f>"15735"</f>
        <v>15735</v>
      </c>
      <c r="B6">
        <v>15735</v>
      </c>
      <c r="C6" t="s">
        <v>2488</v>
      </c>
      <c r="D6" t="s">
        <v>121</v>
      </c>
      <c r="F6" t="s">
        <v>120</v>
      </c>
      <c r="G6" t="s">
        <v>11851</v>
      </c>
      <c r="H6" t="s">
        <v>284</v>
      </c>
      <c r="I6" t="s">
        <v>979</v>
      </c>
      <c r="J6" t="s">
        <v>7</v>
      </c>
      <c r="K6" s="63">
        <v>29251</v>
      </c>
      <c r="L6" s="28">
        <f>DATEDIF(K6,Zwift25!G$1,"Y")</f>
        <v>44</v>
      </c>
      <c r="M6" s="67">
        <f>IF(J6="m",VLOOKUP(L6,'All Solo Adjustments'!A:D,4,FALSE),VLOOKUP(L6,'All Solo Adjustments'!A:J,10,FALSE))</f>
        <v>3.3564814814814818E-4</v>
      </c>
      <c r="N6" s="63"/>
      <c r="O6" s="63"/>
      <c r="P6" s="63"/>
      <c r="Q6" s="63"/>
      <c r="R6" t="s">
        <v>239</v>
      </c>
      <c r="S6" t="s">
        <v>274</v>
      </c>
      <c r="T6" t="s">
        <v>292</v>
      </c>
      <c r="U6" t="s">
        <v>11850</v>
      </c>
      <c r="V6" t="s">
        <v>11849</v>
      </c>
      <c r="W6" t="s">
        <v>1778</v>
      </c>
      <c r="X6" t="s">
        <v>1601</v>
      </c>
      <c r="Y6" t="s">
        <v>11848</v>
      </c>
      <c r="Z6" t="str">
        <f>"07970805247"</f>
        <v>07970805247</v>
      </c>
      <c r="AA6" t="str">
        <f>""</f>
        <v/>
      </c>
      <c r="AB6" t="s">
        <v>868</v>
      </c>
      <c r="AC6" t="s">
        <v>11847</v>
      </c>
      <c r="AD6" t="s">
        <v>114</v>
      </c>
      <c r="AE6" s="63">
        <v>45319</v>
      </c>
      <c r="AF6" t="s">
        <v>156</v>
      </c>
      <c r="AG6" t="s">
        <v>112</v>
      </c>
      <c r="AH6" t="s">
        <v>112</v>
      </c>
      <c r="AI6" s="63">
        <v>45005</v>
      </c>
      <c r="AJ6" s="63">
        <v>45657</v>
      </c>
      <c r="AK6" t="s">
        <v>112</v>
      </c>
      <c r="AL6" t="s">
        <v>111</v>
      </c>
      <c r="AM6" t="s">
        <v>111</v>
      </c>
      <c r="AN6">
        <v>2257</v>
      </c>
      <c r="AO6" t="s">
        <v>110</v>
      </c>
      <c r="AP6" t="s">
        <v>109</v>
      </c>
    </row>
    <row r="7" spans="1:42" x14ac:dyDescent="0.25">
      <c r="A7" s="28" t="str">
        <f>"13632"</f>
        <v>13632</v>
      </c>
      <c r="B7">
        <v>13632</v>
      </c>
      <c r="C7" t="s">
        <v>2488</v>
      </c>
      <c r="D7" t="s">
        <v>121</v>
      </c>
      <c r="F7" t="s">
        <v>120</v>
      </c>
      <c r="G7" t="s">
        <v>773</v>
      </c>
      <c r="H7" t="s">
        <v>1126</v>
      </c>
      <c r="I7" t="s">
        <v>11846</v>
      </c>
      <c r="J7" t="s">
        <v>7</v>
      </c>
      <c r="K7" s="63">
        <v>20399</v>
      </c>
      <c r="L7" s="28">
        <f>DATEDIF(K7,Zwift25!G$1,"Y")</f>
        <v>68</v>
      </c>
      <c r="M7" s="67">
        <f>IF(J7="m",VLOOKUP(L7,'All Solo Adjustments'!A:D,4,FALSE),VLOOKUP(L7,'All Solo Adjustments'!A:J,10,FALSE))</f>
        <v>5.6134259259259262E-3</v>
      </c>
      <c r="N7" s="63"/>
      <c r="O7" s="63"/>
      <c r="P7" s="63"/>
      <c r="Q7" s="63"/>
      <c r="R7" t="s">
        <v>328</v>
      </c>
      <c r="S7" t="s">
        <v>327</v>
      </c>
      <c r="T7" t="s">
        <v>292</v>
      </c>
      <c r="U7" t="s">
        <v>11845</v>
      </c>
      <c r="V7" t="s">
        <v>1549</v>
      </c>
      <c r="W7" t="s">
        <v>326</v>
      </c>
      <c r="Y7" t="s">
        <v>11844</v>
      </c>
      <c r="Z7" t="str">
        <f>"01772744505"</f>
        <v>01772744505</v>
      </c>
      <c r="AA7" t="str">
        <f>""</f>
        <v/>
      </c>
      <c r="AB7" t="s">
        <v>1192</v>
      </c>
      <c r="AC7" t="s">
        <v>11843</v>
      </c>
      <c r="AD7" t="s">
        <v>114</v>
      </c>
      <c r="AE7" s="63">
        <v>45297</v>
      </c>
      <c r="AF7" t="s">
        <v>156</v>
      </c>
      <c r="AG7" t="s">
        <v>112</v>
      </c>
      <c r="AH7" t="s">
        <v>112</v>
      </c>
      <c r="AI7" s="63">
        <v>43263</v>
      </c>
      <c r="AJ7" s="63">
        <v>45657</v>
      </c>
      <c r="AK7" t="s">
        <v>112</v>
      </c>
      <c r="AL7" t="s">
        <v>111</v>
      </c>
      <c r="AM7" t="s">
        <v>111</v>
      </c>
      <c r="AN7">
        <v>25353</v>
      </c>
      <c r="AO7" t="s">
        <v>110</v>
      </c>
      <c r="AP7" t="s">
        <v>109</v>
      </c>
    </row>
    <row r="8" spans="1:42" x14ac:dyDescent="0.25">
      <c r="A8" s="28" t="str">
        <f>"15828"</f>
        <v>15828</v>
      </c>
      <c r="B8">
        <v>15828</v>
      </c>
      <c r="C8" t="s">
        <v>2488</v>
      </c>
      <c r="D8" t="s">
        <v>121</v>
      </c>
      <c r="E8" t="s">
        <v>584</v>
      </c>
      <c r="F8" t="s">
        <v>120</v>
      </c>
      <c r="G8" t="s">
        <v>952</v>
      </c>
      <c r="H8" t="s">
        <v>284</v>
      </c>
      <c r="I8" t="s">
        <v>11842</v>
      </c>
      <c r="J8" t="s">
        <v>7</v>
      </c>
      <c r="K8" s="63">
        <v>25100</v>
      </c>
      <c r="L8" s="28">
        <f>DATEDIF(K8,Zwift25!G$1,"Y")</f>
        <v>56</v>
      </c>
      <c r="M8" s="67">
        <f>IF(J8="m",VLOOKUP(L8,'All Solo Adjustments'!A:D,4,FALSE),VLOOKUP(L8,'All Solo Adjustments'!A:J,10,FALSE))</f>
        <v>2.2685185185185182E-3</v>
      </c>
      <c r="N8" s="63"/>
      <c r="O8" s="63"/>
      <c r="P8" s="63"/>
      <c r="Q8" s="63"/>
      <c r="R8" t="s">
        <v>154</v>
      </c>
      <c r="S8" t="s">
        <v>153</v>
      </c>
      <c r="T8" t="s">
        <v>292</v>
      </c>
      <c r="U8" t="s">
        <v>11841</v>
      </c>
      <c r="V8" t="s">
        <v>11840</v>
      </c>
      <c r="W8" t="s">
        <v>1528</v>
      </c>
      <c r="Y8" t="s">
        <v>11839</v>
      </c>
      <c r="Z8" t="str">
        <f>"07570128021"</f>
        <v>07570128021</v>
      </c>
      <c r="AA8" t="str">
        <f>""</f>
        <v/>
      </c>
      <c r="AB8" t="s">
        <v>1058</v>
      </c>
      <c r="AC8" t="s">
        <v>11838</v>
      </c>
      <c r="AD8" t="s">
        <v>114</v>
      </c>
      <c r="AE8" s="63">
        <v>45217</v>
      </c>
      <c r="AF8" t="s">
        <v>156</v>
      </c>
      <c r="AG8" t="s">
        <v>112</v>
      </c>
      <c r="AH8" t="s">
        <v>112</v>
      </c>
      <c r="AI8" s="63">
        <v>45066</v>
      </c>
      <c r="AJ8" s="63">
        <v>45657</v>
      </c>
      <c r="AK8" t="s">
        <v>112</v>
      </c>
      <c r="AL8" t="s">
        <v>111</v>
      </c>
      <c r="AM8" t="s">
        <v>111</v>
      </c>
      <c r="AN8">
        <v>42553</v>
      </c>
      <c r="AO8" t="s">
        <v>110</v>
      </c>
      <c r="AP8" t="s">
        <v>109</v>
      </c>
    </row>
    <row r="9" spans="1:42" x14ac:dyDescent="0.25">
      <c r="A9" s="28" t="str">
        <f>"3131"</f>
        <v>3131</v>
      </c>
      <c r="B9">
        <v>3131</v>
      </c>
      <c r="C9" t="s">
        <v>2488</v>
      </c>
      <c r="D9" t="s">
        <v>121</v>
      </c>
      <c r="F9" t="s">
        <v>120</v>
      </c>
      <c r="G9" t="s">
        <v>241</v>
      </c>
      <c r="H9" t="s">
        <v>1328</v>
      </c>
      <c r="I9" t="s">
        <v>11837</v>
      </c>
      <c r="J9" t="s">
        <v>7</v>
      </c>
      <c r="K9" s="63">
        <v>14831</v>
      </c>
      <c r="L9" s="28">
        <f>DATEDIF(K9,Zwift25!G$1,"Y")</f>
        <v>84</v>
      </c>
      <c r="M9" s="67">
        <f>IF(J9="m",VLOOKUP(L9,'All Solo Adjustments'!A:D,4,FALSE),VLOOKUP(L9,'All Solo Adjustments'!A:J,10,FALSE))</f>
        <v>1.3530092592592592E-2</v>
      </c>
      <c r="N9" s="63"/>
      <c r="O9" s="63"/>
      <c r="P9" s="63"/>
      <c r="Q9" s="63"/>
      <c r="R9" t="s">
        <v>527</v>
      </c>
      <c r="S9" t="s">
        <v>612</v>
      </c>
      <c r="T9" t="s">
        <v>292</v>
      </c>
      <c r="U9" t="s">
        <v>11836</v>
      </c>
      <c r="V9" t="s">
        <v>1136</v>
      </c>
      <c r="Y9" t="s">
        <v>11835</v>
      </c>
      <c r="Z9" t="str">
        <f>"01325 493375"</f>
        <v>01325 493375</v>
      </c>
      <c r="AA9" t="str">
        <f>"07941 395393"</f>
        <v>07941 395393</v>
      </c>
      <c r="AB9" t="s">
        <v>1226</v>
      </c>
      <c r="AC9" t="s">
        <v>11834</v>
      </c>
      <c r="AD9" t="s">
        <v>145</v>
      </c>
      <c r="AF9" t="s">
        <v>113</v>
      </c>
      <c r="AG9" t="s">
        <v>112</v>
      </c>
      <c r="AH9" t="s">
        <v>112</v>
      </c>
      <c r="AI9" s="63">
        <v>39183</v>
      </c>
      <c r="AK9" t="s">
        <v>111</v>
      </c>
      <c r="AL9" t="s">
        <v>111</v>
      </c>
      <c r="AM9" t="s">
        <v>111</v>
      </c>
      <c r="AN9">
        <v>5089</v>
      </c>
      <c r="AO9" t="s">
        <v>110</v>
      </c>
      <c r="AP9" t="s">
        <v>109</v>
      </c>
    </row>
    <row r="10" spans="1:42" x14ac:dyDescent="0.25">
      <c r="A10" s="28" t="str">
        <f>"4039"</f>
        <v>4039</v>
      </c>
      <c r="B10">
        <v>4039</v>
      </c>
      <c r="C10" t="s">
        <v>2488</v>
      </c>
      <c r="D10" t="s">
        <v>132</v>
      </c>
      <c r="F10" t="s">
        <v>120</v>
      </c>
      <c r="G10" t="s">
        <v>1475</v>
      </c>
      <c r="I10" t="s">
        <v>2283</v>
      </c>
      <c r="J10" t="s">
        <v>126</v>
      </c>
      <c r="K10" s="63">
        <v>18989</v>
      </c>
      <c r="L10" s="28">
        <f>DATEDIF(K10,Zwift25!G$1,"Y")</f>
        <v>72</v>
      </c>
      <c r="M10" s="67">
        <f>IF(J10="m",VLOOKUP(L10,'All Solo Adjustments'!A:D,4,FALSE),VLOOKUP(L10,'All Solo Adjustments'!A:J,10,FALSE))</f>
        <v>1.2453703703703705E-2</v>
      </c>
      <c r="N10" s="63"/>
      <c r="O10" s="63"/>
      <c r="P10" s="63"/>
      <c r="Q10" s="63"/>
      <c r="R10" t="s">
        <v>213</v>
      </c>
      <c r="S10" t="s">
        <v>1478</v>
      </c>
      <c r="T10" t="s">
        <v>292</v>
      </c>
      <c r="U10" t="s">
        <v>11832</v>
      </c>
      <c r="V10" t="s">
        <v>432</v>
      </c>
      <c r="W10" t="s">
        <v>11831</v>
      </c>
      <c r="X10" t="s">
        <v>213</v>
      </c>
      <c r="Y10" t="s">
        <v>11830</v>
      </c>
      <c r="Z10" t="str">
        <f>"07739175320"</f>
        <v>07739175320</v>
      </c>
      <c r="AA10" t="str">
        <f>"07708361250"</f>
        <v>07708361250</v>
      </c>
      <c r="AB10" t="s">
        <v>408</v>
      </c>
      <c r="AC10" t="s">
        <v>11833</v>
      </c>
      <c r="AD10" t="s">
        <v>114</v>
      </c>
      <c r="AE10" s="63">
        <v>45293</v>
      </c>
      <c r="AF10" t="s">
        <v>156</v>
      </c>
      <c r="AG10" t="s">
        <v>112</v>
      </c>
      <c r="AH10" t="s">
        <v>112</v>
      </c>
      <c r="AI10" s="63">
        <v>44216</v>
      </c>
      <c r="AJ10" s="63">
        <v>45657</v>
      </c>
      <c r="AK10" t="s">
        <v>112</v>
      </c>
      <c r="AL10" t="s">
        <v>111</v>
      </c>
      <c r="AM10" t="s">
        <v>111</v>
      </c>
      <c r="AN10" t="s">
        <v>105</v>
      </c>
      <c r="AO10" t="s">
        <v>122</v>
      </c>
      <c r="AP10" t="s">
        <v>122</v>
      </c>
    </row>
    <row r="11" spans="1:42" x14ac:dyDescent="0.25">
      <c r="A11" s="28" t="str">
        <f>"14831"</f>
        <v>14831</v>
      </c>
      <c r="B11">
        <v>14831</v>
      </c>
      <c r="C11" t="s">
        <v>2488</v>
      </c>
      <c r="D11" t="s">
        <v>130</v>
      </c>
      <c r="F11" t="s">
        <v>120</v>
      </c>
      <c r="G11" t="s">
        <v>506</v>
      </c>
      <c r="H11" t="s">
        <v>234</v>
      </c>
      <c r="I11" t="s">
        <v>2283</v>
      </c>
      <c r="J11" t="s">
        <v>7</v>
      </c>
      <c r="K11" s="63">
        <v>18989</v>
      </c>
      <c r="L11" s="28">
        <f>DATEDIF(K11,Zwift25!G$1,"Y")</f>
        <v>72</v>
      </c>
      <c r="M11" s="67">
        <f>IF(J11="m",VLOOKUP(L11,'All Solo Adjustments'!A:D,4,FALSE),VLOOKUP(L11,'All Solo Adjustments'!A:J,10,FALSE))</f>
        <v>7.129629629629629E-3</v>
      </c>
      <c r="N11" s="63"/>
      <c r="O11" s="63"/>
      <c r="P11" s="63"/>
      <c r="Q11" s="63"/>
      <c r="R11" t="s">
        <v>213</v>
      </c>
      <c r="S11" t="s">
        <v>1478</v>
      </c>
      <c r="T11" t="s">
        <v>292</v>
      </c>
      <c r="U11" t="s">
        <v>11832</v>
      </c>
      <c r="V11" t="s">
        <v>432</v>
      </c>
      <c r="W11" t="s">
        <v>11831</v>
      </c>
      <c r="X11" t="s">
        <v>213</v>
      </c>
      <c r="Y11" t="s">
        <v>11830</v>
      </c>
      <c r="Z11" t="str">
        <f>"07739175320"</f>
        <v>07739175320</v>
      </c>
      <c r="AA11" t="str">
        <f>"07708361250"</f>
        <v>07708361250</v>
      </c>
      <c r="AB11" t="s">
        <v>11829</v>
      </c>
      <c r="AC11" t="s">
        <v>11828</v>
      </c>
      <c r="AD11" t="s">
        <v>114</v>
      </c>
      <c r="AE11" s="63">
        <v>45293</v>
      </c>
      <c r="AF11" t="s">
        <v>113</v>
      </c>
      <c r="AG11" t="s">
        <v>112</v>
      </c>
      <c r="AH11" t="s">
        <v>112</v>
      </c>
      <c r="AI11" s="63">
        <v>44216</v>
      </c>
      <c r="AJ11" s="63">
        <v>45657</v>
      </c>
      <c r="AK11" t="s">
        <v>112</v>
      </c>
      <c r="AL11" t="s">
        <v>111</v>
      </c>
      <c r="AM11" t="s">
        <v>111</v>
      </c>
      <c r="AN11" t="s">
        <v>105</v>
      </c>
      <c r="AO11" t="s">
        <v>110</v>
      </c>
      <c r="AP11" t="s">
        <v>109</v>
      </c>
    </row>
    <row r="12" spans="1:42" x14ac:dyDescent="0.25">
      <c r="A12" s="28" t="str">
        <f>"4117"</f>
        <v>4117</v>
      </c>
      <c r="B12">
        <v>4117</v>
      </c>
      <c r="C12" t="s">
        <v>2488</v>
      </c>
      <c r="D12" t="s">
        <v>121</v>
      </c>
      <c r="E12" t="s">
        <v>584</v>
      </c>
      <c r="F12" t="s">
        <v>120</v>
      </c>
      <c r="G12" t="s">
        <v>492</v>
      </c>
      <c r="I12" t="s">
        <v>11827</v>
      </c>
      <c r="J12" t="s">
        <v>7</v>
      </c>
      <c r="K12" s="63">
        <v>20121</v>
      </c>
      <c r="L12" s="28">
        <f>DATEDIF(K12,Zwift25!G$1,"Y")</f>
        <v>69</v>
      </c>
      <c r="M12" s="67">
        <f>IF(J12="m",VLOOKUP(L12,'All Solo Adjustments'!A:D,4,FALSE),VLOOKUP(L12,'All Solo Adjustments'!A:J,10,FALSE))</f>
        <v>5.9722222222222225E-3</v>
      </c>
      <c r="N12" s="63"/>
      <c r="O12" s="63"/>
      <c r="P12" s="63"/>
      <c r="Q12" s="63"/>
      <c r="R12" t="s">
        <v>184</v>
      </c>
      <c r="S12" t="s">
        <v>183</v>
      </c>
      <c r="T12" t="s">
        <v>292</v>
      </c>
      <c r="U12" t="s">
        <v>11826</v>
      </c>
      <c r="V12" t="s">
        <v>1143</v>
      </c>
      <c r="Y12" t="s">
        <v>11825</v>
      </c>
      <c r="Z12" t="str">
        <f>"07889 054348"</f>
        <v>07889 054348</v>
      </c>
      <c r="AA12" t="str">
        <f>""</f>
        <v/>
      </c>
      <c r="AB12" t="s">
        <v>1142</v>
      </c>
      <c r="AC12" t="s">
        <v>11824</v>
      </c>
      <c r="AD12" t="s">
        <v>114</v>
      </c>
      <c r="AE12" s="63">
        <v>45302</v>
      </c>
      <c r="AF12" t="s">
        <v>156</v>
      </c>
      <c r="AG12" t="s">
        <v>112</v>
      </c>
      <c r="AH12" t="s">
        <v>112</v>
      </c>
      <c r="AI12" s="63">
        <v>40598</v>
      </c>
      <c r="AJ12" s="63">
        <v>45657</v>
      </c>
      <c r="AK12" t="s">
        <v>111</v>
      </c>
      <c r="AL12" t="s">
        <v>111</v>
      </c>
      <c r="AM12" t="s">
        <v>111</v>
      </c>
      <c r="AN12">
        <v>3504</v>
      </c>
      <c r="AO12" t="s">
        <v>110</v>
      </c>
      <c r="AP12" t="s">
        <v>109</v>
      </c>
    </row>
    <row r="13" spans="1:42" x14ac:dyDescent="0.25">
      <c r="A13" s="28" t="str">
        <f>"6227"</f>
        <v>6227</v>
      </c>
      <c r="B13">
        <v>6227</v>
      </c>
      <c r="C13" t="s">
        <v>2488</v>
      </c>
      <c r="D13" t="s">
        <v>121</v>
      </c>
      <c r="F13" t="s">
        <v>120</v>
      </c>
      <c r="G13" t="s">
        <v>11823</v>
      </c>
      <c r="I13" t="s">
        <v>978</v>
      </c>
      <c r="J13" t="s">
        <v>7</v>
      </c>
      <c r="K13" s="63">
        <v>26111</v>
      </c>
      <c r="L13" s="28">
        <f>DATEDIF(K13,Zwift25!G$1,"Y")</f>
        <v>53</v>
      </c>
      <c r="M13" s="67">
        <f>IF(J13="m",VLOOKUP(L13,'All Solo Adjustments'!A:D,4,FALSE),VLOOKUP(L13,'All Solo Adjustments'!A:J,10,FALSE))</f>
        <v>1.6666666666666668E-3</v>
      </c>
      <c r="N13" s="63"/>
      <c r="O13" s="63"/>
      <c r="P13" s="63"/>
      <c r="Q13" s="63"/>
      <c r="R13" t="s">
        <v>143</v>
      </c>
      <c r="S13" t="s">
        <v>142</v>
      </c>
      <c r="T13" t="s">
        <v>292</v>
      </c>
      <c r="U13" t="s">
        <v>11822</v>
      </c>
      <c r="V13" t="s">
        <v>173</v>
      </c>
      <c r="Y13" t="s">
        <v>11821</v>
      </c>
      <c r="Z13" t="str">
        <f>"07445349721"</f>
        <v>07445349721</v>
      </c>
      <c r="AA13" t="str">
        <f>"07977569753"</f>
        <v>07977569753</v>
      </c>
      <c r="AB13" t="s">
        <v>11820</v>
      </c>
      <c r="AC13" t="s">
        <v>11819</v>
      </c>
      <c r="AD13" t="s">
        <v>114</v>
      </c>
      <c r="AE13" s="63">
        <v>45369</v>
      </c>
      <c r="AF13" t="s">
        <v>113</v>
      </c>
      <c r="AG13" t="s">
        <v>112</v>
      </c>
      <c r="AH13" t="s">
        <v>112</v>
      </c>
      <c r="AI13" s="63">
        <v>42864</v>
      </c>
      <c r="AJ13" s="63">
        <v>45657</v>
      </c>
      <c r="AK13" t="s">
        <v>111</v>
      </c>
      <c r="AL13" t="s">
        <v>111</v>
      </c>
      <c r="AM13" t="s">
        <v>111</v>
      </c>
      <c r="AN13">
        <v>8026</v>
      </c>
      <c r="AO13" t="s">
        <v>110</v>
      </c>
      <c r="AP13" t="s">
        <v>109</v>
      </c>
    </row>
    <row r="14" spans="1:42" x14ac:dyDescent="0.25">
      <c r="A14" s="28" t="str">
        <f>"4274"</f>
        <v>4274</v>
      </c>
      <c r="B14">
        <v>4274</v>
      </c>
      <c r="C14" t="s">
        <v>2488</v>
      </c>
      <c r="D14" t="s">
        <v>121</v>
      </c>
      <c r="F14" t="s">
        <v>120</v>
      </c>
      <c r="G14" t="s">
        <v>195</v>
      </c>
      <c r="I14" t="s">
        <v>978</v>
      </c>
      <c r="J14" t="s">
        <v>7</v>
      </c>
      <c r="K14" s="63">
        <v>17023</v>
      </c>
      <c r="L14" s="28">
        <f>DATEDIF(K14,Zwift25!G$1,"Y")</f>
        <v>78</v>
      </c>
      <c r="M14" s="67">
        <f>IF(J14="m",VLOOKUP(L14,'All Solo Adjustments'!A:D,4,FALSE),VLOOKUP(L14,'All Solo Adjustments'!A:J,10,FALSE))</f>
        <v>9.9189814814814817E-3</v>
      </c>
      <c r="N14" s="63"/>
      <c r="O14" s="63"/>
      <c r="P14" s="63"/>
      <c r="Q14" s="63"/>
      <c r="R14" t="s">
        <v>118</v>
      </c>
      <c r="S14" t="s">
        <v>117</v>
      </c>
      <c r="T14" t="s">
        <v>292</v>
      </c>
      <c r="U14" t="s">
        <v>11818</v>
      </c>
      <c r="V14" t="s">
        <v>11817</v>
      </c>
      <c r="W14" t="s">
        <v>2003</v>
      </c>
      <c r="X14" t="s">
        <v>968</v>
      </c>
      <c r="Y14" t="s">
        <v>11816</v>
      </c>
      <c r="Z14" t="str">
        <f>"07708 435496"</f>
        <v>07708 435496</v>
      </c>
      <c r="AA14" t="str">
        <f>""</f>
        <v/>
      </c>
      <c r="AB14" t="s">
        <v>11815</v>
      </c>
      <c r="AD14" t="s">
        <v>145</v>
      </c>
      <c r="AE14" s="63">
        <v>45267</v>
      </c>
      <c r="AF14" t="s">
        <v>113</v>
      </c>
      <c r="AG14" t="s">
        <v>112</v>
      </c>
      <c r="AH14" t="s">
        <v>112</v>
      </c>
      <c r="AI14" s="63">
        <v>40526</v>
      </c>
      <c r="AJ14" s="63">
        <v>45657</v>
      </c>
      <c r="AK14" t="s">
        <v>111</v>
      </c>
      <c r="AL14" t="s">
        <v>111</v>
      </c>
      <c r="AM14" t="s">
        <v>111</v>
      </c>
      <c r="AN14">
        <v>6366</v>
      </c>
      <c r="AO14" t="s">
        <v>110</v>
      </c>
      <c r="AP14" t="s">
        <v>109</v>
      </c>
    </row>
    <row r="15" spans="1:42" x14ac:dyDescent="0.25">
      <c r="A15" s="28" t="str">
        <f>"3132"</f>
        <v>3132</v>
      </c>
      <c r="B15">
        <v>3132</v>
      </c>
      <c r="C15" t="s">
        <v>2488</v>
      </c>
      <c r="D15" t="s">
        <v>121</v>
      </c>
      <c r="F15" t="s">
        <v>120</v>
      </c>
      <c r="G15" t="s">
        <v>343</v>
      </c>
      <c r="I15" t="s">
        <v>978</v>
      </c>
      <c r="J15" t="s">
        <v>7</v>
      </c>
      <c r="K15" s="63">
        <v>18129</v>
      </c>
      <c r="L15" s="28">
        <f>DATEDIF(K15,Zwift25!G$1,"Y")</f>
        <v>75</v>
      </c>
      <c r="M15" s="67">
        <f>IF(J15="m",VLOOKUP(L15,'All Solo Adjustments'!A:D,4,FALSE),VLOOKUP(L15,'All Solo Adjustments'!A:J,10,FALSE))</f>
        <v>8.4374999999999988E-3</v>
      </c>
      <c r="N15" s="63"/>
      <c r="O15" s="63"/>
      <c r="P15" s="63"/>
      <c r="Q15" s="63"/>
      <c r="R15" t="s">
        <v>527</v>
      </c>
      <c r="S15" t="s">
        <v>526</v>
      </c>
      <c r="T15" t="s">
        <v>292</v>
      </c>
      <c r="U15" t="s">
        <v>3466</v>
      </c>
      <c r="V15" t="s">
        <v>11814</v>
      </c>
      <c r="W15" t="s">
        <v>11813</v>
      </c>
      <c r="X15" t="s">
        <v>611</v>
      </c>
      <c r="Y15" t="s">
        <v>11812</v>
      </c>
      <c r="Z15" t="str">
        <f>"01434 673935"</f>
        <v>01434 673935</v>
      </c>
      <c r="AA15" t="str">
        <f>""</f>
        <v/>
      </c>
      <c r="AB15" t="s">
        <v>6065</v>
      </c>
      <c r="AD15" t="s">
        <v>145</v>
      </c>
      <c r="AE15" s="63">
        <v>45303</v>
      </c>
      <c r="AF15" t="s">
        <v>113</v>
      </c>
      <c r="AG15" t="s">
        <v>112</v>
      </c>
      <c r="AH15" t="s">
        <v>112</v>
      </c>
      <c r="AI15" s="63">
        <v>39454</v>
      </c>
      <c r="AJ15" s="63">
        <v>45657</v>
      </c>
      <c r="AK15" t="s">
        <v>111</v>
      </c>
      <c r="AL15" t="s">
        <v>111</v>
      </c>
      <c r="AM15" t="s">
        <v>111</v>
      </c>
      <c r="AN15" t="s">
        <v>105</v>
      </c>
      <c r="AO15" t="s">
        <v>110</v>
      </c>
      <c r="AP15" t="s">
        <v>109</v>
      </c>
    </row>
    <row r="16" spans="1:42" x14ac:dyDescent="0.25">
      <c r="A16" s="28" t="str">
        <f>"15870"</f>
        <v>15870</v>
      </c>
      <c r="B16">
        <v>15870</v>
      </c>
      <c r="C16" t="s">
        <v>2488</v>
      </c>
      <c r="D16" t="s">
        <v>121</v>
      </c>
      <c r="F16" t="s">
        <v>120</v>
      </c>
      <c r="G16" t="s">
        <v>219</v>
      </c>
      <c r="I16" t="s">
        <v>978</v>
      </c>
      <c r="J16" t="s">
        <v>7</v>
      </c>
      <c r="K16" s="63">
        <v>29630</v>
      </c>
      <c r="L16" s="28">
        <f>DATEDIF(K16,Zwift25!G$1,"Y")</f>
        <v>43</v>
      </c>
      <c r="M16" s="67">
        <f>IF(J16="m",VLOOKUP(L16,'All Solo Adjustments'!A:D,4,FALSE),VLOOKUP(L16,'All Solo Adjustments'!A:J,10,FALSE))</f>
        <v>2.4305555555555555E-4</v>
      </c>
      <c r="N16" s="63"/>
      <c r="O16" s="63"/>
      <c r="P16" s="63"/>
      <c r="Q16" s="63"/>
      <c r="R16" t="s">
        <v>118</v>
      </c>
      <c r="S16" t="s">
        <v>117</v>
      </c>
      <c r="T16" t="s">
        <v>292</v>
      </c>
      <c r="U16" t="s">
        <v>11811</v>
      </c>
      <c r="V16" t="s">
        <v>11810</v>
      </c>
      <c r="W16" t="s">
        <v>275</v>
      </c>
      <c r="Y16" t="s">
        <v>11809</v>
      </c>
      <c r="Z16" t="str">
        <f>"07484315494"</f>
        <v>07484315494</v>
      </c>
      <c r="AA16" t="str">
        <f>""</f>
        <v/>
      </c>
      <c r="AB16" t="s">
        <v>408</v>
      </c>
      <c r="AC16" t="s">
        <v>11808</v>
      </c>
      <c r="AD16" t="s">
        <v>114</v>
      </c>
      <c r="AE16" s="63">
        <v>45260</v>
      </c>
      <c r="AF16" t="s">
        <v>113</v>
      </c>
      <c r="AG16" t="s">
        <v>112</v>
      </c>
      <c r="AH16" t="s">
        <v>112</v>
      </c>
      <c r="AI16" s="63">
        <v>45105</v>
      </c>
      <c r="AJ16" s="63">
        <v>45657</v>
      </c>
      <c r="AK16" t="s">
        <v>112</v>
      </c>
      <c r="AL16" t="s">
        <v>111</v>
      </c>
      <c r="AM16" t="s">
        <v>111</v>
      </c>
      <c r="AN16">
        <v>37952</v>
      </c>
      <c r="AO16" t="s">
        <v>110</v>
      </c>
      <c r="AP16" t="s">
        <v>109</v>
      </c>
    </row>
    <row r="17" spans="1:42" x14ac:dyDescent="0.25">
      <c r="A17" s="28" t="str">
        <f>"13801"</f>
        <v>13801</v>
      </c>
      <c r="B17">
        <v>13801</v>
      </c>
      <c r="C17" t="s">
        <v>2488</v>
      </c>
      <c r="D17" t="s">
        <v>121</v>
      </c>
      <c r="F17" t="s">
        <v>120</v>
      </c>
      <c r="G17" t="s">
        <v>386</v>
      </c>
      <c r="H17" t="s">
        <v>174</v>
      </c>
      <c r="I17" t="s">
        <v>11807</v>
      </c>
      <c r="J17" t="s">
        <v>7</v>
      </c>
      <c r="K17" s="63">
        <v>25111</v>
      </c>
      <c r="L17" s="28">
        <f>DATEDIF(K17,Zwift25!G$1,"Y")</f>
        <v>56</v>
      </c>
      <c r="M17" s="67">
        <f>IF(J17="m",VLOOKUP(L17,'All Solo Adjustments'!A:D,4,FALSE),VLOOKUP(L17,'All Solo Adjustments'!A:J,10,FALSE))</f>
        <v>2.2685185185185182E-3</v>
      </c>
      <c r="N17" s="63"/>
      <c r="O17" s="63"/>
      <c r="P17" s="63"/>
      <c r="Q17" s="63"/>
      <c r="R17" t="s">
        <v>143</v>
      </c>
      <c r="S17" t="s">
        <v>142</v>
      </c>
      <c r="T17" t="s">
        <v>292</v>
      </c>
      <c r="U17" t="s">
        <v>11806</v>
      </c>
      <c r="V17" t="s">
        <v>11805</v>
      </c>
      <c r="W17" t="s">
        <v>167</v>
      </c>
      <c r="Y17" t="s">
        <v>778</v>
      </c>
      <c r="Z17" t="str">
        <f>"07712 171007"</f>
        <v>07712 171007</v>
      </c>
      <c r="AA17" t="str">
        <f>""</f>
        <v/>
      </c>
      <c r="AB17" t="s">
        <v>1180</v>
      </c>
      <c r="AC17" t="s">
        <v>11804</v>
      </c>
      <c r="AD17" t="s">
        <v>114</v>
      </c>
      <c r="AE17" s="63">
        <v>45292</v>
      </c>
      <c r="AF17" t="s">
        <v>113</v>
      </c>
      <c r="AG17" t="s">
        <v>112</v>
      </c>
      <c r="AH17" t="s">
        <v>112</v>
      </c>
      <c r="AI17" s="63">
        <v>43343</v>
      </c>
      <c r="AJ17" s="63">
        <v>45657</v>
      </c>
      <c r="AK17" t="s">
        <v>112</v>
      </c>
      <c r="AL17" t="s">
        <v>111</v>
      </c>
      <c r="AM17" t="s">
        <v>111</v>
      </c>
      <c r="AN17">
        <v>16130</v>
      </c>
      <c r="AO17" t="s">
        <v>110</v>
      </c>
      <c r="AP17" t="s">
        <v>109</v>
      </c>
    </row>
    <row r="18" spans="1:42" x14ac:dyDescent="0.25">
      <c r="A18" s="28" t="str">
        <f>"15965"</f>
        <v>15965</v>
      </c>
      <c r="B18">
        <v>15965</v>
      </c>
      <c r="C18" t="s">
        <v>2488</v>
      </c>
      <c r="D18" t="s">
        <v>121</v>
      </c>
      <c r="F18" t="s">
        <v>120</v>
      </c>
      <c r="G18" t="s">
        <v>11803</v>
      </c>
      <c r="I18" t="s">
        <v>11802</v>
      </c>
      <c r="J18" t="s">
        <v>7</v>
      </c>
      <c r="K18" s="63">
        <v>27261</v>
      </c>
      <c r="L18" s="28">
        <f>DATEDIF(K18,Zwift25!G$1,"Y")</f>
        <v>50</v>
      </c>
      <c r="M18" s="67">
        <f>IF(J18="m",VLOOKUP(L18,'All Solo Adjustments'!A:D,4,FALSE),VLOOKUP(L18,'All Solo Adjustments'!A:J,10,FALSE))</f>
        <v>1.1342592592592591E-3</v>
      </c>
      <c r="N18" s="63"/>
      <c r="O18" s="63"/>
      <c r="P18" s="63"/>
      <c r="Q18" s="63"/>
      <c r="R18" t="s">
        <v>527</v>
      </c>
      <c r="S18" t="s">
        <v>526</v>
      </c>
      <c r="T18" t="s">
        <v>292</v>
      </c>
      <c r="U18" t="s">
        <v>11801</v>
      </c>
      <c r="W18" t="s">
        <v>11800</v>
      </c>
      <c r="Y18">
        <v>2408</v>
      </c>
      <c r="Z18" t="str">
        <f>"92166798"</f>
        <v>92166798</v>
      </c>
      <c r="AA18" t="str">
        <f>""</f>
        <v/>
      </c>
      <c r="AB18" t="s">
        <v>11799</v>
      </c>
      <c r="AC18" t="s">
        <v>11798</v>
      </c>
      <c r="AD18" t="s">
        <v>114</v>
      </c>
      <c r="AE18" s="63">
        <v>45292</v>
      </c>
      <c r="AF18" t="s">
        <v>156</v>
      </c>
      <c r="AG18" t="s">
        <v>112</v>
      </c>
      <c r="AH18" t="s">
        <v>112</v>
      </c>
      <c r="AI18" s="63">
        <v>45292</v>
      </c>
      <c r="AJ18" s="63">
        <v>45657</v>
      </c>
      <c r="AK18" t="s">
        <v>112</v>
      </c>
      <c r="AL18" t="s">
        <v>111</v>
      </c>
      <c r="AM18" t="s">
        <v>111</v>
      </c>
      <c r="AN18">
        <v>49375</v>
      </c>
      <c r="AO18" t="s">
        <v>110</v>
      </c>
      <c r="AP18" t="s">
        <v>109</v>
      </c>
    </row>
    <row r="19" spans="1:42" x14ac:dyDescent="0.25">
      <c r="A19" s="28" t="str">
        <f>"4240"</f>
        <v>4240</v>
      </c>
      <c r="B19">
        <v>4240</v>
      </c>
      <c r="C19" t="s">
        <v>2488</v>
      </c>
      <c r="D19" t="s">
        <v>121</v>
      </c>
      <c r="E19" t="s">
        <v>584</v>
      </c>
      <c r="F19" t="s">
        <v>120</v>
      </c>
      <c r="G19" t="s">
        <v>488</v>
      </c>
      <c r="I19" t="s">
        <v>2280</v>
      </c>
      <c r="J19" t="s">
        <v>7</v>
      </c>
      <c r="K19" s="63">
        <v>19010</v>
      </c>
      <c r="L19" s="28">
        <f>DATEDIF(K19,Zwift25!G$1,"Y")</f>
        <v>72</v>
      </c>
      <c r="M19" s="67">
        <f>IF(J19="m",VLOOKUP(L19,'All Solo Adjustments'!A:D,4,FALSE),VLOOKUP(L19,'All Solo Adjustments'!A:J,10,FALSE))</f>
        <v>7.129629629629629E-3</v>
      </c>
      <c r="N19" s="63"/>
      <c r="O19" s="63"/>
      <c r="P19" s="63"/>
      <c r="Q19" s="63"/>
      <c r="R19" t="s">
        <v>296</v>
      </c>
      <c r="S19" t="s">
        <v>295</v>
      </c>
      <c r="T19" t="s">
        <v>292</v>
      </c>
      <c r="U19" t="s">
        <v>11797</v>
      </c>
      <c r="V19" t="s">
        <v>2411</v>
      </c>
      <c r="W19" t="s">
        <v>2380</v>
      </c>
      <c r="Y19" t="s">
        <v>11796</v>
      </c>
      <c r="Z19" t="str">
        <f>"07887660589"</f>
        <v>07887660589</v>
      </c>
      <c r="AA19" t="str">
        <f>""</f>
        <v/>
      </c>
      <c r="AB19" t="s">
        <v>294</v>
      </c>
      <c r="AC19" t="s">
        <v>11795</v>
      </c>
      <c r="AD19" t="s">
        <v>114</v>
      </c>
      <c r="AE19" s="63">
        <v>45348</v>
      </c>
      <c r="AF19" t="s">
        <v>156</v>
      </c>
      <c r="AG19" t="s">
        <v>112</v>
      </c>
      <c r="AH19" t="s">
        <v>111</v>
      </c>
      <c r="AI19" s="63">
        <v>40578</v>
      </c>
      <c r="AJ19" s="63">
        <v>45657</v>
      </c>
      <c r="AK19" t="s">
        <v>111</v>
      </c>
      <c r="AL19" t="s">
        <v>111</v>
      </c>
      <c r="AM19" t="s">
        <v>111</v>
      </c>
      <c r="AN19">
        <v>1780</v>
      </c>
      <c r="AO19" t="s">
        <v>110</v>
      </c>
      <c r="AP19" t="s">
        <v>109</v>
      </c>
    </row>
    <row r="20" spans="1:42" x14ac:dyDescent="0.25">
      <c r="A20" s="28" t="str">
        <f>"0035"</f>
        <v>0035</v>
      </c>
      <c r="B20">
        <v>35</v>
      </c>
      <c r="C20" t="s">
        <v>2488</v>
      </c>
      <c r="D20" t="s">
        <v>121</v>
      </c>
      <c r="F20" t="s">
        <v>139</v>
      </c>
      <c r="G20" t="s">
        <v>1385</v>
      </c>
      <c r="I20" t="s">
        <v>2280</v>
      </c>
      <c r="J20" t="s">
        <v>126</v>
      </c>
      <c r="K20" s="63">
        <v>20596</v>
      </c>
      <c r="L20" s="28">
        <f>DATEDIF(K20,Zwift25!G$1,"Y")</f>
        <v>68</v>
      </c>
      <c r="M20" s="67">
        <f>IF(J20="m",VLOOKUP(L20,'All Solo Adjustments'!A:D,4,FALSE),VLOOKUP(L20,'All Solo Adjustments'!A:J,10,FALSE))</f>
        <v>1.0729166666666668E-2</v>
      </c>
      <c r="N20" s="63"/>
      <c r="O20" s="63"/>
      <c r="P20" s="63"/>
      <c r="Q20" s="63"/>
      <c r="R20" t="s">
        <v>125</v>
      </c>
      <c r="S20" t="s">
        <v>170</v>
      </c>
      <c r="T20" t="s">
        <v>292</v>
      </c>
      <c r="U20" t="s">
        <v>11794</v>
      </c>
      <c r="V20" t="s">
        <v>11793</v>
      </c>
      <c r="W20" t="s">
        <v>11792</v>
      </c>
      <c r="X20" t="s">
        <v>169</v>
      </c>
      <c r="Y20" t="s">
        <v>11791</v>
      </c>
      <c r="Z20" t="str">
        <f>"01502 730265"</f>
        <v>01502 730265</v>
      </c>
      <c r="AA20" t="str">
        <f>"07594147568"</f>
        <v>07594147568</v>
      </c>
      <c r="AB20" t="s">
        <v>1334</v>
      </c>
      <c r="AC20" t="s">
        <v>11790</v>
      </c>
      <c r="AD20" t="s">
        <v>114</v>
      </c>
      <c r="AE20" s="63">
        <v>45269</v>
      </c>
      <c r="AF20" t="s">
        <v>156</v>
      </c>
      <c r="AG20" t="s">
        <v>112</v>
      </c>
      <c r="AH20" t="s">
        <v>112</v>
      </c>
      <c r="AI20" s="63">
        <v>42193</v>
      </c>
      <c r="AJ20" s="63">
        <v>45657</v>
      </c>
      <c r="AK20" t="s">
        <v>111</v>
      </c>
      <c r="AL20" t="s">
        <v>111</v>
      </c>
      <c r="AM20" t="s">
        <v>111</v>
      </c>
      <c r="AN20">
        <v>4259</v>
      </c>
      <c r="AO20" t="s">
        <v>122</v>
      </c>
      <c r="AP20" t="s">
        <v>122</v>
      </c>
    </row>
    <row r="21" spans="1:42" x14ac:dyDescent="0.25">
      <c r="A21" s="28" t="str">
        <f>"14679"</f>
        <v>14679</v>
      </c>
      <c r="B21">
        <v>14679</v>
      </c>
      <c r="C21" t="s">
        <v>2488</v>
      </c>
      <c r="D21" t="s">
        <v>121</v>
      </c>
      <c r="F21" t="s">
        <v>120</v>
      </c>
      <c r="G21" t="s">
        <v>513</v>
      </c>
      <c r="I21" t="s">
        <v>2280</v>
      </c>
      <c r="J21" t="s">
        <v>7</v>
      </c>
      <c r="K21" s="63">
        <v>21282</v>
      </c>
      <c r="L21" s="28">
        <f>DATEDIF(K21,Zwift25!G$1,"Y")</f>
        <v>66</v>
      </c>
      <c r="M21" s="67">
        <f>IF(J21="m",VLOOKUP(L21,'All Solo Adjustments'!A:D,4,FALSE),VLOOKUP(L21,'All Solo Adjustments'!A:J,10,FALSE))</f>
        <v>4.9421296296296297E-3</v>
      </c>
      <c r="N21" s="63"/>
      <c r="O21" s="63"/>
      <c r="P21" s="63"/>
      <c r="Q21" s="63"/>
      <c r="R21" t="s">
        <v>137</v>
      </c>
      <c r="S21" t="s">
        <v>136</v>
      </c>
      <c r="T21" t="s">
        <v>292</v>
      </c>
      <c r="U21" t="s">
        <v>11789</v>
      </c>
      <c r="V21" t="s">
        <v>1454</v>
      </c>
      <c r="Y21" t="s">
        <v>11788</v>
      </c>
      <c r="Z21" t="str">
        <f>"01425 653620"</f>
        <v>01425 653620</v>
      </c>
      <c r="AA21" t="str">
        <f>"07707 472512"</f>
        <v>07707 472512</v>
      </c>
      <c r="AB21" t="s">
        <v>11787</v>
      </c>
      <c r="AC21" t="s">
        <v>11786</v>
      </c>
      <c r="AD21" t="s">
        <v>114</v>
      </c>
      <c r="AE21" s="63">
        <v>45292</v>
      </c>
      <c r="AF21" t="s">
        <v>156</v>
      </c>
      <c r="AG21" t="s">
        <v>112</v>
      </c>
      <c r="AH21" t="s">
        <v>112</v>
      </c>
      <c r="AI21" s="63">
        <v>44064</v>
      </c>
      <c r="AJ21" s="63">
        <v>45657</v>
      </c>
      <c r="AK21" t="s">
        <v>112</v>
      </c>
      <c r="AL21" t="s">
        <v>111</v>
      </c>
      <c r="AM21" t="s">
        <v>111</v>
      </c>
      <c r="AN21">
        <v>19500</v>
      </c>
      <c r="AO21" t="s">
        <v>110</v>
      </c>
      <c r="AP21" t="s">
        <v>109</v>
      </c>
    </row>
    <row r="22" spans="1:42" x14ac:dyDescent="0.25">
      <c r="A22" s="28" t="str">
        <f>"15890"</f>
        <v>15890</v>
      </c>
      <c r="B22">
        <v>15890</v>
      </c>
      <c r="C22" t="s">
        <v>2488</v>
      </c>
      <c r="D22" t="s">
        <v>121</v>
      </c>
      <c r="F22" t="s">
        <v>120</v>
      </c>
      <c r="G22" t="s">
        <v>1487</v>
      </c>
      <c r="I22" t="s">
        <v>2280</v>
      </c>
      <c r="J22" t="s">
        <v>7</v>
      </c>
      <c r="K22" s="63">
        <v>28395</v>
      </c>
      <c r="L22" s="28">
        <f>DATEDIF(K22,Zwift25!G$1,"Y")</f>
        <v>47</v>
      </c>
      <c r="M22" s="67">
        <f>IF(J22="m",VLOOKUP(L22,'All Solo Adjustments'!A:D,4,FALSE),VLOOKUP(L22,'All Solo Adjustments'!A:J,10,FALSE))</f>
        <v>6.9444444444444436E-4</v>
      </c>
      <c r="N22" s="63"/>
      <c r="O22" s="63"/>
      <c r="P22" s="63"/>
      <c r="Q22" s="63"/>
      <c r="R22" t="s">
        <v>296</v>
      </c>
      <c r="S22" t="s">
        <v>295</v>
      </c>
      <c r="T22" t="s">
        <v>292</v>
      </c>
      <c r="U22" t="s">
        <v>11785</v>
      </c>
      <c r="Y22" t="s">
        <v>11784</v>
      </c>
      <c r="Z22" t="str">
        <f>"07967047781"</f>
        <v>07967047781</v>
      </c>
      <c r="AA22" t="str">
        <f>""</f>
        <v/>
      </c>
      <c r="AB22" t="s">
        <v>11783</v>
      </c>
      <c r="AC22" t="s">
        <v>11782</v>
      </c>
      <c r="AD22" t="s">
        <v>114</v>
      </c>
      <c r="AE22" s="63">
        <v>45299</v>
      </c>
      <c r="AF22" t="s">
        <v>156</v>
      </c>
      <c r="AG22" t="s">
        <v>112</v>
      </c>
      <c r="AH22" t="s">
        <v>112</v>
      </c>
      <c r="AI22" s="63">
        <v>45126</v>
      </c>
      <c r="AJ22" s="63">
        <v>45657</v>
      </c>
      <c r="AK22" t="s">
        <v>112</v>
      </c>
      <c r="AL22" t="s">
        <v>111</v>
      </c>
      <c r="AM22" t="s">
        <v>111</v>
      </c>
      <c r="AN22">
        <v>19028</v>
      </c>
      <c r="AO22" t="s">
        <v>110</v>
      </c>
      <c r="AP22" t="s">
        <v>109</v>
      </c>
    </row>
    <row r="23" spans="1:42" x14ac:dyDescent="0.25">
      <c r="A23" s="28" t="str">
        <f>"16168"</f>
        <v>16168</v>
      </c>
      <c r="B23">
        <v>16168</v>
      </c>
      <c r="C23" t="s">
        <v>2488</v>
      </c>
      <c r="D23" t="s">
        <v>121</v>
      </c>
      <c r="F23" t="s">
        <v>120</v>
      </c>
      <c r="G23" t="s">
        <v>11781</v>
      </c>
      <c r="I23" t="s">
        <v>11780</v>
      </c>
      <c r="J23" t="s">
        <v>7</v>
      </c>
      <c r="K23" s="63">
        <v>27056</v>
      </c>
      <c r="L23" s="28">
        <f>DATEDIF(K23,Zwift25!G$1,"Y")</f>
        <v>50</v>
      </c>
      <c r="M23" s="67">
        <f>IF(J23="m",VLOOKUP(L23,'All Solo Adjustments'!A:D,4,FALSE),VLOOKUP(L23,'All Solo Adjustments'!A:J,10,FALSE))</f>
        <v>1.1342592592592591E-3</v>
      </c>
      <c r="N23" s="63"/>
      <c r="O23" s="63"/>
      <c r="P23" s="63"/>
      <c r="Q23" s="63"/>
      <c r="R23" t="s">
        <v>137</v>
      </c>
      <c r="S23" t="s">
        <v>136</v>
      </c>
      <c r="T23" t="s">
        <v>292</v>
      </c>
      <c r="U23" t="s">
        <v>11779</v>
      </c>
      <c r="V23" t="s">
        <v>11778</v>
      </c>
      <c r="W23" t="s">
        <v>11777</v>
      </c>
      <c r="X23" t="s">
        <v>564</v>
      </c>
      <c r="Y23" t="s">
        <v>11776</v>
      </c>
      <c r="Z23" t="str">
        <f>"07899943845"</f>
        <v>07899943845</v>
      </c>
      <c r="AA23" t="str">
        <f>""</f>
        <v/>
      </c>
      <c r="AB23" t="s">
        <v>11775</v>
      </c>
      <c r="AC23" t="s">
        <v>11774</v>
      </c>
      <c r="AD23" t="s">
        <v>114</v>
      </c>
      <c r="AE23" s="63">
        <v>45463</v>
      </c>
      <c r="AF23" t="s">
        <v>156</v>
      </c>
      <c r="AG23" t="s">
        <v>112</v>
      </c>
      <c r="AH23" t="s">
        <v>112</v>
      </c>
      <c r="AI23" s="63">
        <v>45463</v>
      </c>
      <c r="AJ23" s="63">
        <v>45657</v>
      </c>
      <c r="AK23" t="s">
        <v>112</v>
      </c>
      <c r="AL23" t="s">
        <v>111</v>
      </c>
      <c r="AM23" t="s">
        <v>111</v>
      </c>
      <c r="AN23">
        <v>19933</v>
      </c>
      <c r="AO23" t="s">
        <v>110</v>
      </c>
      <c r="AP23" t="s">
        <v>109</v>
      </c>
    </row>
    <row r="24" spans="1:42" x14ac:dyDescent="0.25">
      <c r="A24" s="28" t="str">
        <f>"16172"</f>
        <v>16172</v>
      </c>
      <c r="B24">
        <v>16172</v>
      </c>
      <c r="C24" t="s">
        <v>2488</v>
      </c>
      <c r="D24" t="s">
        <v>121</v>
      </c>
      <c r="F24" t="s">
        <v>120</v>
      </c>
      <c r="G24" t="s">
        <v>185</v>
      </c>
      <c r="I24" t="s">
        <v>2280</v>
      </c>
      <c r="J24" t="s">
        <v>7</v>
      </c>
      <c r="K24" s="63">
        <v>26738</v>
      </c>
      <c r="L24" s="28">
        <f>DATEDIF(K24,Zwift25!G$1,"Y")</f>
        <v>51</v>
      </c>
      <c r="M24" s="67">
        <f>IF(J24="m",VLOOKUP(L24,'All Solo Adjustments'!A:D,4,FALSE),VLOOKUP(L24,'All Solo Adjustments'!A:J,10,FALSE))</f>
        <v>1.3078703703703703E-3</v>
      </c>
      <c r="N24" s="63"/>
      <c r="O24" s="63"/>
      <c r="P24" s="63"/>
      <c r="Q24" s="63"/>
      <c r="R24" t="s">
        <v>283</v>
      </c>
      <c r="S24" t="s">
        <v>530</v>
      </c>
      <c r="T24" t="s">
        <v>292</v>
      </c>
      <c r="U24" t="s">
        <v>2254</v>
      </c>
      <c r="V24" t="s">
        <v>1307</v>
      </c>
      <c r="W24" t="s">
        <v>11773</v>
      </c>
      <c r="X24" t="s">
        <v>892</v>
      </c>
      <c r="Y24" t="s">
        <v>11772</v>
      </c>
      <c r="Z24" t="str">
        <f>"07801 353718"</f>
        <v>07801 353718</v>
      </c>
      <c r="AA24" t="str">
        <f>""</f>
        <v/>
      </c>
      <c r="AB24" t="s">
        <v>408</v>
      </c>
      <c r="AC24" t="s">
        <v>11771</v>
      </c>
      <c r="AD24" t="s">
        <v>114</v>
      </c>
      <c r="AE24" s="63">
        <v>45465</v>
      </c>
      <c r="AF24" t="s">
        <v>156</v>
      </c>
      <c r="AG24" t="s">
        <v>112</v>
      </c>
      <c r="AH24" t="s">
        <v>112</v>
      </c>
      <c r="AI24" s="63">
        <v>45465</v>
      </c>
      <c r="AJ24" s="63">
        <v>45657</v>
      </c>
      <c r="AK24" t="s">
        <v>112</v>
      </c>
      <c r="AL24" t="s">
        <v>111</v>
      </c>
      <c r="AM24" t="s">
        <v>111</v>
      </c>
      <c r="AN24">
        <v>24699</v>
      </c>
      <c r="AO24" t="s">
        <v>110</v>
      </c>
      <c r="AP24" t="s">
        <v>109</v>
      </c>
    </row>
    <row r="25" spans="1:42" x14ac:dyDescent="0.25">
      <c r="A25" s="28" t="str">
        <f>"5287"</f>
        <v>5287</v>
      </c>
      <c r="B25">
        <v>5287</v>
      </c>
      <c r="C25" t="s">
        <v>2488</v>
      </c>
      <c r="D25" t="s">
        <v>121</v>
      </c>
      <c r="F25" t="s">
        <v>120</v>
      </c>
      <c r="G25" t="s">
        <v>230</v>
      </c>
      <c r="I25" t="s">
        <v>11770</v>
      </c>
      <c r="J25" t="s">
        <v>7</v>
      </c>
      <c r="K25" s="63">
        <v>20629</v>
      </c>
      <c r="L25" s="28">
        <f>DATEDIF(K25,Zwift25!G$1,"Y")</f>
        <v>68</v>
      </c>
      <c r="M25" s="67">
        <f>IF(J25="m",VLOOKUP(L25,'All Solo Adjustments'!A:D,4,FALSE),VLOOKUP(L25,'All Solo Adjustments'!A:J,10,FALSE))</f>
        <v>5.6134259259259262E-3</v>
      </c>
      <c r="N25" s="63"/>
      <c r="O25" s="63"/>
      <c r="P25" s="63"/>
      <c r="Q25" s="63"/>
      <c r="R25" t="s">
        <v>154</v>
      </c>
      <c r="S25" t="s">
        <v>153</v>
      </c>
      <c r="T25" t="s">
        <v>292</v>
      </c>
      <c r="U25" t="s">
        <v>11769</v>
      </c>
      <c r="V25" t="s">
        <v>11768</v>
      </c>
      <c r="W25" t="s">
        <v>11767</v>
      </c>
      <c r="X25" t="s">
        <v>363</v>
      </c>
      <c r="Y25" t="s">
        <v>11766</v>
      </c>
      <c r="Z25" t="str">
        <f>"07730 596389"</f>
        <v>07730 596389</v>
      </c>
      <c r="AA25" t="str">
        <f>"01822 614355"</f>
        <v>01822 614355</v>
      </c>
      <c r="AB25" t="s">
        <v>243</v>
      </c>
      <c r="AC25" t="s">
        <v>11765</v>
      </c>
      <c r="AD25" t="s">
        <v>114</v>
      </c>
      <c r="AE25" s="63">
        <v>45292</v>
      </c>
      <c r="AF25" t="s">
        <v>113</v>
      </c>
      <c r="AG25" t="s">
        <v>112</v>
      </c>
      <c r="AH25" t="s">
        <v>112</v>
      </c>
      <c r="AI25" s="63">
        <v>42005</v>
      </c>
      <c r="AJ25" s="63">
        <v>45657</v>
      </c>
      <c r="AK25" t="s">
        <v>111</v>
      </c>
      <c r="AL25" t="s">
        <v>111</v>
      </c>
      <c r="AM25" t="s">
        <v>111</v>
      </c>
      <c r="AN25">
        <v>158</v>
      </c>
      <c r="AO25" t="s">
        <v>110</v>
      </c>
      <c r="AP25" t="s">
        <v>109</v>
      </c>
    </row>
    <row r="26" spans="1:42" x14ac:dyDescent="0.25">
      <c r="A26" s="28" t="str">
        <f>"5547"</f>
        <v>5547</v>
      </c>
      <c r="B26">
        <v>5547</v>
      </c>
      <c r="C26" t="s">
        <v>2488</v>
      </c>
      <c r="D26" t="s">
        <v>121</v>
      </c>
      <c r="F26" t="s">
        <v>120</v>
      </c>
      <c r="G26" t="s">
        <v>481</v>
      </c>
      <c r="H26" t="s">
        <v>359</v>
      </c>
      <c r="I26" t="s">
        <v>1082</v>
      </c>
      <c r="J26" t="s">
        <v>7</v>
      </c>
      <c r="K26" s="63">
        <v>21164</v>
      </c>
      <c r="L26" s="28">
        <f>DATEDIF(K26,Zwift25!G$1,"Y")</f>
        <v>66</v>
      </c>
      <c r="M26" s="67">
        <f>IF(J26="m",VLOOKUP(L26,'All Solo Adjustments'!A:D,4,FALSE),VLOOKUP(L26,'All Solo Adjustments'!A:J,10,FALSE))</f>
        <v>4.9421296296296297E-3</v>
      </c>
      <c r="N26" s="63"/>
      <c r="O26" s="63"/>
      <c r="P26" s="63"/>
      <c r="Q26" s="63"/>
      <c r="R26" t="s">
        <v>125</v>
      </c>
      <c r="S26" t="s">
        <v>170</v>
      </c>
      <c r="T26" t="s">
        <v>292</v>
      </c>
      <c r="U26" t="s">
        <v>11764</v>
      </c>
      <c r="V26" t="s">
        <v>1669</v>
      </c>
      <c r="W26" t="s">
        <v>146</v>
      </c>
      <c r="Y26" t="s">
        <v>11763</v>
      </c>
      <c r="Z26" t="str">
        <f>"01707 329092"</f>
        <v>01707 329092</v>
      </c>
      <c r="AA26" t="str">
        <f>"07718239398"</f>
        <v>07718239398</v>
      </c>
      <c r="AB26" t="s">
        <v>646</v>
      </c>
      <c r="AC26" t="s">
        <v>11762</v>
      </c>
      <c r="AD26" t="s">
        <v>114</v>
      </c>
      <c r="AE26" s="63">
        <v>45293</v>
      </c>
      <c r="AF26" t="s">
        <v>113</v>
      </c>
      <c r="AG26" t="s">
        <v>112</v>
      </c>
      <c r="AH26" t="s">
        <v>112</v>
      </c>
      <c r="AI26" s="63">
        <v>42184</v>
      </c>
      <c r="AJ26" s="63">
        <v>45657</v>
      </c>
      <c r="AK26" t="s">
        <v>111</v>
      </c>
      <c r="AL26" t="s">
        <v>111</v>
      </c>
      <c r="AM26" t="s">
        <v>111</v>
      </c>
      <c r="AN26">
        <v>7479</v>
      </c>
      <c r="AO26" t="s">
        <v>110</v>
      </c>
      <c r="AP26" t="s">
        <v>109</v>
      </c>
    </row>
    <row r="27" spans="1:42" x14ac:dyDescent="0.25">
      <c r="A27" s="28" t="str">
        <f>"0047"</f>
        <v>0047</v>
      </c>
      <c r="B27">
        <v>47</v>
      </c>
      <c r="C27" t="s">
        <v>2488</v>
      </c>
      <c r="D27" t="s">
        <v>121</v>
      </c>
      <c r="F27" t="s">
        <v>120</v>
      </c>
      <c r="G27" t="s">
        <v>185</v>
      </c>
      <c r="I27" t="s">
        <v>11761</v>
      </c>
      <c r="J27" t="s">
        <v>7</v>
      </c>
      <c r="K27" s="63">
        <v>16327</v>
      </c>
      <c r="L27" s="28">
        <f>DATEDIF(K27,Zwift25!G$1,"Y")</f>
        <v>80</v>
      </c>
      <c r="M27" s="67">
        <f>IF(J27="m",VLOOKUP(L27,'All Solo Adjustments'!A:D,4,FALSE),VLOOKUP(L27,'All Solo Adjustments'!A:J,10,FALSE))</f>
        <v>1.1018518518518518E-2</v>
      </c>
      <c r="N27" s="63"/>
      <c r="O27" s="63"/>
      <c r="P27" s="63"/>
      <c r="Q27" s="63"/>
      <c r="R27" t="s">
        <v>154</v>
      </c>
      <c r="S27" t="s">
        <v>2404</v>
      </c>
      <c r="T27" t="s">
        <v>292</v>
      </c>
      <c r="U27" t="s">
        <v>11760</v>
      </c>
      <c r="V27" t="s">
        <v>11759</v>
      </c>
      <c r="W27" t="s">
        <v>1528</v>
      </c>
      <c r="Y27" t="s">
        <v>11758</v>
      </c>
      <c r="Z27" t="str">
        <f>"01234 123456"</f>
        <v>01234 123456</v>
      </c>
      <c r="AA27" t="str">
        <f>""</f>
        <v/>
      </c>
      <c r="AB27" t="s">
        <v>290</v>
      </c>
      <c r="AD27" t="s">
        <v>145</v>
      </c>
      <c r="AF27" t="s">
        <v>113</v>
      </c>
      <c r="AG27" t="s">
        <v>112</v>
      </c>
      <c r="AH27" t="s">
        <v>112</v>
      </c>
      <c r="AI27" s="63">
        <v>31048</v>
      </c>
      <c r="AK27" t="s">
        <v>111</v>
      </c>
      <c r="AL27" t="s">
        <v>111</v>
      </c>
      <c r="AM27" t="s">
        <v>111</v>
      </c>
      <c r="AN27" t="s">
        <v>105</v>
      </c>
      <c r="AO27" t="s">
        <v>110</v>
      </c>
      <c r="AP27" t="s">
        <v>109</v>
      </c>
    </row>
    <row r="28" spans="1:42" x14ac:dyDescent="0.25">
      <c r="A28" s="28" t="str">
        <f>"11406"</f>
        <v>11406</v>
      </c>
      <c r="B28">
        <v>11406</v>
      </c>
      <c r="C28" t="s">
        <v>2488</v>
      </c>
      <c r="D28" t="s">
        <v>121</v>
      </c>
      <c r="F28" t="s">
        <v>149</v>
      </c>
      <c r="G28" t="s">
        <v>11757</v>
      </c>
      <c r="I28" t="s">
        <v>2276</v>
      </c>
      <c r="J28" t="s">
        <v>126</v>
      </c>
      <c r="K28" s="63">
        <v>12317</v>
      </c>
      <c r="L28" s="28">
        <f>DATEDIF(K28,Zwift25!G$1,"Y")</f>
        <v>91</v>
      </c>
      <c r="M28" s="67">
        <f>IF(J28="m",VLOOKUP(L28,'All Solo Adjustments'!A:D,4,FALSE),VLOOKUP(L28,'All Solo Adjustments'!A:J,10,FALSE))</f>
        <v>2.6238425925925925E-2</v>
      </c>
      <c r="N28" s="63"/>
      <c r="O28" s="63"/>
      <c r="P28" s="63"/>
      <c r="Q28" s="63"/>
      <c r="R28" t="s">
        <v>184</v>
      </c>
      <c r="S28" t="s">
        <v>2477</v>
      </c>
      <c r="T28" t="s">
        <v>292</v>
      </c>
      <c r="U28" t="s">
        <v>2476</v>
      </c>
      <c r="V28" t="s">
        <v>2475</v>
      </c>
      <c r="W28" t="s">
        <v>1034</v>
      </c>
      <c r="Y28" t="s">
        <v>2474</v>
      </c>
      <c r="Z28" t="str">
        <f>"020 8578 7730"</f>
        <v>020 8578 7730</v>
      </c>
      <c r="AA28" t="str">
        <f>""</f>
        <v/>
      </c>
      <c r="AB28" t="s">
        <v>833</v>
      </c>
      <c r="AD28" t="s">
        <v>151</v>
      </c>
      <c r="AF28" t="s">
        <v>113</v>
      </c>
      <c r="AG28" t="s">
        <v>112</v>
      </c>
      <c r="AH28" t="s">
        <v>112</v>
      </c>
      <c r="AK28" t="s">
        <v>111</v>
      </c>
      <c r="AL28" t="s">
        <v>111</v>
      </c>
      <c r="AM28" t="s">
        <v>111</v>
      </c>
      <c r="AN28" t="s">
        <v>105</v>
      </c>
      <c r="AO28" t="s">
        <v>122</v>
      </c>
      <c r="AP28" t="s">
        <v>122</v>
      </c>
    </row>
    <row r="29" spans="1:42" x14ac:dyDescent="0.25">
      <c r="A29" s="28" t="str">
        <f>"6169"</f>
        <v>6169</v>
      </c>
      <c r="B29">
        <v>6169</v>
      </c>
      <c r="C29" t="s">
        <v>2488</v>
      </c>
      <c r="D29" t="s">
        <v>121</v>
      </c>
      <c r="E29" t="s">
        <v>584</v>
      </c>
      <c r="F29" t="s">
        <v>120</v>
      </c>
      <c r="G29" t="s">
        <v>410</v>
      </c>
      <c r="H29" t="s">
        <v>1743</v>
      </c>
      <c r="I29" t="s">
        <v>2276</v>
      </c>
      <c r="J29" t="s">
        <v>7</v>
      </c>
      <c r="K29" s="63">
        <v>19793</v>
      </c>
      <c r="L29" s="28">
        <f>DATEDIF(K29,Zwift25!G$1,"Y")</f>
        <v>70</v>
      </c>
      <c r="M29" s="67">
        <f>IF(J29="m",VLOOKUP(L29,'All Solo Adjustments'!A:D,4,FALSE),VLOOKUP(L29,'All Solo Adjustments'!A:J,10,FALSE))</f>
        <v>6.3425925925925924E-3</v>
      </c>
      <c r="N29" s="63"/>
      <c r="O29" s="63"/>
      <c r="P29" s="63"/>
      <c r="Q29" s="63"/>
      <c r="R29" t="s">
        <v>328</v>
      </c>
      <c r="S29" t="s">
        <v>327</v>
      </c>
      <c r="T29" t="s">
        <v>292</v>
      </c>
      <c r="U29" t="s">
        <v>11756</v>
      </c>
      <c r="V29" t="s">
        <v>11755</v>
      </c>
      <c r="W29" t="s">
        <v>11754</v>
      </c>
      <c r="X29" t="s">
        <v>810</v>
      </c>
      <c r="Y29" t="s">
        <v>11753</v>
      </c>
      <c r="Z29" t="str">
        <f>"01697321716"</f>
        <v>01697321716</v>
      </c>
      <c r="AA29" t="str">
        <f>"07375529727"</f>
        <v>07375529727</v>
      </c>
      <c r="AB29" t="s">
        <v>9946</v>
      </c>
      <c r="AC29" t="s">
        <v>11752</v>
      </c>
      <c r="AD29" t="s">
        <v>114</v>
      </c>
      <c r="AE29" s="63">
        <v>45279</v>
      </c>
      <c r="AF29" t="s">
        <v>113</v>
      </c>
      <c r="AG29" t="s">
        <v>112</v>
      </c>
      <c r="AH29" t="s">
        <v>112</v>
      </c>
      <c r="AI29" s="63">
        <v>42736</v>
      </c>
      <c r="AJ29" s="63">
        <v>45657</v>
      </c>
      <c r="AK29" t="s">
        <v>111</v>
      </c>
      <c r="AL29" t="s">
        <v>111</v>
      </c>
      <c r="AM29" t="s">
        <v>111</v>
      </c>
      <c r="AN29">
        <v>3574</v>
      </c>
      <c r="AO29" t="s">
        <v>110</v>
      </c>
      <c r="AP29" t="s">
        <v>109</v>
      </c>
    </row>
    <row r="30" spans="1:42" x14ac:dyDescent="0.25">
      <c r="A30" s="28" t="str">
        <f>"0050"</f>
        <v>0050</v>
      </c>
      <c r="B30">
        <v>50</v>
      </c>
      <c r="C30" t="s">
        <v>2488</v>
      </c>
      <c r="D30" t="s">
        <v>121</v>
      </c>
      <c r="F30" t="s">
        <v>120</v>
      </c>
      <c r="G30" t="s">
        <v>978</v>
      </c>
      <c r="I30" t="s">
        <v>2276</v>
      </c>
      <c r="J30" t="s">
        <v>7</v>
      </c>
      <c r="K30" s="63">
        <v>13627</v>
      </c>
      <c r="L30" s="28">
        <f>DATEDIF(K30,Zwift25!G$1,"Y")</f>
        <v>87</v>
      </c>
      <c r="M30" s="67">
        <f>IF(J30="m",VLOOKUP(L30,'All Solo Adjustments'!A:D,4,FALSE),VLOOKUP(L30,'All Solo Adjustments'!A:J,10,FALSE))</f>
        <v>1.576388888888889E-2</v>
      </c>
      <c r="N30" s="63"/>
      <c r="O30" s="63"/>
      <c r="P30" s="63"/>
      <c r="Q30" s="63"/>
      <c r="R30" t="s">
        <v>527</v>
      </c>
      <c r="S30" t="s">
        <v>612</v>
      </c>
      <c r="T30" t="s">
        <v>292</v>
      </c>
      <c r="U30" t="s">
        <v>11751</v>
      </c>
      <c r="V30" t="s">
        <v>11750</v>
      </c>
      <c r="W30" t="s">
        <v>887</v>
      </c>
      <c r="Y30" t="s">
        <v>11749</v>
      </c>
      <c r="Z30" t="str">
        <f>"0191 2630271"</f>
        <v>0191 2630271</v>
      </c>
      <c r="AA30" t="str">
        <f>""</f>
        <v/>
      </c>
      <c r="AB30" t="s">
        <v>11748</v>
      </c>
      <c r="AD30" t="s">
        <v>151</v>
      </c>
      <c r="AF30" t="s">
        <v>113</v>
      </c>
      <c r="AG30" t="s">
        <v>112</v>
      </c>
      <c r="AH30" t="s">
        <v>112</v>
      </c>
      <c r="AI30" s="63">
        <v>33604</v>
      </c>
      <c r="AK30" t="s">
        <v>111</v>
      </c>
      <c r="AL30" t="s">
        <v>111</v>
      </c>
      <c r="AM30" t="s">
        <v>111</v>
      </c>
      <c r="AN30" t="s">
        <v>105</v>
      </c>
      <c r="AO30" t="s">
        <v>110</v>
      </c>
      <c r="AP30" t="s">
        <v>109</v>
      </c>
    </row>
    <row r="31" spans="1:42" x14ac:dyDescent="0.25">
      <c r="A31" s="28" t="str">
        <f>"15629"</f>
        <v>15629</v>
      </c>
      <c r="B31">
        <v>15629</v>
      </c>
      <c r="C31" t="s">
        <v>2488</v>
      </c>
      <c r="D31" t="s">
        <v>121</v>
      </c>
      <c r="E31" t="s">
        <v>584</v>
      </c>
      <c r="F31" t="s">
        <v>120</v>
      </c>
      <c r="G31" t="s">
        <v>11747</v>
      </c>
      <c r="H31" t="s">
        <v>11746</v>
      </c>
      <c r="I31" t="s">
        <v>2276</v>
      </c>
      <c r="J31" t="s">
        <v>7</v>
      </c>
      <c r="K31" s="63">
        <v>19813</v>
      </c>
      <c r="L31" s="28">
        <f>DATEDIF(K31,Zwift25!G$1,"Y")</f>
        <v>70</v>
      </c>
      <c r="M31" s="67">
        <f>IF(J31="m",VLOOKUP(L31,'All Solo Adjustments'!A:D,4,FALSE),VLOOKUP(L31,'All Solo Adjustments'!A:J,10,FALSE))</f>
        <v>6.3425925925925924E-3</v>
      </c>
      <c r="N31" s="63"/>
      <c r="O31" s="63"/>
      <c r="P31" s="63"/>
      <c r="Q31" s="63"/>
      <c r="R31" t="s">
        <v>180</v>
      </c>
      <c r="S31" t="s">
        <v>179</v>
      </c>
      <c r="T31" t="s">
        <v>292</v>
      </c>
      <c r="U31" t="s">
        <v>11745</v>
      </c>
      <c r="Y31" t="s">
        <v>11744</v>
      </c>
      <c r="Z31" t="str">
        <f>"07522 866819"</f>
        <v>07522 866819</v>
      </c>
      <c r="AA31" t="str">
        <f>""</f>
        <v/>
      </c>
      <c r="AB31" t="s">
        <v>11743</v>
      </c>
      <c r="AC31" t="s">
        <v>11742</v>
      </c>
      <c r="AD31" t="s">
        <v>114</v>
      </c>
      <c r="AE31" s="63">
        <v>45396</v>
      </c>
      <c r="AF31" t="s">
        <v>156</v>
      </c>
      <c r="AG31" t="s">
        <v>112</v>
      </c>
      <c r="AH31" t="s">
        <v>112</v>
      </c>
      <c r="AI31" s="63">
        <v>44910</v>
      </c>
      <c r="AJ31" s="63">
        <v>45657</v>
      </c>
      <c r="AK31" t="s">
        <v>112</v>
      </c>
      <c r="AL31" t="s">
        <v>111</v>
      </c>
      <c r="AM31" t="s">
        <v>111</v>
      </c>
      <c r="AN31">
        <v>45732</v>
      </c>
      <c r="AO31" t="s">
        <v>110</v>
      </c>
      <c r="AP31" t="s">
        <v>109</v>
      </c>
    </row>
    <row r="32" spans="1:42" x14ac:dyDescent="0.25">
      <c r="A32" s="28" t="str">
        <f>"16049"</f>
        <v>16049</v>
      </c>
      <c r="B32">
        <v>16049</v>
      </c>
      <c r="C32" t="s">
        <v>2488</v>
      </c>
      <c r="D32" t="s">
        <v>121</v>
      </c>
      <c r="F32" t="s">
        <v>120</v>
      </c>
      <c r="G32" t="s">
        <v>1464</v>
      </c>
      <c r="I32" t="s">
        <v>2276</v>
      </c>
      <c r="J32" t="s">
        <v>7</v>
      </c>
      <c r="K32" s="63">
        <v>20821</v>
      </c>
      <c r="L32" s="28">
        <f>DATEDIF(K32,Zwift25!G$1,"Y")</f>
        <v>67</v>
      </c>
      <c r="M32" s="67">
        <f>IF(J32="m",VLOOKUP(L32,'All Solo Adjustments'!A:D,4,FALSE),VLOOKUP(L32,'All Solo Adjustments'!A:J,10,FALSE))</f>
        <v>5.2662037037037035E-3</v>
      </c>
      <c r="N32" s="63"/>
      <c r="O32" s="63"/>
      <c r="P32" s="63"/>
      <c r="Q32" s="63"/>
      <c r="R32" t="s">
        <v>213</v>
      </c>
      <c r="S32" t="s">
        <v>212</v>
      </c>
      <c r="T32" t="s">
        <v>292</v>
      </c>
      <c r="U32">
        <v>11</v>
      </c>
      <c r="V32" t="s">
        <v>11741</v>
      </c>
      <c r="W32" t="s">
        <v>393</v>
      </c>
      <c r="Y32" t="s">
        <v>11740</v>
      </c>
      <c r="Z32" t="str">
        <f>"07975751877"</f>
        <v>07975751877</v>
      </c>
      <c r="AA32" t="str">
        <f>""</f>
        <v/>
      </c>
      <c r="AB32" t="s">
        <v>11739</v>
      </c>
      <c r="AC32" t="s">
        <v>11738</v>
      </c>
      <c r="AD32" t="s">
        <v>114</v>
      </c>
      <c r="AE32" s="63">
        <v>45353</v>
      </c>
      <c r="AF32" t="s">
        <v>156</v>
      </c>
      <c r="AG32" t="s">
        <v>112</v>
      </c>
      <c r="AH32" t="s">
        <v>112</v>
      </c>
      <c r="AI32" s="63">
        <v>45353</v>
      </c>
      <c r="AJ32" s="63">
        <v>45657</v>
      </c>
      <c r="AK32" t="s">
        <v>112</v>
      </c>
      <c r="AL32" t="s">
        <v>111</v>
      </c>
      <c r="AM32" t="s">
        <v>111</v>
      </c>
      <c r="AN32">
        <v>15910</v>
      </c>
      <c r="AO32" t="s">
        <v>110</v>
      </c>
      <c r="AP32" t="s">
        <v>109</v>
      </c>
    </row>
    <row r="33" spans="1:42" x14ac:dyDescent="0.25">
      <c r="A33" s="28" t="str">
        <f>"5076"</f>
        <v>5076</v>
      </c>
      <c r="B33">
        <v>5076</v>
      </c>
      <c r="C33" t="s">
        <v>2488</v>
      </c>
      <c r="D33" t="s">
        <v>121</v>
      </c>
      <c r="F33" t="s">
        <v>120</v>
      </c>
      <c r="G33" t="s">
        <v>165</v>
      </c>
      <c r="H33" t="s">
        <v>413</v>
      </c>
      <c r="I33" t="s">
        <v>984</v>
      </c>
      <c r="J33" t="s">
        <v>7</v>
      </c>
      <c r="K33" s="63">
        <v>27189</v>
      </c>
      <c r="L33" s="28">
        <f>DATEDIF(K33,Zwift25!G$1,"Y")</f>
        <v>50</v>
      </c>
      <c r="M33" s="67">
        <f>IF(J33="m",VLOOKUP(L33,'All Solo Adjustments'!A:D,4,FALSE),VLOOKUP(L33,'All Solo Adjustments'!A:J,10,FALSE))</f>
        <v>1.1342592592592591E-3</v>
      </c>
      <c r="N33" s="63"/>
      <c r="O33" s="63"/>
      <c r="P33" s="63"/>
      <c r="Q33" s="63"/>
      <c r="R33" t="s">
        <v>125</v>
      </c>
      <c r="S33" t="s">
        <v>170</v>
      </c>
      <c r="T33" t="s">
        <v>292</v>
      </c>
      <c r="U33" t="s">
        <v>11737</v>
      </c>
      <c r="V33" t="s">
        <v>2275</v>
      </c>
      <c r="W33" t="s">
        <v>169</v>
      </c>
      <c r="Y33" t="s">
        <v>11736</v>
      </c>
      <c r="Z33" t="str">
        <f>"07779 639677"</f>
        <v>07779 639677</v>
      </c>
      <c r="AA33" t="str">
        <f>""</f>
        <v/>
      </c>
      <c r="AB33" t="s">
        <v>11735</v>
      </c>
      <c r="AC33" t="s">
        <v>11734</v>
      </c>
      <c r="AD33" t="s">
        <v>114</v>
      </c>
      <c r="AE33" s="63">
        <v>45327</v>
      </c>
      <c r="AF33" t="s">
        <v>113</v>
      </c>
      <c r="AG33" t="s">
        <v>112</v>
      </c>
      <c r="AH33" t="s">
        <v>112</v>
      </c>
      <c r="AI33" s="63">
        <v>41799</v>
      </c>
      <c r="AJ33" s="63">
        <v>45657</v>
      </c>
      <c r="AK33" t="s">
        <v>111</v>
      </c>
      <c r="AL33" t="s">
        <v>111</v>
      </c>
      <c r="AM33" t="s">
        <v>111</v>
      </c>
      <c r="AN33">
        <v>3172</v>
      </c>
      <c r="AO33" t="s">
        <v>110</v>
      </c>
      <c r="AP33" t="s">
        <v>109</v>
      </c>
    </row>
    <row r="34" spans="1:42" x14ac:dyDescent="0.25">
      <c r="A34" s="28" t="str">
        <f>"0056"</f>
        <v>0056</v>
      </c>
      <c r="B34">
        <v>56</v>
      </c>
      <c r="C34" t="s">
        <v>2488</v>
      </c>
      <c r="D34" t="s">
        <v>121</v>
      </c>
      <c r="F34" t="s">
        <v>120</v>
      </c>
      <c r="G34" t="s">
        <v>251</v>
      </c>
      <c r="H34" t="s">
        <v>11733</v>
      </c>
      <c r="I34" t="s">
        <v>11732</v>
      </c>
      <c r="J34" t="s">
        <v>7</v>
      </c>
      <c r="K34" s="63">
        <v>17167</v>
      </c>
      <c r="L34" s="28">
        <f>DATEDIF(K34,Zwift25!G$1,"Y")</f>
        <v>77</v>
      </c>
      <c r="M34" s="67">
        <f>IF(J34="m",VLOOKUP(L34,'All Solo Adjustments'!A:D,4,FALSE),VLOOKUP(L34,'All Solo Adjustments'!A:J,10,FALSE))</f>
        <v>9.3981481481481485E-3</v>
      </c>
      <c r="N34" s="63"/>
      <c r="O34" s="63"/>
      <c r="P34" s="63"/>
      <c r="Q34" s="63"/>
      <c r="R34" t="s">
        <v>137</v>
      </c>
      <c r="S34" t="s">
        <v>136</v>
      </c>
      <c r="T34" t="s">
        <v>292</v>
      </c>
      <c r="U34" t="s">
        <v>11731</v>
      </c>
      <c r="V34" t="s">
        <v>135</v>
      </c>
      <c r="W34" t="s">
        <v>134</v>
      </c>
      <c r="Y34" t="s">
        <v>11730</v>
      </c>
      <c r="Z34" t="str">
        <f>"07933436539"</f>
        <v>07933436539</v>
      </c>
      <c r="AA34" t="str">
        <f>""</f>
        <v/>
      </c>
      <c r="AB34" t="s">
        <v>1735</v>
      </c>
      <c r="AC34" t="s">
        <v>11729</v>
      </c>
      <c r="AD34" t="s">
        <v>114</v>
      </c>
      <c r="AE34" s="63">
        <v>45356</v>
      </c>
      <c r="AF34" t="s">
        <v>156</v>
      </c>
      <c r="AG34" t="s">
        <v>112</v>
      </c>
      <c r="AH34" t="s">
        <v>112</v>
      </c>
      <c r="AI34" s="63">
        <v>43186</v>
      </c>
      <c r="AJ34" s="63">
        <v>45657</v>
      </c>
      <c r="AK34" t="s">
        <v>112</v>
      </c>
      <c r="AL34" t="s">
        <v>111</v>
      </c>
      <c r="AM34" t="s">
        <v>111</v>
      </c>
      <c r="AN34">
        <v>3008</v>
      </c>
      <c r="AO34" t="s">
        <v>110</v>
      </c>
      <c r="AP34" t="s">
        <v>109</v>
      </c>
    </row>
    <row r="35" spans="1:42" x14ac:dyDescent="0.25">
      <c r="A35" s="28" t="str">
        <f>"6378"</f>
        <v>6378</v>
      </c>
      <c r="B35">
        <v>6378</v>
      </c>
      <c r="C35" t="s">
        <v>2488</v>
      </c>
      <c r="D35" t="s">
        <v>121</v>
      </c>
      <c r="F35" t="s">
        <v>120</v>
      </c>
      <c r="G35" t="s">
        <v>189</v>
      </c>
      <c r="I35" t="s">
        <v>1588</v>
      </c>
      <c r="J35" t="s">
        <v>7</v>
      </c>
      <c r="K35" s="63">
        <v>23623</v>
      </c>
      <c r="L35" s="28">
        <f>DATEDIF(K35,Zwift25!G$1,"Y")</f>
        <v>60</v>
      </c>
      <c r="M35" s="67">
        <f>IF(J35="m",VLOOKUP(L35,'All Solo Adjustments'!A:D,4,FALSE),VLOOKUP(L35,'All Solo Adjustments'!A:J,10,FALSE))</f>
        <v>3.2060185185185186E-3</v>
      </c>
      <c r="N35" s="63"/>
      <c r="O35" s="63"/>
      <c r="P35" s="63"/>
      <c r="Q35" s="63"/>
      <c r="R35" t="s">
        <v>125</v>
      </c>
      <c r="S35" t="s">
        <v>170</v>
      </c>
      <c r="T35" t="s">
        <v>292</v>
      </c>
      <c r="U35" t="s">
        <v>11728</v>
      </c>
      <c r="V35" t="s">
        <v>483</v>
      </c>
      <c r="W35" t="s">
        <v>146</v>
      </c>
      <c r="Y35" t="s">
        <v>11727</v>
      </c>
      <c r="Z35" t="str">
        <f>"07958 542579"</f>
        <v>07958 542579</v>
      </c>
      <c r="AA35" t="str">
        <f>"07776260172"</f>
        <v>07776260172</v>
      </c>
      <c r="AB35" t="s">
        <v>482</v>
      </c>
      <c r="AC35" t="s">
        <v>11726</v>
      </c>
      <c r="AD35" t="s">
        <v>114</v>
      </c>
      <c r="AE35" s="63">
        <v>45263</v>
      </c>
      <c r="AF35" t="s">
        <v>156</v>
      </c>
      <c r="AG35" t="s">
        <v>112</v>
      </c>
      <c r="AH35" t="s">
        <v>112</v>
      </c>
      <c r="AI35" s="63">
        <v>43108</v>
      </c>
      <c r="AJ35" s="63">
        <v>45657</v>
      </c>
      <c r="AK35" t="s">
        <v>111</v>
      </c>
      <c r="AL35" t="s">
        <v>112</v>
      </c>
      <c r="AM35" t="s">
        <v>111</v>
      </c>
      <c r="AN35">
        <v>14000</v>
      </c>
      <c r="AO35" t="s">
        <v>110</v>
      </c>
      <c r="AP35" t="s">
        <v>109</v>
      </c>
    </row>
    <row r="36" spans="1:42" x14ac:dyDescent="0.25">
      <c r="A36" s="28" t="str">
        <f>"0060"</f>
        <v>0060</v>
      </c>
      <c r="B36">
        <v>60</v>
      </c>
      <c r="C36" t="s">
        <v>2488</v>
      </c>
      <c r="D36" t="s">
        <v>121</v>
      </c>
      <c r="F36" t="s">
        <v>120</v>
      </c>
      <c r="G36" t="s">
        <v>402</v>
      </c>
      <c r="I36" t="s">
        <v>11725</v>
      </c>
      <c r="J36" t="s">
        <v>7</v>
      </c>
      <c r="K36" s="63">
        <v>13450</v>
      </c>
      <c r="L36" s="28">
        <f>DATEDIF(K36,Zwift25!G$1,"Y")</f>
        <v>87</v>
      </c>
      <c r="M36" s="67">
        <f>IF(J36="m",VLOOKUP(L36,'All Solo Adjustments'!A:D,4,FALSE),VLOOKUP(L36,'All Solo Adjustments'!A:J,10,FALSE))</f>
        <v>1.576388888888889E-2</v>
      </c>
      <c r="N36" s="63"/>
      <c r="O36" s="63"/>
      <c r="P36" s="63"/>
      <c r="Q36" s="63"/>
      <c r="R36" t="s">
        <v>184</v>
      </c>
      <c r="S36" t="s">
        <v>835</v>
      </c>
      <c r="T36" t="s">
        <v>292</v>
      </c>
      <c r="U36" t="s">
        <v>11724</v>
      </c>
      <c r="V36" t="s">
        <v>11723</v>
      </c>
      <c r="W36" t="s">
        <v>1284</v>
      </c>
      <c r="Y36" t="s">
        <v>11722</v>
      </c>
      <c r="Z36" t="str">
        <f>"01908 662620"</f>
        <v>01908 662620</v>
      </c>
      <c r="AA36" t="str">
        <f>""</f>
        <v/>
      </c>
      <c r="AB36" t="s">
        <v>346</v>
      </c>
      <c r="AC36" t="s">
        <v>11721</v>
      </c>
      <c r="AD36" t="s">
        <v>151</v>
      </c>
      <c r="AF36" t="s">
        <v>113</v>
      </c>
      <c r="AG36" t="s">
        <v>112</v>
      </c>
      <c r="AH36" t="s">
        <v>112</v>
      </c>
      <c r="AI36" s="63">
        <v>28095</v>
      </c>
      <c r="AK36" t="s">
        <v>111</v>
      </c>
      <c r="AL36" t="s">
        <v>111</v>
      </c>
      <c r="AM36" t="s">
        <v>111</v>
      </c>
      <c r="AN36" t="s">
        <v>105</v>
      </c>
      <c r="AO36" t="s">
        <v>110</v>
      </c>
      <c r="AP36" t="s">
        <v>109</v>
      </c>
    </row>
    <row r="37" spans="1:42" x14ac:dyDescent="0.25">
      <c r="A37" s="28" t="str">
        <f>"5862"</f>
        <v>5862</v>
      </c>
      <c r="B37">
        <v>5862</v>
      </c>
      <c r="C37" t="s">
        <v>2488</v>
      </c>
      <c r="D37" t="s">
        <v>121</v>
      </c>
      <c r="F37" t="s">
        <v>120</v>
      </c>
      <c r="G37" t="s">
        <v>594</v>
      </c>
      <c r="I37" t="s">
        <v>11720</v>
      </c>
      <c r="J37" t="s">
        <v>7</v>
      </c>
      <c r="K37" s="63">
        <v>22789</v>
      </c>
      <c r="L37" s="28">
        <f>DATEDIF(K37,Zwift25!G$1,"Y")</f>
        <v>62</v>
      </c>
      <c r="M37" s="67">
        <f>IF(J37="m",VLOOKUP(L37,'All Solo Adjustments'!A:D,4,FALSE),VLOOKUP(L37,'All Solo Adjustments'!A:J,10,FALSE))</f>
        <v>3.7384259259259259E-3</v>
      </c>
      <c r="N37" s="63"/>
      <c r="O37" s="63"/>
      <c r="P37" s="63"/>
      <c r="Q37" s="63"/>
      <c r="R37" t="s">
        <v>159</v>
      </c>
      <c r="S37" t="s">
        <v>162</v>
      </c>
      <c r="T37" t="s">
        <v>292</v>
      </c>
      <c r="U37" t="s">
        <v>11719</v>
      </c>
      <c r="V37" t="s">
        <v>3137</v>
      </c>
      <c r="W37" t="s">
        <v>159</v>
      </c>
      <c r="Y37" t="s">
        <v>11718</v>
      </c>
      <c r="Z37" t="str">
        <f>"07860 459464"</f>
        <v>07860 459464</v>
      </c>
      <c r="AA37" t="str">
        <f>""</f>
        <v/>
      </c>
      <c r="AB37" t="s">
        <v>1460</v>
      </c>
      <c r="AC37" t="s">
        <v>11717</v>
      </c>
      <c r="AD37" t="s">
        <v>114</v>
      </c>
      <c r="AE37" s="63">
        <v>45293</v>
      </c>
      <c r="AF37" t="s">
        <v>113</v>
      </c>
      <c r="AG37" t="s">
        <v>112</v>
      </c>
      <c r="AH37" t="s">
        <v>112</v>
      </c>
      <c r="AI37" s="63">
        <v>43483</v>
      </c>
      <c r="AJ37" s="63">
        <v>45657</v>
      </c>
      <c r="AK37" t="s">
        <v>111</v>
      </c>
      <c r="AL37" t="s">
        <v>111</v>
      </c>
      <c r="AM37" t="s">
        <v>111</v>
      </c>
      <c r="AN37">
        <v>2080</v>
      </c>
      <c r="AO37" t="s">
        <v>110</v>
      </c>
      <c r="AP37" t="s">
        <v>109</v>
      </c>
    </row>
    <row r="38" spans="1:42" x14ac:dyDescent="0.25">
      <c r="A38" s="28" t="str">
        <f>"3281"</f>
        <v>3281</v>
      </c>
      <c r="B38">
        <v>3281</v>
      </c>
      <c r="C38" t="s">
        <v>2488</v>
      </c>
      <c r="D38" t="s">
        <v>121</v>
      </c>
      <c r="F38" t="s">
        <v>120</v>
      </c>
      <c r="G38" t="s">
        <v>821</v>
      </c>
      <c r="I38" t="s">
        <v>11716</v>
      </c>
      <c r="J38" t="s">
        <v>7</v>
      </c>
      <c r="K38" s="63">
        <v>14233</v>
      </c>
      <c r="L38" s="28">
        <f>DATEDIF(K38,Zwift25!G$1,"Y")</f>
        <v>85</v>
      </c>
      <c r="M38" s="67">
        <f>IF(J38="m",VLOOKUP(L38,'All Solo Adjustments'!A:D,4,FALSE),VLOOKUP(L38,'All Solo Adjustments'!A:J,10,FALSE))</f>
        <v>1.4236111111111111E-2</v>
      </c>
      <c r="N38" s="63"/>
      <c r="O38" s="63"/>
      <c r="P38" s="63"/>
      <c r="Q38" s="63"/>
      <c r="R38" t="s">
        <v>198</v>
      </c>
      <c r="S38" t="s">
        <v>476</v>
      </c>
      <c r="T38" t="s">
        <v>292</v>
      </c>
      <c r="U38" t="s">
        <v>11715</v>
      </c>
      <c r="V38" t="s">
        <v>1332</v>
      </c>
      <c r="W38" t="s">
        <v>1055</v>
      </c>
      <c r="X38" t="s">
        <v>196</v>
      </c>
      <c r="Y38" t="s">
        <v>11714</v>
      </c>
      <c r="Z38" t="str">
        <f>"0161 485 7969"</f>
        <v>0161 485 7969</v>
      </c>
      <c r="AA38" t="str">
        <f>"07722732014"</f>
        <v>07722732014</v>
      </c>
      <c r="AB38" t="s">
        <v>11713</v>
      </c>
      <c r="AC38" t="s">
        <v>11712</v>
      </c>
      <c r="AD38" t="s">
        <v>145</v>
      </c>
      <c r="AF38" t="s">
        <v>156</v>
      </c>
      <c r="AG38" t="s">
        <v>112</v>
      </c>
      <c r="AH38" t="s">
        <v>112</v>
      </c>
      <c r="AI38" s="63">
        <v>30194</v>
      </c>
      <c r="AK38" t="s">
        <v>111</v>
      </c>
      <c r="AL38" t="s">
        <v>111</v>
      </c>
      <c r="AM38" t="s">
        <v>111</v>
      </c>
      <c r="AN38">
        <v>19848</v>
      </c>
      <c r="AO38" t="s">
        <v>110</v>
      </c>
      <c r="AP38" t="s">
        <v>109</v>
      </c>
    </row>
    <row r="39" spans="1:42" x14ac:dyDescent="0.25">
      <c r="A39" s="28" t="str">
        <f>"15117"</f>
        <v>15117</v>
      </c>
      <c r="B39">
        <v>15117</v>
      </c>
      <c r="C39" t="s">
        <v>2488</v>
      </c>
      <c r="D39" t="s">
        <v>121</v>
      </c>
      <c r="F39" t="s">
        <v>120</v>
      </c>
      <c r="G39" t="s">
        <v>195</v>
      </c>
      <c r="H39" t="s">
        <v>284</v>
      </c>
      <c r="I39" t="s">
        <v>2274</v>
      </c>
      <c r="J39" t="s">
        <v>7</v>
      </c>
      <c r="K39" s="63">
        <v>18876</v>
      </c>
      <c r="L39" s="28">
        <f>DATEDIF(K39,Zwift25!G$1,"Y")</f>
        <v>73</v>
      </c>
      <c r="M39" s="67">
        <f>IF(J39="m",VLOOKUP(L39,'All Solo Adjustments'!A:D,4,FALSE),VLOOKUP(L39,'All Solo Adjustments'!A:J,10,FALSE))</f>
        <v>7.5462962962962966E-3</v>
      </c>
      <c r="N39" s="63"/>
      <c r="O39" s="63"/>
      <c r="P39" s="63"/>
      <c r="Q39" s="63"/>
      <c r="R39" t="s">
        <v>154</v>
      </c>
      <c r="S39" t="s">
        <v>153</v>
      </c>
      <c r="T39" t="s">
        <v>292</v>
      </c>
      <c r="U39" t="s">
        <v>11711</v>
      </c>
      <c r="V39" t="s">
        <v>11710</v>
      </c>
      <c r="W39" t="s">
        <v>371</v>
      </c>
      <c r="X39" t="s">
        <v>2232</v>
      </c>
      <c r="Y39" t="s">
        <v>11709</v>
      </c>
      <c r="Z39" t="str">
        <f>"01271 624900"</f>
        <v>01271 624900</v>
      </c>
      <c r="AA39" t="str">
        <f>""</f>
        <v/>
      </c>
      <c r="AB39" t="s">
        <v>11708</v>
      </c>
      <c r="AC39" t="s">
        <v>11707</v>
      </c>
      <c r="AD39" t="s">
        <v>114</v>
      </c>
      <c r="AE39" s="63">
        <v>45298</v>
      </c>
      <c r="AF39" t="s">
        <v>156</v>
      </c>
      <c r="AG39" t="s">
        <v>112</v>
      </c>
      <c r="AH39" t="s">
        <v>112</v>
      </c>
      <c r="AI39" s="63">
        <v>44361</v>
      </c>
      <c r="AJ39" s="63">
        <v>45657</v>
      </c>
      <c r="AK39" t="s">
        <v>112</v>
      </c>
      <c r="AL39" t="s">
        <v>111</v>
      </c>
      <c r="AM39" t="s">
        <v>111</v>
      </c>
      <c r="AN39">
        <v>39839</v>
      </c>
      <c r="AO39" t="s">
        <v>110</v>
      </c>
      <c r="AP39" t="s">
        <v>109</v>
      </c>
    </row>
    <row r="40" spans="1:42" x14ac:dyDescent="0.25">
      <c r="A40" s="28" t="str">
        <f>"3536"</f>
        <v>3536</v>
      </c>
      <c r="B40">
        <v>3536</v>
      </c>
      <c r="C40" t="s">
        <v>2488</v>
      </c>
      <c r="D40" t="s">
        <v>121</v>
      </c>
      <c r="E40" t="s">
        <v>584</v>
      </c>
      <c r="F40" t="s">
        <v>120</v>
      </c>
      <c r="G40" t="s">
        <v>952</v>
      </c>
      <c r="I40" t="s">
        <v>3404</v>
      </c>
      <c r="J40" t="s">
        <v>7</v>
      </c>
      <c r="K40" s="63">
        <v>23596</v>
      </c>
      <c r="L40" s="28">
        <f>DATEDIF(K40,Zwift25!G$1,"Y")</f>
        <v>60</v>
      </c>
      <c r="M40" s="67">
        <f>IF(J40="m",VLOOKUP(L40,'All Solo Adjustments'!A:D,4,FALSE),VLOOKUP(L40,'All Solo Adjustments'!A:J,10,FALSE))</f>
        <v>3.2060185185185186E-3</v>
      </c>
      <c r="N40" s="63"/>
      <c r="O40" s="63"/>
      <c r="P40" s="63"/>
      <c r="Q40" s="63"/>
      <c r="R40" t="s">
        <v>239</v>
      </c>
      <c r="S40" t="s">
        <v>274</v>
      </c>
      <c r="T40" t="s">
        <v>292</v>
      </c>
      <c r="U40" t="s">
        <v>11706</v>
      </c>
      <c r="V40" t="s">
        <v>11705</v>
      </c>
      <c r="W40" t="s">
        <v>4022</v>
      </c>
      <c r="X40" t="s">
        <v>11704</v>
      </c>
      <c r="Y40" t="s">
        <v>11703</v>
      </c>
      <c r="Z40" t="str">
        <f>"01377 257108"</f>
        <v>01377 257108</v>
      </c>
      <c r="AA40" t="str">
        <f>"07717390627"</f>
        <v>07717390627</v>
      </c>
      <c r="AB40" t="s">
        <v>917</v>
      </c>
      <c r="AC40" t="s">
        <v>11702</v>
      </c>
      <c r="AD40" t="s">
        <v>114</v>
      </c>
      <c r="AE40" s="63">
        <v>45322</v>
      </c>
      <c r="AF40" t="s">
        <v>113</v>
      </c>
      <c r="AG40" t="s">
        <v>112</v>
      </c>
      <c r="AH40" t="s">
        <v>112</v>
      </c>
      <c r="AI40" s="63">
        <v>39853</v>
      </c>
      <c r="AJ40" s="63">
        <v>45657</v>
      </c>
      <c r="AK40" t="s">
        <v>111</v>
      </c>
      <c r="AL40" t="s">
        <v>111</v>
      </c>
      <c r="AM40" t="s">
        <v>111</v>
      </c>
      <c r="AN40">
        <v>17437</v>
      </c>
      <c r="AO40" t="s">
        <v>110</v>
      </c>
      <c r="AP40" t="s">
        <v>109</v>
      </c>
    </row>
    <row r="41" spans="1:42" x14ac:dyDescent="0.25">
      <c r="A41" s="28" t="str">
        <f>"14964"</f>
        <v>14964</v>
      </c>
      <c r="B41">
        <v>14964</v>
      </c>
      <c r="C41" t="s">
        <v>2488</v>
      </c>
      <c r="D41" t="s">
        <v>121</v>
      </c>
      <c r="F41" t="s">
        <v>120</v>
      </c>
      <c r="G41" t="s">
        <v>405</v>
      </c>
      <c r="I41" t="s">
        <v>11701</v>
      </c>
      <c r="J41" t="s">
        <v>7</v>
      </c>
      <c r="K41" s="63">
        <v>27134</v>
      </c>
      <c r="L41" s="28">
        <f>DATEDIF(K41,Zwift25!G$1,"Y")</f>
        <v>50</v>
      </c>
      <c r="M41" s="67">
        <f>IF(J41="m",VLOOKUP(L41,'All Solo Adjustments'!A:D,4,FALSE),VLOOKUP(L41,'All Solo Adjustments'!A:J,10,FALSE))</f>
        <v>1.1342592592592591E-3</v>
      </c>
      <c r="N41" s="63"/>
      <c r="O41" s="63"/>
      <c r="P41" s="63"/>
      <c r="Q41" s="63"/>
      <c r="R41" t="s">
        <v>239</v>
      </c>
      <c r="S41" t="s">
        <v>274</v>
      </c>
      <c r="T41" t="s">
        <v>292</v>
      </c>
      <c r="U41" t="s">
        <v>11700</v>
      </c>
      <c r="V41" t="s">
        <v>11699</v>
      </c>
      <c r="W41" t="s">
        <v>11698</v>
      </c>
      <c r="X41" t="s">
        <v>236</v>
      </c>
      <c r="Y41" t="s">
        <v>11697</v>
      </c>
      <c r="Z41" t="str">
        <f>"+447432151873"</f>
        <v>+447432151873</v>
      </c>
      <c r="AA41" t="str">
        <f>""</f>
        <v/>
      </c>
      <c r="AB41" t="s">
        <v>679</v>
      </c>
      <c r="AC41" t="s">
        <v>11696</v>
      </c>
      <c r="AD41" t="s">
        <v>114</v>
      </c>
      <c r="AE41" s="63">
        <v>45264</v>
      </c>
      <c r="AF41" t="s">
        <v>113</v>
      </c>
      <c r="AG41" t="s">
        <v>112</v>
      </c>
      <c r="AH41" t="s">
        <v>112</v>
      </c>
      <c r="AI41" s="63">
        <v>44289</v>
      </c>
      <c r="AJ41" s="63">
        <v>45657</v>
      </c>
      <c r="AK41" t="s">
        <v>112</v>
      </c>
      <c r="AL41" t="s">
        <v>112</v>
      </c>
      <c r="AM41" t="s">
        <v>111</v>
      </c>
      <c r="AN41">
        <v>3167</v>
      </c>
      <c r="AO41" t="s">
        <v>110</v>
      </c>
      <c r="AP41" t="s">
        <v>109</v>
      </c>
    </row>
    <row r="42" spans="1:42" x14ac:dyDescent="0.25">
      <c r="A42" s="28" t="str">
        <f>"13941"</f>
        <v>13941</v>
      </c>
      <c r="B42">
        <v>13941</v>
      </c>
      <c r="C42" t="s">
        <v>2488</v>
      </c>
      <c r="D42" t="s">
        <v>121</v>
      </c>
      <c r="E42" t="s">
        <v>584</v>
      </c>
      <c r="F42" t="s">
        <v>149</v>
      </c>
      <c r="G42" t="s">
        <v>11695</v>
      </c>
      <c r="H42" t="s">
        <v>4555</v>
      </c>
      <c r="I42" t="s">
        <v>11694</v>
      </c>
      <c r="J42" t="s">
        <v>126</v>
      </c>
      <c r="K42" s="63">
        <v>27885</v>
      </c>
      <c r="L42" s="28">
        <f>DATEDIF(K42,Zwift25!G$1,"Y")</f>
        <v>48</v>
      </c>
      <c r="M42" s="67">
        <f>IF(J42="m",VLOOKUP(L42,'All Solo Adjustments'!A:D,4,FALSE),VLOOKUP(L42,'All Solo Adjustments'!A:J,10,FALSE))</f>
        <v>4.8032407407407407E-3</v>
      </c>
      <c r="N42" s="63"/>
      <c r="O42" s="63"/>
      <c r="P42" s="63"/>
      <c r="Q42" s="63"/>
      <c r="R42" t="s">
        <v>198</v>
      </c>
      <c r="S42" t="s">
        <v>461</v>
      </c>
      <c r="T42" t="s">
        <v>292</v>
      </c>
      <c r="U42" t="s">
        <v>11693</v>
      </c>
      <c r="V42" t="s">
        <v>11692</v>
      </c>
      <c r="W42" t="s">
        <v>1178</v>
      </c>
      <c r="X42" t="s">
        <v>196</v>
      </c>
      <c r="Y42" t="s">
        <v>11691</v>
      </c>
      <c r="Z42" t="str">
        <f>"07979253823"</f>
        <v>07979253823</v>
      </c>
      <c r="AA42" t="str">
        <f>""</f>
        <v/>
      </c>
      <c r="AB42" t="s">
        <v>1177</v>
      </c>
      <c r="AC42" t="s">
        <v>11690</v>
      </c>
      <c r="AD42" t="s">
        <v>114</v>
      </c>
      <c r="AE42" s="63">
        <v>45274</v>
      </c>
      <c r="AF42" t="s">
        <v>113</v>
      </c>
      <c r="AG42" t="s">
        <v>112</v>
      </c>
      <c r="AH42" t="s">
        <v>112</v>
      </c>
      <c r="AI42" s="63">
        <v>43455</v>
      </c>
      <c r="AJ42" s="63">
        <v>45657</v>
      </c>
      <c r="AK42" t="s">
        <v>112</v>
      </c>
      <c r="AL42" t="s">
        <v>111</v>
      </c>
      <c r="AM42" t="s">
        <v>111</v>
      </c>
      <c r="AN42">
        <v>22218</v>
      </c>
      <c r="AO42" t="s">
        <v>122</v>
      </c>
      <c r="AP42" t="s">
        <v>122</v>
      </c>
    </row>
    <row r="43" spans="1:42" x14ac:dyDescent="0.25">
      <c r="A43" s="28" t="str">
        <f>"14033"</f>
        <v>14033</v>
      </c>
      <c r="B43">
        <v>14033</v>
      </c>
      <c r="C43" t="s">
        <v>2488</v>
      </c>
      <c r="D43" t="s">
        <v>121</v>
      </c>
      <c r="E43" t="s">
        <v>584</v>
      </c>
      <c r="F43" t="s">
        <v>120</v>
      </c>
      <c r="G43" t="s">
        <v>285</v>
      </c>
      <c r="H43" t="s">
        <v>405</v>
      </c>
      <c r="I43" t="s">
        <v>1169</v>
      </c>
      <c r="J43" t="s">
        <v>7</v>
      </c>
      <c r="K43" s="63">
        <v>28034</v>
      </c>
      <c r="L43" s="28">
        <f>DATEDIF(K43,Zwift25!G$1,"Y")</f>
        <v>48</v>
      </c>
      <c r="M43" s="67">
        <f>IF(J43="m",VLOOKUP(L43,'All Solo Adjustments'!A:D,4,FALSE),VLOOKUP(L43,'All Solo Adjustments'!A:J,10,FALSE))</f>
        <v>8.3333333333333339E-4</v>
      </c>
      <c r="N43" s="63"/>
      <c r="O43" s="63"/>
      <c r="P43" s="63"/>
      <c r="Q43" s="63"/>
      <c r="R43" t="s">
        <v>213</v>
      </c>
      <c r="S43" t="s">
        <v>212</v>
      </c>
      <c r="T43" t="s">
        <v>292</v>
      </c>
      <c r="U43" t="s">
        <v>11689</v>
      </c>
      <c r="V43" t="s">
        <v>1946</v>
      </c>
      <c r="W43" t="s">
        <v>912</v>
      </c>
      <c r="X43" t="s">
        <v>912</v>
      </c>
      <c r="Y43" t="s">
        <v>11688</v>
      </c>
      <c r="Z43" t="str">
        <f>"01978841412"</f>
        <v>01978841412</v>
      </c>
      <c r="AA43" t="str">
        <f>"07825914153"</f>
        <v>07825914153</v>
      </c>
      <c r="AB43" t="s">
        <v>1318</v>
      </c>
      <c r="AC43" t="s">
        <v>11687</v>
      </c>
      <c r="AD43" t="s">
        <v>114</v>
      </c>
      <c r="AE43" s="63">
        <v>45288</v>
      </c>
      <c r="AF43" t="s">
        <v>156</v>
      </c>
      <c r="AG43" t="s">
        <v>112</v>
      </c>
      <c r="AH43" t="s">
        <v>112</v>
      </c>
      <c r="AI43" s="63">
        <v>43501</v>
      </c>
      <c r="AJ43" s="63">
        <v>45657</v>
      </c>
      <c r="AK43" t="s">
        <v>112</v>
      </c>
      <c r="AL43" t="s">
        <v>111</v>
      </c>
      <c r="AM43" t="s">
        <v>111</v>
      </c>
      <c r="AN43">
        <v>465</v>
      </c>
      <c r="AO43" t="s">
        <v>110</v>
      </c>
      <c r="AP43" t="s">
        <v>109</v>
      </c>
    </row>
    <row r="44" spans="1:42" x14ac:dyDescent="0.25">
      <c r="A44" s="28" t="str">
        <f>"0069"</f>
        <v>0069</v>
      </c>
      <c r="B44">
        <v>69</v>
      </c>
      <c r="C44" t="s">
        <v>2488</v>
      </c>
      <c r="D44" t="s">
        <v>121</v>
      </c>
      <c r="F44" t="s">
        <v>120</v>
      </c>
      <c r="G44" t="s">
        <v>1981</v>
      </c>
      <c r="I44" t="s">
        <v>11686</v>
      </c>
      <c r="J44" t="s">
        <v>7</v>
      </c>
      <c r="K44" s="63">
        <v>13348</v>
      </c>
      <c r="L44" s="28">
        <f>DATEDIF(K44,Zwift25!G$1,"Y")</f>
        <v>88</v>
      </c>
      <c r="M44" s="67">
        <f>IF(J44="m",VLOOKUP(L44,'All Solo Adjustments'!A:D,4,FALSE),VLOOKUP(L44,'All Solo Adjustments'!A:J,10,FALSE))</f>
        <v>1.6597222222222222E-2</v>
      </c>
      <c r="N44" s="63"/>
      <c r="O44" s="63"/>
      <c r="P44" s="63"/>
      <c r="Q44" s="63"/>
      <c r="R44" t="s">
        <v>527</v>
      </c>
      <c r="S44" t="s">
        <v>612</v>
      </c>
      <c r="T44" t="s">
        <v>292</v>
      </c>
      <c r="U44" t="s">
        <v>11685</v>
      </c>
      <c r="V44" t="s">
        <v>1838</v>
      </c>
      <c r="W44" t="s">
        <v>1248</v>
      </c>
      <c r="Y44" t="s">
        <v>11684</v>
      </c>
      <c r="Z44" t="str">
        <f>"01642 780597"</f>
        <v>01642 780597</v>
      </c>
      <c r="AA44" t="str">
        <f>""</f>
        <v/>
      </c>
      <c r="AB44" t="s">
        <v>290</v>
      </c>
      <c r="AD44" t="s">
        <v>151</v>
      </c>
      <c r="AF44" t="s">
        <v>113</v>
      </c>
      <c r="AG44" t="s">
        <v>112</v>
      </c>
      <c r="AH44" t="s">
        <v>112</v>
      </c>
      <c r="AK44" t="s">
        <v>111</v>
      </c>
      <c r="AL44" t="s">
        <v>111</v>
      </c>
      <c r="AM44" t="s">
        <v>111</v>
      </c>
      <c r="AN44" t="s">
        <v>105</v>
      </c>
      <c r="AO44" t="s">
        <v>110</v>
      </c>
      <c r="AP44" t="s">
        <v>109</v>
      </c>
    </row>
    <row r="45" spans="1:42" x14ac:dyDescent="0.25">
      <c r="A45" s="28" t="str">
        <f>"3480"</f>
        <v>3480</v>
      </c>
      <c r="B45">
        <v>3480</v>
      </c>
      <c r="C45" t="s">
        <v>2488</v>
      </c>
      <c r="D45" t="s">
        <v>121</v>
      </c>
      <c r="F45" t="s">
        <v>120</v>
      </c>
      <c r="G45" t="s">
        <v>800</v>
      </c>
      <c r="H45" t="s">
        <v>174</v>
      </c>
      <c r="I45" t="s">
        <v>11683</v>
      </c>
      <c r="J45" t="s">
        <v>7</v>
      </c>
      <c r="K45" s="63">
        <v>15514</v>
      </c>
      <c r="L45" s="28">
        <f>DATEDIF(K45,Zwift25!G$1,"Y")</f>
        <v>82</v>
      </c>
      <c r="M45" s="67">
        <f>IF(J45="m",VLOOKUP(L45,'All Solo Adjustments'!A:D,4,FALSE),VLOOKUP(L45,'All Solo Adjustments'!A:J,10,FALSE))</f>
        <v>1.2210648148148148E-2</v>
      </c>
      <c r="N45" s="63"/>
      <c r="O45" s="63"/>
      <c r="P45" s="63"/>
      <c r="Q45" s="63"/>
      <c r="R45" t="s">
        <v>137</v>
      </c>
      <c r="S45" t="s">
        <v>136</v>
      </c>
      <c r="T45" t="s">
        <v>292</v>
      </c>
      <c r="U45" t="s">
        <v>11682</v>
      </c>
      <c r="V45" t="s">
        <v>11681</v>
      </c>
      <c r="W45" t="s">
        <v>11680</v>
      </c>
      <c r="X45" t="s">
        <v>11679</v>
      </c>
      <c r="Y45" t="s">
        <v>11678</v>
      </c>
      <c r="Z45" t="str">
        <f>"01264 365342"</f>
        <v>01264 365342</v>
      </c>
      <c r="AA45" t="str">
        <f>"0774 9876 025"</f>
        <v>0774 9876 025</v>
      </c>
      <c r="AB45" t="s">
        <v>11677</v>
      </c>
      <c r="AC45" t="s">
        <v>11676</v>
      </c>
      <c r="AD45" t="s">
        <v>145</v>
      </c>
      <c r="AE45" s="63">
        <v>45302</v>
      </c>
      <c r="AF45" t="s">
        <v>113</v>
      </c>
      <c r="AG45" t="s">
        <v>112</v>
      </c>
      <c r="AH45" t="s">
        <v>112</v>
      </c>
      <c r="AI45" s="63">
        <v>39722</v>
      </c>
      <c r="AJ45" s="63">
        <v>45657</v>
      </c>
      <c r="AK45" t="s">
        <v>111</v>
      </c>
      <c r="AL45" t="s">
        <v>111</v>
      </c>
      <c r="AM45" t="s">
        <v>111</v>
      </c>
      <c r="AN45" t="s">
        <v>105</v>
      </c>
      <c r="AO45" t="s">
        <v>110</v>
      </c>
      <c r="AP45" t="s">
        <v>109</v>
      </c>
    </row>
    <row r="46" spans="1:42" x14ac:dyDescent="0.25">
      <c r="A46" s="28" t="str">
        <f>"4626"</f>
        <v>4626</v>
      </c>
      <c r="B46">
        <v>4626</v>
      </c>
      <c r="C46" t="s">
        <v>2488</v>
      </c>
      <c r="D46" t="s">
        <v>121</v>
      </c>
      <c r="E46" t="s">
        <v>584</v>
      </c>
      <c r="F46" t="s">
        <v>120</v>
      </c>
      <c r="G46" t="s">
        <v>300</v>
      </c>
      <c r="I46" t="s">
        <v>1773</v>
      </c>
      <c r="J46" t="s">
        <v>7</v>
      </c>
      <c r="K46" s="63">
        <v>16356</v>
      </c>
      <c r="L46" s="28">
        <f>DATEDIF(K46,Zwift25!G$1,"Y")</f>
        <v>80</v>
      </c>
      <c r="M46" s="67">
        <f>IF(J46="m",VLOOKUP(L46,'All Solo Adjustments'!A:D,4,FALSE),VLOOKUP(L46,'All Solo Adjustments'!A:J,10,FALSE))</f>
        <v>1.1018518518518518E-2</v>
      </c>
      <c r="N46" s="63"/>
      <c r="O46" s="63"/>
      <c r="P46" s="63"/>
      <c r="Q46" s="63"/>
      <c r="R46" t="s">
        <v>137</v>
      </c>
      <c r="S46" t="s">
        <v>136</v>
      </c>
      <c r="T46" t="s">
        <v>292</v>
      </c>
      <c r="U46" t="s">
        <v>11675</v>
      </c>
      <c r="V46" t="s">
        <v>209</v>
      </c>
      <c r="W46" t="s">
        <v>208</v>
      </c>
      <c r="Y46" t="s">
        <v>11674</v>
      </c>
      <c r="Z46" t="str">
        <f>"01420 544013"</f>
        <v>01420 544013</v>
      </c>
      <c r="AA46" t="str">
        <f>"7452966159"</f>
        <v>7452966159</v>
      </c>
      <c r="AB46" t="s">
        <v>207</v>
      </c>
      <c r="AC46" t="s">
        <v>11673</v>
      </c>
      <c r="AD46" t="s">
        <v>114</v>
      </c>
      <c r="AE46" s="63">
        <v>45294</v>
      </c>
      <c r="AF46" t="s">
        <v>113</v>
      </c>
      <c r="AG46" t="s">
        <v>112</v>
      </c>
      <c r="AH46" t="s">
        <v>112</v>
      </c>
      <c r="AI46" s="63">
        <v>43186</v>
      </c>
      <c r="AJ46" s="63">
        <v>45657</v>
      </c>
      <c r="AK46" t="s">
        <v>112</v>
      </c>
      <c r="AL46" t="s">
        <v>111</v>
      </c>
      <c r="AM46" t="s">
        <v>111</v>
      </c>
      <c r="AN46">
        <v>2743</v>
      </c>
      <c r="AO46" t="s">
        <v>110</v>
      </c>
      <c r="AP46" t="s">
        <v>109</v>
      </c>
    </row>
    <row r="47" spans="1:42" x14ac:dyDescent="0.25">
      <c r="A47" s="28" t="str">
        <f>"3320"</f>
        <v>3320</v>
      </c>
      <c r="B47">
        <v>3320</v>
      </c>
      <c r="C47" t="s">
        <v>2488</v>
      </c>
      <c r="D47" t="s">
        <v>121</v>
      </c>
      <c r="E47" t="s">
        <v>584</v>
      </c>
      <c r="F47" t="s">
        <v>120</v>
      </c>
      <c r="G47" t="s">
        <v>761</v>
      </c>
      <c r="I47" t="s">
        <v>11672</v>
      </c>
      <c r="J47" t="s">
        <v>7</v>
      </c>
      <c r="K47" s="63">
        <v>16025</v>
      </c>
      <c r="L47" s="28">
        <f>DATEDIF(K47,Zwift25!G$1,"Y")</f>
        <v>80</v>
      </c>
      <c r="M47" s="67">
        <f>IF(J47="m",VLOOKUP(L47,'All Solo Adjustments'!A:D,4,FALSE),VLOOKUP(L47,'All Solo Adjustments'!A:J,10,FALSE))</f>
        <v>1.1018518518518518E-2</v>
      </c>
      <c r="N47" s="63"/>
      <c r="O47" s="63"/>
      <c r="P47" s="63"/>
      <c r="Q47" s="63"/>
      <c r="R47" t="s">
        <v>283</v>
      </c>
      <c r="S47" t="s">
        <v>530</v>
      </c>
      <c r="T47" t="s">
        <v>292</v>
      </c>
      <c r="U47" t="s">
        <v>11671</v>
      </c>
      <c r="V47" t="s">
        <v>11670</v>
      </c>
      <c r="W47" t="s">
        <v>1346</v>
      </c>
      <c r="Y47" t="s">
        <v>11669</v>
      </c>
      <c r="Z47" t="str">
        <f>"02476 672237"</f>
        <v>02476 672237</v>
      </c>
      <c r="AA47" t="str">
        <f>""</f>
        <v/>
      </c>
      <c r="AB47" t="s">
        <v>626</v>
      </c>
      <c r="AC47" t="s">
        <v>11668</v>
      </c>
      <c r="AD47" t="s">
        <v>145</v>
      </c>
      <c r="AE47" s="63">
        <v>45301</v>
      </c>
      <c r="AF47" t="s">
        <v>156</v>
      </c>
      <c r="AG47" t="s">
        <v>112</v>
      </c>
      <c r="AH47" t="s">
        <v>112</v>
      </c>
      <c r="AI47" s="63">
        <v>39551</v>
      </c>
      <c r="AJ47" s="63">
        <v>45657</v>
      </c>
      <c r="AK47" t="s">
        <v>111</v>
      </c>
      <c r="AL47" t="s">
        <v>111</v>
      </c>
      <c r="AM47" t="s">
        <v>111</v>
      </c>
      <c r="AN47">
        <v>2945</v>
      </c>
      <c r="AO47" t="s">
        <v>110</v>
      </c>
      <c r="AP47" t="s">
        <v>109</v>
      </c>
    </row>
    <row r="48" spans="1:42" x14ac:dyDescent="0.25">
      <c r="A48" s="28" t="str">
        <f>"0082"</f>
        <v>0082</v>
      </c>
      <c r="B48">
        <v>82</v>
      </c>
      <c r="C48" t="s">
        <v>2488</v>
      </c>
      <c r="D48" t="s">
        <v>121</v>
      </c>
      <c r="F48" t="s">
        <v>120</v>
      </c>
      <c r="G48" t="s">
        <v>481</v>
      </c>
      <c r="I48" t="s">
        <v>11667</v>
      </c>
      <c r="J48" t="s">
        <v>7</v>
      </c>
      <c r="K48" s="63">
        <v>13893</v>
      </c>
      <c r="L48" s="28">
        <f>DATEDIF(K48,Zwift25!G$1,"Y")</f>
        <v>86</v>
      </c>
      <c r="M48" s="67">
        <f>IF(J48="m",VLOOKUP(L48,'All Solo Adjustments'!A:D,4,FALSE),VLOOKUP(L48,'All Solo Adjustments'!A:J,10,FALSE))</f>
        <v>1.4988425925925926E-2</v>
      </c>
      <c r="N48" s="63"/>
      <c r="O48" s="63"/>
      <c r="P48" s="63"/>
      <c r="Q48" s="63"/>
      <c r="R48" t="s">
        <v>213</v>
      </c>
      <c r="S48" t="s">
        <v>2309</v>
      </c>
      <c r="T48" t="s">
        <v>292</v>
      </c>
      <c r="U48" t="s">
        <v>11666</v>
      </c>
      <c r="V48" t="s">
        <v>11665</v>
      </c>
      <c r="W48" t="s">
        <v>206</v>
      </c>
      <c r="X48" t="s">
        <v>11664</v>
      </c>
      <c r="Y48" t="s">
        <v>11663</v>
      </c>
      <c r="Z48" t="str">
        <f>""</f>
        <v/>
      </c>
      <c r="AA48" t="str">
        <f>""</f>
        <v/>
      </c>
      <c r="AB48" t="s">
        <v>11662</v>
      </c>
      <c r="AC48" t="s">
        <v>11661</v>
      </c>
      <c r="AD48" t="s">
        <v>151</v>
      </c>
      <c r="AF48" t="s">
        <v>113</v>
      </c>
      <c r="AG48" t="s">
        <v>112</v>
      </c>
      <c r="AH48" t="s">
        <v>112</v>
      </c>
      <c r="AI48" s="63">
        <v>28258</v>
      </c>
      <c r="AK48" t="s">
        <v>111</v>
      </c>
      <c r="AL48" t="s">
        <v>111</v>
      </c>
      <c r="AM48" t="s">
        <v>111</v>
      </c>
      <c r="AN48" t="s">
        <v>105</v>
      </c>
      <c r="AO48" t="s">
        <v>110</v>
      </c>
      <c r="AP48" t="s">
        <v>109</v>
      </c>
    </row>
    <row r="49" spans="1:42" x14ac:dyDescent="0.25">
      <c r="A49" s="28" t="str">
        <f>"15922"</f>
        <v>15922</v>
      </c>
      <c r="B49">
        <v>15922</v>
      </c>
      <c r="C49" t="s">
        <v>2488</v>
      </c>
      <c r="D49" t="s">
        <v>121</v>
      </c>
      <c r="F49" t="s">
        <v>120</v>
      </c>
      <c r="G49" t="s">
        <v>481</v>
      </c>
      <c r="H49" t="s">
        <v>377</v>
      </c>
      <c r="I49" t="s">
        <v>11660</v>
      </c>
      <c r="J49" t="s">
        <v>7</v>
      </c>
      <c r="K49" s="63">
        <v>21211</v>
      </c>
      <c r="L49" s="28">
        <f>DATEDIF(K49,Zwift25!G$1,"Y")</f>
        <v>66</v>
      </c>
      <c r="M49" s="67">
        <f>IF(J49="m",VLOOKUP(L49,'All Solo Adjustments'!A:D,4,FALSE),VLOOKUP(L49,'All Solo Adjustments'!A:J,10,FALSE))</f>
        <v>4.9421296296296297E-3</v>
      </c>
      <c r="N49" s="63"/>
      <c r="O49" s="63"/>
      <c r="P49" s="63"/>
      <c r="Q49" s="63"/>
      <c r="R49" t="s">
        <v>283</v>
      </c>
      <c r="S49" t="s">
        <v>530</v>
      </c>
      <c r="T49" t="s">
        <v>292</v>
      </c>
      <c r="U49" t="s">
        <v>11659</v>
      </c>
      <c r="V49" t="s">
        <v>916</v>
      </c>
      <c r="W49" t="s">
        <v>11658</v>
      </c>
      <c r="X49" t="s">
        <v>11657</v>
      </c>
      <c r="Y49" t="s">
        <v>11656</v>
      </c>
      <c r="Z49" t="str">
        <f>"07836 325999"</f>
        <v>07836 325999</v>
      </c>
      <c r="AA49" t="str">
        <f>""</f>
        <v/>
      </c>
      <c r="AB49" t="s">
        <v>5899</v>
      </c>
      <c r="AC49" t="s">
        <v>11655</v>
      </c>
      <c r="AD49" t="s">
        <v>114</v>
      </c>
      <c r="AE49" s="63">
        <v>45348</v>
      </c>
      <c r="AF49" t="s">
        <v>156</v>
      </c>
      <c r="AG49" t="s">
        <v>112</v>
      </c>
      <c r="AH49" t="s">
        <v>112</v>
      </c>
      <c r="AI49" s="63">
        <v>45169</v>
      </c>
      <c r="AJ49" s="63">
        <v>45657</v>
      </c>
      <c r="AK49" t="s">
        <v>112</v>
      </c>
      <c r="AL49" t="s">
        <v>111</v>
      </c>
      <c r="AM49" t="s">
        <v>111</v>
      </c>
      <c r="AN49">
        <v>48470</v>
      </c>
      <c r="AO49" t="s">
        <v>110</v>
      </c>
      <c r="AP49" t="s">
        <v>109</v>
      </c>
    </row>
    <row r="50" spans="1:42" x14ac:dyDescent="0.25">
      <c r="A50" s="28" t="str">
        <f>"0084"</f>
        <v>0084</v>
      </c>
      <c r="B50">
        <v>84</v>
      </c>
      <c r="C50" t="s">
        <v>2488</v>
      </c>
      <c r="D50" t="s">
        <v>121</v>
      </c>
      <c r="F50" t="s">
        <v>120</v>
      </c>
      <c r="G50" t="s">
        <v>678</v>
      </c>
      <c r="I50" t="s">
        <v>11654</v>
      </c>
      <c r="J50" t="s">
        <v>7</v>
      </c>
      <c r="K50" s="63">
        <v>14148</v>
      </c>
      <c r="L50" s="28">
        <f>DATEDIF(K50,Zwift25!G$1,"Y")</f>
        <v>86</v>
      </c>
      <c r="M50" s="67">
        <f>IF(J50="m",VLOOKUP(L50,'All Solo Adjustments'!A:D,4,FALSE),VLOOKUP(L50,'All Solo Adjustments'!A:J,10,FALSE))</f>
        <v>1.4988425925925926E-2</v>
      </c>
      <c r="N50" s="63"/>
      <c r="O50" s="63"/>
      <c r="P50" s="63"/>
      <c r="Q50" s="63"/>
      <c r="R50" t="s">
        <v>125</v>
      </c>
      <c r="S50" t="s">
        <v>484</v>
      </c>
      <c r="T50" t="s">
        <v>292</v>
      </c>
      <c r="U50" t="s">
        <v>11653</v>
      </c>
      <c r="V50" t="s">
        <v>11652</v>
      </c>
      <c r="W50" t="s">
        <v>191</v>
      </c>
      <c r="X50" t="s">
        <v>169</v>
      </c>
      <c r="Y50" t="s">
        <v>11651</v>
      </c>
      <c r="Z50" t="str">
        <f>"01284 828657"</f>
        <v>01284 828657</v>
      </c>
      <c r="AA50" t="str">
        <f>""</f>
        <v/>
      </c>
      <c r="AB50" t="s">
        <v>190</v>
      </c>
      <c r="AC50" t="s">
        <v>11650</v>
      </c>
      <c r="AD50" t="s">
        <v>145</v>
      </c>
      <c r="AF50" t="s">
        <v>113</v>
      </c>
      <c r="AG50" t="s">
        <v>112</v>
      </c>
      <c r="AH50" t="s">
        <v>112</v>
      </c>
      <c r="AI50" s="63">
        <v>28762</v>
      </c>
      <c r="AK50" t="s">
        <v>111</v>
      </c>
      <c r="AL50" t="s">
        <v>111</v>
      </c>
      <c r="AM50" t="s">
        <v>111</v>
      </c>
      <c r="AN50" t="s">
        <v>105</v>
      </c>
      <c r="AO50" t="s">
        <v>110</v>
      </c>
      <c r="AP50" t="s">
        <v>109</v>
      </c>
    </row>
    <row r="51" spans="1:42" x14ac:dyDescent="0.25">
      <c r="A51" s="28" t="str">
        <f>"0085"</f>
        <v>0085</v>
      </c>
      <c r="B51">
        <v>85</v>
      </c>
      <c r="C51" t="s">
        <v>2488</v>
      </c>
      <c r="D51" t="s">
        <v>121</v>
      </c>
      <c r="F51" t="s">
        <v>120</v>
      </c>
      <c r="G51" t="s">
        <v>1615</v>
      </c>
      <c r="H51" t="s">
        <v>11649</v>
      </c>
      <c r="I51" t="s">
        <v>11648</v>
      </c>
      <c r="J51" t="s">
        <v>7</v>
      </c>
      <c r="K51" s="63">
        <v>16881</v>
      </c>
      <c r="L51" s="28">
        <f>DATEDIF(K51,Zwift25!G$1,"Y")</f>
        <v>78</v>
      </c>
      <c r="M51" s="67">
        <f>IF(J51="m",VLOOKUP(L51,'All Solo Adjustments'!A:D,4,FALSE),VLOOKUP(L51,'All Solo Adjustments'!A:J,10,FALSE))</f>
        <v>9.9189814814814817E-3</v>
      </c>
      <c r="N51" s="63"/>
      <c r="O51" s="63"/>
      <c r="P51" s="63"/>
      <c r="Q51" s="63"/>
      <c r="R51" t="s">
        <v>198</v>
      </c>
      <c r="S51" t="s">
        <v>461</v>
      </c>
      <c r="T51" t="s">
        <v>292</v>
      </c>
      <c r="U51" t="s">
        <v>11647</v>
      </c>
      <c r="V51" t="s">
        <v>1145</v>
      </c>
      <c r="W51" t="s">
        <v>892</v>
      </c>
      <c r="Y51" t="s">
        <v>11646</v>
      </c>
      <c r="Z51" t="str">
        <f>"01785 860296"</f>
        <v>01785 860296</v>
      </c>
      <c r="AA51" t="str">
        <f>""</f>
        <v/>
      </c>
      <c r="AB51" t="s">
        <v>1232</v>
      </c>
      <c r="AC51" t="s">
        <v>11645</v>
      </c>
      <c r="AD51" t="s">
        <v>114</v>
      </c>
      <c r="AE51" s="63">
        <v>45273</v>
      </c>
      <c r="AF51" t="s">
        <v>113</v>
      </c>
      <c r="AG51" t="s">
        <v>112</v>
      </c>
      <c r="AH51" t="s">
        <v>112</v>
      </c>
      <c r="AI51" s="63">
        <v>37011</v>
      </c>
      <c r="AJ51" s="63">
        <v>45657</v>
      </c>
      <c r="AK51" t="s">
        <v>111</v>
      </c>
      <c r="AL51" t="s">
        <v>111</v>
      </c>
      <c r="AM51" t="s">
        <v>111</v>
      </c>
      <c r="AN51" t="s">
        <v>105</v>
      </c>
      <c r="AO51" t="s">
        <v>110</v>
      </c>
      <c r="AP51" t="s">
        <v>109</v>
      </c>
    </row>
    <row r="52" spans="1:42" x14ac:dyDescent="0.25">
      <c r="A52" s="28" t="str">
        <f>"15029"</f>
        <v>15029</v>
      </c>
      <c r="B52">
        <v>15029</v>
      </c>
      <c r="C52" t="s">
        <v>2488</v>
      </c>
      <c r="D52" t="s">
        <v>121</v>
      </c>
      <c r="F52" t="s">
        <v>120</v>
      </c>
      <c r="G52" t="s">
        <v>744</v>
      </c>
      <c r="I52" t="s">
        <v>11644</v>
      </c>
      <c r="J52" t="s">
        <v>7</v>
      </c>
      <c r="K52" s="63">
        <v>25441</v>
      </c>
      <c r="L52" s="28">
        <f>DATEDIF(K52,Zwift25!G$1,"Y")</f>
        <v>55</v>
      </c>
      <c r="M52" s="67">
        <f>IF(J52="m",VLOOKUP(L52,'All Solo Adjustments'!A:D,4,FALSE),VLOOKUP(L52,'All Solo Adjustments'!A:J,10,FALSE))</f>
        <v>2.0601851851851853E-3</v>
      </c>
      <c r="N52" s="63"/>
      <c r="O52" s="63"/>
      <c r="P52" s="63"/>
      <c r="Q52" s="63"/>
      <c r="R52" t="s">
        <v>180</v>
      </c>
      <c r="S52" t="s">
        <v>179</v>
      </c>
      <c r="T52" t="s">
        <v>292</v>
      </c>
      <c r="U52" t="s">
        <v>11643</v>
      </c>
      <c r="V52" t="s">
        <v>11642</v>
      </c>
      <c r="W52" t="s">
        <v>784</v>
      </c>
      <c r="X52" t="s">
        <v>368</v>
      </c>
      <c r="Y52" t="s">
        <v>11641</v>
      </c>
      <c r="Z52" t="str">
        <f>"07368988546"</f>
        <v>07368988546</v>
      </c>
      <c r="AA52" t="str">
        <f>""</f>
        <v/>
      </c>
      <c r="AB52" t="s">
        <v>176</v>
      </c>
      <c r="AC52" t="s">
        <v>11640</v>
      </c>
      <c r="AD52" t="s">
        <v>114</v>
      </c>
      <c r="AE52" s="63">
        <v>45293</v>
      </c>
      <c r="AF52" t="s">
        <v>156</v>
      </c>
      <c r="AG52" t="s">
        <v>112</v>
      </c>
      <c r="AH52" t="s">
        <v>112</v>
      </c>
      <c r="AI52" s="63">
        <v>44314</v>
      </c>
      <c r="AJ52" s="63">
        <v>45657</v>
      </c>
      <c r="AK52" t="s">
        <v>112</v>
      </c>
      <c r="AL52" t="s">
        <v>111</v>
      </c>
      <c r="AM52" t="s">
        <v>111</v>
      </c>
      <c r="AN52">
        <v>23547</v>
      </c>
      <c r="AO52" t="s">
        <v>110</v>
      </c>
      <c r="AP52" t="s">
        <v>109</v>
      </c>
    </row>
    <row r="53" spans="1:42" x14ac:dyDescent="0.25">
      <c r="A53" s="28" t="str">
        <f>"0088"</f>
        <v>0088</v>
      </c>
      <c r="B53">
        <v>88</v>
      </c>
      <c r="C53" t="s">
        <v>2488</v>
      </c>
      <c r="D53" t="s">
        <v>121</v>
      </c>
      <c r="F53" t="s">
        <v>120</v>
      </c>
      <c r="G53" t="s">
        <v>234</v>
      </c>
      <c r="I53" t="s">
        <v>2269</v>
      </c>
      <c r="J53" t="s">
        <v>7</v>
      </c>
      <c r="K53" s="63">
        <v>13735</v>
      </c>
      <c r="L53" s="28">
        <f>DATEDIF(K53,Zwift25!G$1,"Y")</f>
        <v>87</v>
      </c>
      <c r="M53" s="67">
        <f>IF(J53="m",VLOOKUP(L53,'All Solo Adjustments'!A:D,4,FALSE),VLOOKUP(L53,'All Solo Adjustments'!A:J,10,FALSE))</f>
        <v>1.576388888888889E-2</v>
      </c>
      <c r="N53" s="63"/>
      <c r="O53" s="63"/>
      <c r="P53" s="63"/>
      <c r="Q53" s="63"/>
      <c r="R53" t="s">
        <v>180</v>
      </c>
      <c r="S53" t="s">
        <v>2288</v>
      </c>
      <c r="T53" t="s">
        <v>292</v>
      </c>
      <c r="U53" t="s">
        <v>11639</v>
      </c>
      <c r="V53" t="s">
        <v>1411</v>
      </c>
      <c r="W53" t="s">
        <v>871</v>
      </c>
      <c r="Y53" t="s">
        <v>11638</v>
      </c>
      <c r="Z53" t="str">
        <f>"01536525237"</f>
        <v>01536525237</v>
      </c>
      <c r="AA53" t="str">
        <f>"07973213335"</f>
        <v>07973213335</v>
      </c>
      <c r="AB53" t="s">
        <v>870</v>
      </c>
      <c r="AC53" t="s">
        <v>11637</v>
      </c>
      <c r="AD53" t="s">
        <v>151</v>
      </c>
      <c r="AF53" t="s">
        <v>156</v>
      </c>
      <c r="AG53" t="s">
        <v>112</v>
      </c>
      <c r="AH53" t="s">
        <v>112</v>
      </c>
      <c r="AI53" s="63">
        <v>40961</v>
      </c>
      <c r="AK53" t="s">
        <v>111</v>
      </c>
      <c r="AL53" t="s">
        <v>111</v>
      </c>
      <c r="AM53" t="s">
        <v>111</v>
      </c>
      <c r="AN53" t="s">
        <v>105</v>
      </c>
      <c r="AO53" t="s">
        <v>110</v>
      </c>
      <c r="AP53" t="s">
        <v>109</v>
      </c>
    </row>
    <row r="54" spans="1:42" x14ac:dyDescent="0.25">
      <c r="A54" s="28" t="str">
        <f>"14916"</f>
        <v>14916</v>
      </c>
      <c r="B54">
        <v>14916</v>
      </c>
      <c r="C54" t="s">
        <v>2488</v>
      </c>
      <c r="D54" t="s">
        <v>121</v>
      </c>
      <c r="F54" t="s">
        <v>120</v>
      </c>
      <c r="G54" t="s">
        <v>402</v>
      </c>
      <c r="H54" t="s">
        <v>284</v>
      </c>
      <c r="I54" t="s">
        <v>2269</v>
      </c>
      <c r="J54" t="s">
        <v>7</v>
      </c>
      <c r="K54" s="63">
        <v>22538</v>
      </c>
      <c r="L54" s="28">
        <f>DATEDIF(K54,Zwift25!G$1,"Y")</f>
        <v>63</v>
      </c>
      <c r="M54" s="67">
        <f>IF(J54="m",VLOOKUP(L54,'All Solo Adjustments'!A:D,4,FALSE),VLOOKUP(L54,'All Solo Adjustments'!A:J,10,FALSE))</f>
        <v>4.0277777777777777E-3</v>
      </c>
      <c r="N54" s="63"/>
      <c r="O54" s="63"/>
      <c r="P54" s="63"/>
      <c r="Q54" s="63"/>
      <c r="R54" t="s">
        <v>125</v>
      </c>
      <c r="S54" t="s">
        <v>170</v>
      </c>
      <c r="T54" t="s">
        <v>292</v>
      </c>
      <c r="U54" t="s">
        <v>11636</v>
      </c>
      <c r="V54" t="s">
        <v>5969</v>
      </c>
      <c r="W54" t="s">
        <v>1197</v>
      </c>
      <c r="X54" t="s">
        <v>169</v>
      </c>
      <c r="Y54" t="s">
        <v>5968</v>
      </c>
      <c r="Z54" t="str">
        <f>"07903811799"</f>
        <v>07903811799</v>
      </c>
      <c r="AA54" t="str">
        <f>""</f>
        <v/>
      </c>
      <c r="AB54" t="s">
        <v>1499</v>
      </c>
      <c r="AC54" t="s">
        <v>11635</v>
      </c>
      <c r="AD54" t="s">
        <v>114</v>
      </c>
      <c r="AE54" s="63">
        <v>45300</v>
      </c>
      <c r="AF54" t="s">
        <v>156</v>
      </c>
      <c r="AG54" t="s">
        <v>112</v>
      </c>
      <c r="AH54" t="s">
        <v>112</v>
      </c>
      <c r="AI54" s="63">
        <v>44271</v>
      </c>
      <c r="AJ54" s="63">
        <v>45657</v>
      </c>
      <c r="AK54" t="s">
        <v>112</v>
      </c>
      <c r="AL54" t="s">
        <v>111</v>
      </c>
      <c r="AM54" t="s">
        <v>111</v>
      </c>
      <c r="AN54">
        <v>7744</v>
      </c>
      <c r="AO54" t="s">
        <v>110</v>
      </c>
      <c r="AP54" t="s">
        <v>109</v>
      </c>
    </row>
    <row r="55" spans="1:42" x14ac:dyDescent="0.25">
      <c r="A55" s="28" t="str">
        <f>"16042"</f>
        <v>16042</v>
      </c>
      <c r="B55">
        <v>16042</v>
      </c>
      <c r="C55" t="s">
        <v>2488</v>
      </c>
      <c r="D55" t="s">
        <v>121</v>
      </c>
      <c r="E55" t="s">
        <v>584</v>
      </c>
      <c r="F55" t="s">
        <v>120</v>
      </c>
      <c r="G55" t="s">
        <v>536</v>
      </c>
      <c r="H55" t="s">
        <v>300</v>
      </c>
      <c r="I55" t="s">
        <v>2269</v>
      </c>
      <c r="J55" t="s">
        <v>7</v>
      </c>
      <c r="K55" s="63">
        <v>24781</v>
      </c>
      <c r="L55" s="28">
        <f>DATEDIF(K55,Zwift25!G$1,"Y")</f>
        <v>56</v>
      </c>
      <c r="M55" s="67">
        <f>IF(J55="m",VLOOKUP(L55,'All Solo Adjustments'!A:D,4,FALSE),VLOOKUP(L55,'All Solo Adjustments'!A:J,10,FALSE))</f>
        <v>2.2685185185185182E-3</v>
      </c>
      <c r="N55" s="63"/>
      <c r="O55" s="63"/>
      <c r="P55" s="63"/>
      <c r="Q55" s="63"/>
      <c r="R55" t="s">
        <v>198</v>
      </c>
      <c r="S55" t="s">
        <v>461</v>
      </c>
      <c r="T55" t="s">
        <v>292</v>
      </c>
      <c r="U55" t="s">
        <v>11634</v>
      </c>
      <c r="V55" t="s">
        <v>1364</v>
      </c>
      <c r="W55" t="s">
        <v>196</v>
      </c>
      <c r="Y55" t="s">
        <v>11633</v>
      </c>
      <c r="Z55" t="str">
        <f>"07710 42934"</f>
        <v>07710 42934</v>
      </c>
      <c r="AA55" t="str">
        <f>""</f>
        <v/>
      </c>
      <c r="AB55" t="s">
        <v>3337</v>
      </c>
      <c r="AC55" t="s">
        <v>11632</v>
      </c>
      <c r="AD55" t="s">
        <v>114</v>
      </c>
      <c r="AE55" s="63">
        <v>45349</v>
      </c>
      <c r="AF55" t="s">
        <v>156</v>
      </c>
      <c r="AG55" t="s">
        <v>112</v>
      </c>
      <c r="AH55" t="s">
        <v>112</v>
      </c>
      <c r="AI55" s="63">
        <v>45349</v>
      </c>
      <c r="AJ55" s="63">
        <v>45657</v>
      </c>
      <c r="AK55" t="s">
        <v>112</v>
      </c>
      <c r="AL55" t="s">
        <v>111</v>
      </c>
      <c r="AM55" t="s">
        <v>111</v>
      </c>
      <c r="AN55">
        <v>47376</v>
      </c>
      <c r="AO55" t="s">
        <v>110</v>
      </c>
      <c r="AP55" t="s">
        <v>109</v>
      </c>
    </row>
    <row r="56" spans="1:42" x14ac:dyDescent="0.25">
      <c r="A56" s="28" t="str">
        <f>"0089"</f>
        <v>0089</v>
      </c>
      <c r="B56">
        <v>89</v>
      </c>
      <c r="C56" t="s">
        <v>2488</v>
      </c>
      <c r="D56" t="s">
        <v>121</v>
      </c>
      <c r="F56" t="s">
        <v>120</v>
      </c>
      <c r="G56" t="s">
        <v>1166</v>
      </c>
      <c r="I56" t="s">
        <v>11631</v>
      </c>
      <c r="J56" t="s">
        <v>7</v>
      </c>
      <c r="K56" s="63">
        <v>13661</v>
      </c>
      <c r="L56" s="28">
        <f>DATEDIF(K56,Zwift25!G$1,"Y")</f>
        <v>87</v>
      </c>
      <c r="M56" s="67">
        <f>IF(J56="m",VLOOKUP(L56,'All Solo Adjustments'!A:D,4,FALSE),VLOOKUP(L56,'All Solo Adjustments'!A:J,10,FALSE))</f>
        <v>1.576388888888889E-2</v>
      </c>
      <c r="N56" s="63"/>
      <c r="O56" s="63"/>
      <c r="P56" s="63"/>
      <c r="Q56" s="63"/>
      <c r="R56" t="s">
        <v>296</v>
      </c>
      <c r="S56" t="s">
        <v>2310</v>
      </c>
      <c r="T56" t="s">
        <v>292</v>
      </c>
      <c r="U56" t="s">
        <v>11630</v>
      </c>
      <c r="V56" t="s">
        <v>11629</v>
      </c>
      <c r="W56" t="s">
        <v>1638</v>
      </c>
      <c r="Y56" t="s">
        <v>11628</v>
      </c>
      <c r="Z56" t="str">
        <f>"01555 663438"</f>
        <v>01555 663438</v>
      </c>
      <c r="AA56" t="str">
        <f>""</f>
        <v/>
      </c>
      <c r="AB56" t="s">
        <v>1603</v>
      </c>
      <c r="AD56" t="s">
        <v>151</v>
      </c>
      <c r="AE56" s="63">
        <v>43103</v>
      </c>
      <c r="AF56" t="s">
        <v>113</v>
      </c>
      <c r="AG56" t="s">
        <v>112</v>
      </c>
      <c r="AH56" t="s">
        <v>112</v>
      </c>
      <c r="AI56" s="63">
        <v>31432</v>
      </c>
      <c r="AK56" t="s">
        <v>111</v>
      </c>
      <c r="AL56" t="s">
        <v>111</v>
      </c>
      <c r="AM56" t="s">
        <v>111</v>
      </c>
      <c r="AN56" t="s">
        <v>105</v>
      </c>
      <c r="AO56" t="s">
        <v>110</v>
      </c>
      <c r="AP56" t="s">
        <v>109</v>
      </c>
    </row>
    <row r="57" spans="1:42" x14ac:dyDescent="0.25">
      <c r="A57" s="28" t="str">
        <f>"0092"</f>
        <v>0092</v>
      </c>
      <c r="B57">
        <v>92</v>
      </c>
      <c r="C57" t="s">
        <v>2488</v>
      </c>
      <c r="D57" t="s">
        <v>121</v>
      </c>
      <c r="F57" t="s">
        <v>120</v>
      </c>
      <c r="G57" t="s">
        <v>284</v>
      </c>
      <c r="I57" t="s">
        <v>11623</v>
      </c>
      <c r="J57" t="s">
        <v>7</v>
      </c>
      <c r="K57" s="63">
        <v>13906</v>
      </c>
      <c r="L57" s="28">
        <f>DATEDIF(K57,Zwift25!G$1,"Y")</f>
        <v>86</v>
      </c>
      <c r="M57" s="67">
        <f>IF(J57="m",VLOOKUP(L57,'All Solo Adjustments'!A:D,4,FALSE),VLOOKUP(L57,'All Solo Adjustments'!A:J,10,FALSE))</f>
        <v>1.4988425925925926E-2</v>
      </c>
      <c r="N57" s="63"/>
      <c r="O57" s="63"/>
      <c r="P57" s="63"/>
      <c r="Q57" s="63"/>
      <c r="R57" t="s">
        <v>239</v>
      </c>
      <c r="S57" t="s">
        <v>437</v>
      </c>
      <c r="T57" t="s">
        <v>292</v>
      </c>
      <c r="U57" t="s">
        <v>11627</v>
      </c>
      <c r="V57" t="s">
        <v>11626</v>
      </c>
      <c r="W57" t="s">
        <v>2654</v>
      </c>
      <c r="Y57" t="s">
        <v>11625</v>
      </c>
      <c r="Z57" t="str">
        <f>"9999999999999"</f>
        <v>9999999999999</v>
      </c>
      <c r="AA57" t="str">
        <f>"9999999999999"</f>
        <v>9999999999999</v>
      </c>
      <c r="AB57" t="s">
        <v>868</v>
      </c>
      <c r="AC57" t="s">
        <v>11624</v>
      </c>
      <c r="AD57" t="s">
        <v>145</v>
      </c>
      <c r="AF57" t="s">
        <v>113</v>
      </c>
      <c r="AG57" t="s">
        <v>111</v>
      </c>
      <c r="AH57" t="s">
        <v>111</v>
      </c>
      <c r="AI57" s="63">
        <v>28541</v>
      </c>
      <c r="AK57" t="s">
        <v>111</v>
      </c>
      <c r="AL57" t="s">
        <v>111</v>
      </c>
      <c r="AM57" t="s">
        <v>111</v>
      </c>
      <c r="AN57">
        <v>2925</v>
      </c>
      <c r="AO57" t="s">
        <v>110</v>
      </c>
      <c r="AP57" t="s">
        <v>109</v>
      </c>
    </row>
    <row r="58" spans="1:42" x14ac:dyDescent="0.25">
      <c r="A58" s="28" t="str">
        <f>"13033"</f>
        <v>13033</v>
      </c>
      <c r="B58">
        <v>13033</v>
      </c>
      <c r="C58" t="s">
        <v>2488</v>
      </c>
      <c r="D58" t="s">
        <v>121</v>
      </c>
      <c r="F58" t="s">
        <v>149</v>
      </c>
      <c r="G58" t="s">
        <v>8250</v>
      </c>
      <c r="I58" t="s">
        <v>11623</v>
      </c>
      <c r="J58" t="s">
        <v>126</v>
      </c>
      <c r="K58" s="63">
        <v>14047</v>
      </c>
      <c r="L58" s="28">
        <f>DATEDIF(K58,Zwift25!G$1,"Y")</f>
        <v>86</v>
      </c>
      <c r="M58" s="67">
        <f>IF(J58="m",VLOOKUP(L58,'All Solo Adjustments'!A:D,4,FALSE),VLOOKUP(L58,'All Solo Adjustments'!A:J,10,FALSE))</f>
        <v>2.1307870370370369E-2</v>
      </c>
      <c r="N58" s="63"/>
      <c r="O58" s="63"/>
      <c r="P58" s="63"/>
      <c r="Q58" s="63"/>
      <c r="R58" t="s">
        <v>239</v>
      </c>
      <c r="S58" t="s">
        <v>437</v>
      </c>
      <c r="T58" t="s">
        <v>292</v>
      </c>
      <c r="U58" t="s">
        <v>11627</v>
      </c>
      <c r="V58" t="s">
        <v>11626</v>
      </c>
      <c r="W58" t="s">
        <v>2654</v>
      </c>
      <c r="Y58" t="s">
        <v>11625</v>
      </c>
      <c r="Z58" t="str">
        <f>"9999999999999"</f>
        <v>9999999999999</v>
      </c>
      <c r="AA58" t="str">
        <f>"9999999999999"</f>
        <v>9999999999999</v>
      </c>
      <c r="AB58" t="s">
        <v>1412</v>
      </c>
      <c r="AC58" t="s">
        <v>11624</v>
      </c>
      <c r="AD58" t="s">
        <v>145</v>
      </c>
      <c r="AF58" t="s">
        <v>113</v>
      </c>
      <c r="AG58" t="s">
        <v>112</v>
      </c>
      <c r="AH58" t="s">
        <v>112</v>
      </c>
      <c r="AI58" s="63">
        <v>28626</v>
      </c>
      <c r="AK58" t="s">
        <v>111</v>
      </c>
      <c r="AL58" t="s">
        <v>111</v>
      </c>
      <c r="AM58" t="s">
        <v>111</v>
      </c>
      <c r="AN58" t="s">
        <v>105</v>
      </c>
      <c r="AO58" t="s">
        <v>122</v>
      </c>
      <c r="AP58" t="s">
        <v>122</v>
      </c>
    </row>
    <row r="59" spans="1:42" x14ac:dyDescent="0.25">
      <c r="A59" s="28" t="str">
        <f>"13927"</f>
        <v>13927</v>
      </c>
      <c r="B59">
        <v>13927</v>
      </c>
      <c r="C59" t="s">
        <v>2488</v>
      </c>
      <c r="D59" t="s">
        <v>121</v>
      </c>
      <c r="F59" t="s">
        <v>120</v>
      </c>
      <c r="G59" t="s">
        <v>181</v>
      </c>
      <c r="H59" t="s">
        <v>1051</v>
      </c>
      <c r="I59" t="s">
        <v>11623</v>
      </c>
      <c r="J59" t="s">
        <v>7</v>
      </c>
      <c r="K59" s="63">
        <v>18720</v>
      </c>
      <c r="L59" s="28">
        <f>DATEDIF(K59,Zwift25!G$1,"Y")</f>
        <v>73</v>
      </c>
      <c r="M59" s="67">
        <f>IF(J59="m",VLOOKUP(L59,'All Solo Adjustments'!A:D,4,FALSE),VLOOKUP(L59,'All Solo Adjustments'!A:J,10,FALSE))</f>
        <v>7.5462962962962966E-3</v>
      </c>
      <c r="N59" s="63"/>
      <c r="O59" s="63"/>
      <c r="P59" s="63"/>
      <c r="Q59" s="63"/>
      <c r="R59" t="s">
        <v>180</v>
      </c>
      <c r="S59" t="s">
        <v>179</v>
      </c>
      <c r="T59" t="s">
        <v>292</v>
      </c>
      <c r="U59" t="s">
        <v>11622</v>
      </c>
      <c r="V59" t="s">
        <v>11621</v>
      </c>
      <c r="W59" t="s">
        <v>1109</v>
      </c>
      <c r="X59" t="s">
        <v>892</v>
      </c>
      <c r="Y59" t="s">
        <v>11620</v>
      </c>
      <c r="Z59" t="str">
        <f>"01283814598"</f>
        <v>01283814598</v>
      </c>
      <c r="AA59" t="str">
        <f>"07910948148"</f>
        <v>07910948148</v>
      </c>
      <c r="AB59" t="s">
        <v>1688</v>
      </c>
      <c r="AC59" t="s">
        <v>11619</v>
      </c>
      <c r="AD59" t="s">
        <v>114</v>
      </c>
      <c r="AE59" s="63">
        <v>45309</v>
      </c>
      <c r="AF59" t="s">
        <v>156</v>
      </c>
      <c r="AG59" t="s">
        <v>112</v>
      </c>
      <c r="AH59" t="s">
        <v>112</v>
      </c>
      <c r="AI59" s="63">
        <v>43446</v>
      </c>
      <c r="AJ59" s="63">
        <v>45657</v>
      </c>
      <c r="AK59" t="s">
        <v>112</v>
      </c>
      <c r="AL59" t="s">
        <v>111</v>
      </c>
      <c r="AM59" t="s">
        <v>111</v>
      </c>
      <c r="AN59">
        <v>27628</v>
      </c>
      <c r="AO59" t="s">
        <v>110</v>
      </c>
      <c r="AP59" t="s">
        <v>109</v>
      </c>
    </row>
    <row r="60" spans="1:42" x14ac:dyDescent="0.25">
      <c r="A60" s="28" t="str">
        <f>"6386"</f>
        <v>6386</v>
      </c>
      <c r="B60">
        <v>6386</v>
      </c>
      <c r="C60" t="s">
        <v>2488</v>
      </c>
      <c r="D60" t="s">
        <v>121</v>
      </c>
      <c r="E60" t="s">
        <v>584</v>
      </c>
      <c r="F60" t="s">
        <v>139</v>
      </c>
      <c r="G60" t="s">
        <v>1313</v>
      </c>
      <c r="I60" t="s">
        <v>2267</v>
      </c>
      <c r="J60" t="s">
        <v>126</v>
      </c>
      <c r="K60" s="63">
        <v>23661</v>
      </c>
      <c r="L60" s="28">
        <f>DATEDIF(K60,Zwift25!G$1,"Y")</f>
        <v>60</v>
      </c>
      <c r="M60" s="67">
        <f>IF(J60="m",VLOOKUP(L60,'All Solo Adjustments'!A:D,4,FALSE),VLOOKUP(L60,'All Solo Adjustments'!A:J,10,FALSE))</f>
        <v>6.898148148148148E-3</v>
      </c>
      <c r="N60" s="63"/>
      <c r="O60" s="63"/>
      <c r="P60" s="63"/>
      <c r="Q60" s="63"/>
      <c r="R60" t="s">
        <v>296</v>
      </c>
      <c r="S60" t="s">
        <v>295</v>
      </c>
      <c r="T60" t="s">
        <v>292</v>
      </c>
      <c r="U60" t="s">
        <v>11618</v>
      </c>
      <c r="V60" t="s">
        <v>1698</v>
      </c>
      <c r="W60" t="s">
        <v>1738</v>
      </c>
      <c r="Y60" t="s">
        <v>11617</v>
      </c>
      <c r="Z60" t="str">
        <f>"07776 188858"</f>
        <v>07776 188858</v>
      </c>
      <c r="AA60" t="str">
        <f>""</f>
        <v/>
      </c>
      <c r="AB60" t="s">
        <v>11616</v>
      </c>
      <c r="AC60" t="s">
        <v>11615</v>
      </c>
      <c r="AD60" t="s">
        <v>114</v>
      </c>
      <c r="AE60" s="63">
        <v>45262</v>
      </c>
      <c r="AF60" t="s">
        <v>156</v>
      </c>
      <c r="AG60" t="s">
        <v>112</v>
      </c>
      <c r="AH60" t="s">
        <v>112</v>
      </c>
      <c r="AI60" s="63">
        <v>40669</v>
      </c>
      <c r="AJ60" s="63">
        <v>45657</v>
      </c>
      <c r="AK60" t="s">
        <v>111</v>
      </c>
      <c r="AL60" t="s">
        <v>112</v>
      </c>
      <c r="AM60" t="s">
        <v>112</v>
      </c>
      <c r="AN60">
        <v>17254</v>
      </c>
      <c r="AO60" t="s">
        <v>122</v>
      </c>
      <c r="AP60" t="s">
        <v>122</v>
      </c>
    </row>
    <row r="61" spans="1:42" x14ac:dyDescent="0.25">
      <c r="A61" s="28" t="str">
        <f>"0098"</f>
        <v>0098</v>
      </c>
      <c r="B61">
        <v>98</v>
      </c>
      <c r="C61" t="s">
        <v>2488</v>
      </c>
      <c r="D61" t="s">
        <v>121</v>
      </c>
      <c r="F61" t="s">
        <v>120</v>
      </c>
      <c r="G61" t="s">
        <v>481</v>
      </c>
      <c r="H61" t="s">
        <v>284</v>
      </c>
      <c r="I61" t="s">
        <v>2265</v>
      </c>
      <c r="J61" t="s">
        <v>7</v>
      </c>
      <c r="K61" s="63">
        <v>21284</v>
      </c>
      <c r="L61" s="28">
        <f>DATEDIF(K61,Zwift25!G$1,"Y")</f>
        <v>66</v>
      </c>
      <c r="M61" s="67">
        <f>IF(J61="m",VLOOKUP(L61,'All Solo Adjustments'!A:D,4,FALSE),VLOOKUP(L61,'All Solo Adjustments'!A:J,10,FALSE))</f>
        <v>4.9421296296296297E-3</v>
      </c>
      <c r="N61" s="63"/>
      <c r="O61" s="63"/>
      <c r="P61" s="63"/>
      <c r="Q61" s="63"/>
      <c r="R61" t="s">
        <v>143</v>
      </c>
      <c r="S61" t="s">
        <v>142</v>
      </c>
      <c r="T61" t="s">
        <v>292</v>
      </c>
      <c r="U61" t="s">
        <v>11614</v>
      </c>
      <c r="V61" t="s">
        <v>1656</v>
      </c>
      <c r="W61" t="s">
        <v>486</v>
      </c>
      <c r="Y61" t="s">
        <v>11613</v>
      </c>
      <c r="Z61" t="str">
        <f>"01273 483850"</f>
        <v>01273 483850</v>
      </c>
      <c r="AA61" t="str">
        <f>"07707804447"</f>
        <v>07707804447</v>
      </c>
      <c r="AB61" t="s">
        <v>1184</v>
      </c>
      <c r="AC61" t="s">
        <v>11612</v>
      </c>
      <c r="AD61" t="s">
        <v>114</v>
      </c>
      <c r="AE61" s="63">
        <v>45345</v>
      </c>
      <c r="AF61" t="s">
        <v>113</v>
      </c>
      <c r="AG61" t="s">
        <v>112</v>
      </c>
      <c r="AH61" t="s">
        <v>112</v>
      </c>
      <c r="AI61" s="63">
        <v>35431</v>
      </c>
      <c r="AJ61" s="63">
        <v>45657</v>
      </c>
      <c r="AK61" t="s">
        <v>111</v>
      </c>
      <c r="AL61" t="s">
        <v>111</v>
      </c>
      <c r="AM61" t="s">
        <v>111</v>
      </c>
      <c r="AN61">
        <v>3266</v>
      </c>
      <c r="AO61" t="s">
        <v>110</v>
      </c>
      <c r="AP61" t="s">
        <v>109</v>
      </c>
    </row>
    <row r="62" spans="1:42" x14ac:dyDescent="0.25">
      <c r="A62" s="28" t="str">
        <f>"0095"</f>
        <v>0095</v>
      </c>
      <c r="B62">
        <v>95</v>
      </c>
      <c r="C62" t="s">
        <v>2488</v>
      </c>
      <c r="D62" t="s">
        <v>121</v>
      </c>
      <c r="F62" t="s">
        <v>120</v>
      </c>
      <c r="G62" t="s">
        <v>481</v>
      </c>
      <c r="I62" t="s">
        <v>2265</v>
      </c>
      <c r="J62" t="s">
        <v>7</v>
      </c>
      <c r="K62" s="63">
        <v>12230</v>
      </c>
      <c r="L62" s="28">
        <f>DATEDIF(K62,Zwift25!G$1,"Y")</f>
        <v>91</v>
      </c>
      <c r="M62" s="67">
        <f>IF(J62="m",VLOOKUP(L62,'All Solo Adjustments'!A:D,4,FALSE),VLOOKUP(L62,'All Solo Adjustments'!A:J,10,FALSE))</f>
        <v>1.9363425925925926E-2</v>
      </c>
      <c r="N62" s="63"/>
      <c r="O62" s="63"/>
      <c r="P62" s="63"/>
      <c r="Q62" s="63"/>
      <c r="R62" t="s">
        <v>159</v>
      </c>
      <c r="S62" t="s">
        <v>570</v>
      </c>
      <c r="T62" t="s">
        <v>292</v>
      </c>
      <c r="U62" t="s">
        <v>11611</v>
      </c>
      <c r="V62" t="s">
        <v>11610</v>
      </c>
      <c r="W62" t="s">
        <v>159</v>
      </c>
      <c r="Y62" t="s">
        <v>11609</v>
      </c>
      <c r="Z62" t="str">
        <f>"01622 728272"</f>
        <v>01622 728272</v>
      </c>
      <c r="AA62" t="str">
        <f>""</f>
        <v/>
      </c>
      <c r="AB62" t="s">
        <v>256</v>
      </c>
      <c r="AD62" t="s">
        <v>151</v>
      </c>
      <c r="AF62" t="s">
        <v>113</v>
      </c>
      <c r="AG62" t="s">
        <v>112</v>
      </c>
      <c r="AH62" t="s">
        <v>112</v>
      </c>
      <c r="AK62" t="s">
        <v>111</v>
      </c>
      <c r="AL62" t="s">
        <v>111</v>
      </c>
      <c r="AM62" t="s">
        <v>111</v>
      </c>
      <c r="AN62" t="s">
        <v>105</v>
      </c>
      <c r="AO62" t="s">
        <v>110</v>
      </c>
      <c r="AP62" t="s">
        <v>109</v>
      </c>
    </row>
    <row r="63" spans="1:42" x14ac:dyDescent="0.25">
      <c r="A63" s="28" t="str">
        <f>"0096"</f>
        <v>0096</v>
      </c>
      <c r="B63">
        <v>96</v>
      </c>
      <c r="C63" t="s">
        <v>2488</v>
      </c>
      <c r="D63" t="s">
        <v>121</v>
      </c>
      <c r="F63" t="s">
        <v>120</v>
      </c>
      <c r="G63" t="s">
        <v>492</v>
      </c>
      <c r="I63" t="s">
        <v>2265</v>
      </c>
      <c r="J63" t="s">
        <v>7</v>
      </c>
      <c r="K63" s="63">
        <v>16353</v>
      </c>
      <c r="L63" s="28">
        <f>DATEDIF(K63,Zwift25!G$1,"Y")</f>
        <v>80</v>
      </c>
      <c r="M63" s="67">
        <f>IF(J63="m",VLOOKUP(L63,'All Solo Adjustments'!A:D,4,FALSE),VLOOKUP(L63,'All Solo Adjustments'!A:J,10,FALSE))</f>
        <v>1.1018518518518518E-2</v>
      </c>
      <c r="N63" s="63"/>
      <c r="O63" s="63"/>
      <c r="P63" s="63"/>
      <c r="Q63" s="63"/>
      <c r="R63" t="s">
        <v>239</v>
      </c>
      <c r="S63" t="s">
        <v>2338</v>
      </c>
      <c r="T63" t="s">
        <v>292</v>
      </c>
      <c r="U63" t="s">
        <v>11608</v>
      </c>
      <c r="V63" t="s">
        <v>11607</v>
      </c>
      <c r="W63" t="s">
        <v>11606</v>
      </c>
      <c r="X63" t="s">
        <v>564</v>
      </c>
      <c r="Y63" t="s">
        <v>11605</v>
      </c>
      <c r="Z63" t="str">
        <f>""</f>
        <v/>
      </c>
      <c r="AA63" t="str">
        <f>""</f>
        <v/>
      </c>
      <c r="AB63" t="s">
        <v>1599</v>
      </c>
      <c r="AC63" t="s">
        <v>11604</v>
      </c>
      <c r="AD63" t="s">
        <v>151</v>
      </c>
      <c r="AF63" t="s">
        <v>113</v>
      </c>
      <c r="AG63" t="s">
        <v>112</v>
      </c>
      <c r="AH63" t="s">
        <v>112</v>
      </c>
      <c r="AI63" s="63">
        <v>31692</v>
      </c>
      <c r="AK63" t="s">
        <v>111</v>
      </c>
      <c r="AL63" t="s">
        <v>111</v>
      </c>
      <c r="AM63" t="s">
        <v>111</v>
      </c>
      <c r="AN63" t="s">
        <v>105</v>
      </c>
      <c r="AO63" t="s">
        <v>110</v>
      </c>
      <c r="AP63" t="s">
        <v>109</v>
      </c>
    </row>
    <row r="64" spans="1:42" x14ac:dyDescent="0.25">
      <c r="A64" s="28" t="str">
        <f>"14959"</f>
        <v>14959</v>
      </c>
      <c r="B64">
        <v>14959</v>
      </c>
      <c r="C64" t="s">
        <v>2488</v>
      </c>
      <c r="D64" t="s">
        <v>121</v>
      </c>
      <c r="E64" t="s">
        <v>11603</v>
      </c>
      <c r="F64" t="s">
        <v>120</v>
      </c>
      <c r="G64" t="s">
        <v>1245</v>
      </c>
      <c r="H64" t="s">
        <v>952</v>
      </c>
      <c r="I64" t="s">
        <v>2265</v>
      </c>
      <c r="J64" t="s">
        <v>7</v>
      </c>
      <c r="K64" s="63">
        <v>20806</v>
      </c>
      <c r="L64" s="28">
        <f>DATEDIF(K64,Zwift25!G$1,"Y")</f>
        <v>67</v>
      </c>
      <c r="M64" s="67">
        <f>IF(J64="m",VLOOKUP(L64,'All Solo Adjustments'!A:D,4,FALSE),VLOOKUP(L64,'All Solo Adjustments'!A:J,10,FALSE))</f>
        <v>5.2662037037037035E-3</v>
      </c>
      <c r="N64" s="63"/>
      <c r="O64" s="63"/>
      <c r="P64" s="63"/>
      <c r="Q64" s="63"/>
      <c r="R64" t="s">
        <v>283</v>
      </c>
      <c r="S64" t="s">
        <v>530</v>
      </c>
      <c r="T64" t="s">
        <v>292</v>
      </c>
      <c r="U64" t="s">
        <v>11602</v>
      </c>
      <c r="W64" t="s">
        <v>11601</v>
      </c>
      <c r="X64" t="s">
        <v>152</v>
      </c>
      <c r="Y64" t="s">
        <v>11600</v>
      </c>
      <c r="Z64" t="str">
        <f>"01934528042"</f>
        <v>01934528042</v>
      </c>
      <c r="AA64" t="str">
        <f>"07591302050"</f>
        <v>07591302050</v>
      </c>
      <c r="AB64" t="s">
        <v>1389</v>
      </c>
      <c r="AC64" t="s">
        <v>11599</v>
      </c>
      <c r="AD64" t="s">
        <v>114</v>
      </c>
      <c r="AE64" s="63">
        <v>45284</v>
      </c>
      <c r="AF64" t="s">
        <v>156</v>
      </c>
      <c r="AG64" t="s">
        <v>112</v>
      </c>
      <c r="AH64" t="s">
        <v>112</v>
      </c>
      <c r="AI64" s="63">
        <v>44286</v>
      </c>
      <c r="AJ64" s="63">
        <v>45657</v>
      </c>
      <c r="AK64" t="s">
        <v>112</v>
      </c>
      <c r="AL64" t="s">
        <v>111</v>
      </c>
      <c r="AM64" t="s">
        <v>111</v>
      </c>
      <c r="AN64">
        <v>37378</v>
      </c>
      <c r="AO64" t="s">
        <v>110</v>
      </c>
      <c r="AP64" t="s">
        <v>109</v>
      </c>
    </row>
    <row r="65" spans="1:42" x14ac:dyDescent="0.25">
      <c r="A65" s="28" t="str">
        <f>"15079"</f>
        <v>15079</v>
      </c>
      <c r="B65">
        <v>15079</v>
      </c>
      <c r="C65" t="s">
        <v>2488</v>
      </c>
      <c r="D65" t="s">
        <v>121</v>
      </c>
      <c r="F65" t="s">
        <v>120</v>
      </c>
      <c r="G65" t="s">
        <v>155</v>
      </c>
      <c r="I65" t="s">
        <v>2265</v>
      </c>
      <c r="J65" t="s">
        <v>7</v>
      </c>
      <c r="K65" s="63">
        <v>26214</v>
      </c>
      <c r="L65" s="28">
        <f>DATEDIF(K65,Zwift25!G$1,"Y")</f>
        <v>53</v>
      </c>
      <c r="M65" s="67">
        <f>IF(J65="m",VLOOKUP(L65,'All Solo Adjustments'!A:D,4,FALSE),VLOOKUP(L65,'All Solo Adjustments'!A:J,10,FALSE))</f>
        <v>1.6666666666666668E-3</v>
      </c>
      <c r="N65" s="63"/>
      <c r="O65" s="63"/>
      <c r="P65" s="63"/>
      <c r="Q65" s="63"/>
      <c r="R65" t="s">
        <v>143</v>
      </c>
      <c r="S65" t="s">
        <v>142</v>
      </c>
      <c r="T65" t="s">
        <v>292</v>
      </c>
      <c r="U65" t="s">
        <v>11598</v>
      </c>
      <c r="V65" t="s">
        <v>1343</v>
      </c>
      <c r="W65" t="s">
        <v>229</v>
      </c>
      <c r="X65" t="s">
        <v>172</v>
      </c>
      <c r="Y65" t="s">
        <v>11597</v>
      </c>
      <c r="Z65" t="str">
        <f>"07848 695490"</f>
        <v>07848 695490</v>
      </c>
      <c r="AA65" t="str">
        <f>""</f>
        <v/>
      </c>
      <c r="AB65" t="s">
        <v>6721</v>
      </c>
      <c r="AC65" t="s">
        <v>11596</v>
      </c>
      <c r="AD65" t="s">
        <v>114</v>
      </c>
      <c r="AE65" s="63">
        <v>45299</v>
      </c>
      <c r="AF65" t="s">
        <v>156</v>
      </c>
      <c r="AG65" t="s">
        <v>112</v>
      </c>
      <c r="AH65" t="s">
        <v>112</v>
      </c>
      <c r="AI65" s="63">
        <v>44336</v>
      </c>
      <c r="AJ65" s="63">
        <v>45657</v>
      </c>
      <c r="AK65" t="s">
        <v>112</v>
      </c>
      <c r="AL65" t="s">
        <v>111</v>
      </c>
      <c r="AM65" t="s">
        <v>111</v>
      </c>
      <c r="AN65">
        <v>38663</v>
      </c>
      <c r="AO65" t="s">
        <v>110</v>
      </c>
      <c r="AP65" t="s">
        <v>109</v>
      </c>
    </row>
    <row r="66" spans="1:42" x14ac:dyDescent="0.25">
      <c r="A66" s="28" t="str">
        <f>"15916"</f>
        <v>15916</v>
      </c>
      <c r="B66">
        <v>15916</v>
      </c>
      <c r="C66" t="s">
        <v>2488</v>
      </c>
      <c r="D66" t="s">
        <v>121</v>
      </c>
      <c r="F66" t="s">
        <v>120</v>
      </c>
      <c r="G66" t="s">
        <v>11595</v>
      </c>
      <c r="I66" t="s">
        <v>11594</v>
      </c>
      <c r="J66" t="s">
        <v>7</v>
      </c>
      <c r="K66" s="63">
        <v>26454</v>
      </c>
      <c r="L66" s="28">
        <f>DATEDIF(K66,Zwift25!G$1,"Y")</f>
        <v>52</v>
      </c>
      <c r="M66" s="67">
        <f>IF(J66="m",VLOOKUP(L66,'All Solo Adjustments'!A:D,4,FALSE),VLOOKUP(L66,'All Solo Adjustments'!A:J,10,FALSE))</f>
        <v>1.4814814814814816E-3</v>
      </c>
      <c r="N66" s="63"/>
      <c r="O66" s="63"/>
      <c r="P66" s="63"/>
      <c r="Q66" s="63"/>
      <c r="R66" t="s">
        <v>180</v>
      </c>
      <c r="S66" t="s">
        <v>179</v>
      </c>
      <c r="T66" t="s">
        <v>292</v>
      </c>
      <c r="U66" t="s">
        <v>11593</v>
      </c>
      <c r="W66" t="s">
        <v>259</v>
      </c>
      <c r="X66" t="s">
        <v>11592</v>
      </c>
      <c r="Y66" t="s">
        <v>11591</v>
      </c>
      <c r="Z66" t="str">
        <f>"07768608954"</f>
        <v>07768608954</v>
      </c>
      <c r="AA66" t="str">
        <f>""</f>
        <v/>
      </c>
      <c r="AB66" t="s">
        <v>1001</v>
      </c>
      <c r="AC66" t="s">
        <v>11590</v>
      </c>
      <c r="AD66" t="s">
        <v>114</v>
      </c>
      <c r="AE66" s="63">
        <v>45296</v>
      </c>
      <c r="AF66" t="s">
        <v>156</v>
      </c>
      <c r="AG66" t="s">
        <v>112</v>
      </c>
      <c r="AH66" t="s">
        <v>112</v>
      </c>
      <c r="AI66" s="63">
        <v>45159</v>
      </c>
      <c r="AJ66" s="63">
        <v>45657</v>
      </c>
      <c r="AK66" t="s">
        <v>112</v>
      </c>
      <c r="AL66" t="s">
        <v>111</v>
      </c>
      <c r="AM66" t="s">
        <v>111</v>
      </c>
      <c r="AN66">
        <v>16657</v>
      </c>
      <c r="AO66" t="s">
        <v>110</v>
      </c>
      <c r="AP66" t="s">
        <v>109</v>
      </c>
    </row>
    <row r="67" spans="1:42" x14ac:dyDescent="0.25">
      <c r="A67" s="28" t="str">
        <f>"14143"</f>
        <v>14143</v>
      </c>
      <c r="B67">
        <v>14143</v>
      </c>
      <c r="C67" t="s">
        <v>2488</v>
      </c>
      <c r="D67" t="s">
        <v>121</v>
      </c>
      <c r="E67" t="s">
        <v>584</v>
      </c>
      <c r="F67" t="s">
        <v>120</v>
      </c>
      <c r="G67" t="s">
        <v>189</v>
      </c>
      <c r="I67" t="s">
        <v>11589</v>
      </c>
      <c r="J67" t="s">
        <v>7</v>
      </c>
      <c r="K67" s="63">
        <v>21887</v>
      </c>
      <c r="L67" s="28">
        <f>DATEDIF(K67,Zwift25!G$1,"Y")</f>
        <v>64</v>
      </c>
      <c r="M67" s="67">
        <f>IF(J67="m",VLOOKUP(L67,'All Solo Adjustments'!A:D,4,FALSE),VLOOKUP(L67,'All Solo Adjustments'!A:J,10,FALSE))</f>
        <v>4.31712962962963E-3</v>
      </c>
      <c r="N67" s="63"/>
      <c r="O67" s="63"/>
      <c r="P67" s="63"/>
      <c r="Q67" s="63"/>
      <c r="R67" t="s">
        <v>137</v>
      </c>
      <c r="S67" t="s">
        <v>136</v>
      </c>
      <c r="T67" t="s">
        <v>292</v>
      </c>
      <c r="U67" t="s">
        <v>11588</v>
      </c>
      <c r="V67" t="s">
        <v>11587</v>
      </c>
      <c r="W67" t="s">
        <v>1098</v>
      </c>
      <c r="X67" t="s">
        <v>564</v>
      </c>
      <c r="Y67" t="s">
        <v>11586</v>
      </c>
      <c r="Z67" t="str">
        <f>"02380190692"</f>
        <v>02380190692</v>
      </c>
      <c r="AA67" t="str">
        <f>"07708743849"</f>
        <v>07708743849</v>
      </c>
      <c r="AB67" t="s">
        <v>4538</v>
      </c>
      <c r="AC67" t="s">
        <v>11585</v>
      </c>
      <c r="AD67" t="s">
        <v>114</v>
      </c>
      <c r="AE67" s="63">
        <v>45300</v>
      </c>
      <c r="AF67" t="s">
        <v>113</v>
      </c>
      <c r="AG67" t="s">
        <v>112</v>
      </c>
      <c r="AH67" t="s">
        <v>112</v>
      </c>
      <c r="AI67" s="63">
        <v>43559</v>
      </c>
      <c r="AJ67" s="63">
        <v>45657</v>
      </c>
      <c r="AK67" t="s">
        <v>112</v>
      </c>
      <c r="AL67" t="s">
        <v>111</v>
      </c>
      <c r="AM67" t="s">
        <v>111</v>
      </c>
      <c r="AN67">
        <v>904</v>
      </c>
      <c r="AO67" t="s">
        <v>110</v>
      </c>
      <c r="AP67" t="s">
        <v>109</v>
      </c>
    </row>
    <row r="68" spans="1:42" x14ac:dyDescent="0.25">
      <c r="A68" s="28" t="str">
        <f>"6501"</f>
        <v>6501</v>
      </c>
      <c r="B68">
        <v>6501</v>
      </c>
      <c r="C68" t="s">
        <v>2488</v>
      </c>
      <c r="D68" t="s">
        <v>121</v>
      </c>
      <c r="E68" t="s">
        <v>6798</v>
      </c>
      <c r="F68" t="s">
        <v>403</v>
      </c>
      <c r="G68" t="s">
        <v>1495</v>
      </c>
      <c r="I68" t="s">
        <v>11581</v>
      </c>
      <c r="J68" t="s">
        <v>126</v>
      </c>
      <c r="K68" s="63">
        <v>19557</v>
      </c>
      <c r="L68" s="28">
        <f>DATEDIF(K68,Zwift25!G$1,"Y")</f>
        <v>71</v>
      </c>
      <c r="M68" s="67">
        <f>IF(J68="m",VLOOKUP(L68,'All Solo Adjustments'!A:D,4,FALSE),VLOOKUP(L68,'All Solo Adjustments'!A:J,10,FALSE))</f>
        <v>1.2002314814814815E-2</v>
      </c>
      <c r="N68" s="63"/>
      <c r="O68" s="63"/>
      <c r="P68" s="63"/>
      <c r="Q68" s="63"/>
      <c r="R68" t="s">
        <v>296</v>
      </c>
      <c r="S68" t="s">
        <v>295</v>
      </c>
      <c r="T68" t="s">
        <v>292</v>
      </c>
      <c r="U68" t="s">
        <v>11584</v>
      </c>
      <c r="V68" t="s">
        <v>1041</v>
      </c>
      <c r="Y68" t="s">
        <v>11583</v>
      </c>
      <c r="Z68" t="str">
        <f>"07480 150415"</f>
        <v>07480 150415</v>
      </c>
      <c r="AA68" t="str">
        <f>""</f>
        <v/>
      </c>
      <c r="AB68" t="s">
        <v>1420</v>
      </c>
      <c r="AC68" t="s">
        <v>11582</v>
      </c>
      <c r="AD68" t="s">
        <v>114</v>
      </c>
      <c r="AE68" s="63">
        <v>45294</v>
      </c>
      <c r="AF68" t="s">
        <v>156</v>
      </c>
      <c r="AG68" t="s">
        <v>112</v>
      </c>
      <c r="AH68" t="s">
        <v>112</v>
      </c>
      <c r="AI68" s="63">
        <v>43199</v>
      </c>
      <c r="AJ68" s="63">
        <v>45657</v>
      </c>
      <c r="AK68" t="s">
        <v>111</v>
      </c>
      <c r="AL68" t="s">
        <v>111</v>
      </c>
      <c r="AM68" t="s">
        <v>111</v>
      </c>
      <c r="AN68">
        <v>13126</v>
      </c>
      <c r="AO68" t="s">
        <v>122</v>
      </c>
      <c r="AP68" t="s">
        <v>122</v>
      </c>
    </row>
    <row r="69" spans="1:42" x14ac:dyDescent="0.25">
      <c r="A69" s="28" t="str">
        <f>"14087"</f>
        <v>14087</v>
      </c>
      <c r="B69">
        <v>14087</v>
      </c>
      <c r="C69" t="s">
        <v>2488</v>
      </c>
      <c r="D69" t="s">
        <v>121</v>
      </c>
      <c r="E69" t="s">
        <v>584</v>
      </c>
      <c r="F69" t="s">
        <v>120</v>
      </c>
      <c r="G69" t="s">
        <v>389</v>
      </c>
      <c r="I69" t="s">
        <v>11581</v>
      </c>
      <c r="J69" t="s">
        <v>7</v>
      </c>
      <c r="K69" s="63">
        <v>25267</v>
      </c>
      <c r="L69" s="28">
        <f>DATEDIF(K69,Zwift25!G$1,"Y")</f>
        <v>55</v>
      </c>
      <c r="M69" s="67">
        <f>IF(J69="m",VLOOKUP(L69,'All Solo Adjustments'!A:D,4,FALSE),VLOOKUP(L69,'All Solo Adjustments'!A:J,10,FALSE))</f>
        <v>2.0601851851851853E-3</v>
      </c>
      <c r="N69" s="63"/>
      <c r="O69" s="63"/>
      <c r="P69" s="63"/>
      <c r="Q69" s="63"/>
      <c r="R69" t="s">
        <v>283</v>
      </c>
      <c r="S69" t="s">
        <v>530</v>
      </c>
      <c r="T69" t="s">
        <v>292</v>
      </c>
      <c r="U69" t="s">
        <v>11580</v>
      </c>
      <c r="V69" t="s">
        <v>11579</v>
      </c>
      <c r="W69" t="s">
        <v>11578</v>
      </c>
      <c r="X69" t="s">
        <v>1195</v>
      </c>
      <c r="Y69" t="s">
        <v>11577</v>
      </c>
      <c r="Z69" t="str">
        <f>"01869 338793"</f>
        <v>01869 338793</v>
      </c>
      <c r="AA69" t="str">
        <f>"07712614357"</f>
        <v>07712614357</v>
      </c>
      <c r="AB69" t="s">
        <v>2687</v>
      </c>
      <c r="AC69" t="s">
        <v>11576</v>
      </c>
      <c r="AD69" t="s">
        <v>114</v>
      </c>
      <c r="AE69" s="63">
        <v>45242</v>
      </c>
      <c r="AF69" t="s">
        <v>156</v>
      </c>
      <c r="AG69" t="s">
        <v>112</v>
      </c>
      <c r="AH69" t="s">
        <v>112</v>
      </c>
      <c r="AI69" s="63">
        <v>43526</v>
      </c>
      <c r="AJ69" s="63">
        <v>45657</v>
      </c>
      <c r="AK69" t="s">
        <v>112</v>
      </c>
      <c r="AL69" t="s">
        <v>111</v>
      </c>
      <c r="AM69" t="s">
        <v>111</v>
      </c>
      <c r="AN69">
        <v>8336</v>
      </c>
      <c r="AO69" t="s">
        <v>110</v>
      </c>
      <c r="AP69" t="s">
        <v>109</v>
      </c>
    </row>
    <row r="70" spans="1:42" x14ac:dyDescent="0.25">
      <c r="A70" s="28" t="str">
        <f>"4156"</f>
        <v>4156</v>
      </c>
      <c r="B70">
        <v>4156</v>
      </c>
      <c r="C70" t="s">
        <v>2488</v>
      </c>
      <c r="D70" t="s">
        <v>121</v>
      </c>
      <c r="F70" t="s">
        <v>120</v>
      </c>
      <c r="G70" t="s">
        <v>195</v>
      </c>
      <c r="I70" t="s">
        <v>11572</v>
      </c>
      <c r="J70" t="s">
        <v>7</v>
      </c>
      <c r="K70" s="63">
        <v>15599</v>
      </c>
      <c r="L70" s="28">
        <f>DATEDIF(K70,Zwift25!G$1,"Y")</f>
        <v>82</v>
      </c>
      <c r="M70" s="67">
        <f>IF(J70="m",VLOOKUP(L70,'All Solo Adjustments'!A:D,4,FALSE),VLOOKUP(L70,'All Solo Adjustments'!A:J,10,FALSE))</f>
        <v>1.2210648148148148E-2</v>
      </c>
      <c r="N70" s="63"/>
      <c r="O70" s="63"/>
      <c r="P70" s="63"/>
      <c r="Q70" s="63"/>
      <c r="R70" t="s">
        <v>159</v>
      </c>
      <c r="S70" t="s">
        <v>570</v>
      </c>
      <c r="T70" t="s">
        <v>292</v>
      </c>
      <c r="U70" t="s">
        <v>11575</v>
      </c>
      <c r="V70" t="s">
        <v>3137</v>
      </c>
      <c r="W70" t="s">
        <v>159</v>
      </c>
      <c r="Y70" t="s">
        <v>11574</v>
      </c>
      <c r="Z70" t="str">
        <f>"0208 3045423"</f>
        <v>0208 3045423</v>
      </c>
      <c r="AA70" t="str">
        <f>""</f>
        <v/>
      </c>
      <c r="AB70" t="s">
        <v>719</v>
      </c>
      <c r="AC70" t="s">
        <v>11573</v>
      </c>
      <c r="AD70" t="s">
        <v>145</v>
      </c>
      <c r="AF70" t="s">
        <v>113</v>
      </c>
      <c r="AG70" t="s">
        <v>112</v>
      </c>
      <c r="AH70" t="s">
        <v>112</v>
      </c>
      <c r="AI70" s="63">
        <v>43446</v>
      </c>
      <c r="AK70" t="s">
        <v>111</v>
      </c>
      <c r="AL70" t="s">
        <v>111</v>
      </c>
      <c r="AM70" t="s">
        <v>111</v>
      </c>
      <c r="AN70" t="s">
        <v>105</v>
      </c>
      <c r="AO70" t="s">
        <v>110</v>
      </c>
      <c r="AP70" t="s">
        <v>109</v>
      </c>
    </row>
    <row r="71" spans="1:42" x14ac:dyDescent="0.25">
      <c r="A71" s="28" t="str">
        <f>"16012"</f>
        <v>16012</v>
      </c>
      <c r="B71">
        <v>16012</v>
      </c>
      <c r="C71" t="s">
        <v>2488</v>
      </c>
      <c r="D71" t="s">
        <v>121</v>
      </c>
      <c r="F71" t="s">
        <v>120</v>
      </c>
      <c r="G71" t="s">
        <v>601</v>
      </c>
      <c r="I71" t="s">
        <v>11572</v>
      </c>
      <c r="J71" t="s">
        <v>7</v>
      </c>
      <c r="K71" s="63">
        <v>22669</v>
      </c>
      <c r="L71" s="28">
        <f>DATEDIF(K71,Zwift25!G$1,"Y")</f>
        <v>62</v>
      </c>
      <c r="M71" s="67">
        <f>IF(J71="m",VLOOKUP(L71,'All Solo Adjustments'!A:D,4,FALSE),VLOOKUP(L71,'All Solo Adjustments'!A:J,10,FALSE))</f>
        <v>3.7384259259259259E-3</v>
      </c>
      <c r="N71" s="63"/>
      <c r="O71" s="63"/>
      <c r="P71" s="63"/>
      <c r="Q71" s="63"/>
      <c r="R71" t="s">
        <v>125</v>
      </c>
      <c r="S71" t="s">
        <v>170</v>
      </c>
      <c r="T71" t="s">
        <v>292</v>
      </c>
      <c r="U71" t="s">
        <v>11571</v>
      </c>
      <c r="V71" t="s">
        <v>11570</v>
      </c>
      <c r="Y71" t="s">
        <v>1507</v>
      </c>
      <c r="Z71" t="str">
        <f>"07450864075"</f>
        <v>07450864075</v>
      </c>
      <c r="AA71" t="str">
        <f>""</f>
        <v/>
      </c>
      <c r="AB71" t="s">
        <v>505</v>
      </c>
      <c r="AC71" t="s">
        <v>11569</v>
      </c>
      <c r="AD71" t="s">
        <v>114</v>
      </c>
      <c r="AE71" s="63">
        <v>45323</v>
      </c>
      <c r="AF71" t="s">
        <v>156</v>
      </c>
      <c r="AG71" t="s">
        <v>112</v>
      </c>
      <c r="AH71" t="s">
        <v>112</v>
      </c>
      <c r="AI71" s="63">
        <v>45323</v>
      </c>
      <c r="AJ71" s="63">
        <v>45657</v>
      </c>
      <c r="AK71" t="s">
        <v>112</v>
      </c>
      <c r="AL71" t="s">
        <v>111</v>
      </c>
      <c r="AM71" t="s">
        <v>111</v>
      </c>
      <c r="AN71" t="s">
        <v>105</v>
      </c>
      <c r="AO71" t="s">
        <v>110</v>
      </c>
      <c r="AP71" t="s">
        <v>109</v>
      </c>
    </row>
    <row r="72" spans="1:42" x14ac:dyDescent="0.25">
      <c r="A72" s="28" t="str">
        <f>"5591"</f>
        <v>5591</v>
      </c>
      <c r="B72">
        <v>5591</v>
      </c>
      <c r="C72" t="s">
        <v>2488</v>
      </c>
      <c r="D72" t="s">
        <v>121</v>
      </c>
      <c r="F72" t="s">
        <v>120</v>
      </c>
      <c r="G72" t="s">
        <v>11568</v>
      </c>
      <c r="H72" t="s">
        <v>2213</v>
      </c>
      <c r="I72" t="s">
        <v>2264</v>
      </c>
      <c r="J72" t="s">
        <v>7</v>
      </c>
      <c r="K72" s="63">
        <v>20017</v>
      </c>
      <c r="L72" s="28">
        <f>DATEDIF(K72,Zwift25!G$1,"Y")</f>
        <v>69</v>
      </c>
      <c r="M72" s="67">
        <f>IF(J72="m",VLOOKUP(L72,'All Solo Adjustments'!A:D,4,FALSE),VLOOKUP(L72,'All Solo Adjustments'!A:J,10,FALSE))</f>
        <v>5.9722222222222225E-3</v>
      </c>
      <c r="N72" s="63"/>
      <c r="O72" s="63"/>
      <c r="P72" s="63"/>
      <c r="Q72" s="63"/>
      <c r="R72" t="s">
        <v>125</v>
      </c>
      <c r="S72" t="s">
        <v>170</v>
      </c>
      <c r="T72" t="s">
        <v>292</v>
      </c>
      <c r="U72" t="s">
        <v>11567</v>
      </c>
      <c r="V72" t="s">
        <v>2740</v>
      </c>
      <c r="W72" t="s">
        <v>746</v>
      </c>
      <c r="X72" t="s">
        <v>169</v>
      </c>
      <c r="Y72" t="s">
        <v>11566</v>
      </c>
      <c r="Z72" t="str">
        <f>"01502 584090"</f>
        <v>01502 584090</v>
      </c>
      <c r="AA72" t="str">
        <f>"07485536126"</f>
        <v>07485536126</v>
      </c>
      <c r="AB72" t="s">
        <v>745</v>
      </c>
      <c r="AC72" t="s">
        <v>11565</v>
      </c>
      <c r="AD72" t="s">
        <v>145</v>
      </c>
      <c r="AE72" s="63">
        <v>45298</v>
      </c>
      <c r="AF72" t="s">
        <v>113</v>
      </c>
      <c r="AG72" t="s">
        <v>112</v>
      </c>
      <c r="AH72" t="s">
        <v>112</v>
      </c>
      <c r="AI72" s="63">
        <v>42209</v>
      </c>
      <c r="AJ72" s="63">
        <v>45657</v>
      </c>
      <c r="AK72" t="s">
        <v>111</v>
      </c>
      <c r="AL72" t="s">
        <v>111</v>
      </c>
      <c r="AM72" t="s">
        <v>111</v>
      </c>
      <c r="AN72">
        <v>7407</v>
      </c>
      <c r="AO72" t="s">
        <v>110</v>
      </c>
      <c r="AP72" t="s">
        <v>109</v>
      </c>
    </row>
    <row r="73" spans="1:42" x14ac:dyDescent="0.25">
      <c r="A73" s="28" t="str">
        <f>"14147"</f>
        <v>14147</v>
      </c>
      <c r="B73">
        <v>14147</v>
      </c>
      <c r="C73" t="s">
        <v>2488</v>
      </c>
      <c r="D73" t="s">
        <v>132</v>
      </c>
      <c r="E73" t="s">
        <v>584</v>
      </c>
      <c r="F73" t="s">
        <v>149</v>
      </c>
      <c r="G73" t="s">
        <v>2073</v>
      </c>
      <c r="H73" t="s">
        <v>2048</v>
      </c>
      <c r="I73" t="s">
        <v>2261</v>
      </c>
      <c r="J73" t="s">
        <v>126</v>
      </c>
      <c r="K73" s="63">
        <v>21244</v>
      </c>
      <c r="L73" s="28">
        <f>DATEDIF(K73,Zwift25!G$1,"Y")</f>
        <v>66</v>
      </c>
      <c r="M73" s="67">
        <f>IF(J73="m",VLOOKUP(L73,'All Solo Adjustments'!A:D,4,FALSE),VLOOKUP(L73,'All Solo Adjustments'!A:J,10,FALSE))</f>
        <v>9.4907407407407406E-3</v>
      </c>
      <c r="N73" s="63"/>
      <c r="O73" s="63"/>
      <c r="P73" s="63"/>
      <c r="Q73" s="63"/>
      <c r="R73" t="s">
        <v>198</v>
      </c>
      <c r="S73" t="s">
        <v>197</v>
      </c>
      <c r="T73" t="s">
        <v>292</v>
      </c>
      <c r="U73" t="s">
        <v>11564</v>
      </c>
      <c r="V73" t="s">
        <v>1955</v>
      </c>
      <c r="W73" t="s">
        <v>515</v>
      </c>
      <c r="Y73" t="s">
        <v>11563</v>
      </c>
      <c r="Z73" t="str">
        <f>"01619288231"</f>
        <v>01619288231</v>
      </c>
      <c r="AA73" t="str">
        <f>" 07824613879"</f>
        <v xml:space="preserve"> 07824613879</v>
      </c>
      <c r="AB73" t="s">
        <v>514</v>
      </c>
      <c r="AC73" t="s">
        <v>11562</v>
      </c>
      <c r="AD73" t="s">
        <v>114</v>
      </c>
      <c r="AE73" s="63">
        <v>45262</v>
      </c>
      <c r="AF73" t="s">
        <v>156</v>
      </c>
      <c r="AG73" t="s">
        <v>111</v>
      </c>
      <c r="AH73" t="s">
        <v>111</v>
      </c>
      <c r="AI73" s="63">
        <v>43559</v>
      </c>
      <c r="AJ73" s="63">
        <v>45657</v>
      </c>
      <c r="AK73" t="s">
        <v>112</v>
      </c>
      <c r="AL73" t="s">
        <v>111</v>
      </c>
      <c r="AM73" t="s">
        <v>111</v>
      </c>
      <c r="AN73">
        <v>4665</v>
      </c>
      <c r="AO73" t="s">
        <v>122</v>
      </c>
      <c r="AP73" t="s">
        <v>122</v>
      </c>
    </row>
    <row r="74" spans="1:42" x14ac:dyDescent="0.25">
      <c r="A74" s="28" t="str">
        <f>"14148"</f>
        <v>14148</v>
      </c>
      <c r="B74">
        <v>14148</v>
      </c>
      <c r="C74" t="s">
        <v>2488</v>
      </c>
      <c r="D74" t="s">
        <v>130</v>
      </c>
      <c r="F74" t="s">
        <v>120</v>
      </c>
      <c r="G74" t="s">
        <v>185</v>
      </c>
      <c r="H74" t="s">
        <v>1377</v>
      </c>
      <c r="I74" t="s">
        <v>2261</v>
      </c>
      <c r="J74" t="s">
        <v>7</v>
      </c>
      <c r="K74" s="63">
        <v>21838</v>
      </c>
      <c r="L74" s="28">
        <f>DATEDIF(K74,Zwift25!G$1,"Y")</f>
        <v>64</v>
      </c>
      <c r="M74" s="67">
        <f>IF(J74="m",VLOOKUP(L74,'All Solo Adjustments'!A:D,4,FALSE),VLOOKUP(L74,'All Solo Adjustments'!A:J,10,FALSE))</f>
        <v>4.31712962962963E-3</v>
      </c>
      <c r="N74" s="63"/>
      <c r="O74" s="63"/>
      <c r="P74" s="63"/>
      <c r="Q74" s="63"/>
      <c r="R74" t="s">
        <v>198</v>
      </c>
      <c r="S74" t="s">
        <v>197</v>
      </c>
      <c r="T74" t="s">
        <v>292</v>
      </c>
      <c r="U74" t="s">
        <v>11564</v>
      </c>
      <c r="V74" t="s">
        <v>1955</v>
      </c>
      <c r="W74" t="s">
        <v>515</v>
      </c>
      <c r="Y74" t="s">
        <v>11563</v>
      </c>
      <c r="Z74" t="str">
        <f>"01619288231"</f>
        <v>01619288231</v>
      </c>
      <c r="AA74" t="str">
        <f>" 07824613879"</f>
        <v xml:space="preserve"> 07824613879</v>
      </c>
      <c r="AB74" t="s">
        <v>514</v>
      </c>
      <c r="AC74" t="s">
        <v>11562</v>
      </c>
      <c r="AD74" t="s">
        <v>114</v>
      </c>
      <c r="AE74" s="63">
        <v>45262</v>
      </c>
      <c r="AG74" t="s">
        <v>112</v>
      </c>
      <c r="AH74" t="s">
        <v>112</v>
      </c>
      <c r="AI74" s="63">
        <v>43559</v>
      </c>
      <c r="AJ74" s="63">
        <v>45657</v>
      </c>
      <c r="AK74" t="s">
        <v>112</v>
      </c>
      <c r="AL74" t="s">
        <v>111</v>
      </c>
      <c r="AM74" t="s">
        <v>111</v>
      </c>
      <c r="AN74" t="s">
        <v>105</v>
      </c>
      <c r="AO74" t="s">
        <v>110</v>
      </c>
      <c r="AP74" t="s">
        <v>109</v>
      </c>
    </row>
    <row r="75" spans="1:42" x14ac:dyDescent="0.25">
      <c r="A75" s="28" t="str">
        <f>"14837"</f>
        <v>14837</v>
      </c>
      <c r="B75">
        <v>14837</v>
      </c>
      <c r="C75" t="s">
        <v>2488</v>
      </c>
      <c r="D75" t="s">
        <v>121</v>
      </c>
      <c r="F75" t="s">
        <v>149</v>
      </c>
      <c r="G75" t="s">
        <v>2484</v>
      </c>
      <c r="H75" t="s">
        <v>780</v>
      </c>
      <c r="I75" t="s">
        <v>11561</v>
      </c>
      <c r="J75" t="s">
        <v>126</v>
      </c>
      <c r="K75" s="63">
        <v>29606</v>
      </c>
      <c r="L75" s="28">
        <f>DATEDIF(K75,Zwift25!G$1,"Y")</f>
        <v>43</v>
      </c>
      <c r="M75" s="67">
        <f>IF(J75="m",VLOOKUP(L75,'All Solo Adjustments'!A:D,4,FALSE),VLOOKUP(L75,'All Solo Adjustments'!A:J,10,FALSE))</f>
        <v>4.5254629629629629E-3</v>
      </c>
      <c r="N75" s="63"/>
      <c r="O75" s="63"/>
      <c r="P75" s="63"/>
      <c r="Q75" s="63"/>
      <c r="R75" t="s">
        <v>154</v>
      </c>
      <c r="S75" t="s">
        <v>153</v>
      </c>
      <c r="T75" t="s">
        <v>292</v>
      </c>
      <c r="U75" t="s">
        <v>11107</v>
      </c>
      <c r="V75" t="s">
        <v>11560</v>
      </c>
      <c r="W75" t="s">
        <v>1528</v>
      </c>
      <c r="X75" t="s">
        <v>6055</v>
      </c>
      <c r="Y75" t="s">
        <v>11559</v>
      </c>
      <c r="Z75" t="str">
        <f>"07881902881"</f>
        <v>07881902881</v>
      </c>
      <c r="AA75" t="str">
        <f>""</f>
        <v/>
      </c>
      <c r="AB75" t="s">
        <v>216</v>
      </c>
      <c r="AC75" t="s">
        <v>11558</v>
      </c>
      <c r="AD75" t="s">
        <v>114</v>
      </c>
      <c r="AE75" s="63">
        <v>45292</v>
      </c>
      <c r="AF75" t="s">
        <v>156</v>
      </c>
      <c r="AG75" t="s">
        <v>112</v>
      </c>
      <c r="AH75" t="s">
        <v>112</v>
      </c>
      <c r="AI75" s="63">
        <v>44229</v>
      </c>
      <c r="AJ75" s="63">
        <v>45657</v>
      </c>
      <c r="AK75" t="s">
        <v>112</v>
      </c>
      <c r="AL75" t="s">
        <v>111</v>
      </c>
      <c r="AM75" t="s">
        <v>111</v>
      </c>
      <c r="AN75">
        <v>22580</v>
      </c>
      <c r="AO75" t="s">
        <v>122</v>
      </c>
      <c r="AP75" t="s">
        <v>122</v>
      </c>
    </row>
    <row r="76" spans="1:42" x14ac:dyDescent="0.25">
      <c r="A76" s="28" t="str">
        <f>"5419"</f>
        <v>5419</v>
      </c>
      <c r="B76">
        <v>5419</v>
      </c>
      <c r="C76" t="s">
        <v>2488</v>
      </c>
      <c r="D76" t="s">
        <v>121</v>
      </c>
      <c r="F76" t="s">
        <v>120</v>
      </c>
      <c r="G76" t="s">
        <v>489</v>
      </c>
      <c r="I76" t="s">
        <v>11557</v>
      </c>
      <c r="J76" t="s">
        <v>7</v>
      </c>
      <c r="K76" s="63">
        <v>23588</v>
      </c>
      <c r="L76" s="28">
        <f>DATEDIF(K76,Zwift25!G$1,"Y")</f>
        <v>60</v>
      </c>
      <c r="M76" s="67">
        <f>IF(J76="m",VLOOKUP(L76,'All Solo Adjustments'!A:D,4,FALSE),VLOOKUP(L76,'All Solo Adjustments'!A:J,10,FALSE))</f>
        <v>3.2060185185185186E-3</v>
      </c>
      <c r="N76" s="63"/>
      <c r="O76" s="63"/>
      <c r="P76" s="63"/>
      <c r="Q76" s="63"/>
      <c r="R76" t="s">
        <v>125</v>
      </c>
      <c r="S76" t="s">
        <v>170</v>
      </c>
      <c r="T76" t="s">
        <v>292</v>
      </c>
      <c r="U76" t="s">
        <v>11556</v>
      </c>
      <c r="V76" t="s">
        <v>926</v>
      </c>
      <c r="Y76" t="s">
        <v>11555</v>
      </c>
      <c r="Z76" t="str">
        <f>"01604 589369"</f>
        <v>01604 589369</v>
      </c>
      <c r="AA76" t="str">
        <f>"07913112007"</f>
        <v>07913112007</v>
      </c>
      <c r="AB76" t="s">
        <v>11554</v>
      </c>
      <c r="AC76" t="s">
        <v>11553</v>
      </c>
      <c r="AD76" t="s">
        <v>114</v>
      </c>
      <c r="AE76" s="63">
        <v>45316</v>
      </c>
      <c r="AF76" t="s">
        <v>156</v>
      </c>
      <c r="AG76" t="s">
        <v>112</v>
      </c>
      <c r="AH76" t="s">
        <v>112</v>
      </c>
      <c r="AI76" s="63">
        <v>42871</v>
      </c>
      <c r="AJ76" s="63">
        <v>45657</v>
      </c>
      <c r="AK76" t="s">
        <v>111</v>
      </c>
      <c r="AL76" t="s">
        <v>111</v>
      </c>
      <c r="AM76" t="s">
        <v>111</v>
      </c>
      <c r="AN76">
        <v>15621</v>
      </c>
      <c r="AO76" t="s">
        <v>110</v>
      </c>
      <c r="AP76" t="s">
        <v>109</v>
      </c>
    </row>
    <row r="77" spans="1:42" x14ac:dyDescent="0.25">
      <c r="A77" s="28" t="str">
        <f>"7536"</f>
        <v>7536</v>
      </c>
      <c r="B77">
        <v>7536</v>
      </c>
      <c r="C77" t="s">
        <v>2488</v>
      </c>
      <c r="D77" t="s">
        <v>121</v>
      </c>
      <c r="F77" t="s">
        <v>149</v>
      </c>
      <c r="G77" t="s">
        <v>11552</v>
      </c>
      <c r="I77" t="s">
        <v>2259</v>
      </c>
      <c r="J77" t="s">
        <v>126</v>
      </c>
      <c r="K77" s="63">
        <v>11108</v>
      </c>
      <c r="L77" s="28">
        <f>DATEDIF(K77,Zwift25!G$1,"Y")</f>
        <v>94</v>
      </c>
      <c r="M77" s="67">
        <f>IF(J77="m",VLOOKUP(L77,'All Solo Adjustments'!A:D,4,FALSE),VLOOKUP(L77,'All Solo Adjustments'!A:J,10,FALSE))</f>
        <v>2.9988425925925925E-2</v>
      </c>
      <c r="N77" s="63"/>
      <c r="O77" s="63"/>
      <c r="P77" s="63"/>
      <c r="Q77" s="63"/>
      <c r="R77" t="s">
        <v>180</v>
      </c>
      <c r="S77" t="s">
        <v>2288</v>
      </c>
      <c r="T77" t="s">
        <v>292</v>
      </c>
      <c r="U77" t="s">
        <v>2373</v>
      </c>
      <c r="V77" t="s">
        <v>1300</v>
      </c>
      <c r="W77" t="s">
        <v>968</v>
      </c>
      <c r="Y77" t="s">
        <v>2372</v>
      </c>
      <c r="Z77" t="str">
        <f>"99999999999"</f>
        <v>99999999999</v>
      </c>
      <c r="AA77" t="str">
        <f>"99999999999"</f>
        <v>99999999999</v>
      </c>
      <c r="AB77" t="s">
        <v>11551</v>
      </c>
      <c r="AD77" t="s">
        <v>151</v>
      </c>
      <c r="AF77" t="s">
        <v>113</v>
      </c>
      <c r="AG77" t="s">
        <v>111</v>
      </c>
      <c r="AH77" t="s">
        <v>111</v>
      </c>
      <c r="AK77" t="s">
        <v>111</v>
      </c>
      <c r="AL77" t="s">
        <v>111</v>
      </c>
      <c r="AM77" t="s">
        <v>111</v>
      </c>
      <c r="AN77" t="s">
        <v>105</v>
      </c>
      <c r="AO77" t="s">
        <v>122</v>
      </c>
      <c r="AP77" t="s">
        <v>122</v>
      </c>
    </row>
    <row r="78" spans="1:42" x14ac:dyDescent="0.25">
      <c r="A78" s="28" t="str">
        <f>"0117"</f>
        <v>0117</v>
      </c>
      <c r="B78">
        <v>117</v>
      </c>
      <c r="C78" t="s">
        <v>2488</v>
      </c>
      <c r="D78" t="s">
        <v>121</v>
      </c>
      <c r="F78" t="s">
        <v>120</v>
      </c>
      <c r="G78" t="s">
        <v>506</v>
      </c>
      <c r="I78" t="s">
        <v>2259</v>
      </c>
      <c r="J78" t="s">
        <v>7</v>
      </c>
      <c r="K78" s="63">
        <v>11589</v>
      </c>
      <c r="L78" s="28">
        <f>DATEDIF(K78,Zwift25!G$1,"Y")</f>
        <v>93</v>
      </c>
      <c r="M78" s="67">
        <f>IF(J78="m",VLOOKUP(L78,'All Solo Adjustments'!A:D,4,FALSE),VLOOKUP(L78,'All Solo Adjustments'!A:J,10,FALSE))</f>
        <v>2.1516203703703704E-2</v>
      </c>
      <c r="N78" s="63"/>
      <c r="O78" s="63"/>
      <c r="P78" s="63"/>
      <c r="Q78" s="63"/>
      <c r="R78" t="s">
        <v>239</v>
      </c>
      <c r="S78" t="s">
        <v>437</v>
      </c>
      <c r="T78" t="s">
        <v>292</v>
      </c>
      <c r="U78" t="s">
        <v>11550</v>
      </c>
      <c r="V78" t="s">
        <v>11549</v>
      </c>
      <c r="W78" t="s">
        <v>627</v>
      </c>
      <c r="Y78" t="s">
        <v>11548</v>
      </c>
      <c r="Z78" t="str">
        <f>"01132 570449"</f>
        <v>01132 570449</v>
      </c>
      <c r="AA78" t="str">
        <f>""</f>
        <v/>
      </c>
      <c r="AB78" t="s">
        <v>1759</v>
      </c>
      <c r="AC78" t="s">
        <v>11547</v>
      </c>
      <c r="AD78" t="s">
        <v>151</v>
      </c>
      <c r="AF78" t="s">
        <v>113</v>
      </c>
      <c r="AG78" t="s">
        <v>112</v>
      </c>
      <c r="AH78" t="s">
        <v>112</v>
      </c>
      <c r="AI78" s="63">
        <v>26770</v>
      </c>
      <c r="AK78" t="s">
        <v>111</v>
      </c>
      <c r="AL78" t="s">
        <v>111</v>
      </c>
      <c r="AM78" t="s">
        <v>111</v>
      </c>
      <c r="AN78" t="s">
        <v>105</v>
      </c>
      <c r="AO78" t="s">
        <v>110</v>
      </c>
      <c r="AP78" t="s">
        <v>109</v>
      </c>
    </row>
    <row r="79" spans="1:42" x14ac:dyDescent="0.25">
      <c r="A79" s="28" t="str">
        <f>"0115"</f>
        <v>0115</v>
      </c>
      <c r="B79">
        <v>115</v>
      </c>
      <c r="C79" t="s">
        <v>2488</v>
      </c>
      <c r="D79" t="s">
        <v>132</v>
      </c>
      <c r="F79" t="s">
        <v>120</v>
      </c>
      <c r="G79" t="s">
        <v>442</v>
      </c>
      <c r="H79" t="s">
        <v>245</v>
      </c>
      <c r="I79" t="s">
        <v>2259</v>
      </c>
      <c r="J79" t="s">
        <v>7</v>
      </c>
      <c r="K79" s="63">
        <v>18141</v>
      </c>
      <c r="L79" s="28">
        <f>DATEDIF(K79,Zwift25!G$1,"Y")</f>
        <v>75</v>
      </c>
      <c r="M79" s="67">
        <f>IF(J79="m",VLOOKUP(L79,'All Solo Adjustments'!A:D,4,FALSE),VLOOKUP(L79,'All Solo Adjustments'!A:J,10,FALSE))</f>
        <v>8.4374999999999988E-3</v>
      </c>
      <c r="N79" s="63"/>
      <c r="O79" s="63"/>
      <c r="P79" s="63"/>
      <c r="Q79" s="63"/>
      <c r="R79" t="s">
        <v>118</v>
      </c>
      <c r="S79" t="s">
        <v>117</v>
      </c>
      <c r="T79" t="s">
        <v>292</v>
      </c>
      <c r="U79" t="s">
        <v>11545</v>
      </c>
      <c r="V79" t="s">
        <v>11544</v>
      </c>
      <c r="W79" t="s">
        <v>253</v>
      </c>
      <c r="X79" t="s">
        <v>985</v>
      </c>
      <c r="Y79" t="s">
        <v>11543</v>
      </c>
      <c r="Z79" t="str">
        <f>""</f>
        <v/>
      </c>
      <c r="AA79" t="str">
        <f>"07783 636685"</f>
        <v>07783 636685</v>
      </c>
      <c r="AB79" t="s">
        <v>1214</v>
      </c>
      <c r="AC79" t="s">
        <v>11546</v>
      </c>
      <c r="AD79" t="s">
        <v>145</v>
      </c>
      <c r="AE79" s="63">
        <v>45341</v>
      </c>
      <c r="AF79" t="s">
        <v>113</v>
      </c>
      <c r="AG79" t="s">
        <v>112</v>
      </c>
      <c r="AH79" t="s">
        <v>112</v>
      </c>
      <c r="AI79" s="63">
        <v>35431</v>
      </c>
      <c r="AJ79" s="63">
        <v>45657</v>
      </c>
      <c r="AK79" t="s">
        <v>111</v>
      </c>
      <c r="AL79" t="s">
        <v>111</v>
      </c>
      <c r="AM79" t="s">
        <v>111</v>
      </c>
      <c r="AN79" t="s">
        <v>105</v>
      </c>
      <c r="AO79" t="s">
        <v>110</v>
      </c>
      <c r="AP79" t="s">
        <v>109</v>
      </c>
    </row>
    <row r="80" spans="1:42" x14ac:dyDescent="0.25">
      <c r="A80" s="28" t="str">
        <f>"14496"</f>
        <v>14496</v>
      </c>
      <c r="B80">
        <v>14496</v>
      </c>
      <c r="C80" t="s">
        <v>2488</v>
      </c>
      <c r="D80" t="s">
        <v>121</v>
      </c>
      <c r="F80" t="s">
        <v>120</v>
      </c>
      <c r="G80" t="s">
        <v>230</v>
      </c>
      <c r="H80" t="s">
        <v>1734</v>
      </c>
      <c r="I80" t="s">
        <v>2259</v>
      </c>
      <c r="J80" t="s">
        <v>7</v>
      </c>
      <c r="K80" s="63">
        <v>26496</v>
      </c>
      <c r="L80" s="28">
        <f>DATEDIF(K80,Zwift25!G$1,"Y")</f>
        <v>52</v>
      </c>
      <c r="M80" s="67">
        <f>IF(J80="m",VLOOKUP(L80,'All Solo Adjustments'!A:D,4,FALSE),VLOOKUP(L80,'All Solo Adjustments'!A:J,10,FALSE))</f>
        <v>1.4814814814814816E-3</v>
      </c>
      <c r="N80" s="63"/>
      <c r="O80" s="63"/>
      <c r="P80" s="63"/>
      <c r="Q80" s="63"/>
      <c r="R80" t="s">
        <v>180</v>
      </c>
      <c r="S80" t="s">
        <v>179</v>
      </c>
      <c r="T80" t="s">
        <v>292</v>
      </c>
      <c r="U80" t="s">
        <v>11542</v>
      </c>
      <c r="V80" t="s">
        <v>11541</v>
      </c>
      <c r="X80" t="s">
        <v>871</v>
      </c>
      <c r="Y80" t="s">
        <v>11540</v>
      </c>
      <c r="Z80" t="str">
        <f>"01536508326"</f>
        <v>01536508326</v>
      </c>
      <c r="AA80" t="str">
        <f>"07935914147"</f>
        <v>07935914147</v>
      </c>
      <c r="AB80" t="s">
        <v>870</v>
      </c>
      <c r="AC80" t="s">
        <v>11539</v>
      </c>
      <c r="AD80" t="s">
        <v>114</v>
      </c>
      <c r="AE80" s="63">
        <v>45363</v>
      </c>
      <c r="AF80" t="s">
        <v>113</v>
      </c>
      <c r="AG80" t="s">
        <v>112</v>
      </c>
      <c r="AH80" t="s">
        <v>112</v>
      </c>
      <c r="AI80" s="63">
        <v>43886</v>
      </c>
      <c r="AJ80" s="63">
        <v>45657</v>
      </c>
      <c r="AK80" t="s">
        <v>112</v>
      </c>
      <c r="AL80" t="s">
        <v>112</v>
      </c>
      <c r="AM80" t="s">
        <v>111</v>
      </c>
      <c r="AN80">
        <v>15103</v>
      </c>
      <c r="AO80" t="s">
        <v>110</v>
      </c>
      <c r="AP80" t="s">
        <v>109</v>
      </c>
    </row>
    <row r="81" spans="1:42" x14ac:dyDescent="0.25">
      <c r="A81" s="28" t="str">
        <f>"3738"</f>
        <v>3738</v>
      </c>
      <c r="B81">
        <v>3738</v>
      </c>
      <c r="C81" t="s">
        <v>2488</v>
      </c>
      <c r="D81" t="s">
        <v>132</v>
      </c>
      <c r="F81" t="s">
        <v>120</v>
      </c>
      <c r="G81" t="s">
        <v>738</v>
      </c>
      <c r="I81" t="s">
        <v>2258</v>
      </c>
      <c r="J81" t="s">
        <v>7</v>
      </c>
      <c r="K81" s="63">
        <v>20075</v>
      </c>
      <c r="L81" s="28">
        <f>DATEDIF(K81,Zwift25!G$1,"Y")</f>
        <v>69</v>
      </c>
      <c r="M81" s="67">
        <f>IF(J81="m",VLOOKUP(L81,'All Solo Adjustments'!A:D,4,FALSE),VLOOKUP(L81,'All Solo Adjustments'!A:J,10,FALSE))</f>
        <v>5.9722222222222225E-3</v>
      </c>
      <c r="N81" s="63"/>
      <c r="O81" s="63"/>
      <c r="P81" s="63"/>
      <c r="Q81" s="63"/>
      <c r="R81" t="s">
        <v>328</v>
      </c>
      <c r="S81" t="s">
        <v>741</v>
      </c>
      <c r="T81" t="s">
        <v>292</v>
      </c>
      <c r="U81" t="s">
        <v>11537</v>
      </c>
      <c r="V81" t="s">
        <v>1511</v>
      </c>
      <c r="W81" t="s">
        <v>1510</v>
      </c>
      <c r="X81" t="s">
        <v>325</v>
      </c>
      <c r="Y81" t="s">
        <v>11536</v>
      </c>
      <c r="Z81" t="str">
        <f>"07967 143931"</f>
        <v>07967 143931</v>
      </c>
      <c r="AA81" t="str">
        <f>""</f>
        <v/>
      </c>
      <c r="AB81" t="s">
        <v>2041</v>
      </c>
      <c r="AC81" t="s">
        <v>11538</v>
      </c>
      <c r="AD81" t="s">
        <v>114</v>
      </c>
      <c r="AE81" s="63">
        <v>45293</v>
      </c>
      <c r="AF81" t="s">
        <v>156</v>
      </c>
      <c r="AG81" t="s">
        <v>112</v>
      </c>
      <c r="AH81" t="s">
        <v>112</v>
      </c>
      <c r="AI81" s="63">
        <v>40015</v>
      </c>
      <c r="AJ81" s="63">
        <v>45657</v>
      </c>
      <c r="AK81" t="s">
        <v>111</v>
      </c>
      <c r="AL81" t="s">
        <v>111</v>
      </c>
      <c r="AM81" t="s">
        <v>111</v>
      </c>
      <c r="AN81">
        <v>41273</v>
      </c>
      <c r="AO81" t="s">
        <v>110</v>
      </c>
      <c r="AP81" t="s">
        <v>109</v>
      </c>
    </row>
    <row r="82" spans="1:42" x14ac:dyDescent="0.25">
      <c r="A82" s="28" t="str">
        <f>"13007"</f>
        <v>13007</v>
      </c>
      <c r="B82">
        <v>13007</v>
      </c>
      <c r="C82" t="s">
        <v>2488</v>
      </c>
      <c r="D82" t="s">
        <v>130</v>
      </c>
      <c r="F82" t="s">
        <v>120</v>
      </c>
      <c r="G82" t="s">
        <v>959</v>
      </c>
      <c r="H82" t="s">
        <v>1865</v>
      </c>
      <c r="I82" t="s">
        <v>3566</v>
      </c>
      <c r="J82" t="s">
        <v>126</v>
      </c>
      <c r="K82" s="63">
        <v>22006</v>
      </c>
      <c r="L82" s="28">
        <f>DATEDIF(K82,Zwift25!G$1,"Y")</f>
        <v>64</v>
      </c>
      <c r="M82" s="67">
        <f>IF(J82="m",VLOOKUP(L82,'All Solo Adjustments'!A:D,4,FALSE),VLOOKUP(L82,'All Solo Adjustments'!A:J,10,FALSE))</f>
        <v>8.4490740740740741E-3</v>
      </c>
      <c r="N82" s="63"/>
      <c r="O82" s="63"/>
      <c r="P82" s="63"/>
      <c r="Q82" s="63"/>
      <c r="R82" t="s">
        <v>328</v>
      </c>
      <c r="S82" t="s">
        <v>741</v>
      </c>
      <c r="T82" t="s">
        <v>292</v>
      </c>
      <c r="U82" t="s">
        <v>11537</v>
      </c>
      <c r="V82" t="s">
        <v>1511</v>
      </c>
      <c r="W82" t="s">
        <v>1510</v>
      </c>
      <c r="X82" t="s">
        <v>325</v>
      </c>
      <c r="Y82" t="s">
        <v>11536</v>
      </c>
      <c r="Z82" t="str">
        <f>"07967 143931"</f>
        <v>07967 143931</v>
      </c>
      <c r="AA82" t="str">
        <f>""</f>
        <v/>
      </c>
      <c r="AB82" t="s">
        <v>2041</v>
      </c>
      <c r="AC82" t="s">
        <v>11535</v>
      </c>
      <c r="AD82" t="s">
        <v>114</v>
      </c>
      <c r="AE82" s="63">
        <v>45293</v>
      </c>
      <c r="AF82" t="s">
        <v>113</v>
      </c>
      <c r="AG82" t="s">
        <v>111</v>
      </c>
      <c r="AH82" t="s">
        <v>111</v>
      </c>
      <c r="AI82" s="63">
        <v>40015</v>
      </c>
      <c r="AJ82" s="63">
        <v>45657</v>
      </c>
      <c r="AK82" t="s">
        <v>111</v>
      </c>
      <c r="AL82" t="s">
        <v>111</v>
      </c>
      <c r="AM82" t="s">
        <v>111</v>
      </c>
      <c r="AN82">
        <v>529</v>
      </c>
      <c r="AO82" t="s">
        <v>122</v>
      </c>
      <c r="AP82" t="s">
        <v>122</v>
      </c>
    </row>
    <row r="83" spans="1:42" x14ac:dyDescent="0.25">
      <c r="A83" s="28" t="str">
        <f>"5541"</f>
        <v>5541</v>
      </c>
      <c r="B83">
        <v>5541</v>
      </c>
      <c r="C83" t="s">
        <v>2488</v>
      </c>
      <c r="D83" t="s">
        <v>121</v>
      </c>
      <c r="F83" t="s">
        <v>120</v>
      </c>
      <c r="G83" t="s">
        <v>392</v>
      </c>
      <c r="I83" t="s">
        <v>2473</v>
      </c>
      <c r="J83" t="s">
        <v>7</v>
      </c>
      <c r="K83" s="63">
        <v>27152</v>
      </c>
      <c r="L83" s="28">
        <f>DATEDIF(K83,Zwift25!G$1,"Y")</f>
        <v>50</v>
      </c>
      <c r="M83" s="67">
        <f>IF(J83="m",VLOOKUP(L83,'All Solo Adjustments'!A:D,4,FALSE),VLOOKUP(L83,'All Solo Adjustments'!A:J,10,FALSE))</f>
        <v>1.1342592592592591E-3</v>
      </c>
      <c r="N83" s="63"/>
      <c r="O83" s="63"/>
      <c r="P83" s="63"/>
      <c r="Q83" s="63"/>
      <c r="R83" t="s">
        <v>180</v>
      </c>
      <c r="S83" t="s">
        <v>179</v>
      </c>
      <c r="T83" t="s">
        <v>292</v>
      </c>
      <c r="U83" t="s">
        <v>11534</v>
      </c>
      <c r="V83" t="s">
        <v>11533</v>
      </c>
      <c r="X83" t="s">
        <v>177</v>
      </c>
      <c r="Y83" t="s">
        <v>11532</v>
      </c>
      <c r="Z83" t="str">
        <f>"07841746188"</f>
        <v>07841746188</v>
      </c>
      <c r="AA83" t="str">
        <f>"07841746188"</f>
        <v>07841746188</v>
      </c>
      <c r="AB83" t="s">
        <v>216</v>
      </c>
      <c r="AC83" t="s">
        <v>11531</v>
      </c>
      <c r="AD83" t="s">
        <v>114</v>
      </c>
      <c r="AE83" s="63">
        <v>45329</v>
      </c>
      <c r="AF83" t="s">
        <v>156</v>
      </c>
      <c r="AG83" t="s">
        <v>112</v>
      </c>
      <c r="AH83" t="s">
        <v>112</v>
      </c>
      <c r="AI83" s="63">
        <v>43152</v>
      </c>
      <c r="AJ83" s="63">
        <v>45657</v>
      </c>
      <c r="AK83" t="s">
        <v>111</v>
      </c>
      <c r="AL83" t="s">
        <v>111</v>
      </c>
      <c r="AM83" t="s">
        <v>111</v>
      </c>
      <c r="AN83">
        <v>449</v>
      </c>
      <c r="AO83" t="s">
        <v>110</v>
      </c>
      <c r="AP83" t="s">
        <v>109</v>
      </c>
    </row>
    <row r="84" spans="1:42" x14ac:dyDescent="0.25">
      <c r="A84" s="28" t="str">
        <f>"5819"</f>
        <v>5819</v>
      </c>
      <c r="B84">
        <v>5819</v>
      </c>
      <c r="C84" t="s">
        <v>2488</v>
      </c>
      <c r="D84" t="s">
        <v>121</v>
      </c>
      <c r="E84" t="s">
        <v>584</v>
      </c>
      <c r="F84" t="s">
        <v>120</v>
      </c>
      <c r="G84" t="s">
        <v>284</v>
      </c>
      <c r="I84" t="s">
        <v>2473</v>
      </c>
      <c r="J84" t="s">
        <v>7</v>
      </c>
      <c r="K84" s="63">
        <v>20039</v>
      </c>
      <c r="L84" s="28">
        <f>DATEDIF(K84,Zwift25!G$1,"Y")</f>
        <v>69</v>
      </c>
      <c r="M84" s="67">
        <f>IF(J84="m",VLOOKUP(L84,'All Solo Adjustments'!A:D,4,FALSE),VLOOKUP(L84,'All Solo Adjustments'!A:J,10,FALSE))</f>
        <v>5.9722222222222225E-3</v>
      </c>
      <c r="N84" s="63"/>
      <c r="O84" s="63"/>
      <c r="P84" s="63"/>
      <c r="Q84" s="63"/>
      <c r="R84" t="s">
        <v>239</v>
      </c>
      <c r="S84" t="s">
        <v>274</v>
      </c>
      <c r="T84" t="s">
        <v>292</v>
      </c>
      <c r="U84" t="s">
        <v>11530</v>
      </c>
      <c r="V84" t="s">
        <v>237</v>
      </c>
      <c r="W84" t="s">
        <v>236</v>
      </c>
      <c r="Y84" t="s">
        <v>11529</v>
      </c>
      <c r="Z84" t="str">
        <f>"07908 480489"</f>
        <v>07908 480489</v>
      </c>
      <c r="AA84" t="str">
        <f>""</f>
        <v/>
      </c>
      <c r="AB84" t="s">
        <v>679</v>
      </c>
      <c r="AC84" t="s">
        <v>11528</v>
      </c>
      <c r="AD84" t="s">
        <v>114</v>
      </c>
      <c r="AE84" s="63">
        <v>45279</v>
      </c>
      <c r="AF84" t="s">
        <v>156</v>
      </c>
      <c r="AG84" t="s">
        <v>112</v>
      </c>
      <c r="AH84" t="s">
        <v>112</v>
      </c>
      <c r="AI84" s="63">
        <v>42478</v>
      </c>
      <c r="AJ84" s="63">
        <v>45657</v>
      </c>
      <c r="AK84" t="s">
        <v>111</v>
      </c>
      <c r="AL84" t="s">
        <v>111</v>
      </c>
      <c r="AM84" t="s">
        <v>111</v>
      </c>
      <c r="AN84">
        <v>2307</v>
      </c>
      <c r="AO84" t="s">
        <v>110</v>
      </c>
      <c r="AP84" t="s">
        <v>109</v>
      </c>
    </row>
    <row r="85" spans="1:42" x14ac:dyDescent="0.25">
      <c r="A85" s="28" t="str">
        <f>"0126"</f>
        <v>0126</v>
      </c>
      <c r="B85">
        <v>126</v>
      </c>
      <c r="C85" t="s">
        <v>2488</v>
      </c>
      <c r="D85" t="s">
        <v>132</v>
      </c>
      <c r="F85" t="s">
        <v>120</v>
      </c>
      <c r="G85" t="s">
        <v>649</v>
      </c>
      <c r="I85" t="s">
        <v>11526</v>
      </c>
      <c r="J85" t="s">
        <v>7</v>
      </c>
      <c r="K85" s="63">
        <v>11665</v>
      </c>
      <c r="L85" s="28">
        <f>DATEDIF(K85,Zwift25!G$1,"Y")</f>
        <v>92</v>
      </c>
      <c r="M85" s="67">
        <f>IF(J85="m",VLOOKUP(L85,'All Solo Adjustments'!A:D,4,FALSE),VLOOKUP(L85,'All Solo Adjustments'!A:J,10,FALSE))</f>
        <v>2.0405092592592593E-2</v>
      </c>
      <c r="N85" s="63"/>
      <c r="O85" s="63"/>
      <c r="P85" s="63"/>
      <c r="Q85" s="63"/>
      <c r="R85" t="s">
        <v>154</v>
      </c>
      <c r="S85" t="s">
        <v>412</v>
      </c>
      <c r="T85" t="s">
        <v>292</v>
      </c>
      <c r="U85" t="s">
        <v>11525</v>
      </c>
      <c r="V85" t="s">
        <v>11524</v>
      </c>
      <c r="W85" t="s">
        <v>11523</v>
      </c>
      <c r="X85" t="s">
        <v>669</v>
      </c>
      <c r="Y85" t="s">
        <v>11522</v>
      </c>
      <c r="Z85" t="str">
        <f>"01761 452643"</f>
        <v>01761 452643</v>
      </c>
      <c r="AA85" t="str">
        <f>""</f>
        <v/>
      </c>
      <c r="AB85" t="s">
        <v>290</v>
      </c>
      <c r="AC85" t="s">
        <v>11521</v>
      </c>
      <c r="AD85" t="s">
        <v>145</v>
      </c>
      <c r="AE85" s="63">
        <v>45300</v>
      </c>
      <c r="AF85" t="s">
        <v>113</v>
      </c>
      <c r="AG85" t="s">
        <v>112</v>
      </c>
      <c r="AH85" t="s">
        <v>112</v>
      </c>
      <c r="AI85" s="63">
        <v>31413</v>
      </c>
      <c r="AJ85" s="63">
        <v>45657</v>
      </c>
      <c r="AK85" t="s">
        <v>111</v>
      </c>
      <c r="AL85" t="s">
        <v>111</v>
      </c>
      <c r="AM85" t="s">
        <v>111</v>
      </c>
      <c r="AN85" t="s">
        <v>105</v>
      </c>
      <c r="AO85" t="s">
        <v>110</v>
      </c>
      <c r="AP85" t="s">
        <v>109</v>
      </c>
    </row>
    <row r="86" spans="1:42" x14ac:dyDescent="0.25">
      <c r="A86" s="28" t="str">
        <f>"10917"</f>
        <v>10917</v>
      </c>
      <c r="B86">
        <v>10917</v>
      </c>
      <c r="C86" t="s">
        <v>2488</v>
      </c>
      <c r="D86" t="s">
        <v>130</v>
      </c>
      <c r="F86" t="s">
        <v>149</v>
      </c>
      <c r="G86" t="s">
        <v>11527</v>
      </c>
      <c r="I86" t="s">
        <v>11526</v>
      </c>
      <c r="J86" t="s">
        <v>126</v>
      </c>
      <c r="L86" s="28">
        <f>DATEDIF(K86,Zwift25!G$1,"Y")</f>
        <v>124</v>
      </c>
      <c r="M86" s="67" t="e">
        <f>IF(J86="m",VLOOKUP(L86,'All Solo Adjustments'!A:D,4,FALSE),VLOOKUP(L86,'All Solo Adjustments'!A:J,10,FALSE))</f>
        <v>#N/A</v>
      </c>
      <c r="R86" t="s">
        <v>154</v>
      </c>
      <c r="S86" t="s">
        <v>412</v>
      </c>
      <c r="T86" t="s">
        <v>292</v>
      </c>
      <c r="U86" t="s">
        <v>11525</v>
      </c>
      <c r="V86" t="s">
        <v>11524</v>
      </c>
      <c r="W86" t="s">
        <v>11523</v>
      </c>
      <c r="X86" t="s">
        <v>669</v>
      </c>
      <c r="Y86" t="s">
        <v>11522</v>
      </c>
      <c r="Z86" t="str">
        <f>"01761 452643"</f>
        <v>01761 452643</v>
      </c>
      <c r="AA86" t="str">
        <f>""</f>
        <v/>
      </c>
      <c r="AB86" t="s">
        <v>290</v>
      </c>
      <c r="AC86" t="s">
        <v>11521</v>
      </c>
      <c r="AD86" t="s">
        <v>145</v>
      </c>
      <c r="AE86" s="63">
        <v>45300</v>
      </c>
      <c r="AF86" t="s">
        <v>113</v>
      </c>
      <c r="AG86" t="s">
        <v>112</v>
      </c>
      <c r="AH86" t="s">
        <v>112</v>
      </c>
      <c r="AI86" s="63">
        <v>43408</v>
      </c>
      <c r="AJ86" s="63">
        <v>45657</v>
      </c>
      <c r="AK86" t="s">
        <v>111</v>
      </c>
      <c r="AL86" t="s">
        <v>111</v>
      </c>
      <c r="AM86" t="s">
        <v>111</v>
      </c>
      <c r="AN86" t="s">
        <v>105</v>
      </c>
      <c r="AO86" t="s">
        <v>122</v>
      </c>
      <c r="AP86" t="s">
        <v>122</v>
      </c>
    </row>
    <row r="87" spans="1:42" x14ac:dyDescent="0.25">
      <c r="A87" s="28" t="str">
        <f>"15734"</f>
        <v>15734</v>
      </c>
      <c r="B87">
        <v>15734</v>
      </c>
      <c r="C87" t="s">
        <v>2488</v>
      </c>
      <c r="D87" t="s">
        <v>121</v>
      </c>
      <c r="E87" t="s">
        <v>584</v>
      </c>
      <c r="F87" t="s">
        <v>120</v>
      </c>
      <c r="G87" t="s">
        <v>1395</v>
      </c>
      <c r="I87" t="s">
        <v>2257</v>
      </c>
      <c r="J87" t="s">
        <v>7</v>
      </c>
      <c r="K87" s="63">
        <v>20347</v>
      </c>
      <c r="L87" s="28">
        <f>DATEDIF(K87,Zwift25!G$1,"Y")</f>
        <v>69</v>
      </c>
      <c r="M87" s="67">
        <f>IF(J87="m",VLOOKUP(L87,'All Solo Adjustments'!A:D,4,FALSE),VLOOKUP(L87,'All Solo Adjustments'!A:J,10,FALSE))</f>
        <v>5.9722222222222225E-3</v>
      </c>
      <c r="N87" s="63"/>
      <c r="O87" s="63"/>
      <c r="P87" s="63"/>
      <c r="Q87" s="63"/>
      <c r="R87" t="s">
        <v>184</v>
      </c>
      <c r="S87" t="s">
        <v>183</v>
      </c>
      <c r="T87" t="s">
        <v>292</v>
      </c>
      <c r="U87">
        <v>132</v>
      </c>
      <c r="V87" t="s">
        <v>11520</v>
      </c>
      <c r="W87" t="s">
        <v>11519</v>
      </c>
      <c r="X87" t="s">
        <v>401</v>
      </c>
      <c r="Y87" t="s">
        <v>11518</v>
      </c>
      <c r="Z87" t="str">
        <f>"07547397918"</f>
        <v>07547397918</v>
      </c>
      <c r="AA87" t="str">
        <f>""</f>
        <v/>
      </c>
      <c r="AB87" t="s">
        <v>11517</v>
      </c>
      <c r="AC87" t="s">
        <v>11516</v>
      </c>
      <c r="AD87" t="s">
        <v>114</v>
      </c>
      <c r="AE87" s="63">
        <v>45363</v>
      </c>
      <c r="AF87" t="s">
        <v>156</v>
      </c>
      <c r="AG87" t="s">
        <v>112</v>
      </c>
      <c r="AH87" t="s">
        <v>112</v>
      </c>
      <c r="AI87" s="63">
        <v>45005</v>
      </c>
      <c r="AJ87" s="63">
        <v>45657</v>
      </c>
      <c r="AK87" t="s">
        <v>112</v>
      </c>
      <c r="AL87" t="s">
        <v>111</v>
      </c>
      <c r="AM87" t="s">
        <v>111</v>
      </c>
      <c r="AN87">
        <v>33574</v>
      </c>
      <c r="AO87" t="s">
        <v>110</v>
      </c>
      <c r="AP87" t="s">
        <v>109</v>
      </c>
    </row>
    <row r="88" spans="1:42" x14ac:dyDescent="0.25">
      <c r="A88" s="28" t="str">
        <f>"15368"</f>
        <v>15368</v>
      </c>
      <c r="B88">
        <v>15368</v>
      </c>
      <c r="C88" t="s">
        <v>2488</v>
      </c>
      <c r="D88" t="s">
        <v>121</v>
      </c>
      <c r="E88" t="s">
        <v>2500</v>
      </c>
      <c r="F88" t="s">
        <v>149</v>
      </c>
      <c r="G88" t="s">
        <v>9507</v>
      </c>
      <c r="H88" t="s">
        <v>148</v>
      </c>
      <c r="I88" t="s">
        <v>11515</v>
      </c>
      <c r="J88" t="s">
        <v>126</v>
      </c>
      <c r="K88" s="63">
        <v>25365</v>
      </c>
      <c r="L88" s="28">
        <f>DATEDIF(K88,Zwift25!G$1,"Y")</f>
        <v>55</v>
      </c>
      <c r="M88" s="67">
        <f>IF(J88="m",VLOOKUP(L88,'All Solo Adjustments'!A:D,4,FALSE),VLOOKUP(L88,'All Solo Adjustments'!A:J,10,FALSE))</f>
        <v>5.6597222222222222E-3</v>
      </c>
      <c r="N88" s="63"/>
      <c r="O88" s="63"/>
      <c r="P88" s="63"/>
      <c r="Q88" s="63"/>
      <c r="R88" t="s">
        <v>296</v>
      </c>
      <c r="S88" t="s">
        <v>295</v>
      </c>
      <c r="T88" t="s">
        <v>292</v>
      </c>
      <c r="U88" t="s">
        <v>11514</v>
      </c>
      <c r="W88" t="s">
        <v>11513</v>
      </c>
      <c r="X88" t="s">
        <v>1242</v>
      </c>
      <c r="Y88" t="s">
        <v>11512</v>
      </c>
      <c r="Z88" t="str">
        <f>"07748804367"</f>
        <v>07748804367</v>
      </c>
      <c r="AA88" t="str">
        <f>""</f>
        <v/>
      </c>
      <c r="AB88" t="s">
        <v>11511</v>
      </c>
      <c r="AC88" t="s">
        <v>11510</v>
      </c>
      <c r="AD88" t="s">
        <v>114</v>
      </c>
      <c r="AE88" s="63">
        <v>45299</v>
      </c>
      <c r="AF88" t="s">
        <v>113</v>
      </c>
      <c r="AG88" t="s">
        <v>112</v>
      </c>
      <c r="AH88" t="s">
        <v>112</v>
      </c>
      <c r="AI88" s="63">
        <v>44606</v>
      </c>
      <c r="AJ88" s="63">
        <v>45657</v>
      </c>
      <c r="AK88" t="s">
        <v>112</v>
      </c>
      <c r="AL88" t="s">
        <v>111</v>
      </c>
      <c r="AM88" t="s">
        <v>111</v>
      </c>
      <c r="AN88">
        <v>9487</v>
      </c>
      <c r="AO88" t="s">
        <v>122</v>
      </c>
      <c r="AP88" t="s">
        <v>122</v>
      </c>
    </row>
    <row r="89" spans="1:42" x14ac:dyDescent="0.25">
      <c r="A89" s="28" t="str">
        <f>"14188"</f>
        <v>14188</v>
      </c>
      <c r="B89">
        <v>14188</v>
      </c>
      <c r="C89" t="s">
        <v>2488</v>
      </c>
      <c r="D89" t="s">
        <v>121</v>
      </c>
      <c r="F89" t="s">
        <v>403</v>
      </c>
      <c r="G89" t="s">
        <v>743</v>
      </c>
      <c r="H89" t="s">
        <v>469</v>
      </c>
      <c r="I89" t="s">
        <v>11509</v>
      </c>
      <c r="J89" t="s">
        <v>7</v>
      </c>
      <c r="K89" s="63">
        <v>24931</v>
      </c>
      <c r="L89" s="28">
        <f>DATEDIF(K89,Zwift25!G$1,"Y")</f>
        <v>56</v>
      </c>
      <c r="M89" s="67">
        <f>IF(J89="m",VLOOKUP(L89,'All Solo Adjustments'!A:D,4,FALSE),VLOOKUP(L89,'All Solo Adjustments'!A:J,10,FALSE))</f>
        <v>2.2685185185185182E-3</v>
      </c>
      <c r="N89" s="63"/>
      <c r="O89" s="63"/>
      <c r="P89" s="63"/>
      <c r="Q89" s="63"/>
      <c r="R89" t="s">
        <v>239</v>
      </c>
      <c r="S89" t="s">
        <v>274</v>
      </c>
      <c r="T89" t="s">
        <v>292</v>
      </c>
      <c r="U89" t="s">
        <v>11508</v>
      </c>
      <c r="X89" t="s">
        <v>569</v>
      </c>
      <c r="Y89" t="s">
        <v>11507</v>
      </c>
      <c r="Z89" t="str">
        <f>"07723571804"</f>
        <v>07723571804</v>
      </c>
      <c r="AA89" t="str">
        <f>""</f>
        <v/>
      </c>
      <c r="AB89" t="s">
        <v>2069</v>
      </c>
      <c r="AC89" t="s">
        <v>11506</v>
      </c>
      <c r="AD89" t="s">
        <v>114</v>
      </c>
      <c r="AE89" s="63">
        <v>45392</v>
      </c>
      <c r="AF89" t="s">
        <v>156</v>
      </c>
      <c r="AG89" t="s">
        <v>112</v>
      </c>
      <c r="AH89" t="s">
        <v>112</v>
      </c>
      <c r="AI89" s="63">
        <v>43578</v>
      </c>
      <c r="AJ89" s="63">
        <v>45657</v>
      </c>
      <c r="AK89" t="s">
        <v>112</v>
      </c>
      <c r="AL89" t="s">
        <v>111</v>
      </c>
      <c r="AM89" t="s">
        <v>111</v>
      </c>
      <c r="AN89">
        <v>30259</v>
      </c>
      <c r="AO89" t="s">
        <v>110</v>
      </c>
      <c r="AP89" t="s">
        <v>109</v>
      </c>
    </row>
    <row r="90" spans="1:42" x14ac:dyDescent="0.25">
      <c r="A90" s="28" t="str">
        <f>"6078"</f>
        <v>6078</v>
      </c>
      <c r="B90">
        <v>6078</v>
      </c>
      <c r="C90" t="s">
        <v>2488</v>
      </c>
      <c r="D90" t="s">
        <v>132</v>
      </c>
      <c r="F90" t="s">
        <v>120</v>
      </c>
      <c r="G90" t="s">
        <v>251</v>
      </c>
      <c r="I90" t="s">
        <v>632</v>
      </c>
      <c r="J90" t="s">
        <v>7</v>
      </c>
      <c r="K90" s="63">
        <v>18057</v>
      </c>
      <c r="L90" s="28">
        <f>DATEDIF(K90,Zwift25!G$1,"Y")</f>
        <v>75</v>
      </c>
      <c r="M90" s="67">
        <f>IF(J90="m",VLOOKUP(L90,'All Solo Adjustments'!A:D,4,FALSE),VLOOKUP(L90,'All Solo Adjustments'!A:J,10,FALSE))</f>
        <v>8.4374999999999988E-3</v>
      </c>
      <c r="N90" s="63"/>
      <c r="O90" s="63"/>
      <c r="P90" s="63"/>
      <c r="Q90" s="63"/>
      <c r="R90" t="s">
        <v>180</v>
      </c>
      <c r="S90" t="s">
        <v>1741</v>
      </c>
      <c r="T90" t="s">
        <v>292</v>
      </c>
      <c r="U90" t="s">
        <v>11504</v>
      </c>
      <c r="V90" t="s">
        <v>11503</v>
      </c>
      <c r="W90" t="s">
        <v>1346</v>
      </c>
      <c r="Y90" t="s">
        <v>11502</v>
      </c>
      <c r="Z90" t="str">
        <f>""</f>
        <v/>
      </c>
      <c r="AA90" t="str">
        <f>""</f>
        <v/>
      </c>
      <c r="AB90" t="s">
        <v>216</v>
      </c>
      <c r="AC90" t="s">
        <v>11505</v>
      </c>
      <c r="AD90" t="s">
        <v>145</v>
      </c>
      <c r="AE90" s="63">
        <v>45268</v>
      </c>
      <c r="AF90" t="s">
        <v>156</v>
      </c>
      <c r="AG90" t="s">
        <v>112</v>
      </c>
      <c r="AH90" t="s">
        <v>112</v>
      </c>
      <c r="AI90" s="63">
        <v>42757</v>
      </c>
      <c r="AJ90" s="63">
        <v>45657</v>
      </c>
      <c r="AK90" t="s">
        <v>111</v>
      </c>
      <c r="AL90" t="s">
        <v>111</v>
      </c>
      <c r="AM90" t="s">
        <v>111</v>
      </c>
      <c r="AN90" t="s">
        <v>105</v>
      </c>
      <c r="AO90" t="s">
        <v>110</v>
      </c>
      <c r="AP90" t="s">
        <v>109</v>
      </c>
    </row>
    <row r="91" spans="1:42" x14ac:dyDescent="0.25">
      <c r="A91" s="28" t="str">
        <f>"10311"</f>
        <v>10311</v>
      </c>
      <c r="B91">
        <v>10311</v>
      </c>
      <c r="C91" t="s">
        <v>2488</v>
      </c>
      <c r="D91" t="s">
        <v>130</v>
      </c>
      <c r="F91" t="s">
        <v>139</v>
      </c>
      <c r="G91" t="s">
        <v>2090</v>
      </c>
      <c r="I91" t="s">
        <v>1925</v>
      </c>
      <c r="J91" t="s">
        <v>126</v>
      </c>
      <c r="K91" s="63">
        <v>18007</v>
      </c>
      <c r="L91" s="28">
        <f>DATEDIF(K91,Zwift25!G$1,"Y")</f>
        <v>75</v>
      </c>
      <c r="M91" s="67">
        <f>IF(J91="m",VLOOKUP(L91,'All Solo Adjustments'!A:D,4,FALSE),VLOOKUP(L91,'All Solo Adjustments'!A:J,10,FALSE))</f>
        <v>1.3923611111111112E-2</v>
      </c>
      <c r="N91" s="63"/>
      <c r="O91" s="63"/>
      <c r="P91" s="63"/>
      <c r="Q91" s="63"/>
      <c r="R91" t="s">
        <v>180</v>
      </c>
      <c r="S91" t="s">
        <v>1741</v>
      </c>
      <c r="T91" t="s">
        <v>292</v>
      </c>
      <c r="U91" t="s">
        <v>11504</v>
      </c>
      <c r="V91" t="s">
        <v>11503</v>
      </c>
      <c r="W91" t="s">
        <v>1346</v>
      </c>
      <c r="Y91" t="s">
        <v>11502</v>
      </c>
      <c r="Z91" t="str">
        <f>""</f>
        <v/>
      </c>
      <c r="AA91" t="str">
        <f>""</f>
        <v/>
      </c>
      <c r="AB91" t="s">
        <v>11501</v>
      </c>
      <c r="AC91" t="s">
        <v>11500</v>
      </c>
      <c r="AD91" t="s">
        <v>145</v>
      </c>
      <c r="AE91" s="63">
        <v>45268</v>
      </c>
      <c r="AF91" t="s">
        <v>113</v>
      </c>
      <c r="AG91" t="s">
        <v>112</v>
      </c>
      <c r="AH91" t="s">
        <v>112</v>
      </c>
      <c r="AI91" s="63">
        <v>42757</v>
      </c>
      <c r="AJ91" s="63">
        <v>45657</v>
      </c>
      <c r="AK91" t="s">
        <v>111</v>
      </c>
      <c r="AL91" t="s">
        <v>111</v>
      </c>
      <c r="AM91" t="s">
        <v>111</v>
      </c>
      <c r="AN91" t="s">
        <v>105</v>
      </c>
      <c r="AO91" t="s">
        <v>122</v>
      </c>
      <c r="AP91" t="s">
        <v>122</v>
      </c>
    </row>
    <row r="92" spans="1:42" x14ac:dyDescent="0.25">
      <c r="A92" s="28" t="str">
        <f>"4320"</f>
        <v>4320</v>
      </c>
      <c r="B92">
        <v>4320</v>
      </c>
      <c r="C92" t="s">
        <v>2488</v>
      </c>
      <c r="D92" t="s">
        <v>121</v>
      </c>
      <c r="F92" t="s">
        <v>149</v>
      </c>
      <c r="G92" t="s">
        <v>215</v>
      </c>
      <c r="I92" t="s">
        <v>11499</v>
      </c>
      <c r="J92" t="s">
        <v>126</v>
      </c>
      <c r="K92" s="63">
        <v>21973</v>
      </c>
      <c r="L92" s="28">
        <f>DATEDIF(K92,Zwift25!G$1,"Y")</f>
        <v>64</v>
      </c>
      <c r="M92" s="67">
        <f>IF(J92="m",VLOOKUP(L92,'All Solo Adjustments'!A:D,4,FALSE),VLOOKUP(L92,'All Solo Adjustments'!A:J,10,FALSE))</f>
        <v>8.4490740740740741E-3</v>
      </c>
      <c r="N92" s="63"/>
      <c r="O92" s="63"/>
      <c r="P92" s="63"/>
      <c r="Q92" s="63"/>
      <c r="R92" t="s">
        <v>184</v>
      </c>
      <c r="S92" t="s">
        <v>183</v>
      </c>
      <c r="T92" t="s">
        <v>292</v>
      </c>
      <c r="U92" t="s">
        <v>11498</v>
      </c>
      <c r="V92" t="s">
        <v>1795</v>
      </c>
      <c r="W92" t="s">
        <v>834</v>
      </c>
      <c r="Y92" t="s">
        <v>11497</v>
      </c>
      <c r="Z92" t="str">
        <f>"01753 861996"</f>
        <v>01753 861996</v>
      </c>
      <c r="AA92" t="str">
        <f>"07581 390607"</f>
        <v>07581 390607</v>
      </c>
      <c r="AB92" t="s">
        <v>2343</v>
      </c>
      <c r="AC92" t="s">
        <v>11496</v>
      </c>
      <c r="AD92" t="s">
        <v>114</v>
      </c>
      <c r="AE92" s="63">
        <v>45307</v>
      </c>
      <c r="AF92" t="s">
        <v>156</v>
      </c>
      <c r="AG92" t="s">
        <v>111</v>
      </c>
      <c r="AH92" t="s">
        <v>112</v>
      </c>
      <c r="AI92" s="63">
        <v>40690</v>
      </c>
      <c r="AJ92" s="63">
        <v>45657</v>
      </c>
      <c r="AK92" t="s">
        <v>111</v>
      </c>
      <c r="AL92" t="s">
        <v>111</v>
      </c>
      <c r="AM92" t="s">
        <v>111</v>
      </c>
      <c r="AN92">
        <v>3207</v>
      </c>
      <c r="AO92" t="s">
        <v>122</v>
      </c>
      <c r="AP92" t="s">
        <v>122</v>
      </c>
    </row>
    <row r="93" spans="1:42" x14ac:dyDescent="0.25">
      <c r="A93" s="28" t="str">
        <f>"4794"</f>
        <v>4794</v>
      </c>
      <c r="B93">
        <v>4794</v>
      </c>
      <c r="C93" t="s">
        <v>2488</v>
      </c>
      <c r="D93" t="s">
        <v>121</v>
      </c>
      <c r="F93" t="s">
        <v>120</v>
      </c>
      <c r="G93" t="s">
        <v>511</v>
      </c>
      <c r="H93" t="s">
        <v>164</v>
      </c>
      <c r="I93" t="s">
        <v>2256</v>
      </c>
      <c r="J93" t="s">
        <v>7</v>
      </c>
      <c r="K93" s="63">
        <v>18340</v>
      </c>
      <c r="L93" s="28">
        <f>DATEDIF(K93,Zwift25!G$1,"Y")</f>
        <v>74</v>
      </c>
      <c r="M93" s="67">
        <f>IF(J93="m",VLOOKUP(L93,'All Solo Adjustments'!A:D,4,FALSE),VLOOKUP(L93,'All Solo Adjustments'!A:J,10,FALSE))</f>
        <v>7.9861111111111122E-3</v>
      </c>
      <c r="N93" s="63"/>
      <c r="O93" s="63"/>
      <c r="P93" s="63"/>
      <c r="Q93" s="63"/>
      <c r="R93" t="s">
        <v>125</v>
      </c>
      <c r="S93" t="s">
        <v>170</v>
      </c>
      <c r="T93" t="s">
        <v>292</v>
      </c>
      <c r="U93" t="s">
        <v>11495</v>
      </c>
      <c r="V93" t="s">
        <v>11494</v>
      </c>
      <c r="W93" t="s">
        <v>191</v>
      </c>
      <c r="X93" t="s">
        <v>169</v>
      </c>
      <c r="Y93" t="s">
        <v>11493</v>
      </c>
      <c r="Z93" t="str">
        <f>"07544 052344"</f>
        <v>07544 052344</v>
      </c>
      <c r="AA93" t="str">
        <f>""</f>
        <v/>
      </c>
      <c r="AB93" t="s">
        <v>190</v>
      </c>
      <c r="AC93" t="s">
        <v>11492</v>
      </c>
      <c r="AD93" t="s">
        <v>114</v>
      </c>
      <c r="AE93" s="63">
        <v>45263</v>
      </c>
      <c r="AF93" t="s">
        <v>156</v>
      </c>
      <c r="AG93" t="s">
        <v>112</v>
      </c>
      <c r="AH93" t="s">
        <v>112</v>
      </c>
      <c r="AI93" s="63">
        <v>41432</v>
      </c>
      <c r="AJ93" s="63">
        <v>45657</v>
      </c>
      <c r="AK93" t="s">
        <v>111</v>
      </c>
      <c r="AL93" t="s">
        <v>111</v>
      </c>
      <c r="AM93" t="s">
        <v>111</v>
      </c>
      <c r="AN93">
        <v>2969</v>
      </c>
      <c r="AO93" t="s">
        <v>110</v>
      </c>
      <c r="AP93" t="s">
        <v>109</v>
      </c>
    </row>
    <row r="94" spans="1:42" x14ac:dyDescent="0.25">
      <c r="A94" s="28" t="str">
        <f>"15685"</f>
        <v>15685</v>
      </c>
      <c r="B94">
        <v>15685</v>
      </c>
      <c r="C94" t="s">
        <v>2488</v>
      </c>
      <c r="D94" t="s">
        <v>121</v>
      </c>
      <c r="F94" t="s">
        <v>120</v>
      </c>
      <c r="G94" t="s">
        <v>300</v>
      </c>
      <c r="H94" t="s">
        <v>4194</v>
      </c>
      <c r="I94" t="s">
        <v>11491</v>
      </c>
      <c r="J94" t="s">
        <v>7</v>
      </c>
      <c r="K94" s="63">
        <v>22625</v>
      </c>
      <c r="L94" s="28">
        <f>DATEDIF(K94,Zwift25!G$1,"Y")</f>
        <v>62</v>
      </c>
      <c r="M94" s="67">
        <f>IF(J94="m",VLOOKUP(L94,'All Solo Adjustments'!A:D,4,FALSE),VLOOKUP(L94,'All Solo Adjustments'!A:J,10,FALSE))</f>
        <v>3.7384259259259259E-3</v>
      </c>
      <c r="N94" s="63"/>
      <c r="O94" s="63"/>
      <c r="P94" s="63"/>
      <c r="Q94" s="63"/>
      <c r="R94" t="s">
        <v>213</v>
      </c>
      <c r="S94" t="s">
        <v>212</v>
      </c>
      <c r="T94" t="s">
        <v>292</v>
      </c>
      <c r="U94" t="s">
        <v>11490</v>
      </c>
      <c r="W94" t="s">
        <v>503</v>
      </c>
      <c r="Y94" t="s">
        <v>11489</v>
      </c>
      <c r="Z94" t="str">
        <f>"07969282776"</f>
        <v>07969282776</v>
      </c>
      <c r="AA94" t="str">
        <f>""</f>
        <v/>
      </c>
      <c r="AB94" t="s">
        <v>11488</v>
      </c>
      <c r="AC94" t="s">
        <v>11487</v>
      </c>
      <c r="AD94" t="s">
        <v>114</v>
      </c>
      <c r="AE94" s="63">
        <v>45262</v>
      </c>
      <c r="AF94" t="s">
        <v>156</v>
      </c>
      <c r="AG94" t="s">
        <v>112</v>
      </c>
      <c r="AH94" t="s">
        <v>112</v>
      </c>
      <c r="AI94" s="63">
        <v>44972</v>
      </c>
      <c r="AJ94" s="63">
        <v>45657</v>
      </c>
      <c r="AK94" t="s">
        <v>112</v>
      </c>
      <c r="AL94" t="s">
        <v>111</v>
      </c>
      <c r="AM94" t="s">
        <v>111</v>
      </c>
      <c r="AN94" t="s">
        <v>105</v>
      </c>
      <c r="AO94" t="s">
        <v>110</v>
      </c>
      <c r="AP94" t="s">
        <v>109</v>
      </c>
    </row>
    <row r="95" spans="1:42" x14ac:dyDescent="0.25">
      <c r="A95" s="28" t="str">
        <f>"15298"</f>
        <v>15298</v>
      </c>
      <c r="B95">
        <v>15298</v>
      </c>
      <c r="C95" t="s">
        <v>2488</v>
      </c>
      <c r="D95" t="s">
        <v>121</v>
      </c>
      <c r="F95" t="s">
        <v>120</v>
      </c>
      <c r="G95" t="s">
        <v>185</v>
      </c>
      <c r="H95" t="s">
        <v>171</v>
      </c>
      <c r="I95" t="s">
        <v>11486</v>
      </c>
      <c r="J95" t="s">
        <v>7</v>
      </c>
      <c r="K95" s="63">
        <v>26348</v>
      </c>
      <c r="L95" s="28">
        <f>DATEDIF(K95,Zwift25!G$1,"Y")</f>
        <v>52</v>
      </c>
      <c r="M95" s="67">
        <f>IF(J95="m",VLOOKUP(L95,'All Solo Adjustments'!A:D,4,FALSE),VLOOKUP(L95,'All Solo Adjustments'!A:J,10,FALSE))</f>
        <v>1.4814814814814816E-3</v>
      </c>
      <c r="N95" s="63"/>
      <c r="O95" s="63"/>
      <c r="P95" s="63"/>
      <c r="Q95" s="63"/>
      <c r="R95" t="s">
        <v>198</v>
      </c>
      <c r="S95" t="s">
        <v>461</v>
      </c>
      <c r="T95" t="s">
        <v>292</v>
      </c>
      <c r="U95" t="s">
        <v>11485</v>
      </c>
      <c r="V95" t="s">
        <v>11484</v>
      </c>
      <c r="W95" t="s">
        <v>1039</v>
      </c>
      <c r="Y95" t="s">
        <v>11483</v>
      </c>
      <c r="Z95" t="str">
        <f>"07398361180"</f>
        <v>07398361180</v>
      </c>
      <c r="AA95" t="str">
        <f>""</f>
        <v/>
      </c>
      <c r="AB95" t="s">
        <v>11482</v>
      </c>
      <c r="AC95" t="s">
        <v>11481</v>
      </c>
      <c r="AD95" t="s">
        <v>114</v>
      </c>
      <c r="AE95" s="63">
        <v>45472</v>
      </c>
      <c r="AF95" t="s">
        <v>113</v>
      </c>
      <c r="AG95" t="s">
        <v>112</v>
      </c>
      <c r="AH95" t="s">
        <v>112</v>
      </c>
      <c r="AI95" s="63">
        <v>44525</v>
      </c>
      <c r="AJ95" s="63">
        <v>45657</v>
      </c>
      <c r="AK95" t="s">
        <v>112</v>
      </c>
      <c r="AL95" t="s">
        <v>111</v>
      </c>
      <c r="AM95" t="s">
        <v>111</v>
      </c>
      <c r="AN95">
        <v>9299</v>
      </c>
      <c r="AO95" t="s">
        <v>110</v>
      </c>
      <c r="AP95" t="s">
        <v>109</v>
      </c>
    </row>
    <row r="96" spans="1:42" x14ac:dyDescent="0.25">
      <c r="A96" s="28" t="str">
        <f>"0137"</f>
        <v>0137</v>
      </c>
      <c r="B96">
        <v>137</v>
      </c>
      <c r="C96" t="s">
        <v>2488</v>
      </c>
      <c r="D96" t="s">
        <v>121</v>
      </c>
      <c r="F96" t="s">
        <v>120</v>
      </c>
      <c r="G96" t="s">
        <v>1789</v>
      </c>
      <c r="I96" t="s">
        <v>11480</v>
      </c>
      <c r="J96" t="s">
        <v>126</v>
      </c>
      <c r="K96" s="63">
        <v>15965</v>
      </c>
      <c r="L96" s="28">
        <f>DATEDIF(K96,Zwift25!G$1,"Y")</f>
        <v>81</v>
      </c>
      <c r="M96" s="67">
        <f>IF(J96="m",VLOOKUP(L96,'All Solo Adjustments'!A:D,4,FALSE),VLOOKUP(L96,'All Solo Adjustments'!A:J,10,FALSE))</f>
        <v>1.7488425925925925E-2</v>
      </c>
      <c r="N96" s="63"/>
      <c r="O96" s="63"/>
      <c r="P96" s="63"/>
      <c r="Q96" s="63"/>
      <c r="R96" t="s">
        <v>527</v>
      </c>
      <c r="S96" t="s">
        <v>612</v>
      </c>
      <c r="T96" t="s">
        <v>292</v>
      </c>
      <c r="U96" t="s">
        <v>11479</v>
      </c>
      <c r="V96" t="s">
        <v>11478</v>
      </c>
      <c r="W96" t="s">
        <v>3899</v>
      </c>
      <c r="Y96" t="s">
        <v>11477</v>
      </c>
      <c r="Z96" t="str">
        <f>"01462 999999"</f>
        <v>01462 999999</v>
      </c>
      <c r="AA96" t="str">
        <f>""</f>
        <v/>
      </c>
      <c r="AB96" t="s">
        <v>290</v>
      </c>
      <c r="AD96" t="s">
        <v>145</v>
      </c>
      <c r="AF96" t="s">
        <v>113</v>
      </c>
      <c r="AG96" t="s">
        <v>112</v>
      </c>
      <c r="AH96" t="s">
        <v>112</v>
      </c>
      <c r="AI96" s="63">
        <v>43471</v>
      </c>
      <c r="AK96" t="s">
        <v>111</v>
      </c>
      <c r="AL96" t="s">
        <v>111</v>
      </c>
      <c r="AM96" t="s">
        <v>111</v>
      </c>
      <c r="AN96" t="s">
        <v>105</v>
      </c>
      <c r="AO96" t="s">
        <v>122</v>
      </c>
      <c r="AP96" t="s">
        <v>122</v>
      </c>
    </row>
    <row r="97" spans="1:42" x14ac:dyDescent="0.25">
      <c r="A97" s="28" t="str">
        <f>"14703"</f>
        <v>14703</v>
      </c>
      <c r="B97">
        <v>14703</v>
      </c>
      <c r="C97" t="s">
        <v>2488</v>
      </c>
      <c r="D97" t="s">
        <v>121</v>
      </c>
      <c r="F97" t="s">
        <v>149</v>
      </c>
      <c r="G97" t="s">
        <v>5205</v>
      </c>
      <c r="H97" t="s">
        <v>171</v>
      </c>
      <c r="I97" t="s">
        <v>11476</v>
      </c>
      <c r="J97" t="s">
        <v>7</v>
      </c>
      <c r="K97" s="63">
        <v>22649</v>
      </c>
      <c r="L97" s="28">
        <f>DATEDIF(K97,Zwift25!G$1,"Y")</f>
        <v>62</v>
      </c>
      <c r="M97" s="67">
        <f>IF(J97="m",VLOOKUP(L97,'All Solo Adjustments'!A:D,4,FALSE),VLOOKUP(L97,'All Solo Adjustments'!A:J,10,FALSE))</f>
        <v>3.7384259259259259E-3</v>
      </c>
      <c r="N97" s="63"/>
      <c r="O97" s="63"/>
      <c r="P97" s="63"/>
      <c r="Q97" s="63"/>
      <c r="R97" t="s">
        <v>184</v>
      </c>
      <c r="S97" t="s">
        <v>183</v>
      </c>
      <c r="T97" t="s">
        <v>292</v>
      </c>
      <c r="U97" t="s">
        <v>11475</v>
      </c>
      <c r="W97" t="s">
        <v>1229</v>
      </c>
      <c r="X97" t="s">
        <v>1228</v>
      </c>
      <c r="Y97" t="s">
        <v>11474</v>
      </c>
      <c r="Z97" t="str">
        <f>"1993708779"</f>
        <v>1993708779</v>
      </c>
      <c r="AA97" t="str">
        <f>""</f>
        <v/>
      </c>
      <c r="AB97" t="s">
        <v>1432</v>
      </c>
      <c r="AC97" t="s">
        <v>11473</v>
      </c>
      <c r="AD97" t="s">
        <v>145</v>
      </c>
      <c r="AE97" s="63">
        <v>45361</v>
      </c>
      <c r="AF97" t="s">
        <v>156</v>
      </c>
      <c r="AG97" t="s">
        <v>112</v>
      </c>
      <c r="AH97" t="s">
        <v>112</v>
      </c>
      <c r="AI97" s="63">
        <v>44074</v>
      </c>
      <c r="AJ97" s="63">
        <v>45657</v>
      </c>
      <c r="AK97" t="s">
        <v>112</v>
      </c>
      <c r="AL97" t="s">
        <v>111</v>
      </c>
      <c r="AM97" t="s">
        <v>111</v>
      </c>
      <c r="AN97">
        <v>35617</v>
      </c>
      <c r="AO97" t="s">
        <v>110</v>
      </c>
      <c r="AP97" t="s">
        <v>109</v>
      </c>
    </row>
    <row r="98" spans="1:42" x14ac:dyDescent="0.25">
      <c r="A98" s="28" t="str">
        <f>"15001"</f>
        <v>15001</v>
      </c>
      <c r="B98">
        <v>15001</v>
      </c>
      <c r="C98" t="s">
        <v>2488</v>
      </c>
      <c r="D98" t="s">
        <v>121</v>
      </c>
      <c r="E98" t="s">
        <v>584</v>
      </c>
      <c r="F98" t="s">
        <v>120</v>
      </c>
      <c r="G98" t="s">
        <v>304</v>
      </c>
      <c r="H98" t="s">
        <v>165</v>
      </c>
      <c r="I98" t="s">
        <v>2250</v>
      </c>
      <c r="J98" t="s">
        <v>7</v>
      </c>
      <c r="K98" s="63">
        <v>26238</v>
      </c>
      <c r="L98" s="28">
        <f>DATEDIF(K98,Zwift25!G$1,"Y")</f>
        <v>52</v>
      </c>
      <c r="M98" s="67">
        <f>IF(J98="m",VLOOKUP(L98,'All Solo Adjustments'!A:D,4,FALSE),VLOOKUP(L98,'All Solo Adjustments'!A:J,10,FALSE))</f>
        <v>1.4814814814814816E-3</v>
      </c>
      <c r="N98" s="63"/>
      <c r="O98" s="63"/>
      <c r="P98" s="63"/>
      <c r="Q98" s="63"/>
      <c r="R98" t="s">
        <v>328</v>
      </c>
      <c r="S98" t="s">
        <v>327</v>
      </c>
      <c r="T98" t="s">
        <v>292</v>
      </c>
      <c r="U98" t="s">
        <v>11472</v>
      </c>
      <c r="V98" t="s">
        <v>11471</v>
      </c>
      <c r="W98" t="s">
        <v>8682</v>
      </c>
      <c r="X98" t="s">
        <v>325</v>
      </c>
      <c r="Y98" t="s">
        <v>11470</v>
      </c>
      <c r="Z98" t="str">
        <f>"07816817316"</f>
        <v>07816817316</v>
      </c>
      <c r="AA98" t="str">
        <f>""</f>
        <v/>
      </c>
      <c r="AB98" t="s">
        <v>11469</v>
      </c>
      <c r="AC98" t="s">
        <v>11468</v>
      </c>
      <c r="AD98" t="s">
        <v>114</v>
      </c>
      <c r="AE98" s="63">
        <v>45263</v>
      </c>
      <c r="AF98" t="s">
        <v>113</v>
      </c>
      <c r="AG98" t="s">
        <v>112</v>
      </c>
      <c r="AH98" t="s">
        <v>112</v>
      </c>
      <c r="AI98" s="63">
        <v>44302</v>
      </c>
      <c r="AJ98" s="63">
        <v>45657</v>
      </c>
      <c r="AK98" t="s">
        <v>112</v>
      </c>
      <c r="AL98" t="s">
        <v>111</v>
      </c>
      <c r="AM98" t="s">
        <v>111</v>
      </c>
      <c r="AN98">
        <v>1912</v>
      </c>
      <c r="AO98" t="s">
        <v>110</v>
      </c>
      <c r="AP98" t="s">
        <v>109</v>
      </c>
    </row>
    <row r="99" spans="1:42" x14ac:dyDescent="0.25">
      <c r="A99" s="28" t="str">
        <f>"3196"</f>
        <v>3196</v>
      </c>
      <c r="B99">
        <v>3196</v>
      </c>
      <c r="C99" t="s">
        <v>2488</v>
      </c>
      <c r="D99" t="s">
        <v>121</v>
      </c>
      <c r="F99" t="s">
        <v>149</v>
      </c>
      <c r="G99" t="s">
        <v>973</v>
      </c>
      <c r="H99" t="s">
        <v>734</v>
      </c>
      <c r="I99" t="s">
        <v>2248</v>
      </c>
      <c r="J99" t="s">
        <v>126</v>
      </c>
      <c r="K99" s="63">
        <v>9441</v>
      </c>
      <c r="L99" s="28">
        <f>DATEDIF(K99,Zwift25!G$1,"Y")</f>
        <v>98</v>
      </c>
      <c r="M99" s="67">
        <f>IF(J99="m",VLOOKUP(L99,'All Solo Adjustments'!A:D,4,FALSE),VLOOKUP(L99,'All Solo Adjustments'!A:J,10,FALSE))</f>
        <v>3.6354166666666667E-2</v>
      </c>
      <c r="N99" s="63"/>
      <c r="O99" s="63"/>
      <c r="P99" s="63"/>
      <c r="Q99" s="63"/>
      <c r="R99" t="s">
        <v>239</v>
      </c>
      <c r="S99" t="s">
        <v>437</v>
      </c>
      <c r="T99" t="s">
        <v>292</v>
      </c>
      <c r="U99" t="s">
        <v>11467</v>
      </c>
      <c r="V99" t="s">
        <v>11466</v>
      </c>
      <c r="W99" t="s">
        <v>627</v>
      </c>
      <c r="Y99" t="s">
        <v>11465</v>
      </c>
      <c r="Z99" t="str">
        <f>"01132 866020"</f>
        <v>01132 866020</v>
      </c>
      <c r="AA99" t="str">
        <f>""</f>
        <v/>
      </c>
      <c r="AB99" t="s">
        <v>1063</v>
      </c>
      <c r="AD99" t="s">
        <v>151</v>
      </c>
      <c r="AF99" t="s">
        <v>113</v>
      </c>
      <c r="AG99" t="s">
        <v>112</v>
      </c>
      <c r="AH99" t="s">
        <v>112</v>
      </c>
      <c r="AI99" s="63">
        <v>30701</v>
      </c>
      <c r="AK99" t="s">
        <v>111</v>
      </c>
      <c r="AL99" t="s">
        <v>111</v>
      </c>
      <c r="AM99" t="s">
        <v>111</v>
      </c>
      <c r="AN99" t="s">
        <v>105</v>
      </c>
      <c r="AO99" t="s">
        <v>122</v>
      </c>
      <c r="AP99" t="s">
        <v>122</v>
      </c>
    </row>
    <row r="100" spans="1:42" x14ac:dyDescent="0.25">
      <c r="A100" s="28" t="str">
        <f>"5964"</f>
        <v>5964</v>
      </c>
      <c r="B100">
        <v>5964</v>
      </c>
      <c r="C100" t="s">
        <v>2488</v>
      </c>
      <c r="D100" t="s">
        <v>121</v>
      </c>
      <c r="F100" t="s">
        <v>120</v>
      </c>
      <c r="G100" t="s">
        <v>546</v>
      </c>
      <c r="I100" t="s">
        <v>2247</v>
      </c>
      <c r="J100" t="s">
        <v>7</v>
      </c>
      <c r="K100" s="63">
        <v>27172</v>
      </c>
      <c r="L100" s="28">
        <f>DATEDIF(K100,Zwift25!G$1,"Y")</f>
        <v>50</v>
      </c>
      <c r="M100" s="67">
        <f>IF(J100="m",VLOOKUP(L100,'All Solo Adjustments'!A:D,4,FALSE),VLOOKUP(L100,'All Solo Adjustments'!A:J,10,FALSE))</f>
        <v>1.1342592592592591E-3</v>
      </c>
      <c r="N100" s="63"/>
      <c r="O100" s="63"/>
      <c r="P100" s="63"/>
      <c r="Q100" s="63"/>
      <c r="R100" t="s">
        <v>125</v>
      </c>
      <c r="S100" t="s">
        <v>170</v>
      </c>
      <c r="T100" t="s">
        <v>292</v>
      </c>
      <c r="U100" t="s">
        <v>2462</v>
      </c>
      <c r="V100" t="s">
        <v>11464</v>
      </c>
      <c r="W100" t="s">
        <v>11463</v>
      </c>
      <c r="X100" t="s">
        <v>123</v>
      </c>
      <c r="Y100" t="s">
        <v>11462</v>
      </c>
      <c r="Z100" t="str">
        <f>"07957 681754"</f>
        <v>07957 681754</v>
      </c>
      <c r="AA100" t="str">
        <f>""</f>
        <v/>
      </c>
      <c r="AB100" t="s">
        <v>505</v>
      </c>
      <c r="AC100" t="s">
        <v>11461</v>
      </c>
      <c r="AD100" t="s">
        <v>114</v>
      </c>
      <c r="AE100" s="63">
        <v>45312</v>
      </c>
      <c r="AF100" t="s">
        <v>156</v>
      </c>
      <c r="AG100" t="s">
        <v>112</v>
      </c>
      <c r="AH100" t="s">
        <v>112</v>
      </c>
      <c r="AI100" s="63">
        <v>42595</v>
      </c>
      <c r="AJ100" s="63">
        <v>45657</v>
      </c>
      <c r="AK100" t="s">
        <v>111</v>
      </c>
      <c r="AL100" t="s">
        <v>111</v>
      </c>
      <c r="AM100" t="s">
        <v>111</v>
      </c>
      <c r="AN100">
        <v>3242</v>
      </c>
      <c r="AO100" t="s">
        <v>110</v>
      </c>
      <c r="AP100" t="s">
        <v>109</v>
      </c>
    </row>
    <row r="101" spans="1:42" x14ac:dyDescent="0.25">
      <c r="A101" s="28" t="str">
        <f>"0147"</f>
        <v>0147</v>
      </c>
      <c r="B101">
        <v>147</v>
      </c>
      <c r="C101" t="s">
        <v>2488</v>
      </c>
      <c r="D101" t="s">
        <v>121</v>
      </c>
      <c r="F101" t="s">
        <v>120</v>
      </c>
      <c r="G101" t="s">
        <v>481</v>
      </c>
      <c r="I101" t="s">
        <v>2247</v>
      </c>
      <c r="J101" t="s">
        <v>7</v>
      </c>
      <c r="K101" s="63">
        <v>11236</v>
      </c>
      <c r="L101" s="28">
        <f>DATEDIF(K101,Zwift25!G$1,"Y")</f>
        <v>94</v>
      </c>
      <c r="M101" s="67">
        <f>IF(J101="m",VLOOKUP(L101,'All Solo Adjustments'!A:D,4,FALSE),VLOOKUP(L101,'All Solo Adjustments'!A:J,10,FALSE))</f>
        <v>2.2685185185185187E-2</v>
      </c>
      <c r="N101" s="63"/>
      <c r="O101" s="63"/>
      <c r="P101" s="63"/>
      <c r="Q101" s="63"/>
      <c r="R101" t="s">
        <v>125</v>
      </c>
      <c r="S101" t="s">
        <v>484</v>
      </c>
      <c r="T101" t="s">
        <v>292</v>
      </c>
      <c r="U101" t="s">
        <v>11460</v>
      </c>
      <c r="V101" t="s">
        <v>11459</v>
      </c>
      <c r="W101" t="s">
        <v>1651</v>
      </c>
      <c r="X101" t="s">
        <v>223</v>
      </c>
      <c r="Y101" t="s">
        <v>11458</v>
      </c>
      <c r="Z101" t="str">
        <f>"01223 502159"</f>
        <v>01223 502159</v>
      </c>
      <c r="AA101" t="str">
        <f>""</f>
        <v/>
      </c>
      <c r="AB101" t="s">
        <v>222</v>
      </c>
      <c r="AC101" t="s">
        <v>11457</v>
      </c>
      <c r="AD101" t="s">
        <v>151</v>
      </c>
      <c r="AF101" t="s">
        <v>113</v>
      </c>
      <c r="AG101" t="s">
        <v>112</v>
      </c>
      <c r="AH101" t="s">
        <v>112</v>
      </c>
      <c r="AI101" s="63">
        <v>33318</v>
      </c>
      <c r="AK101" t="s">
        <v>111</v>
      </c>
      <c r="AL101" t="s">
        <v>111</v>
      </c>
      <c r="AM101" t="s">
        <v>111</v>
      </c>
      <c r="AN101" t="s">
        <v>105</v>
      </c>
      <c r="AO101" t="s">
        <v>110</v>
      </c>
      <c r="AP101" t="s">
        <v>109</v>
      </c>
    </row>
    <row r="102" spans="1:42" x14ac:dyDescent="0.25">
      <c r="A102" s="28" t="str">
        <f>"0149"</f>
        <v>0149</v>
      </c>
      <c r="B102">
        <v>149</v>
      </c>
      <c r="C102" t="s">
        <v>2488</v>
      </c>
      <c r="D102" t="s">
        <v>121</v>
      </c>
      <c r="F102" t="s">
        <v>120</v>
      </c>
      <c r="G102" t="s">
        <v>492</v>
      </c>
      <c r="I102" t="s">
        <v>11456</v>
      </c>
      <c r="J102" t="s">
        <v>7</v>
      </c>
      <c r="K102" s="63">
        <v>13005</v>
      </c>
      <c r="L102" s="28">
        <f>DATEDIF(K102,Zwift25!G$1,"Y")</f>
        <v>89</v>
      </c>
      <c r="M102" s="67">
        <f>IF(J102="m",VLOOKUP(L102,'All Solo Adjustments'!A:D,4,FALSE),VLOOKUP(L102,'All Solo Adjustments'!A:J,10,FALSE))</f>
        <v>1.7465277777777777E-2</v>
      </c>
      <c r="N102" s="63"/>
      <c r="O102" s="63"/>
      <c r="P102" s="63"/>
      <c r="Q102" s="63"/>
      <c r="R102" t="s">
        <v>328</v>
      </c>
      <c r="S102" t="s">
        <v>2290</v>
      </c>
      <c r="T102" t="s">
        <v>292</v>
      </c>
      <c r="U102" t="s">
        <v>11455</v>
      </c>
      <c r="V102" t="s">
        <v>11454</v>
      </c>
      <c r="W102" t="s">
        <v>2337</v>
      </c>
      <c r="Y102" t="s">
        <v>11453</v>
      </c>
      <c r="Z102" t="str">
        <f>"01942 861656"</f>
        <v>01942 861656</v>
      </c>
      <c r="AA102" t="str">
        <f>"017942590403"</f>
        <v>017942590403</v>
      </c>
      <c r="AB102" t="s">
        <v>2336</v>
      </c>
      <c r="AD102" t="s">
        <v>151</v>
      </c>
      <c r="AF102" t="s">
        <v>113</v>
      </c>
      <c r="AG102" t="s">
        <v>112</v>
      </c>
      <c r="AH102" t="s">
        <v>112</v>
      </c>
      <c r="AI102" s="63">
        <v>28491</v>
      </c>
      <c r="AK102" t="s">
        <v>111</v>
      </c>
      <c r="AL102" t="s">
        <v>111</v>
      </c>
      <c r="AM102" t="s">
        <v>111</v>
      </c>
      <c r="AN102" t="s">
        <v>105</v>
      </c>
      <c r="AO102" t="s">
        <v>110</v>
      </c>
      <c r="AP102" t="s">
        <v>109</v>
      </c>
    </row>
    <row r="103" spans="1:42" x14ac:dyDescent="0.25">
      <c r="A103" s="28" t="str">
        <f>"12984"</f>
        <v>12984</v>
      </c>
      <c r="B103">
        <v>12984</v>
      </c>
      <c r="C103" t="s">
        <v>2488</v>
      </c>
      <c r="D103" t="s">
        <v>121</v>
      </c>
      <c r="F103" t="s">
        <v>149</v>
      </c>
      <c r="G103" t="s">
        <v>2457</v>
      </c>
      <c r="I103" t="s">
        <v>2244</v>
      </c>
      <c r="J103" t="s">
        <v>126</v>
      </c>
      <c r="K103" s="63">
        <v>13138</v>
      </c>
      <c r="L103" s="28">
        <f>DATEDIF(K103,Zwift25!G$1,"Y")</f>
        <v>88</v>
      </c>
      <c r="M103" s="67">
        <f>IF(J103="m",VLOOKUP(L103,'All Solo Adjustments'!A:D,4,FALSE),VLOOKUP(L103,'All Solo Adjustments'!A:J,10,FALSE))</f>
        <v>2.3113425925925926E-2</v>
      </c>
      <c r="N103" s="63"/>
      <c r="O103" s="63"/>
      <c r="P103" s="63"/>
      <c r="Q103" s="63"/>
      <c r="R103" t="s">
        <v>239</v>
      </c>
      <c r="S103" t="s">
        <v>437</v>
      </c>
      <c r="T103" t="s">
        <v>292</v>
      </c>
      <c r="U103" t="s">
        <v>11452</v>
      </c>
      <c r="V103" t="s">
        <v>2471</v>
      </c>
      <c r="W103" t="s">
        <v>237</v>
      </c>
      <c r="Y103" t="s">
        <v>2470</v>
      </c>
      <c r="Z103" t="str">
        <f>"99999 999999"</f>
        <v>99999 999999</v>
      </c>
      <c r="AA103" t="str">
        <f>""</f>
        <v/>
      </c>
      <c r="AB103" t="s">
        <v>679</v>
      </c>
      <c r="AC103" t="s">
        <v>2469</v>
      </c>
      <c r="AD103" t="s">
        <v>145</v>
      </c>
      <c r="AF103" t="s">
        <v>113</v>
      </c>
      <c r="AG103" t="s">
        <v>112</v>
      </c>
      <c r="AH103" t="s">
        <v>112</v>
      </c>
      <c r="AI103" s="63">
        <v>28631</v>
      </c>
      <c r="AK103" t="s">
        <v>111</v>
      </c>
      <c r="AL103" t="s">
        <v>111</v>
      </c>
      <c r="AM103" t="s">
        <v>111</v>
      </c>
      <c r="AN103" t="s">
        <v>105</v>
      </c>
      <c r="AO103" t="s">
        <v>122</v>
      </c>
      <c r="AP103" t="s">
        <v>122</v>
      </c>
    </row>
    <row r="104" spans="1:42" x14ac:dyDescent="0.25">
      <c r="A104" s="28" t="str">
        <f>"0150"</f>
        <v>0150</v>
      </c>
      <c r="B104">
        <v>150</v>
      </c>
      <c r="C104" t="s">
        <v>2488</v>
      </c>
      <c r="D104" t="s">
        <v>121</v>
      </c>
      <c r="F104" t="s">
        <v>120</v>
      </c>
      <c r="G104" t="s">
        <v>389</v>
      </c>
      <c r="I104" t="s">
        <v>2244</v>
      </c>
      <c r="J104" t="s">
        <v>7</v>
      </c>
      <c r="K104" s="63">
        <v>16906</v>
      </c>
      <c r="L104" s="28">
        <f>DATEDIF(K104,Zwift25!G$1,"Y")</f>
        <v>78</v>
      </c>
      <c r="M104" s="67">
        <f>IF(J104="m",VLOOKUP(L104,'All Solo Adjustments'!A:D,4,FALSE),VLOOKUP(L104,'All Solo Adjustments'!A:J,10,FALSE))</f>
        <v>9.9189814814814817E-3</v>
      </c>
      <c r="N104" s="63"/>
      <c r="O104" s="63"/>
      <c r="P104" s="63"/>
      <c r="Q104" s="63"/>
      <c r="R104" t="s">
        <v>198</v>
      </c>
      <c r="S104" t="s">
        <v>461</v>
      </c>
      <c r="T104" t="s">
        <v>292</v>
      </c>
      <c r="U104" t="s">
        <v>11451</v>
      </c>
      <c r="V104" t="s">
        <v>11450</v>
      </c>
      <c r="W104" t="s">
        <v>11449</v>
      </c>
      <c r="X104" t="s">
        <v>11448</v>
      </c>
      <c r="Y104" t="s">
        <v>11447</v>
      </c>
      <c r="Z104" t="str">
        <f>"01433 639395"</f>
        <v>01433 639395</v>
      </c>
      <c r="AA104" t="str">
        <f>""</f>
        <v/>
      </c>
      <c r="AB104" t="s">
        <v>11446</v>
      </c>
      <c r="AC104" t="s">
        <v>11445</v>
      </c>
      <c r="AD104" t="s">
        <v>114</v>
      </c>
      <c r="AE104" s="63">
        <v>45265</v>
      </c>
      <c r="AF104" t="s">
        <v>156</v>
      </c>
      <c r="AG104" t="s">
        <v>112</v>
      </c>
      <c r="AH104" t="s">
        <v>112</v>
      </c>
      <c r="AI104" s="63">
        <v>42849</v>
      </c>
      <c r="AJ104" s="63">
        <v>45657</v>
      </c>
      <c r="AK104" t="s">
        <v>111</v>
      </c>
      <c r="AL104" t="s">
        <v>111</v>
      </c>
      <c r="AM104" t="s">
        <v>111</v>
      </c>
      <c r="AN104">
        <v>9474</v>
      </c>
      <c r="AO104" t="s">
        <v>110</v>
      </c>
      <c r="AP104" t="s">
        <v>109</v>
      </c>
    </row>
    <row r="105" spans="1:42" x14ac:dyDescent="0.25">
      <c r="A105" s="28" t="str">
        <f>"11697"</f>
        <v>11697</v>
      </c>
      <c r="B105">
        <v>11697</v>
      </c>
      <c r="C105" t="s">
        <v>2488</v>
      </c>
      <c r="D105" t="s">
        <v>121</v>
      </c>
      <c r="F105" t="s">
        <v>120</v>
      </c>
      <c r="G105" t="s">
        <v>1189</v>
      </c>
      <c r="I105" t="s">
        <v>965</v>
      </c>
      <c r="J105" t="s">
        <v>7</v>
      </c>
      <c r="K105" s="63">
        <v>27262</v>
      </c>
      <c r="L105" s="28">
        <f>DATEDIF(K105,Zwift25!G$1,"Y")</f>
        <v>50</v>
      </c>
      <c r="M105" s="67">
        <f>IF(J105="m",VLOOKUP(L105,'All Solo Adjustments'!A:D,4,FALSE),VLOOKUP(L105,'All Solo Adjustments'!A:J,10,FALSE))</f>
        <v>1.1342592592592591E-3</v>
      </c>
      <c r="N105" s="63"/>
      <c r="O105" s="63"/>
      <c r="P105" s="63"/>
      <c r="Q105" s="63"/>
      <c r="R105" t="s">
        <v>137</v>
      </c>
      <c r="S105" t="s">
        <v>136</v>
      </c>
      <c r="T105" t="s">
        <v>292</v>
      </c>
      <c r="U105" t="s">
        <v>11444</v>
      </c>
      <c r="V105" t="s">
        <v>11443</v>
      </c>
      <c r="W105" t="s">
        <v>1900</v>
      </c>
      <c r="Y105" t="s">
        <v>11442</v>
      </c>
      <c r="Z105" t="str">
        <f>"07547888668"</f>
        <v>07547888668</v>
      </c>
      <c r="AA105" t="str">
        <f>""</f>
        <v/>
      </c>
      <c r="AB105" t="s">
        <v>378</v>
      </c>
      <c r="AC105" t="s">
        <v>11441</v>
      </c>
      <c r="AD105" t="s">
        <v>114</v>
      </c>
      <c r="AE105" s="63">
        <v>45274</v>
      </c>
      <c r="AF105" t="s">
        <v>113</v>
      </c>
      <c r="AG105" t="s">
        <v>112</v>
      </c>
      <c r="AH105" t="s">
        <v>112</v>
      </c>
      <c r="AI105" s="63">
        <v>43206</v>
      </c>
      <c r="AJ105" s="63">
        <v>45657</v>
      </c>
      <c r="AK105" t="s">
        <v>112</v>
      </c>
      <c r="AL105" t="s">
        <v>111</v>
      </c>
      <c r="AM105" t="s">
        <v>111</v>
      </c>
      <c r="AN105">
        <v>1365</v>
      </c>
      <c r="AO105" t="s">
        <v>110</v>
      </c>
      <c r="AP105" t="s">
        <v>109</v>
      </c>
    </row>
    <row r="106" spans="1:42" x14ac:dyDescent="0.25">
      <c r="A106" s="28" t="str">
        <f>"14316"</f>
        <v>14316</v>
      </c>
      <c r="B106">
        <v>14316</v>
      </c>
      <c r="C106" t="s">
        <v>2488</v>
      </c>
      <c r="D106" t="s">
        <v>121</v>
      </c>
      <c r="F106" t="s">
        <v>149</v>
      </c>
      <c r="G106" t="s">
        <v>414</v>
      </c>
      <c r="I106" t="s">
        <v>2243</v>
      </c>
      <c r="J106" t="s">
        <v>126</v>
      </c>
      <c r="K106" s="63">
        <v>28357</v>
      </c>
      <c r="L106" s="28">
        <f>DATEDIF(K106,Zwift25!G$1,"Y")</f>
        <v>47</v>
      </c>
      <c r="M106" s="67">
        <f>IF(J106="m",VLOOKUP(L106,'All Solo Adjustments'!A:D,4,FALSE),VLOOKUP(L106,'All Solo Adjustments'!A:J,10,FALSE))</f>
        <v>4.7337962962962958E-3</v>
      </c>
      <c r="N106" s="63"/>
      <c r="O106" s="63"/>
      <c r="P106" s="63"/>
      <c r="Q106" s="63"/>
      <c r="R106" t="s">
        <v>527</v>
      </c>
      <c r="S106" t="s">
        <v>526</v>
      </c>
      <c r="T106" t="s">
        <v>292</v>
      </c>
      <c r="U106" t="s">
        <v>2242</v>
      </c>
      <c r="W106" t="s">
        <v>2991</v>
      </c>
      <c r="X106" t="s">
        <v>11440</v>
      </c>
      <c r="Y106" t="s">
        <v>2241</v>
      </c>
      <c r="Z106" t="str">
        <f>"07811746106"</f>
        <v>07811746106</v>
      </c>
      <c r="AA106" t="str">
        <f>""</f>
        <v/>
      </c>
      <c r="AB106" t="s">
        <v>2240</v>
      </c>
      <c r="AC106" t="s">
        <v>2239</v>
      </c>
      <c r="AD106" t="s">
        <v>114</v>
      </c>
      <c r="AE106" s="63">
        <v>45389</v>
      </c>
      <c r="AF106" t="s">
        <v>156</v>
      </c>
      <c r="AG106" t="s">
        <v>112</v>
      </c>
      <c r="AH106" t="s">
        <v>112</v>
      </c>
      <c r="AI106" s="63">
        <v>45389</v>
      </c>
      <c r="AJ106" s="63">
        <v>45657</v>
      </c>
      <c r="AK106" t="s">
        <v>112</v>
      </c>
      <c r="AL106" t="s">
        <v>111</v>
      </c>
      <c r="AM106" t="s">
        <v>111</v>
      </c>
      <c r="AN106">
        <v>3419</v>
      </c>
      <c r="AO106" t="s">
        <v>122</v>
      </c>
      <c r="AP106" t="s">
        <v>122</v>
      </c>
    </row>
    <row r="107" spans="1:42" x14ac:dyDescent="0.25">
      <c r="A107" s="28" t="str">
        <f>"5697"</f>
        <v>5697</v>
      </c>
      <c r="B107">
        <v>5697</v>
      </c>
      <c r="C107" t="s">
        <v>2488</v>
      </c>
      <c r="D107" t="s">
        <v>132</v>
      </c>
      <c r="F107" t="s">
        <v>149</v>
      </c>
      <c r="G107" t="s">
        <v>231</v>
      </c>
      <c r="I107" t="s">
        <v>11439</v>
      </c>
      <c r="J107" t="s">
        <v>126</v>
      </c>
      <c r="K107" s="63">
        <v>18928</v>
      </c>
      <c r="L107" s="28">
        <f>DATEDIF(K107,Zwift25!G$1,"Y")</f>
        <v>72</v>
      </c>
      <c r="M107" s="67">
        <f>IF(J107="m",VLOOKUP(L107,'All Solo Adjustments'!A:D,4,FALSE),VLOOKUP(L107,'All Solo Adjustments'!A:J,10,FALSE))</f>
        <v>1.2453703703703705E-2</v>
      </c>
      <c r="N107" s="63"/>
      <c r="O107" s="63"/>
      <c r="P107" s="63"/>
      <c r="Q107" s="63"/>
      <c r="R107" t="s">
        <v>180</v>
      </c>
      <c r="S107" t="s">
        <v>1741</v>
      </c>
      <c r="T107" t="s">
        <v>292</v>
      </c>
      <c r="U107" t="s">
        <v>11438</v>
      </c>
      <c r="V107" t="s">
        <v>2127</v>
      </c>
      <c r="W107" t="s">
        <v>983</v>
      </c>
      <c r="Y107" t="s">
        <v>11437</v>
      </c>
      <c r="Z107" t="str">
        <f>"0115 9402685"</f>
        <v>0115 9402685</v>
      </c>
      <c r="AA107" t="str">
        <f>""</f>
        <v/>
      </c>
      <c r="AB107" t="s">
        <v>982</v>
      </c>
      <c r="AC107" t="s">
        <v>11436</v>
      </c>
      <c r="AD107" t="s">
        <v>145</v>
      </c>
      <c r="AE107" s="63">
        <v>45335</v>
      </c>
      <c r="AF107" t="s">
        <v>156</v>
      </c>
      <c r="AG107" t="s">
        <v>112</v>
      </c>
      <c r="AH107" t="s">
        <v>112</v>
      </c>
      <c r="AI107" s="63">
        <v>42393</v>
      </c>
      <c r="AJ107" s="63">
        <v>45657</v>
      </c>
      <c r="AK107" t="s">
        <v>111</v>
      </c>
      <c r="AL107" t="s">
        <v>111</v>
      </c>
      <c r="AM107" t="s">
        <v>111</v>
      </c>
      <c r="AN107" t="s">
        <v>105</v>
      </c>
      <c r="AO107" t="s">
        <v>122</v>
      </c>
      <c r="AP107" t="s">
        <v>122</v>
      </c>
    </row>
    <row r="108" spans="1:42" x14ac:dyDescent="0.25">
      <c r="A108" s="28" t="str">
        <f>"10314"</f>
        <v>10314</v>
      </c>
      <c r="B108">
        <v>10314</v>
      </c>
      <c r="C108" t="s">
        <v>2488</v>
      </c>
      <c r="D108" t="s">
        <v>130</v>
      </c>
      <c r="F108" t="s">
        <v>120</v>
      </c>
      <c r="G108" t="s">
        <v>475</v>
      </c>
      <c r="I108" t="s">
        <v>11439</v>
      </c>
      <c r="J108" t="s">
        <v>7</v>
      </c>
      <c r="K108" s="63">
        <v>18285</v>
      </c>
      <c r="L108" s="28">
        <f>DATEDIF(K108,Zwift25!G$1,"Y")</f>
        <v>74</v>
      </c>
      <c r="M108" s="67">
        <f>IF(J108="m",VLOOKUP(L108,'All Solo Adjustments'!A:D,4,FALSE),VLOOKUP(L108,'All Solo Adjustments'!A:J,10,FALSE))</f>
        <v>7.9861111111111122E-3</v>
      </c>
      <c r="N108" s="63"/>
      <c r="O108" s="63"/>
      <c r="P108" s="63"/>
      <c r="Q108" s="63"/>
      <c r="R108" t="s">
        <v>180</v>
      </c>
      <c r="S108" t="s">
        <v>1741</v>
      </c>
      <c r="T108" t="s">
        <v>292</v>
      </c>
      <c r="U108" t="s">
        <v>11438</v>
      </c>
      <c r="V108" t="s">
        <v>2127</v>
      </c>
      <c r="W108" t="s">
        <v>983</v>
      </c>
      <c r="Y108" t="s">
        <v>11437</v>
      </c>
      <c r="Z108" t="str">
        <f>"0115 9402685"</f>
        <v>0115 9402685</v>
      </c>
      <c r="AA108" t="str">
        <f>""</f>
        <v/>
      </c>
      <c r="AB108" t="s">
        <v>290</v>
      </c>
      <c r="AC108" t="s">
        <v>11436</v>
      </c>
      <c r="AD108" t="s">
        <v>145</v>
      </c>
      <c r="AE108" s="63">
        <v>45335</v>
      </c>
      <c r="AF108" t="s">
        <v>113</v>
      </c>
      <c r="AG108" t="s">
        <v>112</v>
      </c>
      <c r="AH108" t="s">
        <v>112</v>
      </c>
      <c r="AI108" s="63">
        <v>43120</v>
      </c>
      <c r="AJ108" s="63">
        <v>45657</v>
      </c>
      <c r="AK108" t="s">
        <v>111</v>
      </c>
      <c r="AL108" t="s">
        <v>111</v>
      </c>
      <c r="AM108" t="s">
        <v>111</v>
      </c>
      <c r="AN108" t="s">
        <v>105</v>
      </c>
      <c r="AO108" t="s">
        <v>110</v>
      </c>
      <c r="AP108" t="s">
        <v>109</v>
      </c>
    </row>
    <row r="109" spans="1:42" x14ac:dyDescent="0.25">
      <c r="A109" s="28" t="str">
        <f>"5735"</f>
        <v>5735</v>
      </c>
      <c r="B109">
        <v>5735</v>
      </c>
      <c r="C109" t="s">
        <v>2488</v>
      </c>
      <c r="D109" t="s">
        <v>121</v>
      </c>
      <c r="F109" t="s">
        <v>120</v>
      </c>
      <c r="G109" t="s">
        <v>189</v>
      </c>
      <c r="I109" t="s">
        <v>1736</v>
      </c>
      <c r="J109" t="s">
        <v>7</v>
      </c>
      <c r="K109" s="63">
        <v>26609</v>
      </c>
      <c r="L109" s="28">
        <f>DATEDIF(K109,Zwift25!G$1,"Y")</f>
        <v>51</v>
      </c>
      <c r="M109" s="67">
        <f>IF(J109="m",VLOOKUP(L109,'All Solo Adjustments'!A:D,4,FALSE),VLOOKUP(L109,'All Solo Adjustments'!A:J,10,FALSE))</f>
        <v>1.3078703703703703E-3</v>
      </c>
      <c r="N109" s="63"/>
      <c r="O109" s="63"/>
      <c r="P109" s="63"/>
      <c r="Q109" s="63"/>
      <c r="R109" t="s">
        <v>137</v>
      </c>
      <c r="S109" t="s">
        <v>136</v>
      </c>
      <c r="T109" t="s">
        <v>292</v>
      </c>
      <c r="U109" t="s">
        <v>11435</v>
      </c>
      <c r="V109" t="s">
        <v>1957</v>
      </c>
      <c r="W109" t="s">
        <v>208</v>
      </c>
      <c r="Y109" t="s">
        <v>11434</v>
      </c>
      <c r="Z109" t="str">
        <f>"01425 627873"</f>
        <v>01425 627873</v>
      </c>
      <c r="AA109" t="str">
        <f>""</f>
        <v/>
      </c>
      <c r="AB109" t="s">
        <v>357</v>
      </c>
      <c r="AC109" t="s">
        <v>11433</v>
      </c>
      <c r="AD109" t="s">
        <v>114</v>
      </c>
      <c r="AE109" s="63">
        <v>45338</v>
      </c>
      <c r="AF109" t="s">
        <v>113</v>
      </c>
      <c r="AG109" t="s">
        <v>112</v>
      </c>
      <c r="AH109" t="s">
        <v>112</v>
      </c>
      <c r="AI109" s="63">
        <v>42432</v>
      </c>
      <c r="AJ109" s="63">
        <v>45657</v>
      </c>
      <c r="AK109" t="s">
        <v>111</v>
      </c>
      <c r="AL109" t="s">
        <v>111</v>
      </c>
      <c r="AM109" t="s">
        <v>111</v>
      </c>
      <c r="AN109" t="s">
        <v>105</v>
      </c>
      <c r="AO109" t="s">
        <v>110</v>
      </c>
      <c r="AP109" t="s">
        <v>109</v>
      </c>
    </row>
    <row r="110" spans="1:42" x14ac:dyDescent="0.25">
      <c r="A110" s="28" t="str">
        <f>"0159"</f>
        <v>0159</v>
      </c>
      <c r="B110">
        <v>159</v>
      </c>
      <c r="C110" t="s">
        <v>2488</v>
      </c>
      <c r="D110" t="s">
        <v>121</v>
      </c>
      <c r="F110" t="s">
        <v>120</v>
      </c>
      <c r="G110" t="s">
        <v>1413</v>
      </c>
      <c r="I110" t="s">
        <v>963</v>
      </c>
      <c r="J110" t="s">
        <v>7</v>
      </c>
      <c r="K110" s="63">
        <v>11501</v>
      </c>
      <c r="L110" s="28">
        <f>DATEDIF(K110,Zwift25!G$1,"Y")</f>
        <v>93</v>
      </c>
      <c r="M110" s="67">
        <f>IF(J110="m",VLOOKUP(L110,'All Solo Adjustments'!A:D,4,FALSE),VLOOKUP(L110,'All Solo Adjustments'!A:J,10,FALSE))</f>
        <v>2.1516203703703704E-2</v>
      </c>
      <c r="N110" s="63"/>
      <c r="O110" s="63"/>
      <c r="P110" s="63"/>
      <c r="Q110" s="63"/>
      <c r="R110" t="s">
        <v>383</v>
      </c>
      <c r="S110" t="s">
        <v>2340</v>
      </c>
      <c r="T110" t="s">
        <v>292</v>
      </c>
      <c r="U110" t="s">
        <v>11432</v>
      </c>
      <c r="V110" t="s">
        <v>1449</v>
      </c>
      <c r="Y110" t="s">
        <v>11431</v>
      </c>
      <c r="Z110" t="str">
        <f>"01633 211244"</f>
        <v>01633 211244</v>
      </c>
      <c r="AA110" t="str">
        <f>""</f>
        <v/>
      </c>
      <c r="AB110" t="s">
        <v>2429</v>
      </c>
      <c r="AD110" t="s">
        <v>151</v>
      </c>
      <c r="AF110" t="s">
        <v>113</v>
      </c>
      <c r="AG110" t="s">
        <v>112</v>
      </c>
      <c r="AH110" t="s">
        <v>112</v>
      </c>
      <c r="AI110" s="63">
        <v>32874</v>
      </c>
      <c r="AK110" t="s">
        <v>111</v>
      </c>
      <c r="AL110" t="s">
        <v>111</v>
      </c>
      <c r="AM110" t="s">
        <v>111</v>
      </c>
      <c r="AN110" t="s">
        <v>105</v>
      </c>
      <c r="AO110" t="s">
        <v>110</v>
      </c>
      <c r="AP110" t="s">
        <v>109</v>
      </c>
    </row>
    <row r="111" spans="1:42" x14ac:dyDescent="0.25">
      <c r="A111" s="28" t="str">
        <f>"14445"</f>
        <v>14445</v>
      </c>
      <c r="B111">
        <v>14445</v>
      </c>
      <c r="C111" t="s">
        <v>2488</v>
      </c>
      <c r="D111" t="s">
        <v>121</v>
      </c>
      <c r="F111" t="s">
        <v>120</v>
      </c>
      <c r="G111" t="s">
        <v>399</v>
      </c>
      <c r="H111" t="s">
        <v>649</v>
      </c>
      <c r="I111" t="s">
        <v>963</v>
      </c>
      <c r="J111" t="s">
        <v>7</v>
      </c>
      <c r="K111" s="63">
        <v>26824</v>
      </c>
      <c r="L111" s="28">
        <f>DATEDIF(K111,Zwift25!G$1,"Y")</f>
        <v>51</v>
      </c>
      <c r="M111" s="67">
        <f>IF(J111="m",VLOOKUP(L111,'All Solo Adjustments'!A:D,4,FALSE),VLOOKUP(L111,'All Solo Adjustments'!A:J,10,FALSE))</f>
        <v>1.3078703703703703E-3</v>
      </c>
      <c r="N111" s="63"/>
      <c r="O111" s="63"/>
      <c r="P111" s="63"/>
      <c r="Q111" s="63"/>
      <c r="R111" t="s">
        <v>125</v>
      </c>
      <c r="S111" t="s">
        <v>170</v>
      </c>
      <c r="T111" t="s">
        <v>292</v>
      </c>
      <c r="U111" t="s">
        <v>11430</v>
      </c>
      <c r="V111" t="s">
        <v>11429</v>
      </c>
      <c r="W111" t="s">
        <v>1600</v>
      </c>
      <c r="X111" t="s">
        <v>123</v>
      </c>
      <c r="Y111" t="s">
        <v>11428</v>
      </c>
      <c r="Z111" t="str">
        <f>"01277213864"</f>
        <v>01277213864</v>
      </c>
      <c r="AA111" t="str">
        <f>"07808762642"</f>
        <v>07808762642</v>
      </c>
      <c r="AB111" t="s">
        <v>505</v>
      </c>
      <c r="AC111" t="s">
        <v>11427</v>
      </c>
      <c r="AD111" t="s">
        <v>114</v>
      </c>
      <c r="AE111" s="63">
        <v>45298</v>
      </c>
      <c r="AF111" t="s">
        <v>113</v>
      </c>
      <c r="AG111" t="s">
        <v>112</v>
      </c>
      <c r="AH111" t="s">
        <v>112</v>
      </c>
      <c r="AI111" s="63">
        <v>43854</v>
      </c>
      <c r="AJ111" s="63">
        <v>45657</v>
      </c>
      <c r="AK111" t="s">
        <v>112</v>
      </c>
      <c r="AL111" t="s">
        <v>111</v>
      </c>
      <c r="AM111" t="s">
        <v>111</v>
      </c>
      <c r="AN111">
        <v>1213</v>
      </c>
      <c r="AO111" t="s">
        <v>110</v>
      </c>
      <c r="AP111" t="s">
        <v>109</v>
      </c>
    </row>
    <row r="112" spans="1:42" x14ac:dyDescent="0.25">
      <c r="A112" s="28" t="str">
        <f>"13702"</f>
        <v>13702</v>
      </c>
      <c r="B112">
        <v>13702</v>
      </c>
      <c r="C112" t="s">
        <v>2488</v>
      </c>
      <c r="D112" t="s">
        <v>121</v>
      </c>
      <c r="E112" t="s">
        <v>584</v>
      </c>
      <c r="F112" t="s">
        <v>120</v>
      </c>
      <c r="G112" t="s">
        <v>744</v>
      </c>
      <c r="I112" t="s">
        <v>11426</v>
      </c>
      <c r="J112" t="s">
        <v>7</v>
      </c>
      <c r="K112" s="63">
        <v>26332</v>
      </c>
      <c r="L112" s="28">
        <f>DATEDIF(K112,Zwift25!G$1,"Y")</f>
        <v>52</v>
      </c>
      <c r="M112" s="67">
        <f>IF(J112="m",VLOOKUP(L112,'All Solo Adjustments'!A:D,4,FALSE),VLOOKUP(L112,'All Solo Adjustments'!A:J,10,FALSE))</f>
        <v>1.4814814814814816E-3</v>
      </c>
      <c r="N112" s="63"/>
      <c r="O112" s="63"/>
      <c r="P112" s="63"/>
      <c r="Q112" s="63"/>
      <c r="R112" t="s">
        <v>213</v>
      </c>
      <c r="S112" t="s">
        <v>212</v>
      </c>
      <c r="T112" t="s">
        <v>292</v>
      </c>
      <c r="U112" t="s">
        <v>11425</v>
      </c>
      <c r="V112" t="s">
        <v>11424</v>
      </c>
      <c r="W112" t="s">
        <v>1560</v>
      </c>
      <c r="Y112" t="s">
        <v>11423</v>
      </c>
      <c r="Z112" t="str">
        <f>"07866726422"</f>
        <v>07866726422</v>
      </c>
      <c r="AA112" t="str">
        <f>""</f>
        <v/>
      </c>
      <c r="AB112" t="s">
        <v>11422</v>
      </c>
      <c r="AC112" t="s">
        <v>11421</v>
      </c>
      <c r="AD112" t="s">
        <v>114</v>
      </c>
      <c r="AE112" s="63">
        <v>45293</v>
      </c>
      <c r="AF112" t="s">
        <v>113</v>
      </c>
      <c r="AG112" t="s">
        <v>112</v>
      </c>
      <c r="AH112" t="s">
        <v>112</v>
      </c>
      <c r="AI112" s="63">
        <v>43287</v>
      </c>
      <c r="AJ112" s="63">
        <v>45657</v>
      </c>
      <c r="AK112" t="s">
        <v>112</v>
      </c>
      <c r="AL112" t="s">
        <v>111</v>
      </c>
      <c r="AM112" t="s">
        <v>111</v>
      </c>
      <c r="AN112">
        <v>5912</v>
      </c>
      <c r="AO112" t="s">
        <v>110</v>
      </c>
      <c r="AP112" t="s">
        <v>109</v>
      </c>
    </row>
    <row r="113" spans="1:42" x14ac:dyDescent="0.25">
      <c r="A113" s="28" t="str">
        <f>"15545"</f>
        <v>15545</v>
      </c>
      <c r="B113">
        <v>15545</v>
      </c>
      <c r="C113" t="s">
        <v>2488</v>
      </c>
      <c r="D113" t="s">
        <v>121</v>
      </c>
      <c r="E113" t="s">
        <v>584</v>
      </c>
      <c r="F113" t="s">
        <v>149</v>
      </c>
      <c r="G113" t="s">
        <v>4555</v>
      </c>
      <c r="H113" t="s">
        <v>11420</v>
      </c>
      <c r="I113" t="s">
        <v>11419</v>
      </c>
      <c r="J113" t="s">
        <v>126</v>
      </c>
      <c r="K113" s="63">
        <v>30097</v>
      </c>
      <c r="L113" s="28">
        <f>DATEDIF(K113,Zwift25!G$1,"Y")</f>
        <v>42</v>
      </c>
      <c r="M113" s="67">
        <f>IF(J113="m",VLOOKUP(L113,'All Solo Adjustments'!A:D,4,FALSE),VLOOKUP(L113,'All Solo Adjustments'!A:J,10,FALSE))</f>
        <v>4.4907407407407405E-3</v>
      </c>
      <c r="N113" s="63"/>
      <c r="O113" s="63"/>
      <c r="P113" s="63"/>
      <c r="Q113" s="63"/>
      <c r="R113" t="s">
        <v>184</v>
      </c>
      <c r="S113" t="s">
        <v>183</v>
      </c>
      <c r="T113" t="s">
        <v>292</v>
      </c>
      <c r="U113" t="s">
        <v>11418</v>
      </c>
      <c r="W113" t="s">
        <v>2282</v>
      </c>
      <c r="Y113" t="s">
        <v>11417</v>
      </c>
      <c r="Z113" t="str">
        <f>"07969921112"</f>
        <v>07969921112</v>
      </c>
      <c r="AA113" t="str">
        <f>""</f>
        <v/>
      </c>
      <c r="AB113" t="s">
        <v>11416</v>
      </c>
      <c r="AC113" t="s">
        <v>11415</v>
      </c>
      <c r="AD113" t="s">
        <v>114</v>
      </c>
      <c r="AE113" s="63">
        <v>45364</v>
      </c>
      <c r="AF113" t="s">
        <v>156</v>
      </c>
      <c r="AG113" t="s">
        <v>112</v>
      </c>
      <c r="AH113" t="s">
        <v>112</v>
      </c>
      <c r="AI113" s="63">
        <v>44740</v>
      </c>
      <c r="AJ113" s="63">
        <v>45657</v>
      </c>
      <c r="AK113" t="s">
        <v>112</v>
      </c>
      <c r="AL113" t="s">
        <v>111</v>
      </c>
      <c r="AM113" t="s">
        <v>111</v>
      </c>
      <c r="AN113">
        <v>20118</v>
      </c>
      <c r="AO113" t="s">
        <v>122</v>
      </c>
      <c r="AP113" t="s">
        <v>122</v>
      </c>
    </row>
    <row r="114" spans="1:42" x14ac:dyDescent="0.25">
      <c r="A114" s="28" t="str">
        <f>"15731"</f>
        <v>15731</v>
      </c>
      <c r="B114">
        <v>15731</v>
      </c>
      <c r="C114" t="s">
        <v>2488</v>
      </c>
      <c r="D114" t="s">
        <v>121</v>
      </c>
      <c r="E114" t="s">
        <v>584</v>
      </c>
      <c r="F114" t="s">
        <v>120</v>
      </c>
      <c r="G114" t="s">
        <v>171</v>
      </c>
      <c r="I114" t="s">
        <v>11414</v>
      </c>
      <c r="J114" t="s">
        <v>7</v>
      </c>
      <c r="K114" s="63">
        <v>30258</v>
      </c>
      <c r="L114" s="28">
        <f>DATEDIF(K114,Zwift25!G$1,"Y")</f>
        <v>41</v>
      </c>
      <c r="M114" s="67">
        <f>IF(J114="m",VLOOKUP(L114,'All Solo Adjustments'!A:D,4,FALSE),VLOOKUP(L114,'All Solo Adjustments'!A:J,10,FALSE))</f>
        <v>6.9444444444444444E-5</v>
      </c>
      <c r="N114" s="63"/>
      <c r="O114" s="63"/>
      <c r="P114" s="63"/>
      <c r="Q114" s="63"/>
      <c r="R114" t="s">
        <v>527</v>
      </c>
      <c r="S114" t="s">
        <v>526</v>
      </c>
      <c r="T114" t="s">
        <v>292</v>
      </c>
      <c r="U114" t="s">
        <v>11413</v>
      </c>
      <c r="V114" t="s">
        <v>11412</v>
      </c>
      <c r="W114" t="s">
        <v>611</v>
      </c>
      <c r="X114" t="s">
        <v>854</v>
      </c>
      <c r="Y114" t="s">
        <v>11411</v>
      </c>
      <c r="Z114" t="str">
        <f>"07875328457"</f>
        <v>07875328457</v>
      </c>
      <c r="AA114" t="str">
        <f>""</f>
        <v/>
      </c>
      <c r="AB114" t="s">
        <v>11410</v>
      </c>
      <c r="AC114" t="s">
        <v>11409</v>
      </c>
      <c r="AD114" t="s">
        <v>114</v>
      </c>
      <c r="AE114" s="63">
        <v>45270</v>
      </c>
      <c r="AF114" t="s">
        <v>156</v>
      </c>
      <c r="AG114" t="s">
        <v>112</v>
      </c>
      <c r="AH114" t="s">
        <v>112</v>
      </c>
      <c r="AI114" s="63">
        <v>45003</v>
      </c>
      <c r="AJ114" s="63">
        <v>45657</v>
      </c>
      <c r="AK114" t="s">
        <v>112</v>
      </c>
      <c r="AL114" t="s">
        <v>111</v>
      </c>
      <c r="AM114" t="s">
        <v>111</v>
      </c>
      <c r="AN114">
        <v>708</v>
      </c>
      <c r="AO114" t="s">
        <v>110</v>
      </c>
      <c r="AP114" t="s">
        <v>109</v>
      </c>
    </row>
    <row r="115" spans="1:42" x14ac:dyDescent="0.25">
      <c r="A115" s="28" t="str">
        <f>"6440"</f>
        <v>6440</v>
      </c>
      <c r="B115">
        <v>6440</v>
      </c>
      <c r="C115" t="s">
        <v>2488</v>
      </c>
      <c r="D115" t="s">
        <v>121</v>
      </c>
      <c r="E115" t="s">
        <v>584</v>
      </c>
      <c r="F115" t="s">
        <v>144</v>
      </c>
      <c r="G115" t="s">
        <v>1518</v>
      </c>
      <c r="I115" t="s">
        <v>962</v>
      </c>
      <c r="J115" t="s">
        <v>126</v>
      </c>
      <c r="K115" s="63">
        <v>26809</v>
      </c>
      <c r="L115" s="28">
        <f>DATEDIF(K115,Zwift25!G$1,"Y")</f>
        <v>51</v>
      </c>
      <c r="M115" s="67">
        <f>IF(J115="m",VLOOKUP(L115,'All Solo Adjustments'!A:D,4,FALSE),VLOOKUP(L115,'All Solo Adjustments'!A:J,10,FALSE))</f>
        <v>5.0810185185185186E-3</v>
      </c>
      <c r="N115" s="63"/>
      <c r="O115" s="63"/>
      <c r="P115" s="63"/>
      <c r="Q115" s="63"/>
      <c r="R115" t="s">
        <v>213</v>
      </c>
      <c r="S115" t="s">
        <v>212</v>
      </c>
      <c r="T115" t="s">
        <v>292</v>
      </c>
      <c r="U115" t="s">
        <v>11408</v>
      </c>
      <c r="V115" t="s">
        <v>1788</v>
      </c>
      <c r="W115" t="s">
        <v>534</v>
      </c>
      <c r="Y115" t="s">
        <v>11407</v>
      </c>
      <c r="Z115" t="str">
        <f>"01939 232835"</f>
        <v>01939 232835</v>
      </c>
      <c r="AA115" t="str">
        <f>""</f>
        <v/>
      </c>
      <c r="AB115" t="s">
        <v>1052</v>
      </c>
      <c r="AC115" t="s">
        <v>11406</v>
      </c>
      <c r="AD115" t="s">
        <v>114</v>
      </c>
      <c r="AE115" s="63">
        <v>45289</v>
      </c>
      <c r="AF115" t="s">
        <v>156</v>
      </c>
      <c r="AG115" t="s">
        <v>112</v>
      </c>
      <c r="AH115" t="s">
        <v>112</v>
      </c>
      <c r="AI115" s="63">
        <v>43146</v>
      </c>
      <c r="AJ115" s="63">
        <v>45657</v>
      </c>
      <c r="AK115" t="s">
        <v>111</v>
      </c>
      <c r="AL115" t="s">
        <v>111</v>
      </c>
      <c r="AM115" t="s">
        <v>111</v>
      </c>
      <c r="AN115">
        <v>22630</v>
      </c>
      <c r="AO115" t="s">
        <v>122</v>
      </c>
      <c r="AP115" t="s">
        <v>122</v>
      </c>
    </row>
    <row r="116" spans="1:42" x14ac:dyDescent="0.25">
      <c r="A116" s="28" t="str">
        <f>"15272"</f>
        <v>15272</v>
      </c>
      <c r="B116">
        <v>15272</v>
      </c>
      <c r="C116" t="s">
        <v>2488</v>
      </c>
      <c r="D116" t="s">
        <v>121</v>
      </c>
      <c r="E116" t="s">
        <v>584</v>
      </c>
      <c r="F116" t="s">
        <v>120</v>
      </c>
      <c r="G116" t="s">
        <v>165</v>
      </c>
      <c r="H116" t="s">
        <v>1000</v>
      </c>
      <c r="I116" t="s">
        <v>1573</v>
      </c>
      <c r="J116" t="s">
        <v>7</v>
      </c>
      <c r="K116" s="63">
        <v>25099</v>
      </c>
      <c r="L116" s="28">
        <f>DATEDIF(K116,Zwift25!G$1,"Y")</f>
        <v>56</v>
      </c>
      <c r="M116" s="67">
        <f>IF(J116="m",VLOOKUP(L116,'All Solo Adjustments'!A:D,4,FALSE),VLOOKUP(L116,'All Solo Adjustments'!A:J,10,FALSE))</f>
        <v>2.2685185185185182E-3</v>
      </c>
      <c r="N116" s="63"/>
      <c r="O116" s="63"/>
      <c r="P116" s="63"/>
      <c r="Q116" s="63"/>
      <c r="R116" t="s">
        <v>239</v>
      </c>
      <c r="S116" t="s">
        <v>274</v>
      </c>
      <c r="T116" t="s">
        <v>292</v>
      </c>
      <c r="U116" t="s">
        <v>11405</v>
      </c>
      <c r="V116" t="s">
        <v>2329</v>
      </c>
      <c r="W116" t="s">
        <v>11404</v>
      </c>
      <c r="X116" t="s">
        <v>1601</v>
      </c>
      <c r="Y116" t="s">
        <v>11403</v>
      </c>
      <c r="Z116" t="str">
        <f>"07545887244"</f>
        <v>07545887244</v>
      </c>
      <c r="AA116" t="str">
        <f>"07545887244"</f>
        <v>07545887244</v>
      </c>
      <c r="AB116" t="s">
        <v>1599</v>
      </c>
      <c r="AC116" t="s">
        <v>11402</v>
      </c>
      <c r="AD116" t="s">
        <v>114</v>
      </c>
      <c r="AE116" s="63">
        <v>45377</v>
      </c>
      <c r="AF116" t="s">
        <v>156</v>
      </c>
      <c r="AG116" t="s">
        <v>112</v>
      </c>
      <c r="AH116" t="s">
        <v>112</v>
      </c>
      <c r="AI116" s="63">
        <v>44493</v>
      </c>
      <c r="AJ116" s="63">
        <v>45657</v>
      </c>
      <c r="AK116" t="s">
        <v>112</v>
      </c>
      <c r="AL116" t="s">
        <v>111</v>
      </c>
      <c r="AM116" t="s">
        <v>111</v>
      </c>
      <c r="AN116">
        <v>41836</v>
      </c>
      <c r="AO116" t="s">
        <v>110</v>
      </c>
      <c r="AP116" t="s">
        <v>109</v>
      </c>
    </row>
    <row r="117" spans="1:42" x14ac:dyDescent="0.25">
      <c r="A117" s="28" t="str">
        <f>"5315"</f>
        <v>5315</v>
      </c>
      <c r="B117">
        <v>5315</v>
      </c>
      <c r="C117" t="s">
        <v>2488</v>
      </c>
      <c r="D117" t="s">
        <v>121</v>
      </c>
      <c r="F117" t="s">
        <v>120</v>
      </c>
      <c r="G117" t="s">
        <v>776</v>
      </c>
      <c r="H117" t="s">
        <v>284</v>
      </c>
      <c r="I117" t="s">
        <v>11401</v>
      </c>
      <c r="J117" t="s">
        <v>7</v>
      </c>
      <c r="K117" s="63">
        <v>23480</v>
      </c>
      <c r="L117" s="28">
        <f>DATEDIF(K117,Zwift25!G$1,"Y")</f>
        <v>60</v>
      </c>
      <c r="M117" s="67">
        <f>IF(J117="m",VLOOKUP(L117,'All Solo Adjustments'!A:D,4,FALSE),VLOOKUP(L117,'All Solo Adjustments'!A:J,10,FALSE))</f>
        <v>3.2060185185185186E-3</v>
      </c>
      <c r="N117" s="63"/>
      <c r="O117" s="63"/>
      <c r="P117" s="63"/>
      <c r="Q117" s="63"/>
      <c r="R117" t="s">
        <v>159</v>
      </c>
      <c r="S117" t="s">
        <v>162</v>
      </c>
      <c r="T117" t="s">
        <v>292</v>
      </c>
      <c r="U117" t="s">
        <v>11400</v>
      </c>
      <c r="V117" t="s">
        <v>257</v>
      </c>
      <c r="W117" t="s">
        <v>159</v>
      </c>
      <c r="Y117" t="s">
        <v>11399</v>
      </c>
      <c r="Z117" t="str">
        <f>"01795 599614"</f>
        <v>01795 599614</v>
      </c>
      <c r="AA117" t="str">
        <f>""</f>
        <v/>
      </c>
      <c r="AB117" t="s">
        <v>186</v>
      </c>
      <c r="AC117" t="s">
        <v>11398</v>
      </c>
      <c r="AD117" t="s">
        <v>114</v>
      </c>
      <c r="AE117" s="63">
        <v>45292</v>
      </c>
      <c r="AF117" t="s">
        <v>113</v>
      </c>
      <c r="AG117" t="s">
        <v>112</v>
      </c>
      <c r="AH117" t="s">
        <v>112</v>
      </c>
      <c r="AI117" s="63">
        <v>43467</v>
      </c>
      <c r="AJ117" s="63">
        <v>45657</v>
      </c>
      <c r="AK117" t="s">
        <v>111</v>
      </c>
      <c r="AL117" t="s">
        <v>111</v>
      </c>
      <c r="AM117" t="s">
        <v>111</v>
      </c>
      <c r="AN117">
        <v>1276</v>
      </c>
      <c r="AO117" t="s">
        <v>110</v>
      </c>
      <c r="AP117" t="s">
        <v>109</v>
      </c>
    </row>
    <row r="118" spans="1:42" x14ac:dyDescent="0.25">
      <c r="A118" s="28" t="str">
        <f>"5278"</f>
        <v>5278</v>
      </c>
      <c r="B118">
        <v>5278</v>
      </c>
      <c r="C118" t="s">
        <v>2488</v>
      </c>
      <c r="D118" t="s">
        <v>121</v>
      </c>
      <c r="E118" t="s">
        <v>584</v>
      </c>
      <c r="F118" t="s">
        <v>120</v>
      </c>
      <c r="G118" t="s">
        <v>1847</v>
      </c>
      <c r="I118" t="s">
        <v>11397</v>
      </c>
      <c r="J118" t="s">
        <v>7</v>
      </c>
      <c r="K118" s="63">
        <v>23297</v>
      </c>
      <c r="L118" s="28">
        <f>DATEDIF(K118,Zwift25!G$1,"Y")</f>
        <v>61</v>
      </c>
      <c r="M118" s="67">
        <f>IF(J118="m",VLOOKUP(L118,'All Solo Adjustments'!A:D,4,FALSE),VLOOKUP(L118,'All Solo Adjustments'!A:J,10,FALSE))</f>
        <v>3.4722222222222225E-3</v>
      </c>
      <c r="N118" s="63"/>
      <c r="O118" s="63"/>
      <c r="P118" s="63"/>
      <c r="Q118" s="63"/>
      <c r="R118" t="s">
        <v>137</v>
      </c>
      <c r="S118" t="s">
        <v>136</v>
      </c>
      <c r="T118" t="s">
        <v>292</v>
      </c>
      <c r="U118" t="s">
        <v>11396</v>
      </c>
      <c r="V118" t="s">
        <v>265</v>
      </c>
      <c r="W118" t="s">
        <v>11395</v>
      </c>
      <c r="Y118" t="s">
        <v>11394</v>
      </c>
      <c r="Z118" t="str">
        <f>"01929 761979"</f>
        <v>01929 761979</v>
      </c>
      <c r="AA118" t="str">
        <f>""</f>
        <v/>
      </c>
      <c r="AB118" t="s">
        <v>10285</v>
      </c>
      <c r="AC118" t="s">
        <v>11393</v>
      </c>
      <c r="AD118" t="s">
        <v>114</v>
      </c>
      <c r="AE118" s="63">
        <v>45294</v>
      </c>
      <c r="AF118" t="s">
        <v>156</v>
      </c>
      <c r="AG118" t="s">
        <v>112</v>
      </c>
      <c r="AH118" t="s">
        <v>112</v>
      </c>
      <c r="AI118" s="63">
        <v>43186</v>
      </c>
      <c r="AJ118" s="63">
        <v>45657</v>
      </c>
      <c r="AK118" t="s">
        <v>112</v>
      </c>
      <c r="AL118" t="s">
        <v>111</v>
      </c>
      <c r="AM118" t="s">
        <v>111</v>
      </c>
      <c r="AN118">
        <v>5113</v>
      </c>
      <c r="AO118" t="s">
        <v>110</v>
      </c>
      <c r="AP118" t="s">
        <v>109</v>
      </c>
    </row>
    <row r="119" spans="1:42" x14ac:dyDescent="0.25">
      <c r="A119" s="28" t="str">
        <f>"0171"</f>
        <v>0171</v>
      </c>
      <c r="B119">
        <v>171</v>
      </c>
      <c r="C119" t="s">
        <v>2488</v>
      </c>
      <c r="D119" t="s">
        <v>121</v>
      </c>
      <c r="F119" t="s">
        <v>120</v>
      </c>
      <c r="G119" t="s">
        <v>1484</v>
      </c>
      <c r="I119" t="s">
        <v>2235</v>
      </c>
      <c r="J119" t="s">
        <v>7</v>
      </c>
      <c r="K119" s="63">
        <v>17268</v>
      </c>
      <c r="L119" s="28">
        <f>DATEDIF(K119,Zwift25!G$1,"Y")</f>
        <v>77</v>
      </c>
      <c r="M119" s="67">
        <f>IF(J119="m",VLOOKUP(L119,'All Solo Adjustments'!A:D,4,FALSE),VLOOKUP(L119,'All Solo Adjustments'!A:J,10,FALSE))</f>
        <v>9.3981481481481485E-3</v>
      </c>
      <c r="N119" s="63"/>
      <c r="O119" s="63"/>
      <c r="P119" s="63"/>
      <c r="Q119" s="63"/>
      <c r="R119" t="s">
        <v>239</v>
      </c>
      <c r="S119" t="s">
        <v>274</v>
      </c>
      <c r="T119" t="s">
        <v>292</v>
      </c>
      <c r="U119" t="s">
        <v>11392</v>
      </c>
      <c r="W119" t="s">
        <v>422</v>
      </c>
      <c r="X119" t="s">
        <v>869</v>
      </c>
      <c r="Y119" t="s">
        <v>11391</v>
      </c>
      <c r="Z119" t="str">
        <f>"01757 241711"</f>
        <v>01757 241711</v>
      </c>
      <c r="AA119" t="str">
        <f>"07508 180258"</f>
        <v>07508 180258</v>
      </c>
      <c r="AB119" t="s">
        <v>421</v>
      </c>
      <c r="AC119" t="s">
        <v>11390</v>
      </c>
      <c r="AD119" t="s">
        <v>114</v>
      </c>
      <c r="AE119" s="63">
        <v>45323</v>
      </c>
      <c r="AF119" t="s">
        <v>113</v>
      </c>
      <c r="AG119" t="s">
        <v>112</v>
      </c>
      <c r="AH119" t="s">
        <v>112</v>
      </c>
      <c r="AI119" s="63">
        <v>38723</v>
      </c>
      <c r="AJ119" s="63">
        <v>45657</v>
      </c>
      <c r="AK119" t="s">
        <v>111</v>
      </c>
      <c r="AL119" t="s">
        <v>111</v>
      </c>
      <c r="AM119" t="s">
        <v>111</v>
      </c>
      <c r="AN119">
        <v>171</v>
      </c>
      <c r="AO119" t="s">
        <v>110</v>
      </c>
      <c r="AP119" t="s">
        <v>109</v>
      </c>
    </row>
    <row r="120" spans="1:42" x14ac:dyDescent="0.25">
      <c r="A120" s="28" t="str">
        <f>"15007"</f>
        <v>15007</v>
      </c>
      <c r="B120">
        <v>15007</v>
      </c>
      <c r="C120" t="s">
        <v>2488</v>
      </c>
      <c r="D120" t="s">
        <v>121</v>
      </c>
      <c r="F120" t="s">
        <v>120</v>
      </c>
      <c r="G120" t="s">
        <v>164</v>
      </c>
      <c r="I120" t="s">
        <v>11389</v>
      </c>
      <c r="J120" t="s">
        <v>7</v>
      </c>
      <c r="K120" s="63">
        <v>18681</v>
      </c>
      <c r="L120" s="28">
        <f>DATEDIF(K120,Zwift25!G$1,"Y")</f>
        <v>73</v>
      </c>
      <c r="M120" s="67">
        <f>IF(J120="m",VLOOKUP(L120,'All Solo Adjustments'!A:D,4,FALSE),VLOOKUP(L120,'All Solo Adjustments'!A:J,10,FALSE))</f>
        <v>7.5462962962962966E-3</v>
      </c>
      <c r="N120" s="63"/>
      <c r="O120" s="63"/>
      <c r="P120" s="63"/>
      <c r="Q120" s="63"/>
      <c r="R120" t="s">
        <v>328</v>
      </c>
      <c r="S120" t="s">
        <v>327</v>
      </c>
      <c r="T120" t="s">
        <v>292</v>
      </c>
      <c r="U120" t="s">
        <v>11388</v>
      </c>
      <c r="V120" t="s">
        <v>811</v>
      </c>
      <c r="W120" t="s">
        <v>810</v>
      </c>
      <c r="Y120" t="s">
        <v>11387</v>
      </c>
      <c r="Z120" t="str">
        <f>"07929605815"</f>
        <v>07929605815</v>
      </c>
      <c r="AA120" t="str">
        <f>"01539 721133"</f>
        <v>01539 721133</v>
      </c>
      <c r="AB120" t="s">
        <v>1730</v>
      </c>
      <c r="AC120" t="s">
        <v>11386</v>
      </c>
      <c r="AD120" t="s">
        <v>114</v>
      </c>
      <c r="AE120" s="63">
        <v>45262</v>
      </c>
      <c r="AF120" t="s">
        <v>113</v>
      </c>
      <c r="AG120" t="s">
        <v>112</v>
      </c>
      <c r="AH120" t="s">
        <v>112</v>
      </c>
      <c r="AI120" s="63">
        <v>44305</v>
      </c>
      <c r="AJ120" s="63">
        <v>45657</v>
      </c>
      <c r="AK120" t="s">
        <v>112</v>
      </c>
      <c r="AL120" t="s">
        <v>111</v>
      </c>
      <c r="AM120" t="s">
        <v>111</v>
      </c>
      <c r="AN120">
        <v>2724</v>
      </c>
      <c r="AO120" t="s">
        <v>110</v>
      </c>
      <c r="AP120" t="s">
        <v>109</v>
      </c>
    </row>
    <row r="121" spans="1:42" x14ac:dyDescent="0.25">
      <c r="A121" s="28" t="str">
        <f>"0178"</f>
        <v>0178</v>
      </c>
      <c r="B121">
        <v>178</v>
      </c>
      <c r="C121" t="s">
        <v>2488</v>
      </c>
      <c r="D121" t="s">
        <v>121</v>
      </c>
      <c r="E121" t="s">
        <v>584</v>
      </c>
      <c r="F121" t="s">
        <v>120</v>
      </c>
      <c r="G121" t="s">
        <v>11385</v>
      </c>
      <c r="H121" t="s">
        <v>11384</v>
      </c>
      <c r="I121" t="s">
        <v>11383</v>
      </c>
      <c r="J121" t="s">
        <v>7</v>
      </c>
      <c r="K121" s="63">
        <v>16794</v>
      </c>
      <c r="L121" s="28">
        <f>DATEDIF(K121,Zwift25!G$1,"Y")</f>
        <v>78</v>
      </c>
      <c r="M121" s="67">
        <f>IF(J121="m",VLOOKUP(L121,'All Solo Adjustments'!A:D,4,FALSE),VLOOKUP(L121,'All Solo Adjustments'!A:J,10,FALSE))</f>
        <v>9.9189814814814817E-3</v>
      </c>
      <c r="N121" s="63"/>
      <c r="O121" s="63"/>
      <c r="P121" s="63"/>
      <c r="Q121" s="63"/>
      <c r="R121" t="s">
        <v>239</v>
      </c>
      <c r="S121" t="s">
        <v>274</v>
      </c>
      <c r="T121" t="s">
        <v>292</v>
      </c>
      <c r="U121" t="s">
        <v>11382</v>
      </c>
      <c r="V121" t="s">
        <v>2193</v>
      </c>
      <c r="W121" t="s">
        <v>627</v>
      </c>
      <c r="Y121" t="s">
        <v>11381</v>
      </c>
      <c r="Z121" t="str">
        <f>"01132 569228"</f>
        <v>01132 569228</v>
      </c>
      <c r="AA121" t="str">
        <f>"07484608805"</f>
        <v>07484608805</v>
      </c>
      <c r="AB121" t="s">
        <v>868</v>
      </c>
      <c r="AC121" t="s">
        <v>11380</v>
      </c>
      <c r="AD121" t="s">
        <v>114</v>
      </c>
      <c r="AE121" s="63">
        <v>45249</v>
      </c>
      <c r="AF121" t="s">
        <v>113</v>
      </c>
      <c r="AG121" t="s">
        <v>112</v>
      </c>
      <c r="AH121" t="s">
        <v>112</v>
      </c>
      <c r="AI121" s="63">
        <v>37335</v>
      </c>
      <c r="AJ121" s="63">
        <v>45657</v>
      </c>
      <c r="AK121" t="s">
        <v>111</v>
      </c>
      <c r="AL121" t="s">
        <v>111</v>
      </c>
      <c r="AM121" t="s">
        <v>111</v>
      </c>
      <c r="AN121">
        <v>3321</v>
      </c>
      <c r="AO121" t="s">
        <v>110</v>
      </c>
      <c r="AP121" t="s">
        <v>109</v>
      </c>
    </row>
    <row r="122" spans="1:42" x14ac:dyDescent="0.25">
      <c r="A122" s="28" t="str">
        <f>"0174"</f>
        <v>0174</v>
      </c>
      <c r="B122">
        <v>174</v>
      </c>
      <c r="C122" t="s">
        <v>2488</v>
      </c>
      <c r="D122" t="s">
        <v>121</v>
      </c>
      <c r="F122" t="s">
        <v>120</v>
      </c>
      <c r="G122" t="s">
        <v>481</v>
      </c>
      <c r="H122" t="s">
        <v>2402</v>
      </c>
      <c r="I122" t="s">
        <v>2234</v>
      </c>
      <c r="J122" t="s">
        <v>7</v>
      </c>
      <c r="K122" s="63">
        <v>11747</v>
      </c>
      <c r="L122" s="28">
        <f>DATEDIF(K122,Zwift25!G$1,"Y")</f>
        <v>92</v>
      </c>
      <c r="M122" s="67">
        <f>IF(J122="m",VLOOKUP(L122,'All Solo Adjustments'!A:D,4,FALSE),VLOOKUP(L122,'All Solo Adjustments'!A:J,10,FALSE))</f>
        <v>2.0405092592592593E-2</v>
      </c>
      <c r="N122" s="63"/>
      <c r="O122" s="63"/>
      <c r="P122" s="63"/>
      <c r="Q122" s="63"/>
      <c r="R122" t="s">
        <v>198</v>
      </c>
      <c r="S122" t="s">
        <v>476</v>
      </c>
      <c r="T122" t="s">
        <v>292</v>
      </c>
      <c r="U122" t="s">
        <v>11379</v>
      </c>
      <c r="V122" t="s">
        <v>11378</v>
      </c>
      <c r="W122" t="s">
        <v>999</v>
      </c>
      <c r="X122" t="s">
        <v>196</v>
      </c>
      <c r="Y122" t="s">
        <v>11377</v>
      </c>
      <c r="Z122" t="str">
        <f>"01925 831201"</f>
        <v>01925 831201</v>
      </c>
      <c r="AA122" t="str">
        <f>""</f>
        <v/>
      </c>
      <c r="AB122" t="s">
        <v>618</v>
      </c>
      <c r="AC122" t="s">
        <v>11376</v>
      </c>
      <c r="AD122" t="s">
        <v>145</v>
      </c>
      <c r="AF122" t="s">
        <v>113</v>
      </c>
      <c r="AG122" t="s">
        <v>112</v>
      </c>
      <c r="AH122" t="s">
        <v>112</v>
      </c>
      <c r="AI122" s="63">
        <v>26407</v>
      </c>
      <c r="AK122" t="s">
        <v>111</v>
      </c>
      <c r="AL122" t="s">
        <v>111</v>
      </c>
      <c r="AM122" t="s">
        <v>111</v>
      </c>
      <c r="AN122" t="s">
        <v>105</v>
      </c>
      <c r="AO122" t="s">
        <v>110</v>
      </c>
      <c r="AP122" t="s">
        <v>109</v>
      </c>
    </row>
    <row r="123" spans="1:42" x14ac:dyDescent="0.25">
      <c r="A123" s="28" t="str">
        <f>"13943"</f>
        <v>13943</v>
      </c>
      <c r="B123">
        <v>13943</v>
      </c>
      <c r="C123" t="s">
        <v>2488</v>
      </c>
      <c r="D123" t="s">
        <v>121</v>
      </c>
      <c r="F123" t="s">
        <v>139</v>
      </c>
      <c r="G123" t="s">
        <v>973</v>
      </c>
      <c r="I123" t="s">
        <v>2234</v>
      </c>
      <c r="J123" t="s">
        <v>126</v>
      </c>
      <c r="K123" s="63">
        <v>16153</v>
      </c>
      <c r="L123" s="28">
        <f>DATEDIF(K123,Zwift25!G$1,"Y")</f>
        <v>80</v>
      </c>
      <c r="M123" s="67">
        <f>IF(J123="m",VLOOKUP(L123,'All Solo Adjustments'!A:D,4,FALSE),VLOOKUP(L123,'All Solo Adjustments'!A:J,10,FALSE))</f>
        <v>1.6828703703703703E-2</v>
      </c>
      <c r="N123" s="63"/>
      <c r="O123" s="63"/>
      <c r="P123" s="63"/>
      <c r="Q123" s="63"/>
      <c r="R123" t="s">
        <v>328</v>
      </c>
      <c r="S123" t="s">
        <v>2290</v>
      </c>
      <c r="T123" t="s">
        <v>292</v>
      </c>
      <c r="U123" t="s">
        <v>11375</v>
      </c>
      <c r="V123" t="s">
        <v>10236</v>
      </c>
      <c r="Y123" t="s">
        <v>11374</v>
      </c>
      <c r="Z123" t="str">
        <f>"01254 705537"</f>
        <v>01254 705537</v>
      </c>
      <c r="AA123" t="str">
        <f>""</f>
        <v/>
      </c>
      <c r="AB123" t="s">
        <v>290</v>
      </c>
      <c r="AC123" t="s">
        <v>11373</v>
      </c>
      <c r="AD123" t="s">
        <v>145</v>
      </c>
      <c r="AF123" t="s">
        <v>113</v>
      </c>
      <c r="AG123" t="s">
        <v>112</v>
      </c>
      <c r="AH123" t="s">
        <v>112</v>
      </c>
      <c r="AI123" s="63">
        <v>43462</v>
      </c>
      <c r="AK123" t="s">
        <v>112</v>
      </c>
      <c r="AL123" t="s">
        <v>112</v>
      </c>
      <c r="AM123" t="s">
        <v>112</v>
      </c>
      <c r="AN123" t="s">
        <v>105</v>
      </c>
      <c r="AO123" t="s">
        <v>122</v>
      </c>
      <c r="AP123" t="s">
        <v>122</v>
      </c>
    </row>
    <row r="124" spans="1:42" x14ac:dyDescent="0.25">
      <c r="A124" s="28" t="str">
        <f>"14335"</f>
        <v>14335</v>
      </c>
      <c r="B124">
        <v>14335</v>
      </c>
      <c r="C124" t="s">
        <v>2488</v>
      </c>
      <c r="D124" t="s">
        <v>121</v>
      </c>
      <c r="F124" t="s">
        <v>120</v>
      </c>
      <c r="G124" t="s">
        <v>1252</v>
      </c>
      <c r="H124" t="s">
        <v>11372</v>
      </c>
      <c r="I124" t="s">
        <v>2234</v>
      </c>
      <c r="J124" t="s">
        <v>7</v>
      </c>
      <c r="K124" s="63">
        <v>26332</v>
      </c>
      <c r="L124" s="28">
        <f>DATEDIF(K124,Zwift25!G$1,"Y")</f>
        <v>52</v>
      </c>
      <c r="M124" s="67">
        <f>IF(J124="m",VLOOKUP(L124,'All Solo Adjustments'!A:D,4,FALSE),VLOOKUP(L124,'All Solo Adjustments'!A:J,10,FALSE))</f>
        <v>1.4814814814814816E-3</v>
      </c>
      <c r="N124" s="63"/>
      <c r="O124" s="63"/>
      <c r="P124" s="63"/>
      <c r="Q124" s="63"/>
      <c r="R124" t="s">
        <v>383</v>
      </c>
      <c r="S124" t="s">
        <v>382</v>
      </c>
      <c r="T124" t="s">
        <v>292</v>
      </c>
      <c r="U124" t="s">
        <v>11371</v>
      </c>
      <c r="V124" t="s">
        <v>11370</v>
      </c>
      <c r="X124" t="s">
        <v>5807</v>
      </c>
      <c r="Y124" t="s">
        <v>11369</v>
      </c>
      <c r="Z124" t="str">
        <f>"07799761582"</f>
        <v>07799761582</v>
      </c>
      <c r="AA124" t="str">
        <f>""</f>
        <v/>
      </c>
      <c r="AB124" t="s">
        <v>5455</v>
      </c>
      <c r="AC124" t="s">
        <v>11368</v>
      </c>
      <c r="AD124" t="s">
        <v>114</v>
      </c>
      <c r="AE124" s="63">
        <v>45298</v>
      </c>
      <c r="AF124" t="s">
        <v>156</v>
      </c>
      <c r="AG124" t="s">
        <v>112</v>
      </c>
      <c r="AH124" t="s">
        <v>112</v>
      </c>
      <c r="AI124" s="63">
        <v>43683</v>
      </c>
      <c r="AJ124" s="63">
        <v>45657</v>
      </c>
      <c r="AK124" t="s">
        <v>112</v>
      </c>
      <c r="AL124" t="s">
        <v>111</v>
      </c>
      <c r="AM124" t="s">
        <v>111</v>
      </c>
      <c r="AN124">
        <v>31130</v>
      </c>
      <c r="AO124" t="s">
        <v>110</v>
      </c>
      <c r="AP124" t="s">
        <v>109</v>
      </c>
    </row>
    <row r="125" spans="1:42" x14ac:dyDescent="0.25">
      <c r="A125" s="28" t="str">
        <f>"15168"</f>
        <v>15168</v>
      </c>
      <c r="B125">
        <v>15168</v>
      </c>
      <c r="C125" t="s">
        <v>2488</v>
      </c>
      <c r="D125" t="s">
        <v>121</v>
      </c>
      <c r="F125" t="s">
        <v>120</v>
      </c>
      <c r="G125" t="s">
        <v>11367</v>
      </c>
      <c r="H125" t="s">
        <v>1410</v>
      </c>
      <c r="I125" t="s">
        <v>2234</v>
      </c>
      <c r="J125" t="s">
        <v>7</v>
      </c>
      <c r="K125" s="63">
        <v>26428</v>
      </c>
      <c r="L125" s="28">
        <f>DATEDIF(K125,Zwift25!G$1,"Y")</f>
        <v>52</v>
      </c>
      <c r="M125" s="67">
        <f>IF(J125="m",VLOOKUP(L125,'All Solo Adjustments'!A:D,4,FALSE),VLOOKUP(L125,'All Solo Adjustments'!A:J,10,FALSE))</f>
        <v>1.4814814814814816E-3</v>
      </c>
      <c r="N125" s="63"/>
      <c r="O125" s="63"/>
      <c r="P125" s="63"/>
      <c r="Q125" s="63"/>
      <c r="R125" t="s">
        <v>143</v>
      </c>
      <c r="S125" t="s">
        <v>142</v>
      </c>
      <c r="T125" t="s">
        <v>292</v>
      </c>
      <c r="U125" t="s">
        <v>11366</v>
      </c>
      <c r="V125" t="s">
        <v>909</v>
      </c>
      <c r="W125" t="s">
        <v>1429</v>
      </c>
      <c r="Y125" t="s">
        <v>11365</v>
      </c>
      <c r="Z125" t="str">
        <f>"07712 893691"</f>
        <v>07712 893691</v>
      </c>
      <c r="AA125" t="str">
        <f>""</f>
        <v/>
      </c>
      <c r="AB125" t="s">
        <v>6721</v>
      </c>
      <c r="AC125" t="s">
        <v>11364</v>
      </c>
      <c r="AD125" t="s">
        <v>114</v>
      </c>
      <c r="AE125" s="63">
        <v>45292</v>
      </c>
      <c r="AF125" t="s">
        <v>156</v>
      </c>
      <c r="AG125" t="s">
        <v>112</v>
      </c>
      <c r="AH125" t="s">
        <v>112</v>
      </c>
      <c r="AI125" s="63">
        <v>44387</v>
      </c>
      <c r="AJ125" s="63">
        <v>45657</v>
      </c>
      <c r="AK125" t="s">
        <v>112</v>
      </c>
      <c r="AL125" t="s">
        <v>111</v>
      </c>
      <c r="AM125" t="s">
        <v>112</v>
      </c>
      <c r="AN125">
        <v>35216</v>
      </c>
      <c r="AO125" t="s">
        <v>110</v>
      </c>
      <c r="AP125" t="s">
        <v>109</v>
      </c>
    </row>
    <row r="126" spans="1:42" x14ac:dyDescent="0.25">
      <c r="A126" s="28" t="str">
        <f>"16105"</f>
        <v>16105</v>
      </c>
      <c r="B126">
        <v>16105</v>
      </c>
      <c r="C126" t="s">
        <v>2488</v>
      </c>
      <c r="D126" t="s">
        <v>121</v>
      </c>
      <c r="F126" t="s">
        <v>120</v>
      </c>
      <c r="G126" t="s">
        <v>481</v>
      </c>
      <c r="I126" t="s">
        <v>2234</v>
      </c>
      <c r="J126" t="s">
        <v>7</v>
      </c>
      <c r="K126" s="63">
        <v>26151</v>
      </c>
      <c r="L126" s="28">
        <f>DATEDIF(K126,Zwift25!G$1,"Y")</f>
        <v>53</v>
      </c>
      <c r="M126" s="67">
        <f>IF(J126="m",VLOOKUP(L126,'All Solo Adjustments'!A:D,4,FALSE),VLOOKUP(L126,'All Solo Adjustments'!A:J,10,FALSE))</f>
        <v>1.6666666666666668E-3</v>
      </c>
      <c r="N126" s="63"/>
      <c r="O126" s="63"/>
      <c r="P126" s="63"/>
      <c r="Q126" s="63"/>
      <c r="R126" t="s">
        <v>180</v>
      </c>
      <c r="S126" t="s">
        <v>179</v>
      </c>
      <c r="T126" t="s">
        <v>292</v>
      </c>
      <c r="U126" t="s">
        <v>11363</v>
      </c>
      <c r="V126" t="s">
        <v>11362</v>
      </c>
      <c r="W126" t="s">
        <v>11361</v>
      </c>
      <c r="X126" t="s">
        <v>260</v>
      </c>
      <c r="Y126" t="s">
        <v>11360</v>
      </c>
      <c r="Z126" t="str">
        <f>"07812754489"</f>
        <v>07812754489</v>
      </c>
      <c r="AA126" t="str">
        <f>""</f>
        <v/>
      </c>
      <c r="AB126" t="s">
        <v>1623</v>
      </c>
      <c r="AC126" t="s">
        <v>11359</v>
      </c>
      <c r="AD126" t="s">
        <v>114</v>
      </c>
      <c r="AE126" s="63">
        <v>45398</v>
      </c>
      <c r="AF126" t="s">
        <v>156</v>
      </c>
      <c r="AG126" t="s">
        <v>112</v>
      </c>
      <c r="AH126" t="s">
        <v>112</v>
      </c>
      <c r="AI126" s="63">
        <v>45398</v>
      </c>
      <c r="AJ126" s="63">
        <v>45657</v>
      </c>
      <c r="AK126" t="s">
        <v>112</v>
      </c>
      <c r="AL126" t="s">
        <v>111</v>
      </c>
      <c r="AM126" t="s">
        <v>111</v>
      </c>
      <c r="AN126">
        <v>26028</v>
      </c>
      <c r="AO126" t="s">
        <v>110</v>
      </c>
      <c r="AP126" t="s">
        <v>109</v>
      </c>
    </row>
    <row r="127" spans="1:42" x14ac:dyDescent="0.25">
      <c r="A127" s="28" t="str">
        <f>"15835"</f>
        <v>15835</v>
      </c>
      <c r="B127">
        <v>15835</v>
      </c>
      <c r="C127" t="s">
        <v>2488</v>
      </c>
      <c r="D127" t="s">
        <v>121</v>
      </c>
      <c r="F127" t="s">
        <v>120</v>
      </c>
      <c r="G127" t="s">
        <v>546</v>
      </c>
      <c r="H127" t="s">
        <v>1126</v>
      </c>
      <c r="I127" t="s">
        <v>1335</v>
      </c>
      <c r="J127" t="s">
        <v>7</v>
      </c>
      <c r="K127" s="63">
        <v>26980</v>
      </c>
      <c r="L127" s="28">
        <f>DATEDIF(K127,Zwift25!G$1,"Y")</f>
        <v>50</v>
      </c>
      <c r="M127" s="67">
        <f>IF(J127="m",VLOOKUP(L127,'All Solo Adjustments'!A:D,4,FALSE),VLOOKUP(L127,'All Solo Adjustments'!A:J,10,FALSE))</f>
        <v>1.1342592592592591E-3</v>
      </c>
      <c r="N127" s="63"/>
      <c r="O127" s="63"/>
      <c r="P127" s="63"/>
      <c r="Q127" s="63"/>
      <c r="R127" t="s">
        <v>296</v>
      </c>
      <c r="S127" t="s">
        <v>295</v>
      </c>
      <c r="T127" t="s">
        <v>292</v>
      </c>
      <c r="U127" t="s">
        <v>11358</v>
      </c>
      <c r="W127" t="s">
        <v>1954</v>
      </c>
      <c r="X127" t="s">
        <v>2034</v>
      </c>
      <c r="Y127" t="s">
        <v>11357</v>
      </c>
      <c r="Z127" t="str">
        <f>"07966526449"</f>
        <v>07966526449</v>
      </c>
      <c r="AA127" t="str">
        <f>""</f>
        <v/>
      </c>
      <c r="AB127" t="s">
        <v>11356</v>
      </c>
      <c r="AC127" t="s">
        <v>11355</v>
      </c>
      <c r="AD127" t="s">
        <v>114</v>
      </c>
      <c r="AE127" s="63">
        <v>45270</v>
      </c>
      <c r="AF127" t="s">
        <v>156</v>
      </c>
      <c r="AG127" t="s">
        <v>112</v>
      </c>
      <c r="AH127" t="s">
        <v>112</v>
      </c>
      <c r="AI127" s="63">
        <v>45071</v>
      </c>
      <c r="AJ127" s="63">
        <v>45657</v>
      </c>
      <c r="AK127" t="s">
        <v>112</v>
      </c>
      <c r="AL127" t="s">
        <v>111</v>
      </c>
      <c r="AM127" t="s">
        <v>111</v>
      </c>
      <c r="AN127">
        <v>43082</v>
      </c>
      <c r="AO127" t="s">
        <v>110</v>
      </c>
      <c r="AP127" t="s">
        <v>109</v>
      </c>
    </row>
    <row r="128" spans="1:42" x14ac:dyDescent="0.25">
      <c r="A128" s="28" t="str">
        <f>"5312"</f>
        <v>5312</v>
      </c>
      <c r="B128">
        <v>5312</v>
      </c>
      <c r="C128" t="s">
        <v>2488</v>
      </c>
      <c r="D128" t="s">
        <v>121</v>
      </c>
      <c r="F128" t="s">
        <v>403</v>
      </c>
      <c r="G128" t="s">
        <v>195</v>
      </c>
      <c r="H128" t="s">
        <v>1770</v>
      </c>
      <c r="I128" t="s">
        <v>957</v>
      </c>
      <c r="J128" t="s">
        <v>7</v>
      </c>
      <c r="K128" s="63">
        <v>25066</v>
      </c>
      <c r="L128" s="28">
        <f>DATEDIF(K128,Zwift25!G$1,"Y")</f>
        <v>56</v>
      </c>
      <c r="M128" s="67">
        <f>IF(J128="m",VLOOKUP(L128,'All Solo Adjustments'!A:D,4,FALSE),VLOOKUP(L128,'All Solo Adjustments'!A:J,10,FALSE))</f>
        <v>2.2685185185185182E-3</v>
      </c>
      <c r="N128" s="63"/>
      <c r="O128" s="63"/>
      <c r="P128" s="63"/>
      <c r="Q128" s="63"/>
      <c r="R128" t="s">
        <v>184</v>
      </c>
      <c r="S128" t="s">
        <v>183</v>
      </c>
      <c r="T128" t="s">
        <v>292</v>
      </c>
      <c r="U128" t="s">
        <v>11354</v>
      </c>
      <c r="V128" t="s">
        <v>11353</v>
      </c>
      <c r="Y128" t="s">
        <v>11352</v>
      </c>
      <c r="Z128" t="str">
        <f>"07946 433018"</f>
        <v>07946 433018</v>
      </c>
      <c r="AA128" t="str">
        <f>""</f>
        <v/>
      </c>
      <c r="AB128" t="s">
        <v>1863</v>
      </c>
      <c r="AC128" t="s">
        <v>11351</v>
      </c>
      <c r="AD128" t="s">
        <v>114</v>
      </c>
      <c r="AE128" s="63">
        <v>45264</v>
      </c>
      <c r="AF128" t="s">
        <v>156</v>
      </c>
      <c r="AG128" t="s">
        <v>112</v>
      </c>
      <c r="AH128" t="s">
        <v>112</v>
      </c>
      <c r="AI128" s="63">
        <v>41749</v>
      </c>
      <c r="AJ128" s="63">
        <v>45657</v>
      </c>
      <c r="AK128" t="s">
        <v>111</v>
      </c>
      <c r="AL128" t="s">
        <v>111</v>
      </c>
      <c r="AM128" t="s">
        <v>111</v>
      </c>
      <c r="AN128">
        <v>2332</v>
      </c>
      <c r="AO128" t="s">
        <v>110</v>
      </c>
      <c r="AP128" t="s">
        <v>109</v>
      </c>
    </row>
    <row r="129" spans="1:42" x14ac:dyDescent="0.25">
      <c r="A129" s="28" t="str">
        <f>"5153"</f>
        <v>5153</v>
      </c>
      <c r="B129">
        <v>5153</v>
      </c>
      <c r="C129" t="s">
        <v>2488</v>
      </c>
      <c r="D129" t="s">
        <v>121</v>
      </c>
      <c r="F129" t="s">
        <v>120</v>
      </c>
      <c r="G129" t="s">
        <v>164</v>
      </c>
      <c r="H129" t="s">
        <v>705</v>
      </c>
      <c r="I129" t="s">
        <v>957</v>
      </c>
      <c r="J129" t="s">
        <v>7</v>
      </c>
      <c r="K129" s="63">
        <v>25697</v>
      </c>
      <c r="L129" s="28">
        <f>DATEDIF(K129,Zwift25!G$1,"Y")</f>
        <v>54</v>
      </c>
      <c r="M129" s="67">
        <f>IF(J129="m",VLOOKUP(L129,'All Solo Adjustments'!A:D,4,FALSE),VLOOKUP(L129,'All Solo Adjustments'!A:J,10,FALSE))</f>
        <v>1.8518518518518517E-3</v>
      </c>
      <c r="N129" s="63"/>
      <c r="O129" s="63"/>
      <c r="P129" s="63"/>
      <c r="Q129" s="63"/>
      <c r="R129" t="s">
        <v>184</v>
      </c>
      <c r="S129" t="s">
        <v>183</v>
      </c>
      <c r="T129" t="s">
        <v>292</v>
      </c>
      <c r="U129" t="s">
        <v>11350</v>
      </c>
      <c r="V129" t="s">
        <v>674</v>
      </c>
      <c r="Y129" t="s">
        <v>11349</v>
      </c>
      <c r="Z129" t="str">
        <f>"07884 111246"</f>
        <v>07884 111246</v>
      </c>
      <c r="AA129" t="str">
        <f>""</f>
        <v/>
      </c>
      <c r="AB129" t="s">
        <v>1363</v>
      </c>
      <c r="AC129" t="s">
        <v>11348</v>
      </c>
      <c r="AD129" t="s">
        <v>145</v>
      </c>
      <c r="AE129" s="63">
        <v>45380</v>
      </c>
      <c r="AF129" t="s">
        <v>156</v>
      </c>
      <c r="AG129" t="s">
        <v>112</v>
      </c>
      <c r="AH129" t="s">
        <v>112</v>
      </c>
      <c r="AI129" s="63">
        <v>41791</v>
      </c>
      <c r="AJ129" s="63">
        <v>45657</v>
      </c>
      <c r="AK129" t="s">
        <v>111</v>
      </c>
      <c r="AL129" t="s">
        <v>111</v>
      </c>
      <c r="AM129" t="s">
        <v>111</v>
      </c>
      <c r="AN129" t="s">
        <v>105</v>
      </c>
      <c r="AO129" t="s">
        <v>110</v>
      </c>
      <c r="AP129" t="s">
        <v>109</v>
      </c>
    </row>
    <row r="130" spans="1:42" x14ac:dyDescent="0.25">
      <c r="A130" s="28" t="str">
        <f>"15311"</f>
        <v>15311</v>
      </c>
      <c r="B130">
        <v>15311</v>
      </c>
      <c r="C130" t="s">
        <v>2488</v>
      </c>
      <c r="D130" t="s">
        <v>121</v>
      </c>
      <c r="F130" t="s">
        <v>120</v>
      </c>
      <c r="G130" t="s">
        <v>958</v>
      </c>
      <c r="H130" t="s">
        <v>284</v>
      </c>
      <c r="I130" t="s">
        <v>957</v>
      </c>
      <c r="J130" t="s">
        <v>7</v>
      </c>
      <c r="K130" s="63">
        <v>25678</v>
      </c>
      <c r="L130" s="28">
        <f>DATEDIF(K130,Zwift25!G$1,"Y")</f>
        <v>54</v>
      </c>
      <c r="M130" s="67">
        <f>IF(J130="m",VLOOKUP(L130,'All Solo Adjustments'!A:D,4,FALSE),VLOOKUP(L130,'All Solo Adjustments'!A:J,10,FALSE))</f>
        <v>1.8518518518518517E-3</v>
      </c>
      <c r="N130" s="63"/>
      <c r="O130" s="63"/>
      <c r="P130" s="63"/>
      <c r="Q130" s="63"/>
      <c r="R130" t="s">
        <v>125</v>
      </c>
      <c r="S130" t="s">
        <v>170</v>
      </c>
      <c r="T130" t="s">
        <v>292</v>
      </c>
      <c r="U130" t="s">
        <v>956</v>
      </c>
      <c r="V130" t="s">
        <v>955</v>
      </c>
      <c r="W130" t="s">
        <v>435</v>
      </c>
      <c r="X130" t="s">
        <v>201</v>
      </c>
      <c r="Y130" t="s">
        <v>954</v>
      </c>
      <c r="Z130" t="str">
        <f>"07815555465"</f>
        <v>07815555465</v>
      </c>
      <c r="AA130" t="str">
        <f>""</f>
        <v/>
      </c>
      <c r="AB130" t="s">
        <v>434</v>
      </c>
      <c r="AC130" t="s">
        <v>2233</v>
      </c>
      <c r="AD130" t="s">
        <v>114</v>
      </c>
      <c r="AE130" s="63">
        <v>45262</v>
      </c>
      <c r="AF130" t="s">
        <v>156</v>
      </c>
      <c r="AG130" t="s">
        <v>112</v>
      </c>
      <c r="AH130" t="s">
        <v>112</v>
      </c>
      <c r="AI130" s="63">
        <v>44560</v>
      </c>
      <c r="AJ130" s="63">
        <v>45657</v>
      </c>
      <c r="AK130" t="s">
        <v>112</v>
      </c>
      <c r="AL130" t="s">
        <v>111</v>
      </c>
      <c r="AM130" t="s">
        <v>111</v>
      </c>
      <c r="AN130">
        <v>1682</v>
      </c>
      <c r="AO130" t="s">
        <v>110</v>
      </c>
      <c r="AP130" t="s">
        <v>109</v>
      </c>
    </row>
    <row r="131" spans="1:42" x14ac:dyDescent="0.25">
      <c r="A131" s="28" t="str">
        <f>"15586"</f>
        <v>15586</v>
      </c>
      <c r="B131">
        <v>15586</v>
      </c>
      <c r="C131" t="s">
        <v>2488</v>
      </c>
      <c r="D131" t="s">
        <v>121</v>
      </c>
      <c r="F131" t="s">
        <v>139</v>
      </c>
      <c r="G131" t="s">
        <v>455</v>
      </c>
      <c r="H131" t="s">
        <v>128</v>
      </c>
      <c r="I131" t="s">
        <v>957</v>
      </c>
      <c r="J131" t="s">
        <v>126</v>
      </c>
      <c r="K131" s="63">
        <v>25073</v>
      </c>
      <c r="L131" s="28">
        <f>DATEDIF(K131,Zwift25!G$1,"Y")</f>
        <v>56</v>
      </c>
      <c r="M131" s="67">
        <f>IF(J131="m",VLOOKUP(L131,'All Solo Adjustments'!A:D,4,FALSE),VLOOKUP(L131,'All Solo Adjustments'!A:J,10,FALSE))</f>
        <v>5.8564814814814807E-3</v>
      </c>
      <c r="N131" s="63"/>
      <c r="O131" s="63"/>
      <c r="P131" s="63"/>
      <c r="Q131" s="63"/>
      <c r="R131" t="s">
        <v>184</v>
      </c>
      <c r="S131" t="s">
        <v>183</v>
      </c>
      <c r="T131" t="s">
        <v>292</v>
      </c>
      <c r="U131" t="s">
        <v>11347</v>
      </c>
      <c r="V131" t="s">
        <v>167</v>
      </c>
      <c r="W131" t="s">
        <v>167</v>
      </c>
      <c r="Y131" t="s">
        <v>11346</v>
      </c>
      <c r="Z131" t="str">
        <f>"+447776134257"</f>
        <v>+447776134257</v>
      </c>
      <c r="AA131" t="str">
        <f>""</f>
        <v/>
      </c>
      <c r="AB131" t="s">
        <v>11345</v>
      </c>
      <c r="AC131" t="s">
        <v>11344</v>
      </c>
      <c r="AD131" t="s">
        <v>114</v>
      </c>
      <c r="AE131" s="63">
        <v>45263</v>
      </c>
      <c r="AF131" t="s">
        <v>156</v>
      </c>
      <c r="AG131" t="s">
        <v>112</v>
      </c>
      <c r="AH131" t="s">
        <v>112</v>
      </c>
      <c r="AI131" s="63">
        <v>44803</v>
      </c>
      <c r="AJ131" s="63">
        <v>45657</v>
      </c>
      <c r="AK131" t="s">
        <v>112</v>
      </c>
      <c r="AL131" t="s">
        <v>111</v>
      </c>
      <c r="AM131" t="s">
        <v>111</v>
      </c>
      <c r="AN131">
        <v>19785</v>
      </c>
      <c r="AO131" t="s">
        <v>122</v>
      </c>
      <c r="AP131" t="s">
        <v>122</v>
      </c>
    </row>
    <row r="132" spans="1:42" x14ac:dyDescent="0.25">
      <c r="A132" s="28" t="str">
        <f>"16030"</f>
        <v>16030</v>
      </c>
      <c r="B132">
        <v>16030</v>
      </c>
      <c r="C132" t="s">
        <v>2488</v>
      </c>
      <c r="D132" t="s">
        <v>121</v>
      </c>
      <c r="F132" t="s">
        <v>120</v>
      </c>
      <c r="G132" t="s">
        <v>492</v>
      </c>
      <c r="H132" t="s">
        <v>2344</v>
      </c>
      <c r="I132" t="s">
        <v>957</v>
      </c>
      <c r="J132" t="s">
        <v>7</v>
      </c>
      <c r="K132" s="63">
        <v>19093</v>
      </c>
      <c r="L132" s="28">
        <f>DATEDIF(K132,Zwift25!G$1,"Y")</f>
        <v>72</v>
      </c>
      <c r="M132" s="67">
        <f>IF(J132="m",VLOOKUP(L132,'All Solo Adjustments'!A:D,4,FALSE),VLOOKUP(L132,'All Solo Adjustments'!A:J,10,FALSE))</f>
        <v>7.129629629629629E-3</v>
      </c>
      <c r="N132" s="63"/>
      <c r="O132" s="63"/>
      <c r="P132" s="63"/>
      <c r="Q132" s="63"/>
      <c r="R132" t="s">
        <v>154</v>
      </c>
      <c r="S132" t="s">
        <v>153</v>
      </c>
      <c r="T132" t="s">
        <v>292</v>
      </c>
      <c r="U132" t="s">
        <v>11343</v>
      </c>
      <c r="V132" t="s">
        <v>11342</v>
      </c>
      <c r="W132" t="s">
        <v>11341</v>
      </c>
      <c r="Y132" t="s">
        <v>11340</v>
      </c>
      <c r="Z132" t="str">
        <f>"07917155104"</f>
        <v>07917155104</v>
      </c>
      <c r="AA132" t="str">
        <f>""</f>
        <v/>
      </c>
      <c r="AB132" t="s">
        <v>11339</v>
      </c>
      <c r="AC132" t="s">
        <v>11338</v>
      </c>
      <c r="AD132" t="s">
        <v>114</v>
      </c>
      <c r="AE132" s="63">
        <v>45337</v>
      </c>
      <c r="AF132" t="s">
        <v>156</v>
      </c>
      <c r="AG132" t="s">
        <v>112</v>
      </c>
      <c r="AH132" t="s">
        <v>112</v>
      </c>
      <c r="AI132" s="63">
        <v>45337</v>
      </c>
      <c r="AJ132" s="63">
        <v>45657</v>
      </c>
      <c r="AK132" t="s">
        <v>112</v>
      </c>
      <c r="AL132" t="s">
        <v>111</v>
      </c>
      <c r="AM132" t="s">
        <v>111</v>
      </c>
      <c r="AN132">
        <v>49672</v>
      </c>
      <c r="AO132" t="s">
        <v>110</v>
      </c>
      <c r="AP132" t="s">
        <v>109</v>
      </c>
    </row>
    <row r="133" spans="1:42" x14ac:dyDescent="0.25">
      <c r="A133" s="28" t="str">
        <f>"16078"</f>
        <v>16078</v>
      </c>
      <c r="B133">
        <v>16078</v>
      </c>
      <c r="C133" t="s">
        <v>2488</v>
      </c>
      <c r="D133" t="s">
        <v>121</v>
      </c>
      <c r="F133" t="s">
        <v>120</v>
      </c>
      <c r="G133" t="s">
        <v>11337</v>
      </c>
      <c r="H133" t="s">
        <v>11336</v>
      </c>
      <c r="I133" t="s">
        <v>11335</v>
      </c>
      <c r="J133" t="s">
        <v>7</v>
      </c>
      <c r="K133" s="63">
        <v>28492</v>
      </c>
      <c r="L133" s="28">
        <f>DATEDIF(K133,Zwift25!G$1,"Y")</f>
        <v>46</v>
      </c>
      <c r="M133" s="67">
        <f>IF(J133="m",VLOOKUP(L133,'All Solo Adjustments'!A:D,4,FALSE),VLOOKUP(L133,'All Solo Adjustments'!A:J,10,FALSE))</f>
        <v>5.6712962962962956E-4</v>
      </c>
      <c r="N133" s="63"/>
      <c r="O133" s="63"/>
      <c r="P133" s="63"/>
      <c r="Q133" s="63"/>
      <c r="R133" t="s">
        <v>283</v>
      </c>
      <c r="S133" t="s">
        <v>530</v>
      </c>
      <c r="T133" t="s">
        <v>292</v>
      </c>
      <c r="U133" t="s">
        <v>11334</v>
      </c>
      <c r="V133" t="s">
        <v>1346</v>
      </c>
      <c r="W133" t="s">
        <v>1346</v>
      </c>
      <c r="X133" t="s">
        <v>1606</v>
      </c>
      <c r="Y133" t="s">
        <v>11333</v>
      </c>
      <c r="Z133" t="str">
        <f>"+447761026566"</f>
        <v>+447761026566</v>
      </c>
      <c r="AA133" t="str">
        <f>""</f>
        <v/>
      </c>
      <c r="AB133" t="s">
        <v>3179</v>
      </c>
      <c r="AC133" t="s">
        <v>11332</v>
      </c>
      <c r="AD133" t="s">
        <v>114</v>
      </c>
      <c r="AE133" s="63">
        <v>45379</v>
      </c>
      <c r="AF133" t="s">
        <v>156</v>
      </c>
      <c r="AG133" t="s">
        <v>112</v>
      </c>
      <c r="AH133" t="s">
        <v>112</v>
      </c>
      <c r="AI133" s="63">
        <v>45379</v>
      </c>
      <c r="AJ133" s="63">
        <v>45657</v>
      </c>
      <c r="AK133" t="s">
        <v>112</v>
      </c>
      <c r="AL133" t="s">
        <v>111</v>
      </c>
      <c r="AM133" t="s">
        <v>111</v>
      </c>
      <c r="AN133">
        <v>31714</v>
      </c>
      <c r="AO133" t="s">
        <v>110</v>
      </c>
      <c r="AP133" t="s">
        <v>109</v>
      </c>
    </row>
    <row r="134" spans="1:42" x14ac:dyDescent="0.25">
      <c r="A134" s="28" t="str">
        <f>"16005"</f>
        <v>16005</v>
      </c>
      <c r="B134">
        <v>16005</v>
      </c>
      <c r="C134" t="s">
        <v>2488</v>
      </c>
      <c r="D134" t="s">
        <v>121</v>
      </c>
      <c r="E134" t="s">
        <v>584</v>
      </c>
      <c r="F134" t="s">
        <v>120</v>
      </c>
      <c r="G134" t="s">
        <v>11331</v>
      </c>
      <c r="I134" t="s">
        <v>9167</v>
      </c>
      <c r="J134" t="s">
        <v>7</v>
      </c>
      <c r="K134" s="63">
        <v>30676</v>
      </c>
      <c r="L134" s="28">
        <f>DATEDIF(K134,Zwift25!G$1,"Y")</f>
        <v>40</v>
      </c>
      <c r="M134" s="67">
        <f>IF(J134="m",VLOOKUP(L134,'All Solo Adjustments'!A:D,4,FALSE),VLOOKUP(L134,'All Solo Adjustments'!A:J,10,FALSE))</f>
        <v>0</v>
      </c>
      <c r="N134" s="63"/>
      <c r="O134" s="63"/>
      <c r="P134" s="63"/>
      <c r="Q134" s="63"/>
      <c r="R134" t="s">
        <v>239</v>
      </c>
      <c r="S134" t="s">
        <v>274</v>
      </c>
      <c r="T134" t="s">
        <v>292</v>
      </c>
      <c r="U134" t="s">
        <v>11330</v>
      </c>
      <c r="V134" t="s">
        <v>11329</v>
      </c>
      <c r="Y134" t="s">
        <v>11328</v>
      </c>
      <c r="Z134" t="str">
        <f>"07881228057"</f>
        <v>07881228057</v>
      </c>
      <c r="AA134" t="str">
        <f>""</f>
        <v/>
      </c>
      <c r="AB134" t="s">
        <v>11327</v>
      </c>
      <c r="AC134" t="s">
        <v>11326</v>
      </c>
      <c r="AD134" t="s">
        <v>114</v>
      </c>
      <c r="AE134" s="63">
        <v>45312</v>
      </c>
      <c r="AF134" t="s">
        <v>156</v>
      </c>
      <c r="AG134" t="s">
        <v>112</v>
      </c>
      <c r="AH134" t="s">
        <v>112</v>
      </c>
      <c r="AI134" s="63">
        <v>45312</v>
      </c>
      <c r="AJ134" s="63">
        <v>45657</v>
      </c>
      <c r="AK134" t="s">
        <v>112</v>
      </c>
      <c r="AL134" t="s">
        <v>111</v>
      </c>
      <c r="AM134" t="s">
        <v>111</v>
      </c>
      <c r="AN134">
        <v>9934</v>
      </c>
      <c r="AO134" t="s">
        <v>110</v>
      </c>
      <c r="AP134" t="s">
        <v>109</v>
      </c>
    </row>
    <row r="135" spans="1:42" x14ac:dyDescent="0.25">
      <c r="A135" s="28" t="str">
        <f>"14341"</f>
        <v>14341</v>
      </c>
      <c r="B135">
        <v>14341</v>
      </c>
      <c r="C135" t="s">
        <v>2488</v>
      </c>
      <c r="D135" t="s">
        <v>121</v>
      </c>
      <c r="E135" t="s">
        <v>584</v>
      </c>
      <c r="F135" t="s">
        <v>120</v>
      </c>
      <c r="G135" t="s">
        <v>231</v>
      </c>
      <c r="I135" t="s">
        <v>2229</v>
      </c>
      <c r="J135" t="s">
        <v>7</v>
      </c>
      <c r="K135" s="63">
        <v>21410</v>
      </c>
      <c r="L135" s="28">
        <f>DATEDIF(K135,Zwift25!G$1,"Y")</f>
        <v>66</v>
      </c>
      <c r="M135" s="67">
        <f>IF(J135="m",VLOOKUP(L135,'All Solo Adjustments'!A:D,4,FALSE),VLOOKUP(L135,'All Solo Adjustments'!A:J,10,FALSE))</f>
        <v>4.9421296296296297E-3</v>
      </c>
      <c r="N135" s="63"/>
      <c r="O135" s="63"/>
      <c r="P135" s="63"/>
      <c r="Q135" s="63"/>
      <c r="R135" t="s">
        <v>283</v>
      </c>
      <c r="S135" t="s">
        <v>530</v>
      </c>
      <c r="T135" t="s">
        <v>292</v>
      </c>
      <c r="U135" t="s">
        <v>11325</v>
      </c>
      <c r="V135" t="s">
        <v>1083</v>
      </c>
      <c r="W135" t="s">
        <v>1689</v>
      </c>
      <c r="Y135" t="s">
        <v>11324</v>
      </c>
      <c r="Z135" t="str">
        <f>"07940483004"</f>
        <v>07940483004</v>
      </c>
      <c r="AA135" t="str">
        <f>""</f>
        <v/>
      </c>
      <c r="AB135" t="s">
        <v>11323</v>
      </c>
      <c r="AC135" t="s">
        <v>11322</v>
      </c>
      <c r="AD135" t="s">
        <v>114</v>
      </c>
      <c r="AE135" s="63">
        <v>45360</v>
      </c>
      <c r="AF135" t="s">
        <v>156</v>
      </c>
      <c r="AG135" t="s">
        <v>112</v>
      </c>
      <c r="AH135" t="s">
        <v>112</v>
      </c>
      <c r="AI135" s="63">
        <v>43689</v>
      </c>
      <c r="AJ135" s="63">
        <v>45657</v>
      </c>
      <c r="AK135" t="s">
        <v>112</v>
      </c>
      <c r="AL135" t="s">
        <v>111</v>
      </c>
      <c r="AM135" t="s">
        <v>111</v>
      </c>
      <c r="AN135">
        <v>31724</v>
      </c>
      <c r="AO135" t="s">
        <v>110</v>
      </c>
      <c r="AP135" t="s">
        <v>109</v>
      </c>
    </row>
    <row r="136" spans="1:42" x14ac:dyDescent="0.25">
      <c r="A136" s="28" t="str">
        <f>"15054"</f>
        <v>15054</v>
      </c>
      <c r="B136">
        <v>15054</v>
      </c>
      <c r="C136" t="s">
        <v>2488</v>
      </c>
      <c r="D136" t="s">
        <v>121</v>
      </c>
      <c r="F136" t="s">
        <v>120</v>
      </c>
      <c r="G136" t="s">
        <v>164</v>
      </c>
      <c r="H136" t="s">
        <v>442</v>
      </c>
      <c r="I136" t="s">
        <v>2227</v>
      </c>
      <c r="J136" t="s">
        <v>7</v>
      </c>
      <c r="K136" s="63">
        <v>27265</v>
      </c>
      <c r="L136" s="28">
        <f>DATEDIF(K136,Zwift25!G$1,"Y")</f>
        <v>50</v>
      </c>
      <c r="M136" s="67">
        <f>IF(J136="m",VLOOKUP(L136,'All Solo Adjustments'!A:D,4,FALSE),VLOOKUP(L136,'All Solo Adjustments'!A:J,10,FALSE))</f>
        <v>1.1342592592592591E-3</v>
      </c>
      <c r="N136" s="63"/>
      <c r="O136" s="63"/>
      <c r="P136" s="63"/>
      <c r="Q136" s="63"/>
      <c r="R136" t="s">
        <v>184</v>
      </c>
      <c r="S136" t="s">
        <v>183</v>
      </c>
      <c r="T136" t="s">
        <v>292</v>
      </c>
      <c r="U136" t="s">
        <v>11321</v>
      </c>
      <c r="V136" t="s">
        <v>11320</v>
      </c>
      <c r="Y136" t="s">
        <v>11319</v>
      </c>
      <c r="Z136" t="str">
        <f>"07703439624"</f>
        <v>07703439624</v>
      </c>
      <c r="AA136" t="str">
        <f>""</f>
        <v/>
      </c>
      <c r="AB136" t="s">
        <v>1045</v>
      </c>
      <c r="AC136" t="s">
        <v>11318</v>
      </c>
      <c r="AD136" t="s">
        <v>114</v>
      </c>
      <c r="AE136" s="63">
        <v>45327</v>
      </c>
      <c r="AF136" t="s">
        <v>156</v>
      </c>
      <c r="AG136" t="s">
        <v>112</v>
      </c>
      <c r="AH136" t="s">
        <v>112</v>
      </c>
      <c r="AI136" s="63">
        <v>44320</v>
      </c>
      <c r="AJ136" s="63">
        <v>45657</v>
      </c>
      <c r="AK136" t="s">
        <v>112</v>
      </c>
      <c r="AL136" t="s">
        <v>111</v>
      </c>
      <c r="AM136" t="s">
        <v>111</v>
      </c>
      <c r="AN136">
        <v>34390</v>
      </c>
      <c r="AO136" t="s">
        <v>110</v>
      </c>
      <c r="AP136" t="s">
        <v>109</v>
      </c>
    </row>
    <row r="137" spans="1:42" x14ac:dyDescent="0.25">
      <c r="A137" s="28" t="str">
        <f>"11187"</f>
        <v>11187</v>
      </c>
      <c r="B137">
        <v>11187</v>
      </c>
      <c r="C137" t="s">
        <v>2488</v>
      </c>
      <c r="D137" t="s">
        <v>121</v>
      </c>
      <c r="F137" t="s">
        <v>120</v>
      </c>
      <c r="G137" t="s">
        <v>506</v>
      </c>
      <c r="I137" t="s">
        <v>2468</v>
      </c>
      <c r="J137" t="s">
        <v>7</v>
      </c>
      <c r="K137" s="63">
        <v>14921</v>
      </c>
      <c r="L137" s="28">
        <f>DATEDIF(K137,Zwift25!G$1,"Y")</f>
        <v>83</v>
      </c>
      <c r="M137" s="67">
        <f>IF(J137="m",VLOOKUP(L137,'All Solo Adjustments'!A:D,4,FALSE),VLOOKUP(L137,'All Solo Adjustments'!A:J,10,FALSE))</f>
        <v>1.2858796296296297E-2</v>
      </c>
      <c r="N137" s="63"/>
      <c r="O137" s="63"/>
      <c r="P137" s="63"/>
      <c r="Q137" s="63"/>
      <c r="R137" t="s">
        <v>296</v>
      </c>
      <c r="S137" t="s">
        <v>2310</v>
      </c>
      <c r="T137" t="s">
        <v>292</v>
      </c>
      <c r="U137" t="s">
        <v>2467</v>
      </c>
      <c r="V137" t="s">
        <v>2466</v>
      </c>
      <c r="W137" t="s">
        <v>2465</v>
      </c>
      <c r="X137" t="s">
        <v>794</v>
      </c>
      <c r="Y137" t="s">
        <v>2464</v>
      </c>
      <c r="Z137" t="str">
        <f>"01382 330217"</f>
        <v>01382 330217</v>
      </c>
      <c r="AA137" t="str">
        <f>""</f>
        <v/>
      </c>
      <c r="AB137" t="s">
        <v>1420</v>
      </c>
      <c r="AD137" t="s">
        <v>145</v>
      </c>
      <c r="AF137" t="s">
        <v>113</v>
      </c>
      <c r="AG137" t="s">
        <v>111</v>
      </c>
      <c r="AH137" t="s">
        <v>111</v>
      </c>
      <c r="AI137" s="63">
        <v>30443</v>
      </c>
      <c r="AK137" t="s">
        <v>111</v>
      </c>
      <c r="AL137" t="s">
        <v>111</v>
      </c>
      <c r="AM137" t="s">
        <v>111</v>
      </c>
      <c r="AN137">
        <v>24777</v>
      </c>
      <c r="AO137" t="s">
        <v>110</v>
      </c>
      <c r="AP137" t="s">
        <v>109</v>
      </c>
    </row>
    <row r="138" spans="1:42" x14ac:dyDescent="0.25">
      <c r="A138" s="28" t="str">
        <f>"15283"</f>
        <v>15283</v>
      </c>
      <c r="B138">
        <v>15283</v>
      </c>
      <c r="C138" t="s">
        <v>2488</v>
      </c>
      <c r="D138" t="s">
        <v>121</v>
      </c>
      <c r="F138" t="s">
        <v>120</v>
      </c>
      <c r="G138" t="s">
        <v>2230</v>
      </c>
      <c r="I138" t="s">
        <v>11317</v>
      </c>
      <c r="J138" t="s">
        <v>7</v>
      </c>
      <c r="K138" s="63">
        <v>18728</v>
      </c>
      <c r="L138" s="28">
        <f>DATEDIF(K138,Zwift25!G$1,"Y")</f>
        <v>73</v>
      </c>
      <c r="M138" s="67">
        <f>IF(J138="m",VLOOKUP(L138,'All Solo Adjustments'!A:D,4,FALSE),VLOOKUP(L138,'All Solo Adjustments'!A:J,10,FALSE))</f>
        <v>7.5462962962962966E-3</v>
      </c>
      <c r="N138" s="63"/>
      <c r="O138" s="63"/>
      <c r="P138" s="63"/>
      <c r="Q138" s="63"/>
      <c r="R138" t="s">
        <v>118</v>
      </c>
      <c r="S138" t="s">
        <v>117</v>
      </c>
      <c r="T138" t="s">
        <v>292</v>
      </c>
      <c r="U138" t="s">
        <v>11316</v>
      </c>
      <c r="V138" t="s">
        <v>1962</v>
      </c>
      <c r="W138" t="s">
        <v>968</v>
      </c>
      <c r="Y138" t="s">
        <v>11315</v>
      </c>
      <c r="Z138" t="str">
        <f>"07505534975"</f>
        <v>07505534975</v>
      </c>
      <c r="AA138" t="str">
        <f>""</f>
        <v/>
      </c>
      <c r="AB138" t="s">
        <v>1019</v>
      </c>
      <c r="AC138" t="s">
        <v>11314</v>
      </c>
      <c r="AD138" t="s">
        <v>114</v>
      </c>
      <c r="AE138" s="63">
        <v>45262</v>
      </c>
      <c r="AF138" t="s">
        <v>156</v>
      </c>
      <c r="AG138" t="s">
        <v>112</v>
      </c>
      <c r="AH138" t="s">
        <v>112</v>
      </c>
      <c r="AI138" s="63">
        <v>44504</v>
      </c>
      <c r="AJ138" s="63">
        <v>45657</v>
      </c>
      <c r="AK138" t="s">
        <v>112</v>
      </c>
      <c r="AL138" t="s">
        <v>111</v>
      </c>
      <c r="AM138" t="s">
        <v>111</v>
      </c>
      <c r="AN138">
        <v>19333</v>
      </c>
      <c r="AO138" t="s">
        <v>110</v>
      </c>
      <c r="AP138" t="s">
        <v>109</v>
      </c>
    </row>
    <row r="139" spans="1:42" x14ac:dyDescent="0.25">
      <c r="A139" s="28" t="str">
        <f>"5405"</f>
        <v>5405</v>
      </c>
      <c r="B139">
        <v>5405</v>
      </c>
      <c r="C139" t="s">
        <v>2488</v>
      </c>
      <c r="D139" t="s">
        <v>121</v>
      </c>
      <c r="E139" t="s">
        <v>584</v>
      </c>
      <c r="F139" t="s">
        <v>139</v>
      </c>
      <c r="G139" t="s">
        <v>307</v>
      </c>
      <c r="I139" t="s">
        <v>11313</v>
      </c>
      <c r="J139" t="s">
        <v>126</v>
      </c>
      <c r="K139" s="63">
        <v>27480</v>
      </c>
      <c r="L139" s="28">
        <f>DATEDIF(K139,Zwift25!G$1,"Y")</f>
        <v>49</v>
      </c>
      <c r="M139" s="67">
        <f>IF(J139="m",VLOOKUP(L139,'All Solo Adjustments'!A:D,4,FALSE),VLOOKUP(L139,'All Solo Adjustments'!A:J,10,FALSE))</f>
        <v>4.8842592592592592E-3</v>
      </c>
      <c r="N139" s="63"/>
      <c r="O139" s="63"/>
      <c r="P139" s="63"/>
      <c r="Q139" s="63"/>
      <c r="R139" t="s">
        <v>283</v>
      </c>
      <c r="S139" t="s">
        <v>530</v>
      </c>
      <c r="T139" t="s">
        <v>292</v>
      </c>
      <c r="U139" t="s">
        <v>11312</v>
      </c>
      <c r="V139" t="s">
        <v>4200</v>
      </c>
      <c r="W139" t="s">
        <v>11311</v>
      </c>
      <c r="X139" t="s">
        <v>1061</v>
      </c>
      <c r="Y139" t="s">
        <v>11310</v>
      </c>
      <c r="Z139" t="str">
        <f>"07887 846665"</f>
        <v>07887 846665</v>
      </c>
      <c r="AA139" t="str">
        <f>""</f>
        <v/>
      </c>
      <c r="AB139" t="s">
        <v>1828</v>
      </c>
      <c r="AC139" t="s">
        <v>11309</v>
      </c>
      <c r="AD139" t="s">
        <v>114</v>
      </c>
      <c r="AE139" s="63">
        <v>45351</v>
      </c>
      <c r="AF139" t="s">
        <v>156</v>
      </c>
      <c r="AG139" t="s">
        <v>112</v>
      </c>
      <c r="AH139" t="s">
        <v>112</v>
      </c>
      <c r="AI139" s="63">
        <v>42104</v>
      </c>
      <c r="AJ139" s="63">
        <v>45657</v>
      </c>
      <c r="AK139" t="s">
        <v>111</v>
      </c>
      <c r="AL139" t="s">
        <v>111</v>
      </c>
      <c r="AM139" t="s">
        <v>111</v>
      </c>
      <c r="AN139">
        <v>5664</v>
      </c>
      <c r="AO139" t="s">
        <v>122</v>
      </c>
      <c r="AP139" t="s">
        <v>122</v>
      </c>
    </row>
    <row r="140" spans="1:42" x14ac:dyDescent="0.25">
      <c r="A140" s="28" t="str">
        <f>"3873"</f>
        <v>3873</v>
      </c>
      <c r="B140">
        <v>3873</v>
      </c>
      <c r="C140" t="s">
        <v>2488</v>
      </c>
      <c r="D140" t="s">
        <v>121</v>
      </c>
      <c r="F140" t="s">
        <v>120</v>
      </c>
      <c r="G140" t="s">
        <v>300</v>
      </c>
      <c r="H140" t="s">
        <v>164</v>
      </c>
      <c r="I140" t="s">
        <v>11308</v>
      </c>
      <c r="J140" t="s">
        <v>7</v>
      </c>
      <c r="K140" s="63">
        <v>23328</v>
      </c>
      <c r="L140" s="28">
        <f>DATEDIF(K140,Zwift25!G$1,"Y")</f>
        <v>60</v>
      </c>
      <c r="M140" s="67">
        <f>IF(J140="m",VLOOKUP(L140,'All Solo Adjustments'!A:D,4,FALSE),VLOOKUP(L140,'All Solo Adjustments'!A:J,10,FALSE))</f>
        <v>3.2060185185185186E-3</v>
      </c>
      <c r="N140" s="63"/>
      <c r="O140" s="63"/>
      <c r="P140" s="63"/>
      <c r="Q140" s="63"/>
      <c r="R140" t="s">
        <v>125</v>
      </c>
      <c r="S140" t="s">
        <v>170</v>
      </c>
      <c r="T140" t="s">
        <v>292</v>
      </c>
      <c r="U140" t="s">
        <v>11307</v>
      </c>
      <c r="X140" t="s">
        <v>167</v>
      </c>
      <c r="Y140" t="s">
        <v>11306</v>
      </c>
      <c r="Z140" t="str">
        <f>"02072269489"</f>
        <v>02072269489</v>
      </c>
      <c r="AA140" t="str">
        <f>"07885027332"</f>
        <v>07885027332</v>
      </c>
      <c r="AB140" t="s">
        <v>923</v>
      </c>
      <c r="AC140" t="s">
        <v>11305</v>
      </c>
      <c r="AD140" t="s">
        <v>114</v>
      </c>
      <c r="AE140" s="63">
        <v>45267</v>
      </c>
      <c r="AF140" t="s">
        <v>156</v>
      </c>
      <c r="AG140" t="s">
        <v>112</v>
      </c>
      <c r="AH140" t="s">
        <v>112</v>
      </c>
      <c r="AI140" s="63">
        <v>40248</v>
      </c>
      <c r="AJ140" s="63">
        <v>45657</v>
      </c>
      <c r="AK140" t="s">
        <v>111</v>
      </c>
      <c r="AL140" t="s">
        <v>111</v>
      </c>
      <c r="AM140" t="s">
        <v>111</v>
      </c>
      <c r="AN140">
        <v>4626</v>
      </c>
      <c r="AO140" t="s">
        <v>110</v>
      </c>
      <c r="AP140" t="s">
        <v>109</v>
      </c>
    </row>
    <row r="141" spans="1:42" x14ac:dyDescent="0.25">
      <c r="A141" s="28" t="str">
        <f>"10007"</f>
        <v>10007</v>
      </c>
      <c r="B141">
        <v>10007</v>
      </c>
      <c r="C141" t="s">
        <v>2488</v>
      </c>
      <c r="D141" t="s">
        <v>132</v>
      </c>
      <c r="F141" t="s">
        <v>149</v>
      </c>
      <c r="G141" t="s">
        <v>2427</v>
      </c>
      <c r="H141" t="s">
        <v>128</v>
      </c>
      <c r="I141" t="s">
        <v>2096</v>
      </c>
      <c r="J141" t="s">
        <v>126</v>
      </c>
      <c r="K141" s="63">
        <v>25189</v>
      </c>
      <c r="L141" s="28">
        <f>DATEDIF(K141,Zwift25!G$1,"Y")</f>
        <v>55</v>
      </c>
      <c r="M141" s="67">
        <f>IF(J141="m",VLOOKUP(L141,'All Solo Adjustments'!A:D,4,FALSE),VLOOKUP(L141,'All Solo Adjustments'!A:J,10,FALSE))</f>
        <v>5.6597222222222222E-3</v>
      </c>
      <c r="N141" s="63"/>
      <c r="O141" s="63"/>
      <c r="P141" s="63"/>
      <c r="Q141" s="63"/>
      <c r="R141" t="s">
        <v>283</v>
      </c>
      <c r="S141" t="s">
        <v>282</v>
      </c>
      <c r="T141" t="s">
        <v>292</v>
      </c>
      <c r="U141" t="s">
        <v>11304</v>
      </c>
      <c r="V141" t="s">
        <v>2024</v>
      </c>
      <c r="W141" t="s">
        <v>2024</v>
      </c>
      <c r="Y141" t="s">
        <v>11303</v>
      </c>
      <c r="Z141" t="str">
        <f>"07415260106"</f>
        <v>07415260106</v>
      </c>
      <c r="AA141" t="str">
        <f>""</f>
        <v/>
      </c>
      <c r="AB141" t="s">
        <v>626</v>
      </c>
      <c r="AC141" t="s">
        <v>11302</v>
      </c>
      <c r="AD141" t="s">
        <v>114</v>
      </c>
      <c r="AE141" s="63">
        <v>45384</v>
      </c>
      <c r="AF141" t="s">
        <v>156</v>
      </c>
      <c r="AG141" t="s">
        <v>112</v>
      </c>
      <c r="AH141" t="s">
        <v>112</v>
      </c>
      <c r="AI141" s="63">
        <v>41771</v>
      </c>
      <c r="AJ141" s="63">
        <v>45657</v>
      </c>
      <c r="AK141" t="s">
        <v>111</v>
      </c>
      <c r="AL141" t="s">
        <v>111</v>
      </c>
      <c r="AM141" t="s">
        <v>111</v>
      </c>
      <c r="AN141">
        <v>119</v>
      </c>
      <c r="AO141" t="s">
        <v>122</v>
      </c>
      <c r="AP141" t="s">
        <v>122</v>
      </c>
    </row>
    <row r="142" spans="1:42" x14ac:dyDescent="0.25">
      <c r="A142" s="28" t="str">
        <f>"15403"</f>
        <v>15403</v>
      </c>
      <c r="B142">
        <v>15403</v>
      </c>
      <c r="C142" t="s">
        <v>2488</v>
      </c>
      <c r="D142" t="s">
        <v>130</v>
      </c>
      <c r="E142" t="s">
        <v>584</v>
      </c>
      <c r="F142" t="s">
        <v>120</v>
      </c>
      <c r="G142" t="s">
        <v>285</v>
      </c>
      <c r="I142" t="s">
        <v>2096</v>
      </c>
      <c r="J142" t="s">
        <v>7</v>
      </c>
      <c r="K142" s="63">
        <v>27409</v>
      </c>
      <c r="L142" s="28">
        <f>DATEDIF(K142,Zwift25!G$1,"Y")</f>
        <v>49</v>
      </c>
      <c r="M142" s="67">
        <f>IF(J142="m",VLOOKUP(L142,'All Solo Adjustments'!A:D,4,FALSE),VLOOKUP(L142,'All Solo Adjustments'!A:J,10,FALSE))</f>
        <v>9.837962962962962E-4</v>
      </c>
      <c r="N142" s="63"/>
      <c r="O142" s="63"/>
      <c r="P142" s="63"/>
      <c r="Q142" s="63"/>
      <c r="R142" t="s">
        <v>283</v>
      </c>
      <c r="S142" t="s">
        <v>282</v>
      </c>
      <c r="T142" t="s">
        <v>292</v>
      </c>
      <c r="U142" t="s">
        <v>11304</v>
      </c>
      <c r="V142" t="s">
        <v>2024</v>
      </c>
      <c r="W142" t="s">
        <v>2024</v>
      </c>
      <c r="Y142" t="s">
        <v>11303</v>
      </c>
      <c r="Z142" t="str">
        <f>"07415260106"</f>
        <v>07415260106</v>
      </c>
      <c r="AA142" t="str">
        <f>""</f>
        <v/>
      </c>
      <c r="AB142" t="s">
        <v>626</v>
      </c>
      <c r="AC142" t="s">
        <v>11302</v>
      </c>
      <c r="AD142" t="s">
        <v>114</v>
      </c>
      <c r="AE142" s="63">
        <v>45384</v>
      </c>
      <c r="AF142" t="s">
        <v>156</v>
      </c>
      <c r="AG142" t="s">
        <v>112</v>
      </c>
      <c r="AH142" t="s">
        <v>112</v>
      </c>
      <c r="AI142" s="63">
        <v>44637</v>
      </c>
      <c r="AJ142" s="63">
        <v>45657</v>
      </c>
      <c r="AK142" t="s">
        <v>112</v>
      </c>
      <c r="AL142" t="s">
        <v>111</v>
      </c>
      <c r="AM142" t="s">
        <v>111</v>
      </c>
      <c r="AN142">
        <v>116</v>
      </c>
      <c r="AO142" t="s">
        <v>110</v>
      </c>
      <c r="AP142" t="s">
        <v>109</v>
      </c>
    </row>
    <row r="143" spans="1:42" x14ac:dyDescent="0.25">
      <c r="A143" s="28" t="str">
        <f>"5461"</f>
        <v>5461</v>
      </c>
      <c r="B143">
        <v>5461</v>
      </c>
      <c r="C143" t="s">
        <v>2488</v>
      </c>
      <c r="D143" t="s">
        <v>121</v>
      </c>
      <c r="F143" t="s">
        <v>120</v>
      </c>
      <c r="G143" t="s">
        <v>164</v>
      </c>
      <c r="I143" t="s">
        <v>11301</v>
      </c>
      <c r="J143" t="s">
        <v>7</v>
      </c>
      <c r="K143" s="63">
        <v>25943</v>
      </c>
      <c r="L143" s="28">
        <f>DATEDIF(K143,Zwift25!G$1,"Y")</f>
        <v>53</v>
      </c>
      <c r="M143" s="67">
        <f>IF(J143="m",VLOOKUP(L143,'All Solo Adjustments'!A:D,4,FALSE),VLOOKUP(L143,'All Solo Adjustments'!A:J,10,FALSE))</f>
        <v>1.6666666666666668E-3</v>
      </c>
      <c r="N143" s="63"/>
      <c r="O143" s="63"/>
      <c r="P143" s="63"/>
      <c r="Q143" s="63"/>
      <c r="R143" t="s">
        <v>328</v>
      </c>
      <c r="S143" t="s">
        <v>327</v>
      </c>
      <c r="T143" t="s">
        <v>292</v>
      </c>
      <c r="U143" t="s">
        <v>11300</v>
      </c>
      <c r="V143" t="s">
        <v>11299</v>
      </c>
      <c r="W143" t="s">
        <v>1223</v>
      </c>
      <c r="X143" t="s">
        <v>325</v>
      </c>
      <c r="Y143" t="s">
        <v>11298</v>
      </c>
      <c r="Z143" t="str">
        <f>"01282 421328"</f>
        <v>01282 421328</v>
      </c>
      <c r="AA143" t="str">
        <f>"07478349168"</f>
        <v>07478349168</v>
      </c>
      <c r="AB143" t="s">
        <v>11089</v>
      </c>
      <c r="AC143" t="s">
        <v>11297</v>
      </c>
      <c r="AD143" t="s">
        <v>114</v>
      </c>
      <c r="AE143" s="63">
        <v>45282</v>
      </c>
      <c r="AF143" t="s">
        <v>156</v>
      </c>
      <c r="AG143" t="s">
        <v>112</v>
      </c>
      <c r="AH143" t="s">
        <v>112</v>
      </c>
      <c r="AI143" s="63">
        <v>42136</v>
      </c>
      <c r="AJ143" s="63">
        <v>45657</v>
      </c>
      <c r="AK143" t="s">
        <v>111</v>
      </c>
      <c r="AL143" t="s">
        <v>111</v>
      </c>
      <c r="AM143" t="s">
        <v>111</v>
      </c>
      <c r="AN143">
        <v>6983</v>
      </c>
      <c r="AO143" t="s">
        <v>110</v>
      </c>
      <c r="AP143" t="s">
        <v>109</v>
      </c>
    </row>
    <row r="144" spans="1:42" x14ac:dyDescent="0.25">
      <c r="A144" s="28" t="str">
        <f>"0203"</f>
        <v>0203</v>
      </c>
      <c r="B144">
        <v>203</v>
      </c>
      <c r="C144" t="s">
        <v>2488</v>
      </c>
      <c r="D144" t="s">
        <v>121</v>
      </c>
      <c r="F144" t="s">
        <v>120</v>
      </c>
      <c r="G144" t="s">
        <v>1104</v>
      </c>
      <c r="I144" t="s">
        <v>2225</v>
      </c>
      <c r="J144" t="s">
        <v>7</v>
      </c>
      <c r="K144" s="63">
        <v>23174</v>
      </c>
      <c r="L144" s="28">
        <f>DATEDIF(K144,Zwift25!G$1,"Y")</f>
        <v>61</v>
      </c>
      <c r="M144" s="67">
        <f>IF(J144="m",VLOOKUP(L144,'All Solo Adjustments'!A:D,4,FALSE),VLOOKUP(L144,'All Solo Adjustments'!A:J,10,FALSE))</f>
        <v>3.4722222222222225E-3</v>
      </c>
      <c r="N144" s="63"/>
      <c r="O144" s="63"/>
      <c r="P144" s="63"/>
      <c r="Q144" s="63"/>
      <c r="R144" t="s">
        <v>125</v>
      </c>
      <c r="S144" t="s">
        <v>170</v>
      </c>
      <c r="T144" t="s">
        <v>292</v>
      </c>
      <c r="U144" t="s">
        <v>11296</v>
      </c>
      <c r="V144" t="s">
        <v>2252</v>
      </c>
      <c r="W144" t="s">
        <v>123</v>
      </c>
      <c r="Y144" t="s">
        <v>11295</v>
      </c>
      <c r="Z144" t="str">
        <f>"07538 317240"</f>
        <v>07538 317240</v>
      </c>
      <c r="AA144" t="str">
        <f>""</f>
        <v/>
      </c>
      <c r="AB144" t="s">
        <v>508</v>
      </c>
      <c r="AD144" t="s">
        <v>145</v>
      </c>
      <c r="AE144" s="63">
        <v>45295</v>
      </c>
      <c r="AF144" t="s">
        <v>113</v>
      </c>
      <c r="AG144" t="s">
        <v>112</v>
      </c>
      <c r="AH144" t="s">
        <v>112</v>
      </c>
      <c r="AI144" s="63">
        <v>37834</v>
      </c>
      <c r="AJ144" s="63">
        <v>45657</v>
      </c>
      <c r="AK144" t="s">
        <v>111</v>
      </c>
      <c r="AL144" t="s">
        <v>111</v>
      </c>
      <c r="AM144" t="s">
        <v>111</v>
      </c>
      <c r="AN144" t="s">
        <v>105</v>
      </c>
      <c r="AO144" t="s">
        <v>110</v>
      </c>
      <c r="AP144" t="s">
        <v>109</v>
      </c>
    </row>
    <row r="145" spans="1:42" x14ac:dyDescent="0.25">
      <c r="A145" s="28" t="str">
        <f>"6256"</f>
        <v>6256</v>
      </c>
      <c r="B145">
        <v>6256</v>
      </c>
      <c r="C145" t="s">
        <v>2488</v>
      </c>
      <c r="D145" t="s">
        <v>132</v>
      </c>
      <c r="F145" t="s">
        <v>120</v>
      </c>
      <c r="G145" t="s">
        <v>251</v>
      </c>
      <c r="I145" t="s">
        <v>2224</v>
      </c>
      <c r="J145" t="s">
        <v>7</v>
      </c>
      <c r="K145" s="63">
        <v>20520</v>
      </c>
      <c r="L145" s="28">
        <f>DATEDIF(K145,Zwift25!G$1,"Y")</f>
        <v>68</v>
      </c>
      <c r="M145" s="67">
        <f>IF(J145="m",VLOOKUP(L145,'All Solo Adjustments'!A:D,4,FALSE),VLOOKUP(L145,'All Solo Adjustments'!A:J,10,FALSE))</f>
        <v>5.6134259259259262E-3</v>
      </c>
      <c r="N145" s="63"/>
      <c r="O145" s="63"/>
      <c r="P145" s="63"/>
      <c r="Q145" s="63"/>
      <c r="R145" t="s">
        <v>239</v>
      </c>
      <c r="S145" t="s">
        <v>274</v>
      </c>
      <c r="T145" t="s">
        <v>292</v>
      </c>
      <c r="U145" t="s">
        <v>11294</v>
      </c>
      <c r="V145" t="s">
        <v>11293</v>
      </c>
      <c r="W145" t="s">
        <v>6740</v>
      </c>
      <c r="Y145" t="s">
        <v>11292</v>
      </c>
      <c r="Z145" t="str">
        <f>"07711626869"</f>
        <v>07711626869</v>
      </c>
      <c r="AA145" t="str">
        <f>""</f>
        <v/>
      </c>
      <c r="AB145" t="s">
        <v>1440</v>
      </c>
      <c r="AC145" t="s">
        <v>11291</v>
      </c>
      <c r="AD145" t="s">
        <v>114</v>
      </c>
      <c r="AE145" s="63">
        <v>45264</v>
      </c>
      <c r="AF145" t="s">
        <v>156</v>
      </c>
      <c r="AG145" t="s">
        <v>112</v>
      </c>
      <c r="AH145" t="s">
        <v>112</v>
      </c>
      <c r="AI145" s="63">
        <v>42880</v>
      </c>
      <c r="AJ145" s="63">
        <v>45657</v>
      </c>
      <c r="AK145" t="s">
        <v>111</v>
      </c>
      <c r="AL145" t="s">
        <v>111</v>
      </c>
      <c r="AM145" t="s">
        <v>111</v>
      </c>
      <c r="AN145">
        <v>1815</v>
      </c>
      <c r="AO145" t="s">
        <v>110</v>
      </c>
      <c r="AP145" t="s">
        <v>109</v>
      </c>
    </row>
    <row r="146" spans="1:42" x14ac:dyDescent="0.25">
      <c r="A146" s="28" t="str">
        <f>"13704"</f>
        <v>13704</v>
      </c>
      <c r="B146">
        <v>13704</v>
      </c>
      <c r="C146" t="s">
        <v>2488</v>
      </c>
      <c r="D146" t="s">
        <v>121</v>
      </c>
      <c r="E146" t="s">
        <v>584</v>
      </c>
      <c r="F146" t="s">
        <v>120</v>
      </c>
      <c r="G146" t="s">
        <v>185</v>
      </c>
      <c r="H146" t="s">
        <v>1132</v>
      </c>
      <c r="I146" t="s">
        <v>11290</v>
      </c>
      <c r="J146" t="s">
        <v>7</v>
      </c>
      <c r="K146" s="63">
        <v>22645</v>
      </c>
      <c r="L146" s="28">
        <f>DATEDIF(K146,Zwift25!G$1,"Y")</f>
        <v>62</v>
      </c>
      <c r="M146" s="67">
        <f>IF(J146="m",VLOOKUP(L146,'All Solo Adjustments'!A:D,4,FALSE),VLOOKUP(L146,'All Solo Adjustments'!A:J,10,FALSE))</f>
        <v>3.7384259259259259E-3</v>
      </c>
      <c r="N146" s="63"/>
      <c r="O146" s="63"/>
      <c r="P146" s="63"/>
      <c r="Q146" s="63"/>
      <c r="R146" t="s">
        <v>198</v>
      </c>
      <c r="S146" t="s">
        <v>461</v>
      </c>
      <c r="T146" t="s">
        <v>292</v>
      </c>
      <c r="U146" t="s">
        <v>11289</v>
      </c>
      <c r="V146" t="s">
        <v>4040</v>
      </c>
      <c r="W146" t="s">
        <v>1087</v>
      </c>
      <c r="Y146" t="s">
        <v>11288</v>
      </c>
      <c r="Z146" t="str">
        <f>"07895829075"</f>
        <v>07895829075</v>
      </c>
      <c r="AA146" t="str">
        <f>""</f>
        <v/>
      </c>
      <c r="AB146" t="s">
        <v>1167</v>
      </c>
      <c r="AC146" t="s">
        <v>11287</v>
      </c>
      <c r="AD146" t="s">
        <v>114</v>
      </c>
      <c r="AE146" s="63">
        <v>45275</v>
      </c>
      <c r="AF146" t="s">
        <v>156</v>
      </c>
      <c r="AG146" t="s">
        <v>112</v>
      </c>
      <c r="AH146" t="s">
        <v>112</v>
      </c>
      <c r="AI146" s="63">
        <v>43288</v>
      </c>
      <c r="AJ146" s="63">
        <v>45657</v>
      </c>
      <c r="AK146" t="s">
        <v>112</v>
      </c>
      <c r="AL146" t="s">
        <v>111</v>
      </c>
      <c r="AM146" t="s">
        <v>111</v>
      </c>
      <c r="AN146">
        <v>6068</v>
      </c>
      <c r="AO146" t="s">
        <v>110</v>
      </c>
      <c r="AP146" t="s">
        <v>109</v>
      </c>
    </row>
    <row r="147" spans="1:42" x14ac:dyDescent="0.25">
      <c r="A147" s="28" t="str">
        <f>"16094"</f>
        <v>16094</v>
      </c>
      <c r="B147">
        <v>16094</v>
      </c>
      <c r="C147" t="s">
        <v>2488</v>
      </c>
      <c r="D147" t="s">
        <v>130</v>
      </c>
      <c r="F147" t="s">
        <v>120</v>
      </c>
      <c r="G147" t="s">
        <v>361</v>
      </c>
      <c r="I147" t="s">
        <v>949</v>
      </c>
      <c r="J147" t="s">
        <v>7</v>
      </c>
      <c r="K147" s="63">
        <v>26531</v>
      </c>
      <c r="L147" s="28">
        <f>DATEDIF(K147,Zwift25!G$1,"Y")</f>
        <v>52</v>
      </c>
      <c r="M147" s="67">
        <f>IF(J147="m",VLOOKUP(L147,'All Solo Adjustments'!A:D,4,FALSE),VLOOKUP(L147,'All Solo Adjustments'!A:J,10,FALSE))</f>
        <v>1.4814814814814816E-3</v>
      </c>
      <c r="N147" s="63"/>
      <c r="O147" s="63"/>
      <c r="P147" s="63"/>
      <c r="Q147" s="63"/>
      <c r="R147" t="s">
        <v>125</v>
      </c>
      <c r="S147" t="s">
        <v>124</v>
      </c>
      <c r="T147" t="s">
        <v>292</v>
      </c>
      <c r="U147" t="s">
        <v>11285</v>
      </c>
      <c r="V147" t="s">
        <v>11284</v>
      </c>
      <c r="W147" t="s">
        <v>1783</v>
      </c>
      <c r="Y147" t="s">
        <v>11283</v>
      </c>
      <c r="Z147" t="str">
        <f>"07961 091211"</f>
        <v>07961 091211</v>
      </c>
      <c r="AA147" t="str">
        <f>"07961 091211"</f>
        <v>07961 091211</v>
      </c>
      <c r="AB147" t="s">
        <v>11282</v>
      </c>
      <c r="AC147" t="s">
        <v>11286</v>
      </c>
      <c r="AD147" t="s">
        <v>114</v>
      </c>
      <c r="AE147" s="63">
        <v>45389</v>
      </c>
      <c r="AG147" t="s">
        <v>112</v>
      </c>
      <c r="AH147" t="s">
        <v>112</v>
      </c>
      <c r="AI147" s="63">
        <v>45389</v>
      </c>
      <c r="AJ147" s="63">
        <v>45657</v>
      </c>
      <c r="AK147" t="s">
        <v>112</v>
      </c>
      <c r="AL147" t="s">
        <v>111</v>
      </c>
      <c r="AM147" t="s">
        <v>111</v>
      </c>
      <c r="AN147">
        <v>23427</v>
      </c>
      <c r="AO147" t="s">
        <v>110</v>
      </c>
      <c r="AP147" t="s">
        <v>109</v>
      </c>
    </row>
    <row r="148" spans="1:42" x14ac:dyDescent="0.25">
      <c r="A148" s="28" t="str">
        <f>"16093"</f>
        <v>16093</v>
      </c>
      <c r="B148">
        <v>16093</v>
      </c>
      <c r="C148" t="s">
        <v>2488</v>
      </c>
      <c r="D148" t="s">
        <v>132</v>
      </c>
      <c r="F148" t="s">
        <v>149</v>
      </c>
      <c r="G148" t="s">
        <v>3059</v>
      </c>
      <c r="I148" t="s">
        <v>3464</v>
      </c>
      <c r="J148" t="s">
        <v>126</v>
      </c>
      <c r="K148" s="63">
        <v>29893</v>
      </c>
      <c r="L148" s="28">
        <f>DATEDIF(K148,Zwift25!G$1,"Y")</f>
        <v>42</v>
      </c>
      <c r="M148" s="67">
        <f>IF(J148="m",VLOOKUP(L148,'All Solo Adjustments'!A:D,4,FALSE),VLOOKUP(L148,'All Solo Adjustments'!A:J,10,FALSE))</f>
        <v>4.4907407407407405E-3</v>
      </c>
      <c r="N148" s="63"/>
      <c r="O148" s="63"/>
      <c r="P148" s="63"/>
      <c r="Q148" s="63"/>
      <c r="R148" t="s">
        <v>125</v>
      </c>
      <c r="S148" t="s">
        <v>124</v>
      </c>
      <c r="T148" t="s">
        <v>292</v>
      </c>
      <c r="U148" t="s">
        <v>11285</v>
      </c>
      <c r="V148" t="s">
        <v>11284</v>
      </c>
      <c r="W148" t="s">
        <v>1783</v>
      </c>
      <c r="Y148" t="s">
        <v>11283</v>
      </c>
      <c r="Z148" t="str">
        <f>"07961 091211"</f>
        <v>07961 091211</v>
      </c>
      <c r="AA148" t="str">
        <f>"07961 091211"</f>
        <v>07961 091211</v>
      </c>
      <c r="AB148" t="s">
        <v>11282</v>
      </c>
      <c r="AC148" t="s">
        <v>11281</v>
      </c>
      <c r="AD148" t="s">
        <v>114</v>
      </c>
      <c r="AE148" s="63">
        <v>45389</v>
      </c>
      <c r="AF148" t="s">
        <v>156</v>
      </c>
      <c r="AG148" t="s">
        <v>112</v>
      </c>
      <c r="AH148" t="s">
        <v>112</v>
      </c>
      <c r="AI148" s="63">
        <v>45389</v>
      </c>
      <c r="AJ148" s="63">
        <v>45657</v>
      </c>
      <c r="AK148" t="s">
        <v>112</v>
      </c>
      <c r="AL148" t="s">
        <v>111</v>
      </c>
      <c r="AM148" t="s">
        <v>111</v>
      </c>
      <c r="AN148">
        <v>14499</v>
      </c>
      <c r="AO148" t="s">
        <v>122</v>
      </c>
      <c r="AP148" t="s">
        <v>122</v>
      </c>
    </row>
    <row r="149" spans="1:42" x14ac:dyDescent="0.25">
      <c r="A149" s="28" t="str">
        <f>"16099"</f>
        <v>16099</v>
      </c>
      <c r="B149">
        <v>16099</v>
      </c>
      <c r="C149" t="s">
        <v>2488</v>
      </c>
      <c r="D149" t="s">
        <v>121</v>
      </c>
      <c r="E149" t="s">
        <v>584</v>
      </c>
      <c r="F149" t="s">
        <v>120</v>
      </c>
      <c r="G149" t="s">
        <v>1713</v>
      </c>
      <c r="I149" t="s">
        <v>949</v>
      </c>
      <c r="J149" t="s">
        <v>7</v>
      </c>
      <c r="K149" s="63">
        <v>27185</v>
      </c>
      <c r="L149" s="28">
        <f>DATEDIF(K149,Zwift25!G$1,"Y")</f>
        <v>50</v>
      </c>
      <c r="M149" s="67">
        <f>IF(J149="m",VLOOKUP(L149,'All Solo Adjustments'!A:D,4,FALSE),VLOOKUP(L149,'All Solo Adjustments'!A:J,10,FALSE))</f>
        <v>1.1342592592592591E-3</v>
      </c>
      <c r="N149" s="63"/>
      <c r="O149" s="63"/>
      <c r="P149" s="63"/>
      <c r="Q149" s="63"/>
      <c r="R149" t="s">
        <v>184</v>
      </c>
      <c r="S149" t="s">
        <v>183</v>
      </c>
      <c r="T149" t="s">
        <v>292</v>
      </c>
      <c r="U149" t="s">
        <v>11280</v>
      </c>
      <c r="Y149" t="s">
        <v>11279</v>
      </c>
      <c r="Z149" t="str">
        <f>"07399029504"</f>
        <v>07399029504</v>
      </c>
      <c r="AA149" t="str">
        <f>"07399029504"</f>
        <v>07399029504</v>
      </c>
      <c r="AB149" t="s">
        <v>1691</v>
      </c>
      <c r="AC149" t="s">
        <v>11278</v>
      </c>
      <c r="AD149" t="s">
        <v>114</v>
      </c>
      <c r="AE149" s="63">
        <v>45396</v>
      </c>
      <c r="AF149" t="s">
        <v>156</v>
      </c>
      <c r="AG149" t="s">
        <v>112</v>
      </c>
      <c r="AH149" t="s">
        <v>112</v>
      </c>
      <c r="AI149" s="63">
        <v>45396</v>
      </c>
      <c r="AJ149" s="63">
        <v>45657</v>
      </c>
      <c r="AK149" t="s">
        <v>112</v>
      </c>
      <c r="AL149" t="s">
        <v>111</v>
      </c>
      <c r="AM149" t="s">
        <v>111</v>
      </c>
      <c r="AN149">
        <v>40740</v>
      </c>
      <c r="AO149" t="s">
        <v>110</v>
      </c>
      <c r="AP149" t="s">
        <v>109</v>
      </c>
    </row>
    <row r="150" spans="1:42" x14ac:dyDescent="0.25">
      <c r="A150" s="28" t="str">
        <f>"15967"</f>
        <v>15967</v>
      </c>
      <c r="B150">
        <v>15967</v>
      </c>
      <c r="C150" t="s">
        <v>2488</v>
      </c>
      <c r="D150" t="s">
        <v>121</v>
      </c>
      <c r="F150" t="s">
        <v>149</v>
      </c>
      <c r="G150" t="s">
        <v>1539</v>
      </c>
      <c r="H150" t="s">
        <v>1842</v>
      </c>
      <c r="I150" t="s">
        <v>11277</v>
      </c>
      <c r="J150" t="s">
        <v>126</v>
      </c>
      <c r="K150" s="63">
        <v>30581</v>
      </c>
      <c r="L150" s="28">
        <f>DATEDIF(K150,Zwift25!G$1,"Y")</f>
        <v>41</v>
      </c>
      <c r="M150" s="67">
        <f>IF(J150="m",VLOOKUP(L150,'All Solo Adjustments'!A:D,4,FALSE),VLOOKUP(L150,'All Solo Adjustments'!A:J,10,FALSE))</f>
        <v>4.456018518518518E-3</v>
      </c>
      <c r="N150" s="63"/>
      <c r="O150" s="63"/>
      <c r="P150" s="63"/>
      <c r="Q150" s="63"/>
      <c r="R150" t="s">
        <v>239</v>
      </c>
      <c r="S150" t="s">
        <v>274</v>
      </c>
      <c r="T150" t="s">
        <v>292</v>
      </c>
      <c r="U150" t="s">
        <v>11276</v>
      </c>
      <c r="W150" t="s">
        <v>11275</v>
      </c>
      <c r="Y150" t="s">
        <v>11274</v>
      </c>
      <c r="Z150" t="str">
        <f>"07932954952"</f>
        <v>07932954952</v>
      </c>
      <c r="AA150" t="str">
        <f>""</f>
        <v/>
      </c>
      <c r="AB150" t="s">
        <v>2171</v>
      </c>
      <c r="AC150" t="s">
        <v>11273</v>
      </c>
      <c r="AD150" t="s">
        <v>114</v>
      </c>
      <c r="AE150" s="63">
        <v>45292</v>
      </c>
      <c r="AF150" t="s">
        <v>156</v>
      </c>
      <c r="AG150" t="s">
        <v>112</v>
      </c>
      <c r="AH150" t="s">
        <v>112</v>
      </c>
      <c r="AI150" s="63">
        <v>45292</v>
      </c>
      <c r="AJ150" s="63">
        <v>45657</v>
      </c>
      <c r="AK150" t="s">
        <v>112</v>
      </c>
      <c r="AL150" t="s">
        <v>111</v>
      </c>
      <c r="AM150" t="s">
        <v>111</v>
      </c>
      <c r="AN150">
        <v>47752</v>
      </c>
      <c r="AO150" t="s">
        <v>122</v>
      </c>
      <c r="AP150" t="s">
        <v>122</v>
      </c>
    </row>
    <row r="151" spans="1:42" x14ac:dyDescent="0.25">
      <c r="A151" s="28" t="str">
        <f>"3756"</f>
        <v>3756</v>
      </c>
      <c r="B151">
        <v>3756</v>
      </c>
      <c r="C151" t="s">
        <v>2488</v>
      </c>
      <c r="D151" t="s">
        <v>121</v>
      </c>
      <c r="F151" t="s">
        <v>120</v>
      </c>
      <c r="G151" t="s">
        <v>436</v>
      </c>
      <c r="H151" t="s">
        <v>11272</v>
      </c>
      <c r="I151" t="s">
        <v>2221</v>
      </c>
      <c r="J151" t="s">
        <v>7</v>
      </c>
      <c r="K151" s="63">
        <v>17986</v>
      </c>
      <c r="L151" s="28">
        <f>DATEDIF(K151,Zwift25!G$1,"Y")</f>
        <v>75</v>
      </c>
      <c r="M151" s="67">
        <f>IF(J151="m",VLOOKUP(L151,'All Solo Adjustments'!A:D,4,FALSE),VLOOKUP(L151,'All Solo Adjustments'!A:J,10,FALSE))</f>
        <v>8.4374999999999988E-3</v>
      </c>
      <c r="N151" s="63"/>
      <c r="O151" s="63"/>
      <c r="P151" s="63"/>
      <c r="Q151" s="63"/>
      <c r="R151" t="s">
        <v>328</v>
      </c>
      <c r="S151" t="s">
        <v>327</v>
      </c>
      <c r="T151" t="s">
        <v>292</v>
      </c>
      <c r="U151" t="s">
        <v>11271</v>
      </c>
      <c r="V151" t="s">
        <v>11270</v>
      </c>
      <c r="W151" t="s">
        <v>1220</v>
      </c>
      <c r="Y151" t="s">
        <v>11269</v>
      </c>
      <c r="Z151" t="str">
        <f>"01942 70434"</f>
        <v>01942 70434</v>
      </c>
      <c r="AA151" t="str">
        <f>""</f>
        <v/>
      </c>
      <c r="AB151" t="s">
        <v>11268</v>
      </c>
      <c r="AC151" t="s">
        <v>11267</v>
      </c>
      <c r="AD151" t="s">
        <v>145</v>
      </c>
      <c r="AE151" s="63">
        <v>45207</v>
      </c>
      <c r="AF151" t="s">
        <v>113</v>
      </c>
      <c r="AG151" t="s">
        <v>112</v>
      </c>
      <c r="AH151" t="s">
        <v>112</v>
      </c>
      <c r="AI151" s="63">
        <v>40058</v>
      </c>
      <c r="AJ151" s="63">
        <v>45657</v>
      </c>
      <c r="AK151" t="s">
        <v>111</v>
      </c>
      <c r="AL151" t="s">
        <v>111</v>
      </c>
      <c r="AM151" t="s">
        <v>111</v>
      </c>
      <c r="AN151">
        <v>25647</v>
      </c>
      <c r="AO151" t="s">
        <v>110</v>
      </c>
      <c r="AP151" t="s">
        <v>109</v>
      </c>
    </row>
    <row r="152" spans="1:42" x14ac:dyDescent="0.25">
      <c r="A152" s="28" t="str">
        <f>"14507"</f>
        <v>14507</v>
      </c>
      <c r="B152">
        <v>14507</v>
      </c>
      <c r="C152" t="s">
        <v>2488</v>
      </c>
      <c r="D152" t="s">
        <v>121</v>
      </c>
      <c r="E152" t="s">
        <v>584</v>
      </c>
      <c r="F152" t="s">
        <v>120</v>
      </c>
      <c r="G152" t="s">
        <v>185</v>
      </c>
      <c r="I152" t="s">
        <v>1391</v>
      </c>
      <c r="J152" t="s">
        <v>7</v>
      </c>
      <c r="K152" s="63">
        <v>29259</v>
      </c>
      <c r="L152" s="28">
        <f>DATEDIF(K152,Zwift25!G$1,"Y")</f>
        <v>44</v>
      </c>
      <c r="M152" s="67">
        <f>IF(J152="m",VLOOKUP(L152,'All Solo Adjustments'!A:D,4,FALSE),VLOOKUP(L152,'All Solo Adjustments'!A:J,10,FALSE))</f>
        <v>3.3564814814814818E-4</v>
      </c>
      <c r="N152" s="63"/>
      <c r="O152" s="63"/>
      <c r="P152" s="63"/>
      <c r="Q152" s="63"/>
      <c r="R152" t="s">
        <v>328</v>
      </c>
      <c r="S152" t="s">
        <v>327</v>
      </c>
      <c r="T152" t="s">
        <v>292</v>
      </c>
      <c r="U152" t="s">
        <v>11266</v>
      </c>
      <c r="V152" t="s">
        <v>11265</v>
      </c>
      <c r="W152" t="s">
        <v>8694</v>
      </c>
      <c r="X152" t="s">
        <v>998</v>
      </c>
      <c r="Y152" t="s">
        <v>11264</v>
      </c>
      <c r="Z152" t="str">
        <f>"07766655654"</f>
        <v>07766655654</v>
      </c>
      <c r="AA152" t="str">
        <f>""</f>
        <v/>
      </c>
      <c r="AB152" t="s">
        <v>1613</v>
      </c>
      <c r="AC152" t="s">
        <v>11263</v>
      </c>
      <c r="AD152" t="s">
        <v>114</v>
      </c>
      <c r="AE152" s="63">
        <v>45345</v>
      </c>
      <c r="AF152" t="s">
        <v>156</v>
      </c>
      <c r="AG152" t="s">
        <v>112</v>
      </c>
      <c r="AH152" t="s">
        <v>112</v>
      </c>
      <c r="AI152" s="63">
        <v>43890</v>
      </c>
      <c r="AJ152" s="63">
        <v>45657</v>
      </c>
      <c r="AK152" t="s">
        <v>112</v>
      </c>
      <c r="AL152" t="s">
        <v>111</v>
      </c>
      <c r="AM152" t="s">
        <v>111</v>
      </c>
      <c r="AN152">
        <v>2161</v>
      </c>
      <c r="AO152" t="s">
        <v>110</v>
      </c>
      <c r="AP152" t="s">
        <v>109</v>
      </c>
    </row>
    <row r="153" spans="1:42" x14ac:dyDescent="0.25">
      <c r="A153" s="28" t="str">
        <f>"4743"</f>
        <v>4743</v>
      </c>
      <c r="B153">
        <v>4743</v>
      </c>
      <c r="C153" t="s">
        <v>2488</v>
      </c>
      <c r="D153" t="s">
        <v>121</v>
      </c>
      <c r="F153" t="s">
        <v>120</v>
      </c>
      <c r="G153" t="s">
        <v>221</v>
      </c>
      <c r="I153" t="s">
        <v>2220</v>
      </c>
      <c r="J153" t="s">
        <v>7</v>
      </c>
      <c r="K153" s="63">
        <v>23421</v>
      </c>
      <c r="L153" s="28">
        <f>DATEDIF(K153,Zwift25!G$1,"Y")</f>
        <v>60</v>
      </c>
      <c r="M153" s="67">
        <f>IF(J153="m",VLOOKUP(L153,'All Solo Adjustments'!A:D,4,FALSE),VLOOKUP(L153,'All Solo Adjustments'!A:J,10,FALSE))</f>
        <v>3.2060185185185186E-3</v>
      </c>
      <c r="N153" s="63"/>
      <c r="O153" s="63"/>
      <c r="P153" s="63"/>
      <c r="Q153" s="63"/>
      <c r="R153" t="s">
        <v>143</v>
      </c>
      <c r="S153" t="s">
        <v>142</v>
      </c>
      <c r="T153" t="s">
        <v>292</v>
      </c>
      <c r="U153" t="s">
        <v>11262</v>
      </c>
      <c r="V153" t="s">
        <v>7335</v>
      </c>
      <c r="W153" t="s">
        <v>141</v>
      </c>
      <c r="Y153" t="s">
        <v>11261</v>
      </c>
      <c r="Z153" t="str">
        <f>"01737 764244"</f>
        <v>01737 764244</v>
      </c>
      <c r="AA153" t="str">
        <f>"07771 798971"</f>
        <v>07771 798971</v>
      </c>
      <c r="AB153" t="s">
        <v>6721</v>
      </c>
      <c r="AC153" t="s">
        <v>11260</v>
      </c>
      <c r="AD153" t="s">
        <v>114</v>
      </c>
      <c r="AE153" s="63">
        <v>45293</v>
      </c>
      <c r="AF153" t="s">
        <v>156</v>
      </c>
      <c r="AG153" t="s">
        <v>112</v>
      </c>
      <c r="AH153" t="s">
        <v>112</v>
      </c>
      <c r="AI153" s="63">
        <v>41383</v>
      </c>
      <c r="AJ153" s="63">
        <v>45657</v>
      </c>
      <c r="AK153" t="s">
        <v>111</v>
      </c>
      <c r="AL153" t="s">
        <v>111</v>
      </c>
      <c r="AM153" t="s">
        <v>111</v>
      </c>
      <c r="AN153">
        <v>704</v>
      </c>
      <c r="AO153" t="s">
        <v>110</v>
      </c>
      <c r="AP153" t="s">
        <v>109</v>
      </c>
    </row>
    <row r="154" spans="1:42" x14ac:dyDescent="0.25">
      <c r="A154" s="28" t="str">
        <f>"15125"</f>
        <v>15125</v>
      </c>
      <c r="B154">
        <v>15125</v>
      </c>
      <c r="C154" t="s">
        <v>2488</v>
      </c>
      <c r="D154" t="s">
        <v>121</v>
      </c>
      <c r="F154" t="s">
        <v>403</v>
      </c>
      <c r="G154" t="s">
        <v>546</v>
      </c>
      <c r="I154" t="s">
        <v>2217</v>
      </c>
      <c r="J154" t="s">
        <v>7</v>
      </c>
      <c r="K154" s="63">
        <v>25968</v>
      </c>
      <c r="L154" s="28">
        <f>DATEDIF(K154,Zwift25!G$1,"Y")</f>
        <v>53</v>
      </c>
      <c r="M154" s="67">
        <f>IF(J154="m",VLOOKUP(L154,'All Solo Adjustments'!A:D,4,FALSE),VLOOKUP(L154,'All Solo Adjustments'!A:J,10,FALSE))</f>
        <v>1.6666666666666668E-3</v>
      </c>
      <c r="N154" s="63"/>
      <c r="O154" s="63"/>
      <c r="P154" s="63"/>
      <c r="Q154" s="63"/>
      <c r="R154" t="s">
        <v>198</v>
      </c>
      <c r="S154" t="s">
        <v>461</v>
      </c>
      <c r="T154" t="s">
        <v>292</v>
      </c>
      <c r="U154" t="s">
        <v>11259</v>
      </c>
      <c r="W154" t="s">
        <v>1247</v>
      </c>
      <c r="X154" t="s">
        <v>2906</v>
      </c>
      <c r="Y154" t="s">
        <v>11258</v>
      </c>
      <c r="Z154" t="str">
        <f>"07970309989"</f>
        <v>07970309989</v>
      </c>
      <c r="AA154" t="str">
        <f>""</f>
        <v/>
      </c>
      <c r="AB154" t="s">
        <v>664</v>
      </c>
      <c r="AC154" t="s">
        <v>11257</v>
      </c>
      <c r="AD154" t="s">
        <v>114</v>
      </c>
      <c r="AE154" s="63">
        <v>45292</v>
      </c>
      <c r="AF154" t="s">
        <v>156</v>
      </c>
      <c r="AG154" t="s">
        <v>112</v>
      </c>
      <c r="AH154" t="s">
        <v>112</v>
      </c>
      <c r="AI154" s="63">
        <v>44372</v>
      </c>
      <c r="AJ154" s="63">
        <v>45657</v>
      </c>
      <c r="AK154" t="s">
        <v>112</v>
      </c>
      <c r="AL154" t="s">
        <v>111</v>
      </c>
      <c r="AM154" t="s">
        <v>111</v>
      </c>
      <c r="AN154">
        <v>18152</v>
      </c>
      <c r="AO154" t="s">
        <v>110</v>
      </c>
      <c r="AP154" t="s">
        <v>109</v>
      </c>
    </row>
    <row r="155" spans="1:42" x14ac:dyDescent="0.25">
      <c r="A155" s="28" t="str">
        <f>"12480"</f>
        <v>12480</v>
      </c>
      <c r="B155">
        <v>12480</v>
      </c>
      <c r="C155" t="s">
        <v>2488</v>
      </c>
      <c r="D155" t="s">
        <v>121</v>
      </c>
      <c r="F155" t="s">
        <v>120</v>
      </c>
      <c r="G155" t="s">
        <v>1847</v>
      </c>
      <c r="I155" t="s">
        <v>2216</v>
      </c>
      <c r="J155" t="s">
        <v>7</v>
      </c>
      <c r="K155" s="63">
        <v>14501</v>
      </c>
      <c r="L155" s="28">
        <f>DATEDIF(K155,Zwift25!G$1,"Y")</f>
        <v>85</v>
      </c>
      <c r="M155" s="67">
        <f>IF(J155="m",VLOOKUP(L155,'All Solo Adjustments'!A:D,4,FALSE),VLOOKUP(L155,'All Solo Adjustments'!A:J,10,FALSE))</f>
        <v>1.4236111111111111E-2</v>
      </c>
      <c r="N155" s="63"/>
      <c r="O155" s="63"/>
      <c r="P155" s="63"/>
      <c r="Q155" s="63"/>
      <c r="R155" t="s">
        <v>159</v>
      </c>
      <c r="S155" t="s">
        <v>570</v>
      </c>
      <c r="T155" t="s">
        <v>292</v>
      </c>
      <c r="U155" t="s">
        <v>11256</v>
      </c>
      <c r="V155" t="s">
        <v>2190</v>
      </c>
      <c r="W155" t="s">
        <v>159</v>
      </c>
      <c r="Y155" t="s">
        <v>11255</v>
      </c>
      <c r="Z155" t="str">
        <f>"01322 521964"</f>
        <v>01322 521964</v>
      </c>
      <c r="AA155" t="str">
        <f>""</f>
        <v/>
      </c>
      <c r="AB155" t="s">
        <v>290</v>
      </c>
      <c r="AC155" t="s">
        <v>11254</v>
      </c>
      <c r="AD155" t="s">
        <v>145</v>
      </c>
      <c r="AF155" t="s">
        <v>113</v>
      </c>
      <c r="AG155" t="s">
        <v>112</v>
      </c>
      <c r="AH155" t="s">
        <v>112</v>
      </c>
      <c r="AI155" s="63">
        <v>43446</v>
      </c>
      <c r="AK155" t="s">
        <v>111</v>
      </c>
      <c r="AL155" t="s">
        <v>111</v>
      </c>
      <c r="AM155" t="s">
        <v>111</v>
      </c>
      <c r="AN155" t="s">
        <v>105</v>
      </c>
      <c r="AO155" t="s">
        <v>110</v>
      </c>
      <c r="AP155" t="s">
        <v>109</v>
      </c>
    </row>
    <row r="156" spans="1:42" x14ac:dyDescent="0.25">
      <c r="A156" s="28" t="str">
        <f>"15911"</f>
        <v>15911</v>
      </c>
      <c r="B156">
        <v>15911</v>
      </c>
      <c r="C156" t="s">
        <v>2488</v>
      </c>
      <c r="D156" t="s">
        <v>121</v>
      </c>
      <c r="E156" t="s">
        <v>584</v>
      </c>
      <c r="F156" t="s">
        <v>120</v>
      </c>
      <c r="G156" t="s">
        <v>1569</v>
      </c>
      <c r="I156" t="s">
        <v>11253</v>
      </c>
      <c r="J156" t="s">
        <v>7</v>
      </c>
      <c r="K156" s="63">
        <v>20648</v>
      </c>
      <c r="L156" s="28">
        <f>DATEDIF(K156,Zwift25!G$1,"Y")</f>
        <v>68</v>
      </c>
      <c r="M156" s="67">
        <f>IF(J156="m",VLOOKUP(L156,'All Solo Adjustments'!A:D,4,FALSE),VLOOKUP(L156,'All Solo Adjustments'!A:J,10,FALSE))</f>
        <v>5.6134259259259262E-3</v>
      </c>
      <c r="N156" s="63"/>
      <c r="O156" s="63"/>
      <c r="P156" s="63"/>
      <c r="Q156" s="63"/>
      <c r="R156" t="s">
        <v>527</v>
      </c>
      <c r="S156" t="s">
        <v>526</v>
      </c>
      <c r="T156" t="s">
        <v>292</v>
      </c>
      <c r="U156" t="s">
        <v>11252</v>
      </c>
      <c r="W156" t="s">
        <v>11251</v>
      </c>
      <c r="X156" t="s">
        <v>1234</v>
      </c>
      <c r="Y156" t="s">
        <v>11250</v>
      </c>
      <c r="Z156" t="str">
        <f>"07543989091 "</f>
        <v xml:space="preserve">07543989091 </v>
      </c>
      <c r="AA156" t="str">
        <f>""</f>
        <v/>
      </c>
      <c r="AB156" t="s">
        <v>1465</v>
      </c>
      <c r="AC156" t="s">
        <v>11249</v>
      </c>
      <c r="AD156" t="s">
        <v>145</v>
      </c>
      <c r="AE156" s="63">
        <v>45300</v>
      </c>
      <c r="AF156" t="s">
        <v>156</v>
      </c>
      <c r="AG156" t="s">
        <v>112</v>
      </c>
      <c r="AH156" t="s">
        <v>112</v>
      </c>
      <c r="AI156" s="63">
        <v>45299</v>
      </c>
      <c r="AJ156" s="63">
        <v>45657</v>
      </c>
      <c r="AK156" t="s">
        <v>112</v>
      </c>
      <c r="AL156" t="s">
        <v>111</v>
      </c>
      <c r="AM156" t="s">
        <v>111</v>
      </c>
      <c r="AN156">
        <v>7461</v>
      </c>
      <c r="AO156" t="s">
        <v>110</v>
      </c>
      <c r="AP156" t="s">
        <v>109</v>
      </c>
    </row>
    <row r="157" spans="1:42" x14ac:dyDescent="0.25">
      <c r="A157" s="28" t="str">
        <f>"5749"</f>
        <v>5749</v>
      </c>
      <c r="B157">
        <v>5749</v>
      </c>
      <c r="C157" t="s">
        <v>2488</v>
      </c>
      <c r="D157" t="s">
        <v>121</v>
      </c>
      <c r="F157" t="s">
        <v>120</v>
      </c>
      <c r="G157" t="s">
        <v>1252</v>
      </c>
      <c r="I157" t="s">
        <v>11241</v>
      </c>
      <c r="J157" t="s">
        <v>7</v>
      </c>
      <c r="K157" s="63">
        <v>26878</v>
      </c>
      <c r="L157" s="28">
        <f>DATEDIF(K157,Zwift25!G$1,"Y")</f>
        <v>51</v>
      </c>
      <c r="M157" s="67">
        <f>IF(J157="m",VLOOKUP(L157,'All Solo Adjustments'!A:D,4,FALSE),VLOOKUP(L157,'All Solo Adjustments'!A:J,10,FALSE))</f>
        <v>1.3078703703703703E-3</v>
      </c>
      <c r="N157" s="63"/>
      <c r="O157" s="63"/>
      <c r="P157" s="63"/>
      <c r="Q157" s="63"/>
      <c r="R157" t="s">
        <v>125</v>
      </c>
      <c r="S157" t="s">
        <v>170</v>
      </c>
      <c r="T157" t="s">
        <v>292</v>
      </c>
      <c r="U157" t="s">
        <v>11248</v>
      </c>
      <c r="V157" t="s">
        <v>2198</v>
      </c>
      <c r="W157" t="s">
        <v>167</v>
      </c>
      <c r="Y157" t="s">
        <v>11247</v>
      </c>
      <c r="Z157" t="str">
        <f>"07985 576348"</f>
        <v>07985 576348</v>
      </c>
      <c r="AA157" t="str">
        <f>""</f>
        <v/>
      </c>
      <c r="AB157" t="s">
        <v>1516</v>
      </c>
      <c r="AC157" t="s">
        <v>11246</v>
      </c>
      <c r="AD157" t="s">
        <v>114</v>
      </c>
      <c r="AE157" s="63">
        <v>45263</v>
      </c>
      <c r="AF157" t="s">
        <v>156</v>
      </c>
      <c r="AG157" t="s">
        <v>112</v>
      </c>
      <c r="AH157" t="s">
        <v>112</v>
      </c>
      <c r="AI157" s="63">
        <v>42438</v>
      </c>
      <c r="AJ157" s="63">
        <v>45657</v>
      </c>
      <c r="AK157" t="s">
        <v>111</v>
      </c>
      <c r="AL157" t="s">
        <v>111</v>
      </c>
      <c r="AM157" t="s">
        <v>111</v>
      </c>
      <c r="AN157">
        <v>227</v>
      </c>
      <c r="AO157" t="s">
        <v>110</v>
      </c>
      <c r="AP157" t="s">
        <v>109</v>
      </c>
    </row>
    <row r="158" spans="1:42" x14ac:dyDescent="0.25">
      <c r="A158" s="28" t="str">
        <f>"5240"</f>
        <v>5240</v>
      </c>
      <c r="B158">
        <v>5240</v>
      </c>
      <c r="C158" t="s">
        <v>2488</v>
      </c>
      <c r="D158" t="s">
        <v>121</v>
      </c>
      <c r="F158" t="s">
        <v>120</v>
      </c>
      <c r="G158" t="s">
        <v>857</v>
      </c>
      <c r="H158" t="s">
        <v>1183</v>
      </c>
      <c r="I158" t="s">
        <v>11241</v>
      </c>
      <c r="J158" t="s">
        <v>7</v>
      </c>
      <c r="K158" s="63">
        <v>16325</v>
      </c>
      <c r="L158" s="28">
        <f>DATEDIF(K158,Zwift25!G$1,"Y")</f>
        <v>80</v>
      </c>
      <c r="M158" s="67">
        <f>IF(J158="m",VLOOKUP(L158,'All Solo Adjustments'!A:D,4,FALSE),VLOOKUP(L158,'All Solo Adjustments'!A:J,10,FALSE))</f>
        <v>1.1018518518518518E-2</v>
      </c>
      <c r="N158" s="63"/>
      <c r="O158" s="63"/>
      <c r="P158" s="63"/>
      <c r="Q158" s="63"/>
      <c r="R158" t="s">
        <v>198</v>
      </c>
      <c r="S158" t="s">
        <v>461</v>
      </c>
      <c r="T158" t="s">
        <v>292</v>
      </c>
      <c r="U158" t="s">
        <v>11245</v>
      </c>
      <c r="V158" t="s">
        <v>11244</v>
      </c>
      <c r="W158" t="s">
        <v>1633</v>
      </c>
      <c r="X158" t="s">
        <v>1039</v>
      </c>
      <c r="Y158" t="s">
        <v>11243</v>
      </c>
      <c r="Z158" t="str">
        <f>"0161 653 1121"</f>
        <v>0161 653 1121</v>
      </c>
      <c r="AA158" t="str">
        <f>""</f>
        <v/>
      </c>
      <c r="AB158" t="s">
        <v>290</v>
      </c>
      <c r="AC158" t="s">
        <v>11242</v>
      </c>
      <c r="AD158" t="s">
        <v>114</v>
      </c>
      <c r="AE158" s="63">
        <v>45345</v>
      </c>
      <c r="AF158" t="s">
        <v>113</v>
      </c>
      <c r="AG158" t="s">
        <v>112</v>
      </c>
      <c r="AH158" t="s">
        <v>112</v>
      </c>
      <c r="AI158" s="63">
        <v>42005</v>
      </c>
      <c r="AJ158" s="63">
        <v>45657</v>
      </c>
      <c r="AK158" t="s">
        <v>111</v>
      </c>
      <c r="AL158" t="s">
        <v>111</v>
      </c>
      <c r="AM158" t="s">
        <v>111</v>
      </c>
      <c r="AN158" t="s">
        <v>105</v>
      </c>
      <c r="AO158" t="s">
        <v>110</v>
      </c>
      <c r="AP158" t="s">
        <v>109</v>
      </c>
    </row>
    <row r="159" spans="1:42" x14ac:dyDescent="0.25">
      <c r="A159" s="28" t="str">
        <f>"0232"</f>
        <v>0232</v>
      </c>
      <c r="B159">
        <v>232</v>
      </c>
      <c r="C159" t="s">
        <v>2488</v>
      </c>
      <c r="D159" t="s">
        <v>121</v>
      </c>
      <c r="F159" t="s">
        <v>120</v>
      </c>
      <c r="G159" t="s">
        <v>389</v>
      </c>
      <c r="I159" t="s">
        <v>11241</v>
      </c>
      <c r="J159" t="s">
        <v>7</v>
      </c>
      <c r="K159" s="63">
        <v>20358</v>
      </c>
      <c r="L159" s="28">
        <f>DATEDIF(K159,Zwift25!G$1,"Y")</f>
        <v>69</v>
      </c>
      <c r="M159" s="67">
        <f>IF(J159="m",VLOOKUP(L159,'All Solo Adjustments'!A:D,4,FALSE),VLOOKUP(L159,'All Solo Adjustments'!A:J,10,FALSE))</f>
        <v>5.9722222222222225E-3</v>
      </c>
      <c r="N159" s="63"/>
      <c r="O159" s="63"/>
      <c r="P159" s="63"/>
      <c r="Q159" s="63"/>
      <c r="R159" t="s">
        <v>198</v>
      </c>
      <c r="S159" t="s">
        <v>461</v>
      </c>
      <c r="T159" t="s">
        <v>292</v>
      </c>
      <c r="U159" t="s">
        <v>11240</v>
      </c>
      <c r="V159" t="s">
        <v>1072</v>
      </c>
      <c r="W159" t="s">
        <v>196</v>
      </c>
      <c r="Y159" t="s">
        <v>11239</v>
      </c>
      <c r="Z159" t="str">
        <f>"01606 252500"</f>
        <v>01606 252500</v>
      </c>
      <c r="AA159" t="str">
        <f>""</f>
        <v/>
      </c>
      <c r="AB159" t="s">
        <v>290</v>
      </c>
      <c r="AC159" t="s">
        <v>11238</v>
      </c>
      <c r="AD159" t="s">
        <v>114</v>
      </c>
      <c r="AE159" s="63">
        <v>45278</v>
      </c>
      <c r="AF159" t="s">
        <v>113</v>
      </c>
      <c r="AG159" t="s">
        <v>112</v>
      </c>
      <c r="AH159" t="s">
        <v>112</v>
      </c>
      <c r="AI159" s="63">
        <v>35095</v>
      </c>
      <c r="AJ159" s="63">
        <v>45657</v>
      </c>
      <c r="AK159" t="s">
        <v>111</v>
      </c>
      <c r="AL159" t="s">
        <v>112</v>
      </c>
      <c r="AM159" t="s">
        <v>112</v>
      </c>
      <c r="AN159" t="s">
        <v>105</v>
      </c>
      <c r="AO159" t="s">
        <v>110</v>
      </c>
      <c r="AP159" t="s">
        <v>109</v>
      </c>
    </row>
    <row r="160" spans="1:42" x14ac:dyDescent="0.25">
      <c r="A160" s="28" t="str">
        <f>"0235"</f>
        <v>0235</v>
      </c>
      <c r="B160">
        <v>235</v>
      </c>
      <c r="C160" t="s">
        <v>2488</v>
      </c>
      <c r="D160" t="s">
        <v>121</v>
      </c>
      <c r="F160" t="s">
        <v>120</v>
      </c>
      <c r="G160" t="s">
        <v>506</v>
      </c>
      <c r="I160" t="s">
        <v>11237</v>
      </c>
      <c r="J160" t="s">
        <v>7</v>
      </c>
      <c r="K160" s="63">
        <v>16933</v>
      </c>
      <c r="L160" s="28">
        <f>DATEDIF(K160,Zwift25!G$1,"Y")</f>
        <v>78</v>
      </c>
      <c r="M160" s="67">
        <f>IF(J160="m",VLOOKUP(L160,'All Solo Adjustments'!A:D,4,FALSE),VLOOKUP(L160,'All Solo Adjustments'!A:J,10,FALSE))</f>
        <v>9.9189814814814817E-3</v>
      </c>
      <c r="N160" s="63"/>
      <c r="O160" s="63"/>
      <c r="P160" s="63"/>
      <c r="Q160" s="63"/>
      <c r="R160" t="s">
        <v>125</v>
      </c>
      <c r="S160" t="s">
        <v>170</v>
      </c>
      <c r="T160" t="s">
        <v>292</v>
      </c>
      <c r="U160" t="s">
        <v>11236</v>
      </c>
      <c r="V160" t="s">
        <v>11235</v>
      </c>
      <c r="W160" t="s">
        <v>123</v>
      </c>
      <c r="Y160" t="s">
        <v>11234</v>
      </c>
      <c r="Z160" t="str">
        <f>"07836550074"</f>
        <v>07836550074</v>
      </c>
      <c r="AA160" t="str">
        <f>""</f>
        <v/>
      </c>
      <c r="AB160" t="s">
        <v>508</v>
      </c>
      <c r="AC160" t="s">
        <v>11233</v>
      </c>
      <c r="AD160" t="s">
        <v>145</v>
      </c>
      <c r="AE160" s="63">
        <v>45356</v>
      </c>
      <c r="AF160" t="s">
        <v>156</v>
      </c>
      <c r="AG160" t="s">
        <v>112</v>
      </c>
      <c r="AH160" t="s">
        <v>112</v>
      </c>
      <c r="AI160" s="63">
        <v>34631</v>
      </c>
      <c r="AJ160" s="63">
        <v>45657</v>
      </c>
      <c r="AK160" t="s">
        <v>111</v>
      </c>
      <c r="AL160" t="s">
        <v>111</v>
      </c>
      <c r="AM160" t="s">
        <v>111</v>
      </c>
      <c r="AN160" t="s">
        <v>105</v>
      </c>
      <c r="AO160" t="s">
        <v>110</v>
      </c>
      <c r="AP160" t="s">
        <v>109</v>
      </c>
    </row>
    <row r="161" spans="1:42" x14ac:dyDescent="0.25">
      <c r="A161" s="28" t="str">
        <f>"0236"</f>
        <v>0236</v>
      </c>
      <c r="B161">
        <v>236</v>
      </c>
      <c r="C161" t="s">
        <v>2488</v>
      </c>
      <c r="D161" t="s">
        <v>121</v>
      </c>
      <c r="F161" t="s">
        <v>120</v>
      </c>
      <c r="G161" t="s">
        <v>284</v>
      </c>
      <c r="I161" t="s">
        <v>11232</v>
      </c>
      <c r="J161" t="s">
        <v>7</v>
      </c>
      <c r="K161" s="63">
        <v>14549</v>
      </c>
      <c r="L161" s="28">
        <f>DATEDIF(K161,Zwift25!G$1,"Y")</f>
        <v>84</v>
      </c>
      <c r="M161" s="67">
        <f>IF(J161="m",VLOOKUP(L161,'All Solo Adjustments'!A:D,4,FALSE),VLOOKUP(L161,'All Solo Adjustments'!A:J,10,FALSE))</f>
        <v>1.3530092592592592E-2</v>
      </c>
      <c r="N161" s="63"/>
      <c r="O161" s="63"/>
      <c r="P161" s="63"/>
      <c r="Q161" s="63"/>
      <c r="R161" t="s">
        <v>137</v>
      </c>
      <c r="S161" t="s">
        <v>136</v>
      </c>
      <c r="T161" t="s">
        <v>292</v>
      </c>
      <c r="U161" t="s">
        <v>11231</v>
      </c>
      <c r="V161" t="s">
        <v>468</v>
      </c>
      <c r="W161" t="s">
        <v>134</v>
      </c>
      <c r="Y161" t="s">
        <v>11230</v>
      </c>
      <c r="Z161" t="str">
        <f>"01202380329"</f>
        <v>01202380329</v>
      </c>
      <c r="AA161" t="str">
        <f>"01202380329"</f>
        <v>01202380329</v>
      </c>
      <c r="AB161" t="s">
        <v>11229</v>
      </c>
      <c r="AC161" t="s">
        <v>11228</v>
      </c>
      <c r="AD161" t="s">
        <v>114</v>
      </c>
      <c r="AE161" s="63">
        <v>45271</v>
      </c>
      <c r="AF161" t="s">
        <v>113</v>
      </c>
      <c r="AG161" t="s">
        <v>112</v>
      </c>
      <c r="AH161" t="s">
        <v>112</v>
      </c>
      <c r="AI161" s="63">
        <v>30743</v>
      </c>
      <c r="AJ161" s="63">
        <v>45657</v>
      </c>
      <c r="AK161" t="s">
        <v>111</v>
      </c>
      <c r="AL161" t="s">
        <v>111</v>
      </c>
      <c r="AM161" t="s">
        <v>111</v>
      </c>
      <c r="AN161" t="s">
        <v>105</v>
      </c>
      <c r="AO161" t="s">
        <v>110</v>
      </c>
      <c r="AP161" t="s">
        <v>109</v>
      </c>
    </row>
    <row r="162" spans="1:42" x14ac:dyDescent="0.25">
      <c r="A162" s="28" t="str">
        <f>"5252"</f>
        <v>5252</v>
      </c>
      <c r="B162">
        <v>5252</v>
      </c>
      <c r="C162" t="s">
        <v>2488</v>
      </c>
      <c r="D162" t="s">
        <v>121</v>
      </c>
      <c r="F162" t="s">
        <v>120</v>
      </c>
      <c r="G162" t="s">
        <v>820</v>
      </c>
      <c r="H162" t="s">
        <v>1130</v>
      </c>
      <c r="I162" t="s">
        <v>11227</v>
      </c>
      <c r="J162" t="s">
        <v>7</v>
      </c>
      <c r="K162" s="63">
        <v>25998</v>
      </c>
      <c r="L162" s="28">
        <f>DATEDIF(K162,Zwift25!G$1,"Y")</f>
        <v>53</v>
      </c>
      <c r="M162" s="67">
        <f>IF(J162="m",VLOOKUP(L162,'All Solo Adjustments'!A:D,4,FALSE),VLOOKUP(L162,'All Solo Adjustments'!A:J,10,FALSE))</f>
        <v>1.6666666666666668E-3</v>
      </c>
      <c r="N162" s="63"/>
      <c r="O162" s="63"/>
      <c r="P162" s="63"/>
      <c r="Q162" s="63"/>
      <c r="R162" t="s">
        <v>184</v>
      </c>
      <c r="S162" t="s">
        <v>183</v>
      </c>
      <c r="T162" t="s">
        <v>292</v>
      </c>
      <c r="U162" t="s">
        <v>11226</v>
      </c>
      <c r="V162" t="s">
        <v>1077</v>
      </c>
      <c r="Y162" t="s">
        <v>11225</v>
      </c>
      <c r="Z162" t="str">
        <f>"07949 112748"</f>
        <v>07949 112748</v>
      </c>
      <c r="AA162" t="str">
        <f>""</f>
        <v/>
      </c>
      <c r="AB162" t="s">
        <v>1691</v>
      </c>
      <c r="AC162" t="s">
        <v>11224</v>
      </c>
      <c r="AD162" t="s">
        <v>114</v>
      </c>
      <c r="AE162" s="63">
        <v>45325</v>
      </c>
      <c r="AF162" t="s">
        <v>113</v>
      </c>
      <c r="AG162" t="s">
        <v>112</v>
      </c>
      <c r="AH162" t="s">
        <v>112</v>
      </c>
      <c r="AI162" s="63">
        <v>42034</v>
      </c>
      <c r="AJ162" s="63">
        <v>45657</v>
      </c>
      <c r="AK162" t="s">
        <v>111</v>
      </c>
      <c r="AL162" t="s">
        <v>111</v>
      </c>
      <c r="AM162" t="s">
        <v>111</v>
      </c>
      <c r="AN162" t="s">
        <v>105</v>
      </c>
      <c r="AO162" t="s">
        <v>110</v>
      </c>
      <c r="AP162" t="s">
        <v>109</v>
      </c>
    </row>
    <row r="163" spans="1:42" x14ac:dyDescent="0.25">
      <c r="A163" s="28" t="str">
        <f>"14381"</f>
        <v>14381</v>
      </c>
      <c r="B163">
        <v>14381</v>
      </c>
      <c r="C163" t="s">
        <v>2488</v>
      </c>
      <c r="D163" t="s">
        <v>130</v>
      </c>
      <c r="F163" t="s">
        <v>139</v>
      </c>
      <c r="G163" t="s">
        <v>1495</v>
      </c>
      <c r="H163" t="s">
        <v>455</v>
      </c>
      <c r="I163" t="s">
        <v>11223</v>
      </c>
      <c r="J163" t="s">
        <v>126</v>
      </c>
      <c r="K163" s="63">
        <v>20264</v>
      </c>
      <c r="L163" s="28">
        <f>DATEDIF(K163,Zwift25!G$1,"Y")</f>
        <v>69</v>
      </c>
      <c r="M163" s="67">
        <f>IF(J163="m",VLOOKUP(L163,'All Solo Adjustments'!A:D,4,FALSE),VLOOKUP(L163,'All Solo Adjustments'!A:J,10,FALSE))</f>
        <v>1.1145833333333332E-2</v>
      </c>
      <c r="N163" s="63"/>
      <c r="O163" s="63"/>
      <c r="P163" s="63"/>
      <c r="Q163" s="63"/>
      <c r="R163" t="s">
        <v>296</v>
      </c>
      <c r="S163" t="s">
        <v>701</v>
      </c>
      <c r="T163" t="s">
        <v>292</v>
      </c>
      <c r="U163" t="s">
        <v>11221</v>
      </c>
      <c r="V163" t="s">
        <v>11220</v>
      </c>
      <c r="W163" t="s">
        <v>1624</v>
      </c>
      <c r="X163" t="s">
        <v>11219</v>
      </c>
      <c r="Y163" t="s">
        <v>11218</v>
      </c>
      <c r="Z163" t="str">
        <f>"01505654168"</f>
        <v>01505654168</v>
      </c>
      <c r="AA163" t="str">
        <f>"07591686154"</f>
        <v>07591686154</v>
      </c>
      <c r="AB163" t="s">
        <v>294</v>
      </c>
      <c r="AC163" t="s">
        <v>11217</v>
      </c>
      <c r="AD163" t="s">
        <v>114</v>
      </c>
      <c r="AE163" s="63">
        <v>45292</v>
      </c>
      <c r="AF163" t="s">
        <v>113</v>
      </c>
      <c r="AG163" t="s">
        <v>112</v>
      </c>
      <c r="AH163" t="s">
        <v>112</v>
      </c>
      <c r="AI163" s="63">
        <v>43750</v>
      </c>
      <c r="AJ163" s="63">
        <v>45657</v>
      </c>
      <c r="AK163" t="s">
        <v>112</v>
      </c>
      <c r="AL163" t="s">
        <v>111</v>
      </c>
      <c r="AM163" t="s">
        <v>111</v>
      </c>
      <c r="AN163" t="s">
        <v>105</v>
      </c>
      <c r="AO163" t="s">
        <v>122</v>
      </c>
      <c r="AP163" t="s">
        <v>122</v>
      </c>
    </row>
    <row r="164" spans="1:42" x14ac:dyDescent="0.25">
      <c r="A164" s="28" t="str">
        <f>"14380"</f>
        <v>14380</v>
      </c>
      <c r="B164">
        <v>14380</v>
      </c>
      <c r="C164" t="s">
        <v>2488</v>
      </c>
      <c r="D164" t="s">
        <v>132</v>
      </c>
      <c r="E164" t="s">
        <v>584</v>
      </c>
      <c r="F164" t="s">
        <v>120</v>
      </c>
      <c r="G164" t="s">
        <v>712</v>
      </c>
      <c r="I164" t="s">
        <v>11222</v>
      </c>
      <c r="J164" t="s">
        <v>7</v>
      </c>
      <c r="K164" s="63">
        <v>16622</v>
      </c>
      <c r="L164" s="28">
        <f>DATEDIF(K164,Zwift25!G$1,"Y")</f>
        <v>79</v>
      </c>
      <c r="M164" s="67">
        <f>IF(J164="m",VLOOKUP(L164,'All Solo Adjustments'!A:D,4,FALSE),VLOOKUP(L164,'All Solo Adjustments'!A:J,10,FALSE))</f>
        <v>1.0451388888888889E-2</v>
      </c>
      <c r="N164" s="63"/>
      <c r="O164" s="63"/>
      <c r="P164" s="63"/>
      <c r="Q164" s="63"/>
      <c r="R164" t="s">
        <v>296</v>
      </c>
      <c r="S164" t="s">
        <v>701</v>
      </c>
      <c r="T164" t="s">
        <v>292</v>
      </c>
      <c r="U164" t="s">
        <v>11221</v>
      </c>
      <c r="V164" t="s">
        <v>11220</v>
      </c>
      <c r="W164" t="s">
        <v>1624</v>
      </c>
      <c r="X164" t="s">
        <v>11219</v>
      </c>
      <c r="Y164" t="s">
        <v>11218</v>
      </c>
      <c r="Z164" t="str">
        <f>"01505654168"</f>
        <v>01505654168</v>
      </c>
      <c r="AA164" t="str">
        <f>"07591686154"</f>
        <v>07591686154</v>
      </c>
      <c r="AB164" t="s">
        <v>9859</v>
      </c>
      <c r="AC164" t="s">
        <v>11217</v>
      </c>
      <c r="AD164" t="s">
        <v>114</v>
      </c>
      <c r="AE164" s="63">
        <v>45292</v>
      </c>
      <c r="AF164" t="s">
        <v>156</v>
      </c>
      <c r="AG164" t="s">
        <v>112</v>
      </c>
      <c r="AH164" t="s">
        <v>112</v>
      </c>
      <c r="AI164" s="63">
        <v>43750</v>
      </c>
      <c r="AJ164" s="63">
        <v>45657</v>
      </c>
      <c r="AK164" t="s">
        <v>112</v>
      </c>
      <c r="AL164" t="s">
        <v>111</v>
      </c>
      <c r="AM164" t="s">
        <v>111</v>
      </c>
      <c r="AN164">
        <v>18347</v>
      </c>
      <c r="AO164" t="s">
        <v>110</v>
      </c>
      <c r="AP164" t="s">
        <v>109</v>
      </c>
    </row>
    <row r="165" spans="1:42" x14ac:dyDescent="0.25">
      <c r="A165" s="28" t="str">
        <f>"0237"</f>
        <v>0237</v>
      </c>
      <c r="B165">
        <v>237</v>
      </c>
      <c r="C165" t="s">
        <v>2488</v>
      </c>
      <c r="D165" t="s">
        <v>121</v>
      </c>
      <c r="F165" t="s">
        <v>120</v>
      </c>
      <c r="G165" t="s">
        <v>1377</v>
      </c>
      <c r="I165" t="s">
        <v>2208</v>
      </c>
      <c r="J165" t="s">
        <v>7</v>
      </c>
      <c r="K165" s="63">
        <v>17557</v>
      </c>
      <c r="L165" s="28">
        <f>DATEDIF(K165,Zwift25!G$1,"Y")</f>
        <v>76</v>
      </c>
      <c r="M165" s="67">
        <f>IF(J165="m",VLOOKUP(L165,'All Solo Adjustments'!A:D,4,FALSE),VLOOKUP(L165,'All Solo Adjustments'!A:J,10,FALSE))</f>
        <v>8.912037037037036E-3</v>
      </c>
      <c r="N165" s="63"/>
      <c r="O165" s="63"/>
      <c r="P165" s="63"/>
      <c r="Q165" s="63"/>
      <c r="R165" t="s">
        <v>154</v>
      </c>
      <c r="S165" t="s">
        <v>153</v>
      </c>
      <c r="T165" t="s">
        <v>292</v>
      </c>
      <c r="U165" t="s">
        <v>11216</v>
      </c>
      <c r="V165" t="s">
        <v>1186</v>
      </c>
      <c r="W165" t="s">
        <v>11215</v>
      </c>
      <c r="X165" t="s">
        <v>1228</v>
      </c>
      <c r="Y165" t="s">
        <v>11214</v>
      </c>
      <c r="Z165" t="str">
        <f>"07754062111"</f>
        <v>07754062111</v>
      </c>
      <c r="AA165" t="str">
        <f>""</f>
        <v/>
      </c>
      <c r="AB165" t="s">
        <v>1417</v>
      </c>
      <c r="AC165" t="s">
        <v>11213</v>
      </c>
      <c r="AD165" t="s">
        <v>114</v>
      </c>
      <c r="AE165" s="63">
        <v>45296</v>
      </c>
      <c r="AF165" t="s">
        <v>156</v>
      </c>
      <c r="AG165" t="s">
        <v>112</v>
      </c>
      <c r="AH165" t="s">
        <v>112</v>
      </c>
      <c r="AI165" s="63">
        <v>36892</v>
      </c>
      <c r="AJ165" s="63">
        <v>45657</v>
      </c>
      <c r="AK165" t="s">
        <v>111</v>
      </c>
      <c r="AL165" t="s">
        <v>111</v>
      </c>
      <c r="AM165" t="s">
        <v>111</v>
      </c>
      <c r="AN165">
        <v>11305</v>
      </c>
      <c r="AO165" t="s">
        <v>110</v>
      </c>
      <c r="AP165" t="s">
        <v>109</v>
      </c>
    </row>
    <row r="166" spans="1:42" x14ac:dyDescent="0.25">
      <c r="A166" s="28" t="str">
        <f>"0239"</f>
        <v>0239</v>
      </c>
      <c r="B166">
        <v>239</v>
      </c>
      <c r="C166" t="s">
        <v>2488</v>
      </c>
      <c r="D166" t="s">
        <v>121</v>
      </c>
      <c r="F166" t="s">
        <v>120</v>
      </c>
      <c r="G166" t="s">
        <v>481</v>
      </c>
      <c r="I166" t="s">
        <v>2207</v>
      </c>
      <c r="J166" t="s">
        <v>7</v>
      </c>
      <c r="K166" s="63">
        <v>15637</v>
      </c>
      <c r="L166" s="28">
        <f>DATEDIF(K166,Zwift25!G$1,"Y")</f>
        <v>81</v>
      </c>
      <c r="M166" s="67">
        <f>IF(J166="m",VLOOKUP(L166,'All Solo Adjustments'!A:D,4,FALSE),VLOOKUP(L166,'All Solo Adjustments'!A:J,10,FALSE))</f>
        <v>1.1597222222222222E-2</v>
      </c>
      <c r="N166" s="63"/>
      <c r="O166" s="63"/>
      <c r="P166" s="63"/>
      <c r="Q166" s="63"/>
      <c r="R166" t="s">
        <v>213</v>
      </c>
      <c r="S166" t="s">
        <v>2309</v>
      </c>
      <c r="T166" t="s">
        <v>292</v>
      </c>
      <c r="U166" t="s">
        <v>11212</v>
      </c>
      <c r="V166" t="s">
        <v>11211</v>
      </c>
      <c r="W166" t="s">
        <v>5747</v>
      </c>
      <c r="Y166" t="s">
        <v>11210</v>
      </c>
      <c r="Z166" t="str">
        <f>"07809777653"</f>
        <v>07809777653</v>
      </c>
      <c r="AA166" t="str">
        <f>""</f>
        <v/>
      </c>
      <c r="AB166" t="s">
        <v>11209</v>
      </c>
      <c r="AC166" t="s">
        <v>11208</v>
      </c>
      <c r="AD166" t="s">
        <v>145</v>
      </c>
      <c r="AF166" t="s">
        <v>113</v>
      </c>
      <c r="AG166" t="s">
        <v>112</v>
      </c>
      <c r="AH166" t="s">
        <v>112</v>
      </c>
      <c r="AI166" s="63">
        <v>36916</v>
      </c>
      <c r="AK166" t="s">
        <v>111</v>
      </c>
      <c r="AL166" t="s">
        <v>111</v>
      </c>
      <c r="AM166" t="s">
        <v>111</v>
      </c>
      <c r="AN166">
        <v>10573</v>
      </c>
      <c r="AO166" t="s">
        <v>110</v>
      </c>
      <c r="AP166" t="s">
        <v>109</v>
      </c>
    </row>
    <row r="167" spans="1:42" x14ac:dyDescent="0.25">
      <c r="A167" s="28" t="str">
        <f>"15883"</f>
        <v>15883</v>
      </c>
      <c r="B167">
        <v>15883</v>
      </c>
      <c r="C167" t="s">
        <v>2488</v>
      </c>
      <c r="D167" t="s">
        <v>121</v>
      </c>
      <c r="F167" t="s">
        <v>139</v>
      </c>
      <c r="G167" t="s">
        <v>890</v>
      </c>
      <c r="H167" t="s">
        <v>819</v>
      </c>
      <c r="I167" t="s">
        <v>2206</v>
      </c>
      <c r="J167" t="s">
        <v>126</v>
      </c>
      <c r="K167" s="63">
        <v>30503</v>
      </c>
      <c r="L167" s="28">
        <f>DATEDIF(K167,Zwift25!G$1,"Y")</f>
        <v>41</v>
      </c>
      <c r="M167" s="67">
        <f>IF(J167="m",VLOOKUP(L167,'All Solo Adjustments'!A:D,4,FALSE),VLOOKUP(L167,'All Solo Adjustments'!A:J,10,FALSE))</f>
        <v>4.456018518518518E-3</v>
      </c>
      <c r="N167" s="63"/>
      <c r="O167" s="63"/>
      <c r="P167" s="63"/>
      <c r="Q167" s="63"/>
      <c r="R167" t="s">
        <v>328</v>
      </c>
      <c r="S167" t="s">
        <v>327</v>
      </c>
      <c r="T167" t="s">
        <v>292</v>
      </c>
      <c r="U167" t="s">
        <v>11207</v>
      </c>
      <c r="X167" t="s">
        <v>1286</v>
      </c>
      <c r="Y167" t="s">
        <v>11206</v>
      </c>
      <c r="Z167" t="str">
        <f>"07776212023"</f>
        <v>07776212023</v>
      </c>
      <c r="AA167" t="str">
        <f>""</f>
        <v/>
      </c>
      <c r="AB167" t="s">
        <v>11205</v>
      </c>
      <c r="AC167" t="s">
        <v>11204</v>
      </c>
      <c r="AD167" t="s">
        <v>114</v>
      </c>
      <c r="AE167" s="63">
        <v>45319</v>
      </c>
      <c r="AF167" t="s">
        <v>156</v>
      </c>
      <c r="AG167" t="s">
        <v>112</v>
      </c>
      <c r="AH167" t="s">
        <v>112</v>
      </c>
      <c r="AI167" s="63">
        <v>45116</v>
      </c>
      <c r="AJ167" s="63">
        <v>45657</v>
      </c>
      <c r="AK167" t="s">
        <v>112</v>
      </c>
      <c r="AL167" t="s">
        <v>111</v>
      </c>
      <c r="AM167" t="s">
        <v>111</v>
      </c>
      <c r="AN167">
        <v>10792</v>
      </c>
      <c r="AO167" t="s">
        <v>122</v>
      </c>
      <c r="AP167" t="s">
        <v>122</v>
      </c>
    </row>
    <row r="168" spans="1:42" x14ac:dyDescent="0.25">
      <c r="A168" s="28" t="str">
        <f>"0241"</f>
        <v>0241</v>
      </c>
      <c r="B168">
        <v>241</v>
      </c>
      <c r="C168" t="s">
        <v>2488</v>
      </c>
      <c r="D168" t="s">
        <v>121</v>
      </c>
      <c r="F168" t="s">
        <v>120</v>
      </c>
      <c r="G168" t="s">
        <v>284</v>
      </c>
      <c r="I168" t="s">
        <v>11200</v>
      </c>
      <c r="J168" t="s">
        <v>7</v>
      </c>
      <c r="K168" s="63">
        <v>13896</v>
      </c>
      <c r="L168" s="28">
        <f>DATEDIF(K168,Zwift25!G$1,"Y")</f>
        <v>86</v>
      </c>
      <c r="M168" s="67">
        <f>IF(J168="m",VLOOKUP(L168,'All Solo Adjustments'!A:D,4,FALSE),VLOOKUP(L168,'All Solo Adjustments'!A:J,10,FALSE))</f>
        <v>1.4988425925925926E-2</v>
      </c>
      <c r="N168" s="63"/>
      <c r="O168" s="63"/>
      <c r="P168" s="63"/>
      <c r="Q168" s="63"/>
      <c r="R168" t="s">
        <v>159</v>
      </c>
      <c r="S168" t="s">
        <v>570</v>
      </c>
      <c r="T168" t="s">
        <v>292</v>
      </c>
      <c r="U168" t="s">
        <v>11203</v>
      </c>
      <c r="V168" t="s">
        <v>11202</v>
      </c>
      <c r="W168" t="s">
        <v>257</v>
      </c>
      <c r="X168" t="s">
        <v>159</v>
      </c>
      <c r="Y168" t="s">
        <v>11198</v>
      </c>
      <c r="Z168" t="str">
        <f>"01795 842859"</f>
        <v>01795 842859</v>
      </c>
      <c r="AA168" t="str">
        <f>""</f>
        <v/>
      </c>
      <c r="AB168" t="s">
        <v>186</v>
      </c>
      <c r="AD168" t="s">
        <v>145</v>
      </c>
      <c r="AF168" t="s">
        <v>113</v>
      </c>
      <c r="AG168" t="s">
        <v>112</v>
      </c>
      <c r="AH168" t="s">
        <v>112</v>
      </c>
      <c r="AI168" s="63">
        <v>43445</v>
      </c>
      <c r="AK168" t="s">
        <v>111</v>
      </c>
      <c r="AL168" t="s">
        <v>111</v>
      </c>
      <c r="AM168" t="s">
        <v>111</v>
      </c>
      <c r="AN168" t="s">
        <v>105</v>
      </c>
      <c r="AO168" t="s">
        <v>110</v>
      </c>
      <c r="AP168" t="s">
        <v>109</v>
      </c>
    </row>
    <row r="169" spans="1:42" x14ac:dyDescent="0.25">
      <c r="A169" s="28" t="str">
        <f>"12482"</f>
        <v>12482</v>
      </c>
      <c r="B169">
        <v>12482</v>
      </c>
      <c r="C169" t="s">
        <v>2488</v>
      </c>
      <c r="D169" t="s">
        <v>121</v>
      </c>
      <c r="F169" t="s">
        <v>149</v>
      </c>
      <c r="G169" t="s">
        <v>11201</v>
      </c>
      <c r="I169" t="s">
        <v>11200</v>
      </c>
      <c r="J169" t="s">
        <v>126</v>
      </c>
      <c r="K169" s="63">
        <v>3654</v>
      </c>
      <c r="L169" s="28">
        <f>DATEDIF(K169,Zwift25!G$1,"Y")</f>
        <v>114</v>
      </c>
      <c r="M169" s="67" t="e">
        <f>IF(J169="m",VLOOKUP(L169,'All Solo Adjustments'!A:D,4,FALSE),VLOOKUP(L169,'All Solo Adjustments'!A:J,10,FALSE))</f>
        <v>#N/A</v>
      </c>
      <c r="N169" s="63"/>
      <c r="O169" s="63"/>
      <c r="P169" s="63"/>
      <c r="Q169" s="63"/>
      <c r="R169" t="s">
        <v>159</v>
      </c>
      <c r="S169" t="s">
        <v>570</v>
      </c>
      <c r="T169" t="s">
        <v>292</v>
      </c>
      <c r="U169" t="s">
        <v>11199</v>
      </c>
      <c r="V169" t="s">
        <v>257</v>
      </c>
      <c r="W169" t="s">
        <v>159</v>
      </c>
      <c r="Y169" t="s">
        <v>11198</v>
      </c>
      <c r="Z169" t="str">
        <f>"01795 842859"</f>
        <v>01795 842859</v>
      </c>
      <c r="AA169" t="str">
        <f>""</f>
        <v/>
      </c>
      <c r="AB169" t="s">
        <v>186</v>
      </c>
      <c r="AD169" t="s">
        <v>145</v>
      </c>
      <c r="AF169" t="s">
        <v>113</v>
      </c>
      <c r="AG169" t="s">
        <v>111</v>
      </c>
      <c r="AH169" t="s">
        <v>111</v>
      </c>
      <c r="AI169" s="63">
        <v>43445</v>
      </c>
      <c r="AK169" t="s">
        <v>111</v>
      </c>
      <c r="AL169" t="s">
        <v>111</v>
      </c>
      <c r="AM169" t="s">
        <v>111</v>
      </c>
      <c r="AN169" t="s">
        <v>105</v>
      </c>
      <c r="AO169" t="s">
        <v>122</v>
      </c>
      <c r="AP169" t="s">
        <v>122</v>
      </c>
    </row>
    <row r="170" spans="1:42" x14ac:dyDescent="0.25">
      <c r="A170" s="28" t="str">
        <f>"13944"</f>
        <v>13944</v>
      </c>
      <c r="B170">
        <v>13944</v>
      </c>
      <c r="C170" t="s">
        <v>2488</v>
      </c>
      <c r="D170" t="s">
        <v>121</v>
      </c>
      <c r="E170" t="s">
        <v>584</v>
      </c>
      <c r="F170" t="s">
        <v>149</v>
      </c>
      <c r="G170" t="s">
        <v>11197</v>
      </c>
      <c r="H170" t="s">
        <v>1096</v>
      </c>
      <c r="I170" t="s">
        <v>11196</v>
      </c>
      <c r="J170" t="s">
        <v>126</v>
      </c>
      <c r="K170" s="63">
        <v>21130</v>
      </c>
      <c r="L170" s="28">
        <f>DATEDIF(K170,Zwift25!G$1,"Y")</f>
        <v>66</v>
      </c>
      <c r="M170" s="67">
        <f>IF(J170="m",VLOOKUP(L170,'All Solo Adjustments'!A:D,4,FALSE),VLOOKUP(L170,'All Solo Adjustments'!A:J,10,FALSE))</f>
        <v>9.4907407407407406E-3</v>
      </c>
      <c r="N170" s="63"/>
      <c r="O170" s="63"/>
      <c r="P170" s="63"/>
      <c r="Q170" s="63"/>
      <c r="R170" t="s">
        <v>137</v>
      </c>
      <c r="S170" t="s">
        <v>136</v>
      </c>
      <c r="T170" t="s">
        <v>292</v>
      </c>
      <c r="U170" t="s">
        <v>11195</v>
      </c>
      <c r="V170" t="s">
        <v>11194</v>
      </c>
      <c r="W170" t="s">
        <v>11193</v>
      </c>
      <c r="X170" t="s">
        <v>134</v>
      </c>
      <c r="Y170" t="s">
        <v>11192</v>
      </c>
      <c r="Z170" t="str">
        <f>"01308868424"</f>
        <v>01308868424</v>
      </c>
      <c r="AA170" t="str">
        <f>"07957856804"</f>
        <v>07957856804</v>
      </c>
      <c r="AB170" t="s">
        <v>11191</v>
      </c>
      <c r="AC170" t="s">
        <v>11190</v>
      </c>
      <c r="AD170" t="s">
        <v>114</v>
      </c>
      <c r="AE170" s="63">
        <v>45281</v>
      </c>
      <c r="AF170" t="s">
        <v>113</v>
      </c>
      <c r="AG170" t="s">
        <v>112</v>
      </c>
      <c r="AH170" t="s">
        <v>112</v>
      </c>
      <c r="AI170" s="63">
        <v>43462</v>
      </c>
      <c r="AJ170" s="63">
        <v>45657</v>
      </c>
      <c r="AK170" t="s">
        <v>112</v>
      </c>
      <c r="AL170" t="s">
        <v>111</v>
      </c>
      <c r="AM170" t="s">
        <v>111</v>
      </c>
      <c r="AN170">
        <v>28038</v>
      </c>
      <c r="AO170" t="s">
        <v>122</v>
      </c>
      <c r="AP170" t="s">
        <v>122</v>
      </c>
    </row>
    <row r="171" spans="1:42" x14ac:dyDescent="0.25">
      <c r="A171" s="28" t="str">
        <f>"13712"</f>
        <v>13712</v>
      </c>
      <c r="B171">
        <v>13712</v>
      </c>
      <c r="C171" t="s">
        <v>2488</v>
      </c>
      <c r="D171" t="s">
        <v>121</v>
      </c>
      <c r="F171" t="s">
        <v>120</v>
      </c>
      <c r="G171" t="s">
        <v>449</v>
      </c>
      <c r="I171" t="s">
        <v>948</v>
      </c>
      <c r="J171" t="s">
        <v>7</v>
      </c>
      <c r="K171" s="63">
        <v>25759</v>
      </c>
      <c r="L171" s="28">
        <f>DATEDIF(K171,Zwift25!G$1,"Y")</f>
        <v>54</v>
      </c>
      <c r="M171" s="67">
        <f>IF(J171="m",VLOOKUP(L171,'All Solo Adjustments'!A:D,4,FALSE),VLOOKUP(L171,'All Solo Adjustments'!A:J,10,FALSE))</f>
        <v>1.8518518518518517E-3</v>
      </c>
      <c r="N171" s="63"/>
      <c r="O171" s="63"/>
      <c r="P171" s="63"/>
      <c r="Q171" s="63"/>
      <c r="R171" t="s">
        <v>125</v>
      </c>
      <c r="S171" t="s">
        <v>170</v>
      </c>
      <c r="T171" t="s">
        <v>292</v>
      </c>
      <c r="U171" t="s">
        <v>11189</v>
      </c>
      <c r="V171" t="s">
        <v>11188</v>
      </c>
      <c r="W171" t="s">
        <v>1197</v>
      </c>
      <c r="X171" t="s">
        <v>169</v>
      </c>
      <c r="Y171" t="s">
        <v>11187</v>
      </c>
      <c r="Z171" t="str">
        <f>"+441728685317"</f>
        <v>+441728685317</v>
      </c>
      <c r="AA171" t="str">
        <f>""</f>
        <v/>
      </c>
      <c r="AB171" t="s">
        <v>11186</v>
      </c>
      <c r="AC171" t="s">
        <v>11185</v>
      </c>
      <c r="AD171" t="s">
        <v>114</v>
      </c>
      <c r="AE171" s="63">
        <v>45308</v>
      </c>
      <c r="AF171" t="s">
        <v>113</v>
      </c>
      <c r="AG171" t="s">
        <v>112</v>
      </c>
      <c r="AH171" t="s">
        <v>112</v>
      </c>
      <c r="AI171" s="63">
        <v>43293</v>
      </c>
      <c r="AJ171" s="63">
        <v>45657</v>
      </c>
      <c r="AK171" t="s">
        <v>112</v>
      </c>
      <c r="AL171" t="s">
        <v>111</v>
      </c>
      <c r="AM171" t="s">
        <v>111</v>
      </c>
      <c r="AN171">
        <v>2897</v>
      </c>
      <c r="AO171" t="s">
        <v>110</v>
      </c>
      <c r="AP171" t="s">
        <v>109</v>
      </c>
    </row>
    <row r="172" spans="1:42" x14ac:dyDescent="0.25">
      <c r="A172" s="28" t="str">
        <f>"11152"</f>
        <v>11152</v>
      </c>
      <c r="B172">
        <v>11152</v>
      </c>
      <c r="C172" t="s">
        <v>2488</v>
      </c>
      <c r="D172" t="s">
        <v>121</v>
      </c>
      <c r="F172" t="s">
        <v>120</v>
      </c>
      <c r="G172" t="s">
        <v>1029</v>
      </c>
      <c r="I172" t="s">
        <v>11184</v>
      </c>
      <c r="J172" t="s">
        <v>7</v>
      </c>
      <c r="K172" s="63">
        <v>28304</v>
      </c>
      <c r="L172" s="28">
        <f>DATEDIF(K172,Zwift25!G$1,"Y")</f>
        <v>47</v>
      </c>
      <c r="M172" s="67">
        <f>IF(J172="m",VLOOKUP(L172,'All Solo Adjustments'!A:D,4,FALSE),VLOOKUP(L172,'All Solo Adjustments'!A:J,10,FALSE))</f>
        <v>6.9444444444444436E-4</v>
      </c>
      <c r="N172" s="63"/>
      <c r="O172" s="63"/>
      <c r="P172" s="63"/>
      <c r="Q172" s="63"/>
      <c r="R172" t="s">
        <v>180</v>
      </c>
      <c r="S172" t="s">
        <v>179</v>
      </c>
      <c r="T172" t="s">
        <v>292</v>
      </c>
      <c r="U172" t="s">
        <v>11183</v>
      </c>
      <c r="V172" t="s">
        <v>11182</v>
      </c>
      <c r="W172" t="s">
        <v>259</v>
      </c>
      <c r="Y172" t="s">
        <v>11181</v>
      </c>
      <c r="Z172" t="str">
        <f>"07443487326"</f>
        <v>07443487326</v>
      </c>
      <c r="AA172" t="str">
        <f>""</f>
        <v/>
      </c>
      <c r="AB172" t="s">
        <v>216</v>
      </c>
      <c r="AC172" t="s">
        <v>11180</v>
      </c>
      <c r="AD172" t="s">
        <v>114</v>
      </c>
      <c r="AE172" s="63">
        <v>45360</v>
      </c>
      <c r="AF172" t="s">
        <v>156</v>
      </c>
      <c r="AG172" t="s">
        <v>112</v>
      </c>
      <c r="AH172" t="s">
        <v>112</v>
      </c>
      <c r="AI172" s="63">
        <v>43195</v>
      </c>
      <c r="AJ172" s="63">
        <v>45657</v>
      </c>
      <c r="AK172" t="s">
        <v>112</v>
      </c>
      <c r="AL172" t="s">
        <v>111</v>
      </c>
      <c r="AM172" t="s">
        <v>111</v>
      </c>
      <c r="AN172" t="s">
        <v>105</v>
      </c>
      <c r="AO172" t="s">
        <v>110</v>
      </c>
      <c r="AP172" t="s">
        <v>109</v>
      </c>
    </row>
    <row r="173" spans="1:42" x14ac:dyDescent="0.25">
      <c r="A173" s="28" t="str">
        <f>"6415"</f>
        <v>6415</v>
      </c>
      <c r="B173">
        <v>6415</v>
      </c>
      <c r="C173" t="s">
        <v>2488</v>
      </c>
      <c r="D173" t="s">
        <v>121</v>
      </c>
      <c r="E173" t="s">
        <v>584</v>
      </c>
      <c r="F173" t="s">
        <v>120</v>
      </c>
      <c r="G173" t="s">
        <v>11179</v>
      </c>
      <c r="I173" t="s">
        <v>11178</v>
      </c>
      <c r="J173" t="s">
        <v>7</v>
      </c>
      <c r="K173" s="63">
        <v>23007</v>
      </c>
      <c r="L173" s="28">
        <f>DATEDIF(K173,Zwift25!G$1,"Y")</f>
        <v>61</v>
      </c>
      <c r="M173" s="67">
        <f>IF(J173="m",VLOOKUP(L173,'All Solo Adjustments'!A:D,4,FALSE),VLOOKUP(L173,'All Solo Adjustments'!A:J,10,FALSE))</f>
        <v>3.4722222222222225E-3</v>
      </c>
      <c r="N173" s="63"/>
      <c r="O173" s="63"/>
      <c r="P173" s="63"/>
      <c r="Q173" s="63"/>
      <c r="R173" t="s">
        <v>213</v>
      </c>
      <c r="S173" t="s">
        <v>212</v>
      </c>
      <c r="T173" t="s">
        <v>292</v>
      </c>
      <c r="U173" t="s">
        <v>11177</v>
      </c>
      <c r="V173" t="s">
        <v>11176</v>
      </c>
      <c r="W173" t="s">
        <v>1053</v>
      </c>
      <c r="X173" t="s">
        <v>2186</v>
      </c>
      <c r="Y173" t="s">
        <v>11175</v>
      </c>
      <c r="Z173" t="str">
        <f>"07850 744335"</f>
        <v>07850 744335</v>
      </c>
      <c r="AA173" t="str">
        <f>""</f>
        <v/>
      </c>
      <c r="AB173" t="s">
        <v>1052</v>
      </c>
      <c r="AC173" t="s">
        <v>11174</v>
      </c>
      <c r="AD173" t="s">
        <v>114</v>
      </c>
      <c r="AE173" s="63">
        <v>45322</v>
      </c>
      <c r="AF173" t="s">
        <v>156</v>
      </c>
      <c r="AG173" t="s">
        <v>112</v>
      </c>
      <c r="AH173" t="s">
        <v>112</v>
      </c>
      <c r="AI173" s="63">
        <v>43138</v>
      </c>
      <c r="AJ173" s="63">
        <v>45657</v>
      </c>
      <c r="AK173" t="s">
        <v>111</v>
      </c>
      <c r="AL173" t="s">
        <v>111</v>
      </c>
      <c r="AM173" t="s">
        <v>111</v>
      </c>
      <c r="AN173">
        <v>11119</v>
      </c>
      <c r="AO173" t="s">
        <v>110</v>
      </c>
      <c r="AP173" t="s">
        <v>109</v>
      </c>
    </row>
    <row r="174" spans="1:42" x14ac:dyDescent="0.25">
      <c r="A174" s="28" t="str">
        <f>"15315"</f>
        <v>15315</v>
      </c>
      <c r="B174">
        <v>15315</v>
      </c>
      <c r="C174" t="s">
        <v>2488</v>
      </c>
      <c r="D174" t="s">
        <v>121</v>
      </c>
      <c r="F174" t="s">
        <v>120</v>
      </c>
      <c r="G174" t="s">
        <v>373</v>
      </c>
      <c r="I174" t="s">
        <v>11173</v>
      </c>
      <c r="J174" t="s">
        <v>7</v>
      </c>
      <c r="K174" s="63">
        <v>29953</v>
      </c>
      <c r="L174" s="28">
        <f>DATEDIF(K174,Zwift25!G$1,"Y")</f>
        <v>42</v>
      </c>
      <c r="M174" s="67">
        <f>IF(J174="m",VLOOKUP(L174,'All Solo Adjustments'!A:D,4,FALSE),VLOOKUP(L174,'All Solo Adjustments'!A:J,10,FALSE))</f>
        <v>1.5046296296296295E-4</v>
      </c>
      <c r="N174" s="63"/>
      <c r="O174" s="63"/>
      <c r="P174" s="63"/>
      <c r="Q174" s="63"/>
      <c r="R174" t="s">
        <v>154</v>
      </c>
      <c r="S174" t="s">
        <v>153</v>
      </c>
      <c r="T174" t="s">
        <v>292</v>
      </c>
      <c r="U174" t="s">
        <v>11172</v>
      </c>
      <c r="V174" t="s">
        <v>591</v>
      </c>
      <c r="Y174" t="s">
        <v>11171</v>
      </c>
      <c r="Z174" t="str">
        <f>"07787405129"</f>
        <v>07787405129</v>
      </c>
      <c r="AA174" t="str">
        <f>""</f>
        <v/>
      </c>
      <c r="AB174" t="s">
        <v>2035</v>
      </c>
      <c r="AC174" t="s">
        <v>11170</v>
      </c>
      <c r="AD174" t="s">
        <v>114</v>
      </c>
      <c r="AE174" s="63">
        <v>45292</v>
      </c>
      <c r="AF174" t="s">
        <v>156</v>
      </c>
      <c r="AG174" t="s">
        <v>112</v>
      </c>
      <c r="AH174" t="s">
        <v>112</v>
      </c>
      <c r="AI174" s="63">
        <v>44563</v>
      </c>
      <c r="AJ174" s="63">
        <v>45657</v>
      </c>
      <c r="AK174" t="s">
        <v>112</v>
      </c>
      <c r="AL174" t="s">
        <v>111</v>
      </c>
      <c r="AM174" t="s">
        <v>111</v>
      </c>
      <c r="AN174">
        <v>15711</v>
      </c>
      <c r="AO174" t="s">
        <v>110</v>
      </c>
      <c r="AP174" t="s">
        <v>109</v>
      </c>
    </row>
    <row r="175" spans="1:42" x14ac:dyDescent="0.25">
      <c r="A175" s="28" t="str">
        <f>"15915"</f>
        <v>15915</v>
      </c>
      <c r="B175">
        <v>15915</v>
      </c>
      <c r="C175" t="s">
        <v>2488</v>
      </c>
      <c r="D175" t="s">
        <v>121</v>
      </c>
      <c r="F175" t="s">
        <v>120</v>
      </c>
      <c r="G175" t="s">
        <v>334</v>
      </c>
      <c r="I175" t="s">
        <v>2203</v>
      </c>
      <c r="J175" t="s">
        <v>7</v>
      </c>
      <c r="K175" s="63">
        <v>24707</v>
      </c>
      <c r="L175" s="28">
        <f>DATEDIF(K175,Zwift25!G$1,"Y")</f>
        <v>57</v>
      </c>
      <c r="M175" s="67">
        <f>IF(J175="m",VLOOKUP(L175,'All Solo Adjustments'!A:D,4,FALSE),VLOOKUP(L175,'All Solo Adjustments'!A:J,10,FALSE))</f>
        <v>2.488425925925926E-3</v>
      </c>
      <c r="N175" s="63"/>
      <c r="O175" s="63"/>
      <c r="P175" s="63"/>
      <c r="Q175" s="63"/>
      <c r="R175" t="s">
        <v>198</v>
      </c>
      <c r="S175" t="s">
        <v>461</v>
      </c>
      <c r="T175" t="s">
        <v>292</v>
      </c>
      <c r="U175" t="s">
        <v>11169</v>
      </c>
      <c r="V175" t="s">
        <v>1936</v>
      </c>
      <c r="W175" t="s">
        <v>1859</v>
      </c>
      <c r="X175" t="s">
        <v>968</v>
      </c>
      <c r="Y175" t="s">
        <v>11168</v>
      </c>
      <c r="Z175" t="str">
        <f>"07837353937"</f>
        <v>07837353937</v>
      </c>
      <c r="AA175" t="str">
        <f>""</f>
        <v/>
      </c>
      <c r="AB175" t="s">
        <v>967</v>
      </c>
      <c r="AC175" t="s">
        <v>11167</v>
      </c>
      <c r="AD175" t="s">
        <v>114</v>
      </c>
      <c r="AE175" s="63">
        <v>45293</v>
      </c>
      <c r="AF175" t="s">
        <v>156</v>
      </c>
      <c r="AG175" t="s">
        <v>112</v>
      </c>
      <c r="AH175" t="s">
        <v>112</v>
      </c>
      <c r="AI175" s="63">
        <v>45159</v>
      </c>
      <c r="AJ175" s="63">
        <v>45657</v>
      </c>
      <c r="AK175" t="s">
        <v>112</v>
      </c>
      <c r="AL175" t="s">
        <v>111</v>
      </c>
      <c r="AM175" t="s">
        <v>111</v>
      </c>
      <c r="AN175">
        <v>43495</v>
      </c>
      <c r="AO175" t="s">
        <v>110</v>
      </c>
      <c r="AP175" t="s">
        <v>109</v>
      </c>
    </row>
    <row r="176" spans="1:42" x14ac:dyDescent="0.25">
      <c r="A176" s="28" t="str">
        <f>"6454"</f>
        <v>6454</v>
      </c>
      <c r="B176">
        <v>6454</v>
      </c>
      <c r="C176" t="s">
        <v>2488</v>
      </c>
      <c r="D176" t="s">
        <v>121</v>
      </c>
      <c r="F176" t="s">
        <v>120</v>
      </c>
      <c r="G176" t="s">
        <v>164</v>
      </c>
      <c r="I176" t="s">
        <v>11166</v>
      </c>
      <c r="J176" t="s">
        <v>7</v>
      </c>
      <c r="K176" s="63">
        <v>19104</v>
      </c>
      <c r="L176" s="28">
        <f>DATEDIF(K176,Zwift25!G$1,"Y")</f>
        <v>72</v>
      </c>
      <c r="M176" s="67">
        <f>IF(J176="m",VLOOKUP(L176,'All Solo Adjustments'!A:D,4,FALSE),VLOOKUP(L176,'All Solo Adjustments'!A:J,10,FALSE))</f>
        <v>7.129629629629629E-3</v>
      </c>
      <c r="N176" s="63"/>
      <c r="O176" s="63"/>
      <c r="P176" s="63"/>
      <c r="Q176" s="63"/>
      <c r="R176" t="s">
        <v>198</v>
      </c>
      <c r="S176" t="s">
        <v>461</v>
      </c>
      <c r="T176" t="s">
        <v>292</v>
      </c>
      <c r="U176" t="s">
        <v>11165</v>
      </c>
      <c r="V176" t="s">
        <v>11164</v>
      </c>
      <c r="W176" t="s">
        <v>532</v>
      </c>
      <c r="Y176" t="s">
        <v>11163</v>
      </c>
      <c r="Z176" t="str">
        <f>"07982 723508"</f>
        <v>07982 723508</v>
      </c>
      <c r="AA176" t="str">
        <f>""</f>
        <v/>
      </c>
      <c r="AB176" t="s">
        <v>607</v>
      </c>
      <c r="AC176" t="s">
        <v>11162</v>
      </c>
      <c r="AD176" t="s">
        <v>114</v>
      </c>
      <c r="AE176" s="63">
        <v>45357</v>
      </c>
      <c r="AF176" t="s">
        <v>156</v>
      </c>
      <c r="AG176" t="s">
        <v>112</v>
      </c>
      <c r="AH176" t="s">
        <v>112</v>
      </c>
      <c r="AI176" s="63">
        <v>43124</v>
      </c>
      <c r="AJ176" s="63">
        <v>45657</v>
      </c>
      <c r="AK176" t="s">
        <v>111</v>
      </c>
      <c r="AL176" t="s">
        <v>111</v>
      </c>
      <c r="AM176" t="s">
        <v>111</v>
      </c>
      <c r="AN176">
        <v>8687</v>
      </c>
      <c r="AO176" t="s">
        <v>110</v>
      </c>
      <c r="AP176" t="s">
        <v>109</v>
      </c>
    </row>
    <row r="177" spans="1:42" x14ac:dyDescent="0.25">
      <c r="A177" s="28" t="str">
        <f>"16067"</f>
        <v>16067</v>
      </c>
      <c r="B177">
        <v>16067</v>
      </c>
      <c r="C177" t="s">
        <v>2488</v>
      </c>
      <c r="D177" t="s">
        <v>121</v>
      </c>
      <c r="E177" t="s">
        <v>584</v>
      </c>
      <c r="F177" t="s">
        <v>120</v>
      </c>
      <c r="G177" t="s">
        <v>291</v>
      </c>
      <c r="H177" t="s">
        <v>1610</v>
      </c>
      <c r="I177" t="s">
        <v>11161</v>
      </c>
      <c r="J177" t="s">
        <v>7</v>
      </c>
      <c r="K177" s="63">
        <v>27408</v>
      </c>
      <c r="L177" s="28">
        <f>DATEDIF(K177,Zwift25!G$1,"Y")</f>
        <v>49</v>
      </c>
      <c r="M177" s="67">
        <f>IF(J177="m",VLOOKUP(L177,'All Solo Adjustments'!A:D,4,FALSE),VLOOKUP(L177,'All Solo Adjustments'!A:J,10,FALSE))</f>
        <v>9.837962962962962E-4</v>
      </c>
      <c r="N177" s="63"/>
      <c r="O177" s="63"/>
      <c r="P177" s="63"/>
      <c r="Q177" s="63"/>
      <c r="R177" t="s">
        <v>198</v>
      </c>
      <c r="S177" t="s">
        <v>461</v>
      </c>
      <c r="T177" t="s">
        <v>292</v>
      </c>
      <c r="U177" t="s">
        <v>11160</v>
      </c>
      <c r="V177" t="s">
        <v>2178</v>
      </c>
      <c r="W177" t="s">
        <v>2075</v>
      </c>
      <c r="X177" t="s">
        <v>1689</v>
      </c>
      <c r="Y177" t="s">
        <v>11159</v>
      </c>
      <c r="Z177" t="str">
        <f>"07811655865"</f>
        <v>07811655865</v>
      </c>
      <c r="AA177" t="str">
        <f>""</f>
        <v/>
      </c>
      <c r="AB177" t="s">
        <v>11158</v>
      </c>
      <c r="AC177" t="s">
        <v>11157</v>
      </c>
      <c r="AD177" t="s">
        <v>114</v>
      </c>
      <c r="AE177" s="63">
        <v>45369</v>
      </c>
      <c r="AF177" t="s">
        <v>156</v>
      </c>
      <c r="AG177" t="s">
        <v>112</v>
      </c>
      <c r="AH177" t="s">
        <v>112</v>
      </c>
      <c r="AI177" s="63">
        <v>45369</v>
      </c>
      <c r="AJ177" s="63">
        <v>45657</v>
      </c>
      <c r="AK177" t="s">
        <v>112</v>
      </c>
      <c r="AL177" t="s">
        <v>111</v>
      </c>
      <c r="AM177" t="s">
        <v>111</v>
      </c>
      <c r="AN177">
        <v>6614</v>
      </c>
      <c r="AO177" t="s">
        <v>110</v>
      </c>
      <c r="AP177" t="s">
        <v>109</v>
      </c>
    </row>
    <row r="178" spans="1:42" x14ac:dyDescent="0.25">
      <c r="A178" s="28" t="str">
        <f>"14691"</f>
        <v>14691</v>
      </c>
      <c r="B178">
        <v>14691</v>
      </c>
      <c r="C178" t="s">
        <v>2488</v>
      </c>
      <c r="D178" t="s">
        <v>121</v>
      </c>
      <c r="F178" t="s">
        <v>120</v>
      </c>
      <c r="G178" t="s">
        <v>251</v>
      </c>
      <c r="H178" t="s">
        <v>195</v>
      </c>
      <c r="I178" t="s">
        <v>11156</v>
      </c>
      <c r="J178" t="s">
        <v>7</v>
      </c>
      <c r="K178" s="63">
        <v>19765</v>
      </c>
      <c r="L178" s="28">
        <f>DATEDIF(K178,Zwift25!G$1,"Y")</f>
        <v>70</v>
      </c>
      <c r="M178" s="67">
        <f>IF(J178="m",VLOOKUP(L178,'All Solo Adjustments'!A:D,4,FALSE),VLOOKUP(L178,'All Solo Adjustments'!A:J,10,FALSE))</f>
        <v>6.3425925925925924E-3</v>
      </c>
      <c r="N178" s="63"/>
      <c r="O178" s="63"/>
      <c r="P178" s="63"/>
      <c r="Q178" s="63"/>
      <c r="R178" t="s">
        <v>239</v>
      </c>
      <c r="S178" t="s">
        <v>274</v>
      </c>
      <c r="T178" t="s">
        <v>292</v>
      </c>
      <c r="U178" t="s">
        <v>11155</v>
      </c>
      <c r="W178" t="s">
        <v>4022</v>
      </c>
      <c r="X178" t="s">
        <v>960</v>
      </c>
      <c r="Y178" t="s">
        <v>11154</v>
      </c>
      <c r="Z178" t="str">
        <f>"07963736014"</f>
        <v>07963736014</v>
      </c>
      <c r="AA178" t="str">
        <f>""</f>
        <v/>
      </c>
      <c r="AB178" t="s">
        <v>2313</v>
      </c>
      <c r="AC178" t="s">
        <v>11153</v>
      </c>
      <c r="AD178" t="s">
        <v>114</v>
      </c>
      <c r="AE178" s="63">
        <v>45262</v>
      </c>
      <c r="AF178" t="s">
        <v>156</v>
      </c>
      <c r="AG178" t="s">
        <v>112</v>
      </c>
      <c r="AH178" t="s">
        <v>112</v>
      </c>
      <c r="AI178" s="63">
        <v>44068</v>
      </c>
      <c r="AJ178" s="63">
        <v>45657</v>
      </c>
      <c r="AK178" t="s">
        <v>112</v>
      </c>
      <c r="AL178" t="s">
        <v>111</v>
      </c>
      <c r="AM178" t="s">
        <v>111</v>
      </c>
      <c r="AN178">
        <v>23331</v>
      </c>
      <c r="AO178" t="s">
        <v>110</v>
      </c>
      <c r="AP178" t="s">
        <v>109</v>
      </c>
    </row>
    <row r="179" spans="1:42" x14ac:dyDescent="0.25">
      <c r="A179" s="28" t="str">
        <f>"13922"</f>
        <v>13922</v>
      </c>
      <c r="B179">
        <v>13922</v>
      </c>
      <c r="C179" t="s">
        <v>2488</v>
      </c>
      <c r="D179" t="s">
        <v>121</v>
      </c>
      <c r="E179" t="s">
        <v>584</v>
      </c>
      <c r="F179" t="s">
        <v>120</v>
      </c>
      <c r="G179" t="s">
        <v>231</v>
      </c>
      <c r="I179" t="s">
        <v>2201</v>
      </c>
      <c r="J179" t="s">
        <v>7</v>
      </c>
      <c r="K179" s="63">
        <v>19499</v>
      </c>
      <c r="L179" s="28">
        <f>DATEDIF(K179,Zwift25!G$1,"Y")</f>
        <v>71</v>
      </c>
      <c r="M179" s="67">
        <f>IF(J179="m",VLOOKUP(L179,'All Solo Adjustments'!A:D,4,FALSE),VLOOKUP(L179,'All Solo Adjustments'!A:J,10,FALSE))</f>
        <v>6.7245370370370375E-3</v>
      </c>
      <c r="N179" s="63"/>
      <c r="O179" s="63"/>
      <c r="P179" s="63"/>
      <c r="Q179" s="63"/>
      <c r="R179" t="s">
        <v>213</v>
      </c>
      <c r="S179" t="s">
        <v>212</v>
      </c>
      <c r="T179" t="s">
        <v>292</v>
      </c>
      <c r="U179" t="s">
        <v>11152</v>
      </c>
      <c r="V179" t="s">
        <v>1906</v>
      </c>
      <c r="W179" t="s">
        <v>503</v>
      </c>
      <c r="X179" t="s">
        <v>213</v>
      </c>
      <c r="Y179" t="s">
        <v>11151</v>
      </c>
      <c r="Z179" t="str">
        <f>"07976847247"</f>
        <v>07976847247</v>
      </c>
      <c r="AA179" t="str">
        <f>"01516786110"</f>
        <v>01516786110</v>
      </c>
      <c r="AB179" t="s">
        <v>11150</v>
      </c>
      <c r="AC179" t="s">
        <v>11149</v>
      </c>
      <c r="AD179" t="s">
        <v>114</v>
      </c>
      <c r="AE179" s="63">
        <v>45263</v>
      </c>
      <c r="AF179" t="s">
        <v>156</v>
      </c>
      <c r="AG179" t="s">
        <v>112</v>
      </c>
      <c r="AH179" t="s">
        <v>112</v>
      </c>
      <c r="AI179" s="63">
        <v>43443</v>
      </c>
      <c r="AJ179" s="63">
        <v>45657</v>
      </c>
      <c r="AK179" t="s">
        <v>112</v>
      </c>
      <c r="AL179" t="s">
        <v>111</v>
      </c>
      <c r="AM179" t="s">
        <v>111</v>
      </c>
      <c r="AN179">
        <v>27952</v>
      </c>
      <c r="AO179" t="s">
        <v>110</v>
      </c>
      <c r="AP179" t="s">
        <v>109</v>
      </c>
    </row>
    <row r="180" spans="1:42" x14ac:dyDescent="0.25">
      <c r="A180" s="28" t="str">
        <f>"0248"</f>
        <v>0248</v>
      </c>
      <c r="B180">
        <v>248</v>
      </c>
      <c r="C180" t="s">
        <v>2488</v>
      </c>
      <c r="D180" t="s">
        <v>130</v>
      </c>
      <c r="F180" t="s">
        <v>120</v>
      </c>
      <c r="G180" t="s">
        <v>227</v>
      </c>
      <c r="I180" t="s">
        <v>2200</v>
      </c>
      <c r="J180" t="s">
        <v>7</v>
      </c>
      <c r="K180" s="63">
        <v>16396</v>
      </c>
      <c r="L180" s="28">
        <f>DATEDIF(K180,Zwift25!G$1,"Y")</f>
        <v>79</v>
      </c>
      <c r="M180" s="67">
        <f>IF(J180="m",VLOOKUP(L180,'All Solo Adjustments'!A:D,4,FALSE),VLOOKUP(L180,'All Solo Adjustments'!A:J,10,FALSE))</f>
        <v>1.0451388888888889E-2</v>
      </c>
      <c r="N180" s="63"/>
      <c r="O180" s="63"/>
      <c r="P180" s="63"/>
      <c r="Q180" s="63"/>
      <c r="R180" t="s">
        <v>180</v>
      </c>
      <c r="S180" t="s">
        <v>1741</v>
      </c>
      <c r="T180" t="s">
        <v>292</v>
      </c>
      <c r="U180" t="s">
        <v>11147</v>
      </c>
      <c r="V180" t="s">
        <v>11146</v>
      </c>
      <c r="W180" t="s">
        <v>1121</v>
      </c>
      <c r="Y180" t="s">
        <v>11145</v>
      </c>
      <c r="Z180" t="str">
        <f>"01332 763775"</f>
        <v>01332 763775</v>
      </c>
      <c r="AA180" t="str">
        <f>""</f>
        <v/>
      </c>
      <c r="AB180" t="s">
        <v>2023</v>
      </c>
      <c r="AC180" t="s">
        <v>11148</v>
      </c>
      <c r="AD180" t="s">
        <v>114</v>
      </c>
      <c r="AE180" s="63">
        <v>45272</v>
      </c>
      <c r="AF180" t="s">
        <v>156</v>
      </c>
      <c r="AG180" t="s">
        <v>112</v>
      </c>
      <c r="AH180" t="s">
        <v>112</v>
      </c>
      <c r="AI180" s="63">
        <v>43438</v>
      </c>
      <c r="AJ180" s="63">
        <v>45657</v>
      </c>
      <c r="AK180" t="s">
        <v>111</v>
      </c>
      <c r="AL180" t="s">
        <v>111</v>
      </c>
      <c r="AM180" t="s">
        <v>111</v>
      </c>
      <c r="AN180" t="s">
        <v>105</v>
      </c>
      <c r="AO180" t="s">
        <v>110</v>
      </c>
      <c r="AP180" t="s">
        <v>109</v>
      </c>
    </row>
    <row r="181" spans="1:42" x14ac:dyDescent="0.25">
      <c r="A181" s="28" t="str">
        <f>"10320"</f>
        <v>10320</v>
      </c>
      <c r="B181">
        <v>10320</v>
      </c>
      <c r="C181" t="s">
        <v>2488</v>
      </c>
      <c r="D181" t="s">
        <v>132</v>
      </c>
      <c r="F181" t="s">
        <v>120</v>
      </c>
      <c r="G181" t="s">
        <v>659</v>
      </c>
      <c r="I181" t="s">
        <v>2200</v>
      </c>
      <c r="J181" t="s">
        <v>126</v>
      </c>
      <c r="K181" s="63">
        <v>18703</v>
      </c>
      <c r="L181" s="28">
        <f>DATEDIF(K181,Zwift25!G$1,"Y")</f>
        <v>73</v>
      </c>
      <c r="M181" s="67">
        <f>IF(J181="m",VLOOKUP(L181,'All Solo Adjustments'!A:D,4,FALSE),VLOOKUP(L181,'All Solo Adjustments'!A:J,10,FALSE))</f>
        <v>1.2928240740740742E-2</v>
      </c>
      <c r="N181" s="63"/>
      <c r="O181" s="63"/>
      <c r="P181" s="63"/>
      <c r="Q181" s="63"/>
      <c r="R181" t="s">
        <v>180</v>
      </c>
      <c r="S181" t="s">
        <v>1741</v>
      </c>
      <c r="T181" t="s">
        <v>292</v>
      </c>
      <c r="U181" t="s">
        <v>11147</v>
      </c>
      <c r="V181" t="s">
        <v>11146</v>
      </c>
      <c r="W181" t="s">
        <v>1121</v>
      </c>
      <c r="Y181" t="s">
        <v>11145</v>
      </c>
      <c r="Z181" t="str">
        <f>"01332 763775"</f>
        <v>01332 763775</v>
      </c>
      <c r="AA181" t="str">
        <f>""</f>
        <v/>
      </c>
      <c r="AB181" t="s">
        <v>2023</v>
      </c>
      <c r="AC181" t="s">
        <v>11144</v>
      </c>
      <c r="AD181" t="s">
        <v>114</v>
      </c>
      <c r="AE181" s="63">
        <v>45272</v>
      </c>
      <c r="AF181" t="s">
        <v>156</v>
      </c>
      <c r="AG181" t="s">
        <v>112</v>
      </c>
      <c r="AH181" t="s">
        <v>112</v>
      </c>
      <c r="AI181" s="63">
        <v>40208</v>
      </c>
      <c r="AJ181" s="63">
        <v>45657</v>
      </c>
      <c r="AK181" t="s">
        <v>111</v>
      </c>
      <c r="AL181" t="s">
        <v>111</v>
      </c>
      <c r="AM181" t="s">
        <v>111</v>
      </c>
      <c r="AN181" t="s">
        <v>105</v>
      </c>
      <c r="AO181" t="s">
        <v>122</v>
      </c>
      <c r="AP181" t="s">
        <v>122</v>
      </c>
    </row>
    <row r="182" spans="1:42" x14ac:dyDescent="0.25">
      <c r="A182" s="28" t="str">
        <f>"14824"</f>
        <v>14824</v>
      </c>
      <c r="B182">
        <v>14824</v>
      </c>
      <c r="C182" t="s">
        <v>2488</v>
      </c>
      <c r="D182" t="s">
        <v>121</v>
      </c>
      <c r="F182" t="s">
        <v>120</v>
      </c>
      <c r="G182" t="s">
        <v>400</v>
      </c>
      <c r="H182" t="s">
        <v>284</v>
      </c>
      <c r="I182" t="s">
        <v>11143</v>
      </c>
      <c r="J182" t="s">
        <v>7</v>
      </c>
      <c r="K182" s="63">
        <v>22891</v>
      </c>
      <c r="L182" s="28">
        <f>DATEDIF(K182,Zwift25!G$1,"Y")</f>
        <v>62</v>
      </c>
      <c r="M182" s="67">
        <f>IF(J182="m",VLOOKUP(L182,'All Solo Adjustments'!A:D,4,FALSE),VLOOKUP(L182,'All Solo Adjustments'!A:J,10,FALSE))</f>
        <v>3.7384259259259259E-3</v>
      </c>
      <c r="N182" s="63"/>
      <c r="O182" s="63"/>
      <c r="P182" s="63"/>
      <c r="Q182" s="63"/>
      <c r="R182" t="s">
        <v>184</v>
      </c>
      <c r="S182" t="s">
        <v>183</v>
      </c>
      <c r="T182" t="s">
        <v>292</v>
      </c>
      <c r="U182" t="s">
        <v>11142</v>
      </c>
      <c r="V182" t="s">
        <v>1175</v>
      </c>
      <c r="Y182" t="s">
        <v>11141</v>
      </c>
      <c r="Z182" t="str">
        <f>"07973666702"</f>
        <v>07973666702</v>
      </c>
      <c r="AA182" t="str">
        <f>""</f>
        <v/>
      </c>
      <c r="AB182" t="s">
        <v>11140</v>
      </c>
      <c r="AC182" t="s">
        <v>11139</v>
      </c>
      <c r="AD182" t="s">
        <v>114</v>
      </c>
      <c r="AE182" s="63">
        <v>45264</v>
      </c>
      <c r="AF182" t="s">
        <v>156</v>
      </c>
      <c r="AG182" t="s">
        <v>112</v>
      </c>
      <c r="AH182" t="s">
        <v>112</v>
      </c>
      <c r="AI182" s="63">
        <v>44210</v>
      </c>
      <c r="AJ182" s="63">
        <v>45657</v>
      </c>
      <c r="AK182" t="s">
        <v>112</v>
      </c>
      <c r="AL182" t="s">
        <v>111</v>
      </c>
      <c r="AM182" t="s">
        <v>111</v>
      </c>
      <c r="AN182">
        <v>21234</v>
      </c>
      <c r="AO182" t="s">
        <v>110</v>
      </c>
      <c r="AP182" t="s">
        <v>109</v>
      </c>
    </row>
    <row r="183" spans="1:42" x14ac:dyDescent="0.25">
      <c r="A183" s="28" t="str">
        <f>"16016"</f>
        <v>16016</v>
      </c>
      <c r="B183">
        <v>16016</v>
      </c>
      <c r="C183" t="s">
        <v>2488</v>
      </c>
      <c r="D183" t="s">
        <v>121</v>
      </c>
      <c r="E183" t="s">
        <v>584</v>
      </c>
      <c r="F183" t="s">
        <v>120</v>
      </c>
      <c r="G183" t="s">
        <v>245</v>
      </c>
      <c r="H183" t="s">
        <v>1464</v>
      </c>
      <c r="I183" t="s">
        <v>11138</v>
      </c>
      <c r="J183" t="s">
        <v>7</v>
      </c>
      <c r="K183" s="63">
        <v>29507</v>
      </c>
      <c r="L183" s="28">
        <f>DATEDIF(K183,Zwift25!G$1,"Y")</f>
        <v>44</v>
      </c>
      <c r="M183" s="67">
        <f>IF(J183="m",VLOOKUP(L183,'All Solo Adjustments'!A:D,4,FALSE),VLOOKUP(L183,'All Solo Adjustments'!A:J,10,FALSE))</f>
        <v>3.3564814814814818E-4</v>
      </c>
      <c r="N183" s="63"/>
      <c r="O183" s="63"/>
      <c r="P183" s="63"/>
      <c r="Q183" s="63"/>
      <c r="R183" t="s">
        <v>527</v>
      </c>
      <c r="S183" t="s">
        <v>526</v>
      </c>
      <c r="T183" t="s">
        <v>292</v>
      </c>
      <c r="U183" t="s">
        <v>11137</v>
      </c>
      <c r="V183" t="s">
        <v>11136</v>
      </c>
      <c r="W183" t="s">
        <v>1067</v>
      </c>
      <c r="X183" t="s">
        <v>834</v>
      </c>
      <c r="Y183" t="s">
        <v>11135</v>
      </c>
      <c r="Z183" t="str">
        <f>"07746949362"</f>
        <v>07746949362</v>
      </c>
      <c r="AA183" t="str">
        <f>""</f>
        <v/>
      </c>
      <c r="AB183" t="s">
        <v>1304</v>
      </c>
      <c r="AC183" t="s">
        <v>11134</v>
      </c>
      <c r="AD183" t="s">
        <v>114</v>
      </c>
      <c r="AE183" s="63">
        <v>45325</v>
      </c>
      <c r="AF183" t="s">
        <v>156</v>
      </c>
      <c r="AG183" t="s">
        <v>112</v>
      </c>
      <c r="AH183" t="s">
        <v>112</v>
      </c>
      <c r="AI183" s="63">
        <v>45325</v>
      </c>
      <c r="AJ183" s="63">
        <v>45657</v>
      </c>
      <c r="AK183" t="s">
        <v>112</v>
      </c>
      <c r="AL183" t="s">
        <v>112</v>
      </c>
      <c r="AM183" t="s">
        <v>111</v>
      </c>
      <c r="AN183">
        <v>40195</v>
      </c>
      <c r="AO183" t="s">
        <v>110</v>
      </c>
      <c r="AP183" t="s">
        <v>109</v>
      </c>
    </row>
    <row r="184" spans="1:42" x14ac:dyDescent="0.25">
      <c r="A184" s="28" t="str">
        <f>"4300"</f>
        <v>4300</v>
      </c>
      <c r="B184">
        <v>4300</v>
      </c>
      <c r="C184" t="s">
        <v>2488</v>
      </c>
      <c r="D184" t="s">
        <v>121</v>
      </c>
      <c r="E184" t="s">
        <v>3363</v>
      </c>
      <c r="F184" t="s">
        <v>120</v>
      </c>
      <c r="G184" t="s">
        <v>195</v>
      </c>
      <c r="H184" t="s">
        <v>284</v>
      </c>
      <c r="I184" t="s">
        <v>11133</v>
      </c>
      <c r="J184" t="s">
        <v>7</v>
      </c>
      <c r="K184" s="63">
        <v>20448</v>
      </c>
      <c r="L184" s="28">
        <f>DATEDIF(K184,Zwift25!G$1,"Y")</f>
        <v>68</v>
      </c>
      <c r="M184" s="67">
        <f>IF(J184="m",VLOOKUP(L184,'All Solo Adjustments'!A:D,4,FALSE),VLOOKUP(L184,'All Solo Adjustments'!A:J,10,FALSE))</f>
        <v>5.6134259259259262E-3</v>
      </c>
      <c r="N184" s="63"/>
      <c r="O184" s="63"/>
      <c r="P184" s="63"/>
      <c r="Q184" s="63"/>
      <c r="R184" t="s">
        <v>137</v>
      </c>
      <c r="S184" t="s">
        <v>136</v>
      </c>
      <c r="T184" t="s">
        <v>292</v>
      </c>
      <c r="U184" t="s">
        <v>11132</v>
      </c>
      <c r="V184" t="s">
        <v>2191</v>
      </c>
      <c r="W184" t="s">
        <v>141</v>
      </c>
      <c r="Y184" t="s">
        <v>11131</v>
      </c>
      <c r="Z184" t="str">
        <f>"01428648740"</f>
        <v>01428648740</v>
      </c>
      <c r="AA184" t="str">
        <f>"07817793282"</f>
        <v>07817793282</v>
      </c>
      <c r="AB184" t="s">
        <v>378</v>
      </c>
      <c r="AC184" t="s">
        <v>11130</v>
      </c>
      <c r="AD184" t="s">
        <v>114</v>
      </c>
      <c r="AE184" s="63">
        <v>45270</v>
      </c>
      <c r="AF184" t="s">
        <v>156</v>
      </c>
      <c r="AG184" t="s">
        <v>112</v>
      </c>
      <c r="AH184" t="s">
        <v>112</v>
      </c>
      <c r="AI184" s="63">
        <v>40711</v>
      </c>
      <c r="AJ184" s="63">
        <v>45657</v>
      </c>
      <c r="AK184" t="s">
        <v>111</v>
      </c>
      <c r="AL184" t="s">
        <v>111</v>
      </c>
      <c r="AM184" t="s">
        <v>111</v>
      </c>
      <c r="AN184">
        <v>1206</v>
      </c>
      <c r="AO184" t="s">
        <v>110</v>
      </c>
      <c r="AP184" t="s">
        <v>109</v>
      </c>
    </row>
    <row r="185" spans="1:42" x14ac:dyDescent="0.25">
      <c r="A185" s="28" t="str">
        <f>"3658"</f>
        <v>3658</v>
      </c>
      <c r="B185">
        <v>3658</v>
      </c>
      <c r="C185" t="s">
        <v>2488</v>
      </c>
      <c r="D185" t="s">
        <v>121</v>
      </c>
      <c r="F185" t="s">
        <v>120</v>
      </c>
      <c r="G185" t="s">
        <v>649</v>
      </c>
      <c r="I185" t="s">
        <v>537</v>
      </c>
      <c r="J185" t="s">
        <v>7</v>
      </c>
      <c r="K185" s="63">
        <v>11595</v>
      </c>
      <c r="L185" s="28">
        <f>DATEDIF(K185,Zwift25!G$1,"Y")</f>
        <v>93</v>
      </c>
      <c r="M185" s="67">
        <f>IF(J185="m",VLOOKUP(L185,'All Solo Adjustments'!A:D,4,FALSE),VLOOKUP(L185,'All Solo Adjustments'!A:J,10,FALSE))</f>
        <v>2.1516203703703704E-2</v>
      </c>
      <c r="N185" s="63"/>
      <c r="O185" s="63"/>
      <c r="P185" s="63"/>
      <c r="Q185" s="63"/>
      <c r="R185" t="s">
        <v>154</v>
      </c>
      <c r="S185" t="s">
        <v>153</v>
      </c>
      <c r="T185" t="s">
        <v>292</v>
      </c>
      <c r="U185" t="s">
        <v>11129</v>
      </c>
      <c r="V185" t="s">
        <v>11128</v>
      </c>
      <c r="W185" t="s">
        <v>669</v>
      </c>
      <c r="Y185" t="s">
        <v>11127</v>
      </c>
      <c r="Z185" t="str">
        <f>""</f>
        <v/>
      </c>
      <c r="AA185" t="str">
        <f>""</f>
        <v/>
      </c>
      <c r="AB185" t="s">
        <v>290</v>
      </c>
      <c r="AD185" t="s">
        <v>145</v>
      </c>
      <c r="AE185" s="63">
        <v>45355</v>
      </c>
      <c r="AF185" t="s">
        <v>113</v>
      </c>
      <c r="AG185" t="s">
        <v>112</v>
      </c>
      <c r="AH185" t="s">
        <v>112</v>
      </c>
      <c r="AI185" s="63">
        <v>39943</v>
      </c>
      <c r="AJ185" s="63">
        <v>45657</v>
      </c>
      <c r="AK185" t="s">
        <v>111</v>
      </c>
      <c r="AL185" t="s">
        <v>111</v>
      </c>
      <c r="AM185" t="s">
        <v>111</v>
      </c>
      <c r="AN185" t="s">
        <v>105</v>
      </c>
      <c r="AO185" t="s">
        <v>110</v>
      </c>
      <c r="AP185" t="s">
        <v>109</v>
      </c>
    </row>
    <row r="186" spans="1:42" x14ac:dyDescent="0.25">
      <c r="A186" s="28" t="str">
        <f>"4133"</f>
        <v>4133</v>
      </c>
      <c r="B186">
        <v>4133</v>
      </c>
      <c r="C186" t="s">
        <v>2488</v>
      </c>
      <c r="D186" t="s">
        <v>121</v>
      </c>
      <c r="F186" t="s">
        <v>120</v>
      </c>
      <c r="G186" t="s">
        <v>343</v>
      </c>
      <c r="I186" t="s">
        <v>946</v>
      </c>
      <c r="J186" t="s">
        <v>7</v>
      </c>
      <c r="K186" s="63">
        <v>23621</v>
      </c>
      <c r="L186" s="28">
        <f>DATEDIF(K186,Zwift25!G$1,"Y")</f>
        <v>60</v>
      </c>
      <c r="M186" s="67">
        <f>IF(J186="m",VLOOKUP(L186,'All Solo Adjustments'!A:D,4,FALSE),VLOOKUP(L186,'All Solo Adjustments'!A:J,10,FALSE))</f>
        <v>3.2060185185185186E-3</v>
      </c>
      <c r="N186" s="63"/>
      <c r="O186" s="63"/>
      <c r="P186" s="63"/>
      <c r="Q186" s="63"/>
      <c r="R186" t="s">
        <v>180</v>
      </c>
      <c r="S186" t="s">
        <v>179</v>
      </c>
      <c r="T186" t="s">
        <v>292</v>
      </c>
      <c r="U186" t="s">
        <v>11126</v>
      </c>
      <c r="V186" t="s">
        <v>7595</v>
      </c>
      <c r="W186" t="s">
        <v>9353</v>
      </c>
      <c r="X186" t="s">
        <v>177</v>
      </c>
      <c r="Y186" t="s">
        <v>11125</v>
      </c>
      <c r="Z186" t="str">
        <f>"01522 702893"</f>
        <v>01522 702893</v>
      </c>
      <c r="AA186" t="str">
        <f>"07899 893441"</f>
        <v>07899 893441</v>
      </c>
      <c r="AB186" t="s">
        <v>1001</v>
      </c>
      <c r="AC186" t="s">
        <v>11124</v>
      </c>
      <c r="AD186" t="s">
        <v>114</v>
      </c>
      <c r="AE186" s="63">
        <v>45348</v>
      </c>
      <c r="AF186" t="s">
        <v>156</v>
      </c>
      <c r="AG186" t="s">
        <v>112</v>
      </c>
      <c r="AH186" t="s">
        <v>112</v>
      </c>
      <c r="AI186" s="63">
        <v>40613</v>
      </c>
      <c r="AJ186" s="63">
        <v>45657</v>
      </c>
      <c r="AK186" t="s">
        <v>111</v>
      </c>
      <c r="AL186" t="s">
        <v>111</v>
      </c>
      <c r="AM186" t="s">
        <v>111</v>
      </c>
      <c r="AN186">
        <v>671</v>
      </c>
      <c r="AO186" t="s">
        <v>110</v>
      </c>
      <c r="AP186" t="s">
        <v>109</v>
      </c>
    </row>
    <row r="187" spans="1:42" x14ac:dyDescent="0.25">
      <c r="A187" s="28" t="str">
        <f>"16128"</f>
        <v>16128</v>
      </c>
      <c r="B187">
        <v>16128</v>
      </c>
      <c r="C187" t="s">
        <v>2488</v>
      </c>
      <c r="D187" t="s">
        <v>121</v>
      </c>
      <c r="E187" t="s">
        <v>6041</v>
      </c>
      <c r="F187" t="s">
        <v>120</v>
      </c>
      <c r="G187" t="s">
        <v>230</v>
      </c>
      <c r="H187" t="s">
        <v>952</v>
      </c>
      <c r="I187" t="s">
        <v>946</v>
      </c>
      <c r="J187" t="s">
        <v>7</v>
      </c>
      <c r="K187" s="63">
        <v>28472</v>
      </c>
      <c r="L187" s="28">
        <f>DATEDIF(K187,Zwift25!G$1,"Y")</f>
        <v>46</v>
      </c>
      <c r="M187" s="67">
        <f>IF(J187="m",VLOOKUP(L187,'All Solo Adjustments'!A:D,4,FALSE),VLOOKUP(L187,'All Solo Adjustments'!A:J,10,FALSE))</f>
        <v>5.6712962962962956E-4</v>
      </c>
      <c r="N187" s="63"/>
      <c r="O187" s="63"/>
      <c r="P187" s="63"/>
      <c r="Q187" s="63"/>
      <c r="R187" t="s">
        <v>125</v>
      </c>
      <c r="S187" t="s">
        <v>170</v>
      </c>
      <c r="T187" t="s">
        <v>292</v>
      </c>
      <c r="U187" t="s">
        <v>11123</v>
      </c>
      <c r="V187" t="s">
        <v>1016</v>
      </c>
      <c r="W187" t="s">
        <v>1148</v>
      </c>
      <c r="X187" t="s">
        <v>169</v>
      </c>
      <c r="Y187" t="s">
        <v>11122</v>
      </c>
      <c r="Z187" t="str">
        <f>"07733000077"</f>
        <v>07733000077</v>
      </c>
      <c r="AA187" t="str">
        <f>""</f>
        <v/>
      </c>
      <c r="AB187" t="s">
        <v>1504</v>
      </c>
      <c r="AC187" t="s">
        <v>11121</v>
      </c>
      <c r="AD187" t="s">
        <v>114</v>
      </c>
      <c r="AE187" s="63">
        <v>45417</v>
      </c>
      <c r="AF187" t="s">
        <v>156</v>
      </c>
      <c r="AG187" t="s">
        <v>112</v>
      </c>
      <c r="AH187" t="s">
        <v>112</v>
      </c>
      <c r="AI187" s="63">
        <v>45417</v>
      </c>
      <c r="AJ187" s="63">
        <v>45657</v>
      </c>
      <c r="AK187" t="s">
        <v>112</v>
      </c>
      <c r="AL187" t="s">
        <v>111</v>
      </c>
      <c r="AM187" t="s">
        <v>111</v>
      </c>
      <c r="AN187">
        <v>37498</v>
      </c>
      <c r="AO187" t="s">
        <v>110</v>
      </c>
      <c r="AP187" t="s">
        <v>109</v>
      </c>
    </row>
    <row r="188" spans="1:42" x14ac:dyDescent="0.25">
      <c r="A188" s="28" t="str">
        <f>"14025"</f>
        <v>14025</v>
      </c>
      <c r="B188">
        <v>14025</v>
      </c>
      <c r="C188" t="s">
        <v>2488</v>
      </c>
      <c r="D188" t="s">
        <v>121</v>
      </c>
      <c r="E188" t="s">
        <v>584</v>
      </c>
      <c r="F188" t="s">
        <v>120</v>
      </c>
      <c r="G188" t="s">
        <v>469</v>
      </c>
      <c r="H188" t="s">
        <v>284</v>
      </c>
      <c r="I188" t="s">
        <v>11120</v>
      </c>
      <c r="J188" t="s">
        <v>7</v>
      </c>
      <c r="K188" s="63">
        <v>21798</v>
      </c>
      <c r="L188" s="28">
        <f>DATEDIF(K188,Zwift25!G$1,"Y")</f>
        <v>65</v>
      </c>
      <c r="M188" s="67">
        <f>IF(J188="m",VLOOKUP(L188,'All Solo Adjustments'!A:D,4,FALSE),VLOOKUP(L188,'All Solo Adjustments'!A:J,10,FALSE))</f>
        <v>4.6180555555555558E-3</v>
      </c>
      <c r="N188" s="63"/>
      <c r="O188" s="63"/>
      <c r="P188" s="63"/>
      <c r="Q188" s="63"/>
      <c r="R188" t="s">
        <v>239</v>
      </c>
      <c r="S188" t="s">
        <v>274</v>
      </c>
      <c r="T188" t="s">
        <v>292</v>
      </c>
      <c r="U188" t="s">
        <v>11119</v>
      </c>
      <c r="V188" t="s">
        <v>898</v>
      </c>
      <c r="W188" t="s">
        <v>1777</v>
      </c>
      <c r="Y188" t="s">
        <v>11118</v>
      </c>
      <c r="Z188" t="str">
        <f>"07941342075"</f>
        <v>07941342075</v>
      </c>
      <c r="AA188" t="str">
        <f>""</f>
        <v/>
      </c>
      <c r="AB188" t="s">
        <v>1412</v>
      </c>
      <c r="AC188" t="s">
        <v>11117</v>
      </c>
      <c r="AD188" t="s">
        <v>114</v>
      </c>
      <c r="AE188" s="63">
        <v>45322</v>
      </c>
      <c r="AF188" t="s">
        <v>156</v>
      </c>
      <c r="AG188" t="s">
        <v>112</v>
      </c>
      <c r="AH188" t="s">
        <v>112</v>
      </c>
      <c r="AI188" s="63">
        <v>43496</v>
      </c>
      <c r="AJ188" s="63">
        <v>45657</v>
      </c>
      <c r="AK188" t="s">
        <v>112</v>
      </c>
      <c r="AL188" t="s">
        <v>111</v>
      </c>
      <c r="AM188" t="s">
        <v>111</v>
      </c>
      <c r="AN188">
        <v>25614</v>
      </c>
      <c r="AO188" t="s">
        <v>110</v>
      </c>
      <c r="AP188" t="s">
        <v>109</v>
      </c>
    </row>
    <row r="189" spans="1:42" x14ac:dyDescent="0.25">
      <c r="A189" s="28" t="str">
        <f>"4925"</f>
        <v>4925</v>
      </c>
      <c r="B189">
        <v>4925</v>
      </c>
      <c r="C189" t="s">
        <v>2488</v>
      </c>
      <c r="D189" t="s">
        <v>121</v>
      </c>
      <c r="E189" t="s">
        <v>584</v>
      </c>
      <c r="F189" t="s">
        <v>120</v>
      </c>
      <c r="G189" t="s">
        <v>11116</v>
      </c>
      <c r="H189" t="s">
        <v>11115</v>
      </c>
      <c r="I189" t="s">
        <v>11114</v>
      </c>
      <c r="J189" t="s">
        <v>7</v>
      </c>
      <c r="K189" s="63">
        <v>15837</v>
      </c>
      <c r="L189" s="28">
        <f>DATEDIF(K189,Zwift25!G$1,"Y")</f>
        <v>81</v>
      </c>
      <c r="M189" s="67">
        <f>IF(J189="m",VLOOKUP(L189,'All Solo Adjustments'!A:D,4,FALSE),VLOOKUP(L189,'All Solo Adjustments'!A:J,10,FALSE))</f>
        <v>1.1597222222222222E-2</v>
      </c>
      <c r="N189" s="63"/>
      <c r="O189" s="63"/>
      <c r="P189" s="63"/>
      <c r="Q189" s="63"/>
      <c r="R189" t="s">
        <v>154</v>
      </c>
      <c r="S189" t="s">
        <v>153</v>
      </c>
      <c r="T189" t="s">
        <v>292</v>
      </c>
      <c r="U189" t="s">
        <v>11113</v>
      </c>
      <c r="W189" t="s">
        <v>11112</v>
      </c>
      <c r="X189" t="s">
        <v>152</v>
      </c>
      <c r="Y189" t="s">
        <v>11111</v>
      </c>
      <c r="Z189" t="str">
        <f>"01362562308"</f>
        <v>01362562308</v>
      </c>
      <c r="AA189" t="str">
        <f>""</f>
        <v/>
      </c>
      <c r="AB189" t="s">
        <v>11110</v>
      </c>
      <c r="AC189" t="s">
        <v>11109</v>
      </c>
      <c r="AD189" t="s">
        <v>114</v>
      </c>
      <c r="AE189" s="63">
        <v>45292</v>
      </c>
      <c r="AF189" t="s">
        <v>113</v>
      </c>
      <c r="AG189" t="s">
        <v>112</v>
      </c>
      <c r="AH189" t="s">
        <v>112</v>
      </c>
      <c r="AI189" s="63">
        <v>41688</v>
      </c>
      <c r="AJ189" s="63">
        <v>45657</v>
      </c>
      <c r="AK189" t="s">
        <v>111</v>
      </c>
      <c r="AL189" t="s">
        <v>111</v>
      </c>
      <c r="AM189" t="s">
        <v>111</v>
      </c>
      <c r="AN189">
        <v>1010</v>
      </c>
      <c r="AO189" t="s">
        <v>110</v>
      </c>
      <c r="AP189" t="s">
        <v>109</v>
      </c>
    </row>
    <row r="190" spans="1:42" x14ac:dyDescent="0.25">
      <c r="A190" s="28" t="str">
        <f>"15473"</f>
        <v>15473</v>
      </c>
      <c r="B190">
        <v>15473</v>
      </c>
      <c r="C190" t="s">
        <v>2488</v>
      </c>
      <c r="D190" t="s">
        <v>121</v>
      </c>
      <c r="F190" t="s">
        <v>120</v>
      </c>
      <c r="G190" t="s">
        <v>400</v>
      </c>
      <c r="I190" t="s">
        <v>11108</v>
      </c>
      <c r="J190" t="s">
        <v>7</v>
      </c>
      <c r="K190" s="63">
        <v>26942</v>
      </c>
      <c r="L190" s="28">
        <f>DATEDIF(K190,Zwift25!G$1,"Y")</f>
        <v>51</v>
      </c>
      <c r="M190" s="67">
        <f>IF(J190="m",VLOOKUP(L190,'All Solo Adjustments'!A:D,4,FALSE),VLOOKUP(L190,'All Solo Adjustments'!A:J,10,FALSE))</f>
        <v>1.3078703703703703E-3</v>
      </c>
      <c r="N190" s="63"/>
      <c r="O190" s="63"/>
      <c r="P190" s="63"/>
      <c r="Q190" s="63"/>
      <c r="R190" t="s">
        <v>154</v>
      </c>
      <c r="S190" t="s">
        <v>153</v>
      </c>
      <c r="T190" t="s">
        <v>292</v>
      </c>
      <c r="U190" t="s">
        <v>11107</v>
      </c>
      <c r="V190" t="s">
        <v>2029</v>
      </c>
      <c r="W190" t="s">
        <v>1528</v>
      </c>
      <c r="X190" t="s">
        <v>337</v>
      </c>
      <c r="Y190" t="s">
        <v>11106</v>
      </c>
      <c r="Z190" t="str">
        <f>"07967157449"</f>
        <v>07967157449</v>
      </c>
      <c r="AA190" t="str">
        <f>""</f>
        <v/>
      </c>
      <c r="AB190" t="s">
        <v>11105</v>
      </c>
      <c r="AC190" t="s">
        <v>11104</v>
      </c>
      <c r="AD190" t="s">
        <v>114</v>
      </c>
      <c r="AE190" s="63">
        <v>45361</v>
      </c>
      <c r="AF190" t="s">
        <v>156</v>
      </c>
      <c r="AG190" t="s">
        <v>112</v>
      </c>
      <c r="AH190" t="s">
        <v>112</v>
      </c>
      <c r="AI190" s="63">
        <v>45123</v>
      </c>
      <c r="AJ190" s="63">
        <v>45657</v>
      </c>
      <c r="AK190" t="s">
        <v>112</v>
      </c>
      <c r="AL190" t="s">
        <v>111</v>
      </c>
      <c r="AM190" t="s">
        <v>111</v>
      </c>
      <c r="AN190">
        <v>33982</v>
      </c>
      <c r="AO190" t="s">
        <v>110</v>
      </c>
      <c r="AP190" t="s">
        <v>109</v>
      </c>
    </row>
    <row r="191" spans="1:42" x14ac:dyDescent="0.25">
      <c r="A191" s="28" t="str">
        <f>"4890"</f>
        <v>4890</v>
      </c>
      <c r="B191">
        <v>4890</v>
      </c>
      <c r="C191" t="s">
        <v>2488</v>
      </c>
      <c r="D191" t="s">
        <v>121</v>
      </c>
      <c r="F191" t="s">
        <v>120</v>
      </c>
      <c r="G191" t="s">
        <v>1464</v>
      </c>
      <c r="H191" t="s">
        <v>705</v>
      </c>
      <c r="I191" t="s">
        <v>4798</v>
      </c>
      <c r="J191" t="s">
        <v>7</v>
      </c>
      <c r="K191" s="63">
        <v>16766</v>
      </c>
      <c r="L191" s="28">
        <f>DATEDIF(K191,Zwift25!G$1,"Y")</f>
        <v>78</v>
      </c>
      <c r="M191" s="67">
        <f>IF(J191="m",VLOOKUP(L191,'All Solo Adjustments'!A:D,4,FALSE),VLOOKUP(L191,'All Solo Adjustments'!A:J,10,FALSE))</f>
        <v>9.9189814814814817E-3</v>
      </c>
      <c r="N191" s="63"/>
      <c r="O191" s="63"/>
      <c r="P191" s="63"/>
      <c r="Q191" s="63"/>
      <c r="R191" t="s">
        <v>180</v>
      </c>
      <c r="S191" t="s">
        <v>179</v>
      </c>
      <c r="T191" t="s">
        <v>292</v>
      </c>
      <c r="U191" t="s">
        <v>11103</v>
      </c>
      <c r="V191" t="s">
        <v>11102</v>
      </c>
      <c r="W191" t="s">
        <v>1474</v>
      </c>
      <c r="Y191" t="s">
        <v>11101</v>
      </c>
      <c r="Z191" t="str">
        <f>"01530 834989"</f>
        <v>01530 834989</v>
      </c>
      <c r="AA191" t="str">
        <f>""</f>
        <v/>
      </c>
      <c r="AB191" t="s">
        <v>1218</v>
      </c>
      <c r="AC191" t="s">
        <v>11100</v>
      </c>
      <c r="AD191" t="s">
        <v>114</v>
      </c>
      <c r="AE191" s="63">
        <v>45301</v>
      </c>
      <c r="AF191" t="s">
        <v>113</v>
      </c>
      <c r="AG191" t="s">
        <v>112</v>
      </c>
      <c r="AH191" t="s">
        <v>112</v>
      </c>
      <c r="AI191" s="63">
        <v>41623</v>
      </c>
      <c r="AJ191" s="63">
        <v>45657</v>
      </c>
      <c r="AK191" t="s">
        <v>111</v>
      </c>
      <c r="AL191" t="s">
        <v>111</v>
      </c>
      <c r="AM191" t="s">
        <v>111</v>
      </c>
      <c r="AN191" t="s">
        <v>105</v>
      </c>
      <c r="AO191" t="s">
        <v>110</v>
      </c>
      <c r="AP191" t="s">
        <v>109</v>
      </c>
    </row>
    <row r="192" spans="1:42" x14ac:dyDescent="0.25">
      <c r="A192" s="28" t="str">
        <f>"5458"</f>
        <v>5458</v>
      </c>
      <c r="B192">
        <v>5458</v>
      </c>
      <c r="C192" t="s">
        <v>2488</v>
      </c>
      <c r="D192" t="s">
        <v>121</v>
      </c>
      <c r="E192" t="s">
        <v>584</v>
      </c>
      <c r="F192" t="s">
        <v>144</v>
      </c>
      <c r="G192" t="s">
        <v>5658</v>
      </c>
      <c r="I192" t="s">
        <v>2195</v>
      </c>
      <c r="J192" t="s">
        <v>126</v>
      </c>
      <c r="K192" s="63">
        <v>27022</v>
      </c>
      <c r="L192" s="28">
        <f>DATEDIF(K192,Zwift25!G$1,"Y")</f>
        <v>50</v>
      </c>
      <c r="M192" s="67">
        <f>IF(J192="m",VLOOKUP(L192,'All Solo Adjustments'!A:D,4,FALSE),VLOOKUP(L192,'All Solo Adjustments'!A:J,10,FALSE))</f>
        <v>4.9768518518518521E-3</v>
      </c>
      <c r="N192" s="63"/>
      <c r="O192" s="63"/>
      <c r="P192" s="63"/>
      <c r="Q192" s="63"/>
      <c r="R192" t="s">
        <v>283</v>
      </c>
      <c r="S192" t="s">
        <v>530</v>
      </c>
      <c r="T192" t="s">
        <v>292</v>
      </c>
      <c r="U192" t="s">
        <v>11099</v>
      </c>
      <c r="V192" t="s">
        <v>1891</v>
      </c>
      <c r="Y192" t="s">
        <v>11098</v>
      </c>
      <c r="Z192" t="str">
        <f>"07788 101656"</f>
        <v>07788 101656</v>
      </c>
      <c r="AA192" t="str">
        <f>""</f>
        <v/>
      </c>
      <c r="AB192" t="s">
        <v>11097</v>
      </c>
      <c r="AC192" t="s">
        <v>11096</v>
      </c>
      <c r="AD192" t="s">
        <v>145</v>
      </c>
      <c r="AE192" s="63">
        <v>45392</v>
      </c>
      <c r="AF192" t="s">
        <v>156</v>
      </c>
      <c r="AG192" t="s">
        <v>112</v>
      </c>
      <c r="AH192" t="s">
        <v>112</v>
      </c>
      <c r="AI192" s="63">
        <v>42135</v>
      </c>
      <c r="AJ192" s="63">
        <v>45657</v>
      </c>
      <c r="AK192" t="s">
        <v>111</v>
      </c>
      <c r="AL192" t="s">
        <v>111</v>
      </c>
      <c r="AM192" t="s">
        <v>111</v>
      </c>
      <c r="AN192">
        <v>5938</v>
      </c>
      <c r="AO192" t="s">
        <v>122</v>
      </c>
      <c r="AP192" t="s">
        <v>122</v>
      </c>
    </row>
    <row r="193" spans="1:42" x14ac:dyDescent="0.25">
      <c r="A193" s="28" t="str">
        <f>"6085"</f>
        <v>6085</v>
      </c>
      <c r="B193">
        <v>6085</v>
      </c>
      <c r="C193" t="s">
        <v>2488</v>
      </c>
      <c r="D193" t="s">
        <v>130</v>
      </c>
      <c r="E193" t="s">
        <v>584</v>
      </c>
      <c r="F193" t="s">
        <v>120</v>
      </c>
      <c r="G193" t="s">
        <v>165</v>
      </c>
      <c r="I193" t="s">
        <v>2195</v>
      </c>
      <c r="J193" t="s">
        <v>7</v>
      </c>
      <c r="K193" s="63">
        <v>23779</v>
      </c>
      <c r="L193" s="28">
        <f>DATEDIF(K193,Zwift25!G$1,"Y")</f>
        <v>59</v>
      </c>
      <c r="M193" s="67">
        <f>IF(J193="m",VLOOKUP(L193,'All Solo Adjustments'!A:D,4,FALSE),VLOOKUP(L193,'All Solo Adjustments'!A:J,10,FALSE))</f>
        <v>2.9629629629629632E-3</v>
      </c>
      <c r="N193" s="63"/>
      <c r="O193" s="63"/>
      <c r="P193" s="63"/>
      <c r="Q193" s="63"/>
      <c r="R193" t="s">
        <v>154</v>
      </c>
      <c r="S193" t="s">
        <v>412</v>
      </c>
      <c r="T193" t="s">
        <v>292</v>
      </c>
      <c r="U193" t="s">
        <v>11095</v>
      </c>
      <c r="V193" t="s">
        <v>2461</v>
      </c>
      <c r="W193" t="s">
        <v>669</v>
      </c>
      <c r="Y193" t="s">
        <v>11094</v>
      </c>
      <c r="Z193" t="str">
        <f>"07890583253"</f>
        <v>07890583253</v>
      </c>
      <c r="AA193" t="str">
        <f>"07902008826"</f>
        <v>07902008826</v>
      </c>
      <c r="AB193" t="s">
        <v>668</v>
      </c>
      <c r="AC193" t="s">
        <v>11093</v>
      </c>
      <c r="AD193" t="s">
        <v>114</v>
      </c>
      <c r="AE193" s="63">
        <v>45323</v>
      </c>
      <c r="AF193" t="s">
        <v>156</v>
      </c>
      <c r="AG193" t="s">
        <v>112</v>
      </c>
      <c r="AH193" t="s">
        <v>111</v>
      </c>
      <c r="AI193" s="63">
        <v>42756</v>
      </c>
      <c r="AJ193" s="63">
        <v>45657</v>
      </c>
      <c r="AK193" t="s">
        <v>111</v>
      </c>
      <c r="AL193" t="s">
        <v>111</v>
      </c>
      <c r="AM193" t="s">
        <v>111</v>
      </c>
      <c r="AN193">
        <v>2564</v>
      </c>
      <c r="AO193" t="s">
        <v>110</v>
      </c>
      <c r="AP193" t="s">
        <v>109</v>
      </c>
    </row>
    <row r="194" spans="1:42" x14ac:dyDescent="0.25">
      <c r="A194" s="28" t="str">
        <f>"10919"</f>
        <v>10919</v>
      </c>
      <c r="B194">
        <v>10919</v>
      </c>
      <c r="C194" t="s">
        <v>2488</v>
      </c>
      <c r="D194" t="s">
        <v>132</v>
      </c>
      <c r="F194" t="s">
        <v>149</v>
      </c>
      <c r="G194" t="s">
        <v>4597</v>
      </c>
      <c r="I194" t="s">
        <v>2195</v>
      </c>
      <c r="J194" t="s">
        <v>126</v>
      </c>
      <c r="K194" s="63">
        <v>24414</v>
      </c>
      <c r="L194" s="28">
        <f>DATEDIF(K194,Zwift25!G$1,"Y")</f>
        <v>57</v>
      </c>
      <c r="M194" s="67">
        <f>IF(J194="m",VLOOKUP(L194,'All Solo Adjustments'!A:D,4,FALSE),VLOOKUP(L194,'All Solo Adjustments'!A:J,10,FALSE))</f>
        <v>6.076388888888889E-3</v>
      </c>
      <c r="N194" s="63"/>
      <c r="O194" s="63"/>
      <c r="P194" s="63"/>
      <c r="Q194" s="63"/>
      <c r="R194" t="s">
        <v>154</v>
      </c>
      <c r="S194" t="s">
        <v>412</v>
      </c>
      <c r="T194" t="s">
        <v>292</v>
      </c>
      <c r="U194" t="s">
        <v>11095</v>
      </c>
      <c r="V194" t="s">
        <v>2461</v>
      </c>
      <c r="W194" t="s">
        <v>669</v>
      </c>
      <c r="Y194" t="s">
        <v>11094</v>
      </c>
      <c r="Z194" t="str">
        <f>"07890583253"</f>
        <v>07890583253</v>
      </c>
      <c r="AA194" t="str">
        <f>"07902008826"</f>
        <v>07902008826</v>
      </c>
      <c r="AB194" t="s">
        <v>668</v>
      </c>
      <c r="AC194" t="s">
        <v>11093</v>
      </c>
      <c r="AD194" t="s">
        <v>114</v>
      </c>
      <c r="AE194" s="63">
        <v>45323</v>
      </c>
      <c r="AF194" t="s">
        <v>156</v>
      </c>
      <c r="AG194" t="s">
        <v>112</v>
      </c>
      <c r="AH194" t="s">
        <v>111</v>
      </c>
      <c r="AI194" s="63">
        <v>42756</v>
      </c>
      <c r="AJ194" s="63">
        <v>45657</v>
      </c>
      <c r="AK194" t="s">
        <v>111</v>
      </c>
      <c r="AL194" t="s">
        <v>111</v>
      </c>
      <c r="AM194" t="s">
        <v>111</v>
      </c>
      <c r="AN194">
        <v>18034</v>
      </c>
      <c r="AO194" t="s">
        <v>122</v>
      </c>
      <c r="AP194" t="s">
        <v>122</v>
      </c>
    </row>
    <row r="195" spans="1:42" x14ac:dyDescent="0.25">
      <c r="A195" s="28" t="str">
        <f>"15416"</f>
        <v>15416</v>
      </c>
      <c r="B195">
        <v>15416</v>
      </c>
      <c r="C195" t="s">
        <v>2488</v>
      </c>
      <c r="D195" t="s">
        <v>121</v>
      </c>
      <c r="F195" t="s">
        <v>120</v>
      </c>
      <c r="G195" t="s">
        <v>185</v>
      </c>
      <c r="I195" t="s">
        <v>11092</v>
      </c>
      <c r="J195" t="s">
        <v>7</v>
      </c>
      <c r="K195" s="63">
        <v>27743</v>
      </c>
      <c r="L195" s="28">
        <f>DATEDIF(K195,Zwift25!G$1,"Y")</f>
        <v>48</v>
      </c>
      <c r="M195" s="67">
        <f>IF(J195="m",VLOOKUP(L195,'All Solo Adjustments'!A:D,4,FALSE),VLOOKUP(L195,'All Solo Adjustments'!A:J,10,FALSE))</f>
        <v>8.3333333333333339E-4</v>
      </c>
      <c r="N195" s="63"/>
      <c r="O195" s="63"/>
      <c r="P195" s="63"/>
      <c r="Q195" s="63"/>
      <c r="R195" t="s">
        <v>328</v>
      </c>
      <c r="S195" t="s">
        <v>327</v>
      </c>
      <c r="T195" t="s">
        <v>292</v>
      </c>
      <c r="U195" t="s">
        <v>11091</v>
      </c>
      <c r="V195" t="s">
        <v>8682</v>
      </c>
      <c r="Y195" t="s">
        <v>11090</v>
      </c>
      <c r="Z195" t="str">
        <f>"07794636118"</f>
        <v>07794636118</v>
      </c>
      <c r="AA195" t="str">
        <f>""</f>
        <v/>
      </c>
      <c r="AB195" t="s">
        <v>11089</v>
      </c>
      <c r="AC195" t="s">
        <v>11088</v>
      </c>
      <c r="AD195" t="s">
        <v>114</v>
      </c>
      <c r="AE195" s="63">
        <v>45317</v>
      </c>
      <c r="AF195" t="s">
        <v>156</v>
      </c>
      <c r="AG195" t="s">
        <v>112</v>
      </c>
      <c r="AH195" t="s">
        <v>112</v>
      </c>
      <c r="AI195" s="63">
        <v>44648</v>
      </c>
      <c r="AJ195" s="63">
        <v>45657</v>
      </c>
      <c r="AK195" t="s">
        <v>112</v>
      </c>
      <c r="AL195" t="s">
        <v>111</v>
      </c>
      <c r="AM195" t="s">
        <v>111</v>
      </c>
      <c r="AN195">
        <v>1318</v>
      </c>
      <c r="AO195" t="s">
        <v>110</v>
      </c>
      <c r="AP195" t="s">
        <v>109</v>
      </c>
    </row>
    <row r="196" spans="1:42" x14ac:dyDescent="0.25">
      <c r="A196" s="28" t="str">
        <f>"2798"</f>
        <v>2798</v>
      </c>
      <c r="B196">
        <v>2798</v>
      </c>
      <c r="C196" t="s">
        <v>2488</v>
      </c>
      <c r="D196" t="s">
        <v>121</v>
      </c>
      <c r="F196" t="s">
        <v>120</v>
      </c>
      <c r="G196" t="s">
        <v>165</v>
      </c>
      <c r="H196" t="s">
        <v>11087</v>
      </c>
      <c r="I196" t="s">
        <v>11086</v>
      </c>
      <c r="J196" t="s">
        <v>7</v>
      </c>
      <c r="K196" s="63">
        <v>24230</v>
      </c>
      <c r="L196" s="28">
        <f>DATEDIF(K196,Zwift25!G$1,"Y")</f>
        <v>58</v>
      </c>
      <c r="M196" s="67">
        <f>IF(J196="m",VLOOKUP(L196,'All Solo Adjustments'!A:D,4,FALSE),VLOOKUP(L196,'All Solo Adjustments'!A:J,10,FALSE))</f>
        <v>2.7199074074074074E-3</v>
      </c>
      <c r="N196" s="63"/>
      <c r="O196" s="63"/>
      <c r="P196" s="63"/>
      <c r="Q196" s="63"/>
      <c r="R196" t="s">
        <v>143</v>
      </c>
      <c r="S196" t="s">
        <v>142</v>
      </c>
      <c r="T196" t="s">
        <v>292</v>
      </c>
      <c r="U196" t="s">
        <v>11085</v>
      </c>
      <c r="V196" t="s">
        <v>160</v>
      </c>
      <c r="W196" t="s">
        <v>1034</v>
      </c>
      <c r="Y196" t="s">
        <v>11084</v>
      </c>
      <c r="Z196" t="str">
        <f>"07770 902215"</f>
        <v>07770 902215</v>
      </c>
      <c r="AA196" t="str">
        <f>""</f>
        <v/>
      </c>
      <c r="AB196" t="s">
        <v>11083</v>
      </c>
      <c r="AC196" t="s">
        <v>11082</v>
      </c>
      <c r="AD196" t="s">
        <v>114</v>
      </c>
      <c r="AE196" s="63">
        <v>45364</v>
      </c>
      <c r="AF196" t="s">
        <v>156</v>
      </c>
      <c r="AG196" t="s">
        <v>112</v>
      </c>
      <c r="AH196" t="s">
        <v>112</v>
      </c>
      <c r="AI196" s="63">
        <v>38840</v>
      </c>
      <c r="AJ196" s="63">
        <v>45657</v>
      </c>
      <c r="AK196" t="s">
        <v>111</v>
      </c>
      <c r="AL196" t="s">
        <v>111</v>
      </c>
      <c r="AM196" t="s">
        <v>111</v>
      </c>
      <c r="AN196">
        <v>5604</v>
      </c>
      <c r="AO196" t="s">
        <v>110</v>
      </c>
      <c r="AP196" t="s">
        <v>109</v>
      </c>
    </row>
    <row r="197" spans="1:42" x14ac:dyDescent="0.25">
      <c r="A197" s="28" t="str">
        <f>"15622"</f>
        <v>15622</v>
      </c>
      <c r="B197">
        <v>15622</v>
      </c>
      <c r="C197" t="s">
        <v>2488</v>
      </c>
      <c r="D197" t="s">
        <v>121</v>
      </c>
      <c r="F197" t="s">
        <v>120</v>
      </c>
      <c r="G197" t="s">
        <v>583</v>
      </c>
      <c r="H197" t="s">
        <v>359</v>
      </c>
      <c r="I197" t="s">
        <v>2193</v>
      </c>
      <c r="J197" t="s">
        <v>7</v>
      </c>
      <c r="K197" s="63">
        <v>26742</v>
      </c>
      <c r="L197" s="28">
        <f>DATEDIF(K197,Zwift25!G$1,"Y")</f>
        <v>51</v>
      </c>
      <c r="M197" s="67">
        <f>IF(J197="m",VLOOKUP(L197,'All Solo Adjustments'!A:D,4,FALSE),VLOOKUP(L197,'All Solo Adjustments'!A:J,10,FALSE))</f>
        <v>1.3078703703703703E-3</v>
      </c>
      <c r="N197" s="63"/>
      <c r="O197" s="63"/>
      <c r="P197" s="63"/>
      <c r="Q197" s="63"/>
      <c r="R197" t="s">
        <v>180</v>
      </c>
      <c r="S197" t="s">
        <v>179</v>
      </c>
      <c r="T197" t="s">
        <v>292</v>
      </c>
      <c r="U197" t="s">
        <v>11081</v>
      </c>
      <c r="V197" t="s">
        <v>11080</v>
      </c>
      <c r="W197" t="s">
        <v>784</v>
      </c>
      <c r="X197" t="s">
        <v>651</v>
      </c>
      <c r="Y197" t="s">
        <v>11079</v>
      </c>
      <c r="Z197" t="str">
        <f>"07974834471"</f>
        <v>07974834471</v>
      </c>
      <c r="AA197" t="str">
        <f>"07974834471"</f>
        <v>07974834471</v>
      </c>
      <c r="AB197" t="s">
        <v>11078</v>
      </c>
      <c r="AC197" t="s">
        <v>11077</v>
      </c>
      <c r="AD197" t="s">
        <v>114</v>
      </c>
      <c r="AE197" s="63">
        <v>45411</v>
      </c>
      <c r="AF197" t="s">
        <v>156</v>
      </c>
      <c r="AG197" t="s">
        <v>112</v>
      </c>
      <c r="AH197" t="s">
        <v>112</v>
      </c>
      <c r="AI197" s="63">
        <v>44902</v>
      </c>
      <c r="AJ197" s="63">
        <v>45657</v>
      </c>
      <c r="AK197" t="s">
        <v>112</v>
      </c>
      <c r="AL197" t="s">
        <v>111</v>
      </c>
      <c r="AM197" t="s">
        <v>111</v>
      </c>
      <c r="AN197">
        <v>40476</v>
      </c>
      <c r="AO197" t="s">
        <v>110</v>
      </c>
      <c r="AP197" t="s">
        <v>109</v>
      </c>
    </row>
    <row r="198" spans="1:42" x14ac:dyDescent="0.25">
      <c r="A198" s="28" t="str">
        <f>"15507"</f>
        <v>15507</v>
      </c>
      <c r="B198">
        <v>15507</v>
      </c>
      <c r="C198" t="s">
        <v>2488</v>
      </c>
      <c r="D198" t="s">
        <v>121</v>
      </c>
      <c r="F198" t="s">
        <v>149</v>
      </c>
      <c r="G198" t="s">
        <v>732</v>
      </c>
      <c r="I198" t="s">
        <v>11076</v>
      </c>
      <c r="J198" t="s">
        <v>126</v>
      </c>
      <c r="K198" s="63">
        <v>22999</v>
      </c>
      <c r="L198" s="28">
        <f>DATEDIF(K198,Zwift25!G$1,"Y")</f>
        <v>61</v>
      </c>
      <c r="M198" s="67">
        <f>IF(J198="m",VLOOKUP(L198,'All Solo Adjustments'!A:D,4,FALSE),VLOOKUP(L198,'All Solo Adjustments'!A:J,10,FALSE))</f>
        <v>7.2337962962962963E-3</v>
      </c>
      <c r="N198" s="63"/>
      <c r="O198" s="63"/>
      <c r="P198" s="63"/>
      <c r="Q198" s="63"/>
      <c r="R198" t="s">
        <v>137</v>
      </c>
      <c r="S198" t="s">
        <v>136</v>
      </c>
      <c r="T198" t="s">
        <v>292</v>
      </c>
      <c r="U198" t="s">
        <v>11075</v>
      </c>
      <c r="V198" t="s">
        <v>5128</v>
      </c>
      <c r="X198" t="s">
        <v>208</v>
      </c>
      <c r="Y198" t="s">
        <v>11074</v>
      </c>
      <c r="Z198" t="str">
        <f>"07941342663"</f>
        <v>07941342663</v>
      </c>
      <c r="AA198" t="str">
        <f>""</f>
        <v/>
      </c>
      <c r="AB198" t="s">
        <v>439</v>
      </c>
      <c r="AC198" t="s">
        <v>11073</v>
      </c>
      <c r="AD198" t="s">
        <v>114</v>
      </c>
      <c r="AE198" s="63">
        <v>45446</v>
      </c>
      <c r="AF198" t="s">
        <v>156</v>
      </c>
      <c r="AG198" t="s">
        <v>112</v>
      </c>
      <c r="AH198" t="s">
        <v>112</v>
      </c>
      <c r="AI198" s="63">
        <v>44712</v>
      </c>
      <c r="AJ198" s="63">
        <v>45657</v>
      </c>
      <c r="AK198" t="s">
        <v>112</v>
      </c>
      <c r="AL198" t="s">
        <v>111</v>
      </c>
      <c r="AM198" t="s">
        <v>111</v>
      </c>
      <c r="AN198">
        <v>31061</v>
      </c>
      <c r="AO198" t="s">
        <v>122</v>
      </c>
      <c r="AP198" t="s">
        <v>122</v>
      </c>
    </row>
    <row r="199" spans="1:42" x14ac:dyDescent="0.25">
      <c r="A199" s="28" t="str">
        <f>"6100"</f>
        <v>6100</v>
      </c>
      <c r="B199">
        <v>6100</v>
      </c>
      <c r="C199" t="s">
        <v>2488</v>
      </c>
      <c r="D199" t="s">
        <v>121</v>
      </c>
      <c r="F199" t="s">
        <v>120</v>
      </c>
      <c r="G199" t="s">
        <v>366</v>
      </c>
      <c r="I199" t="s">
        <v>11072</v>
      </c>
      <c r="J199" t="s">
        <v>7</v>
      </c>
      <c r="K199" s="63">
        <v>28171</v>
      </c>
      <c r="L199" s="28">
        <f>DATEDIF(K199,Zwift25!G$1,"Y")</f>
        <v>47</v>
      </c>
      <c r="M199" s="67">
        <f>IF(J199="m",VLOOKUP(L199,'All Solo Adjustments'!A:D,4,FALSE),VLOOKUP(L199,'All Solo Adjustments'!A:J,10,FALSE))</f>
        <v>6.9444444444444436E-4</v>
      </c>
      <c r="N199" s="63"/>
      <c r="O199" s="63"/>
      <c r="P199" s="63"/>
      <c r="Q199" s="63"/>
      <c r="R199" t="s">
        <v>296</v>
      </c>
      <c r="S199" t="s">
        <v>295</v>
      </c>
      <c r="T199" t="s">
        <v>292</v>
      </c>
      <c r="U199" t="s">
        <v>8348</v>
      </c>
      <c r="V199" t="s">
        <v>11071</v>
      </c>
      <c r="W199" t="s">
        <v>11070</v>
      </c>
      <c r="X199" t="s">
        <v>1102</v>
      </c>
      <c r="Y199" t="s">
        <v>11069</v>
      </c>
      <c r="Z199" t="str">
        <f>"0777 8849119"</f>
        <v>0777 8849119</v>
      </c>
      <c r="AA199" t="str">
        <f>""</f>
        <v/>
      </c>
      <c r="AB199" t="s">
        <v>4869</v>
      </c>
      <c r="AC199" t="s">
        <v>11068</v>
      </c>
      <c r="AD199" t="s">
        <v>114</v>
      </c>
      <c r="AE199" s="63">
        <v>45278</v>
      </c>
      <c r="AF199" t="s">
        <v>113</v>
      </c>
      <c r="AG199" t="s">
        <v>112</v>
      </c>
      <c r="AH199" t="s">
        <v>112</v>
      </c>
      <c r="AI199" s="63">
        <v>42784</v>
      </c>
      <c r="AJ199" s="63">
        <v>45657</v>
      </c>
      <c r="AK199" t="s">
        <v>111</v>
      </c>
      <c r="AL199" t="s">
        <v>111</v>
      </c>
      <c r="AM199" t="s">
        <v>111</v>
      </c>
      <c r="AN199">
        <v>2717</v>
      </c>
      <c r="AO199" t="s">
        <v>110</v>
      </c>
      <c r="AP199" t="s">
        <v>109</v>
      </c>
    </row>
    <row r="200" spans="1:42" x14ac:dyDescent="0.25">
      <c r="A200" s="28" t="str">
        <f>"4257"</f>
        <v>4257</v>
      </c>
      <c r="B200">
        <v>4257</v>
      </c>
      <c r="C200" t="s">
        <v>2488</v>
      </c>
      <c r="D200" t="s">
        <v>121</v>
      </c>
      <c r="F200" t="s">
        <v>120</v>
      </c>
      <c r="G200" t="s">
        <v>821</v>
      </c>
      <c r="I200" t="s">
        <v>943</v>
      </c>
      <c r="J200" t="s">
        <v>7</v>
      </c>
      <c r="K200" s="63">
        <v>16732</v>
      </c>
      <c r="L200" s="28">
        <f>DATEDIF(K200,Zwift25!G$1,"Y")</f>
        <v>78</v>
      </c>
      <c r="M200" s="67">
        <f>IF(J200="m",VLOOKUP(L200,'All Solo Adjustments'!A:D,4,FALSE),VLOOKUP(L200,'All Solo Adjustments'!A:J,10,FALSE))</f>
        <v>9.9189814814814817E-3</v>
      </c>
      <c r="N200" s="63"/>
      <c r="O200" s="63"/>
      <c r="P200" s="63"/>
      <c r="Q200" s="63"/>
      <c r="R200" t="s">
        <v>180</v>
      </c>
      <c r="S200" t="s">
        <v>179</v>
      </c>
      <c r="T200" t="s">
        <v>292</v>
      </c>
      <c r="U200" t="s">
        <v>11067</v>
      </c>
      <c r="V200" t="s">
        <v>11066</v>
      </c>
      <c r="W200" t="s">
        <v>7358</v>
      </c>
      <c r="X200" t="s">
        <v>259</v>
      </c>
      <c r="Y200" t="s">
        <v>11065</v>
      </c>
      <c r="Z200" t="str">
        <f>"01530 414562"</f>
        <v>01530 414562</v>
      </c>
      <c r="AA200" t="str">
        <f>"07702059518"</f>
        <v>07702059518</v>
      </c>
      <c r="AB200" t="s">
        <v>1218</v>
      </c>
      <c r="AC200" t="s">
        <v>11064</v>
      </c>
      <c r="AD200" t="s">
        <v>114</v>
      </c>
      <c r="AE200" s="63">
        <v>45287</v>
      </c>
      <c r="AF200" t="s">
        <v>113</v>
      </c>
      <c r="AG200" t="s">
        <v>112</v>
      </c>
      <c r="AH200" t="s">
        <v>112</v>
      </c>
      <c r="AI200" s="63">
        <v>40654</v>
      </c>
      <c r="AJ200" s="63">
        <v>45657</v>
      </c>
      <c r="AK200" t="s">
        <v>111</v>
      </c>
      <c r="AL200" t="s">
        <v>111</v>
      </c>
      <c r="AM200" t="s">
        <v>111</v>
      </c>
      <c r="AN200" t="s">
        <v>105</v>
      </c>
      <c r="AO200" t="s">
        <v>110</v>
      </c>
      <c r="AP200" t="s">
        <v>109</v>
      </c>
    </row>
    <row r="201" spans="1:42" x14ac:dyDescent="0.25">
      <c r="A201" s="28" t="str">
        <f>"6360"</f>
        <v>6360</v>
      </c>
      <c r="B201">
        <v>6360</v>
      </c>
      <c r="C201" t="s">
        <v>2488</v>
      </c>
      <c r="D201" t="s">
        <v>121</v>
      </c>
      <c r="F201" t="s">
        <v>120</v>
      </c>
      <c r="G201" t="s">
        <v>449</v>
      </c>
      <c r="I201" t="s">
        <v>943</v>
      </c>
      <c r="J201" t="s">
        <v>7</v>
      </c>
      <c r="K201" s="63">
        <v>23413</v>
      </c>
      <c r="L201" s="28">
        <f>DATEDIF(K201,Zwift25!G$1,"Y")</f>
        <v>60</v>
      </c>
      <c r="M201" s="67">
        <f>IF(J201="m",VLOOKUP(L201,'All Solo Adjustments'!A:D,4,FALSE),VLOOKUP(L201,'All Solo Adjustments'!A:J,10,FALSE))</f>
        <v>3.2060185185185186E-3</v>
      </c>
      <c r="N201" s="63"/>
      <c r="O201" s="63"/>
      <c r="P201" s="63"/>
      <c r="Q201" s="63"/>
      <c r="R201" t="s">
        <v>159</v>
      </c>
      <c r="S201" t="s">
        <v>162</v>
      </c>
      <c r="T201" t="s">
        <v>292</v>
      </c>
      <c r="U201" t="s">
        <v>11063</v>
      </c>
      <c r="V201" t="s">
        <v>11062</v>
      </c>
      <c r="W201" t="s">
        <v>167</v>
      </c>
      <c r="Y201" t="s">
        <v>11061</v>
      </c>
      <c r="Z201" t="str">
        <f>"07990 576676"</f>
        <v>07990 576676</v>
      </c>
      <c r="AA201" t="str">
        <f>""</f>
        <v/>
      </c>
      <c r="AB201" t="s">
        <v>1516</v>
      </c>
      <c r="AC201" t="s">
        <v>11060</v>
      </c>
      <c r="AD201" t="s">
        <v>114</v>
      </c>
      <c r="AE201" s="63">
        <v>45294</v>
      </c>
      <c r="AF201" t="s">
        <v>156</v>
      </c>
      <c r="AG201" t="s">
        <v>112</v>
      </c>
      <c r="AH201" t="s">
        <v>112</v>
      </c>
      <c r="AI201" s="63">
        <v>43431</v>
      </c>
      <c r="AJ201" s="63">
        <v>45657</v>
      </c>
      <c r="AK201" t="s">
        <v>111</v>
      </c>
      <c r="AL201" t="s">
        <v>111</v>
      </c>
      <c r="AM201" t="s">
        <v>111</v>
      </c>
      <c r="AN201">
        <v>15442</v>
      </c>
      <c r="AO201" t="s">
        <v>110</v>
      </c>
      <c r="AP201" t="s">
        <v>109</v>
      </c>
    </row>
    <row r="202" spans="1:42" x14ac:dyDescent="0.25">
      <c r="A202" s="28" t="str">
        <f>"15647"</f>
        <v>15647</v>
      </c>
      <c r="B202">
        <v>15647</v>
      </c>
      <c r="C202" t="s">
        <v>2488</v>
      </c>
      <c r="D202" t="s">
        <v>121</v>
      </c>
      <c r="E202" t="s">
        <v>584</v>
      </c>
      <c r="F202" t="s">
        <v>149</v>
      </c>
      <c r="G202" t="s">
        <v>1739</v>
      </c>
      <c r="I202" t="s">
        <v>11059</v>
      </c>
      <c r="J202" t="s">
        <v>126</v>
      </c>
      <c r="K202" s="63">
        <v>28939</v>
      </c>
      <c r="L202" s="28">
        <f>DATEDIF(K202,Zwift25!G$1,"Y")</f>
        <v>45</v>
      </c>
      <c r="M202" s="67">
        <f>IF(J202="m",VLOOKUP(L202,'All Solo Adjustments'!A:D,4,FALSE),VLOOKUP(L202,'All Solo Adjustments'!A:J,10,FALSE))</f>
        <v>4.6180555555555558E-3</v>
      </c>
      <c r="N202" s="63"/>
      <c r="O202" s="63"/>
      <c r="P202" s="63"/>
      <c r="Q202" s="63"/>
      <c r="R202" t="s">
        <v>296</v>
      </c>
      <c r="S202" t="s">
        <v>295</v>
      </c>
      <c r="T202" t="s">
        <v>292</v>
      </c>
      <c r="U202" t="s">
        <v>11058</v>
      </c>
      <c r="V202" t="s">
        <v>11057</v>
      </c>
      <c r="W202" t="s">
        <v>2034</v>
      </c>
      <c r="Y202" t="s">
        <v>11056</v>
      </c>
      <c r="Z202" t="str">
        <f>"07934553296"</f>
        <v>07934553296</v>
      </c>
      <c r="AA202" t="str">
        <f>""</f>
        <v/>
      </c>
      <c r="AB202" t="s">
        <v>7119</v>
      </c>
      <c r="AC202" t="s">
        <v>11055</v>
      </c>
      <c r="AD202" t="s">
        <v>114</v>
      </c>
      <c r="AE202" s="63">
        <v>45264</v>
      </c>
      <c r="AF202" t="s">
        <v>156</v>
      </c>
      <c r="AG202" t="s">
        <v>112</v>
      </c>
      <c r="AH202" t="s">
        <v>112</v>
      </c>
      <c r="AI202" s="63">
        <v>44933</v>
      </c>
      <c r="AJ202" s="63">
        <v>45657</v>
      </c>
      <c r="AK202" t="s">
        <v>112</v>
      </c>
      <c r="AL202" t="s">
        <v>111</v>
      </c>
      <c r="AM202" t="s">
        <v>111</v>
      </c>
      <c r="AN202">
        <v>36853</v>
      </c>
      <c r="AO202" t="s">
        <v>122</v>
      </c>
      <c r="AP202" t="s">
        <v>122</v>
      </c>
    </row>
    <row r="203" spans="1:42" x14ac:dyDescent="0.25">
      <c r="A203" s="28" t="str">
        <f>"15251"</f>
        <v>15251</v>
      </c>
      <c r="B203">
        <v>15251</v>
      </c>
      <c r="C203" t="s">
        <v>2488</v>
      </c>
      <c r="D203" t="s">
        <v>121</v>
      </c>
      <c r="E203" t="s">
        <v>584</v>
      </c>
      <c r="F203" t="s">
        <v>139</v>
      </c>
      <c r="G203" t="s">
        <v>128</v>
      </c>
      <c r="H203" t="s">
        <v>2349</v>
      </c>
      <c r="I203" t="s">
        <v>11054</v>
      </c>
      <c r="J203" t="s">
        <v>126</v>
      </c>
      <c r="K203" s="63">
        <v>24568</v>
      </c>
      <c r="L203" s="28">
        <f>DATEDIF(K203,Zwift25!G$1,"Y")</f>
        <v>57</v>
      </c>
      <c r="M203" s="67">
        <f>IF(J203="m",VLOOKUP(L203,'All Solo Adjustments'!A:D,4,FALSE),VLOOKUP(L203,'All Solo Adjustments'!A:J,10,FALSE))</f>
        <v>6.076388888888889E-3</v>
      </c>
      <c r="N203" s="63"/>
      <c r="O203" s="63"/>
      <c r="P203" s="63"/>
      <c r="Q203" s="63"/>
      <c r="R203" t="s">
        <v>180</v>
      </c>
      <c r="S203" t="s">
        <v>179</v>
      </c>
      <c r="T203" t="s">
        <v>292</v>
      </c>
      <c r="U203" t="s">
        <v>11053</v>
      </c>
      <c r="V203" t="s">
        <v>1837</v>
      </c>
      <c r="W203" t="s">
        <v>983</v>
      </c>
      <c r="Y203" t="s">
        <v>11052</v>
      </c>
      <c r="Z203" t="str">
        <f>"+447914355527"</f>
        <v>+447914355527</v>
      </c>
      <c r="AA203" t="str">
        <f>""</f>
        <v/>
      </c>
      <c r="AB203" t="s">
        <v>11051</v>
      </c>
      <c r="AC203" t="s">
        <v>11050</v>
      </c>
      <c r="AD203" t="s">
        <v>114</v>
      </c>
      <c r="AE203" s="63">
        <v>45300</v>
      </c>
      <c r="AF203" t="s">
        <v>156</v>
      </c>
      <c r="AG203" t="s">
        <v>112</v>
      </c>
      <c r="AH203" t="s">
        <v>112</v>
      </c>
      <c r="AI203" s="63">
        <v>44636</v>
      </c>
      <c r="AJ203" s="63">
        <v>45657</v>
      </c>
      <c r="AK203" t="s">
        <v>112</v>
      </c>
      <c r="AL203" t="s">
        <v>111</v>
      </c>
      <c r="AM203" t="s">
        <v>111</v>
      </c>
      <c r="AN203">
        <v>24377</v>
      </c>
      <c r="AO203" t="s">
        <v>122</v>
      </c>
      <c r="AP203" t="s">
        <v>122</v>
      </c>
    </row>
    <row r="204" spans="1:42" x14ac:dyDescent="0.25">
      <c r="A204" s="28" t="str">
        <f>"2827"</f>
        <v>2827</v>
      </c>
      <c r="B204">
        <v>2827</v>
      </c>
      <c r="C204" t="s">
        <v>2488</v>
      </c>
      <c r="D204" t="s">
        <v>121</v>
      </c>
      <c r="F204" t="s">
        <v>120</v>
      </c>
      <c r="G204" t="s">
        <v>185</v>
      </c>
      <c r="I204" t="s">
        <v>254</v>
      </c>
      <c r="J204" t="s">
        <v>7</v>
      </c>
      <c r="K204" s="63">
        <v>24381</v>
      </c>
      <c r="L204" s="28">
        <f>DATEDIF(K204,Zwift25!G$1,"Y")</f>
        <v>58</v>
      </c>
      <c r="M204" s="67">
        <f>IF(J204="m",VLOOKUP(L204,'All Solo Adjustments'!A:D,4,FALSE),VLOOKUP(L204,'All Solo Adjustments'!A:J,10,FALSE))</f>
        <v>2.7199074074074074E-3</v>
      </c>
      <c r="N204" s="63"/>
      <c r="O204" s="63"/>
      <c r="P204" s="63"/>
      <c r="Q204" s="63"/>
      <c r="R204" t="s">
        <v>239</v>
      </c>
      <c r="S204" t="s">
        <v>274</v>
      </c>
      <c r="T204" t="s">
        <v>292</v>
      </c>
      <c r="U204" t="s">
        <v>11049</v>
      </c>
      <c r="V204" t="s">
        <v>2322</v>
      </c>
      <c r="W204" t="s">
        <v>391</v>
      </c>
      <c r="Y204" t="s">
        <v>11048</v>
      </c>
      <c r="Z204" t="str">
        <f>"01484 722187"</f>
        <v>01484 722187</v>
      </c>
      <c r="AA204" t="str">
        <f>"07887370278"</f>
        <v>07887370278</v>
      </c>
      <c r="AB204" t="s">
        <v>1063</v>
      </c>
      <c r="AC204" t="s">
        <v>11047</v>
      </c>
      <c r="AD204" t="s">
        <v>114</v>
      </c>
      <c r="AE204" s="63">
        <v>45344</v>
      </c>
      <c r="AF204" t="s">
        <v>113</v>
      </c>
      <c r="AG204" t="s">
        <v>112</v>
      </c>
      <c r="AH204" t="s">
        <v>112</v>
      </c>
      <c r="AI204" s="63">
        <v>39053</v>
      </c>
      <c r="AJ204" s="63">
        <v>45657</v>
      </c>
      <c r="AK204" t="s">
        <v>111</v>
      </c>
      <c r="AL204" t="s">
        <v>111</v>
      </c>
      <c r="AM204" t="s">
        <v>111</v>
      </c>
      <c r="AN204">
        <v>6633</v>
      </c>
      <c r="AO204" t="s">
        <v>110</v>
      </c>
      <c r="AP204" t="s">
        <v>109</v>
      </c>
    </row>
    <row r="205" spans="1:42" x14ac:dyDescent="0.25">
      <c r="A205" s="28" t="str">
        <f>"5073"</f>
        <v>5073</v>
      </c>
      <c r="B205">
        <v>5073</v>
      </c>
      <c r="C205" t="s">
        <v>2488</v>
      </c>
      <c r="D205" t="s">
        <v>121</v>
      </c>
      <c r="F205" t="s">
        <v>120</v>
      </c>
      <c r="G205" t="s">
        <v>221</v>
      </c>
      <c r="H205" t="s">
        <v>284</v>
      </c>
      <c r="I205" t="s">
        <v>11046</v>
      </c>
      <c r="J205" t="s">
        <v>7</v>
      </c>
      <c r="K205" s="63">
        <v>20991</v>
      </c>
      <c r="L205" s="28">
        <f>DATEDIF(K205,Zwift25!G$1,"Y")</f>
        <v>67</v>
      </c>
      <c r="M205" s="67">
        <f>IF(J205="m",VLOOKUP(L205,'All Solo Adjustments'!A:D,4,FALSE),VLOOKUP(L205,'All Solo Adjustments'!A:J,10,FALSE))</f>
        <v>5.2662037037037035E-3</v>
      </c>
      <c r="N205" s="63"/>
      <c r="O205" s="63"/>
      <c r="P205" s="63"/>
      <c r="Q205" s="63"/>
      <c r="R205" t="s">
        <v>184</v>
      </c>
      <c r="S205" t="s">
        <v>183</v>
      </c>
      <c r="T205" t="s">
        <v>292</v>
      </c>
      <c r="U205" t="s">
        <v>11045</v>
      </c>
      <c r="V205" t="s">
        <v>11044</v>
      </c>
      <c r="W205" t="s">
        <v>1481</v>
      </c>
      <c r="X205" t="s">
        <v>4010</v>
      </c>
      <c r="Y205" t="s">
        <v>11043</v>
      </c>
      <c r="Z205" t="str">
        <f>"07944090399"</f>
        <v>07944090399</v>
      </c>
      <c r="AA205" t="str">
        <f>""</f>
        <v/>
      </c>
      <c r="AB205" t="s">
        <v>10190</v>
      </c>
      <c r="AC205" t="s">
        <v>11042</v>
      </c>
      <c r="AD205" t="s">
        <v>114</v>
      </c>
      <c r="AE205" s="63">
        <v>45265</v>
      </c>
      <c r="AF205" t="s">
        <v>113</v>
      </c>
      <c r="AG205" t="s">
        <v>112</v>
      </c>
      <c r="AH205" t="s">
        <v>112</v>
      </c>
      <c r="AI205" s="63">
        <v>41796</v>
      </c>
      <c r="AJ205" s="63">
        <v>45657</v>
      </c>
      <c r="AK205" t="s">
        <v>111</v>
      </c>
      <c r="AL205" t="s">
        <v>111</v>
      </c>
      <c r="AM205" t="s">
        <v>111</v>
      </c>
      <c r="AN205">
        <v>2478</v>
      </c>
      <c r="AO205" t="s">
        <v>110</v>
      </c>
      <c r="AP205" t="s">
        <v>109</v>
      </c>
    </row>
    <row r="206" spans="1:42" x14ac:dyDescent="0.25">
      <c r="A206" s="28" t="str">
        <f>"5176"</f>
        <v>5176</v>
      </c>
      <c r="B206">
        <v>5176</v>
      </c>
      <c r="C206" t="s">
        <v>2488</v>
      </c>
      <c r="D206" t="s">
        <v>121</v>
      </c>
      <c r="E206" t="s">
        <v>584</v>
      </c>
      <c r="F206" t="s">
        <v>120</v>
      </c>
      <c r="G206" t="s">
        <v>377</v>
      </c>
      <c r="I206" t="s">
        <v>11041</v>
      </c>
      <c r="J206" t="s">
        <v>7</v>
      </c>
      <c r="K206" s="63">
        <v>22369</v>
      </c>
      <c r="L206" s="28">
        <f>DATEDIF(K206,Zwift25!G$1,"Y")</f>
        <v>63</v>
      </c>
      <c r="M206" s="67">
        <f>IF(J206="m",VLOOKUP(L206,'All Solo Adjustments'!A:D,4,FALSE),VLOOKUP(L206,'All Solo Adjustments'!A:J,10,FALSE))</f>
        <v>4.0277777777777777E-3</v>
      </c>
      <c r="N206" s="63"/>
      <c r="O206" s="63"/>
      <c r="P206" s="63"/>
      <c r="Q206" s="63"/>
      <c r="R206" t="s">
        <v>180</v>
      </c>
      <c r="S206" t="s">
        <v>179</v>
      </c>
      <c r="T206" t="s">
        <v>292</v>
      </c>
      <c r="U206" t="s">
        <v>11040</v>
      </c>
      <c r="V206" t="s">
        <v>4085</v>
      </c>
      <c r="W206" t="s">
        <v>1121</v>
      </c>
      <c r="Y206" t="s">
        <v>11039</v>
      </c>
      <c r="Z206" t="str">
        <f>"01283 732925"</f>
        <v>01283 732925</v>
      </c>
      <c r="AA206" t="str">
        <f>"07939 660369"</f>
        <v>07939 660369</v>
      </c>
      <c r="AB206" t="s">
        <v>2023</v>
      </c>
      <c r="AC206" t="s">
        <v>11038</v>
      </c>
      <c r="AD206" t="s">
        <v>114</v>
      </c>
      <c r="AE206" s="63">
        <v>45348</v>
      </c>
      <c r="AF206" t="s">
        <v>113</v>
      </c>
      <c r="AG206" t="s">
        <v>112</v>
      </c>
      <c r="AH206" t="s">
        <v>112</v>
      </c>
      <c r="AI206" s="63">
        <v>41981</v>
      </c>
      <c r="AJ206" s="63">
        <v>45657</v>
      </c>
      <c r="AK206" t="s">
        <v>111</v>
      </c>
      <c r="AL206" t="s">
        <v>111</v>
      </c>
      <c r="AM206" t="s">
        <v>111</v>
      </c>
      <c r="AN206">
        <v>2541</v>
      </c>
      <c r="AO206" t="s">
        <v>110</v>
      </c>
      <c r="AP206" t="s">
        <v>109</v>
      </c>
    </row>
    <row r="207" spans="1:42" x14ac:dyDescent="0.25">
      <c r="A207" s="28" t="str">
        <f>"13716"</f>
        <v>13716</v>
      </c>
      <c r="B207">
        <v>13716</v>
      </c>
      <c r="C207" t="s">
        <v>2488</v>
      </c>
      <c r="D207" t="s">
        <v>121</v>
      </c>
      <c r="F207" t="s">
        <v>120</v>
      </c>
      <c r="G207" t="s">
        <v>2071</v>
      </c>
      <c r="H207" t="s">
        <v>195</v>
      </c>
      <c r="I207" t="s">
        <v>11037</v>
      </c>
      <c r="J207" t="s">
        <v>7</v>
      </c>
      <c r="K207" s="63">
        <v>24945</v>
      </c>
      <c r="L207" s="28">
        <f>DATEDIF(K207,Zwift25!G$1,"Y")</f>
        <v>56</v>
      </c>
      <c r="M207" s="67">
        <f>IF(J207="m",VLOOKUP(L207,'All Solo Adjustments'!A:D,4,FALSE),VLOOKUP(L207,'All Solo Adjustments'!A:J,10,FALSE))</f>
        <v>2.2685185185185182E-3</v>
      </c>
      <c r="N207" s="63"/>
      <c r="O207" s="63"/>
      <c r="P207" s="63"/>
      <c r="Q207" s="63"/>
      <c r="R207" t="s">
        <v>184</v>
      </c>
      <c r="S207" t="s">
        <v>183</v>
      </c>
      <c r="T207" t="s">
        <v>292</v>
      </c>
      <c r="U207" t="s">
        <v>11036</v>
      </c>
      <c r="V207" t="s">
        <v>4910</v>
      </c>
      <c r="W207" t="s">
        <v>384</v>
      </c>
      <c r="X207" t="s">
        <v>1907</v>
      </c>
      <c r="Y207" t="s">
        <v>11035</v>
      </c>
      <c r="Z207" t="str">
        <f>"07938174521"</f>
        <v>07938174521</v>
      </c>
      <c r="AA207" t="str">
        <f>""</f>
        <v/>
      </c>
      <c r="AB207" t="s">
        <v>10190</v>
      </c>
      <c r="AC207" t="s">
        <v>11034</v>
      </c>
      <c r="AD207" t="s">
        <v>114</v>
      </c>
      <c r="AE207" s="63">
        <v>45262</v>
      </c>
      <c r="AF207" t="s">
        <v>156</v>
      </c>
      <c r="AG207" t="s">
        <v>112</v>
      </c>
      <c r="AH207" t="s">
        <v>112</v>
      </c>
      <c r="AI207" s="63">
        <v>43295</v>
      </c>
      <c r="AJ207" s="63">
        <v>45657</v>
      </c>
      <c r="AK207" t="s">
        <v>112</v>
      </c>
      <c r="AL207" t="s">
        <v>111</v>
      </c>
      <c r="AM207" t="s">
        <v>111</v>
      </c>
      <c r="AN207">
        <v>772</v>
      </c>
      <c r="AO207" t="s">
        <v>110</v>
      </c>
      <c r="AP207" t="s">
        <v>109</v>
      </c>
    </row>
    <row r="208" spans="1:42" x14ac:dyDescent="0.25">
      <c r="A208" s="28" t="str">
        <f>"15343"</f>
        <v>15343</v>
      </c>
      <c r="B208">
        <v>15343</v>
      </c>
      <c r="C208" t="s">
        <v>2488</v>
      </c>
      <c r="D208" t="s">
        <v>121</v>
      </c>
      <c r="E208" t="s">
        <v>584</v>
      </c>
      <c r="F208" t="s">
        <v>120</v>
      </c>
      <c r="G208" t="s">
        <v>492</v>
      </c>
      <c r="I208" t="s">
        <v>2187</v>
      </c>
      <c r="J208" t="s">
        <v>7</v>
      </c>
      <c r="K208" s="63">
        <v>26932</v>
      </c>
      <c r="L208" s="28">
        <f>DATEDIF(K208,Zwift25!G$1,"Y")</f>
        <v>51</v>
      </c>
      <c r="M208" s="67">
        <f>IF(J208="m",VLOOKUP(L208,'All Solo Adjustments'!A:D,4,FALSE),VLOOKUP(L208,'All Solo Adjustments'!A:J,10,FALSE))</f>
        <v>1.3078703703703703E-3</v>
      </c>
      <c r="N208" s="63"/>
      <c r="O208" s="63"/>
      <c r="P208" s="63"/>
      <c r="Q208" s="63"/>
      <c r="R208" t="s">
        <v>213</v>
      </c>
      <c r="S208" t="s">
        <v>212</v>
      </c>
      <c r="T208" t="s">
        <v>292</v>
      </c>
      <c r="U208" t="s">
        <v>11033</v>
      </c>
      <c r="V208" t="s">
        <v>11032</v>
      </c>
      <c r="W208" t="s">
        <v>912</v>
      </c>
      <c r="Y208" t="s">
        <v>11031</v>
      </c>
      <c r="Z208" t="str">
        <f>"07393022121"</f>
        <v>07393022121</v>
      </c>
      <c r="AA208" t="str">
        <f>""</f>
        <v/>
      </c>
      <c r="AB208" t="s">
        <v>1113</v>
      </c>
      <c r="AC208" t="s">
        <v>11030</v>
      </c>
      <c r="AD208" t="s">
        <v>114</v>
      </c>
      <c r="AE208" s="63">
        <v>45292</v>
      </c>
      <c r="AF208" t="s">
        <v>113</v>
      </c>
      <c r="AG208" t="s">
        <v>112</v>
      </c>
      <c r="AH208" t="s">
        <v>112</v>
      </c>
      <c r="AI208" s="63">
        <v>44578</v>
      </c>
      <c r="AJ208" s="63">
        <v>45657</v>
      </c>
      <c r="AK208" t="s">
        <v>112</v>
      </c>
      <c r="AL208" t="s">
        <v>111</v>
      </c>
      <c r="AM208" t="s">
        <v>111</v>
      </c>
      <c r="AN208">
        <v>17527</v>
      </c>
      <c r="AO208" t="s">
        <v>110</v>
      </c>
      <c r="AP208" t="s">
        <v>109</v>
      </c>
    </row>
    <row r="209" spans="1:42" x14ac:dyDescent="0.25">
      <c r="A209" s="28" t="str">
        <f>"0282"</f>
        <v>0282</v>
      </c>
      <c r="B209">
        <v>282</v>
      </c>
      <c r="C209" t="s">
        <v>2488</v>
      </c>
      <c r="D209" t="s">
        <v>121</v>
      </c>
      <c r="F209" t="s">
        <v>120</v>
      </c>
      <c r="G209" t="s">
        <v>721</v>
      </c>
      <c r="I209" t="s">
        <v>11029</v>
      </c>
      <c r="J209" t="s">
        <v>7</v>
      </c>
      <c r="K209" s="63">
        <v>15020</v>
      </c>
      <c r="L209" s="28">
        <f>DATEDIF(K209,Zwift25!G$1,"Y")</f>
        <v>83</v>
      </c>
      <c r="M209" s="67">
        <f>IF(J209="m",VLOOKUP(L209,'All Solo Adjustments'!A:D,4,FALSE),VLOOKUP(L209,'All Solo Adjustments'!A:J,10,FALSE))</f>
        <v>1.2858796296296297E-2</v>
      </c>
      <c r="N209" s="63"/>
      <c r="O209" s="63"/>
      <c r="P209" s="63"/>
      <c r="Q209" s="63"/>
      <c r="R209" t="s">
        <v>125</v>
      </c>
      <c r="S209" t="s">
        <v>484</v>
      </c>
      <c r="T209" t="s">
        <v>292</v>
      </c>
      <c r="U209" t="s">
        <v>11028</v>
      </c>
      <c r="V209" t="s">
        <v>11027</v>
      </c>
      <c r="W209" t="s">
        <v>8165</v>
      </c>
      <c r="X209" t="s">
        <v>123</v>
      </c>
      <c r="Y209" t="s">
        <v>11026</v>
      </c>
      <c r="Z209" t="str">
        <f>"01371 856557"</f>
        <v>01371 856557</v>
      </c>
      <c r="AA209" t="str">
        <f>""</f>
        <v/>
      </c>
      <c r="AB209" t="s">
        <v>508</v>
      </c>
      <c r="AC209" t="s">
        <v>11025</v>
      </c>
      <c r="AD209" t="s">
        <v>145</v>
      </c>
      <c r="AF209" t="s">
        <v>113</v>
      </c>
      <c r="AG209" t="s">
        <v>112</v>
      </c>
      <c r="AH209" t="s">
        <v>112</v>
      </c>
      <c r="AI209" s="63">
        <v>34197</v>
      </c>
      <c r="AK209" t="s">
        <v>111</v>
      </c>
      <c r="AL209" t="s">
        <v>111</v>
      </c>
      <c r="AM209" t="s">
        <v>111</v>
      </c>
      <c r="AN209" t="s">
        <v>105</v>
      </c>
      <c r="AO209" t="s">
        <v>110</v>
      </c>
      <c r="AP209" t="s">
        <v>109</v>
      </c>
    </row>
    <row r="210" spans="1:42" x14ac:dyDescent="0.25">
      <c r="A210" s="28" t="str">
        <f>"15363"</f>
        <v>15363</v>
      </c>
      <c r="B210">
        <v>15363</v>
      </c>
      <c r="C210" t="s">
        <v>2488</v>
      </c>
      <c r="D210" t="s">
        <v>121</v>
      </c>
      <c r="E210" t="s">
        <v>584</v>
      </c>
      <c r="F210" t="s">
        <v>120</v>
      </c>
      <c r="G210" t="s">
        <v>245</v>
      </c>
      <c r="I210" t="s">
        <v>11024</v>
      </c>
      <c r="J210" t="s">
        <v>7</v>
      </c>
      <c r="K210" s="63">
        <v>19613</v>
      </c>
      <c r="L210" s="28">
        <f>DATEDIF(K210,Zwift25!G$1,"Y")</f>
        <v>71</v>
      </c>
      <c r="M210" s="67">
        <f>IF(J210="m",VLOOKUP(L210,'All Solo Adjustments'!A:D,4,FALSE),VLOOKUP(L210,'All Solo Adjustments'!A:J,10,FALSE))</f>
        <v>6.7245370370370375E-3</v>
      </c>
      <c r="N210" s="63"/>
      <c r="O210" s="63"/>
      <c r="P210" s="63"/>
      <c r="Q210" s="63"/>
      <c r="R210" t="s">
        <v>239</v>
      </c>
      <c r="S210" t="s">
        <v>274</v>
      </c>
      <c r="T210" t="s">
        <v>292</v>
      </c>
      <c r="U210" t="s">
        <v>11023</v>
      </c>
      <c r="V210" t="s">
        <v>916</v>
      </c>
      <c r="W210" t="s">
        <v>11022</v>
      </c>
      <c r="X210" t="s">
        <v>1778</v>
      </c>
      <c r="Y210" t="s">
        <v>11021</v>
      </c>
      <c r="Z210" t="str">
        <f>"+447415665543"</f>
        <v>+447415665543</v>
      </c>
      <c r="AA210" t="str">
        <f>"01132817484"</f>
        <v>01132817484</v>
      </c>
      <c r="AB210" t="s">
        <v>679</v>
      </c>
      <c r="AC210" t="s">
        <v>11020</v>
      </c>
      <c r="AD210" t="s">
        <v>114</v>
      </c>
      <c r="AE210" s="63">
        <v>45343</v>
      </c>
      <c r="AF210" t="s">
        <v>113</v>
      </c>
      <c r="AG210" t="s">
        <v>112</v>
      </c>
      <c r="AH210" t="s">
        <v>112</v>
      </c>
      <c r="AI210" s="63">
        <v>44603</v>
      </c>
      <c r="AJ210" s="63">
        <v>45657</v>
      </c>
      <c r="AK210" t="s">
        <v>112</v>
      </c>
      <c r="AL210" t="s">
        <v>111</v>
      </c>
      <c r="AM210" t="s">
        <v>111</v>
      </c>
      <c r="AN210">
        <v>4061</v>
      </c>
      <c r="AO210" t="s">
        <v>110</v>
      </c>
      <c r="AP210" t="s">
        <v>109</v>
      </c>
    </row>
    <row r="211" spans="1:42" x14ac:dyDescent="0.25">
      <c r="A211" s="28" t="str">
        <f>"0284"</f>
        <v>0284</v>
      </c>
      <c r="B211">
        <v>284</v>
      </c>
      <c r="C211" t="s">
        <v>2488</v>
      </c>
      <c r="D211" t="s">
        <v>121</v>
      </c>
      <c r="F211" t="s">
        <v>120</v>
      </c>
      <c r="G211" t="s">
        <v>481</v>
      </c>
      <c r="H211" t="s">
        <v>11019</v>
      </c>
      <c r="I211" t="s">
        <v>11019</v>
      </c>
      <c r="J211" t="s">
        <v>7</v>
      </c>
      <c r="K211" s="63">
        <v>14930</v>
      </c>
      <c r="L211" s="28">
        <f>DATEDIF(K211,Zwift25!G$1,"Y")</f>
        <v>83</v>
      </c>
      <c r="M211" s="67">
        <f>IF(J211="m",VLOOKUP(L211,'All Solo Adjustments'!A:D,4,FALSE),VLOOKUP(L211,'All Solo Adjustments'!A:J,10,FALSE))</f>
        <v>1.2858796296296297E-2</v>
      </c>
      <c r="N211" s="63"/>
      <c r="O211" s="63"/>
      <c r="P211" s="63"/>
      <c r="Q211" s="63"/>
      <c r="R211" t="s">
        <v>198</v>
      </c>
      <c r="S211" t="s">
        <v>476</v>
      </c>
      <c r="T211" t="s">
        <v>292</v>
      </c>
      <c r="U211" t="s">
        <v>11018</v>
      </c>
      <c r="V211" t="s">
        <v>5189</v>
      </c>
      <c r="W211" t="s">
        <v>196</v>
      </c>
      <c r="Y211" t="s">
        <v>11017</v>
      </c>
      <c r="Z211" t="str">
        <f>"01457 762639"</f>
        <v>01457 762639</v>
      </c>
      <c r="AA211" t="str">
        <f>"07713914616"</f>
        <v>07713914616</v>
      </c>
      <c r="AB211" t="s">
        <v>885</v>
      </c>
      <c r="AC211" t="s">
        <v>11016</v>
      </c>
      <c r="AD211" t="s">
        <v>145</v>
      </c>
      <c r="AF211" t="s">
        <v>156</v>
      </c>
      <c r="AG211" t="s">
        <v>112</v>
      </c>
      <c r="AH211" t="s">
        <v>112</v>
      </c>
      <c r="AI211" s="63">
        <v>34973</v>
      </c>
      <c r="AK211" t="s">
        <v>111</v>
      </c>
      <c r="AL211" t="s">
        <v>111</v>
      </c>
      <c r="AM211" t="s">
        <v>111</v>
      </c>
      <c r="AN211" t="s">
        <v>105</v>
      </c>
      <c r="AO211" t="s">
        <v>110</v>
      </c>
      <c r="AP211" t="s">
        <v>109</v>
      </c>
    </row>
    <row r="212" spans="1:42" x14ac:dyDescent="0.25">
      <c r="A212" s="28" t="str">
        <f>"6451"</f>
        <v>6451</v>
      </c>
      <c r="B212">
        <v>6451</v>
      </c>
      <c r="C212" t="s">
        <v>2488</v>
      </c>
      <c r="D212" t="s">
        <v>121</v>
      </c>
      <c r="E212" t="s">
        <v>584</v>
      </c>
      <c r="F212" t="s">
        <v>120</v>
      </c>
      <c r="G212" t="s">
        <v>1282</v>
      </c>
      <c r="H212" t="s">
        <v>11015</v>
      </c>
      <c r="I212" t="s">
        <v>11014</v>
      </c>
      <c r="J212" t="s">
        <v>7</v>
      </c>
      <c r="K212" s="63">
        <v>21653</v>
      </c>
      <c r="L212" s="28">
        <f>DATEDIF(K212,Zwift25!G$1,"Y")</f>
        <v>65</v>
      </c>
      <c r="M212" s="67">
        <f>IF(J212="m",VLOOKUP(L212,'All Solo Adjustments'!A:D,4,FALSE),VLOOKUP(L212,'All Solo Adjustments'!A:J,10,FALSE))</f>
        <v>4.6180555555555558E-3</v>
      </c>
      <c r="N212" s="63"/>
      <c r="O212" s="63"/>
      <c r="P212" s="63"/>
      <c r="Q212" s="63"/>
      <c r="R212" t="s">
        <v>125</v>
      </c>
      <c r="S212" t="s">
        <v>170</v>
      </c>
      <c r="T212" t="s">
        <v>292</v>
      </c>
      <c r="U212" t="s">
        <v>11013</v>
      </c>
      <c r="V212" t="s">
        <v>11012</v>
      </c>
      <c r="W212" t="s">
        <v>6501</v>
      </c>
      <c r="X212" t="s">
        <v>123</v>
      </c>
      <c r="Y212" t="s">
        <v>11011</v>
      </c>
      <c r="Z212" t="str">
        <f>"07511 239562"</f>
        <v>07511 239562</v>
      </c>
      <c r="AA212" t="str">
        <f>""</f>
        <v/>
      </c>
      <c r="AB212" t="s">
        <v>1766</v>
      </c>
      <c r="AC212" t="s">
        <v>11010</v>
      </c>
      <c r="AD212" t="s">
        <v>114</v>
      </c>
      <c r="AE212" s="63">
        <v>45288</v>
      </c>
      <c r="AF212" t="s">
        <v>156</v>
      </c>
      <c r="AG212" t="s">
        <v>112</v>
      </c>
      <c r="AH212" t="s">
        <v>112</v>
      </c>
      <c r="AI212" s="63">
        <v>43159</v>
      </c>
      <c r="AJ212" s="63">
        <v>45657</v>
      </c>
      <c r="AK212" t="s">
        <v>111</v>
      </c>
      <c r="AL212" t="s">
        <v>111</v>
      </c>
      <c r="AM212" t="s">
        <v>111</v>
      </c>
      <c r="AN212">
        <v>2095</v>
      </c>
      <c r="AO212" t="s">
        <v>110</v>
      </c>
      <c r="AP212" t="s">
        <v>109</v>
      </c>
    </row>
    <row r="213" spans="1:42" x14ac:dyDescent="0.25">
      <c r="A213" s="28" t="str">
        <f>"4859"</f>
        <v>4859</v>
      </c>
      <c r="B213">
        <v>4859</v>
      </c>
      <c r="C213" t="s">
        <v>2488</v>
      </c>
      <c r="D213" t="s">
        <v>121</v>
      </c>
      <c r="F213" t="s">
        <v>120</v>
      </c>
      <c r="G213" t="s">
        <v>10360</v>
      </c>
      <c r="I213" t="s">
        <v>11009</v>
      </c>
      <c r="J213" t="s">
        <v>7</v>
      </c>
      <c r="K213" s="63">
        <v>19904</v>
      </c>
      <c r="L213" s="28">
        <f>DATEDIF(K213,Zwift25!G$1,"Y")</f>
        <v>70</v>
      </c>
      <c r="M213" s="67">
        <f>IF(J213="m",VLOOKUP(L213,'All Solo Adjustments'!A:D,4,FALSE),VLOOKUP(L213,'All Solo Adjustments'!A:J,10,FALSE))</f>
        <v>6.3425925925925924E-3</v>
      </c>
      <c r="N213" s="63"/>
      <c r="O213" s="63"/>
      <c r="P213" s="63"/>
      <c r="Q213" s="63"/>
      <c r="R213" t="s">
        <v>137</v>
      </c>
      <c r="S213" t="s">
        <v>136</v>
      </c>
      <c r="T213" t="s">
        <v>292</v>
      </c>
      <c r="U213" t="s">
        <v>11008</v>
      </c>
      <c r="V213" t="s">
        <v>350</v>
      </c>
      <c r="W213" t="s">
        <v>208</v>
      </c>
      <c r="Y213" t="s">
        <v>11007</v>
      </c>
      <c r="Z213" t="str">
        <f>"02392 785803"</f>
        <v>02392 785803</v>
      </c>
      <c r="AA213" t="str">
        <f>""</f>
        <v/>
      </c>
      <c r="AB213" t="s">
        <v>378</v>
      </c>
      <c r="AC213" t="s">
        <v>11006</v>
      </c>
      <c r="AD213" t="s">
        <v>114</v>
      </c>
      <c r="AE213" s="63">
        <v>45292</v>
      </c>
      <c r="AF213" t="s">
        <v>113</v>
      </c>
      <c r="AG213" t="s">
        <v>112</v>
      </c>
      <c r="AH213" t="s">
        <v>112</v>
      </c>
      <c r="AI213" s="63">
        <v>41598</v>
      </c>
      <c r="AJ213" s="63">
        <v>45657</v>
      </c>
      <c r="AK213" t="s">
        <v>111</v>
      </c>
      <c r="AL213" t="s">
        <v>111</v>
      </c>
      <c r="AM213" t="s">
        <v>111</v>
      </c>
      <c r="AN213">
        <v>1581</v>
      </c>
      <c r="AO213" t="s">
        <v>110</v>
      </c>
      <c r="AP213" t="s">
        <v>109</v>
      </c>
    </row>
    <row r="214" spans="1:42" x14ac:dyDescent="0.25">
      <c r="A214" s="28" t="str">
        <f>"0288"</f>
        <v>0288</v>
      </c>
      <c r="B214">
        <v>288</v>
      </c>
      <c r="C214" t="s">
        <v>2488</v>
      </c>
      <c r="D214" t="s">
        <v>121</v>
      </c>
      <c r="F214" t="s">
        <v>120</v>
      </c>
      <c r="G214" t="s">
        <v>251</v>
      </c>
      <c r="I214" t="s">
        <v>11005</v>
      </c>
      <c r="J214" t="s">
        <v>7</v>
      </c>
      <c r="K214" s="63">
        <v>13358</v>
      </c>
      <c r="L214" s="28">
        <f>DATEDIF(K214,Zwift25!G$1,"Y")</f>
        <v>88</v>
      </c>
      <c r="M214" s="67">
        <f>IF(J214="m",VLOOKUP(L214,'All Solo Adjustments'!A:D,4,FALSE),VLOOKUP(L214,'All Solo Adjustments'!A:J,10,FALSE))</f>
        <v>1.6597222222222222E-2</v>
      </c>
      <c r="N214" s="63"/>
      <c r="O214" s="63"/>
      <c r="P214" s="63"/>
      <c r="Q214" s="63"/>
      <c r="R214" t="s">
        <v>283</v>
      </c>
      <c r="S214" t="s">
        <v>2311</v>
      </c>
      <c r="T214" t="s">
        <v>292</v>
      </c>
      <c r="U214" t="s">
        <v>11004</v>
      </c>
      <c r="V214" t="s">
        <v>1032</v>
      </c>
      <c r="W214" t="s">
        <v>11003</v>
      </c>
      <c r="X214" t="s">
        <v>871</v>
      </c>
      <c r="Y214" t="s">
        <v>11002</v>
      </c>
      <c r="Z214" t="str">
        <f>"01327 263742"</f>
        <v>01327 263742</v>
      </c>
      <c r="AA214" t="str">
        <f>""</f>
        <v/>
      </c>
      <c r="AB214" t="s">
        <v>1372</v>
      </c>
      <c r="AD214" t="s">
        <v>151</v>
      </c>
      <c r="AF214" t="s">
        <v>113</v>
      </c>
      <c r="AG214" t="s">
        <v>112</v>
      </c>
      <c r="AH214" t="s">
        <v>112</v>
      </c>
      <c r="AI214" s="63">
        <v>27760</v>
      </c>
      <c r="AK214" t="s">
        <v>111</v>
      </c>
      <c r="AL214" t="s">
        <v>111</v>
      </c>
      <c r="AM214" t="s">
        <v>111</v>
      </c>
      <c r="AN214" t="s">
        <v>105</v>
      </c>
      <c r="AO214" t="s">
        <v>110</v>
      </c>
      <c r="AP214" t="s">
        <v>109</v>
      </c>
    </row>
    <row r="215" spans="1:42" x14ac:dyDescent="0.25">
      <c r="A215" s="28" t="str">
        <f>"6449"</f>
        <v>6449</v>
      </c>
      <c r="B215">
        <v>6449</v>
      </c>
      <c r="C215" t="s">
        <v>2488</v>
      </c>
      <c r="D215" t="s">
        <v>121</v>
      </c>
      <c r="E215" t="s">
        <v>584</v>
      </c>
      <c r="F215" t="s">
        <v>120</v>
      </c>
      <c r="G215" t="s">
        <v>377</v>
      </c>
      <c r="I215" t="s">
        <v>937</v>
      </c>
      <c r="J215" t="s">
        <v>7</v>
      </c>
      <c r="K215" s="63">
        <v>19796</v>
      </c>
      <c r="L215" s="28">
        <f>DATEDIF(K215,Zwift25!G$1,"Y")</f>
        <v>70</v>
      </c>
      <c r="M215" s="67">
        <f>IF(J215="m",VLOOKUP(L215,'All Solo Adjustments'!A:D,4,FALSE),VLOOKUP(L215,'All Solo Adjustments'!A:J,10,FALSE))</f>
        <v>6.3425925925925924E-3</v>
      </c>
      <c r="N215" s="63"/>
      <c r="O215" s="63"/>
      <c r="P215" s="63"/>
      <c r="Q215" s="63"/>
      <c r="R215" t="s">
        <v>296</v>
      </c>
      <c r="S215" t="s">
        <v>295</v>
      </c>
      <c r="T215" t="s">
        <v>292</v>
      </c>
      <c r="U215" t="s">
        <v>11001</v>
      </c>
      <c r="V215" t="s">
        <v>11000</v>
      </c>
      <c r="W215" t="s">
        <v>1645</v>
      </c>
      <c r="Y215" t="s">
        <v>10999</v>
      </c>
      <c r="Z215" t="str">
        <f>"01877 382093"</f>
        <v>01877 382093</v>
      </c>
      <c r="AA215" t="str">
        <f>"07826839649"</f>
        <v>07826839649</v>
      </c>
      <c r="AB215" t="s">
        <v>1158</v>
      </c>
      <c r="AC215" t="s">
        <v>10998</v>
      </c>
      <c r="AD215" t="s">
        <v>114</v>
      </c>
      <c r="AE215" s="63">
        <v>45264</v>
      </c>
      <c r="AF215" t="s">
        <v>156</v>
      </c>
      <c r="AG215" t="s">
        <v>112</v>
      </c>
      <c r="AH215" t="s">
        <v>112</v>
      </c>
      <c r="AI215" s="63">
        <v>43148</v>
      </c>
      <c r="AJ215" s="63">
        <v>45657</v>
      </c>
      <c r="AK215" t="s">
        <v>111</v>
      </c>
      <c r="AL215" t="s">
        <v>111</v>
      </c>
      <c r="AM215" t="s">
        <v>111</v>
      </c>
      <c r="AN215">
        <v>5465</v>
      </c>
      <c r="AO215" t="s">
        <v>110</v>
      </c>
      <c r="AP215" t="s">
        <v>109</v>
      </c>
    </row>
    <row r="216" spans="1:42" x14ac:dyDescent="0.25">
      <c r="A216" s="28" t="str">
        <f>"0289"</f>
        <v>0289</v>
      </c>
      <c r="B216">
        <v>289</v>
      </c>
      <c r="C216" t="s">
        <v>2488</v>
      </c>
      <c r="D216" t="s">
        <v>121</v>
      </c>
      <c r="F216" t="s">
        <v>120</v>
      </c>
      <c r="G216" t="s">
        <v>245</v>
      </c>
      <c r="I216" t="s">
        <v>937</v>
      </c>
      <c r="J216" t="s">
        <v>7</v>
      </c>
      <c r="K216" s="63">
        <v>17816</v>
      </c>
      <c r="L216" s="28">
        <f>DATEDIF(K216,Zwift25!G$1,"Y")</f>
        <v>76</v>
      </c>
      <c r="M216" s="67">
        <f>IF(J216="m",VLOOKUP(L216,'All Solo Adjustments'!A:D,4,FALSE),VLOOKUP(L216,'All Solo Adjustments'!A:J,10,FALSE))</f>
        <v>8.912037037037036E-3</v>
      </c>
      <c r="N216" s="63"/>
      <c r="O216" s="63"/>
      <c r="P216" s="63"/>
      <c r="Q216" s="63"/>
      <c r="R216" t="s">
        <v>125</v>
      </c>
      <c r="S216" t="s">
        <v>170</v>
      </c>
      <c r="T216" t="s">
        <v>292</v>
      </c>
      <c r="U216" t="s">
        <v>10997</v>
      </c>
      <c r="V216" t="s">
        <v>10996</v>
      </c>
      <c r="W216" t="s">
        <v>420</v>
      </c>
      <c r="X216" t="s">
        <v>201</v>
      </c>
      <c r="Y216" t="s">
        <v>10995</v>
      </c>
      <c r="Z216" t="str">
        <f>"01733 241385"</f>
        <v>01733 241385</v>
      </c>
      <c r="AA216" t="str">
        <f>""</f>
        <v/>
      </c>
      <c r="AB216" t="s">
        <v>1340</v>
      </c>
      <c r="AC216" t="s">
        <v>10994</v>
      </c>
      <c r="AD216" t="s">
        <v>114</v>
      </c>
      <c r="AE216" s="63">
        <v>45306</v>
      </c>
      <c r="AF216" t="s">
        <v>113</v>
      </c>
      <c r="AG216" t="s">
        <v>112</v>
      </c>
      <c r="AH216" t="s">
        <v>112</v>
      </c>
      <c r="AI216" s="63">
        <v>34787</v>
      </c>
      <c r="AJ216" s="63">
        <v>45657</v>
      </c>
      <c r="AK216" t="s">
        <v>111</v>
      </c>
      <c r="AL216" t="s">
        <v>111</v>
      </c>
      <c r="AM216" t="s">
        <v>111</v>
      </c>
      <c r="AN216" t="s">
        <v>105</v>
      </c>
      <c r="AO216" t="s">
        <v>110</v>
      </c>
      <c r="AP216" t="s">
        <v>109</v>
      </c>
    </row>
    <row r="217" spans="1:42" x14ac:dyDescent="0.25">
      <c r="A217" s="28" t="str">
        <f>"15059"</f>
        <v>15059</v>
      </c>
      <c r="B217">
        <v>15059</v>
      </c>
      <c r="C217" t="s">
        <v>2488</v>
      </c>
      <c r="D217" t="s">
        <v>121</v>
      </c>
      <c r="F217" t="s">
        <v>120</v>
      </c>
      <c r="G217" t="s">
        <v>221</v>
      </c>
      <c r="H217" t="s">
        <v>709</v>
      </c>
      <c r="I217" t="s">
        <v>937</v>
      </c>
      <c r="J217" t="s">
        <v>7</v>
      </c>
      <c r="K217" s="63">
        <v>20679</v>
      </c>
      <c r="L217" s="28">
        <f>DATEDIF(K217,Zwift25!G$1,"Y")</f>
        <v>68</v>
      </c>
      <c r="M217" s="67">
        <f>IF(J217="m",VLOOKUP(L217,'All Solo Adjustments'!A:D,4,FALSE),VLOOKUP(L217,'All Solo Adjustments'!A:J,10,FALSE))</f>
        <v>5.6134259259259262E-3</v>
      </c>
      <c r="N217" s="63"/>
      <c r="O217" s="63"/>
      <c r="P217" s="63"/>
      <c r="Q217" s="63"/>
      <c r="R217" t="s">
        <v>383</v>
      </c>
      <c r="S217" t="s">
        <v>382</v>
      </c>
      <c r="T217" t="s">
        <v>292</v>
      </c>
      <c r="U217" t="s">
        <v>10993</v>
      </c>
      <c r="V217" t="s">
        <v>10992</v>
      </c>
      <c r="W217" t="s">
        <v>2082</v>
      </c>
      <c r="Y217" t="s">
        <v>10991</v>
      </c>
      <c r="Z217" t="str">
        <f>"08884525346"</f>
        <v>08884525346</v>
      </c>
      <c r="AA217" t="str">
        <f>""</f>
        <v/>
      </c>
      <c r="AB217" t="s">
        <v>1986</v>
      </c>
      <c r="AC217" t="s">
        <v>10990</v>
      </c>
      <c r="AD217" t="s">
        <v>114</v>
      </c>
      <c r="AE217" s="63">
        <v>45272</v>
      </c>
      <c r="AF217" t="s">
        <v>113</v>
      </c>
      <c r="AG217" t="s">
        <v>112</v>
      </c>
      <c r="AH217" t="s">
        <v>112</v>
      </c>
      <c r="AI217" s="63">
        <v>44322</v>
      </c>
      <c r="AJ217" s="63">
        <v>45657</v>
      </c>
      <c r="AK217" t="s">
        <v>112</v>
      </c>
      <c r="AL217" t="s">
        <v>111</v>
      </c>
      <c r="AM217" t="s">
        <v>111</v>
      </c>
      <c r="AN217">
        <v>25510</v>
      </c>
      <c r="AO217" t="s">
        <v>110</v>
      </c>
      <c r="AP217" t="s">
        <v>109</v>
      </c>
    </row>
    <row r="218" spans="1:42" x14ac:dyDescent="0.25">
      <c r="A218" s="28" t="str">
        <f>"15633"</f>
        <v>15633</v>
      </c>
      <c r="B218">
        <v>15633</v>
      </c>
      <c r="C218" t="s">
        <v>2488</v>
      </c>
      <c r="D218" t="s">
        <v>121</v>
      </c>
      <c r="F218" t="s">
        <v>120</v>
      </c>
      <c r="G218" t="s">
        <v>2007</v>
      </c>
      <c r="H218" t="s">
        <v>1224</v>
      </c>
      <c r="I218" t="s">
        <v>10989</v>
      </c>
      <c r="J218" t="s">
        <v>7</v>
      </c>
      <c r="K218" s="63">
        <v>21707</v>
      </c>
      <c r="L218" s="28">
        <f>DATEDIF(K218,Zwift25!G$1,"Y")</f>
        <v>65</v>
      </c>
      <c r="M218" s="67">
        <f>IF(J218="m",VLOOKUP(L218,'All Solo Adjustments'!A:D,4,FALSE),VLOOKUP(L218,'All Solo Adjustments'!A:J,10,FALSE))</f>
        <v>4.6180555555555558E-3</v>
      </c>
      <c r="N218" s="63"/>
      <c r="O218" s="63"/>
      <c r="P218" s="63"/>
      <c r="Q218" s="63"/>
      <c r="R218" t="s">
        <v>154</v>
      </c>
      <c r="S218" t="s">
        <v>153</v>
      </c>
      <c r="T218" t="s">
        <v>292</v>
      </c>
      <c r="U218" t="s">
        <v>10988</v>
      </c>
      <c r="V218" t="s">
        <v>10987</v>
      </c>
      <c r="W218" t="s">
        <v>1997</v>
      </c>
      <c r="X218" t="s">
        <v>152</v>
      </c>
      <c r="Y218" t="s">
        <v>10986</v>
      </c>
      <c r="Z218" t="str">
        <f>"01278683044"</f>
        <v>01278683044</v>
      </c>
      <c r="AA218" t="str">
        <f>"07779692360"</f>
        <v>07779692360</v>
      </c>
      <c r="AB218" t="s">
        <v>10985</v>
      </c>
      <c r="AC218" t="s">
        <v>10984</v>
      </c>
      <c r="AD218" t="s">
        <v>114</v>
      </c>
      <c r="AE218" s="63">
        <v>45293</v>
      </c>
      <c r="AF218" t="s">
        <v>156</v>
      </c>
      <c r="AG218" t="s">
        <v>112</v>
      </c>
      <c r="AH218" t="s">
        <v>112</v>
      </c>
      <c r="AI218" s="63">
        <v>44920</v>
      </c>
      <c r="AJ218" s="63">
        <v>45657</v>
      </c>
      <c r="AK218" t="s">
        <v>112</v>
      </c>
      <c r="AL218" t="s">
        <v>111</v>
      </c>
      <c r="AM218" t="s">
        <v>112</v>
      </c>
      <c r="AN218">
        <v>23136</v>
      </c>
      <c r="AO218" t="s">
        <v>110</v>
      </c>
      <c r="AP218" t="s">
        <v>109</v>
      </c>
    </row>
    <row r="219" spans="1:42" x14ac:dyDescent="0.25">
      <c r="A219" s="28" t="str">
        <f>"15037"</f>
        <v>15037</v>
      </c>
      <c r="B219">
        <v>15037</v>
      </c>
      <c r="C219" t="s">
        <v>2488</v>
      </c>
      <c r="D219" t="s">
        <v>121</v>
      </c>
      <c r="F219" t="s">
        <v>120</v>
      </c>
      <c r="G219" t="s">
        <v>304</v>
      </c>
      <c r="I219" t="s">
        <v>10983</v>
      </c>
      <c r="J219" t="s">
        <v>7</v>
      </c>
      <c r="K219" s="63">
        <v>28717</v>
      </c>
      <c r="L219" s="28">
        <f>DATEDIF(K219,Zwift25!G$1,"Y")</f>
        <v>46</v>
      </c>
      <c r="M219" s="67">
        <f>IF(J219="m",VLOOKUP(L219,'All Solo Adjustments'!A:D,4,FALSE),VLOOKUP(L219,'All Solo Adjustments'!A:J,10,FALSE))</f>
        <v>5.6712962962962956E-4</v>
      </c>
      <c r="N219" s="63"/>
      <c r="O219" s="63"/>
      <c r="P219" s="63"/>
      <c r="Q219" s="63"/>
      <c r="R219" t="s">
        <v>180</v>
      </c>
      <c r="S219" t="s">
        <v>179</v>
      </c>
      <c r="T219" t="s">
        <v>292</v>
      </c>
      <c r="U219" t="s">
        <v>10982</v>
      </c>
      <c r="V219" t="s">
        <v>1472</v>
      </c>
      <c r="Y219" t="s">
        <v>10981</v>
      </c>
      <c r="Z219" t="str">
        <f>"07786620486"</f>
        <v>07786620486</v>
      </c>
      <c r="AA219" t="str">
        <f>""</f>
        <v/>
      </c>
      <c r="AB219" t="s">
        <v>3017</v>
      </c>
      <c r="AC219" t="s">
        <v>10980</v>
      </c>
      <c r="AD219" t="s">
        <v>114</v>
      </c>
      <c r="AE219" s="63">
        <v>45356</v>
      </c>
      <c r="AF219" t="s">
        <v>156</v>
      </c>
      <c r="AG219" t="s">
        <v>112</v>
      </c>
      <c r="AH219" t="s">
        <v>112</v>
      </c>
      <c r="AI219" s="63">
        <v>44316</v>
      </c>
      <c r="AJ219" s="63">
        <v>45657</v>
      </c>
      <c r="AK219" t="s">
        <v>112</v>
      </c>
      <c r="AL219" t="s">
        <v>111</v>
      </c>
      <c r="AM219" t="s">
        <v>111</v>
      </c>
      <c r="AN219">
        <v>37446</v>
      </c>
      <c r="AO219" t="s">
        <v>110</v>
      </c>
      <c r="AP219" t="s">
        <v>109</v>
      </c>
    </row>
    <row r="220" spans="1:42" x14ac:dyDescent="0.25">
      <c r="A220" s="28" t="str">
        <f>"0296"</f>
        <v>0296</v>
      </c>
      <c r="B220">
        <v>296</v>
      </c>
      <c r="C220" t="s">
        <v>2488</v>
      </c>
      <c r="D220" t="s">
        <v>121</v>
      </c>
      <c r="F220" t="s">
        <v>120</v>
      </c>
      <c r="G220" t="s">
        <v>402</v>
      </c>
      <c r="I220" t="s">
        <v>934</v>
      </c>
      <c r="J220" t="s">
        <v>7</v>
      </c>
      <c r="K220" s="63">
        <v>18866</v>
      </c>
      <c r="L220" s="28">
        <f>DATEDIF(K220,Zwift25!G$1,"Y")</f>
        <v>73</v>
      </c>
      <c r="M220" s="67">
        <f>IF(J220="m",VLOOKUP(L220,'All Solo Adjustments'!A:D,4,FALSE),VLOOKUP(L220,'All Solo Adjustments'!A:J,10,FALSE))</f>
        <v>7.5462962962962966E-3</v>
      </c>
      <c r="N220" s="63"/>
      <c r="O220" s="63"/>
      <c r="P220" s="63"/>
      <c r="Q220" s="63"/>
      <c r="R220" t="s">
        <v>283</v>
      </c>
      <c r="S220" t="s">
        <v>530</v>
      </c>
      <c r="T220" t="s">
        <v>292</v>
      </c>
      <c r="U220" t="s">
        <v>10979</v>
      </c>
      <c r="V220" t="s">
        <v>10978</v>
      </c>
      <c r="W220" t="s">
        <v>4512</v>
      </c>
      <c r="X220" t="s">
        <v>1253</v>
      </c>
      <c r="Y220" t="s">
        <v>10977</v>
      </c>
      <c r="Z220" t="str">
        <f>"01922 416664"</f>
        <v>01922 416664</v>
      </c>
      <c r="AA220" t="str">
        <f>"07756482818"</f>
        <v>07756482818</v>
      </c>
      <c r="AB220" t="s">
        <v>4500</v>
      </c>
      <c r="AC220" t="s">
        <v>10976</v>
      </c>
      <c r="AD220" t="s">
        <v>114</v>
      </c>
      <c r="AE220" s="63">
        <v>45327</v>
      </c>
      <c r="AF220" t="s">
        <v>156</v>
      </c>
      <c r="AG220" t="s">
        <v>112</v>
      </c>
      <c r="AH220" t="s">
        <v>112</v>
      </c>
      <c r="AI220" s="63">
        <v>43422</v>
      </c>
      <c r="AJ220" s="63">
        <v>45657</v>
      </c>
      <c r="AK220" t="s">
        <v>111</v>
      </c>
      <c r="AL220" t="s">
        <v>111</v>
      </c>
      <c r="AM220" t="s">
        <v>111</v>
      </c>
      <c r="AN220">
        <v>17275</v>
      </c>
      <c r="AO220" t="s">
        <v>110</v>
      </c>
      <c r="AP220" t="s">
        <v>109</v>
      </c>
    </row>
    <row r="221" spans="1:42" x14ac:dyDescent="0.25">
      <c r="A221" s="28" t="str">
        <f>"0305"</f>
        <v>0305</v>
      </c>
      <c r="B221">
        <v>305</v>
      </c>
      <c r="C221" t="s">
        <v>2488</v>
      </c>
      <c r="D221" t="s">
        <v>121</v>
      </c>
      <c r="F221" t="s">
        <v>120</v>
      </c>
      <c r="G221" t="s">
        <v>10975</v>
      </c>
      <c r="I221" t="s">
        <v>934</v>
      </c>
      <c r="J221" t="s">
        <v>7</v>
      </c>
      <c r="K221" s="63">
        <v>14052</v>
      </c>
      <c r="L221" s="28">
        <f>DATEDIF(K221,Zwift25!G$1,"Y")</f>
        <v>86</v>
      </c>
      <c r="M221" s="67">
        <f>IF(J221="m",VLOOKUP(L221,'All Solo Adjustments'!A:D,4,FALSE),VLOOKUP(L221,'All Solo Adjustments'!A:J,10,FALSE))</f>
        <v>1.4988425925925926E-2</v>
      </c>
      <c r="N221" s="63"/>
      <c r="O221" s="63"/>
      <c r="P221" s="63"/>
      <c r="Q221" s="63"/>
      <c r="R221" t="s">
        <v>154</v>
      </c>
      <c r="S221" t="s">
        <v>153</v>
      </c>
      <c r="T221" t="s">
        <v>292</v>
      </c>
      <c r="U221" t="s">
        <v>10974</v>
      </c>
      <c r="V221" t="s">
        <v>2403</v>
      </c>
      <c r="W221" t="s">
        <v>669</v>
      </c>
      <c r="Y221" t="s">
        <v>10973</v>
      </c>
      <c r="Z221" t="str">
        <f>""</f>
        <v/>
      </c>
      <c r="AA221" t="str">
        <f>""</f>
        <v/>
      </c>
      <c r="AB221" t="s">
        <v>290</v>
      </c>
      <c r="AC221" t="s">
        <v>10972</v>
      </c>
      <c r="AD221" t="s">
        <v>145</v>
      </c>
      <c r="AE221" s="63">
        <v>45288</v>
      </c>
      <c r="AF221" t="s">
        <v>113</v>
      </c>
      <c r="AG221" t="s">
        <v>112</v>
      </c>
      <c r="AH221" t="s">
        <v>112</v>
      </c>
      <c r="AI221" s="63">
        <v>31048</v>
      </c>
      <c r="AJ221" s="63">
        <v>45657</v>
      </c>
      <c r="AK221" t="s">
        <v>111</v>
      </c>
      <c r="AL221" t="s">
        <v>111</v>
      </c>
      <c r="AM221" t="s">
        <v>111</v>
      </c>
      <c r="AN221" t="s">
        <v>105</v>
      </c>
      <c r="AO221" t="s">
        <v>110</v>
      </c>
      <c r="AP221" t="s">
        <v>109</v>
      </c>
    </row>
    <row r="222" spans="1:42" x14ac:dyDescent="0.25">
      <c r="A222" s="28" t="str">
        <f>"0314"</f>
        <v>0314</v>
      </c>
      <c r="B222">
        <v>314</v>
      </c>
      <c r="C222" t="s">
        <v>2488</v>
      </c>
      <c r="D222" t="s">
        <v>121</v>
      </c>
      <c r="F222" t="s">
        <v>120</v>
      </c>
      <c r="G222" t="s">
        <v>285</v>
      </c>
      <c r="I222" t="s">
        <v>934</v>
      </c>
      <c r="J222" t="s">
        <v>7</v>
      </c>
      <c r="K222" s="63">
        <v>21935</v>
      </c>
      <c r="L222" s="28">
        <f>DATEDIF(K222,Zwift25!G$1,"Y")</f>
        <v>64</v>
      </c>
      <c r="M222" s="67">
        <f>IF(J222="m",VLOOKUP(L222,'All Solo Adjustments'!A:D,4,FALSE),VLOOKUP(L222,'All Solo Adjustments'!A:J,10,FALSE))</f>
        <v>4.31712962962963E-3</v>
      </c>
      <c r="N222" s="63"/>
      <c r="O222" s="63"/>
      <c r="P222" s="63"/>
      <c r="Q222" s="63"/>
      <c r="R222" t="s">
        <v>137</v>
      </c>
      <c r="S222" t="s">
        <v>2335</v>
      </c>
      <c r="T222" t="s">
        <v>292</v>
      </c>
      <c r="U222" t="s">
        <v>10971</v>
      </c>
      <c r="V222" t="s">
        <v>167</v>
      </c>
      <c r="Y222" t="s">
        <v>10970</v>
      </c>
      <c r="Z222" t="str">
        <f>"02086 131814"</f>
        <v>02086 131814</v>
      </c>
      <c r="AA222" t="str">
        <f>""</f>
        <v/>
      </c>
      <c r="AB222" t="s">
        <v>1797</v>
      </c>
      <c r="AC222" t="s">
        <v>10969</v>
      </c>
      <c r="AD222" t="s">
        <v>151</v>
      </c>
      <c r="AF222" t="s">
        <v>156</v>
      </c>
      <c r="AG222" t="s">
        <v>112</v>
      </c>
      <c r="AH222" t="s">
        <v>112</v>
      </c>
      <c r="AI222" s="63">
        <v>43125</v>
      </c>
      <c r="AK222" t="s">
        <v>111</v>
      </c>
      <c r="AL222" t="s">
        <v>111</v>
      </c>
      <c r="AM222" t="s">
        <v>111</v>
      </c>
      <c r="AN222" t="s">
        <v>105</v>
      </c>
      <c r="AO222" t="s">
        <v>110</v>
      </c>
      <c r="AP222" t="s">
        <v>109</v>
      </c>
    </row>
    <row r="223" spans="1:42" x14ac:dyDescent="0.25">
      <c r="A223" s="28" t="str">
        <f>"5636"</f>
        <v>5636</v>
      </c>
      <c r="B223">
        <v>5636</v>
      </c>
      <c r="C223" t="s">
        <v>2488</v>
      </c>
      <c r="D223" t="s">
        <v>121</v>
      </c>
      <c r="E223" t="s">
        <v>584</v>
      </c>
      <c r="F223" t="s">
        <v>120</v>
      </c>
      <c r="G223" t="s">
        <v>230</v>
      </c>
      <c r="I223" t="s">
        <v>934</v>
      </c>
      <c r="J223" t="s">
        <v>7</v>
      </c>
      <c r="K223" s="63">
        <v>16108</v>
      </c>
      <c r="L223" s="28">
        <f>DATEDIF(K223,Zwift25!G$1,"Y")</f>
        <v>80</v>
      </c>
      <c r="M223" s="67">
        <f>IF(J223="m",VLOOKUP(L223,'All Solo Adjustments'!A:D,4,FALSE),VLOOKUP(L223,'All Solo Adjustments'!A:J,10,FALSE))</f>
        <v>1.1018518518518518E-2</v>
      </c>
      <c r="N223" s="63"/>
      <c r="O223" s="63"/>
      <c r="P223" s="63"/>
      <c r="Q223" s="63"/>
      <c r="R223" t="s">
        <v>296</v>
      </c>
      <c r="S223" t="s">
        <v>295</v>
      </c>
      <c r="T223" t="s">
        <v>292</v>
      </c>
      <c r="U223" t="s">
        <v>10968</v>
      </c>
      <c r="V223" t="s">
        <v>1041</v>
      </c>
      <c r="Y223" t="s">
        <v>10967</v>
      </c>
      <c r="Z223" t="str">
        <f>"01313 324940"</f>
        <v>01313 324940</v>
      </c>
      <c r="AA223" t="str">
        <f>"07708084073"</f>
        <v>07708084073</v>
      </c>
      <c r="AB223" t="s">
        <v>2183</v>
      </c>
      <c r="AC223" t="s">
        <v>10966</v>
      </c>
      <c r="AD223" t="s">
        <v>114</v>
      </c>
      <c r="AE223" s="63">
        <v>45267</v>
      </c>
      <c r="AF223" t="s">
        <v>113</v>
      </c>
      <c r="AG223" t="s">
        <v>112</v>
      </c>
      <c r="AH223" t="s">
        <v>112</v>
      </c>
      <c r="AI223" s="63">
        <v>42117</v>
      </c>
      <c r="AJ223" s="63">
        <v>45657</v>
      </c>
      <c r="AK223" t="s">
        <v>111</v>
      </c>
      <c r="AL223" t="s">
        <v>111</v>
      </c>
      <c r="AM223" t="s">
        <v>111</v>
      </c>
      <c r="AN223">
        <v>15376</v>
      </c>
      <c r="AO223" t="s">
        <v>110</v>
      </c>
      <c r="AP223" t="s">
        <v>109</v>
      </c>
    </row>
    <row r="224" spans="1:42" x14ac:dyDescent="0.25">
      <c r="A224" s="28" t="str">
        <f>"4965"</f>
        <v>4965</v>
      </c>
      <c r="B224">
        <v>4965</v>
      </c>
      <c r="C224" t="s">
        <v>2488</v>
      </c>
      <c r="D224" t="s">
        <v>121</v>
      </c>
      <c r="F224" t="s">
        <v>120</v>
      </c>
      <c r="G224" t="s">
        <v>776</v>
      </c>
      <c r="H224" t="s">
        <v>284</v>
      </c>
      <c r="I224" t="s">
        <v>934</v>
      </c>
      <c r="J224" t="s">
        <v>7</v>
      </c>
      <c r="K224" s="63">
        <v>21764</v>
      </c>
      <c r="L224" s="28">
        <f>DATEDIF(K224,Zwift25!G$1,"Y")</f>
        <v>65</v>
      </c>
      <c r="M224" s="67">
        <f>IF(J224="m",VLOOKUP(L224,'All Solo Adjustments'!A:D,4,FALSE),VLOOKUP(L224,'All Solo Adjustments'!A:J,10,FALSE))</f>
        <v>4.6180555555555558E-3</v>
      </c>
      <c r="N224" s="63"/>
      <c r="O224" s="63"/>
      <c r="P224" s="63"/>
      <c r="Q224" s="63"/>
      <c r="R224" t="s">
        <v>125</v>
      </c>
      <c r="S224" t="s">
        <v>170</v>
      </c>
      <c r="T224" t="s">
        <v>292</v>
      </c>
      <c r="U224" t="s">
        <v>10965</v>
      </c>
      <c r="V224" t="s">
        <v>10964</v>
      </c>
      <c r="W224" t="s">
        <v>785</v>
      </c>
      <c r="X224" t="s">
        <v>419</v>
      </c>
      <c r="Y224" t="s">
        <v>10963</v>
      </c>
      <c r="Z224" t="str">
        <f>"07902085323"</f>
        <v>07902085323</v>
      </c>
      <c r="AA224" t="str">
        <f>"07902085323"</f>
        <v>07902085323</v>
      </c>
      <c r="AB224" t="s">
        <v>10962</v>
      </c>
      <c r="AC224" t="s">
        <v>10961</v>
      </c>
      <c r="AD224" t="s">
        <v>114</v>
      </c>
      <c r="AE224" s="63">
        <v>45294</v>
      </c>
      <c r="AF224" t="s">
        <v>156</v>
      </c>
      <c r="AG224" t="s">
        <v>112</v>
      </c>
      <c r="AH224" t="s">
        <v>112</v>
      </c>
      <c r="AI224" s="63">
        <v>41720</v>
      </c>
      <c r="AJ224" s="63">
        <v>45657</v>
      </c>
      <c r="AK224" t="s">
        <v>111</v>
      </c>
      <c r="AL224" t="s">
        <v>111</v>
      </c>
      <c r="AM224" t="s">
        <v>111</v>
      </c>
      <c r="AN224">
        <v>1669</v>
      </c>
      <c r="AO224" t="s">
        <v>110</v>
      </c>
      <c r="AP224" t="s">
        <v>109</v>
      </c>
    </row>
    <row r="225" spans="1:42" x14ac:dyDescent="0.25">
      <c r="A225" s="28" t="str">
        <f>"3478"</f>
        <v>3478</v>
      </c>
      <c r="B225">
        <v>3478</v>
      </c>
      <c r="C225" t="s">
        <v>2488</v>
      </c>
      <c r="D225" t="s">
        <v>121</v>
      </c>
      <c r="F225" t="s">
        <v>120</v>
      </c>
      <c r="G225" t="s">
        <v>284</v>
      </c>
      <c r="I225" t="s">
        <v>934</v>
      </c>
      <c r="J225" t="s">
        <v>7</v>
      </c>
      <c r="K225" s="63">
        <v>11401</v>
      </c>
      <c r="L225" s="28">
        <f>DATEDIF(K225,Zwift25!G$1,"Y")</f>
        <v>93</v>
      </c>
      <c r="M225" s="67">
        <f>IF(J225="m",VLOOKUP(L225,'All Solo Adjustments'!A:D,4,FALSE),VLOOKUP(L225,'All Solo Adjustments'!A:J,10,FALSE))</f>
        <v>2.1516203703703704E-2</v>
      </c>
      <c r="N225" s="63"/>
      <c r="O225" s="63"/>
      <c r="P225" s="63"/>
      <c r="Q225" s="63"/>
      <c r="R225" t="s">
        <v>159</v>
      </c>
      <c r="S225" t="s">
        <v>570</v>
      </c>
      <c r="T225" t="s">
        <v>292</v>
      </c>
      <c r="U225" t="s">
        <v>10960</v>
      </c>
      <c r="V225" t="s">
        <v>997</v>
      </c>
      <c r="W225" t="s">
        <v>159</v>
      </c>
      <c r="Y225" t="s">
        <v>10959</v>
      </c>
      <c r="Z225" t="str">
        <f>"01634 366368"</f>
        <v>01634 366368</v>
      </c>
      <c r="AA225" t="str">
        <f>""</f>
        <v/>
      </c>
      <c r="AB225" t="s">
        <v>2607</v>
      </c>
      <c r="AD225" t="s">
        <v>151</v>
      </c>
      <c r="AF225" t="s">
        <v>113</v>
      </c>
      <c r="AG225" t="s">
        <v>112</v>
      </c>
      <c r="AH225" t="s">
        <v>112</v>
      </c>
      <c r="AK225" t="s">
        <v>111</v>
      </c>
      <c r="AL225" t="s">
        <v>111</v>
      </c>
      <c r="AM225" t="s">
        <v>111</v>
      </c>
      <c r="AN225" t="s">
        <v>105</v>
      </c>
      <c r="AO225" t="s">
        <v>110</v>
      </c>
      <c r="AP225" t="s">
        <v>109</v>
      </c>
    </row>
    <row r="226" spans="1:42" x14ac:dyDescent="0.25">
      <c r="A226" s="28" t="str">
        <f>"12489"</f>
        <v>12489</v>
      </c>
      <c r="B226">
        <v>12489</v>
      </c>
      <c r="C226" t="s">
        <v>2488</v>
      </c>
      <c r="D226" t="s">
        <v>121</v>
      </c>
      <c r="F226" t="s">
        <v>149</v>
      </c>
      <c r="G226" t="s">
        <v>3059</v>
      </c>
      <c r="I226" t="s">
        <v>934</v>
      </c>
      <c r="J226" t="s">
        <v>126</v>
      </c>
      <c r="K226" s="63">
        <v>14851</v>
      </c>
      <c r="L226" s="28">
        <f>DATEDIF(K226,Zwift25!G$1,"Y")</f>
        <v>84</v>
      </c>
      <c r="M226" s="67">
        <f>IF(J226="m",VLOOKUP(L226,'All Solo Adjustments'!A:D,4,FALSE),VLOOKUP(L226,'All Solo Adjustments'!A:J,10,FALSE))</f>
        <v>1.966435185185185E-2</v>
      </c>
      <c r="N226" s="63"/>
      <c r="O226" s="63"/>
      <c r="P226" s="63"/>
      <c r="Q226" s="63"/>
      <c r="R226" t="s">
        <v>159</v>
      </c>
      <c r="S226" t="s">
        <v>3139</v>
      </c>
      <c r="T226" t="s">
        <v>292</v>
      </c>
      <c r="U226" t="s">
        <v>10960</v>
      </c>
      <c r="V226" t="s">
        <v>997</v>
      </c>
      <c r="W226" t="s">
        <v>159</v>
      </c>
      <c r="Y226" t="s">
        <v>10959</v>
      </c>
      <c r="Z226" t="str">
        <f>"01634 366368"</f>
        <v>01634 366368</v>
      </c>
      <c r="AA226" t="str">
        <f>""</f>
        <v/>
      </c>
      <c r="AB226" t="s">
        <v>2607</v>
      </c>
      <c r="AD226" t="s">
        <v>151</v>
      </c>
      <c r="AF226" t="s">
        <v>113</v>
      </c>
      <c r="AG226" t="s">
        <v>111</v>
      </c>
      <c r="AH226" t="s">
        <v>111</v>
      </c>
      <c r="AK226" t="s">
        <v>111</v>
      </c>
      <c r="AL226" t="s">
        <v>111</v>
      </c>
      <c r="AM226" t="s">
        <v>111</v>
      </c>
      <c r="AN226" t="s">
        <v>105</v>
      </c>
      <c r="AO226" t="s">
        <v>122</v>
      </c>
      <c r="AP226" t="s">
        <v>122</v>
      </c>
    </row>
    <row r="227" spans="1:42" x14ac:dyDescent="0.25">
      <c r="A227" s="28" t="str">
        <f>"6511"</f>
        <v>6511</v>
      </c>
      <c r="B227">
        <v>6511</v>
      </c>
      <c r="C227" t="s">
        <v>2488</v>
      </c>
      <c r="D227" t="s">
        <v>121</v>
      </c>
      <c r="F227" t="s">
        <v>120</v>
      </c>
      <c r="G227" t="s">
        <v>189</v>
      </c>
      <c r="I227" t="s">
        <v>934</v>
      </c>
      <c r="J227" t="s">
        <v>7</v>
      </c>
      <c r="K227" s="63">
        <v>22184</v>
      </c>
      <c r="L227" s="28">
        <f>DATEDIF(K227,Zwift25!G$1,"Y")</f>
        <v>64</v>
      </c>
      <c r="M227" s="67">
        <f>IF(J227="m",VLOOKUP(L227,'All Solo Adjustments'!A:D,4,FALSE),VLOOKUP(L227,'All Solo Adjustments'!A:J,10,FALSE))</f>
        <v>4.31712962962963E-3</v>
      </c>
      <c r="N227" s="63"/>
      <c r="O227" s="63"/>
      <c r="P227" s="63"/>
      <c r="Q227" s="63"/>
      <c r="R227" t="s">
        <v>159</v>
      </c>
      <c r="S227" t="s">
        <v>162</v>
      </c>
      <c r="T227" t="s">
        <v>292</v>
      </c>
      <c r="U227" t="s">
        <v>10958</v>
      </c>
      <c r="V227" t="s">
        <v>1231</v>
      </c>
      <c r="W227" t="s">
        <v>159</v>
      </c>
      <c r="Y227" t="s">
        <v>10957</v>
      </c>
      <c r="Z227" t="str">
        <f>"07768 696 182"</f>
        <v>07768 696 182</v>
      </c>
      <c r="AA227" t="str">
        <f>""</f>
        <v/>
      </c>
      <c r="AB227" t="s">
        <v>2949</v>
      </c>
      <c r="AC227" t="s">
        <v>10956</v>
      </c>
      <c r="AD227" t="s">
        <v>114</v>
      </c>
      <c r="AE227" s="63">
        <v>45292</v>
      </c>
      <c r="AF227" t="s">
        <v>156</v>
      </c>
      <c r="AG227" t="s">
        <v>112</v>
      </c>
      <c r="AH227" t="s">
        <v>112</v>
      </c>
      <c r="AI227" s="63">
        <v>43469</v>
      </c>
      <c r="AJ227" s="63">
        <v>45657</v>
      </c>
      <c r="AK227" t="s">
        <v>111</v>
      </c>
      <c r="AL227" t="s">
        <v>111</v>
      </c>
      <c r="AM227" t="s">
        <v>111</v>
      </c>
      <c r="AN227">
        <v>4414</v>
      </c>
      <c r="AO227" t="s">
        <v>110</v>
      </c>
      <c r="AP227" t="s">
        <v>109</v>
      </c>
    </row>
    <row r="228" spans="1:42" x14ac:dyDescent="0.25">
      <c r="A228" s="28" t="str">
        <f>"0302"</f>
        <v>0302</v>
      </c>
      <c r="B228">
        <v>302</v>
      </c>
      <c r="C228" t="s">
        <v>2488</v>
      </c>
      <c r="D228" t="s">
        <v>121</v>
      </c>
      <c r="F228" t="s">
        <v>120</v>
      </c>
      <c r="G228" t="s">
        <v>181</v>
      </c>
      <c r="I228" t="s">
        <v>934</v>
      </c>
      <c r="J228" t="s">
        <v>7</v>
      </c>
      <c r="K228" s="63">
        <v>14034</v>
      </c>
      <c r="L228" s="28">
        <f>DATEDIF(K228,Zwift25!G$1,"Y")</f>
        <v>86</v>
      </c>
      <c r="M228" s="67">
        <f>IF(J228="m",VLOOKUP(L228,'All Solo Adjustments'!A:D,4,FALSE),VLOOKUP(L228,'All Solo Adjustments'!A:J,10,FALSE))</f>
        <v>1.4988425925925926E-2</v>
      </c>
      <c r="N228" s="63"/>
      <c r="O228" s="63"/>
      <c r="P228" s="63"/>
      <c r="Q228" s="63"/>
      <c r="R228" t="s">
        <v>328</v>
      </c>
      <c r="S228" t="s">
        <v>2290</v>
      </c>
      <c r="T228" t="s">
        <v>292</v>
      </c>
      <c r="U228" t="s">
        <v>10955</v>
      </c>
      <c r="V228" t="s">
        <v>10954</v>
      </c>
      <c r="W228" t="s">
        <v>10953</v>
      </c>
      <c r="X228" t="s">
        <v>1510</v>
      </c>
      <c r="Y228" t="s">
        <v>10952</v>
      </c>
      <c r="Z228" t="str">
        <f>"01204 452939"</f>
        <v>01204 452939</v>
      </c>
      <c r="AA228" t="str">
        <f>""</f>
        <v/>
      </c>
      <c r="AB228" t="s">
        <v>1146</v>
      </c>
      <c r="AC228" t="s">
        <v>10951</v>
      </c>
      <c r="AD228" t="s">
        <v>145</v>
      </c>
      <c r="AF228" t="s">
        <v>113</v>
      </c>
      <c r="AG228" t="s">
        <v>112</v>
      </c>
      <c r="AH228" t="s">
        <v>112</v>
      </c>
      <c r="AI228" s="63">
        <v>43484</v>
      </c>
      <c r="AK228" t="s">
        <v>111</v>
      </c>
      <c r="AL228" t="s">
        <v>111</v>
      </c>
      <c r="AM228" t="s">
        <v>111</v>
      </c>
      <c r="AN228" t="s">
        <v>105</v>
      </c>
      <c r="AO228" t="s">
        <v>110</v>
      </c>
      <c r="AP228" t="s">
        <v>109</v>
      </c>
    </row>
    <row r="229" spans="1:42" x14ac:dyDescent="0.25">
      <c r="A229" s="28" t="str">
        <f>"14998"</f>
        <v>14998</v>
      </c>
      <c r="B229">
        <v>14998</v>
      </c>
      <c r="C229" t="s">
        <v>2488</v>
      </c>
      <c r="D229" t="s">
        <v>121</v>
      </c>
      <c r="E229" t="s">
        <v>584</v>
      </c>
      <c r="F229" t="s">
        <v>149</v>
      </c>
      <c r="G229" t="s">
        <v>5227</v>
      </c>
      <c r="I229" t="s">
        <v>934</v>
      </c>
      <c r="J229" t="s">
        <v>126</v>
      </c>
      <c r="K229" s="63">
        <v>22363</v>
      </c>
      <c r="L229" s="28">
        <f>DATEDIF(K229,Zwift25!G$1,"Y")</f>
        <v>63</v>
      </c>
      <c r="M229" s="67">
        <f>IF(J229="m",VLOOKUP(L229,'All Solo Adjustments'!A:D,4,FALSE),VLOOKUP(L229,'All Solo Adjustments'!A:J,10,FALSE))</f>
        <v>8.0092592592592594E-3</v>
      </c>
      <c r="N229" s="63"/>
      <c r="O229" s="63"/>
      <c r="P229" s="63"/>
      <c r="Q229" s="63"/>
      <c r="R229" t="s">
        <v>125</v>
      </c>
      <c r="S229" t="s">
        <v>170</v>
      </c>
      <c r="T229" t="s">
        <v>292</v>
      </c>
      <c r="U229" t="s">
        <v>10950</v>
      </c>
      <c r="V229" t="s">
        <v>6110</v>
      </c>
      <c r="W229" t="s">
        <v>223</v>
      </c>
      <c r="X229" t="s">
        <v>419</v>
      </c>
      <c r="Y229" t="s">
        <v>10949</v>
      </c>
      <c r="Z229" t="str">
        <f>"07754 049679"</f>
        <v>07754 049679</v>
      </c>
      <c r="AA229" t="str">
        <f>""</f>
        <v/>
      </c>
      <c r="AB229" t="s">
        <v>942</v>
      </c>
      <c r="AC229" t="s">
        <v>10948</v>
      </c>
      <c r="AD229" t="s">
        <v>114</v>
      </c>
      <c r="AE229" s="63">
        <v>45264</v>
      </c>
      <c r="AF229" t="s">
        <v>156</v>
      </c>
      <c r="AG229" t="s">
        <v>112</v>
      </c>
      <c r="AH229" t="s">
        <v>112</v>
      </c>
      <c r="AI229" s="63">
        <v>44300</v>
      </c>
      <c r="AJ229" s="63">
        <v>45657</v>
      </c>
      <c r="AK229" t="s">
        <v>112</v>
      </c>
      <c r="AL229" t="s">
        <v>111</v>
      </c>
      <c r="AM229" t="s">
        <v>111</v>
      </c>
      <c r="AN229">
        <v>38004</v>
      </c>
      <c r="AO229" t="s">
        <v>122</v>
      </c>
      <c r="AP229" t="s">
        <v>122</v>
      </c>
    </row>
    <row r="230" spans="1:42" x14ac:dyDescent="0.25">
      <c r="A230" s="28" t="str">
        <f>"15018"</f>
        <v>15018</v>
      </c>
      <c r="B230">
        <v>15018</v>
      </c>
      <c r="C230" t="s">
        <v>2488</v>
      </c>
      <c r="D230" t="s">
        <v>121</v>
      </c>
      <c r="F230" t="s">
        <v>120</v>
      </c>
      <c r="G230" t="s">
        <v>164</v>
      </c>
      <c r="I230" t="s">
        <v>934</v>
      </c>
      <c r="J230" t="s">
        <v>7</v>
      </c>
      <c r="K230" s="63">
        <v>27595</v>
      </c>
      <c r="L230" s="28">
        <f>DATEDIF(K230,Zwift25!G$1,"Y")</f>
        <v>49</v>
      </c>
      <c r="M230" s="67">
        <f>IF(J230="m",VLOOKUP(L230,'All Solo Adjustments'!A:D,4,FALSE),VLOOKUP(L230,'All Solo Adjustments'!A:J,10,FALSE))</f>
        <v>9.837962962962962E-4</v>
      </c>
      <c r="N230" s="63"/>
      <c r="O230" s="63"/>
      <c r="P230" s="63"/>
      <c r="Q230" s="63"/>
      <c r="R230" t="s">
        <v>118</v>
      </c>
      <c r="S230" t="s">
        <v>117</v>
      </c>
      <c r="T230" t="s">
        <v>292</v>
      </c>
      <c r="U230" t="s">
        <v>10947</v>
      </c>
      <c r="W230" t="s">
        <v>1139</v>
      </c>
      <c r="X230" t="s">
        <v>968</v>
      </c>
      <c r="Y230" t="s">
        <v>10946</v>
      </c>
      <c r="Z230" t="str">
        <f>"7809331415"</f>
        <v>7809331415</v>
      </c>
      <c r="AA230" t="str">
        <f>"7809331415"</f>
        <v>7809331415</v>
      </c>
      <c r="AB230" t="s">
        <v>1099</v>
      </c>
      <c r="AC230" t="s">
        <v>10945</v>
      </c>
      <c r="AD230" t="s">
        <v>114</v>
      </c>
      <c r="AE230" s="63">
        <v>45433</v>
      </c>
      <c r="AF230" t="s">
        <v>113</v>
      </c>
      <c r="AG230" t="s">
        <v>112</v>
      </c>
      <c r="AH230" t="s">
        <v>112</v>
      </c>
      <c r="AI230" s="63">
        <v>44312</v>
      </c>
      <c r="AJ230" s="63">
        <v>45657</v>
      </c>
      <c r="AK230" t="s">
        <v>112</v>
      </c>
      <c r="AL230" t="s">
        <v>111</v>
      </c>
      <c r="AM230" t="s">
        <v>111</v>
      </c>
      <c r="AN230">
        <v>19935</v>
      </c>
      <c r="AO230" t="s">
        <v>110</v>
      </c>
      <c r="AP230" t="s">
        <v>109</v>
      </c>
    </row>
    <row r="231" spans="1:42" x14ac:dyDescent="0.25">
      <c r="A231" s="28" t="str">
        <f>"15203"</f>
        <v>15203</v>
      </c>
      <c r="B231">
        <v>15203</v>
      </c>
      <c r="C231" t="s">
        <v>2488</v>
      </c>
      <c r="D231" t="s">
        <v>121</v>
      </c>
      <c r="E231" t="s">
        <v>584</v>
      </c>
      <c r="F231" t="s">
        <v>403</v>
      </c>
      <c r="G231" t="s">
        <v>10944</v>
      </c>
      <c r="I231" t="s">
        <v>934</v>
      </c>
      <c r="J231" t="s">
        <v>126</v>
      </c>
      <c r="K231" s="63">
        <v>23936</v>
      </c>
      <c r="L231" s="28">
        <f>DATEDIF(K231,Zwift25!G$1,"Y")</f>
        <v>59</v>
      </c>
      <c r="M231" s="67">
        <f>IF(J231="m",VLOOKUP(L231,'All Solo Adjustments'!A:D,4,FALSE),VLOOKUP(L231,'All Solo Adjustments'!A:J,10,FALSE))</f>
        <v>6.5972222222222222E-3</v>
      </c>
      <c r="N231" s="63"/>
      <c r="O231" s="63"/>
      <c r="P231" s="63"/>
      <c r="Q231" s="63"/>
      <c r="R231" t="s">
        <v>184</v>
      </c>
      <c r="S231" t="s">
        <v>183</v>
      </c>
      <c r="T231" t="s">
        <v>292</v>
      </c>
      <c r="U231" t="s">
        <v>10943</v>
      </c>
      <c r="V231" t="s">
        <v>10942</v>
      </c>
      <c r="W231" t="s">
        <v>10941</v>
      </c>
      <c r="Y231" t="s">
        <v>10940</v>
      </c>
      <c r="Z231" t="str">
        <f>"07917302097"</f>
        <v>07917302097</v>
      </c>
      <c r="AA231" t="str">
        <f>""</f>
        <v/>
      </c>
      <c r="AB231" t="s">
        <v>1492</v>
      </c>
      <c r="AC231" t="s">
        <v>10939</v>
      </c>
      <c r="AD231" t="s">
        <v>114</v>
      </c>
      <c r="AE231" s="63">
        <v>45262</v>
      </c>
      <c r="AF231" t="s">
        <v>156</v>
      </c>
      <c r="AG231" t="s">
        <v>112</v>
      </c>
      <c r="AH231" t="s">
        <v>112</v>
      </c>
      <c r="AI231" s="63">
        <v>44410</v>
      </c>
      <c r="AJ231" s="63">
        <v>45657</v>
      </c>
      <c r="AK231" t="s">
        <v>112</v>
      </c>
      <c r="AL231" t="s">
        <v>111</v>
      </c>
      <c r="AM231" t="s">
        <v>111</v>
      </c>
      <c r="AN231">
        <v>19654</v>
      </c>
      <c r="AO231" t="s">
        <v>122</v>
      </c>
      <c r="AP231" t="s">
        <v>122</v>
      </c>
    </row>
    <row r="232" spans="1:42" x14ac:dyDescent="0.25">
      <c r="A232" s="28" t="str">
        <f>"15514"</f>
        <v>15514</v>
      </c>
      <c r="B232">
        <v>15514</v>
      </c>
      <c r="C232" t="s">
        <v>2488</v>
      </c>
      <c r="D232" t="s">
        <v>121</v>
      </c>
      <c r="F232" t="s">
        <v>120</v>
      </c>
      <c r="G232" t="s">
        <v>165</v>
      </c>
      <c r="I232" t="s">
        <v>2182</v>
      </c>
      <c r="J232" t="s">
        <v>7</v>
      </c>
      <c r="K232" s="63">
        <v>26218</v>
      </c>
      <c r="L232" s="28">
        <f>DATEDIF(K232,Zwift25!G$1,"Y")</f>
        <v>53</v>
      </c>
      <c r="M232" s="67">
        <f>IF(J232="m",VLOOKUP(L232,'All Solo Adjustments'!A:D,4,FALSE),VLOOKUP(L232,'All Solo Adjustments'!A:J,10,FALSE))</f>
        <v>1.6666666666666668E-3</v>
      </c>
      <c r="N232" s="63"/>
      <c r="O232" s="63"/>
      <c r="P232" s="63"/>
      <c r="Q232" s="63"/>
      <c r="R232" t="s">
        <v>527</v>
      </c>
      <c r="S232" t="s">
        <v>526</v>
      </c>
      <c r="T232" t="s">
        <v>292</v>
      </c>
      <c r="U232" t="s">
        <v>10938</v>
      </c>
      <c r="V232" t="s">
        <v>10937</v>
      </c>
      <c r="W232" t="s">
        <v>8618</v>
      </c>
      <c r="X232" t="s">
        <v>1227</v>
      </c>
      <c r="Y232" t="s">
        <v>10936</v>
      </c>
      <c r="Z232" t="str">
        <f>"07710044633"</f>
        <v>07710044633</v>
      </c>
      <c r="AA232" t="str">
        <f>""</f>
        <v/>
      </c>
      <c r="AB232" t="s">
        <v>1297</v>
      </c>
      <c r="AC232" t="s">
        <v>10935</v>
      </c>
      <c r="AD232" t="s">
        <v>114</v>
      </c>
      <c r="AE232" s="63">
        <v>45288</v>
      </c>
      <c r="AF232" t="s">
        <v>113</v>
      </c>
      <c r="AG232" t="s">
        <v>112</v>
      </c>
      <c r="AH232" t="s">
        <v>112</v>
      </c>
      <c r="AI232" s="63">
        <v>44717</v>
      </c>
      <c r="AJ232" s="63">
        <v>45657</v>
      </c>
      <c r="AK232" t="s">
        <v>112</v>
      </c>
      <c r="AL232" t="s">
        <v>111</v>
      </c>
      <c r="AM232" t="s">
        <v>111</v>
      </c>
      <c r="AN232">
        <v>38124</v>
      </c>
      <c r="AO232" t="s">
        <v>110</v>
      </c>
      <c r="AP232" t="s">
        <v>109</v>
      </c>
    </row>
    <row r="233" spans="1:42" x14ac:dyDescent="0.25">
      <c r="A233" s="28" t="str">
        <f>"15236"</f>
        <v>15236</v>
      </c>
      <c r="B233">
        <v>15236</v>
      </c>
      <c r="C233" t="s">
        <v>2488</v>
      </c>
      <c r="D233" t="s">
        <v>121</v>
      </c>
      <c r="E233" t="s">
        <v>584</v>
      </c>
      <c r="F233" t="s">
        <v>120</v>
      </c>
      <c r="G233" t="s">
        <v>952</v>
      </c>
      <c r="I233" t="s">
        <v>932</v>
      </c>
      <c r="J233" t="s">
        <v>7</v>
      </c>
      <c r="K233" s="63">
        <v>25954</v>
      </c>
      <c r="L233" s="28">
        <f>DATEDIF(K233,Zwift25!G$1,"Y")</f>
        <v>53</v>
      </c>
      <c r="M233" s="67">
        <f>IF(J233="m",VLOOKUP(L233,'All Solo Adjustments'!A:D,4,FALSE),VLOOKUP(L233,'All Solo Adjustments'!A:J,10,FALSE))</f>
        <v>1.6666666666666668E-3</v>
      </c>
      <c r="N233" s="63"/>
      <c r="O233" s="63"/>
      <c r="P233" s="63"/>
      <c r="Q233" s="63"/>
      <c r="R233" t="s">
        <v>296</v>
      </c>
      <c r="S233" t="s">
        <v>295</v>
      </c>
      <c r="T233" t="s">
        <v>292</v>
      </c>
      <c r="U233" t="s">
        <v>10934</v>
      </c>
      <c r="V233" t="s">
        <v>10933</v>
      </c>
      <c r="W233" t="s">
        <v>1452</v>
      </c>
      <c r="Y233" t="s">
        <v>10932</v>
      </c>
      <c r="Z233" t="str">
        <f>"07939362900"</f>
        <v>07939362900</v>
      </c>
      <c r="AA233" t="str">
        <f>""</f>
        <v/>
      </c>
      <c r="AB233" t="s">
        <v>10931</v>
      </c>
      <c r="AC233" t="s">
        <v>10930</v>
      </c>
      <c r="AD233" t="s">
        <v>114</v>
      </c>
      <c r="AE233" s="63">
        <v>45264</v>
      </c>
      <c r="AF233" t="s">
        <v>156</v>
      </c>
      <c r="AG233" t="s">
        <v>112</v>
      </c>
      <c r="AH233" t="s">
        <v>112</v>
      </c>
      <c r="AI233" s="63">
        <v>44450</v>
      </c>
      <c r="AJ233" s="63">
        <v>45657</v>
      </c>
      <c r="AK233" t="s">
        <v>112</v>
      </c>
      <c r="AL233" t="s">
        <v>111</v>
      </c>
      <c r="AM233" t="s">
        <v>111</v>
      </c>
      <c r="AN233">
        <v>39751</v>
      </c>
      <c r="AO233" t="s">
        <v>110</v>
      </c>
      <c r="AP233" t="s">
        <v>109</v>
      </c>
    </row>
    <row r="234" spans="1:42" x14ac:dyDescent="0.25">
      <c r="A234" s="28" t="str">
        <f>"0321"</f>
        <v>0321</v>
      </c>
      <c r="B234">
        <v>321</v>
      </c>
      <c r="C234" t="s">
        <v>2488</v>
      </c>
      <c r="D234" t="s">
        <v>121</v>
      </c>
      <c r="F234" t="s">
        <v>120</v>
      </c>
      <c r="G234" t="s">
        <v>284</v>
      </c>
      <c r="H234" t="s">
        <v>10929</v>
      </c>
      <c r="I234" t="s">
        <v>10928</v>
      </c>
      <c r="J234" t="s">
        <v>7</v>
      </c>
      <c r="K234" s="63">
        <v>13649</v>
      </c>
      <c r="L234" s="28">
        <f>DATEDIF(K234,Zwift25!G$1,"Y")</f>
        <v>87</v>
      </c>
      <c r="M234" s="67">
        <f>IF(J234="m",VLOOKUP(L234,'All Solo Adjustments'!A:D,4,FALSE),VLOOKUP(L234,'All Solo Adjustments'!A:J,10,FALSE))</f>
        <v>1.576388888888889E-2</v>
      </c>
      <c r="N234" s="63"/>
      <c r="O234" s="63"/>
      <c r="P234" s="63"/>
      <c r="Q234" s="63"/>
      <c r="R234" t="s">
        <v>184</v>
      </c>
      <c r="S234" t="s">
        <v>183</v>
      </c>
      <c r="T234" t="s">
        <v>292</v>
      </c>
      <c r="U234" t="s">
        <v>10927</v>
      </c>
      <c r="V234" t="s">
        <v>10926</v>
      </c>
      <c r="W234" t="s">
        <v>828</v>
      </c>
      <c r="Y234" t="s">
        <v>10925</v>
      </c>
      <c r="Z234" t="str">
        <f>"01767 650899"</f>
        <v>01767 650899</v>
      </c>
      <c r="AA234" t="str">
        <f>""</f>
        <v/>
      </c>
      <c r="AB234" t="s">
        <v>464</v>
      </c>
      <c r="AD234" t="s">
        <v>145</v>
      </c>
      <c r="AE234" s="63">
        <v>45377</v>
      </c>
      <c r="AF234" t="s">
        <v>113</v>
      </c>
      <c r="AG234" t="s">
        <v>112</v>
      </c>
      <c r="AH234" t="s">
        <v>112</v>
      </c>
      <c r="AI234" s="63">
        <v>29312</v>
      </c>
      <c r="AJ234" s="63">
        <v>45657</v>
      </c>
      <c r="AK234" t="s">
        <v>111</v>
      </c>
      <c r="AL234" t="s">
        <v>111</v>
      </c>
      <c r="AM234" t="s">
        <v>111</v>
      </c>
      <c r="AN234" t="s">
        <v>105</v>
      </c>
      <c r="AO234" t="s">
        <v>110</v>
      </c>
      <c r="AP234" t="s">
        <v>109</v>
      </c>
    </row>
    <row r="235" spans="1:42" x14ac:dyDescent="0.25">
      <c r="A235" s="28" t="str">
        <f>"16008"</f>
        <v>16008</v>
      </c>
      <c r="B235">
        <v>16008</v>
      </c>
      <c r="C235" t="s">
        <v>2488</v>
      </c>
      <c r="D235" t="s">
        <v>121</v>
      </c>
      <c r="E235" t="s">
        <v>584</v>
      </c>
      <c r="F235" t="s">
        <v>120</v>
      </c>
      <c r="G235" t="s">
        <v>685</v>
      </c>
      <c r="I235" t="s">
        <v>2179</v>
      </c>
      <c r="J235" t="s">
        <v>7</v>
      </c>
      <c r="K235" s="63">
        <v>19440</v>
      </c>
      <c r="L235" s="28">
        <f>DATEDIF(K235,Zwift25!G$1,"Y")</f>
        <v>71</v>
      </c>
      <c r="M235" s="67">
        <f>IF(J235="m",VLOOKUP(L235,'All Solo Adjustments'!A:D,4,FALSE),VLOOKUP(L235,'All Solo Adjustments'!A:J,10,FALSE))</f>
        <v>6.7245370370370375E-3</v>
      </c>
      <c r="N235" s="63"/>
      <c r="O235" s="63"/>
      <c r="P235" s="63"/>
      <c r="Q235" s="63"/>
      <c r="R235" t="s">
        <v>154</v>
      </c>
      <c r="S235" t="s">
        <v>153</v>
      </c>
      <c r="T235" t="s">
        <v>292</v>
      </c>
      <c r="U235" t="s">
        <v>1329</v>
      </c>
      <c r="V235" t="s">
        <v>772</v>
      </c>
      <c r="Y235" t="s">
        <v>10924</v>
      </c>
      <c r="Z235" t="str">
        <f>"01453451696"</f>
        <v>01453451696</v>
      </c>
      <c r="AA235" t="str">
        <f>"07584656924"</f>
        <v>07584656924</v>
      </c>
      <c r="AB235" t="s">
        <v>1986</v>
      </c>
      <c r="AC235" t="s">
        <v>10923</v>
      </c>
      <c r="AD235" t="s">
        <v>114</v>
      </c>
      <c r="AE235" s="63">
        <v>45316</v>
      </c>
      <c r="AF235" t="s">
        <v>156</v>
      </c>
      <c r="AG235" t="s">
        <v>112</v>
      </c>
      <c r="AH235" t="s">
        <v>112</v>
      </c>
      <c r="AI235" s="63">
        <v>45316</v>
      </c>
      <c r="AJ235" s="63">
        <v>45657</v>
      </c>
      <c r="AK235" t="s">
        <v>112</v>
      </c>
      <c r="AL235" t="s">
        <v>111</v>
      </c>
      <c r="AM235" t="s">
        <v>111</v>
      </c>
      <c r="AN235">
        <v>9518</v>
      </c>
      <c r="AO235" t="s">
        <v>110</v>
      </c>
      <c r="AP235" t="s">
        <v>109</v>
      </c>
    </row>
    <row r="236" spans="1:42" x14ac:dyDescent="0.25">
      <c r="A236" s="28" t="str">
        <f>"16077"</f>
        <v>16077</v>
      </c>
      <c r="B236">
        <v>16077</v>
      </c>
      <c r="C236" t="s">
        <v>2488</v>
      </c>
      <c r="D236" t="s">
        <v>121</v>
      </c>
      <c r="F236" t="s">
        <v>120</v>
      </c>
      <c r="G236" t="s">
        <v>546</v>
      </c>
      <c r="H236" t="s">
        <v>284</v>
      </c>
      <c r="I236" t="s">
        <v>2177</v>
      </c>
      <c r="J236" t="s">
        <v>7</v>
      </c>
      <c r="K236" s="63">
        <v>21444</v>
      </c>
      <c r="L236" s="28">
        <f>DATEDIF(K236,Zwift25!G$1,"Y")</f>
        <v>66</v>
      </c>
      <c r="M236" s="67">
        <f>IF(J236="m",VLOOKUP(L236,'All Solo Adjustments'!A:D,4,FALSE),VLOOKUP(L236,'All Solo Adjustments'!A:J,10,FALSE))</f>
        <v>4.9421296296296297E-3</v>
      </c>
      <c r="N236" s="63"/>
      <c r="O236" s="63"/>
      <c r="P236" s="63"/>
      <c r="Q236" s="63"/>
      <c r="R236" t="s">
        <v>137</v>
      </c>
      <c r="S236" t="s">
        <v>136</v>
      </c>
      <c r="T236" t="s">
        <v>292</v>
      </c>
      <c r="U236" t="s">
        <v>10922</v>
      </c>
      <c r="W236" t="s">
        <v>4623</v>
      </c>
      <c r="Y236" t="s">
        <v>10921</v>
      </c>
      <c r="Z236" t="str">
        <f>"07912499358"</f>
        <v>07912499358</v>
      </c>
      <c r="AA236" t="str">
        <f>""</f>
        <v/>
      </c>
      <c r="AB236" t="s">
        <v>10920</v>
      </c>
      <c r="AC236" t="s">
        <v>10919</v>
      </c>
      <c r="AD236" t="s">
        <v>114</v>
      </c>
      <c r="AE236" s="63">
        <v>45378</v>
      </c>
      <c r="AF236" t="s">
        <v>156</v>
      </c>
      <c r="AG236" t="s">
        <v>112</v>
      </c>
      <c r="AH236" t="s">
        <v>112</v>
      </c>
      <c r="AI236" s="63">
        <v>45378</v>
      </c>
      <c r="AJ236" s="63">
        <v>45657</v>
      </c>
      <c r="AK236" t="s">
        <v>112</v>
      </c>
      <c r="AL236" t="s">
        <v>111</v>
      </c>
      <c r="AM236" t="s">
        <v>111</v>
      </c>
      <c r="AN236">
        <v>39250</v>
      </c>
      <c r="AO236" t="s">
        <v>110</v>
      </c>
      <c r="AP236" t="s">
        <v>109</v>
      </c>
    </row>
    <row r="237" spans="1:42" x14ac:dyDescent="0.25">
      <c r="A237" s="28" t="str">
        <f>"4848"</f>
        <v>4848</v>
      </c>
      <c r="B237">
        <v>4848</v>
      </c>
      <c r="C237" t="s">
        <v>2488</v>
      </c>
      <c r="D237" t="s">
        <v>121</v>
      </c>
      <c r="F237" t="s">
        <v>120</v>
      </c>
      <c r="G237" t="s">
        <v>189</v>
      </c>
      <c r="I237" t="s">
        <v>925</v>
      </c>
      <c r="J237" t="s">
        <v>7</v>
      </c>
      <c r="K237" s="63">
        <v>19187</v>
      </c>
      <c r="L237" s="28">
        <f>DATEDIF(K237,Zwift25!G$1,"Y")</f>
        <v>72</v>
      </c>
      <c r="M237" s="67">
        <f>IF(J237="m",VLOOKUP(L237,'All Solo Adjustments'!A:D,4,FALSE),VLOOKUP(L237,'All Solo Adjustments'!A:J,10,FALSE))</f>
        <v>7.129629629629629E-3</v>
      </c>
      <c r="N237" s="63"/>
      <c r="O237" s="63"/>
      <c r="P237" s="63"/>
      <c r="Q237" s="63"/>
      <c r="R237" t="s">
        <v>118</v>
      </c>
      <c r="S237" t="s">
        <v>117</v>
      </c>
      <c r="T237" t="s">
        <v>292</v>
      </c>
      <c r="U237" t="s">
        <v>10918</v>
      </c>
      <c r="V237" t="s">
        <v>10917</v>
      </c>
      <c r="W237" t="s">
        <v>968</v>
      </c>
      <c r="Y237" t="s">
        <v>10916</v>
      </c>
      <c r="Z237" t="str">
        <f>"0777 0099 208"</f>
        <v>0777 0099 208</v>
      </c>
      <c r="AA237" t="str">
        <f>""</f>
        <v/>
      </c>
      <c r="AB237" t="s">
        <v>1340</v>
      </c>
      <c r="AC237" t="s">
        <v>10915</v>
      </c>
      <c r="AD237" t="s">
        <v>114</v>
      </c>
      <c r="AE237" s="63">
        <v>45307</v>
      </c>
      <c r="AF237" t="s">
        <v>113</v>
      </c>
      <c r="AG237" t="s">
        <v>112</v>
      </c>
      <c r="AH237" t="s">
        <v>112</v>
      </c>
      <c r="AI237" s="63">
        <v>41548</v>
      </c>
      <c r="AJ237" s="63">
        <v>45657</v>
      </c>
      <c r="AK237" t="s">
        <v>111</v>
      </c>
      <c r="AL237" t="s">
        <v>111</v>
      </c>
      <c r="AM237" t="s">
        <v>111</v>
      </c>
      <c r="AN237">
        <v>30406</v>
      </c>
      <c r="AO237" t="s">
        <v>110</v>
      </c>
      <c r="AP237" t="s">
        <v>109</v>
      </c>
    </row>
    <row r="238" spans="1:42" x14ac:dyDescent="0.25">
      <c r="A238" s="28" t="str">
        <f>"15423"</f>
        <v>15423</v>
      </c>
      <c r="B238">
        <v>15423</v>
      </c>
      <c r="C238" t="s">
        <v>2488</v>
      </c>
      <c r="D238" t="s">
        <v>121</v>
      </c>
      <c r="F238" t="s">
        <v>120</v>
      </c>
      <c r="G238" t="s">
        <v>284</v>
      </c>
      <c r="I238" t="s">
        <v>10914</v>
      </c>
      <c r="J238" t="s">
        <v>7</v>
      </c>
      <c r="K238" s="63">
        <v>20102</v>
      </c>
      <c r="L238" s="28">
        <f>DATEDIF(K238,Zwift25!G$1,"Y")</f>
        <v>69</v>
      </c>
      <c r="M238" s="67">
        <f>IF(J238="m",VLOOKUP(L238,'All Solo Adjustments'!A:D,4,FALSE),VLOOKUP(L238,'All Solo Adjustments'!A:J,10,FALSE))</f>
        <v>5.9722222222222225E-3</v>
      </c>
      <c r="N238" s="63"/>
      <c r="O238" s="63"/>
      <c r="P238" s="63"/>
      <c r="Q238" s="63"/>
      <c r="R238" t="s">
        <v>328</v>
      </c>
      <c r="S238" t="s">
        <v>327</v>
      </c>
      <c r="T238" t="s">
        <v>292</v>
      </c>
      <c r="U238" t="s">
        <v>10913</v>
      </c>
      <c r="V238" t="s">
        <v>1247</v>
      </c>
      <c r="Y238" t="s">
        <v>10912</v>
      </c>
      <c r="Z238" t="str">
        <f>"07773192697"</f>
        <v>07773192697</v>
      </c>
      <c r="AA238" t="str">
        <f>""</f>
        <v/>
      </c>
      <c r="AB238" t="s">
        <v>664</v>
      </c>
      <c r="AC238" t="s">
        <v>10911</v>
      </c>
      <c r="AD238" t="s">
        <v>114</v>
      </c>
      <c r="AE238" s="63">
        <v>45325</v>
      </c>
      <c r="AF238" t="s">
        <v>156</v>
      </c>
      <c r="AG238" t="s">
        <v>112</v>
      </c>
      <c r="AH238" t="s">
        <v>112</v>
      </c>
      <c r="AI238" s="63">
        <v>44649</v>
      </c>
      <c r="AJ238" s="63">
        <v>45657</v>
      </c>
      <c r="AK238" t="s">
        <v>112</v>
      </c>
      <c r="AL238" t="s">
        <v>111</v>
      </c>
      <c r="AM238" t="s">
        <v>111</v>
      </c>
      <c r="AN238">
        <v>31533</v>
      </c>
      <c r="AO238" t="s">
        <v>110</v>
      </c>
      <c r="AP238" t="s">
        <v>109</v>
      </c>
    </row>
    <row r="239" spans="1:42" x14ac:dyDescent="0.25">
      <c r="A239" s="28" t="str">
        <f>"14099"</f>
        <v>14099</v>
      </c>
      <c r="B239">
        <v>14099</v>
      </c>
      <c r="C239" t="s">
        <v>2488</v>
      </c>
      <c r="D239" t="s">
        <v>121</v>
      </c>
      <c r="E239" t="s">
        <v>584</v>
      </c>
      <c r="F239" t="s">
        <v>120</v>
      </c>
      <c r="G239" t="s">
        <v>410</v>
      </c>
      <c r="I239" t="s">
        <v>2176</v>
      </c>
      <c r="J239" t="s">
        <v>7</v>
      </c>
      <c r="K239" s="63">
        <v>20956</v>
      </c>
      <c r="L239" s="28">
        <f>DATEDIF(K239,Zwift25!G$1,"Y")</f>
        <v>67</v>
      </c>
      <c r="M239" s="67">
        <f>IF(J239="m",VLOOKUP(L239,'All Solo Adjustments'!A:D,4,FALSE),VLOOKUP(L239,'All Solo Adjustments'!A:J,10,FALSE))</f>
        <v>5.2662037037037035E-3</v>
      </c>
      <c r="N239" s="63"/>
      <c r="O239" s="63"/>
      <c r="P239" s="63"/>
      <c r="Q239" s="63"/>
      <c r="R239" t="s">
        <v>296</v>
      </c>
      <c r="S239" t="s">
        <v>295</v>
      </c>
      <c r="T239" t="s">
        <v>292</v>
      </c>
      <c r="U239" t="s">
        <v>10910</v>
      </c>
      <c r="V239" t="s">
        <v>1452</v>
      </c>
      <c r="W239" t="s">
        <v>794</v>
      </c>
      <c r="X239" t="s">
        <v>296</v>
      </c>
      <c r="Y239" t="s">
        <v>10909</v>
      </c>
      <c r="Z239" t="str">
        <f>"01383793915"</f>
        <v>01383793915</v>
      </c>
      <c r="AA239" t="str">
        <f>""</f>
        <v/>
      </c>
      <c r="AB239" t="s">
        <v>10908</v>
      </c>
      <c r="AC239" t="s">
        <v>10907</v>
      </c>
      <c r="AD239" t="s">
        <v>114</v>
      </c>
      <c r="AE239" s="63">
        <v>45315</v>
      </c>
      <c r="AF239" t="s">
        <v>156</v>
      </c>
      <c r="AG239" t="s">
        <v>112</v>
      </c>
      <c r="AH239" t="s">
        <v>112</v>
      </c>
      <c r="AI239" s="63">
        <v>43532</v>
      </c>
      <c r="AJ239" s="63">
        <v>45657</v>
      </c>
      <c r="AK239" t="s">
        <v>112</v>
      </c>
      <c r="AL239" t="s">
        <v>111</v>
      </c>
      <c r="AM239" t="s">
        <v>111</v>
      </c>
      <c r="AN239" t="s">
        <v>105</v>
      </c>
      <c r="AO239" t="s">
        <v>110</v>
      </c>
      <c r="AP239" t="s">
        <v>109</v>
      </c>
    </row>
    <row r="240" spans="1:42" x14ac:dyDescent="0.25">
      <c r="A240" s="28" t="str">
        <f>"4108"</f>
        <v>4108</v>
      </c>
      <c r="B240">
        <v>4108</v>
      </c>
      <c r="C240" t="s">
        <v>2488</v>
      </c>
      <c r="D240" t="s">
        <v>132</v>
      </c>
      <c r="F240" t="s">
        <v>120</v>
      </c>
      <c r="G240" t="s">
        <v>761</v>
      </c>
      <c r="I240" t="s">
        <v>10899</v>
      </c>
      <c r="J240" t="s">
        <v>7</v>
      </c>
      <c r="K240" s="63">
        <v>16500</v>
      </c>
      <c r="L240" s="28">
        <f>DATEDIF(K240,Zwift25!G$1,"Y")</f>
        <v>79</v>
      </c>
      <c r="M240" s="67">
        <f>IF(J240="m",VLOOKUP(L240,'All Solo Adjustments'!A:D,4,FALSE),VLOOKUP(L240,'All Solo Adjustments'!A:J,10,FALSE))</f>
        <v>1.0451388888888889E-2</v>
      </c>
      <c r="N240" s="63"/>
      <c r="O240" s="63"/>
      <c r="P240" s="63"/>
      <c r="Q240" s="63"/>
      <c r="R240" t="s">
        <v>159</v>
      </c>
      <c r="S240" t="s">
        <v>538</v>
      </c>
      <c r="T240" t="s">
        <v>292</v>
      </c>
      <c r="U240" t="s">
        <v>10903</v>
      </c>
      <c r="V240" t="s">
        <v>160</v>
      </c>
      <c r="W240" t="s">
        <v>159</v>
      </c>
      <c r="Y240" t="s">
        <v>10902</v>
      </c>
      <c r="Z240" t="str">
        <f>"07540 053742"</f>
        <v>07540 053742</v>
      </c>
      <c r="AA240" t="str">
        <f>""</f>
        <v/>
      </c>
      <c r="AB240" t="s">
        <v>10901</v>
      </c>
      <c r="AC240" t="s">
        <v>10906</v>
      </c>
      <c r="AD240" t="s">
        <v>114</v>
      </c>
      <c r="AE240" s="63">
        <v>45289</v>
      </c>
      <c r="AF240" t="s">
        <v>113</v>
      </c>
      <c r="AG240" t="s">
        <v>112</v>
      </c>
      <c r="AH240" t="s">
        <v>112</v>
      </c>
      <c r="AI240" s="63">
        <v>43471</v>
      </c>
      <c r="AJ240" s="63">
        <v>45657</v>
      </c>
      <c r="AK240" t="s">
        <v>111</v>
      </c>
      <c r="AL240" t="s">
        <v>111</v>
      </c>
      <c r="AM240" t="s">
        <v>111</v>
      </c>
      <c r="AN240" t="s">
        <v>105</v>
      </c>
      <c r="AO240" t="s">
        <v>110</v>
      </c>
      <c r="AP240" t="s">
        <v>109</v>
      </c>
    </row>
    <row r="241" spans="1:42" x14ac:dyDescent="0.25">
      <c r="A241" s="28" t="str">
        <f>"12568"</f>
        <v>12568</v>
      </c>
      <c r="B241">
        <v>12568</v>
      </c>
      <c r="C241" t="s">
        <v>2488</v>
      </c>
      <c r="D241" t="s">
        <v>130</v>
      </c>
      <c r="F241" t="s">
        <v>144</v>
      </c>
      <c r="G241" t="s">
        <v>10905</v>
      </c>
      <c r="I241" t="s">
        <v>10904</v>
      </c>
      <c r="J241" t="s">
        <v>126</v>
      </c>
      <c r="K241" s="63">
        <v>23481</v>
      </c>
      <c r="L241" s="28">
        <f>DATEDIF(K241,Zwift25!G$1,"Y")</f>
        <v>60</v>
      </c>
      <c r="M241" s="67">
        <f>IF(J241="m",VLOOKUP(L241,'All Solo Adjustments'!A:D,4,FALSE),VLOOKUP(L241,'All Solo Adjustments'!A:J,10,FALSE))</f>
        <v>6.898148148148148E-3</v>
      </c>
      <c r="N241" s="63"/>
      <c r="O241" s="63"/>
      <c r="P241" s="63"/>
      <c r="Q241" s="63"/>
      <c r="R241" t="s">
        <v>159</v>
      </c>
      <c r="S241" t="s">
        <v>538</v>
      </c>
      <c r="T241" t="s">
        <v>292</v>
      </c>
      <c r="U241" t="s">
        <v>10903</v>
      </c>
      <c r="V241" t="s">
        <v>160</v>
      </c>
      <c r="W241" t="s">
        <v>159</v>
      </c>
      <c r="Y241" t="s">
        <v>10902</v>
      </c>
      <c r="Z241" t="str">
        <f>"07540 053742"</f>
        <v>07540 053742</v>
      </c>
      <c r="AA241" t="str">
        <f>""</f>
        <v/>
      </c>
      <c r="AB241" t="s">
        <v>10901</v>
      </c>
      <c r="AC241" t="s">
        <v>10900</v>
      </c>
      <c r="AD241" t="s">
        <v>114</v>
      </c>
      <c r="AE241" s="63">
        <v>45289</v>
      </c>
      <c r="AF241" t="s">
        <v>113</v>
      </c>
      <c r="AG241" t="s">
        <v>112</v>
      </c>
      <c r="AH241" t="s">
        <v>112</v>
      </c>
      <c r="AI241" s="63">
        <v>43471</v>
      </c>
      <c r="AJ241" s="63">
        <v>45657</v>
      </c>
      <c r="AK241" t="s">
        <v>111</v>
      </c>
      <c r="AL241" t="s">
        <v>111</v>
      </c>
      <c r="AM241" t="s">
        <v>111</v>
      </c>
      <c r="AN241" t="s">
        <v>105</v>
      </c>
      <c r="AO241" t="s">
        <v>122</v>
      </c>
      <c r="AP241" t="s">
        <v>122</v>
      </c>
    </row>
    <row r="242" spans="1:42" x14ac:dyDescent="0.25">
      <c r="A242" s="28" t="str">
        <f>"15868"</f>
        <v>15868</v>
      </c>
      <c r="B242">
        <v>15868</v>
      </c>
      <c r="C242" t="s">
        <v>2488</v>
      </c>
      <c r="D242" t="s">
        <v>121</v>
      </c>
      <c r="E242" t="s">
        <v>584</v>
      </c>
      <c r="F242" t="s">
        <v>120</v>
      </c>
      <c r="G242" t="s">
        <v>1487</v>
      </c>
      <c r="I242" t="s">
        <v>10899</v>
      </c>
      <c r="J242" t="s">
        <v>7</v>
      </c>
      <c r="K242" s="63">
        <v>21952</v>
      </c>
      <c r="L242" s="28">
        <f>DATEDIF(K242,Zwift25!G$1,"Y")</f>
        <v>64</v>
      </c>
      <c r="M242" s="67">
        <f>IF(J242="m",VLOOKUP(L242,'All Solo Adjustments'!A:D,4,FALSE),VLOOKUP(L242,'All Solo Adjustments'!A:J,10,FALSE))</f>
        <v>4.31712962962963E-3</v>
      </c>
      <c r="N242" s="63"/>
      <c r="O242" s="63"/>
      <c r="P242" s="63"/>
      <c r="Q242" s="63"/>
      <c r="R242" t="s">
        <v>180</v>
      </c>
      <c r="S242" t="s">
        <v>179</v>
      </c>
      <c r="T242" t="s">
        <v>292</v>
      </c>
      <c r="U242" t="s">
        <v>10898</v>
      </c>
      <c r="X242" t="s">
        <v>3146</v>
      </c>
      <c r="Y242" t="s">
        <v>10897</v>
      </c>
      <c r="Z242" t="str">
        <f>"07855227180"</f>
        <v>07855227180</v>
      </c>
      <c r="AA242" t="str">
        <f>""</f>
        <v/>
      </c>
      <c r="AB242" t="s">
        <v>10896</v>
      </c>
      <c r="AC242" t="s">
        <v>10895</v>
      </c>
      <c r="AD242" t="s">
        <v>114</v>
      </c>
      <c r="AE242" s="63">
        <v>45271</v>
      </c>
      <c r="AF242" t="s">
        <v>113</v>
      </c>
      <c r="AG242" t="s">
        <v>112</v>
      </c>
      <c r="AH242" t="s">
        <v>112</v>
      </c>
      <c r="AI242" s="63">
        <v>45104</v>
      </c>
      <c r="AJ242" s="63">
        <v>45657</v>
      </c>
      <c r="AK242" t="s">
        <v>112</v>
      </c>
      <c r="AL242" t="s">
        <v>111</v>
      </c>
      <c r="AM242" t="s">
        <v>111</v>
      </c>
      <c r="AN242">
        <v>47815</v>
      </c>
      <c r="AO242" t="s">
        <v>110</v>
      </c>
      <c r="AP242" t="s">
        <v>109</v>
      </c>
    </row>
    <row r="243" spans="1:42" x14ac:dyDescent="0.25">
      <c r="A243" s="28" t="str">
        <f>"16192"</f>
        <v>16192</v>
      </c>
      <c r="B243">
        <v>16192</v>
      </c>
      <c r="C243" t="s">
        <v>2488</v>
      </c>
      <c r="D243" t="s">
        <v>121</v>
      </c>
      <c r="F243" t="s">
        <v>120</v>
      </c>
      <c r="G243" t="s">
        <v>1551</v>
      </c>
      <c r="I243" t="s">
        <v>2175</v>
      </c>
      <c r="J243" t="s">
        <v>7</v>
      </c>
      <c r="K243" s="63">
        <v>30817</v>
      </c>
      <c r="L243" s="28">
        <f>DATEDIF(K243,Zwift25!G$1,"Y")</f>
        <v>40</v>
      </c>
      <c r="M243" s="67">
        <f>IF(J243="m",VLOOKUP(L243,'All Solo Adjustments'!A:D,4,FALSE),VLOOKUP(L243,'All Solo Adjustments'!A:J,10,FALSE))</f>
        <v>0</v>
      </c>
      <c r="N243" s="63"/>
      <c r="O243" s="63"/>
      <c r="P243" s="63"/>
      <c r="Q243" s="63"/>
      <c r="R243" t="s">
        <v>383</v>
      </c>
      <c r="S243" t="s">
        <v>382</v>
      </c>
      <c r="T243" t="s">
        <v>292</v>
      </c>
      <c r="U243" t="s">
        <v>10894</v>
      </c>
      <c r="V243" t="s">
        <v>7646</v>
      </c>
      <c r="W243" t="s">
        <v>1449</v>
      </c>
      <c r="Y243" t="s">
        <v>10893</v>
      </c>
      <c r="Z243" t="str">
        <f>"07598551863"</f>
        <v>07598551863</v>
      </c>
      <c r="AA243" t="str">
        <f>""</f>
        <v/>
      </c>
      <c r="AB243" t="s">
        <v>10892</v>
      </c>
      <c r="AC243" t="s">
        <v>10891</v>
      </c>
      <c r="AD243" t="s">
        <v>114</v>
      </c>
      <c r="AE243" s="63">
        <v>45495</v>
      </c>
      <c r="AF243" t="s">
        <v>156</v>
      </c>
      <c r="AG243" t="s">
        <v>112</v>
      </c>
      <c r="AH243" t="s">
        <v>112</v>
      </c>
      <c r="AI243" s="63">
        <v>45495</v>
      </c>
      <c r="AJ243" s="63">
        <v>45657</v>
      </c>
      <c r="AK243" t="s">
        <v>112</v>
      </c>
      <c r="AL243" t="s">
        <v>111</v>
      </c>
      <c r="AM243" t="s">
        <v>111</v>
      </c>
      <c r="AN243">
        <v>15862</v>
      </c>
      <c r="AO243" t="s">
        <v>110</v>
      </c>
      <c r="AP243" t="s">
        <v>109</v>
      </c>
    </row>
    <row r="244" spans="1:42" x14ac:dyDescent="0.25">
      <c r="A244" s="28" t="str">
        <f>"0337"</f>
        <v>0337</v>
      </c>
      <c r="B244">
        <v>337</v>
      </c>
      <c r="C244" t="s">
        <v>2488</v>
      </c>
      <c r="D244" t="s">
        <v>121</v>
      </c>
      <c r="F244" t="s">
        <v>120</v>
      </c>
      <c r="G244" t="s">
        <v>343</v>
      </c>
      <c r="I244" t="s">
        <v>2174</v>
      </c>
      <c r="J244" t="s">
        <v>7</v>
      </c>
      <c r="K244" s="63">
        <v>11153</v>
      </c>
      <c r="L244" s="28">
        <f>DATEDIF(K244,Zwift25!G$1,"Y")</f>
        <v>94</v>
      </c>
      <c r="M244" s="67">
        <f>IF(J244="m",VLOOKUP(L244,'All Solo Adjustments'!A:D,4,FALSE),VLOOKUP(L244,'All Solo Adjustments'!A:J,10,FALSE))</f>
        <v>2.2685185185185187E-2</v>
      </c>
      <c r="N244" s="63"/>
      <c r="O244" s="63"/>
      <c r="P244" s="63"/>
      <c r="Q244" s="63"/>
      <c r="R244" t="s">
        <v>184</v>
      </c>
      <c r="S244" t="s">
        <v>2477</v>
      </c>
      <c r="T244" t="s">
        <v>292</v>
      </c>
      <c r="U244" t="s">
        <v>10890</v>
      </c>
      <c r="V244" t="s">
        <v>10889</v>
      </c>
      <c r="W244" t="s">
        <v>10888</v>
      </c>
      <c r="X244" t="s">
        <v>717</v>
      </c>
      <c r="Y244" t="s">
        <v>10887</v>
      </c>
      <c r="Z244" t="str">
        <f>"01189 701147"</f>
        <v>01189 701147</v>
      </c>
      <c r="AA244" t="str">
        <f>""</f>
        <v/>
      </c>
      <c r="AB244" t="s">
        <v>1875</v>
      </c>
      <c r="AC244" t="s">
        <v>10886</v>
      </c>
      <c r="AD244" t="s">
        <v>151</v>
      </c>
      <c r="AF244" t="s">
        <v>113</v>
      </c>
      <c r="AG244" t="s">
        <v>112</v>
      </c>
      <c r="AH244" t="s">
        <v>112</v>
      </c>
      <c r="AI244" s="63">
        <v>25750</v>
      </c>
      <c r="AK244" t="s">
        <v>111</v>
      </c>
      <c r="AL244" t="s">
        <v>111</v>
      </c>
      <c r="AM244" t="s">
        <v>111</v>
      </c>
      <c r="AN244" t="s">
        <v>105</v>
      </c>
      <c r="AO244" t="s">
        <v>110</v>
      </c>
      <c r="AP244" t="s">
        <v>109</v>
      </c>
    </row>
    <row r="245" spans="1:42" x14ac:dyDescent="0.25">
      <c r="A245" s="28" t="str">
        <f>"15812"</f>
        <v>15812</v>
      </c>
      <c r="B245">
        <v>15812</v>
      </c>
      <c r="C245" t="s">
        <v>2488</v>
      </c>
      <c r="D245" t="s">
        <v>121</v>
      </c>
      <c r="E245" t="s">
        <v>584</v>
      </c>
      <c r="F245" t="s">
        <v>120</v>
      </c>
      <c r="G245" t="s">
        <v>643</v>
      </c>
      <c r="I245" t="s">
        <v>10885</v>
      </c>
      <c r="J245" t="s">
        <v>7</v>
      </c>
      <c r="K245" s="63">
        <v>30103</v>
      </c>
      <c r="L245" s="28">
        <f>DATEDIF(K245,Zwift25!G$1,"Y")</f>
        <v>42</v>
      </c>
      <c r="M245" s="67">
        <f>IF(J245="m",VLOOKUP(L245,'All Solo Adjustments'!A:D,4,FALSE),VLOOKUP(L245,'All Solo Adjustments'!A:J,10,FALSE))</f>
        <v>1.5046296296296295E-4</v>
      </c>
      <c r="N245" s="63"/>
      <c r="O245" s="63"/>
      <c r="P245" s="63"/>
      <c r="Q245" s="63"/>
      <c r="R245" t="s">
        <v>296</v>
      </c>
      <c r="S245" t="s">
        <v>295</v>
      </c>
      <c r="T245" t="s">
        <v>292</v>
      </c>
      <c r="U245" t="s">
        <v>10884</v>
      </c>
      <c r="V245" t="s">
        <v>10883</v>
      </c>
      <c r="W245" t="s">
        <v>1452</v>
      </c>
      <c r="X245" t="s">
        <v>794</v>
      </c>
      <c r="Y245" t="s">
        <v>10882</v>
      </c>
      <c r="Z245" t="str">
        <f>"07854720604"</f>
        <v>07854720604</v>
      </c>
      <c r="AA245" t="str">
        <f>""</f>
        <v/>
      </c>
      <c r="AB245" t="s">
        <v>10881</v>
      </c>
      <c r="AC245" t="s">
        <v>10880</v>
      </c>
      <c r="AD245" t="s">
        <v>114</v>
      </c>
      <c r="AE245" s="63">
        <v>45264</v>
      </c>
      <c r="AF245" t="s">
        <v>156</v>
      </c>
      <c r="AG245" t="s">
        <v>112</v>
      </c>
      <c r="AH245" t="s">
        <v>112</v>
      </c>
      <c r="AI245" s="63">
        <v>45053</v>
      </c>
      <c r="AJ245" s="63">
        <v>45657</v>
      </c>
      <c r="AK245" t="s">
        <v>112</v>
      </c>
      <c r="AL245" t="s">
        <v>111</v>
      </c>
      <c r="AM245" t="s">
        <v>111</v>
      </c>
      <c r="AN245">
        <v>19531</v>
      </c>
      <c r="AO245" t="s">
        <v>110</v>
      </c>
      <c r="AP245" t="s">
        <v>109</v>
      </c>
    </row>
    <row r="246" spans="1:42" x14ac:dyDescent="0.25">
      <c r="A246" s="28" t="str">
        <f>"15458"</f>
        <v>15458</v>
      </c>
      <c r="B246">
        <v>15458</v>
      </c>
      <c r="C246" t="s">
        <v>2488</v>
      </c>
      <c r="D246" t="s">
        <v>121</v>
      </c>
      <c r="F246" t="s">
        <v>120</v>
      </c>
      <c r="G246" t="s">
        <v>790</v>
      </c>
      <c r="I246" t="s">
        <v>10879</v>
      </c>
      <c r="J246" t="s">
        <v>7</v>
      </c>
      <c r="K246" s="63">
        <v>28543</v>
      </c>
      <c r="L246" s="28">
        <f>DATEDIF(K246,Zwift25!G$1,"Y")</f>
        <v>46</v>
      </c>
      <c r="M246" s="67">
        <f>IF(J246="m",VLOOKUP(L246,'All Solo Adjustments'!A:D,4,FALSE),VLOOKUP(L246,'All Solo Adjustments'!A:J,10,FALSE))</f>
        <v>5.6712962962962956E-4</v>
      </c>
      <c r="N246" s="63"/>
      <c r="O246" s="63"/>
      <c r="P246" s="63"/>
      <c r="Q246" s="63"/>
      <c r="R246" t="s">
        <v>154</v>
      </c>
      <c r="S246" t="s">
        <v>153</v>
      </c>
      <c r="T246" t="s">
        <v>292</v>
      </c>
      <c r="U246" t="s">
        <v>10878</v>
      </c>
      <c r="W246" t="s">
        <v>669</v>
      </c>
      <c r="X246" t="s">
        <v>669</v>
      </c>
      <c r="Y246" t="s">
        <v>10877</v>
      </c>
      <c r="Z246" t="str">
        <f>"07901116475"</f>
        <v>07901116475</v>
      </c>
      <c r="AA246" t="str">
        <f>""</f>
        <v/>
      </c>
      <c r="AB246" t="s">
        <v>5061</v>
      </c>
      <c r="AC246" t="s">
        <v>10876</v>
      </c>
      <c r="AD246" t="s">
        <v>114</v>
      </c>
      <c r="AE246" s="63">
        <v>45384</v>
      </c>
      <c r="AF246" t="s">
        <v>156</v>
      </c>
      <c r="AG246" t="s">
        <v>112</v>
      </c>
      <c r="AH246" t="s">
        <v>112</v>
      </c>
      <c r="AI246" s="63">
        <v>44679</v>
      </c>
      <c r="AJ246" s="63">
        <v>45657</v>
      </c>
      <c r="AK246" t="s">
        <v>112</v>
      </c>
      <c r="AL246" t="s">
        <v>111</v>
      </c>
      <c r="AM246" t="s">
        <v>111</v>
      </c>
      <c r="AN246">
        <v>25610</v>
      </c>
      <c r="AO246" t="s">
        <v>110</v>
      </c>
      <c r="AP246" t="s">
        <v>109</v>
      </c>
    </row>
    <row r="247" spans="1:42" x14ac:dyDescent="0.25">
      <c r="A247" s="28" t="str">
        <f>"3292"</f>
        <v>3292</v>
      </c>
      <c r="B247">
        <v>3292</v>
      </c>
      <c r="C247" t="s">
        <v>2488</v>
      </c>
      <c r="D247" t="s">
        <v>121</v>
      </c>
      <c r="F247" t="s">
        <v>120</v>
      </c>
      <c r="G247" t="s">
        <v>1847</v>
      </c>
      <c r="I247" t="s">
        <v>2172</v>
      </c>
      <c r="J247" t="s">
        <v>7</v>
      </c>
      <c r="K247" s="63">
        <v>12398</v>
      </c>
      <c r="L247" s="28">
        <f>DATEDIF(K247,Zwift25!G$1,"Y")</f>
        <v>90</v>
      </c>
      <c r="M247" s="67">
        <f>IF(J247="m",VLOOKUP(L247,'All Solo Adjustments'!A:D,4,FALSE),VLOOKUP(L247,'All Solo Adjustments'!A:J,10,FALSE))</f>
        <v>1.8391203703703705E-2</v>
      </c>
      <c r="N247" s="63"/>
      <c r="O247" s="63"/>
      <c r="P247" s="63"/>
      <c r="Q247" s="63"/>
      <c r="R247" t="s">
        <v>239</v>
      </c>
      <c r="S247" t="s">
        <v>437</v>
      </c>
      <c r="T247" t="s">
        <v>292</v>
      </c>
      <c r="U247" t="s">
        <v>10875</v>
      </c>
      <c r="V247" t="s">
        <v>10874</v>
      </c>
      <c r="W247" t="s">
        <v>10873</v>
      </c>
      <c r="X247" t="s">
        <v>10872</v>
      </c>
      <c r="Z247" t="str">
        <f>"0027000000"</f>
        <v>0027000000</v>
      </c>
      <c r="AA247" t="str">
        <f>"0027000000"</f>
        <v>0027000000</v>
      </c>
      <c r="AB247" t="s">
        <v>290</v>
      </c>
      <c r="AC247" t="s">
        <v>10871</v>
      </c>
      <c r="AD247" t="s">
        <v>151</v>
      </c>
      <c r="AF247" t="s">
        <v>156</v>
      </c>
      <c r="AG247" t="s">
        <v>112</v>
      </c>
      <c r="AH247" t="s">
        <v>112</v>
      </c>
      <c r="AK247" t="s">
        <v>111</v>
      </c>
      <c r="AL247" t="s">
        <v>111</v>
      </c>
      <c r="AM247" t="s">
        <v>111</v>
      </c>
      <c r="AN247" t="s">
        <v>105</v>
      </c>
      <c r="AO247" t="s">
        <v>110</v>
      </c>
      <c r="AP247" t="s">
        <v>109</v>
      </c>
    </row>
    <row r="248" spans="1:42" x14ac:dyDescent="0.25">
      <c r="A248" s="28" t="str">
        <f>"14413"</f>
        <v>14413</v>
      </c>
      <c r="B248">
        <v>14413</v>
      </c>
      <c r="C248" t="s">
        <v>2488</v>
      </c>
      <c r="D248" t="s">
        <v>132</v>
      </c>
      <c r="E248" t="s">
        <v>584</v>
      </c>
      <c r="F248" t="s">
        <v>149</v>
      </c>
      <c r="G248" t="s">
        <v>625</v>
      </c>
      <c r="H248" t="s">
        <v>540</v>
      </c>
      <c r="I248" t="s">
        <v>921</v>
      </c>
      <c r="J248" t="s">
        <v>126</v>
      </c>
      <c r="K248" s="63">
        <v>24213</v>
      </c>
      <c r="L248" s="28">
        <f>DATEDIF(K248,Zwift25!G$1,"Y")</f>
        <v>58</v>
      </c>
      <c r="M248" s="67">
        <f>IF(J248="m",VLOOKUP(L248,'All Solo Adjustments'!A:D,4,FALSE),VLOOKUP(L248,'All Solo Adjustments'!A:J,10,FALSE))</f>
        <v>6.3194444444444444E-3</v>
      </c>
      <c r="N248" s="63"/>
      <c r="O248" s="63"/>
      <c r="P248" s="63"/>
      <c r="Q248" s="63"/>
      <c r="R248" t="s">
        <v>239</v>
      </c>
      <c r="S248" t="s">
        <v>238</v>
      </c>
      <c r="T248" t="s">
        <v>292</v>
      </c>
      <c r="U248" t="s">
        <v>920</v>
      </c>
      <c r="V248" t="s">
        <v>10869</v>
      </c>
      <c r="W248" t="s">
        <v>919</v>
      </c>
      <c r="X248" t="s">
        <v>2058</v>
      </c>
      <c r="Y248" t="s">
        <v>918</v>
      </c>
      <c r="Z248" t="str">
        <f>"07734478366"</f>
        <v>07734478366</v>
      </c>
      <c r="AA248" t="str">
        <f>"07810563060"</f>
        <v>07810563060</v>
      </c>
      <c r="AB248" t="s">
        <v>917</v>
      </c>
      <c r="AC248" t="s">
        <v>10870</v>
      </c>
      <c r="AD248" t="s">
        <v>114</v>
      </c>
      <c r="AE248" s="63">
        <v>45295</v>
      </c>
      <c r="AF248" t="s">
        <v>113</v>
      </c>
      <c r="AG248" t="s">
        <v>112</v>
      </c>
      <c r="AH248" t="s">
        <v>112</v>
      </c>
      <c r="AI248" s="63">
        <v>43832</v>
      </c>
      <c r="AJ248" s="63">
        <v>45657</v>
      </c>
      <c r="AK248" t="s">
        <v>112</v>
      </c>
      <c r="AL248" t="s">
        <v>111</v>
      </c>
      <c r="AM248" t="s">
        <v>111</v>
      </c>
      <c r="AN248">
        <v>21878</v>
      </c>
      <c r="AO248" t="s">
        <v>122</v>
      </c>
      <c r="AP248" t="s">
        <v>122</v>
      </c>
    </row>
    <row r="249" spans="1:42" x14ac:dyDescent="0.25">
      <c r="A249" s="28" t="str">
        <f>"14414"</f>
        <v>14414</v>
      </c>
      <c r="B249">
        <v>14414</v>
      </c>
      <c r="C249" t="s">
        <v>2488</v>
      </c>
      <c r="D249" t="s">
        <v>130</v>
      </c>
      <c r="F249" t="s">
        <v>120</v>
      </c>
      <c r="G249" t="s">
        <v>285</v>
      </c>
      <c r="I249" t="s">
        <v>921</v>
      </c>
      <c r="J249" t="s">
        <v>7</v>
      </c>
      <c r="K249" s="63">
        <v>21745</v>
      </c>
      <c r="L249" s="28">
        <f>DATEDIF(K249,Zwift25!G$1,"Y")</f>
        <v>65</v>
      </c>
      <c r="M249" s="67">
        <f>IF(J249="m",VLOOKUP(L249,'All Solo Adjustments'!A:D,4,FALSE),VLOOKUP(L249,'All Solo Adjustments'!A:J,10,FALSE))</f>
        <v>4.6180555555555558E-3</v>
      </c>
      <c r="N249" s="63"/>
      <c r="O249" s="63"/>
      <c r="P249" s="63"/>
      <c r="Q249" s="63"/>
      <c r="R249" t="s">
        <v>239</v>
      </c>
      <c r="S249" t="s">
        <v>238</v>
      </c>
      <c r="T249" t="s">
        <v>292</v>
      </c>
      <c r="U249" t="s">
        <v>920</v>
      </c>
      <c r="V249" t="s">
        <v>10869</v>
      </c>
      <c r="W249" t="s">
        <v>919</v>
      </c>
      <c r="X249" t="s">
        <v>2058</v>
      </c>
      <c r="Y249" t="s">
        <v>918</v>
      </c>
      <c r="Z249" t="str">
        <f>"07734478366"</f>
        <v>07734478366</v>
      </c>
      <c r="AA249" t="str">
        <f>"07810563060"</f>
        <v>07810563060</v>
      </c>
      <c r="AB249" t="s">
        <v>917</v>
      </c>
      <c r="AC249" t="s">
        <v>10868</v>
      </c>
      <c r="AD249" t="s">
        <v>114</v>
      </c>
      <c r="AE249" s="63">
        <v>45295</v>
      </c>
      <c r="AF249" t="s">
        <v>113</v>
      </c>
      <c r="AG249" t="s">
        <v>112</v>
      </c>
      <c r="AH249" t="s">
        <v>112</v>
      </c>
      <c r="AI249" s="63">
        <v>43832</v>
      </c>
      <c r="AJ249" s="63">
        <v>45657</v>
      </c>
      <c r="AK249" t="s">
        <v>112</v>
      </c>
      <c r="AL249" t="s">
        <v>111</v>
      </c>
      <c r="AM249" t="s">
        <v>111</v>
      </c>
      <c r="AN249">
        <v>5927</v>
      </c>
      <c r="AO249" t="s">
        <v>110</v>
      </c>
      <c r="AP249" t="s">
        <v>109</v>
      </c>
    </row>
    <row r="250" spans="1:42" x14ac:dyDescent="0.25">
      <c r="A250" s="28" t="str">
        <f>"14448"</f>
        <v>14448</v>
      </c>
      <c r="B250">
        <v>14448</v>
      </c>
      <c r="C250" t="s">
        <v>2488</v>
      </c>
      <c r="D250" t="s">
        <v>121</v>
      </c>
      <c r="F250" t="s">
        <v>149</v>
      </c>
      <c r="G250" t="s">
        <v>6997</v>
      </c>
      <c r="H250" t="s">
        <v>10867</v>
      </c>
      <c r="I250" t="s">
        <v>921</v>
      </c>
      <c r="J250" t="s">
        <v>126</v>
      </c>
      <c r="K250" s="63">
        <v>28928</v>
      </c>
      <c r="L250" s="28">
        <f>DATEDIF(K250,Zwift25!G$1,"Y")</f>
        <v>45</v>
      </c>
      <c r="M250" s="67">
        <f>IF(J250="m",VLOOKUP(L250,'All Solo Adjustments'!A:D,4,FALSE),VLOOKUP(L250,'All Solo Adjustments'!A:J,10,FALSE))</f>
        <v>4.6180555555555558E-3</v>
      </c>
      <c r="N250" s="63"/>
      <c r="O250" s="63"/>
      <c r="P250" s="63"/>
      <c r="Q250" s="63"/>
      <c r="R250" t="s">
        <v>283</v>
      </c>
      <c r="S250" t="s">
        <v>530</v>
      </c>
      <c r="T250" t="s">
        <v>292</v>
      </c>
      <c r="U250" t="s">
        <v>10866</v>
      </c>
      <c r="V250" t="s">
        <v>10865</v>
      </c>
      <c r="W250" t="s">
        <v>1023</v>
      </c>
      <c r="Y250" t="s">
        <v>10864</v>
      </c>
      <c r="Z250" t="str">
        <f>"07990521647"</f>
        <v>07990521647</v>
      </c>
      <c r="AA250" t="str">
        <f>"07788724347"</f>
        <v>07788724347</v>
      </c>
      <c r="AB250" t="s">
        <v>2414</v>
      </c>
      <c r="AC250" t="s">
        <v>10863</v>
      </c>
      <c r="AD250" t="s">
        <v>114</v>
      </c>
      <c r="AE250" s="63">
        <v>45383</v>
      </c>
      <c r="AF250" t="s">
        <v>156</v>
      </c>
      <c r="AG250" t="s">
        <v>112</v>
      </c>
      <c r="AH250" t="s">
        <v>112</v>
      </c>
      <c r="AI250" s="63">
        <v>43855</v>
      </c>
      <c r="AJ250" s="63">
        <v>45657</v>
      </c>
      <c r="AK250" t="s">
        <v>112</v>
      </c>
      <c r="AL250" t="s">
        <v>111</v>
      </c>
      <c r="AM250" t="s">
        <v>111</v>
      </c>
      <c r="AN250">
        <v>5506</v>
      </c>
      <c r="AO250" t="s">
        <v>122</v>
      </c>
      <c r="AP250" t="s">
        <v>122</v>
      </c>
    </row>
    <row r="251" spans="1:42" x14ac:dyDescent="0.25">
      <c r="A251" s="28" t="str">
        <f>"14860"</f>
        <v>14860</v>
      </c>
      <c r="B251">
        <v>14860</v>
      </c>
      <c r="C251" t="s">
        <v>2488</v>
      </c>
      <c r="D251" t="s">
        <v>121</v>
      </c>
      <c r="F251" t="s">
        <v>120</v>
      </c>
      <c r="G251" t="s">
        <v>185</v>
      </c>
      <c r="I251" t="s">
        <v>921</v>
      </c>
      <c r="J251" t="s">
        <v>7</v>
      </c>
      <c r="K251" s="63">
        <v>28246</v>
      </c>
      <c r="L251" s="28">
        <f>DATEDIF(K251,Zwift25!G$1,"Y")</f>
        <v>47</v>
      </c>
      <c r="M251" s="67">
        <f>IF(J251="m",VLOOKUP(L251,'All Solo Adjustments'!A:D,4,FALSE),VLOOKUP(L251,'All Solo Adjustments'!A:J,10,FALSE))</f>
        <v>6.9444444444444436E-4</v>
      </c>
      <c r="N251" s="63"/>
      <c r="O251" s="63"/>
      <c r="P251" s="63"/>
      <c r="Q251" s="63"/>
      <c r="R251" t="s">
        <v>159</v>
      </c>
      <c r="S251" t="s">
        <v>162</v>
      </c>
      <c r="T251" t="s">
        <v>292</v>
      </c>
      <c r="U251" t="s">
        <v>10862</v>
      </c>
      <c r="W251" t="s">
        <v>2246</v>
      </c>
      <c r="X251" t="s">
        <v>159</v>
      </c>
      <c r="Y251" t="s">
        <v>10861</v>
      </c>
      <c r="Z251" t="str">
        <f>"07973666443"</f>
        <v>07973666443</v>
      </c>
      <c r="AA251" t="str">
        <f>""</f>
        <v/>
      </c>
      <c r="AB251" t="s">
        <v>415</v>
      </c>
      <c r="AC251" t="s">
        <v>10860</v>
      </c>
      <c r="AD251" t="s">
        <v>114</v>
      </c>
      <c r="AE251" s="63">
        <v>45348</v>
      </c>
      <c r="AF251" t="s">
        <v>156</v>
      </c>
      <c r="AG251" t="s">
        <v>112</v>
      </c>
      <c r="AH251" t="s">
        <v>112</v>
      </c>
      <c r="AI251" s="63">
        <v>44252</v>
      </c>
      <c r="AJ251" s="63">
        <v>45657</v>
      </c>
      <c r="AK251" t="s">
        <v>112</v>
      </c>
      <c r="AL251" t="s">
        <v>111</v>
      </c>
      <c r="AM251" t="s">
        <v>111</v>
      </c>
      <c r="AN251">
        <v>19218</v>
      </c>
      <c r="AO251" t="s">
        <v>110</v>
      </c>
      <c r="AP251" t="s">
        <v>109</v>
      </c>
    </row>
    <row r="252" spans="1:42" x14ac:dyDescent="0.25">
      <c r="A252" s="28" t="str">
        <f>"0352"</f>
        <v>0352</v>
      </c>
      <c r="B252">
        <v>352</v>
      </c>
      <c r="C252" t="s">
        <v>2488</v>
      </c>
      <c r="D252" t="s">
        <v>132</v>
      </c>
      <c r="F252" t="s">
        <v>120</v>
      </c>
      <c r="G252" t="s">
        <v>481</v>
      </c>
      <c r="I252" t="s">
        <v>2458</v>
      </c>
      <c r="J252" t="s">
        <v>7</v>
      </c>
      <c r="K252" s="63">
        <v>13960</v>
      </c>
      <c r="L252" s="28">
        <f>DATEDIF(K252,Zwift25!G$1,"Y")</f>
        <v>86</v>
      </c>
      <c r="M252" s="67">
        <f>IF(J252="m",VLOOKUP(L252,'All Solo Adjustments'!A:D,4,FALSE),VLOOKUP(L252,'All Solo Adjustments'!A:J,10,FALSE))</f>
        <v>1.4988425925925926E-2</v>
      </c>
      <c r="N252" s="63"/>
      <c r="O252" s="63"/>
      <c r="P252" s="63"/>
      <c r="Q252" s="63"/>
      <c r="R252" t="s">
        <v>296</v>
      </c>
      <c r="S252" t="s">
        <v>6709</v>
      </c>
      <c r="T252" t="s">
        <v>292</v>
      </c>
      <c r="U252" t="s">
        <v>10858</v>
      </c>
      <c r="V252" t="s">
        <v>2433</v>
      </c>
      <c r="W252" t="s">
        <v>804</v>
      </c>
      <c r="Y252" t="s">
        <v>10857</v>
      </c>
      <c r="Z252" t="str">
        <f>""</f>
        <v/>
      </c>
      <c r="AA252" t="str">
        <f>""</f>
        <v/>
      </c>
      <c r="AB252" t="s">
        <v>2162</v>
      </c>
      <c r="AD252" t="s">
        <v>151</v>
      </c>
      <c r="AF252" t="s">
        <v>113</v>
      </c>
      <c r="AG252" t="s">
        <v>111</v>
      </c>
      <c r="AH252" t="s">
        <v>112</v>
      </c>
      <c r="AI252" s="63">
        <v>28830</v>
      </c>
      <c r="AK252" t="s">
        <v>111</v>
      </c>
      <c r="AL252" t="s">
        <v>111</v>
      </c>
      <c r="AM252" t="s">
        <v>111</v>
      </c>
      <c r="AN252" t="s">
        <v>105</v>
      </c>
      <c r="AO252" t="s">
        <v>110</v>
      </c>
      <c r="AP252" t="s">
        <v>109</v>
      </c>
    </row>
    <row r="253" spans="1:42" x14ac:dyDescent="0.25">
      <c r="A253" s="28" t="str">
        <f>"11247"</f>
        <v>11247</v>
      </c>
      <c r="B253">
        <v>11247</v>
      </c>
      <c r="C253" t="s">
        <v>2488</v>
      </c>
      <c r="D253" t="s">
        <v>130</v>
      </c>
      <c r="F253" t="s">
        <v>149</v>
      </c>
      <c r="G253" t="s">
        <v>10859</v>
      </c>
      <c r="I253" t="s">
        <v>2458</v>
      </c>
      <c r="J253" t="s">
        <v>126</v>
      </c>
      <c r="K253" s="63">
        <v>14594</v>
      </c>
      <c r="L253" s="28">
        <f>DATEDIF(K253,Zwift25!G$1,"Y")</f>
        <v>84</v>
      </c>
      <c r="M253" s="67">
        <f>IF(J253="m",VLOOKUP(L253,'All Solo Adjustments'!A:D,4,FALSE),VLOOKUP(L253,'All Solo Adjustments'!A:J,10,FALSE))</f>
        <v>1.966435185185185E-2</v>
      </c>
      <c r="N253" s="63"/>
      <c r="O253" s="63"/>
      <c r="P253" s="63"/>
      <c r="Q253" s="63"/>
      <c r="R253" t="s">
        <v>296</v>
      </c>
      <c r="S253" t="s">
        <v>6709</v>
      </c>
      <c r="T253" t="s">
        <v>292</v>
      </c>
      <c r="U253" t="s">
        <v>10858</v>
      </c>
      <c r="V253" t="s">
        <v>2433</v>
      </c>
      <c r="W253" t="s">
        <v>804</v>
      </c>
      <c r="Y253" t="s">
        <v>10857</v>
      </c>
      <c r="Z253" t="str">
        <f>""</f>
        <v/>
      </c>
      <c r="AA253" t="str">
        <f>""</f>
        <v/>
      </c>
      <c r="AB253" t="s">
        <v>2162</v>
      </c>
      <c r="AD253" t="s">
        <v>151</v>
      </c>
      <c r="AF253" t="s">
        <v>113</v>
      </c>
      <c r="AG253" t="s">
        <v>111</v>
      </c>
      <c r="AH253" t="s">
        <v>112</v>
      </c>
      <c r="AI253" s="63">
        <v>29570</v>
      </c>
      <c r="AK253" t="s">
        <v>111</v>
      </c>
      <c r="AL253" t="s">
        <v>111</v>
      </c>
      <c r="AM253" t="s">
        <v>111</v>
      </c>
      <c r="AN253" t="s">
        <v>105</v>
      </c>
      <c r="AO253" t="s">
        <v>122</v>
      </c>
      <c r="AP253" t="s">
        <v>122</v>
      </c>
    </row>
    <row r="254" spans="1:42" x14ac:dyDescent="0.25">
      <c r="A254" s="28" t="str">
        <f>"15591"</f>
        <v>15591</v>
      </c>
      <c r="B254">
        <v>15591</v>
      </c>
      <c r="C254" t="s">
        <v>2488</v>
      </c>
      <c r="D254" t="s">
        <v>121</v>
      </c>
      <c r="F254" t="s">
        <v>120</v>
      </c>
      <c r="G254" t="s">
        <v>185</v>
      </c>
      <c r="I254" t="s">
        <v>915</v>
      </c>
      <c r="J254" t="s">
        <v>7</v>
      </c>
      <c r="K254" s="63">
        <v>29761</v>
      </c>
      <c r="L254" s="28">
        <f>DATEDIF(K254,Zwift25!G$1,"Y")</f>
        <v>43</v>
      </c>
      <c r="M254" s="67">
        <f>IF(J254="m",VLOOKUP(L254,'All Solo Adjustments'!A:D,4,FALSE),VLOOKUP(L254,'All Solo Adjustments'!A:J,10,FALSE))</f>
        <v>2.4305555555555555E-4</v>
      </c>
      <c r="N254" s="63"/>
      <c r="O254" s="63"/>
      <c r="P254" s="63"/>
      <c r="Q254" s="63"/>
      <c r="R254" t="s">
        <v>143</v>
      </c>
      <c r="S254" t="s">
        <v>142</v>
      </c>
      <c r="T254" t="s">
        <v>292</v>
      </c>
      <c r="U254" t="s">
        <v>10856</v>
      </c>
      <c r="V254" t="s">
        <v>10855</v>
      </c>
      <c r="W254" t="s">
        <v>10854</v>
      </c>
      <c r="X254" t="s">
        <v>141</v>
      </c>
      <c r="Y254" t="s">
        <v>10853</v>
      </c>
      <c r="Z254" t="str">
        <f>"07810207234"</f>
        <v>07810207234</v>
      </c>
      <c r="AA254" t="str">
        <f>""</f>
        <v/>
      </c>
      <c r="AB254" t="s">
        <v>3047</v>
      </c>
      <c r="AC254" t="s">
        <v>10852</v>
      </c>
      <c r="AD254" t="s">
        <v>114</v>
      </c>
      <c r="AE254" s="63">
        <v>45355</v>
      </c>
      <c r="AF254" t="s">
        <v>156</v>
      </c>
      <c r="AG254" t="s">
        <v>112</v>
      </c>
      <c r="AH254" t="s">
        <v>112</v>
      </c>
      <c r="AI254" s="63">
        <v>44810</v>
      </c>
      <c r="AJ254" s="63">
        <v>45657</v>
      </c>
      <c r="AK254" t="s">
        <v>112</v>
      </c>
      <c r="AL254" t="s">
        <v>111</v>
      </c>
      <c r="AM254" t="s">
        <v>111</v>
      </c>
      <c r="AN254">
        <v>10454</v>
      </c>
      <c r="AO254" t="s">
        <v>110</v>
      </c>
      <c r="AP254" t="s">
        <v>109</v>
      </c>
    </row>
    <row r="255" spans="1:42" x14ac:dyDescent="0.25">
      <c r="A255" s="28" t="str">
        <f>"16144"</f>
        <v>16144</v>
      </c>
      <c r="B255">
        <v>16144</v>
      </c>
      <c r="C255" t="s">
        <v>2488</v>
      </c>
      <c r="D255" t="s">
        <v>121</v>
      </c>
      <c r="F255" t="s">
        <v>120</v>
      </c>
      <c r="G255" t="s">
        <v>405</v>
      </c>
      <c r="H255" t="s">
        <v>1163</v>
      </c>
      <c r="I255" t="s">
        <v>915</v>
      </c>
      <c r="J255" t="s">
        <v>7</v>
      </c>
      <c r="K255" s="63">
        <v>26059</v>
      </c>
      <c r="L255" s="28">
        <f>DATEDIF(K255,Zwift25!G$1,"Y")</f>
        <v>53</v>
      </c>
      <c r="M255" s="67">
        <f>IF(J255="m",VLOOKUP(L255,'All Solo Adjustments'!A:D,4,FALSE),VLOOKUP(L255,'All Solo Adjustments'!A:J,10,FALSE))</f>
        <v>1.6666666666666668E-3</v>
      </c>
      <c r="N255" s="63"/>
      <c r="O255" s="63"/>
      <c r="P255" s="63"/>
      <c r="Q255" s="63"/>
      <c r="R255" t="s">
        <v>184</v>
      </c>
      <c r="S255" t="s">
        <v>183</v>
      </c>
      <c r="T255" t="s">
        <v>292</v>
      </c>
      <c r="U255" t="s">
        <v>10851</v>
      </c>
      <c r="V255" t="s">
        <v>10850</v>
      </c>
      <c r="Y255" t="s">
        <v>10849</v>
      </c>
      <c r="Z255" t="str">
        <f>"07826905306"</f>
        <v>07826905306</v>
      </c>
      <c r="AA255" t="str">
        <f>""</f>
        <v/>
      </c>
      <c r="AB255" t="s">
        <v>10848</v>
      </c>
      <c r="AC255" t="s">
        <v>10847</v>
      </c>
      <c r="AD255" t="s">
        <v>114</v>
      </c>
      <c r="AE255" s="63">
        <v>45437</v>
      </c>
      <c r="AF255" t="s">
        <v>156</v>
      </c>
      <c r="AG255" t="s">
        <v>112</v>
      </c>
      <c r="AH255" t="s">
        <v>112</v>
      </c>
      <c r="AI255" s="63">
        <v>45437</v>
      </c>
      <c r="AJ255" s="63">
        <v>45657</v>
      </c>
      <c r="AK255" t="s">
        <v>112</v>
      </c>
      <c r="AL255" t="s">
        <v>111</v>
      </c>
      <c r="AM255" t="s">
        <v>111</v>
      </c>
      <c r="AN255">
        <v>31056</v>
      </c>
      <c r="AO255" t="s">
        <v>110</v>
      </c>
      <c r="AP255" t="s">
        <v>109</v>
      </c>
    </row>
    <row r="256" spans="1:42" x14ac:dyDescent="0.25">
      <c r="A256" s="28" t="str">
        <f>"3231"</f>
        <v>3231</v>
      </c>
      <c r="B256">
        <v>3231</v>
      </c>
      <c r="C256" t="s">
        <v>2488</v>
      </c>
      <c r="D256" t="s">
        <v>121</v>
      </c>
      <c r="E256" t="s">
        <v>584</v>
      </c>
      <c r="F256" t="s">
        <v>120</v>
      </c>
      <c r="G256" t="s">
        <v>165</v>
      </c>
      <c r="H256" t="s">
        <v>6634</v>
      </c>
      <c r="I256" t="s">
        <v>10846</v>
      </c>
      <c r="J256" t="s">
        <v>7</v>
      </c>
      <c r="K256" s="63">
        <v>21369</v>
      </c>
      <c r="L256" s="28">
        <f>DATEDIF(K256,Zwift25!G$1,"Y")</f>
        <v>66</v>
      </c>
      <c r="M256" s="67">
        <f>IF(J256="m",VLOOKUP(L256,'All Solo Adjustments'!A:D,4,FALSE),VLOOKUP(L256,'All Solo Adjustments'!A:J,10,FALSE))</f>
        <v>4.9421296296296297E-3</v>
      </c>
      <c r="N256" s="63"/>
      <c r="O256" s="63"/>
      <c r="P256" s="63"/>
      <c r="Q256" s="63"/>
      <c r="R256" t="s">
        <v>239</v>
      </c>
      <c r="S256" t="s">
        <v>274</v>
      </c>
      <c r="T256" t="s">
        <v>292</v>
      </c>
      <c r="U256" t="s">
        <v>2017</v>
      </c>
      <c r="V256" t="s">
        <v>723</v>
      </c>
      <c r="W256" t="s">
        <v>9305</v>
      </c>
      <c r="Y256" t="s">
        <v>10845</v>
      </c>
      <c r="Z256" t="str">
        <f>"07742 022312"</f>
        <v>07742 022312</v>
      </c>
      <c r="AA256" t="str">
        <f>""</f>
        <v/>
      </c>
      <c r="AB256" t="s">
        <v>1599</v>
      </c>
      <c r="AC256" t="s">
        <v>10844</v>
      </c>
      <c r="AD256" t="s">
        <v>114</v>
      </c>
      <c r="AE256" s="63">
        <v>45262</v>
      </c>
      <c r="AF256" t="s">
        <v>113</v>
      </c>
      <c r="AG256" t="s">
        <v>112</v>
      </c>
      <c r="AH256" t="s">
        <v>112</v>
      </c>
      <c r="AI256" s="63">
        <v>40613</v>
      </c>
      <c r="AJ256" s="63">
        <v>45657</v>
      </c>
      <c r="AK256" t="s">
        <v>111</v>
      </c>
      <c r="AL256" t="s">
        <v>111</v>
      </c>
      <c r="AM256" t="s">
        <v>111</v>
      </c>
      <c r="AN256">
        <v>3196</v>
      </c>
      <c r="AO256" t="s">
        <v>110</v>
      </c>
      <c r="AP256" t="s">
        <v>109</v>
      </c>
    </row>
    <row r="257" spans="1:42" x14ac:dyDescent="0.25">
      <c r="A257" s="28" t="str">
        <f>"5755"</f>
        <v>5755</v>
      </c>
      <c r="B257">
        <v>5755</v>
      </c>
      <c r="C257" t="s">
        <v>2488</v>
      </c>
      <c r="D257" t="s">
        <v>121</v>
      </c>
      <c r="F257" t="s">
        <v>120</v>
      </c>
      <c r="G257" t="s">
        <v>1615</v>
      </c>
      <c r="H257" t="s">
        <v>10843</v>
      </c>
      <c r="I257" t="s">
        <v>10842</v>
      </c>
      <c r="J257" t="s">
        <v>7</v>
      </c>
      <c r="K257" s="63">
        <v>21938</v>
      </c>
      <c r="L257" s="28">
        <f>DATEDIF(K257,Zwift25!G$1,"Y")</f>
        <v>64</v>
      </c>
      <c r="M257" s="67">
        <f>IF(J257="m",VLOOKUP(L257,'All Solo Adjustments'!A:D,4,FALSE),VLOOKUP(L257,'All Solo Adjustments'!A:J,10,FALSE))</f>
        <v>4.31712962962963E-3</v>
      </c>
      <c r="N257" s="63"/>
      <c r="O257" s="63"/>
      <c r="P257" s="63"/>
      <c r="Q257" s="63"/>
      <c r="R257" t="s">
        <v>143</v>
      </c>
      <c r="S257" t="s">
        <v>142</v>
      </c>
      <c r="T257" t="s">
        <v>292</v>
      </c>
      <c r="U257" t="s">
        <v>10841</v>
      </c>
      <c r="V257" t="s">
        <v>10840</v>
      </c>
      <c r="W257" t="s">
        <v>10839</v>
      </c>
      <c r="X257" t="s">
        <v>141</v>
      </c>
      <c r="Y257" t="s">
        <v>10838</v>
      </c>
      <c r="Z257" t="str">
        <f>"07779 067472"</f>
        <v>07779 067472</v>
      </c>
      <c r="AA257" t="str">
        <f>"01753 866700"</f>
        <v>01753 866700</v>
      </c>
      <c r="AB257" t="s">
        <v>1221</v>
      </c>
      <c r="AC257" t="s">
        <v>10837</v>
      </c>
      <c r="AD257" t="s">
        <v>114</v>
      </c>
      <c r="AE257" s="63">
        <v>45348</v>
      </c>
      <c r="AF257" t="s">
        <v>113</v>
      </c>
      <c r="AG257" t="s">
        <v>112</v>
      </c>
      <c r="AH257" t="s">
        <v>112</v>
      </c>
      <c r="AI257" s="63">
        <v>42439</v>
      </c>
      <c r="AJ257" s="63">
        <v>45657</v>
      </c>
      <c r="AK257" t="s">
        <v>111</v>
      </c>
      <c r="AL257" t="s">
        <v>111</v>
      </c>
      <c r="AM257" t="s">
        <v>111</v>
      </c>
      <c r="AN257">
        <v>15293</v>
      </c>
      <c r="AO257" t="s">
        <v>110</v>
      </c>
      <c r="AP257" t="s">
        <v>109</v>
      </c>
    </row>
    <row r="258" spans="1:42" x14ac:dyDescent="0.25">
      <c r="A258" s="28" t="str">
        <f>"0354"</f>
        <v>0354</v>
      </c>
      <c r="B258">
        <v>354</v>
      </c>
      <c r="C258" t="s">
        <v>2488</v>
      </c>
      <c r="D258" t="s">
        <v>121</v>
      </c>
      <c r="F258" t="s">
        <v>120</v>
      </c>
      <c r="G258" t="s">
        <v>230</v>
      </c>
      <c r="I258" t="s">
        <v>10836</v>
      </c>
      <c r="J258" t="s">
        <v>7</v>
      </c>
      <c r="K258" s="63">
        <v>12420</v>
      </c>
      <c r="L258" s="28">
        <f>DATEDIF(K258,Zwift25!G$1,"Y")</f>
        <v>90</v>
      </c>
      <c r="M258" s="67">
        <f>IF(J258="m",VLOOKUP(L258,'All Solo Adjustments'!A:D,4,FALSE),VLOOKUP(L258,'All Solo Adjustments'!A:J,10,FALSE))</f>
        <v>1.8391203703703705E-2</v>
      </c>
      <c r="N258" s="63"/>
      <c r="O258" s="63"/>
      <c r="P258" s="63"/>
      <c r="Q258" s="63"/>
      <c r="R258" t="s">
        <v>125</v>
      </c>
      <c r="S258" t="s">
        <v>484</v>
      </c>
      <c r="T258" t="s">
        <v>292</v>
      </c>
      <c r="U258" t="s">
        <v>10835</v>
      </c>
      <c r="V258" t="s">
        <v>631</v>
      </c>
      <c r="W258" t="s">
        <v>169</v>
      </c>
      <c r="Y258" t="s">
        <v>10834</v>
      </c>
      <c r="Z258" t="str">
        <f>"07702 915468"</f>
        <v>07702 915468</v>
      </c>
      <c r="AA258" t="str">
        <f>""</f>
        <v/>
      </c>
      <c r="AB258" t="s">
        <v>630</v>
      </c>
      <c r="AC258" t="s">
        <v>10833</v>
      </c>
      <c r="AD258" t="s">
        <v>151</v>
      </c>
      <c r="AF258" t="s">
        <v>113</v>
      </c>
      <c r="AG258" t="s">
        <v>112</v>
      </c>
      <c r="AH258" t="s">
        <v>112</v>
      </c>
      <c r="AI258" s="63">
        <v>33239</v>
      </c>
      <c r="AK258" t="s">
        <v>111</v>
      </c>
      <c r="AL258" t="s">
        <v>111</v>
      </c>
      <c r="AM258" t="s">
        <v>111</v>
      </c>
      <c r="AN258">
        <v>8219</v>
      </c>
      <c r="AO258" t="s">
        <v>110</v>
      </c>
      <c r="AP258" t="s">
        <v>109</v>
      </c>
    </row>
    <row r="259" spans="1:42" x14ac:dyDescent="0.25">
      <c r="A259" s="28" t="str">
        <f>"2889"</f>
        <v>2889</v>
      </c>
      <c r="B259">
        <v>2889</v>
      </c>
      <c r="C259" t="s">
        <v>2488</v>
      </c>
      <c r="D259" t="s">
        <v>121</v>
      </c>
      <c r="F259" t="s">
        <v>120</v>
      </c>
      <c r="G259" t="s">
        <v>10832</v>
      </c>
      <c r="H259" t="s">
        <v>287</v>
      </c>
      <c r="I259" t="s">
        <v>10831</v>
      </c>
      <c r="J259" t="s">
        <v>7</v>
      </c>
      <c r="K259" s="63">
        <v>23744</v>
      </c>
      <c r="L259" s="28">
        <f>DATEDIF(K259,Zwift25!G$1,"Y")</f>
        <v>59</v>
      </c>
      <c r="M259" s="67">
        <f>IF(J259="m",VLOOKUP(L259,'All Solo Adjustments'!A:D,4,FALSE),VLOOKUP(L259,'All Solo Adjustments'!A:J,10,FALSE))</f>
        <v>2.9629629629629632E-3</v>
      </c>
      <c r="N259" s="63"/>
      <c r="O259" s="63"/>
      <c r="P259" s="63"/>
      <c r="Q259" s="63"/>
      <c r="R259" t="s">
        <v>239</v>
      </c>
      <c r="S259" t="s">
        <v>274</v>
      </c>
      <c r="T259" t="s">
        <v>292</v>
      </c>
      <c r="U259" t="s">
        <v>10830</v>
      </c>
      <c r="V259" t="s">
        <v>1827</v>
      </c>
      <c r="W259" t="s">
        <v>555</v>
      </c>
      <c r="Y259" t="s">
        <v>10829</v>
      </c>
      <c r="Z259" t="str">
        <f>"01422 202957"</f>
        <v>01422 202957</v>
      </c>
      <c r="AA259" t="str">
        <f>"07936146533"</f>
        <v>07936146533</v>
      </c>
      <c r="AB259" t="s">
        <v>10828</v>
      </c>
      <c r="AC259" t="s">
        <v>10827</v>
      </c>
      <c r="AD259" t="s">
        <v>114</v>
      </c>
      <c r="AE259" s="63">
        <v>45316</v>
      </c>
      <c r="AF259" t="s">
        <v>156</v>
      </c>
      <c r="AG259" t="s">
        <v>112</v>
      </c>
      <c r="AH259" t="s">
        <v>112</v>
      </c>
      <c r="AI259" s="63">
        <v>41348</v>
      </c>
      <c r="AJ259" s="63">
        <v>45657</v>
      </c>
      <c r="AK259" t="s">
        <v>111</v>
      </c>
      <c r="AL259" t="s">
        <v>111</v>
      </c>
      <c r="AM259" t="s">
        <v>111</v>
      </c>
      <c r="AN259" t="s">
        <v>105</v>
      </c>
      <c r="AO259" t="s">
        <v>110</v>
      </c>
      <c r="AP259" t="s">
        <v>109</v>
      </c>
    </row>
    <row r="260" spans="1:42" x14ac:dyDescent="0.25">
      <c r="A260" s="28" t="str">
        <f>"15977"</f>
        <v>15977</v>
      </c>
      <c r="B260">
        <v>15977</v>
      </c>
      <c r="C260" t="s">
        <v>2488</v>
      </c>
      <c r="D260" t="s">
        <v>121</v>
      </c>
      <c r="F260" t="s">
        <v>120</v>
      </c>
      <c r="G260" t="s">
        <v>492</v>
      </c>
      <c r="I260" t="s">
        <v>10826</v>
      </c>
      <c r="J260" t="s">
        <v>7</v>
      </c>
      <c r="K260" s="63">
        <v>24476</v>
      </c>
      <c r="L260" s="28">
        <f>DATEDIF(K260,Zwift25!G$1,"Y")</f>
        <v>57</v>
      </c>
      <c r="M260" s="67">
        <f>IF(J260="m",VLOOKUP(L260,'All Solo Adjustments'!A:D,4,FALSE),VLOOKUP(L260,'All Solo Adjustments'!A:J,10,FALSE))</f>
        <v>2.488425925925926E-3</v>
      </c>
      <c r="N260" s="63"/>
      <c r="O260" s="63"/>
      <c r="P260" s="63"/>
      <c r="Q260" s="63"/>
      <c r="R260" t="s">
        <v>283</v>
      </c>
      <c r="S260" t="s">
        <v>530</v>
      </c>
      <c r="T260" t="s">
        <v>292</v>
      </c>
      <c r="U260" t="s">
        <v>10825</v>
      </c>
      <c r="W260" t="s">
        <v>2270</v>
      </c>
      <c r="X260" t="s">
        <v>968</v>
      </c>
      <c r="Y260" t="s">
        <v>10824</v>
      </c>
      <c r="Z260" t="str">
        <f>"07588568778"</f>
        <v>07588568778</v>
      </c>
      <c r="AA260" t="str">
        <f>""</f>
        <v/>
      </c>
      <c r="AB260" t="s">
        <v>10823</v>
      </c>
      <c r="AC260" t="s">
        <v>10822</v>
      </c>
      <c r="AD260" t="s">
        <v>114</v>
      </c>
      <c r="AE260" s="63">
        <v>45296</v>
      </c>
      <c r="AF260" t="s">
        <v>156</v>
      </c>
      <c r="AG260" t="s">
        <v>112</v>
      </c>
      <c r="AH260" t="s">
        <v>112</v>
      </c>
      <c r="AI260" s="63">
        <v>45296</v>
      </c>
      <c r="AJ260" s="63">
        <v>45657</v>
      </c>
      <c r="AK260" t="s">
        <v>112</v>
      </c>
      <c r="AL260" t="s">
        <v>111</v>
      </c>
      <c r="AM260" t="s">
        <v>111</v>
      </c>
      <c r="AN260">
        <v>44490</v>
      </c>
      <c r="AO260" t="s">
        <v>110</v>
      </c>
      <c r="AP260" t="s">
        <v>109</v>
      </c>
    </row>
    <row r="261" spans="1:42" x14ac:dyDescent="0.25">
      <c r="A261" s="28" t="str">
        <f>"14701"</f>
        <v>14701</v>
      </c>
      <c r="B261">
        <v>14701</v>
      </c>
      <c r="C261" t="s">
        <v>2488</v>
      </c>
      <c r="D261" t="s">
        <v>121</v>
      </c>
      <c r="F261" t="s">
        <v>120</v>
      </c>
      <c r="G261" t="s">
        <v>952</v>
      </c>
      <c r="H261" t="s">
        <v>174</v>
      </c>
      <c r="I261" t="s">
        <v>2170</v>
      </c>
      <c r="J261" t="s">
        <v>7</v>
      </c>
      <c r="K261" s="63">
        <v>27222</v>
      </c>
      <c r="L261" s="28">
        <f>DATEDIF(K261,Zwift25!G$1,"Y")</f>
        <v>50</v>
      </c>
      <c r="M261" s="67">
        <f>IF(J261="m",VLOOKUP(L261,'All Solo Adjustments'!A:D,4,FALSE),VLOOKUP(L261,'All Solo Adjustments'!A:J,10,FALSE))</f>
        <v>1.1342592592592591E-3</v>
      </c>
      <c r="N261" s="63"/>
      <c r="O261" s="63"/>
      <c r="P261" s="63"/>
      <c r="Q261" s="63"/>
      <c r="R261" t="s">
        <v>383</v>
      </c>
      <c r="S261" t="s">
        <v>382</v>
      </c>
      <c r="T261" t="s">
        <v>292</v>
      </c>
      <c r="U261" t="s">
        <v>10821</v>
      </c>
      <c r="V261" t="s">
        <v>10820</v>
      </c>
      <c r="W261" t="s">
        <v>1449</v>
      </c>
      <c r="X261" t="s">
        <v>383</v>
      </c>
      <c r="Y261" t="s">
        <v>10819</v>
      </c>
      <c r="Z261" t="str">
        <f>"07804880907"</f>
        <v>07804880907</v>
      </c>
      <c r="AA261" t="str">
        <f>""</f>
        <v/>
      </c>
      <c r="AB261" t="s">
        <v>2081</v>
      </c>
      <c r="AC261" t="s">
        <v>10818</v>
      </c>
      <c r="AD261" t="s">
        <v>114</v>
      </c>
      <c r="AE261" s="63">
        <v>45293</v>
      </c>
      <c r="AF261" t="s">
        <v>156</v>
      </c>
      <c r="AG261" t="s">
        <v>112</v>
      </c>
      <c r="AH261" t="s">
        <v>112</v>
      </c>
      <c r="AI261" s="63">
        <v>44072</v>
      </c>
      <c r="AJ261" s="63">
        <v>45657</v>
      </c>
      <c r="AK261" t="s">
        <v>112</v>
      </c>
      <c r="AL261" t="s">
        <v>111</v>
      </c>
      <c r="AM261" t="s">
        <v>111</v>
      </c>
      <c r="AN261">
        <v>31418</v>
      </c>
      <c r="AO261" t="s">
        <v>110</v>
      </c>
      <c r="AP261" t="s">
        <v>109</v>
      </c>
    </row>
    <row r="262" spans="1:42" x14ac:dyDescent="0.25">
      <c r="A262" s="28" t="str">
        <f>"5382"</f>
        <v>5382</v>
      </c>
      <c r="B262">
        <v>5382</v>
      </c>
      <c r="C262" t="s">
        <v>2488</v>
      </c>
      <c r="D262" t="s">
        <v>121</v>
      </c>
      <c r="F262" t="s">
        <v>120</v>
      </c>
      <c r="G262" t="s">
        <v>10817</v>
      </c>
      <c r="H262" t="s">
        <v>359</v>
      </c>
      <c r="I262" t="s">
        <v>10813</v>
      </c>
      <c r="J262" t="s">
        <v>7</v>
      </c>
      <c r="K262" s="63">
        <v>25148</v>
      </c>
      <c r="L262" s="28">
        <f>DATEDIF(K262,Zwift25!G$1,"Y")</f>
        <v>55</v>
      </c>
      <c r="M262" s="67">
        <f>IF(J262="m",VLOOKUP(L262,'All Solo Adjustments'!A:D,4,FALSE),VLOOKUP(L262,'All Solo Adjustments'!A:J,10,FALSE))</f>
        <v>2.0601851851851853E-3</v>
      </c>
      <c r="N262" s="63"/>
      <c r="O262" s="63"/>
      <c r="P262" s="63"/>
      <c r="Q262" s="63"/>
      <c r="R262" t="s">
        <v>328</v>
      </c>
      <c r="S262" t="s">
        <v>327</v>
      </c>
      <c r="T262" t="s">
        <v>292</v>
      </c>
      <c r="U262" t="s">
        <v>10816</v>
      </c>
      <c r="V262" t="s">
        <v>326</v>
      </c>
      <c r="W262" t="s">
        <v>325</v>
      </c>
      <c r="Y262" t="s">
        <v>10815</v>
      </c>
      <c r="Z262" t="str">
        <f>"07512 581943"</f>
        <v>07512 581943</v>
      </c>
      <c r="AA262" t="str">
        <f>""</f>
        <v/>
      </c>
      <c r="AB262" t="s">
        <v>1704</v>
      </c>
      <c r="AC262" t="s">
        <v>10814</v>
      </c>
      <c r="AD262" t="s">
        <v>114</v>
      </c>
      <c r="AE262" s="63">
        <v>45290</v>
      </c>
      <c r="AF262" t="s">
        <v>113</v>
      </c>
      <c r="AG262" t="s">
        <v>112</v>
      </c>
      <c r="AH262" t="s">
        <v>112</v>
      </c>
      <c r="AI262" s="63">
        <v>42094</v>
      </c>
      <c r="AJ262" s="63">
        <v>45657</v>
      </c>
      <c r="AK262" t="s">
        <v>111</v>
      </c>
      <c r="AL262" t="s">
        <v>111</v>
      </c>
      <c r="AM262" t="s">
        <v>111</v>
      </c>
      <c r="AN262">
        <v>6202</v>
      </c>
      <c r="AO262" t="s">
        <v>110</v>
      </c>
      <c r="AP262" t="s">
        <v>109</v>
      </c>
    </row>
    <row r="263" spans="1:42" x14ac:dyDescent="0.25">
      <c r="A263" s="28" t="str">
        <f>"15789"</f>
        <v>15789</v>
      </c>
      <c r="B263">
        <v>15789</v>
      </c>
      <c r="C263" t="s">
        <v>2488</v>
      </c>
      <c r="D263" t="s">
        <v>121</v>
      </c>
      <c r="F263" t="s">
        <v>120</v>
      </c>
      <c r="G263" t="s">
        <v>744</v>
      </c>
      <c r="I263" t="s">
        <v>10813</v>
      </c>
      <c r="J263" t="s">
        <v>7</v>
      </c>
      <c r="K263" s="63">
        <v>27238</v>
      </c>
      <c r="L263" s="28">
        <f>DATEDIF(K263,Zwift25!G$1,"Y")</f>
        <v>50</v>
      </c>
      <c r="M263" s="67">
        <f>IF(J263="m",VLOOKUP(L263,'All Solo Adjustments'!A:D,4,FALSE),VLOOKUP(L263,'All Solo Adjustments'!A:J,10,FALSE))</f>
        <v>1.1342592592592591E-3</v>
      </c>
      <c r="N263" s="63"/>
      <c r="O263" s="63"/>
      <c r="P263" s="63"/>
      <c r="Q263" s="63"/>
      <c r="R263" t="s">
        <v>154</v>
      </c>
      <c r="S263" t="s">
        <v>153</v>
      </c>
      <c r="T263" t="s">
        <v>292</v>
      </c>
      <c r="U263" t="s">
        <v>10812</v>
      </c>
      <c r="V263" t="s">
        <v>10811</v>
      </c>
      <c r="W263" t="s">
        <v>673</v>
      </c>
      <c r="X263" t="s">
        <v>574</v>
      </c>
      <c r="Y263" t="s">
        <v>10810</v>
      </c>
      <c r="Z263" t="str">
        <f>"07855913074"</f>
        <v>07855913074</v>
      </c>
      <c r="AA263" t="str">
        <f>""</f>
        <v/>
      </c>
      <c r="AB263" t="s">
        <v>672</v>
      </c>
      <c r="AC263" t="s">
        <v>10809</v>
      </c>
      <c r="AD263" t="s">
        <v>114</v>
      </c>
      <c r="AE263" s="63">
        <v>45342</v>
      </c>
      <c r="AF263" t="s">
        <v>156</v>
      </c>
      <c r="AG263" t="s">
        <v>112</v>
      </c>
      <c r="AH263" t="s">
        <v>112</v>
      </c>
      <c r="AI263" s="63">
        <v>45034</v>
      </c>
      <c r="AJ263" s="63">
        <v>45657</v>
      </c>
      <c r="AK263" t="s">
        <v>112</v>
      </c>
      <c r="AL263" t="s">
        <v>112</v>
      </c>
      <c r="AM263" t="s">
        <v>111</v>
      </c>
      <c r="AN263">
        <v>31372</v>
      </c>
      <c r="AO263" t="s">
        <v>110</v>
      </c>
      <c r="AP263" t="s">
        <v>109</v>
      </c>
    </row>
    <row r="264" spans="1:42" x14ac:dyDescent="0.25">
      <c r="A264" s="28" t="str">
        <f>"13993"</f>
        <v>13993</v>
      </c>
      <c r="B264">
        <v>13993</v>
      </c>
      <c r="C264" t="s">
        <v>2488</v>
      </c>
      <c r="D264" t="s">
        <v>121</v>
      </c>
      <c r="F264" t="s">
        <v>120</v>
      </c>
      <c r="G264" t="s">
        <v>995</v>
      </c>
      <c r="I264" t="s">
        <v>2169</v>
      </c>
      <c r="J264" t="s">
        <v>7</v>
      </c>
      <c r="K264" s="63">
        <v>19881</v>
      </c>
      <c r="L264" s="28">
        <f>DATEDIF(K264,Zwift25!G$1,"Y")</f>
        <v>70</v>
      </c>
      <c r="M264" s="67">
        <f>IF(J264="m",VLOOKUP(L264,'All Solo Adjustments'!A:D,4,FALSE),VLOOKUP(L264,'All Solo Adjustments'!A:J,10,FALSE))</f>
        <v>6.3425925925925924E-3</v>
      </c>
      <c r="N264" s="63"/>
      <c r="O264" s="63"/>
      <c r="P264" s="63"/>
      <c r="Q264" s="63"/>
      <c r="R264" t="s">
        <v>137</v>
      </c>
      <c r="S264" t="s">
        <v>136</v>
      </c>
      <c r="T264" t="s">
        <v>292</v>
      </c>
      <c r="U264" t="s">
        <v>10808</v>
      </c>
      <c r="V264" t="s">
        <v>10807</v>
      </c>
      <c r="W264" t="s">
        <v>10806</v>
      </c>
      <c r="X264" t="s">
        <v>635</v>
      </c>
      <c r="Y264" t="s">
        <v>10805</v>
      </c>
      <c r="Z264" t="str">
        <f>"07875742647"</f>
        <v>07875742647</v>
      </c>
      <c r="AA264" t="str">
        <f>""</f>
        <v/>
      </c>
      <c r="AB264" t="s">
        <v>1735</v>
      </c>
      <c r="AC264" t="s">
        <v>10804</v>
      </c>
      <c r="AD264" t="s">
        <v>114</v>
      </c>
      <c r="AE264" s="63">
        <v>45256</v>
      </c>
      <c r="AF264" t="s">
        <v>156</v>
      </c>
      <c r="AG264" t="s">
        <v>112</v>
      </c>
      <c r="AH264" t="s">
        <v>112</v>
      </c>
      <c r="AI264" s="63">
        <v>43480</v>
      </c>
      <c r="AJ264" s="63">
        <v>45657</v>
      </c>
      <c r="AK264" t="s">
        <v>112</v>
      </c>
      <c r="AL264" t="s">
        <v>111</v>
      </c>
      <c r="AM264" t="s">
        <v>111</v>
      </c>
      <c r="AN264">
        <v>7243</v>
      </c>
      <c r="AO264" t="s">
        <v>110</v>
      </c>
      <c r="AP264" t="s">
        <v>109</v>
      </c>
    </row>
    <row r="265" spans="1:42" x14ac:dyDescent="0.25">
      <c r="A265" s="28" t="str">
        <f>"15644"</f>
        <v>15644</v>
      </c>
      <c r="B265">
        <v>15644</v>
      </c>
      <c r="C265" t="s">
        <v>2488</v>
      </c>
      <c r="D265" t="s">
        <v>121</v>
      </c>
      <c r="F265" t="s">
        <v>120</v>
      </c>
      <c r="G265" t="s">
        <v>400</v>
      </c>
      <c r="I265" t="s">
        <v>10803</v>
      </c>
      <c r="J265" t="s">
        <v>7</v>
      </c>
      <c r="K265" s="63">
        <v>28724</v>
      </c>
      <c r="L265" s="28">
        <f>DATEDIF(K265,Zwift25!G$1,"Y")</f>
        <v>46</v>
      </c>
      <c r="M265" s="67">
        <f>IF(J265="m",VLOOKUP(L265,'All Solo Adjustments'!A:D,4,FALSE),VLOOKUP(L265,'All Solo Adjustments'!A:J,10,FALSE))</f>
        <v>5.6712962962962956E-4</v>
      </c>
      <c r="N265" s="63"/>
      <c r="O265" s="63"/>
      <c r="P265" s="63"/>
      <c r="Q265" s="63"/>
      <c r="R265" t="s">
        <v>125</v>
      </c>
      <c r="S265" t="s">
        <v>170</v>
      </c>
      <c r="T265" t="s">
        <v>292</v>
      </c>
      <c r="U265" t="s">
        <v>10802</v>
      </c>
      <c r="W265" t="s">
        <v>435</v>
      </c>
      <c r="X265" t="s">
        <v>419</v>
      </c>
      <c r="Y265" t="s">
        <v>10801</v>
      </c>
      <c r="Z265" t="str">
        <f>"07828398799"</f>
        <v>07828398799</v>
      </c>
      <c r="AA265" t="str">
        <f>""</f>
        <v/>
      </c>
      <c r="AB265" t="s">
        <v>434</v>
      </c>
      <c r="AC265" t="s">
        <v>10800</v>
      </c>
      <c r="AD265" t="s">
        <v>114</v>
      </c>
      <c r="AE265" s="63">
        <v>45300</v>
      </c>
      <c r="AF265" t="s">
        <v>156</v>
      </c>
      <c r="AG265" t="s">
        <v>112</v>
      </c>
      <c r="AH265" t="s">
        <v>112</v>
      </c>
      <c r="AI265" s="63">
        <v>45047</v>
      </c>
      <c r="AJ265" s="63">
        <v>45657</v>
      </c>
      <c r="AK265" t="s">
        <v>112</v>
      </c>
      <c r="AL265" t="s">
        <v>111</v>
      </c>
      <c r="AM265" t="s">
        <v>111</v>
      </c>
      <c r="AN265">
        <v>41131</v>
      </c>
      <c r="AO265" t="s">
        <v>110</v>
      </c>
      <c r="AP265" t="s">
        <v>109</v>
      </c>
    </row>
    <row r="266" spans="1:42" x14ac:dyDescent="0.25">
      <c r="A266" s="28" t="str">
        <f>"0359"</f>
        <v>0359</v>
      </c>
      <c r="B266">
        <v>359</v>
      </c>
      <c r="C266" t="s">
        <v>2488</v>
      </c>
      <c r="D266" t="s">
        <v>121</v>
      </c>
      <c r="F266" t="s">
        <v>149</v>
      </c>
      <c r="G266" t="s">
        <v>1157</v>
      </c>
      <c r="H266" t="s">
        <v>148</v>
      </c>
      <c r="I266" t="s">
        <v>2168</v>
      </c>
      <c r="J266" t="s">
        <v>126</v>
      </c>
      <c r="K266" s="63">
        <v>14593</v>
      </c>
      <c r="L266" s="28">
        <f>DATEDIF(K266,Zwift25!G$1,"Y")</f>
        <v>84</v>
      </c>
      <c r="M266" s="67">
        <f>IF(J266="m",VLOOKUP(L266,'All Solo Adjustments'!A:D,4,FALSE),VLOOKUP(L266,'All Solo Adjustments'!A:J,10,FALSE))</f>
        <v>1.966435185185185E-2</v>
      </c>
      <c r="N266" s="63"/>
      <c r="O266" s="63"/>
      <c r="P266" s="63"/>
      <c r="Q266" s="63"/>
      <c r="R266" t="s">
        <v>198</v>
      </c>
      <c r="S266" t="s">
        <v>10799</v>
      </c>
      <c r="T266" t="s">
        <v>292</v>
      </c>
      <c r="U266" t="s">
        <v>10798</v>
      </c>
      <c r="V266" t="s">
        <v>2128</v>
      </c>
      <c r="W266" t="s">
        <v>196</v>
      </c>
      <c r="Y266" t="s">
        <v>10797</v>
      </c>
      <c r="Z266" t="str">
        <f>"01625 527074"</f>
        <v>01625 527074</v>
      </c>
      <c r="AA266" t="str">
        <f>""</f>
        <v/>
      </c>
      <c r="AB266" t="s">
        <v>1512</v>
      </c>
      <c r="AC266" t="s">
        <v>10796</v>
      </c>
      <c r="AD266" t="s">
        <v>151</v>
      </c>
      <c r="AF266" t="s">
        <v>113</v>
      </c>
      <c r="AG266" t="s">
        <v>112</v>
      </c>
      <c r="AH266" t="s">
        <v>112</v>
      </c>
      <c r="AI266" s="63">
        <v>31167</v>
      </c>
      <c r="AK266" t="s">
        <v>111</v>
      </c>
      <c r="AL266" t="s">
        <v>111</v>
      </c>
      <c r="AM266" t="s">
        <v>112</v>
      </c>
      <c r="AN266" t="s">
        <v>105</v>
      </c>
      <c r="AO266" t="s">
        <v>122</v>
      </c>
      <c r="AP266" t="s">
        <v>122</v>
      </c>
    </row>
    <row r="267" spans="1:42" x14ac:dyDescent="0.25">
      <c r="A267" s="28" t="str">
        <f>"16019"</f>
        <v>16019</v>
      </c>
      <c r="B267">
        <v>16019</v>
      </c>
      <c r="C267" t="s">
        <v>2488</v>
      </c>
      <c r="D267" t="s">
        <v>121</v>
      </c>
      <c r="F267" t="s">
        <v>120</v>
      </c>
      <c r="G267" t="s">
        <v>492</v>
      </c>
      <c r="I267" t="s">
        <v>10795</v>
      </c>
      <c r="J267" t="s">
        <v>7</v>
      </c>
      <c r="K267" s="63">
        <v>25131</v>
      </c>
      <c r="L267" s="28">
        <f>DATEDIF(K267,Zwift25!G$1,"Y")</f>
        <v>55</v>
      </c>
      <c r="M267" s="67">
        <f>IF(J267="m",VLOOKUP(L267,'All Solo Adjustments'!A:D,4,FALSE),VLOOKUP(L267,'All Solo Adjustments'!A:J,10,FALSE))</f>
        <v>2.0601851851851853E-3</v>
      </c>
      <c r="N267" s="63"/>
      <c r="O267" s="63"/>
      <c r="P267" s="63"/>
      <c r="Q267" s="63"/>
      <c r="R267" t="s">
        <v>283</v>
      </c>
      <c r="S267" t="s">
        <v>530</v>
      </c>
      <c r="T267" t="s">
        <v>292</v>
      </c>
      <c r="U267" t="s">
        <v>10794</v>
      </c>
      <c r="X267" t="s">
        <v>10793</v>
      </c>
      <c r="Y267" t="s">
        <v>10792</v>
      </c>
      <c r="Z267" t="str">
        <f>"O7794144556"</f>
        <v>O7794144556</v>
      </c>
      <c r="AA267" t="str">
        <f>""</f>
        <v/>
      </c>
      <c r="AB267" t="s">
        <v>10791</v>
      </c>
      <c r="AC267" t="s">
        <v>10790</v>
      </c>
      <c r="AD267" t="s">
        <v>114</v>
      </c>
      <c r="AE267" s="63">
        <v>45328</v>
      </c>
      <c r="AF267" t="s">
        <v>156</v>
      </c>
      <c r="AG267" t="s">
        <v>112</v>
      </c>
      <c r="AH267" t="s">
        <v>112</v>
      </c>
      <c r="AI267" s="63">
        <v>45328</v>
      </c>
      <c r="AJ267" s="63">
        <v>45657</v>
      </c>
      <c r="AK267" t="s">
        <v>112</v>
      </c>
      <c r="AL267" t="s">
        <v>112</v>
      </c>
      <c r="AM267" t="s">
        <v>111</v>
      </c>
      <c r="AN267" t="s">
        <v>105</v>
      </c>
      <c r="AO267" t="s">
        <v>110</v>
      </c>
      <c r="AP267" t="s">
        <v>109</v>
      </c>
    </row>
    <row r="268" spans="1:42" x14ac:dyDescent="0.25">
      <c r="A268" s="28" t="str">
        <f>"0363"</f>
        <v>0363</v>
      </c>
      <c r="B268">
        <v>363</v>
      </c>
      <c r="C268" t="s">
        <v>2488</v>
      </c>
      <c r="D268" t="s">
        <v>121</v>
      </c>
      <c r="F268" t="s">
        <v>120</v>
      </c>
      <c r="G268" t="s">
        <v>1056</v>
      </c>
      <c r="I268" t="s">
        <v>969</v>
      </c>
      <c r="J268" t="s">
        <v>7</v>
      </c>
      <c r="K268" s="63">
        <v>14147</v>
      </c>
      <c r="L268" s="28">
        <f>DATEDIF(K268,Zwift25!G$1,"Y")</f>
        <v>86</v>
      </c>
      <c r="M268" s="67">
        <f>IF(J268="m",VLOOKUP(L268,'All Solo Adjustments'!A:D,4,FALSE),VLOOKUP(L268,'All Solo Adjustments'!A:J,10,FALSE))</f>
        <v>1.4988425925925926E-2</v>
      </c>
      <c r="N268" s="63"/>
      <c r="O268" s="63"/>
      <c r="P268" s="63"/>
      <c r="Q268" s="63"/>
      <c r="R268" t="s">
        <v>180</v>
      </c>
      <c r="S268" t="s">
        <v>2288</v>
      </c>
      <c r="T268" t="s">
        <v>292</v>
      </c>
      <c r="U268" t="s">
        <v>10789</v>
      </c>
      <c r="V268" t="s">
        <v>10788</v>
      </c>
      <c r="W268" t="s">
        <v>1837</v>
      </c>
      <c r="X268" t="s">
        <v>983</v>
      </c>
      <c r="Y268" t="s">
        <v>10787</v>
      </c>
      <c r="Z268" t="str">
        <f>"0115 9734593"</f>
        <v>0115 9734593</v>
      </c>
      <c r="AA268" t="str">
        <f>""</f>
        <v/>
      </c>
      <c r="AB268" t="s">
        <v>2955</v>
      </c>
      <c r="AC268" t="s">
        <v>10786</v>
      </c>
      <c r="AD268" t="s">
        <v>145</v>
      </c>
      <c r="AF268" t="s">
        <v>113</v>
      </c>
      <c r="AG268" t="s">
        <v>112</v>
      </c>
      <c r="AH268" t="s">
        <v>112</v>
      </c>
      <c r="AI268" s="63">
        <v>43508</v>
      </c>
      <c r="AK268" t="s">
        <v>111</v>
      </c>
      <c r="AL268" t="s">
        <v>111</v>
      </c>
      <c r="AM268" t="s">
        <v>111</v>
      </c>
      <c r="AN268" t="s">
        <v>105</v>
      </c>
      <c r="AO268" t="s">
        <v>110</v>
      </c>
      <c r="AP268" t="s">
        <v>109</v>
      </c>
    </row>
    <row r="269" spans="1:42" x14ac:dyDescent="0.25">
      <c r="A269" s="28" t="str">
        <f>"15802"</f>
        <v>15802</v>
      </c>
      <c r="B269">
        <v>15802</v>
      </c>
      <c r="C269" t="s">
        <v>2488</v>
      </c>
      <c r="D269" t="s">
        <v>121</v>
      </c>
      <c r="F269" t="s">
        <v>120</v>
      </c>
      <c r="G269" t="s">
        <v>359</v>
      </c>
      <c r="H269" t="s">
        <v>10785</v>
      </c>
      <c r="I269" t="s">
        <v>10784</v>
      </c>
      <c r="J269" t="s">
        <v>7</v>
      </c>
      <c r="K269" s="63">
        <v>30431</v>
      </c>
      <c r="L269" s="28">
        <f>DATEDIF(K269,Zwift25!G$1,"Y")</f>
        <v>41</v>
      </c>
      <c r="M269" s="67">
        <f>IF(J269="m",VLOOKUP(L269,'All Solo Adjustments'!A:D,4,FALSE),VLOOKUP(L269,'All Solo Adjustments'!A:J,10,FALSE))</f>
        <v>6.9444444444444444E-5</v>
      </c>
      <c r="N269" s="63"/>
      <c r="O269" s="63"/>
      <c r="P269" s="63"/>
      <c r="Q269" s="63"/>
      <c r="R269" t="s">
        <v>180</v>
      </c>
      <c r="S269" t="s">
        <v>179</v>
      </c>
      <c r="T269" t="s">
        <v>292</v>
      </c>
      <c r="U269" t="s">
        <v>10783</v>
      </c>
      <c r="V269" t="s">
        <v>10782</v>
      </c>
      <c r="W269" t="s">
        <v>10781</v>
      </c>
      <c r="X269" t="s">
        <v>651</v>
      </c>
      <c r="Y269" t="s">
        <v>10780</v>
      </c>
      <c r="Z269" t="str">
        <f>"07561003700"</f>
        <v>07561003700</v>
      </c>
      <c r="AA269" t="str">
        <f>""</f>
        <v/>
      </c>
      <c r="AB269" t="s">
        <v>176</v>
      </c>
      <c r="AC269" t="s">
        <v>10779</v>
      </c>
      <c r="AD269" t="s">
        <v>114</v>
      </c>
      <c r="AE269" s="63">
        <v>45293</v>
      </c>
      <c r="AF269" t="s">
        <v>113</v>
      </c>
      <c r="AG269" t="s">
        <v>112</v>
      </c>
      <c r="AH269" t="s">
        <v>112</v>
      </c>
      <c r="AI269" s="63">
        <v>45042</v>
      </c>
      <c r="AJ269" s="63">
        <v>45657</v>
      </c>
      <c r="AK269" t="s">
        <v>112</v>
      </c>
      <c r="AL269" t="s">
        <v>111</v>
      </c>
      <c r="AM269" t="s">
        <v>111</v>
      </c>
      <c r="AN269">
        <v>21608</v>
      </c>
      <c r="AO269" t="s">
        <v>110</v>
      </c>
      <c r="AP269" t="s">
        <v>109</v>
      </c>
    </row>
    <row r="270" spans="1:42" x14ac:dyDescent="0.25">
      <c r="A270" s="28" t="str">
        <f>"6012"</f>
        <v>6012</v>
      </c>
      <c r="B270">
        <v>6012</v>
      </c>
      <c r="C270" t="s">
        <v>2488</v>
      </c>
      <c r="D270" t="s">
        <v>121</v>
      </c>
      <c r="E270" t="s">
        <v>584</v>
      </c>
      <c r="F270" t="s">
        <v>120</v>
      </c>
      <c r="G270" t="s">
        <v>469</v>
      </c>
      <c r="H270" t="s">
        <v>284</v>
      </c>
      <c r="I270" t="s">
        <v>10778</v>
      </c>
      <c r="J270" t="s">
        <v>7</v>
      </c>
      <c r="K270" s="63">
        <v>20040</v>
      </c>
      <c r="L270" s="28">
        <f>DATEDIF(K270,Zwift25!G$1,"Y")</f>
        <v>69</v>
      </c>
      <c r="M270" s="67">
        <f>IF(J270="m",VLOOKUP(L270,'All Solo Adjustments'!A:D,4,FALSE),VLOOKUP(L270,'All Solo Adjustments'!A:J,10,FALSE))</f>
        <v>5.9722222222222225E-3</v>
      </c>
      <c r="N270" s="63"/>
      <c r="O270" s="63"/>
      <c r="P270" s="63"/>
      <c r="Q270" s="63"/>
      <c r="R270" t="s">
        <v>125</v>
      </c>
      <c r="S270" t="s">
        <v>170</v>
      </c>
      <c r="T270" t="s">
        <v>292</v>
      </c>
      <c r="U270" t="s">
        <v>10777</v>
      </c>
      <c r="V270" t="s">
        <v>10776</v>
      </c>
      <c r="W270" t="s">
        <v>202</v>
      </c>
      <c r="X270" t="s">
        <v>419</v>
      </c>
      <c r="Y270" t="s">
        <v>10775</v>
      </c>
      <c r="Z270" t="str">
        <f>"07774819021"</f>
        <v>07774819021</v>
      </c>
      <c r="AA270" t="str">
        <f>"07774819021"</f>
        <v>07774819021</v>
      </c>
      <c r="AB270" t="s">
        <v>335</v>
      </c>
      <c r="AC270" t="s">
        <v>10774</v>
      </c>
      <c r="AD270" t="s">
        <v>114</v>
      </c>
      <c r="AE270" s="63">
        <v>45262</v>
      </c>
      <c r="AF270" t="s">
        <v>156</v>
      </c>
      <c r="AG270" t="s">
        <v>112</v>
      </c>
      <c r="AH270" t="s">
        <v>112</v>
      </c>
      <c r="AI270" s="63">
        <v>42734</v>
      </c>
      <c r="AJ270" s="63">
        <v>45657</v>
      </c>
      <c r="AK270" t="s">
        <v>111</v>
      </c>
      <c r="AL270" t="s">
        <v>111</v>
      </c>
      <c r="AM270" t="s">
        <v>111</v>
      </c>
      <c r="AN270">
        <v>8416</v>
      </c>
      <c r="AO270" t="s">
        <v>110</v>
      </c>
      <c r="AP270" t="s">
        <v>109</v>
      </c>
    </row>
    <row r="271" spans="1:42" x14ac:dyDescent="0.25">
      <c r="A271" s="28" t="str">
        <f>"15909"</f>
        <v>15909</v>
      </c>
      <c r="B271">
        <v>15909</v>
      </c>
      <c r="C271" t="s">
        <v>2488</v>
      </c>
      <c r="D271" t="s">
        <v>121</v>
      </c>
      <c r="F271" t="s">
        <v>120</v>
      </c>
      <c r="G271" t="s">
        <v>291</v>
      </c>
      <c r="H271" t="s">
        <v>1743</v>
      </c>
      <c r="I271" t="s">
        <v>10773</v>
      </c>
      <c r="J271" t="s">
        <v>7</v>
      </c>
      <c r="K271" s="63">
        <v>23493</v>
      </c>
      <c r="L271" s="28">
        <f>DATEDIF(K271,Zwift25!G$1,"Y")</f>
        <v>60</v>
      </c>
      <c r="M271" s="67">
        <f>IF(J271="m",VLOOKUP(L271,'All Solo Adjustments'!A:D,4,FALSE),VLOOKUP(L271,'All Solo Adjustments'!A:J,10,FALSE))</f>
        <v>3.2060185185185186E-3</v>
      </c>
      <c r="N271" s="63"/>
      <c r="O271" s="63"/>
      <c r="P271" s="63"/>
      <c r="Q271" s="63"/>
      <c r="R271" t="s">
        <v>184</v>
      </c>
      <c r="S271" t="s">
        <v>183</v>
      </c>
      <c r="T271" t="s">
        <v>292</v>
      </c>
      <c r="U271" t="s">
        <v>10772</v>
      </c>
      <c r="V271" t="s">
        <v>10771</v>
      </c>
      <c r="W271" t="s">
        <v>10770</v>
      </c>
      <c r="X271" t="s">
        <v>10769</v>
      </c>
      <c r="Y271" t="s">
        <v>10768</v>
      </c>
      <c r="Z271" t="str">
        <f>"07846099138"</f>
        <v>07846099138</v>
      </c>
      <c r="AA271" t="str">
        <f>""</f>
        <v/>
      </c>
      <c r="AB271" t="s">
        <v>10767</v>
      </c>
      <c r="AC271" t="s">
        <v>10766</v>
      </c>
      <c r="AD271" t="s">
        <v>114</v>
      </c>
      <c r="AE271" s="63">
        <v>45292</v>
      </c>
      <c r="AF271" t="s">
        <v>156</v>
      </c>
      <c r="AG271" t="s">
        <v>112</v>
      </c>
      <c r="AH271" t="s">
        <v>112</v>
      </c>
      <c r="AI271" s="63">
        <v>45155</v>
      </c>
      <c r="AJ271" s="63">
        <v>45657</v>
      </c>
      <c r="AK271" t="s">
        <v>112</v>
      </c>
      <c r="AL271" t="s">
        <v>111</v>
      </c>
      <c r="AM271" t="s">
        <v>111</v>
      </c>
      <c r="AN271">
        <v>47139</v>
      </c>
      <c r="AO271" t="s">
        <v>110</v>
      </c>
      <c r="AP271" t="s">
        <v>109</v>
      </c>
    </row>
    <row r="272" spans="1:42" x14ac:dyDescent="0.25">
      <c r="A272" s="28" t="str">
        <f>"0228"</f>
        <v>0228</v>
      </c>
      <c r="B272">
        <v>228</v>
      </c>
      <c r="C272" t="s">
        <v>2488</v>
      </c>
      <c r="D272" t="s">
        <v>121</v>
      </c>
      <c r="F272" t="s">
        <v>403</v>
      </c>
      <c r="G272" t="s">
        <v>410</v>
      </c>
      <c r="I272" t="s">
        <v>10765</v>
      </c>
      <c r="J272" t="s">
        <v>7</v>
      </c>
      <c r="K272" s="63">
        <v>14704</v>
      </c>
      <c r="L272" s="28">
        <f>DATEDIF(K272,Zwift25!G$1,"Y")</f>
        <v>84</v>
      </c>
      <c r="M272" s="67">
        <f>IF(J272="m",VLOOKUP(L272,'All Solo Adjustments'!A:D,4,FALSE),VLOOKUP(L272,'All Solo Adjustments'!A:J,10,FALSE))</f>
        <v>1.3530092592592592E-2</v>
      </c>
      <c r="N272" s="63"/>
      <c r="O272" s="63"/>
      <c r="P272" s="63"/>
      <c r="Q272" s="63"/>
      <c r="R272" t="s">
        <v>296</v>
      </c>
      <c r="S272" t="s">
        <v>2310</v>
      </c>
      <c r="T272" t="s">
        <v>292</v>
      </c>
      <c r="U272" t="s">
        <v>10764</v>
      </c>
      <c r="V272" t="s">
        <v>10763</v>
      </c>
      <c r="W272" t="s">
        <v>10762</v>
      </c>
      <c r="X272" t="s">
        <v>1242</v>
      </c>
      <c r="Y272" t="s">
        <v>10761</v>
      </c>
      <c r="Z272" t="str">
        <f>"01330 822669"</f>
        <v>01330 822669</v>
      </c>
      <c r="AA272" t="str">
        <f>"07557385652"</f>
        <v>07557385652</v>
      </c>
      <c r="AB272" t="s">
        <v>1241</v>
      </c>
      <c r="AC272" t="s">
        <v>10760</v>
      </c>
      <c r="AD272" t="s">
        <v>145</v>
      </c>
      <c r="AF272" t="s">
        <v>156</v>
      </c>
      <c r="AG272" t="s">
        <v>112</v>
      </c>
      <c r="AH272" t="s">
        <v>112</v>
      </c>
      <c r="AI272" s="63">
        <v>43180</v>
      </c>
      <c r="AK272" t="s">
        <v>111</v>
      </c>
      <c r="AL272" t="s">
        <v>111</v>
      </c>
      <c r="AM272" t="s">
        <v>111</v>
      </c>
      <c r="AN272" t="s">
        <v>105</v>
      </c>
      <c r="AO272" t="s">
        <v>110</v>
      </c>
      <c r="AP272" t="s">
        <v>109</v>
      </c>
    </row>
    <row r="273" spans="1:42" x14ac:dyDescent="0.25">
      <c r="A273" s="28" t="str">
        <f>"0366"</f>
        <v>0366</v>
      </c>
      <c r="B273">
        <v>366</v>
      </c>
      <c r="C273" t="s">
        <v>2488</v>
      </c>
      <c r="D273" t="s">
        <v>121</v>
      </c>
      <c r="F273" t="s">
        <v>120</v>
      </c>
      <c r="G273" t="s">
        <v>284</v>
      </c>
      <c r="I273" t="s">
        <v>10759</v>
      </c>
      <c r="J273" t="s">
        <v>7</v>
      </c>
      <c r="K273" s="63">
        <v>12395</v>
      </c>
      <c r="L273" s="28">
        <f>DATEDIF(K273,Zwift25!G$1,"Y")</f>
        <v>90</v>
      </c>
      <c r="M273" s="67">
        <f>IF(J273="m",VLOOKUP(L273,'All Solo Adjustments'!A:D,4,FALSE),VLOOKUP(L273,'All Solo Adjustments'!A:J,10,FALSE))</f>
        <v>1.8391203703703705E-2</v>
      </c>
      <c r="N273" s="63"/>
      <c r="O273" s="63"/>
      <c r="P273" s="63"/>
      <c r="Q273" s="63"/>
      <c r="R273" t="s">
        <v>213</v>
      </c>
      <c r="S273" t="s">
        <v>2309</v>
      </c>
      <c r="T273" t="s">
        <v>292</v>
      </c>
      <c r="U273" t="s">
        <v>10758</v>
      </c>
      <c r="V273" t="s">
        <v>7021</v>
      </c>
      <c r="W273" t="s">
        <v>196</v>
      </c>
      <c r="Y273" t="s">
        <v>10757</v>
      </c>
      <c r="Z273" t="str">
        <f>"0151 3395918"</f>
        <v>0151 3395918</v>
      </c>
      <c r="AA273" t="str">
        <f>""</f>
        <v/>
      </c>
      <c r="AB273" t="s">
        <v>8940</v>
      </c>
      <c r="AD273" t="s">
        <v>151</v>
      </c>
      <c r="AF273" t="s">
        <v>113</v>
      </c>
      <c r="AG273" t="s">
        <v>112</v>
      </c>
      <c r="AH273" t="s">
        <v>112</v>
      </c>
      <c r="AI273" s="63">
        <v>29802</v>
      </c>
      <c r="AK273" t="s">
        <v>111</v>
      </c>
      <c r="AL273" t="s">
        <v>111</v>
      </c>
      <c r="AM273" t="s">
        <v>111</v>
      </c>
      <c r="AN273" t="s">
        <v>105</v>
      </c>
      <c r="AO273" t="s">
        <v>110</v>
      </c>
      <c r="AP273" t="s">
        <v>109</v>
      </c>
    </row>
    <row r="274" spans="1:42" x14ac:dyDescent="0.25">
      <c r="A274" s="28" t="str">
        <f>"14392"</f>
        <v>14392</v>
      </c>
      <c r="B274">
        <v>14392</v>
      </c>
      <c r="C274" t="s">
        <v>2488</v>
      </c>
      <c r="D274" t="s">
        <v>121</v>
      </c>
      <c r="E274" t="s">
        <v>584</v>
      </c>
      <c r="F274" t="s">
        <v>120</v>
      </c>
      <c r="G274" t="s">
        <v>165</v>
      </c>
      <c r="H274" t="s">
        <v>601</v>
      </c>
      <c r="I274" t="s">
        <v>10756</v>
      </c>
      <c r="J274" t="s">
        <v>7</v>
      </c>
      <c r="K274" s="63">
        <v>27850</v>
      </c>
      <c r="L274" s="28">
        <f>DATEDIF(K274,Zwift25!G$1,"Y")</f>
        <v>48</v>
      </c>
      <c r="M274" s="67">
        <f>IF(J274="m",VLOOKUP(L274,'All Solo Adjustments'!A:D,4,FALSE),VLOOKUP(L274,'All Solo Adjustments'!A:J,10,FALSE))</f>
        <v>8.3333333333333339E-4</v>
      </c>
      <c r="N274" s="63"/>
      <c r="O274" s="63"/>
      <c r="P274" s="63"/>
      <c r="Q274" s="63"/>
      <c r="R274" t="s">
        <v>159</v>
      </c>
      <c r="S274" t="s">
        <v>162</v>
      </c>
      <c r="T274" t="s">
        <v>292</v>
      </c>
      <c r="U274" t="s">
        <v>10755</v>
      </c>
      <c r="X274" t="s">
        <v>10754</v>
      </c>
      <c r="Y274" t="s">
        <v>10753</v>
      </c>
      <c r="Z274" t="str">
        <f>"07470842929"</f>
        <v>07470842929</v>
      </c>
      <c r="AA274" t="str">
        <f>""</f>
        <v/>
      </c>
      <c r="AB274" t="s">
        <v>841</v>
      </c>
      <c r="AC274" t="s">
        <v>10752</v>
      </c>
      <c r="AD274" t="s">
        <v>114</v>
      </c>
      <c r="AE274" s="63">
        <v>45296</v>
      </c>
      <c r="AF274" t="s">
        <v>156</v>
      </c>
      <c r="AG274" t="s">
        <v>112</v>
      </c>
      <c r="AH274" t="s">
        <v>112</v>
      </c>
      <c r="AI274" s="63">
        <v>43777</v>
      </c>
      <c r="AJ274" s="63">
        <v>45657</v>
      </c>
      <c r="AK274" t="s">
        <v>112</v>
      </c>
      <c r="AL274" t="s">
        <v>111</v>
      </c>
      <c r="AM274" t="s">
        <v>111</v>
      </c>
      <c r="AN274">
        <v>12621</v>
      </c>
      <c r="AO274" t="s">
        <v>110</v>
      </c>
      <c r="AP274" t="s">
        <v>109</v>
      </c>
    </row>
    <row r="275" spans="1:42" x14ac:dyDescent="0.25">
      <c r="A275" s="28" t="str">
        <f>"15826"</f>
        <v>15826</v>
      </c>
      <c r="B275">
        <v>15826</v>
      </c>
      <c r="C275" t="s">
        <v>2488</v>
      </c>
      <c r="D275" t="s">
        <v>121</v>
      </c>
      <c r="F275" t="s">
        <v>120</v>
      </c>
      <c r="G275" t="s">
        <v>284</v>
      </c>
      <c r="H275" t="s">
        <v>195</v>
      </c>
      <c r="I275" t="s">
        <v>2163</v>
      </c>
      <c r="J275" t="s">
        <v>7</v>
      </c>
      <c r="K275" s="63">
        <v>20442</v>
      </c>
      <c r="L275" s="28">
        <f>DATEDIF(K275,Zwift25!G$1,"Y")</f>
        <v>68</v>
      </c>
      <c r="M275" s="67">
        <f>IF(J275="m",VLOOKUP(L275,'All Solo Adjustments'!A:D,4,FALSE),VLOOKUP(L275,'All Solo Adjustments'!A:J,10,FALSE))</f>
        <v>5.6134259259259262E-3</v>
      </c>
      <c r="N275" s="63"/>
      <c r="O275" s="63"/>
      <c r="P275" s="63"/>
      <c r="Q275" s="63"/>
      <c r="R275" t="s">
        <v>125</v>
      </c>
      <c r="S275" t="s">
        <v>170</v>
      </c>
      <c r="T275" t="s">
        <v>292</v>
      </c>
      <c r="U275" t="s">
        <v>10751</v>
      </c>
      <c r="V275" t="s">
        <v>10750</v>
      </c>
      <c r="W275" t="s">
        <v>1449</v>
      </c>
      <c r="X275" t="s">
        <v>123</v>
      </c>
      <c r="Y275" t="s">
        <v>10749</v>
      </c>
      <c r="Z275" t="str">
        <f>"+447879481428"</f>
        <v>+447879481428</v>
      </c>
      <c r="AA275" t="str">
        <f>""</f>
        <v/>
      </c>
      <c r="AB275" t="s">
        <v>10748</v>
      </c>
      <c r="AC275" t="s">
        <v>10747</v>
      </c>
      <c r="AD275" t="s">
        <v>114</v>
      </c>
      <c r="AE275" s="63">
        <v>45299</v>
      </c>
      <c r="AF275" t="s">
        <v>156</v>
      </c>
      <c r="AG275" t="s">
        <v>112</v>
      </c>
      <c r="AH275" t="s">
        <v>112</v>
      </c>
      <c r="AI275" s="63">
        <v>45065</v>
      </c>
      <c r="AJ275" s="63">
        <v>45657</v>
      </c>
      <c r="AK275" t="s">
        <v>112</v>
      </c>
      <c r="AL275" t="s">
        <v>111</v>
      </c>
      <c r="AM275" t="s">
        <v>111</v>
      </c>
      <c r="AN275">
        <v>33532</v>
      </c>
      <c r="AO275" t="s">
        <v>110</v>
      </c>
      <c r="AP275" t="s">
        <v>109</v>
      </c>
    </row>
    <row r="276" spans="1:42" x14ac:dyDescent="0.25">
      <c r="A276" s="28" t="str">
        <f>"15839"</f>
        <v>15839</v>
      </c>
      <c r="B276">
        <v>15839</v>
      </c>
      <c r="C276" t="s">
        <v>2488</v>
      </c>
      <c r="D276" t="s">
        <v>121</v>
      </c>
      <c r="E276" t="s">
        <v>584</v>
      </c>
      <c r="F276" t="s">
        <v>144</v>
      </c>
      <c r="G276" t="s">
        <v>10746</v>
      </c>
      <c r="H276" t="s">
        <v>595</v>
      </c>
      <c r="I276" t="s">
        <v>2153</v>
      </c>
      <c r="J276" t="s">
        <v>126</v>
      </c>
      <c r="K276" s="63">
        <v>29775</v>
      </c>
      <c r="L276" s="28">
        <f>DATEDIF(K276,Zwift25!G$1,"Y")</f>
        <v>43</v>
      </c>
      <c r="M276" s="67">
        <f>IF(J276="m",VLOOKUP(L276,'All Solo Adjustments'!A:D,4,FALSE),VLOOKUP(L276,'All Solo Adjustments'!A:J,10,FALSE))</f>
        <v>4.5254629629629629E-3</v>
      </c>
      <c r="N276" s="63"/>
      <c r="O276" s="63"/>
      <c r="P276" s="63"/>
      <c r="Q276" s="63"/>
      <c r="R276" t="s">
        <v>296</v>
      </c>
      <c r="S276" t="s">
        <v>295</v>
      </c>
      <c r="T276" t="s">
        <v>292</v>
      </c>
      <c r="U276" t="s">
        <v>10745</v>
      </c>
      <c r="V276" t="s">
        <v>10744</v>
      </c>
      <c r="X276" t="s">
        <v>2447</v>
      </c>
      <c r="Y276" t="s">
        <v>10743</v>
      </c>
      <c r="Z276" t="str">
        <f>"07720894518"</f>
        <v>07720894518</v>
      </c>
      <c r="AA276" t="str">
        <f>""</f>
        <v/>
      </c>
      <c r="AB276" t="s">
        <v>6857</v>
      </c>
      <c r="AC276" t="s">
        <v>10742</v>
      </c>
      <c r="AD276" t="s">
        <v>114</v>
      </c>
      <c r="AE276" s="63">
        <v>45355</v>
      </c>
      <c r="AF276" t="s">
        <v>156</v>
      </c>
      <c r="AG276" t="s">
        <v>112</v>
      </c>
      <c r="AH276" t="s">
        <v>112</v>
      </c>
      <c r="AI276" s="63">
        <v>45074</v>
      </c>
      <c r="AJ276" s="63">
        <v>45657</v>
      </c>
      <c r="AK276" t="s">
        <v>112</v>
      </c>
      <c r="AL276" t="s">
        <v>111</v>
      </c>
      <c r="AM276" t="s">
        <v>111</v>
      </c>
      <c r="AN276">
        <v>40623</v>
      </c>
      <c r="AO276" t="s">
        <v>122</v>
      </c>
      <c r="AP276" t="s">
        <v>122</v>
      </c>
    </row>
    <row r="277" spans="1:42" x14ac:dyDescent="0.25">
      <c r="A277" s="28" t="str">
        <f>"3860"</f>
        <v>3860</v>
      </c>
      <c r="B277">
        <v>3860</v>
      </c>
      <c r="C277" t="s">
        <v>2488</v>
      </c>
      <c r="D277" t="s">
        <v>121</v>
      </c>
      <c r="F277" t="s">
        <v>120</v>
      </c>
      <c r="G277" t="s">
        <v>649</v>
      </c>
      <c r="H277" t="s">
        <v>481</v>
      </c>
      <c r="I277" t="s">
        <v>2160</v>
      </c>
      <c r="J277" t="s">
        <v>7</v>
      </c>
      <c r="K277" s="63">
        <v>17558</v>
      </c>
      <c r="L277" s="28">
        <f>DATEDIF(K277,Zwift25!G$1,"Y")</f>
        <v>76</v>
      </c>
      <c r="M277" s="67">
        <f>IF(J277="m",VLOOKUP(L277,'All Solo Adjustments'!A:D,4,FALSE),VLOOKUP(L277,'All Solo Adjustments'!A:J,10,FALSE))</f>
        <v>8.912037037037036E-3</v>
      </c>
      <c r="N277" s="63"/>
      <c r="O277" s="63"/>
      <c r="P277" s="63"/>
      <c r="Q277" s="63"/>
      <c r="R277" t="s">
        <v>283</v>
      </c>
      <c r="S277" t="s">
        <v>530</v>
      </c>
      <c r="T277" t="s">
        <v>292</v>
      </c>
      <c r="U277" t="s">
        <v>2159</v>
      </c>
      <c r="V277" t="s">
        <v>2158</v>
      </c>
      <c r="W277" t="s">
        <v>1346</v>
      </c>
      <c r="Y277" t="s">
        <v>2157</v>
      </c>
      <c r="Z277" t="str">
        <f>"02476 544978"</f>
        <v>02476 544978</v>
      </c>
      <c r="AA277" t="str">
        <f>""</f>
        <v/>
      </c>
      <c r="AB277" t="s">
        <v>1321</v>
      </c>
      <c r="AC277" t="s">
        <v>2156</v>
      </c>
      <c r="AD277" t="s">
        <v>114</v>
      </c>
      <c r="AE277" s="63">
        <v>45302</v>
      </c>
      <c r="AF277" t="s">
        <v>156</v>
      </c>
      <c r="AG277" t="s">
        <v>112</v>
      </c>
      <c r="AH277" t="s">
        <v>112</v>
      </c>
      <c r="AI277" s="63">
        <v>43157</v>
      </c>
      <c r="AJ277" s="63">
        <v>45657</v>
      </c>
      <c r="AK277" t="s">
        <v>112</v>
      </c>
      <c r="AL277" t="s">
        <v>111</v>
      </c>
      <c r="AM277" t="s">
        <v>111</v>
      </c>
      <c r="AN277" t="s">
        <v>105</v>
      </c>
      <c r="AO277" t="s">
        <v>110</v>
      </c>
      <c r="AP277" t="s">
        <v>109</v>
      </c>
    </row>
    <row r="278" spans="1:42" x14ac:dyDescent="0.25">
      <c r="A278" s="28" t="str">
        <f>"16220"</f>
        <v>16220</v>
      </c>
      <c r="B278">
        <v>16220</v>
      </c>
      <c r="C278" t="s">
        <v>2488</v>
      </c>
      <c r="D278" t="s">
        <v>121</v>
      </c>
      <c r="F278" t="s">
        <v>120</v>
      </c>
      <c r="G278" t="s">
        <v>1172</v>
      </c>
      <c r="I278" t="s">
        <v>10741</v>
      </c>
      <c r="J278" t="s">
        <v>7</v>
      </c>
      <c r="K278" s="63">
        <v>27065</v>
      </c>
      <c r="L278" s="28">
        <f>DATEDIF(K278,Zwift25!G$1,"Y")</f>
        <v>50</v>
      </c>
      <c r="M278" s="67">
        <f>IF(J278="m",VLOOKUP(L278,'All Solo Adjustments'!A:D,4,FALSE),VLOOKUP(L278,'All Solo Adjustments'!A:J,10,FALSE))</f>
        <v>1.1342592592592591E-3</v>
      </c>
      <c r="N278" s="63"/>
      <c r="O278" s="63"/>
      <c r="P278" s="63"/>
      <c r="Q278" s="63"/>
      <c r="R278" t="s">
        <v>125</v>
      </c>
      <c r="S278" t="s">
        <v>170</v>
      </c>
      <c r="T278" t="s">
        <v>292</v>
      </c>
      <c r="U278" t="s">
        <v>10740</v>
      </c>
      <c r="V278" t="s">
        <v>10739</v>
      </c>
      <c r="W278" t="s">
        <v>10737</v>
      </c>
      <c r="X278" t="s">
        <v>193</v>
      </c>
      <c r="Y278" t="s">
        <v>10738</v>
      </c>
      <c r="Z278" t="str">
        <f>"07421363805"</f>
        <v>07421363805</v>
      </c>
      <c r="AA278" t="str">
        <f>""</f>
        <v/>
      </c>
      <c r="AB278" t="s">
        <v>10737</v>
      </c>
      <c r="AC278" t="s">
        <v>10736</v>
      </c>
      <c r="AD278" t="s">
        <v>114</v>
      </c>
      <c r="AE278" s="63">
        <v>45572</v>
      </c>
      <c r="AF278" t="s">
        <v>156</v>
      </c>
      <c r="AG278" t="s">
        <v>112</v>
      </c>
      <c r="AH278" t="s">
        <v>112</v>
      </c>
      <c r="AI278" s="63">
        <v>45572</v>
      </c>
      <c r="AJ278" s="63">
        <v>46022</v>
      </c>
      <c r="AK278" t="s">
        <v>112</v>
      </c>
      <c r="AL278" t="s">
        <v>111</v>
      </c>
      <c r="AM278" t="s">
        <v>111</v>
      </c>
      <c r="AN278">
        <v>14239</v>
      </c>
      <c r="AO278" t="s">
        <v>110</v>
      </c>
      <c r="AP278" t="s">
        <v>109</v>
      </c>
    </row>
    <row r="279" spans="1:42" x14ac:dyDescent="0.25">
      <c r="A279" s="28" t="str">
        <f>"0374"</f>
        <v>0374</v>
      </c>
      <c r="B279">
        <v>374</v>
      </c>
      <c r="C279" t="s">
        <v>2488</v>
      </c>
      <c r="D279" t="s">
        <v>121</v>
      </c>
      <c r="F279" t="s">
        <v>120</v>
      </c>
      <c r="G279" t="s">
        <v>284</v>
      </c>
      <c r="I279" t="s">
        <v>2147</v>
      </c>
      <c r="J279" t="s">
        <v>7</v>
      </c>
      <c r="K279" s="63">
        <v>21667</v>
      </c>
      <c r="L279" s="28">
        <f>DATEDIF(K279,Zwift25!G$1,"Y")</f>
        <v>65</v>
      </c>
      <c r="M279" s="67">
        <f>IF(J279="m",VLOOKUP(L279,'All Solo Adjustments'!A:D,4,FALSE),VLOOKUP(L279,'All Solo Adjustments'!A:J,10,FALSE))</f>
        <v>4.6180555555555558E-3</v>
      </c>
      <c r="N279" s="63"/>
      <c r="O279" s="63"/>
      <c r="P279" s="63"/>
      <c r="Q279" s="63"/>
      <c r="R279" t="s">
        <v>296</v>
      </c>
      <c r="S279" t="s">
        <v>295</v>
      </c>
      <c r="T279" t="s">
        <v>292</v>
      </c>
      <c r="U279" t="s">
        <v>10735</v>
      </c>
      <c r="V279" t="s">
        <v>2057</v>
      </c>
      <c r="W279" t="s">
        <v>804</v>
      </c>
      <c r="Y279" t="s">
        <v>10734</v>
      </c>
      <c r="Z279" t="str">
        <f>"01698 331510"</f>
        <v>01698 331510</v>
      </c>
      <c r="AA279" t="str">
        <f>""</f>
        <v/>
      </c>
      <c r="AB279" t="s">
        <v>10733</v>
      </c>
      <c r="AC279" t="s">
        <v>10732</v>
      </c>
      <c r="AD279" t="s">
        <v>145</v>
      </c>
      <c r="AE279" s="63">
        <v>45260</v>
      </c>
      <c r="AF279" t="s">
        <v>156</v>
      </c>
      <c r="AG279" t="s">
        <v>112</v>
      </c>
      <c r="AH279" t="s">
        <v>112</v>
      </c>
      <c r="AI279" s="63">
        <v>36288</v>
      </c>
      <c r="AJ279" s="63">
        <v>45657</v>
      </c>
      <c r="AK279" t="s">
        <v>111</v>
      </c>
      <c r="AL279" t="s">
        <v>111</v>
      </c>
      <c r="AM279" t="s">
        <v>111</v>
      </c>
      <c r="AN279" t="s">
        <v>105</v>
      </c>
      <c r="AO279" t="s">
        <v>110</v>
      </c>
      <c r="AP279" t="s">
        <v>109</v>
      </c>
    </row>
    <row r="280" spans="1:42" x14ac:dyDescent="0.25">
      <c r="A280" s="28" t="str">
        <f>"12621"</f>
        <v>12621</v>
      </c>
      <c r="B280">
        <v>12621</v>
      </c>
      <c r="C280" t="s">
        <v>2488</v>
      </c>
      <c r="D280" t="s">
        <v>121</v>
      </c>
      <c r="E280" t="s">
        <v>584</v>
      </c>
      <c r="F280" t="s">
        <v>403</v>
      </c>
      <c r="G280" t="s">
        <v>1618</v>
      </c>
      <c r="I280" t="s">
        <v>2147</v>
      </c>
      <c r="J280" t="s">
        <v>126</v>
      </c>
      <c r="K280" s="63">
        <v>23286</v>
      </c>
      <c r="L280" s="28">
        <f>DATEDIF(K280,Zwift25!G$1,"Y")</f>
        <v>61</v>
      </c>
      <c r="M280" s="67">
        <f>IF(J280="m",VLOOKUP(L280,'All Solo Adjustments'!A:D,4,FALSE),VLOOKUP(L280,'All Solo Adjustments'!A:J,10,FALSE))</f>
        <v>7.2337962962962963E-3</v>
      </c>
      <c r="N280" s="63"/>
      <c r="O280" s="63"/>
      <c r="P280" s="63"/>
      <c r="Q280" s="63"/>
      <c r="R280" t="s">
        <v>180</v>
      </c>
      <c r="S280" t="s">
        <v>179</v>
      </c>
      <c r="T280" t="s">
        <v>292</v>
      </c>
      <c r="U280" t="s">
        <v>10731</v>
      </c>
      <c r="V280" t="s">
        <v>10730</v>
      </c>
      <c r="Y280" t="s">
        <v>10729</v>
      </c>
      <c r="Z280" t="str">
        <f>"07813004794"</f>
        <v>07813004794</v>
      </c>
      <c r="AA280" t="str">
        <f>""</f>
        <v/>
      </c>
      <c r="AB280" t="s">
        <v>626</v>
      </c>
      <c r="AC280" t="s">
        <v>2155</v>
      </c>
      <c r="AD280" t="s">
        <v>114</v>
      </c>
      <c r="AE280" s="63">
        <v>45262</v>
      </c>
      <c r="AF280" t="s">
        <v>156</v>
      </c>
      <c r="AG280" t="s">
        <v>112</v>
      </c>
      <c r="AH280" t="s">
        <v>112</v>
      </c>
      <c r="AI280" s="63">
        <v>43219</v>
      </c>
      <c r="AJ280" s="63">
        <v>45657</v>
      </c>
      <c r="AK280" t="s">
        <v>112</v>
      </c>
      <c r="AL280" t="s">
        <v>111</v>
      </c>
      <c r="AM280" t="s">
        <v>111</v>
      </c>
      <c r="AN280">
        <v>18437</v>
      </c>
      <c r="AO280" t="s">
        <v>122</v>
      </c>
      <c r="AP280" t="s">
        <v>122</v>
      </c>
    </row>
    <row r="281" spans="1:42" x14ac:dyDescent="0.25">
      <c r="A281" s="28" t="str">
        <f>"15726"</f>
        <v>15726</v>
      </c>
      <c r="B281">
        <v>15726</v>
      </c>
      <c r="C281" t="s">
        <v>2488</v>
      </c>
      <c r="D281" t="s">
        <v>121</v>
      </c>
      <c r="F281" t="s">
        <v>120</v>
      </c>
      <c r="G281" t="s">
        <v>721</v>
      </c>
      <c r="I281" t="s">
        <v>2152</v>
      </c>
      <c r="J281" t="s">
        <v>7</v>
      </c>
      <c r="K281" s="63">
        <v>19048</v>
      </c>
      <c r="L281" s="28">
        <f>DATEDIF(K281,Zwift25!G$1,"Y")</f>
        <v>72</v>
      </c>
      <c r="M281" s="67">
        <f>IF(J281="m",VLOOKUP(L281,'All Solo Adjustments'!A:D,4,FALSE),VLOOKUP(L281,'All Solo Adjustments'!A:J,10,FALSE))</f>
        <v>7.129629629629629E-3</v>
      </c>
      <c r="N281" s="63"/>
      <c r="O281" s="63"/>
      <c r="P281" s="63"/>
      <c r="Q281" s="63"/>
      <c r="R281" t="s">
        <v>198</v>
      </c>
      <c r="S281" t="s">
        <v>461</v>
      </c>
      <c r="T281" t="s">
        <v>292</v>
      </c>
      <c r="U281" t="s">
        <v>10728</v>
      </c>
      <c r="V281" t="s">
        <v>2151</v>
      </c>
      <c r="W281" t="s">
        <v>2150</v>
      </c>
      <c r="X281" t="s">
        <v>1859</v>
      </c>
      <c r="Y281" t="s">
        <v>2149</v>
      </c>
      <c r="Z281" t="str">
        <f>"07979777455"</f>
        <v>07979777455</v>
      </c>
      <c r="AA281" t="str">
        <f>""</f>
        <v/>
      </c>
      <c r="AB281" t="s">
        <v>408</v>
      </c>
      <c r="AC281" t="s">
        <v>2148</v>
      </c>
      <c r="AD281" t="s">
        <v>114</v>
      </c>
      <c r="AE281" s="63">
        <v>45412</v>
      </c>
      <c r="AF281" t="s">
        <v>156</v>
      </c>
      <c r="AG281" t="s">
        <v>112</v>
      </c>
      <c r="AH281" t="s">
        <v>112</v>
      </c>
      <c r="AI281" s="63">
        <v>44994</v>
      </c>
      <c r="AJ281" s="63">
        <v>45657</v>
      </c>
      <c r="AK281" t="s">
        <v>112</v>
      </c>
      <c r="AL281" t="s">
        <v>111</v>
      </c>
      <c r="AM281" t="s">
        <v>111</v>
      </c>
      <c r="AN281">
        <v>16836</v>
      </c>
      <c r="AO281" t="s">
        <v>110</v>
      </c>
      <c r="AP281" t="s">
        <v>109</v>
      </c>
    </row>
    <row r="282" spans="1:42" x14ac:dyDescent="0.25">
      <c r="A282" s="28" t="str">
        <f>"15491"</f>
        <v>15491</v>
      </c>
      <c r="B282">
        <v>15491</v>
      </c>
      <c r="C282" t="s">
        <v>2488</v>
      </c>
      <c r="D282" t="s">
        <v>121</v>
      </c>
      <c r="F282" t="s">
        <v>120</v>
      </c>
      <c r="G282" t="s">
        <v>185</v>
      </c>
      <c r="I282" t="s">
        <v>911</v>
      </c>
      <c r="J282" t="s">
        <v>7</v>
      </c>
      <c r="K282" s="63">
        <v>18027</v>
      </c>
      <c r="L282" s="28">
        <f>DATEDIF(K282,Zwift25!G$1,"Y")</f>
        <v>75</v>
      </c>
      <c r="M282" s="67">
        <f>IF(J282="m",VLOOKUP(L282,'All Solo Adjustments'!A:D,4,FALSE),VLOOKUP(L282,'All Solo Adjustments'!A:J,10,FALSE))</f>
        <v>8.4374999999999988E-3</v>
      </c>
      <c r="N282" s="63"/>
      <c r="O282" s="63"/>
      <c r="P282" s="63"/>
      <c r="Q282" s="63"/>
      <c r="R282" t="s">
        <v>143</v>
      </c>
      <c r="S282" t="s">
        <v>142</v>
      </c>
      <c r="T282" t="s">
        <v>292</v>
      </c>
      <c r="U282" t="s">
        <v>910</v>
      </c>
      <c r="V282" t="s">
        <v>909</v>
      </c>
      <c r="Y282" t="s">
        <v>908</v>
      </c>
      <c r="Z282" t="str">
        <f>"07718584765"</f>
        <v>07718584765</v>
      </c>
      <c r="AA282" t="str">
        <f>""</f>
        <v/>
      </c>
      <c r="AB282" t="s">
        <v>316</v>
      </c>
      <c r="AC282" t="s">
        <v>10727</v>
      </c>
      <c r="AD282" t="s">
        <v>114</v>
      </c>
      <c r="AE282" s="63">
        <v>45301</v>
      </c>
      <c r="AF282" t="s">
        <v>156</v>
      </c>
      <c r="AG282" t="s">
        <v>112</v>
      </c>
      <c r="AH282" t="s">
        <v>112</v>
      </c>
      <c r="AI282" s="63">
        <v>44693</v>
      </c>
      <c r="AJ282" s="63">
        <v>45657</v>
      </c>
      <c r="AK282" t="s">
        <v>112</v>
      </c>
      <c r="AL282" t="s">
        <v>111</v>
      </c>
      <c r="AM282" t="s">
        <v>111</v>
      </c>
      <c r="AN282">
        <v>5749</v>
      </c>
      <c r="AO282" t="s">
        <v>110</v>
      </c>
      <c r="AP282" t="s">
        <v>109</v>
      </c>
    </row>
    <row r="283" spans="1:42" x14ac:dyDescent="0.25">
      <c r="A283" s="28" t="str">
        <f>"15847"</f>
        <v>15847</v>
      </c>
      <c r="B283">
        <v>15847</v>
      </c>
      <c r="C283" t="s">
        <v>2488</v>
      </c>
      <c r="D283" t="s">
        <v>121</v>
      </c>
      <c r="F283" t="s">
        <v>149</v>
      </c>
      <c r="G283" t="s">
        <v>5658</v>
      </c>
      <c r="I283" t="s">
        <v>10726</v>
      </c>
      <c r="J283" t="s">
        <v>126</v>
      </c>
      <c r="K283" s="63">
        <v>24002</v>
      </c>
      <c r="L283" s="28">
        <f>DATEDIF(K283,Zwift25!G$1,"Y")</f>
        <v>59</v>
      </c>
      <c r="M283" s="67">
        <f>IF(J283="m",VLOOKUP(L283,'All Solo Adjustments'!A:D,4,FALSE),VLOOKUP(L283,'All Solo Adjustments'!A:J,10,FALSE))</f>
        <v>6.5972222222222222E-3</v>
      </c>
      <c r="N283" s="63"/>
      <c r="O283" s="63"/>
      <c r="P283" s="63"/>
      <c r="Q283" s="63"/>
      <c r="R283" t="s">
        <v>283</v>
      </c>
      <c r="S283" t="s">
        <v>530</v>
      </c>
      <c r="T283" t="s">
        <v>292</v>
      </c>
      <c r="U283" t="s">
        <v>10725</v>
      </c>
      <c r="V283" t="s">
        <v>10724</v>
      </c>
      <c r="W283" t="s">
        <v>10723</v>
      </c>
      <c r="Y283" t="s">
        <v>10722</v>
      </c>
      <c r="Z283" t="str">
        <f>"07583462877"</f>
        <v>07583462877</v>
      </c>
      <c r="AA283" t="str">
        <f>""</f>
        <v/>
      </c>
      <c r="AB283" t="s">
        <v>1550</v>
      </c>
      <c r="AC283" t="s">
        <v>10721</v>
      </c>
      <c r="AD283" t="s">
        <v>114</v>
      </c>
      <c r="AE283" s="63">
        <v>45441</v>
      </c>
      <c r="AF283" t="s">
        <v>156</v>
      </c>
      <c r="AG283" t="s">
        <v>112</v>
      </c>
      <c r="AH283" t="s">
        <v>112</v>
      </c>
      <c r="AI283" s="63">
        <v>45089</v>
      </c>
      <c r="AJ283" s="63">
        <v>45657</v>
      </c>
      <c r="AK283" t="s">
        <v>112</v>
      </c>
      <c r="AL283" t="s">
        <v>111</v>
      </c>
      <c r="AM283" t="s">
        <v>111</v>
      </c>
      <c r="AN283">
        <v>47579</v>
      </c>
      <c r="AO283" t="s">
        <v>122</v>
      </c>
      <c r="AP283" t="s">
        <v>122</v>
      </c>
    </row>
    <row r="284" spans="1:42" x14ac:dyDescent="0.25">
      <c r="A284" s="28" t="str">
        <f>"0380"</f>
        <v>0380</v>
      </c>
      <c r="B284">
        <v>380</v>
      </c>
      <c r="C284" t="s">
        <v>2488</v>
      </c>
      <c r="D284" t="s">
        <v>121</v>
      </c>
      <c r="F284" t="s">
        <v>120</v>
      </c>
      <c r="G284" t="s">
        <v>359</v>
      </c>
      <c r="I284" t="s">
        <v>10720</v>
      </c>
      <c r="J284" t="s">
        <v>7</v>
      </c>
      <c r="K284" s="63">
        <v>12735</v>
      </c>
      <c r="L284" s="28">
        <f>DATEDIF(K284,Zwift25!G$1,"Y")</f>
        <v>89</v>
      </c>
      <c r="M284" s="67">
        <f>IF(J284="m",VLOOKUP(L284,'All Solo Adjustments'!A:D,4,FALSE),VLOOKUP(L284,'All Solo Adjustments'!A:J,10,FALSE))</f>
        <v>1.7465277777777777E-2</v>
      </c>
      <c r="N284" s="63"/>
      <c r="O284" s="63"/>
      <c r="P284" s="63"/>
      <c r="Q284" s="63"/>
      <c r="R284" t="s">
        <v>125</v>
      </c>
      <c r="S284" t="s">
        <v>484</v>
      </c>
      <c r="T284" t="s">
        <v>292</v>
      </c>
      <c r="U284" t="s">
        <v>10719</v>
      </c>
      <c r="V284" t="s">
        <v>588</v>
      </c>
      <c r="W284" t="s">
        <v>169</v>
      </c>
      <c r="Y284" t="s">
        <v>10718</v>
      </c>
      <c r="Z284" t="str">
        <f>"01986 894240"</f>
        <v>01986 894240</v>
      </c>
      <c r="AA284" t="str">
        <f>""</f>
        <v/>
      </c>
      <c r="AB284" t="s">
        <v>587</v>
      </c>
      <c r="AD284" t="s">
        <v>151</v>
      </c>
      <c r="AF284" t="s">
        <v>113</v>
      </c>
      <c r="AG284" t="s">
        <v>112</v>
      </c>
      <c r="AH284" t="s">
        <v>112</v>
      </c>
      <c r="AI284" s="63">
        <v>34037</v>
      </c>
      <c r="AK284" t="s">
        <v>111</v>
      </c>
      <c r="AL284" t="s">
        <v>111</v>
      </c>
      <c r="AM284" t="s">
        <v>111</v>
      </c>
      <c r="AN284" t="s">
        <v>105</v>
      </c>
      <c r="AO284" t="s">
        <v>110</v>
      </c>
      <c r="AP284" t="s">
        <v>109</v>
      </c>
    </row>
    <row r="285" spans="1:42" x14ac:dyDescent="0.25">
      <c r="A285" s="28" t="str">
        <f>"16100"</f>
        <v>16100</v>
      </c>
      <c r="B285">
        <v>16100</v>
      </c>
      <c r="C285" t="s">
        <v>2488</v>
      </c>
      <c r="D285" t="s">
        <v>121</v>
      </c>
      <c r="E285" t="s">
        <v>584</v>
      </c>
      <c r="F285" t="s">
        <v>144</v>
      </c>
      <c r="G285" t="s">
        <v>10717</v>
      </c>
      <c r="I285" t="s">
        <v>10716</v>
      </c>
      <c r="J285" t="s">
        <v>126</v>
      </c>
      <c r="K285" s="63">
        <v>25051</v>
      </c>
      <c r="L285" s="28">
        <f>DATEDIF(K285,Zwift25!G$1,"Y")</f>
        <v>56</v>
      </c>
      <c r="M285" s="67">
        <f>IF(J285="m",VLOOKUP(L285,'All Solo Adjustments'!A:D,4,FALSE),VLOOKUP(L285,'All Solo Adjustments'!A:J,10,FALSE))</f>
        <v>5.8564814814814807E-3</v>
      </c>
      <c r="N285" s="63"/>
      <c r="O285" s="63"/>
      <c r="P285" s="63"/>
      <c r="Q285" s="63"/>
      <c r="R285" t="s">
        <v>296</v>
      </c>
      <c r="S285" t="s">
        <v>295</v>
      </c>
      <c r="T285" t="s">
        <v>292</v>
      </c>
      <c r="U285" t="s">
        <v>10715</v>
      </c>
      <c r="V285" t="s">
        <v>10714</v>
      </c>
      <c r="W285" t="s">
        <v>10713</v>
      </c>
      <c r="X285" t="s">
        <v>10712</v>
      </c>
      <c r="Y285" t="s">
        <v>10711</v>
      </c>
      <c r="Z285" t="str">
        <f>"07762336028"</f>
        <v>07762336028</v>
      </c>
      <c r="AA285" t="str">
        <f>""</f>
        <v/>
      </c>
      <c r="AB285" t="s">
        <v>598</v>
      </c>
      <c r="AC285" t="s">
        <v>10710</v>
      </c>
      <c r="AD285" t="s">
        <v>114</v>
      </c>
      <c r="AE285" s="63">
        <v>45397</v>
      </c>
      <c r="AF285" t="s">
        <v>156</v>
      </c>
      <c r="AG285" t="s">
        <v>112</v>
      </c>
      <c r="AH285" t="s">
        <v>112</v>
      </c>
      <c r="AI285" s="63">
        <v>45397</v>
      </c>
      <c r="AJ285" s="63">
        <v>45657</v>
      </c>
      <c r="AK285" t="s">
        <v>112</v>
      </c>
      <c r="AL285" t="s">
        <v>111</v>
      </c>
      <c r="AM285" t="s">
        <v>111</v>
      </c>
      <c r="AN285">
        <v>40770</v>
      </c>
      <c r="AO285" t="s">
        <v>122</v>
      </c>
      <c r="AP285" t="s">
        <v>122</v>
      </c>
    </row>
    <row r="286" spans="1:42" x14ac:dyDescent="0.25">
      <c r="A286" s="28" t="str">
        <f>"0381"</f>
        <v>0381</v>
      </c>
      <c r="B286">
        <v>381</v>
      </c>
      <c r="C286" t="s">
        <v>2488</v>
      </c>
      <c r="D286" t="s">
        <v>121</v>
      </c>
      <c r="F286" t="s">
        <v>120</v>
      </c>
      <c r="G286" t="s">
        <v>234</v>
      </c>
      <c r="H286" t="s">
        <v>709</v>
      </c>
      <c r="I286" t="s">
        <v>10709</v>
      </c>
      <c r="J286" t="s">
        <v>7</v>
      </c>
      <c r="K286" s="63">
        <v>11925</v>
      </c>
      <c r="L286" s="28">
        <f>DATEDIF(K286,Zwift25!G$1,"Y")</f>
        <v>92</v>
      </c>
      <c r="M286" s="67">
        <f>IF(J286="m",VLOOKUP(L286,'All Solo Adjustments'!A:D,4,FALSE),VLOOKUP(L286,'All Solo Adjustments'!A:J,10,FALSE))</f>
        <v>2.0405092592592593E-2</v>
      </c>
      <c r="N286" s="63"/>
      <c r="O286" s="63"/>
      <c r="P286" s="63"/>
      <c r="Q286" s="63"/>
      <c r="R286" t="s">
        <v>328</v>
      </c>
      <c r="S286" t="s">
        <v>2290</v>
      </c>
      <c r="T286" t="s">
        <v>292</v>
      </c>
      <c r="U286" t="s">
        <v>10708</v>
      </c>
      <c r="V286" t="s">
        <v>127</v>
      </c>
      <c r="W286" t="s">
        <v>869</v>
      </c>
      <c r="Y286" t="s">
        <v>10707</v>
      </c>
      <c r="Z286" t="str">
        <f>"01904 706406"</f>
        <v>01904 706406</v>
      </c>
      <c r="AA286" t="str">
        <f>""</f>
        <v/>
      </c>
      <c r="AB286" t="s">
        <v>290</v>
      </c>
      <c r="AC286" t="s">
        <v>10706</v>
      </c>
      <c r="AD286" t="s">
        <v>151</v>
      </c>
      <c r="AF286" t="s">
        <v>113</v>
      </c>
      <c r="AG286" t="s">
        <v>112</v>
      </c>
      <c r="AH286" t="s">
        <v>112</v>
      </c>
      <c r="AK286" t="s">
        <v>111</v>
      </c>
      <c r="AL286" t="s">
        <v>111</v>
      </c>
      <c r="AM286" t="s">
        <v>111</v>
      </c>
      <c r="AN286" t="s">
        <v>105</v>
      </c>
      <c r="AO286" t="s">
        <v>110</v>
      </c>
      <c r="AP286" t="s">
        <v>109</v>
      </c>
    </row>
    <row r="287" spans="1:42" x14ac:dyDescent="0.25">
      <c r="A287" s="28" t="str">
        <f>"6143"</f>
        <v>6143</v>
      </c>
      <c r="B287">
        <v>6143</v>
      </c>
      <c r="C287" t="s">
        <v>2488</v>
      </c>
      <c r="D287" t="s">
        <v>121</v>
      </c>
      <c r="E287" t="s">
        <v>584</v>
      </c>
      <c r="F287" t="s">
        <v>120</v>
      </c>
      <c r="G287" t="s">
        <v>300</v>
      </c>
      <c r="I287" t="s">
        <v>10705</v>
      </c>
      <c r="J287" t="s">
        <v>7</v>
      </c>
      <c r="K287" s="63">
        <v>23312</v>
      </c>
      <c r="L287" s="28">
        <f>DATEDIF(K287,Zwift25!G$1,"Y")</f>
        <v>60</v>
      </c>
      <c r="M287" s="67">
        <f>IF(J287="m",VLOOKUP(L287,'All Solo Adjustments'!A:D,4,FALSE),VLOOKUP(L287,'All Solo Adjustments'!A:J,10,FALSE))</f>
        <v>3.2060185185185186E-3</v>
      </c>
      <c r="N287" s="63"/>
      <c r="O287" s="63"/>
      <c r="P287" s="63"/>
      <c r="Q287" s="63"/>
      <c r="R287" t="s">
        <v>125</v>
      </c>
      <c r="S287" t="s">
        <v>170</v>
      </c>
      <c r="T287" t="s">
        <v>292</v>
      </c>
      <c r="U287" t="s">
        <v>10704</v>
      </c>
      <c r="V287" t="s">
        <v>217</v>
      </c>
      <c r="Y287" t="s">
        <v>10703</v>
      </c>
      <c r="Z287" t="str">
        <f>"07713 968312"</f>
        <v>07713 968312</v>
      </c>
      <c r="AA287" t="str">
        <f>""</f>
        <v/>
      </c>
      <c r="AB287" t="s">
        <v>508</v>
      </c>
      <c r="AC287" t="s">
        <v>10702</v>
      </c>
      <c r="AD287" t="s">
        <v>114</v>
      </c>
      <c r="AE287" s="63">
        <v>45262</v>
      </c>
      <c r="AF287" t="s">
        <v>113</v>
      </c>
      <c r="AG287" t="s">
        <v>112</v>
      </c>
      <c r="AH287" t="s">
        <v>112</v>
      </c>
      <c r="AI287" s="63">
        <v>42818</v>
      </c>
      <c r="AJ287" s="63">
        <v>45657</v>
      </c>
      <c r="AK287" t="s">
        <v>111</v>
      </c>
      <c r="AL287" t="s">
        <v>111</v>
      </c>
      <c r="AM287" t="s">
        <v>111</v>
      </c>
      <c r="AN287">
        <v>16047</v>
      </c>
      <c r="AO287" t="s">
        <v>110</v>
      </c>
      <c r="AP287" t="s">
        <v>109</v>
      </c>
    </row>
    <row r="288" spans="1:42" x14ac:dyDescent="0.25">
      <c r="A288" s="28" t="str">
        <f>"15997"</f>
        <v>15997</v>
      </c>
      <c r="B288">
        <v>15997</v>
      </c>
      <c r="C288" t="s">
        <v>2488</v>
      </c>
      <c r="D288" t="s">
        <v>121</v>
      </c>
      <c r="F288" t="s">
        <v>120</v>
      </c>
      <c r="G288" t="s">
        <v>366</v>
      </c>
      <c r="H288" t="s">
        <v>359</v>
      </c>
      <c r="I288" t="s">
        <v>10701</v>
      </c>
      <c r="J288" t="s">
        <v>7</v>
      </c>
      <c r="K288" s="63">
        <v>26553</v>
      </c>
      <c r="L288" s="28">
        <f>DATEDIF(K288,Zwift25!G$1,"Y")</f>
        <v>52</v>
      </c>
      <c r="M288" s="67">
        <f>IF(J288="m",VLOOKUP(L288,'All Solo Adjustments'!A:D,4,FALSE),VLOOKUP(L288,'All Solo Adjustments'!A:J,10,FALSE))</f>
        <v>1.4814814814814816E-3</v>
      </c>
      <c r="N288" s="63"/>
      <c r="O288" s="63"/>
      <c r="P288" s="63"/>
      <c r="Q288" s="63"/>
      <c r="R288" t="s">
        <v>296</v>
      </c>
      <c r="S288" t="s">
        <v>295</v>
      </c>
      <c r="T288" t="s">
        <v>292</v>
      </c>
      <c r="U288" t="s">
        <v>10700</v>
      </c>
      <c r="W288" t="s">
        <v>863</v>
      </c>
      <c r="Y288" t="s">
        <v>10699</v>
      </c>
      <c r="Z288" t="str">
        <f>"07769224388"</f>
        <v>07769224388</v>
      </c>
      <c r="AA288" t="str">
        <f>""</f>
        <v/>
      </c>
      <c r="AB288" t="s">
        <v>10698</v>
      </c>
      <c r="AC288" t="s">
        <v>10697</v>
      </c>
      <c r="AD288" t="s">
        <v>114</v>
      </c>
      <c r="AE288" s="63">
        <v>45393</v>
      </c>
      <c r="AF288" t="s">
        <v>156</v>
      </c>
      <c r="AG288" t="s">
        <v>112</v>
      </c>
      <c r="AH288" t="s">
        <v>112</v>
      </c>
      <c r="AI288" s="63">
        <v>45393</v>
      </c>
      <c r="AJ288" s="63">
        <v>45657</v>
      </c>
      <c r="AK288" t="s">
        <v>112</v>
      </c>
      <c r="AL288" t="s">
        <v>111</v>
      </c>
      <c r="AM288" t="s">
        <v>111</v>
      </c>
      <c r="AN288">
        <v>46546</v>
      </c>
      <c r="AO288" t="s">
        <v>110</v>
      </c>
      <c r="AP288" t="s">
        <v>109</v>
      </c>
    </row>
    <row r="289" spans="1:42" x14ac:dyDescent="0.25">
      <c r="A289" s="28" t="str">
        <f>"0388"</f>
        <v>0388</v>
      </c>
      <c r="B289">
        <v>388</v>
      </c>
      <c r="C289" t="s">
        <v>2488</v>
      </c>
      <c r="D289" t="s">
        <v>121</v>
      </c>
      <c r="F289" t="s">
        <v>120</v>
      </c>
      <c r="G289" t="s">
        <v>1056</v>
      </c>
      <c r="I289" t="s">
        <v>906</v>
      </c>
      <c r="J289" t="s">
        <v>7</v>
      </c>
      <c r="K289" s="63">
        <v>11884</v>
      </c>
      <c r="L289" s="28">
        <f>DATEDIF(K289,Zwift25!G$1,"Y")</f>
        <v>92</v>
      </c>
      <c r="M289" s="67">
        <f>IF(J289="m",VLOOKUP(L289,'All Solo Adjustments'!A:D,4,FALSE),VLOOKUP(L289,'All Solo Adjustments'!A:J,10,FALSE))</f>
        <v>2.0405092592592593E-2</v>
      </c>
      <c r="N289" s="63"/>
      <c r="O289" s="63"/>
      <c r="P289" s="63"/>
      <c r="Q289" s="63"/>
      <c r="R289" t="s">
        <v>143</v>
      </c>
      <c r="S289" t="s">
        <v>487</v>
      </c>
      <c r="T289" t="s">
        <v>292</v>
      </c>
      <c r="U289" t="s">
        <v>10695</v>
      </c>
      <c r="V289" t="s">
        <v>10692</v>
      </c>
      <c r="W289" t="s">
        <v>10691</v>
      </c>
      <c r="X289" t="s">
        <v>167</v>
      </c>
      <c r="Y289" t="s">
        <v>10690</v>
      </c>
      <c r="Z289" t="str">
        <f>"07802 754231"</f>
        <v>07802 754231</v>
      </c>
      <c r="AA289" t="str">
        <f>""</f>
        <v/>
      </c>
      <c r="AB289" t="s">
        <v>290</v>
      </c>
      <c r="AC289" t="s">
        <v>10694</v>
      </c>
      <c r="AD289" t="s">
        <v>151</v>
      </c>
      <c r="AF289" t="s">
        <v>156</v>
      </c>
      <c r="AG289" t="s">
        <v>112</v>
      </c>
      <c r="AH289" t="s">
        <v>112</v>
      </c>
      <c r="AI289" s="63">
        <v>31778</v>
      </c>
      <c r="AK289" t="s">
        <v>111</v>
      </c>
      <c r="AL289" t="s">
        <v>111</v>
      </c>
      <c r="AM289" t="s">
        <v>111</v>
      </c>
      <c r="AN289" t="s">
        <v>105</v>
      </c>
      <c r="AO289" t="s">
        <v>110</v>
      </c>
      <c r="AP289" t="s">
        <v>109</v>
      </c>
    </row>
    <row r="290" spans="1:42" x14ac:dyDescent="0.25">
      <c r="A290" s="28" t="str">
        <f>"10171"</f>
        <v>10171</v>
      </c>
      <c r="B290">
        <v>10171</v>
      </c>
      <c r="C290" t="s">
        <v>2488</v>
      </c>
      <c r="D290" t="s">
        <v>121</v>
      </c>
      <c r="F290" t="s">
        <v>149</v>
      </c>
      <c r="G290" t="s">
        <v>10696</v>
      </c>
      <c r="I290" t="s">
        <v>906</v>
      </c>
      <c r="J290" t="s">
        <v>126</v>
      </c>
      <c r="K290" s="63">
        <v>14058</v>
      </c>
      <c r="L290" s="28">
        <f>DATEDIF(K290,Zwift25!G$1,"Y")</f>
        <v>86</v>
      </c>
      <c r="M290" s="67">
        <f>IF(J290="m",VLOOKUP(L290,'All Solo Adjustments'!A:D,4,FALSE),VLOOKUP(L290,'All Solo Adjustments'!A:J,10,FALSE))</f>
        <v>2.1307870370370369E-2</v>
      </c>
      <c r="N290" s="63"/>
      <c r="O290" s="63"/>
      <c r="P290" s="63"/>
      <c r="Q290" s="63"/>
      <c r="R290" t="s">
        <v>159</v>
      </c>
      <c r="S290" t="s">
        <v>570</v>
      </c>
      <c r="T290" t="s">
        <v>292</v>
      </c>
      <c r="U290" t="s">
        <v>10695</v>
      </c>
      <c r="V290" t="s">
        <v>10692</v>
      </c>
      <c r="W290" t="s">
        <v>10691</v>
      </c>
      <c r="X290" t="s">
        <v>167</v>
      </c>
      <c r="Y290" t="s">
        <v>10690</v>
      </c>
      <c r="Z290" t="str">
        <f>"07802 754231"</f>
        <v>07802 754231</v>
      </c>
      <c r="AA290" t="str">
        <f>""</f>
        <v/>
      </c>
      <c r="AB290" t="s">
        <v>290</v>
      </c>
      <c r="AC290" t="s">
        <v>10694</v>
      </c>
      <c r="AD290" t="s">
        <v>145</v>
      </c>
      <c r="AF290" t="s">
        <v>156</v>
      </c>
      <c r="AG290" t="s">
        <v>111</v>
      </c>
      <c r="AH290" t="s">
        <v>111</v>
      </c>
      <c r="AI290" s="63">
        <v>31778</v>
      </c>
      <c r="AK290" t="s">
        <v>111</v>
      </c>
      <c r="AL290" t="s">
        <v>111</v>
      </c>
      <c r="AM290" t="s">
        <v>111</v>
      </c>
      <c r="AN290" t="s">
        <v>105</v>
      </c>
      <c r="AO290" t="s">
        <v>122</v>
      </c>
      <c r="AP290" t="s">
        <v>122</v>
      </c>
    </row>
    <row r="291" spans="1:42" x14ac:dyDescent="0.25">
      <c r="A291" s="28" t="str">
        <f>"0389"</f>
        <v>0389</v>
      </c>
      <c r="B291">
        <v>389</v>
      </c>
      <c r="C291" t="s">
        <v>2488</v>
      </c>
      <c r="D291" t="s">
        <v>121</v>
      </c>
      <c r="F291" t="s">
        <v>120</v>
      </c>
      <c r="G291" t="s">
        <v>9292</v>
      </c>
      <c r="I291" t="s">
        <v>10693</v>
      </c>
      <c r="J291" t="s">
        <v>7</v>
      </c>
      <c r="K291" s="63">
        <v>22551</v>
      </c>
      <c r="L291" s="28">
        <f>DATEDIF(K291,Zwift25!G$1,"Y")</f>
        <v>63</v>
      </c>
      <c r="M291" s="67">
        <f>IF(J291="m",VLOOKUP(L291,'All Solo Adjustments'!A:D,4,FALSE),VLOOKUP(L291,'All Solo Adjustments'!A:J,10,FALSE))</f>
        <v>4.0277777777777777E-3</v>
      </c>
      <c r="N291" s="63"/>
      <c r="O291" s="63"/>
      <c r="P291" s="63"/>
      <c r="Q291" s="63"/>
      <c r="R291" t="s">
        <v>159</v>
      </c>
      <c r="S291" t="s">
        <v>162</v>
      </c>
      <c r="T291" t="s">
        <v>292</v>
      </c>
      <c r="U291" t="s">
        <v>10692</v>
      </c>
      <c r="V291" t="s">
        <v>10691</v>
      </c>
      <c r="W291" t="s">
        <v>167</v>
      </c>
      <c r="Y291" t="s">
        <v>10690</v>
      </c>
      <c r="Z291" t="str">
        <f>"07802 754231"</f>
        <v>07802 754231</v>
      </c>
      <c r="AA291" t="str">
        <f>""</f>
        <v/>
      </c>
      <c r="AB291" t="s">
        <v>1868</v>
      </c>
      <c r="AC291" t="s">
        <v>10689</v>
      </c>
      <c r="AD291" t="s">
        <v>114</v>
      </c>
      <c r="AE291" s="63">
        <v>45292</v>
      </c>
      <c r="AF291" t="s">
        <v>113</v>
      </c>
      <c r="AG291" t="s">
        <v>112</v>
      </c>
      <c r="AH291" t="s">
        <v>112</v>
      </c>
      <c r="AI291" s="63">
        <v>37257</v>
      </c>
      <c r="AJ291" s="63">
        <v>45657</v>
      </c>
      <c r="AK291" t="s">
        <v>111</v>
      </c>
      <c r="AL291" t="s">
        <v>112</v>
      </c>
      <c r="AM291" t="s">
        <v>112</v>
      </c>
      <c r="AN291">
        <v>1980</v>
      </c>
      <c r="AO291" t="s">
        <v>110</v>
      </c>
      <c r="AP291" t="s">
        <v>109</v>
      </c>
    </row>
    <row r="292" spans="1:42" x14ac:dyDescent="0.25">
      <c r="A292" s="28" t="str">
        <f>"15457"</f>
        <v>15457</v>
      </c>
      <c r="B292">
        <v>15457</v>
      </c>
      <c r="C292" t="s">
        <v>2488</v>
      </c>
      <c r="D292" t="s">
        <v>121</v>
      </c>
      <c r="E292" t="s">
        <v>584</v>
      </c>
      <c r="F292" t="s">
        <v>139</v>
      </c>
      <c r="G292" t="s">
        <v>10688</v>
      </c>
      <c r="I292" t="s">
        <v>906</v>
      </c>
      <c r="J292" t="s">
        <v>126</v>
      </c>
      <c r="K292" s="63">
        <v>27007</v>
      </c>
      <c r="L292" s="28">
        <f>DATEDIF(K292,Zwift25!G$1,"Y")</f>
        <v>50</v>
      </c>
      <c r="M292" s="67">
        <f>IF(J292="m",VLOOKUP(L292,'All Solo Adjustments'!A:D,4,FALSE),VLOOKUP(L292,'All Solo Adjustments'!A:J,10,FALSE))</f>
        <v>4.9768518518518521E-3</v>
      </c>
      <c r="N292" s="63"/>
      <c r="O292" s="63"/>
      <c r="P292" s="63"/>
      <c r="Q292" s="63"/>
      <c r="R292" t="s">
        <v>154</v>
      </c>
      <c r="S292" t="s">
        <v>153</v>
      </c>
      <c r="T292" t="s">
        <v>292</v>
      </c>
      <c r="U292" t="s">
        <v>10687</v>
      </c>
      <c r="X292" t="s">
        <v>1528</v>
      </c>
      <c r="Y292" t="s">
        <v>10686</v>
      </c>
      <c r="Z292" t="str">
        <f>"07791 959256"</f>
        <v>07791 959256</v>
      </c>
      <c r="AA292" t="str">
        <f>""</f>
        <v/>
      </c>
      <c r="AB292" t="s">
        <v>1058</v>
      </c>
      <c r="AC292" t="s">
        <v>10685</v>
      </c>
      <c r="AD292" t="s">
        <v>114</v>
      </c>
      <c r="AE292" s="63">
        <v>45286</v>
      </c>
      <c r="AF292" t="s">
        <v>156</v>
      </c>
      <c r="AG292" t="s">
        <v>112</v>
      </c>
      <c r="AH292" t="s">
        <v>112</v>
      </c>
      <c r="AI292" s="63">
        <v>44669</v>
      </c>
      <c r="AJ292" s="63">
        <v>45657</v>
      </c>
      <c r="AK292" t="s">
        <v>112</v>
      </c>
      <c r="AL292" t="s">
        <v>111</v>
      </c>
      <c r="AM292" t="s">
        <v>111</v>
      </c>
      <c r="AN292">
        <v>40452</v>
      </c>
      <c r="AO292" t="s">
        <v>122</v>
      </c>
      <c r="AP292" t="s">
        <v>122</v>
      </c>
    </row>
    <row r="293" spans="1:42" x14ac:dyDescent="0.25">
      <c r="A293" s="28" t="str">
        <f>"6052"</f>
        <v>6052</v>
      </c>
      <c r="B293">
        <v>6052</v>
      </c>
      <c r="C293" t="s">
        <v>2488</v>
      </c>
      <c r="D293" t="s">
        <v>121</v>
      </c>
      <c r="F293" t="s">
        <v>120</v>
      </c>
      <c r="G293" t="s">
        <v>649</v>
      </c>
      <c r="H293" t="s">
        <v>1981</v>
      </c>
      <c r="I293" t="s">
        <v>903</v>
      </c>
      <c r="J293" t="s">
        <v>7</v>
      </c>
      <c r="K293" s="63">
        <v>19919</v>
      </c>
      <c r="L293" s="28">
        <f>DATEDIF(K293,Zwift25!G$1,"Y")</f>
        <v>70</v>
      </c>
      <c r="M293" s="67">
        <f>IF(J293="m",VLOOKUP(L293,'All Solo Adjustments'!A:D,4,FALSE),VLOOKUP(L293,'All Solo Adjustments'!A:J,10,FALSE))</f>
        <v>6.3425925925925924E-3</v>
      </c>
      <c r="N293" s="63"/>
      <c r="O293" s="63"/>
      <c r="P293" s="63"/>
      <c r="Q293" s="63"/>
      <c r="R293" t="s">
        <v>125</v>
      </c>
      <c r="S293" t="s">
        <v>170</v>
      </c>
      <c r="T293" t="s">
        <v>292</v>
      </c>
      <c r="U293" t="s">
        <v>10684</v>
      </c>
      <c r="V293" t="s">
        <v>746</v>
      </c>
      <c r="W293" t="s">
        <v>10683</v>
      </c>
      <c r="X293" t="s">
        <v>169</v>
      </c>
      <c r="Y293" t="s">
        <v>10682</v>
      </c>
      <c r="Z293" t="str">
        <f>"01502508069"</f>
        <v>01502508069</v>
      </c>
      <c r="AA293" t="str">
        <f>"07900252069"</f>
        <v>07900252069</v>
      </c>
      <c r="AB293" t="s">
        <v>1233</v>
      </c>
      <c r="AC293" t="s">
        <v>10681</v>
      </c>
      <c r="AD293" t="s">
        <v>114</v>
      </c>
      <c r="AE293" s="63">
        <v>45363</v>
      </c>
      <c r="AF293" t="s">
        <v>113</v>
      </c>
      <c r="AG293" t="s">
        <v>112</v>
      </c>
      <c r="AH293" t="s">
        <v>112</v>
      </c>
      <c r="AI293" s="63">
        <v>42762</v>
      </c>
      <c r="AJ293" s="63">
        <v>45657</v>
      </c>
      <c r="AK293" t="s">
        <v>111</v>
      </c>
      <c r="AL293" t="s">
        <v>111</v>
      </c>
      <c r="AM293" t="s">
        <v>111</v>
      </c>
      <c r="AN293">
        <v>15330</v>
      </c>
      <c r="AO293" t="s">
        <v>110</v>
      </c>
      <c r="AP293" t="s">
        <v>109</v>
      </c>
    </row>
    <row r="294" spans="1:42" x14ac:dyDescent="0.25">
      <c r="A294" s="28" t="str">
        <f>"15988"</f>
        <v>15988</v>
      </c>
      <c r="B294">
        <v>15988</v>
      </c>
      <c r="C294" t="s">
        <v>2488</v>
      </c>
      <c r="D294" t="s">
        <v>121</v>
      </c>
      <c r="F294" t="s">
        <v>120</v>
      </c>
      <c r="G294" t="s">
        <v>174</v>
      </c>
      <c r="I294" t="s">
        <v>10680</v>
      </c>
      <c r="J294" t="s">
        <v>7</v>
      </c>
      <c r="K294" s="63">
        <v>26801</v>
      </c>
      <c r="L294" s="28">
        <f>DATEDIF(K294,Zwift25!G$1,"Y")</f>
        <v>51</v>
      </c>
      <c r="M294" s="67">
        <f>IF(J294="m",VLOOKUP(L294,'All Solo Adjustments'!A:D,4,FALSE),VLOOKUP(L294,'All Solo Adjustments'!A:J,10,FALSE))</f>
        <v>1.3078703703703703E-3</v>
      </c>
      <c r="N294" s="63"/>
      <c r="O294" s="63"/>
      <c r="P294" s="63"/>
      <c r="Q294" s="63"/>
      <c r="R294" t="s">
        <v>198</v>
      </c>
      <c r="S294" t="s">
        <v>461</v>
      </c>
      <c r="T294" t="s">
        <v>292</v>
      </c>
      <c r="U294" t="s">
        <v>10679</v>
      </c>
      <c r="W294" t="s">
        <v>1527</v>
      </c>
      <c r="X294" t="s">
        <v>196</v>
      </c>
      <c r="Y294" t="s">
        <v>10678</v>
      </c>
      <c r="Z294" t="str">
        <f>"07789747116"</f>
        <v>07789747116</v>
      </c>
      <c r="AA294" t="str">
        <f>""</f>
        <v/>
      </c>
      <c r="AB294" t="s">
        <v>514</v>
      </c>
      <c r="AC294" t="s">
        <v>10677</v>
      </c>
      <c r="AD294" t="s">
        <v>114</v>
      </c>
      <c r="AE294" s="63">
        <v>45300</v>
      </c>
      <c r="AF294" t="s">
        <v>156</v>
      </c>
      <c r="AG294" t="s">
        <v>112</v>
      </c>
      <c r="AH294" t="s">
        <v>112</v>
      </c>
      <c r="AI294" s="63">
        <v>45300</v>
      </c>
      <c r="AJ294" s="63">
        <v>45657</v>
      </c>
      <c r="AK294" t="s">
        <v>112</v>
      </c>
      <c r="AL294" t="s">
        <v>111</v>
      </c>
      <c r="AM294" t="s">
        <v>111</v>
      </c>
      <c r="AN294">
        <v>4693</v>
      </c>
      <c r="AO294" t="s">
        <v>110</v>
      </c>
      <c r="AP294" t="s">
        <v>109</v>
      </c>
    </row>
    <row r="295" spans="1:42" x14ac:dyDescent="0.25">
      <c r="A295" s="28" t="str">
        <f>"5710"</f>
        <v>5710</v>
      </c>
      <c r="B295">
        <v>5710</v>
      </c>
      <c r="C295" t="s">
        <v>2488</v>
      </c>
      <c r="D295" t="s">
        <v>121</v>
      </c>
      <c r="F295" t="s">
        <v>120</v>
      </c>
      <c r="G295" t="s">
        <v>164</v>
      </c>
      <c r="I295" t="s">
        <v>10676</v>
      </c>
      <c r="J295" t="s">
        <v>7</v>
      </c>
      <c r="K295" s="63">
        <v>27576</v>
      </c>
      <c r="L295" s="28">
        <f>DATEDIF(K295,Zwift25!G$1,"Y")</f>
        <v>49</v>
      </c>
      <c r="M295" s="67">
        <f>IF(J295="m",VLOOKUP(L295,'All Solo Adjustments'!A:D,4,FALSE),VLOOKUP(L295,'All Solo Adjustments'!A:J,10,FALSE))</f>
        <v>9.837962962962962E-4</v>
      </c>
      <c r="N295" s="63"/>
      <c r="O295" s="63"/>
      <c r="P295" s="63"/>
      <c r="Q295" s="63"/>
      <c r="R295" t="s">
        <v>125</v>
      </c>
      <c r="S295" t="s">
        <v>170</v>
      </c>
      <c r="T295" t="s">
        <v>292</v>
      </c>
      <c r="U295" t="s">
        <v>10675</v>
      </c>
      <c r="V295" t="s">
        <v>10674</v>
      </c>
      <c r="W295" t="s">
        <v>191</v>
      </c>
      <c r="X295" t="s">
        <v>169</v>
      </c>
      <c r="Y295" t="s">
        <v>10673</v>
      </c>
      <c r="Z295" t="str">
        <f>"07704 902002"</f>
        <v>07704 902002</v>
      </c>
      <c r="AA295" t="str">
        <f>""</f>
        <v/>
      </c>
      <c r="AB295" t="s">
        <v>190</v>
      </c>
      <c r="AC295" t="s">
        <v>10672</v>
      </c>
      <c r="AD295" t="s">
        <v>114</v>
      </c>
      <c r="AE295" s="63">
        <v>45293</v>
      </c>
      <c r="AF295" t="s">
        <v>156</v>
      </c>
      <c r="AG295" t="s">
        <v>112</v>
      </c>
      <c r="AH295" t="s">
        <v>112</v>
      </c>
      <c r="AI295" s="63">
        <v>42405</v>
      </c>
      <c r="AJ295" s="63">
        <v>45657</v>
      </c>
      <c r="AK295" t="s">
        <v>111</v>
      </c>
      <c r="AL295" t="s">
        <v>111</v>
      </c>
      <c r="AM295" t="s">
        <v>111</v>
      </c>
      <c r="AN295">
        <v>595</v>
      </c>
      <c r="AO295" t="s">
        <v>110</v>
      </c>
      <c r="AP295" t="s">
        <v>109</v>
      </c>
    </row>
    <row r="296" spans="1:42" x14ac:dyDescent="0.25">
      <c r="A296" s="28" t="str">
        <f>"0395"</f>
        <v>0395</v>
      </c>
      <c r="B296">
        <v>395</v>
      </c>
      <c r="C296" t="s">
        <v>2488</v>
      </c>
      <c r="D296" t="s">
        <v>121</v>
      </c>
      <c r="F296" t="s">
        <v>120</v>
      </c>
      <c r="G296" t="s">
        <v>343</v>
      </c>
      <c r="I296" t="s">
        <v>600</v>
      </c>
      <c r="J296" t="s">
        <v>7</v>
      </c>
      <c r="K296" s="63">
        <v>11555</v>
      </c>
      <c r="L296" s="28">
        <f>DATEDIF(K296,Zwift25!G$1,"Y")</f>
        <v>93</v>
      </c>
      <c r="M296" s="67">
        <f>IF(J296="m",VLOOKUP(L296,'All Solo Adjustments'!A:D,4,FALSE),VLOOKUP(L296,'All Solo Adjustments'!A:J,10,FALSE))</f>
        <v>2.1516203703703704E-2</v>
      </c>
      <c r="N296" s="63"/>
      <c r="O296" s="63"/>
      <c r="P296" s="63"/>
      <c r="Q296" s="63"/>
      <c r="R296" t="s">
        <v>213</v>
      </c>
      <c r="S296" t="s">
        <v>2309</v>
      </c>
      <c r="T296" t="s">
        <v>292</v>
      </c>
      <c r="U296" t="s">
        <v>10671</v>
      </c>
      <c r="V296" t="s">
        <v>393</v>
      </c>
      <c r="Y296" t="s">
        <v>10670</v>
      </c>
      <c r="Z296" t="str">
        <f>""</f>
        <v/>
      </c>
      <c r="AA296" t="str">
        <f>""</f>
        <v/>
      </c>
      <c r="AB296" t="s">
        <v>2308</v>
      </c>
      <c r="AC296" t="s">
        <v>10669</v>
      </c>
      <c r="AD296" t="s">
        <v>151</v>
      </c>
      <c r="AF296" t="s">
        <v>156</v>
      </c>
      <c r="AG296" t="s">
        <v>112</v>
      </c>
      <c r="AH296" t="s">
        <v>112</v>
      </c>
      <c r="AI296" s="63">
        <v>31778</v>
      </c>
      <c r="AK296" t="s">
        <v>111</v>
      </c>
      <c r="AL296" t="s">
        <v>111</v>
      </c>
      <c r="AM296" t="s">
        <v>111</v>
      </c>
      <c r="AN296" t="s">
        <v>105</v>
      </c>
      <c r="AO296" t="s">
        <v>110</v>
      </c>
      <c r="AP296" t="s">
        <v>109</v>
      </c>
    </row>
    <row r="297" spans="1:42" x14ac:dyDescent="0.25">
      <c r="A297" s="28" t="str">
        <f>"6079"</f>
        <v>6079</v>
      </c>
      <c r="B297">
        <v>6079</v>
      </c>
      <c r="C297" t="s">
        <v>2488</v>
      </c>
      <c r="D297" t="s">
        <v>121</v>
      </c>
      <c r="F297" t="s">
        <v>120</v>
      </c>
      <c r="G297" t="s">
        <v>413</v>
      </c>
      <c r="I297" t="s">
        <v>2144</v>
      </c>
      <c r="J297" t="s">
        <v>7</v>
      </c>
      <c r="K297" s="63">
        <v>22408</v>
      </c>
      <c r="L297" s="28">
        <f>DATEDIF(K297,Zwift25!G$1,"Y")</f>
        <v>63</v>
      </c>
      <c r="M297" s="67">
        <f>IF(J297="m",VLOOKUP(L297,'All Solo Adjustments'!A:D,4,FALSE),VLOOKUP(L297,'All Solo Adjustments'!A:J,10,FALSE))</f>
        <v>4.0277777777777777E-3</v>
      </c>
      <c r="N297" s="63"/>
      <c r="O297" s="63"/>
      <c r="P297" s="63"/>
      <c r="Q297" s="63"/>
      <c r="R297" t="s">
        <v>180</v>
      </c>
      <c r="S297" t="s">
        <v>179</v>
      </c>
      <c r="T297" t="s">
        <v>292</v>
      </c>
      <c r="U297" t="s">
        <v>10668</v>
      </c>
      <c r="V297" t="s">
        <v>2472</v>
      </c>
      <c r="W297" t="s">
        <v>968</v>
      </c>
      <c r="Y297" t="s">
        <v>10667</v>
      </c>
      <c r="Z297" t="str">
        <f>"07974 006379"</f>
        <v>07974 006379</v>
      </c>
      <c r="AA297" t="str">
        <f>""</f>
        <v/>
      </c>
      <c r="AB297" t="s">
        <v>2023</v>
      </c>
      <c r="AC297" t="s">
        <v>10666</v>
      </c>
      <c r="AD297" t="s">
        <v>114</v>
      </c>
      <c r="AE297" s="63">
        <v>45348</v>
      </c>
      <c r="AF297" t="s">
        <v>113</v>
      </c>
      <c r="AG297" t="s">
        <v>112</v>
      </c>
      <c r="AH297" t="s">
        <v>112</v>
      </c>
      <c r="AI297" s="63">
        <v>42773</v>
      </c>
      <c r="AJ297" s="63">
        <v>45657</v>
      </c>
      <c r="AK297" t="s">
        <v>111</v>
      </c>
      <c r="AL297" t="s">
        <v>111</v>
      </c>
      <c r="AM297" t="s">
        <v>111</v>
      </c>
      <c r="AN297">
        <v>852</v>
      </c>
      <c r="AO297" t="s">
        <v>110</v>
      </c>
      <c r="AP297" t="s">
        <v>109</v>
      </c>
    </row>
    <row r="298" spans="1:42" x14ac:dyDescent="0.25">
      <c r="A298" s="28" t="str">
        <f>"5304"</f>
        <v>5304</v>
      </c>
      <c r="B298">
        <v>5304</v>
      </c>
      <c r="C298" t="s">
        <v>2488</v>
      </c>
      <c r="D298" t="s">
        <v>121</v>
      </c>
      <c r="E298" t="s">
        <v>584</v>
      </c>
      <c r="F298" t="s">
        <v>120</v>
      </c>
      <c r="G298" t="s">
        <v>1160</v>
      </c>
      <c r="I298" t="s">
        <v>2144</v>
      </c>
      <c r="J298" t="s">
        <v>7</v>
      </c>
      <c r="K298" s="63">
        <v>27189</v>
      </c>
      <c r="L298" s="28">
        <f>DATEDIF(K298,Zwift25!G$1,"Y")</f>
        <v>50</v>
      </c>
      <c r="M298" s="67">
        <f>IF(J298="m",VLOOKUP(L298,'All Solo Adjustments'!A:D,4,FALSE),VLOOKUP(L298,'All Solo Adjustments'!A:J,10,FALSE))</f>
        <v>1.1342592592592591E-3</v>
      </c>
      <c r="N298" s="63"/>
      <c r="O298" s="63"/>
      <c r="P298" s="63"/>
      <c r="Q298" s="63"/>
      <c r="R298" t="s">
        <v>527</v>
      </c>
      <c r="S298" t="s">
        <v>526</v>
      </c>
      <c r="T298" t="s">
        <v>292</v>
      </c>
      <c r="U298" t="s">
        <v>10665</v>
      </c>
      <c r="V298" t="s">
        <v>2032</v>
      </c>
      <c r="W298" t="s">
        <v>1248</v>
      </c>
      <c r="Y298" t="s">
        <v>10664</v>
      </c>
      <c r="Z298" t="str">
        <f>"07990 646329"</f>
        <v>07990 646329</v>
      </c>
      <c r="AA298" t="str">
        <f>""</f>
        <v/>
      </c>
      <c r="AB298" t="s">
        <v>1406</v>
      </c>
      <c r="AC298" t="s">
        <v>10663</v>
      </c>
      <c r="AD298" t="s">
        <v>114</v>
      </c>
      <c r="AE298" s="63">
        <v>45319</v>
      </c>
      <c r="AF298" t="s">
        <v>156</v>
      </c>
      <c r="AG298" t="s">
        <v>112</v>
      </c>
      <c r="AH298" t="s">
        <v>112</v>
      </c>
      <c r="AI298" s="63">
        <v>43173</v>
      </c>
      <c r="AJ298" s="63">
        <v>45657</v>
      </c>
      <c r="AK298" t="s">
        <v>111</v>
      </c>
      <c r="AL298" t="s">
        <v>111</v>
      </c>
      <c r="AM298" t="s">
        <v>111</v>
      </c>
      <c r="AN298">
        <v>5433</v>
      </c>
      <c r="AO298" t="s">
        <v>110</v>
      </c>
      <c r="AP298" t="s">
        <v>109</v>
      </c>
    </row>
    <row r="299" spans="1:42" x14ac:dyDescent="0.25">
      <c r="A299" s="28" t="str">
        <f>"0396"</f>
        <v>0396</v>
      </c>
      <c r="B299">
        <v>396</v>
      </c>
      <c r="C299" t="s">
        <v>2488</v>
      </c>
      <c r="D299" t="s">
        <v>121</v>
      </c>
      <c r="F299" t="s">
        <v>120</v>
      </c>
      <c r="G299" t="s">
        <v>284</v>
      </c>
      <c r="I299" t="s">
        <v>2144</v>
      </c>
      <c r="J299" t="s">
        <v>7</v>
      </c>
      <c r="K299" s="63">
        <v>13915</v>
      </c>
      <c r="L299" s="28">
        <f>DATEDIF(K299,Zwift25!G$1,"Y")</f>
        <v>86</v>
      </c>
      <c r="M299" s="67">
        <f>IF(J299="m",VLOOKUP(L299,'All Solo Adjustments'!A:D,4,FALSE),VLOOKUP(L299,'All Solo Adjustments'!A:J,10,FALSE))</f>
        <v>1.4988425925925926E-2</v>
      </c>
      <c r="N299" s="63"/>
      <c r="O299" s="63"/>
      <c r="P299" s="63"/>
      <c r="Q299" s="63"/>
      <c r="R299" t="s">
        <v>198</v>
      </c>
      <c r="S299" t="s">
        <v>461</v>
      </c>
      <c r="T299" t="s">
        <v>292</v>
      </c>
      <c r="U299" t="s">
        <v>10662</v>
      </c>
      <c r="V299" t="s">
        <v>6960</v>
      </c>
      <c r="W299" t="s">
        <v>1247</v>
      </c>
      <c r="X299" t="s">
        <v>325</v>
      </c>
      <c r="Y299" t="s">
        <v>10661</v>
      </c>
      <c r="Z299" t="str">
        <f>"01204 886635"</f>
        <v>01204 886635</v>
      </c>
      <c r="AA299" t="str">
        <f>""</f>
        <v/>
      </c>
      <c r="AB299" t="s">
        <v>9498</v>
      </c>
      <c r="AC299" t="s">
        <v>10660</v>
      </c>
      <c r="AD299" t="s">
        <v>114</v>
      </c>
      <c r="AE299" s="63">
        <v>45309</v>
      </c>
      <c r="AF299" t="s">
        <v>113</v>
      </c>
      <c r="AG299" t="s">
        <v>112</v>
      </c>
      <c r="AH299" t="s">
        <v>112</v>
      </c>
      <c r="AI299" s="63">
        <v>35885</v>
      </c>
      <c r="AJ299" s="63">
        <v>45657</v>
      </c>
      <c r="AK299" t="s">
        <v>111</v>
      </c>
      <c r="AL299" t="s">
        <v>111</v>
      </c>
      <c r="AM299" t="s">
        <v>111</v>
      </c>
      <c r="AN299">
        <v>36823</v>
      </c>
      <c r="AO299" t="s">
        <v>110</v>
      </c>
      <c r="AP299" t="s">
        <v>109</v>
      </c>
    </row>
    <row r="300" spans="1:42" x14ac:dyDescent="0.25">
      <c r="A300" s="28" t="str">
        <f>"15949"</f>
        <v>15949</v>
      </c>
      <c r="B300">
        <v>15949</v>
      </c>
      <c r="C300" t="s">
        <v>2488</v>
      </c>
      <c r="D300" t="s">
        <v>121</v>
      </c>
      <c r="F300" t="s">
        <v>120</v>
      </c>
      <c r="G300" t="s">
        <v>245</v>
      </c>
      <c r="I300" t="s">
        <v>10659</v>
      </c>
      <c r="J300" t="s">
        <v>7</v>
      </c>
      <c r="K300" s="63">
        <v>27292</v>
      </c>
      <c r="L300" s="28">
        <f>DATEDIF(K300,Zwift25!G$1,"Y")</f>
        <v>50</v>
      </c>
      <c r="M300" s="67">
        <f>IF(J300="m",VLOOKUP(L300,'All Solo Adjustments'!A:D,4,FALSE),VLOOKUP(L300,'All Solo Adjustments'!A:J,10,FALSE))</f>
        <v>1.1342592592592591E-3</v>
      </c>
      <c r="N300" s="63"/>
      <c r="O300" s="63"/>
      <c r="P300" s="63"/>
      <c r="Q300" s="63"/>
      <c r="R300" t="s">
        <v>198</v>
      </c>
      <c r="S300" t="s">
        <v>461</v>
      </c>
      <c r="T300" t="s">
        <v>292</v>
      </c>
      <c r="U300" t="s">
        <v>10658</v>
      </c>
      <c r="W300" t="s">
        <v>10657</v>
      </c>
      <c r="Y300" t="s">
        <v>10656</v>
      </c>
      <c r="Z300" t="str">
        <f>"07723063620"</f>
        <v>07723063620</v>
      </c>
      <c r="AA300" t="str">
        <f>""</f>
        <v/>
      </c>
      <c r="AB300" t="s">
        <v>10655</v>
      </c>
      <c r="AC300" t="s">
        <v>10654</v>
      </c>
      <c r="AD300" t="s">
        <v>114</v>
      </c>
      <c r="AE300" s="63">
        <v>45273</v>
      </c>
      <c r="AF300" t="s">
        <v>156</v>
      </c>
      <c r="AG300" t="s">
        <v>112</v>
      </c>
      <c r="AH300" t="s">
        <v>112</v>
      </c>
      <c r="AI300" s="63">
        <v>45273</v>
      </c>
      <c r="AJ300" s="63">
        <v>45657</v>
      </c>
      <c r="AK300" t="s">
        <v>112</v>
      </c>
      <c r="AL300" t="s">
        <v>111</v>
      </c>
      <c r="AM300" t="s">
        <v>111</v>
      </c>
      <c r="AN300">
        <v>14257</v>
      </c>
      <c r="AO300" t="s">
        <v>110</v>
      </c>
      <c r="AP300" t="s">
        <v>109</v>
      </c>
    </row>
    <row r="301" spans="1:42" x14ac:dyDescent="0.25">
      <c r="A301" s="28" t="str">
        <f>"6016"</f>
        <v>6016</v>
      </c>
      <c r="B301">
        <v>6016</v>
      </c>
      <c r="C301" t="s">
        <v>2488</v>
      </c>
      <c r="D301" t="s">
        <v>121</v>
      </c>
      <c r="F301" t="s">
        <v>120</v>
      </c>
      <c r="G301" t="s">
        <v>165</v>
      </c>
      <c r="I301" t="s">
        <v>10653</v>
      </c>
      <c r="J301" t="s">
        <v>7</v>
      </c>
      <c r="K301" s="63">
        <v>19373</v>
      </c>
      <c r="L301" s="28">
        <f>DATEDIF(K301,Zwift25!G$1,"Y")</f>
        <v>71</v>
      </c>
      <c r="M301" s="67">
        <f>IF(J301="m",VLOOKUP(L301,'All Solo Adjustments'!A:D,4,FALSE),VLOOKUP(L301,'All Solo Adjustments'!A:J,10,FALSE))</f>
        <v>6.7245370370370375E-3</v>
      </c>
      <c r="N301" s="63"/>
      <c r="O301" s="63"/>
      <c r="P301" s="63"/>
      <c r="Q301" s="63"/>
      <c r="R301" t="s">
        <v>159</v>
      </c>
      <c r="S301" t="s">
        <v>162</v>
      </c>
      <c r="T301" t="s">
        <v>292</v>
      </c>
      <c r="U301" t="s">
        <v>10652</v>
      </c>
      <c r="V301" t="s">
        <v>10651</v>
      </c>
      <c r="W301" t="s">
        <v>2141</v>
      </c>
      <c r="X301" t="s">
        <v>159</v>
      </c>
      <c r="Y301" t="s">
        <v>10650</v>
      </c>
      <c r="Z301" t="str">
        <f>"01233 756610"</f>
        <v>01233 756610</v>
      </c>
      <c r="AA301" t="str">
        <f>"07511034506"</f>
        <v>07511034506</v>
      </c>
      <c r="AB301" t="s">
        <v>10649</v>
      </c>
      <c r="AC301" t="s">
        <v>10648</v>
      </c>
      <c r="AD301" t="s">
        <v>114</v>
      </c>
      <c r="AE301" s="63">
        <v>45296</v>
      </c>
      <c r="AF301" t="s">
        <v>113</v>
      </c>
      <c r="AG301" t="s">
        <v>112</v>
      </c>
      <c r="AH301" t="s">
        <v>112</v>
      </c>
      <c r="AI301" s="63">
        <v>43451</v>
      </c>
      <c r="AJ301" s="63">
        <v>45657</v>
      </c>
      <c r="AK301" t="s">
        <v>111</v>
      </c>
      <c r="AL301" t="s">
        <v>111</v>
      </c>
      <c r="AM301" t="s">
        <v>111</v>
      </c>
      <c r="AN301">
        <v>17227</v>
      </c>
      <c r="AO301" t="s">
        <v>110</v>
      </c>
      <c r="AP301" t="s">
        <v>109</v>
      </c>
    </row>
    <row r="302" spans="1:42" x14ac:dyDescent="0.25">
      <c r="A302" s="28" t="str">
        <f>"15090"</f>
        <v>15090</v>
      </c>
      <c r="B302">
        <v>15090</v>
      </c>
      <c r="C302" t="s">
        <v>2488</v>
      </c>
      <c r="D302" t="s">
        <v>121</v>
      </c>
      <c r="F302" t="s">
        <v>120</v>
      </c>
      <c r="G302" t="s">
        <v>7258</v>
      </c>
      <c r="H302" t="s">
        <v>594</v>
      </c>
      <c r="I302" t="s">
        <v>10647</v>
      </c>
      <c r="J302" t="s">
        <v>7</v>
      </c>
      <c r="K302" s="63">
        <v>23913</v>
      </c>
      <c r="L302" s="28">
        <f>DATEDIF(K302,Zwift25!G$1,"Y")</f>
        <v>59</v>
      </c>
      <c r="M302" s="67">
        <f>IF(J302="m",VLOOKUP(L302,'All Solo Adjustments'!A:D,4,FALSE),VLOOKUP(L302,'All Solo Adjustments'!A:J,10,FALSE))</f>
        <v>2.9629629629629632E-3</v>
      </c>
      <c r="N302" s="63"/>
      <c r="O302" s="63"/>
      <c r="P302" s="63"/>
      <c r="Q302" s="63"/>
      <c r="R302" t="s">
        <v>137</v>
      </c>
      <c r="S302" t="s">
        <v>136</v>
      </c>
      <c r="T302" t="s">
        <v>292</v>
      </c>
      <c r="U302" t="s">
        <v>10646</v>
      </c>
      <c r="V302" t="s">
        <v>466</v>
      </c>
      <c r="W302" t="s">
        <v>5128</v>
      </c>
      <c r="X302" t="s">
        <v>564</v>
      </c>
      <c r="Y302" t="s">
        <v>10645</v>
      </c>
      <c r="Z302" t="str">
        <f>"07976821751"</f>
        <v>07976821751</v>
      </c>
      <c r="AA302" t="str">
        <f>"01189810491"</f>
        <v>01189810491</v>
      </c>
      <c r="AB302" t="s">
        <v>439</v>
      </c>
      <c r="AC302" t="s">
        <v>10644</v>
      </c>
      <c r="AD302" t="s">
        <v>114</v>
      </c>
      <c r="AE302" s="63">
        <v>45265</v>
      </c>
      <c r="AF302" t="s">
        <v>113</v>
      </c>
      <c r="AG302" t="s">
        <v>112</v>
      </c>
      <c r="AH302" t="s">
        <v>112</v>
      </c>
      <c r="AI302" s="63">
        <v>44343</v>
      </c>
      <c r="AJ302" s="63">
        <v>45657</v>
      </c>
      <c r="AK302" t="s">
        <v>112</v>
      </c>
      <c r="AL302" t="s">
        <v>111</v>
      </c>
      <c r="AM302" t="s">
        <v>111</v>
      </c>
      <c r="AN302">
        <v>4474</v>
      </c>
      <c r="AO302" t="s">
        <v>110</v>
      </c>
      <c r="AP302" t="s">
        <v>109</v>
      </c>
    </row>
    <row r="303" spans="1:42" x14ac:dyDescent="0.25">
      <c r="A303" s="28" t="str">
        <f>"15292"</f>
        <v>15292</v>
      </c>
      <c r="B303">
        <v>15292</v>
      </c>
      <c r="C303" t="s">
        <v>2488</v>
      </c>
      <c r="D303" t="s">
        <v>121</v>
      </c>
      <c r="F303" t="s">
        <v>120</v>
      </c>
      <c r="G303" t="s">
        <v>165</v>
      </c>
      <c r="I303" t="s">
        <v>724</v>
      </c>
      <c r="J303" t="s">
        <v>7</v>
      </c>
      <c r="K303" s="63">
        <v>24754</v>
      </c>
      <c r="L303" s="28">
        <f>DATEDIF(K303,Zwift25!G$1,"Y")</f>
        <v>57</v>
      </c>
      <c r="M303" s="67">
        <f>IF(J303="m",VLOOKUP(L303,'All Solo Adjustments'!A:D,4,FALSE),VLOOKUP(L303,'All Solo Adjustments'!A:J,10,FALSE))</f>
        <v>2.488425925925926E-3</v>
      </c>
      <c r="N303" s="63"/>
      <c r="O303" s="63"/>
      <c r="P303" s="63"/>
      <c r="Q303" s="63"/>
      <c r="R303" t="s">
        <v>239</v>
      </c>
      <c r="S303" t="s">
        <v>274</v>
      </c>
      <c r="T303" t="s">
        <v>292</v>
      </c>
      <c r="U303" t="s">
        <v>10643</v>
      </c>
      <c r="V303" t="s">
        <v>10642</v>
      </c>
      <c r="W303" t="s">
        <v>1634</v>
      </c>
      <c r="X303" t="s">
        <v>10641</v>
      </c>
      <c r="Y303" t="s">
        <v>10640</v>
      </c>
      <c r="Z303" t="str">
        <f>"07747610467"</f>
        <v>07747610467</v>
      </c>
      <c r="AA303" t="str">
        <f>""</f>
        <v/>
      </c>
      <c r="AB303" t="s">
        <v>2423</v>
      </c>
      <c r="AC303" t="s">
        <v>10639</v>
      </c>
      <c r="AD303" t="s">
        <v>114</v>
      </c>
      <c r="AE303" s="63">
        <v>45299</v>
      </c>
      <c r="AF303" t="s">
        <v>156</v>
      </c>
      <c r="AG303" t="s">
        <v>112</v>
      </c>
      <c r="AH303" t="s">
        <v>112</v>
      </c>
      <c r="AI303" s="63">
        <v>44513</v>
      </c>
      <c r="AJ303" s="63">
        <v>45657</v>
      </c>
      <c r="AK303" t="s">
        <v>112</v>
      </c>
      <c r="AL303" t="s">
        <v>111</v>
      </c>
      <c r="AM303" t="s">
        <v>111</v>
      </c>
      <c r="AN303">
        <v>29791</v>
      </c>
      <c r="AO303" t="s">
        <v>110</v>
      </c>
      <c r="AP303" t="s">
        <v>109</v>
      </c>
    </row>
    <row r="304" spans="1:42" x14ac:dyDescent="0.25">
      <c r="A304" s="28" t="str">
        <f>"4663"</f>
        <v>4663</v>
      </c>
      <c r="B304">
        <v>4663</v>
      </c>
      <c r="C304" t="s">
        <v>2488</v>
      </c>
      <c r="D304" t="s">
        <v>121</v>
      </c>
      <c r="E304" t="s">
        <v>584</v>
      </c>
      <c r="F304" t="s">
        <v>403</v>
      </c>
      <c r="G304" t="s">
        <v>300</v>
      </c>
      <c r="H304" t="s">
        <v>10638</v>
      </c>
      <c r="I304" t="s">
        <v>10637</v>
      </c>
      <c r="J304" t="s">
        <v>7</v>
      </c>
      <c r="K304" s="63">
        <v>19209</v>
      </c>
      <c r="L304" s="28">
        <f>DATEDIF(K304,Zwift25!G$1,"Y")</f>
        <v>72</v>
      </c>
      <c r="M304" s="67">
        <f>IF(J304="m",VLOOKUP(L304,'All Solo Adjustments'!A:D,4,FALSE),VLOOKUP(L304,'All Solo Adjustments'!A:J,10,FALSE))</f>
        <v>7.129629629629629E-3</v>
      </c>
      <c r="N304" s="63"/>
      <c r="O304" s="63"/>
      <c r="P304" s="63"/>
      <c r="Q304" s="63"/>
      <c r="R304" t="s">
        <v>213</v>
      </c>
      <c r="S304" t="s">
        <v>212</v>
      </c>
      <c r="T304" t="s">
        <v>292</v>
      </c>
      <c r="U304" t="s">
        <v>10636</v>
      </c>
      <c r="V304" t="s">
        <v>10635</v>
      </c>
      <c r="W304" t="s">
        <v>9454</v>
      </c>
      <c r="X304" t="s">
        <v>503</v>
      </c>
      <c r="Y304" t="s">
        <v>10634</v>
      </c>
      <c r="Z304" t="str">
        <f>"0151 6252595"</f>
        <v>0151 6252595</v>
      </c>
      <c r="AA304" t="str">
        <f>""</f>
        <v/>
      </c>
      <c r="AB304" t="s">
        <v>430</v>
      </c>
      <c r="AC304" t="s">
        <v>10633</v>
      </c>
      <c r="AD304" t="s">
        <v>114</v>
      </c>
      <c r="AE304" s="63">
        <v>45260</v>
      </c>
      <c r="AF304" t="s">
        <v>113</v>
      </c>
      <c r="AG304" t="s">
        <v>112</v>
      </c>
      <c r="AH304" t="s">
        <v>112</v>
      </c>
      <c r="AI304" s="63">
        <v>41292</v>
      </c>
      <c r="AJ304" s="63">
        <v>45657</v>
      </c>
      <c r="AK304" t="s">
        <v>111</v>
      </c>
      <c r="AL304" t="s">
        <v>111</v>
      </c>
      <c r="AM304" t="s">
        <v>111</v>
      </c>
      <c r="AN304">
        <v>2339</v>
      </c>
      <c r="AO304" t="s">
        <v>110</v>
      </c>
      <c r="AP304" t="s">
        <v>109</v>
      </c>
    </row>
    <row r="305" spans="1:42" x14ac:dyDescent="0.25">
      <c r="A305" s="28" t="str">
        <f>"0400"</f>
        <v>0400</v>
      </c>
      <c r="B305">
        <v>400</v>
      </c>
      <c r="C305" t="s">
        <v>2488</v>
      </c>
      <c r="D305" t="s">
        <v>121</v>
      </c>
      <c r="F305" t="s">
        <v>120</v>
      </c>
      <c r="G305" t="s">
        <v>1847</v>
      </c>
      <c r="I305" t="s">
        <v>10632</v>
      </c>
      <c r="J305" t="s">
        <v>7</v>
      </c>
      <c r="K305" s="63">
        <v>12729</v>
      </c>
      <c r="L305" s="28">
        <f>DATEDIF(K305,Zwift25!G$1,"Y")</f>
        <v>89</v>
      </c>
      <c r="M305" s="67">
        <f>IF(J305="m",VLOOKUP(L305,'All Solo Adjustments'!A:D,4,FALSE),VLOOKUP(L305,'All Solo Adjustments'!A:J,10,FALSE))</f>
        <v>1.7465277777777777E-2</v>
      </c>
      <c r="N305" s="63"/>
      <c r="O305" s="63"/>
      <c r="P305" s="63"/>
      <c r="Q305" s="63"/>
      <c r="R305" t="s">
        <v>239</v>
      </c>
      <c r="S305" t="s">
        <v>437</v>
      </c>
      <c r="T305" t="s">
        <v>292</v>
      </c>
      <c r="U305" t="s">
        <v>10631</v>
      </c>
      <c r="V305" t="s">
        <v>1292</v>
      </c>
      <c r="Y305" t="s">
        <v>10630</v>
      </c>
      <c r="Z305" t="str">
        <f>"07795 997877"</f>
        <v>07795 997877</v>
      </c>
      <c r="AA305" t="str">
        <f>""</f>
        <v/>
      </c>
      <c r="AB305" t="s">
        <v>2313</v>
      </c>
      <c r="AD305" t="s">
        <v>145</v>
      </c>
      <c r="AF305" t="s">
        <v>113</v>
      </c>
      <c r="AG305" t="s">
        <v>112</v>
      </c>
      <c r="AH305" t="s">
        <v>112</v>
      </c>
      <c r="AI305" s="63">
        <v>36161</v>
      </c>
      <c r="AK305" t="s">
        <v>111</v>
      </c>
      <c r="AL305" t="s">
        <v>111</v>
      </c>
      <c r="AM305" t="s">
        <v>111</v>
      </c>
      <c r="AN305" t="s">
        <v>105</v>
      </c>
      <c r="AO305" t="s">
        <v>110</v>
      </c>
      <c r="AP305" t="s">
        <v>109</v>
      </c>
    </row>
    <row r="306" spans="1:42" x14ac:dyDescent="0.25">
      <c r="A306" s="28" t="str">
        <f>"15652"</f>
        <v>15652</v>
      </c>
      <c r="B306">
        <v>15652</v>
      </c>
      <c r="C306" t="s">
        <v>2488</v>
      </c>
      <c r="D306" t="s">
        <v>121</v>
      </c>
      <c r="F306" t="s">
        <v>120</v>
      </c>
      <c r="G306" t="s">
        <v>10629</v>
      </c>
      <c r="H306" t="s">
        <v>318</v>
      </c>
      <c r="I306" t="s">
        <v>10628</v>
      </c>
      <c r="J306" t="s">
        <v>7</v>
      </c>
      <c r="K306" s="63">
        <v>26966</v>
      </c>
      <c r="L306" s="28">
        <f>DATEDIF(K306,Zwift25!G$1,"Y")</f>
        <v>50</v>
      </c>
      <c r="M306" s="67">
        <f>IF(J306="m",VLOOKUP(L306,'All Solo Adjustments'!A:D,4,FALSE),VLOOKUP(L306,'All Solo Adjustments'!A:J,10,FALSE))</f>
        <v>1.1342592592592591E-3</v>
      </c>
      <c r="N306" s="63"/>
      <c r="O306" s="63"/>
      <c r="P306" s="63"/>
      <c r="Q306" s="63"/>
      <c r="R306" t="s">
        <v>213</v>
      </c>
      <c r="S306" t="s">
        <v>212</v>
      </c>
      <c r="T306" t="s">
        <v>292</v>
      </c>
      <c r="U306" t="s">
        <v>10627</v>
      </c>
      <c r="V306" t="s">
        <v>10626</v>
      </c>
      <c r="W306" t="s">
        <v>10625</v>
      </c>
      <c r="X306" t="s">
        <v>10624</v>
      </c>
      <c r="Y306" t="s">
        <v>10623</v>
      </c>
      <c r="Z306" t="str">
        <f>"07773238771"</f>
        <v>07773238771</v>
      </c>
      <c r="AA306" t="str">
        <f>""</f>
        <v/>
      </c>
      <c r="AB306" t="s">
        <v>1065</v>
      </c>
      <c r="AC306" t="s">
        <v>10622</v>
      </c>
      <c r="AD306" t="s">
        <v>114</v>
      </c>
      <c r="AE306" s="63">
        <v>45271</v>
      </c>
      <c r="AF306" t="s">
        <v>156</v>
      </c>
      <c r="AG306" t="s">
        <v>112</v>
      </c>
      <c r="AH306" t="s">
        <v>112</v>
      </c>
      <c r="AI306" s="63">
        <v>44936</v>
      </c>
      <c r="AJ306" s="63">
        <v>45657</v>
      </c>
      <c r="AK306" t="s">
        <v>112</v>
      </c>
      <c r="AL306" t="s">
        <v>111</v>
      </c>
      <c r="AM306" t="s">
        <v>111</v>
      </c>
      <c r="AN306">
        <v>7988</v>
      </c>
      <c r="AO306" t="s">
        <v>110</v>
      </c>
      <c r="AP306" t="s">
        <v>109</v>
      </c>
    </row>
    <row r="307" spans="1:42" x14ac:dyDescent="0.25">
      <c r="A307" s="28" t="str">
        <f>"4814"</f>
        <v>4814</v>
      </c>
      <c r="B307">
        <v>4814</v>
      </c>
      <c r="C307" t="s">
        <v>2488</v>
      </c>
      <c r="D307" t="s">
        <v>121</v>
      </c>
      <c r="F307" t="s">
        <v>120</v>
      </c>
      <c r="G307" t="s">
        <v>334</v>
      </c>
      <c r="H307" t="s">
        <v>359</v>
      </c>
      <c r="I307" t="s">
        <v>900</v>
      </c>
      <c r="J307" t="s">
        <v>7</v>
      </c>
      <c r="K307" s="63">
        <v>24011</v>
      </c>
      <c r="L307" s="28">
        <f>DATEDIF(K307,Zwift25!G$1,"Y")</f>
        <v>59</v>
      </c>
      <c r="M307" s="67">
        <f>IF(J307="m",VLOOKUP(L307,'All Solo Adjustments'!A:D,4,FALSE),VLOOKUP(L307,'All Solo Adjustments'!A:J,10,FALSE))</f>
        <v>2.9629629629629632E-3</v>
      </c>
      <c r="N307" s="63"/>
      <c r="O307" s="63"/>
      <c r="P307" s="63"/>
      <c r="Q307" s="63"/>
      <c r="R307" t="s">
        <v>180</v>
      </c>
      <c r="S307" t="s">
        <v>179</v>
      </c>
      <c r="T307" t="s">
        <v>292</v>
      </c>
      <c r="U307" t="s">
        <v>10621</v>
      </c>
      <c r="V307" t="s">
        <v>10620</v>
      </c>
      <c r="W307" t="s">
        <v>992</v>
      </c>
      <c r="X307" t="s">
        <v>1258</v>
      </c>
      <c r="Y307" t="s">
        <v>10619</v>
      </c>
      <c r="Z307" t="str">
        <f>"0116 2414762"</f>
        <v>0116 2414762</v>
      </c>
      <c r="AA307" t="str">
        <f>"07926500814"</f>
        <v>07926500814</v>
      </c>
      <c r="AB307" t="s">
        <v>258</v>
      </c>
      <c r="AC307" t="s">
        <v>10618</v>
      </c>
      <c r="AD307" t="s">
        <v>114</v>
      </c>
      <c r="AE307" s="63">
        <v>45264</v>
      </c>
      <c r="AF307" t="s">
        <v>113</v>
      </c>
      <c r="AG307" t="s">
        <v>112</v>
      </c>
      <c r="AH307" t="s">
        <v>112</v>
      </c>
      <c r="AI307" s="63">
        <v>41466</v>
      </c>
      <c r="AJ307" s="63">
        <v>45657</v>
      </c>
      <c r="AK307" t="s">
        <v>111</v>
      </c>
      <c r="AL307" t="s">
        <v>111</v>
      </c>
      <c r="AM307" t="s">
        <v>111</v>
      </c>
      <c r="AN307">
        <v>3887</v>
      </c>
      <c r="AO307" t="s">
        <v>110</v>
      </c>
      <c r="AP307" t="s">
        <v>109</v>
      </c>
    </row>
    <row r="308" spans="1:42" x14ac:dyDescent="0.25">
      <c r="A308" s="28" t="str">
        <f>"14308"</f>
        <v>14308</v>
      </c>
      <c r="B308">
        <v>14308</v>
      </c>
      <c r="C308" t="s">
        <v>2488</v>
      </c>
      <c r="D308" t="s">
        <v>132</v>
      </c>
      <c r="F308" t="s">
        <v>144</v>
      </c>
      <c r="G308" t="s">
        <v>913</v>
      </c>
      <c r="I308" t="s">
        <v>10617</v>
      </c>
      <c r="J308" t="s">
        <v>126</v>
      </c>
      <c r="K308" s="63">
        <v>28980</v>
      </c>
      <c r="L308" s="28">
        <f>DATEDIF(K308,Zwift25!G$1,"Y")</f>
        <v>45</v>
      </c>
      <c r="M308" s="67">
        <f>IF(J308="m",VLOOKUP(L308,'All Solo Adjustments'!A:D,4,FALSE),VLOOKUP(L308,'All Solo Adjustments'!A:J,10,FALSE))</f>
        <v>4.6180555555555558E-3</v>
      </c>
      <c r="N308" s="63"/>
      <c r="O308" s="63"/>
      <c r="P308" s="63"/>
      <c r="Q308" s="63"/>
      <c r="R308" t="s">
        <v>198</v>
      </c>
      <c r="S308" t="s">
        <v>197</v>
      </c>
      <c r="T308" t="s">
        <v>292</v>
      </c>
      <c r="U308" t="s">
        <v>666</v>
      </c>
      <c r="V308" t="s">
        <v>902</v>
      </c>
      <c r="W308" t="s">
        <v>901</v>
      </c>
      <c r="X308" t="s">
        <v>325</v>
      </c>
      <c r="Y308" t="s">
        <v>665</v>
      </c>
      <c r="Z308" t="str">
        <f>"07863801111"</f>
        <v>07863801111</v>
      </c>
      <c r="AA308" t="str">
        <f>"07863801111"</f>
        <v>07863801111</v>
      </c>
      <c r="AB308" t="s">
        <v>10616</v>
      </c>
      <c r="AC308" t="s">
        <v>10615</v>
      </c>
      <c r="AD308" t="s">
        <v>114</v>
      </c>
      <c r="AE308" s="63">
        <v>45287</v>
      </c>
      <c r="AF308" t="s">
        <v>113</v>
      </c>
      <c r="AG308" t="s">
        <v>112</v>
      </c>
      <c r="AH308" t="s">
        <v>112</v>
      </c>
      <c r="AI308" s="63">
        <v>43647</v>
      </c>
      <c r="AJ308" s="63">
        <v>45657</v>
      </c>
      <c r="AK308" t="s">
        <v>112</v>
      </c>
      <c r="AL308" t="s">
        <v>111</v>
      </c>
      <c r="AM308" t="s">
        <v>111</v>
      </c>
      <c r="AN308">
        <v>19910</v>
      </c>
      <c r="AO308" t="s">
        <v>122</v>
      </c>
      <c r="AP308" t="s">
        <v>122</v>
      </c>
    </row>
    <row r="309" spans="1:42" x14ac:dyDescent="0.25">
      <c r="A309" s="28" t="str">
        <f>"14309"</f>
        <v>14309</v>
      </c>
      <c r="B309">
        <v>14309</v>
      </c>
      <c r="C309" t="s">
        <v>2488</v>
      </c>
      <c r="D309" t="s">
        <v>130</v>
      </c>
      <c r="F309" t="s">
        <v>120</v>
      </c>
      <c r="G309" t="s">
        <v>165</v>
      </c>
      <c r="H309" t="s">
        <v>1090</v>
      </c>
      <c r="I309" t="s">
        <v>667</v>
      </c>
      <c r="J309" t="s">
        <v>7</v>
      </c>
      <c r="K309" s="63">
        <v>28407</v>
      </c>
      <c r="L309" s="28">
        <f>DATEDIF(K309,Zwift25!G$1,"Y")</f>
        <v>47</v>
      </c>
      <c r="M309" s="67">
        <f>IF(J309="m",VLOOKUP(L309,'All Solo Adjustments'!A:D,4,FALSE),VLOOKUP(L309,'All Solo Adjustments'!A:J,10,FALSE))</f>
        <v>6.9444444444444436E-4</v>
      </c>
      <c r="N309" s="63"/>
      <c r="O309" s="63"/>
      <c r="P309" s="63"/>
      <c r="Q309" s="63"/>
      <c r="R309" t="s">
        <v>198</v>
      </c>
      <c r="S309" t="s">
        <v>197</v>
      </c>
      <c r="T309" t="s">
        <v>292</v>
      </c>
      <c r="U309" t="s">
        <v>666</v>
      </c>
      <c r="V309" t="s">
        <v>902</v>
      </c>
      <c r="W309" t="s">
        <v>901</v>
      </c>
      <c r="X309" t="s">
        <v>325</v>
      </c>
      <c r="Y309" t="s">
        <v>665</v>
      </c>
      <c r="Z309" t="str">
        <f>"07863801111"</f>
        <v>07863801111</v>
      </c>
      <c r="AA309" t="str">
        <f>"07863801111"</f>
        <v>07863801111</v>
      </c>
      <c r="AB309" t="s">
        <v>2063</v>
      </c>
      <c r="AC309" t="s">
        <v>10614</v>
      </c>
      <c r="AD309" t="s">
        <v>114</v>
      </c>
      <c r="AE309" s="63">
        <v>45287</v>
      </c>
      <c r="AF309" t="s">
        <v>113</v>
      </c>
      <c r="AG309" t="s">
        <v>112</v>
      </c>
      <c r="AH309" t="s">
        <v>112</v>
      </c>
      <c r="AI309" s="63">
        <v>43647</v>
      </c>
      <c r="AJ309" s="63">
        <v>45657</v>
      </c>
      <c r="AK309" t="s">
        <v>112</v>
      </c>
      <c r="AL309" t="s">
        <v>111</v>
      </c>
      <c r="AM309" t="s">
        <v>111</v>
      </c>
      <c r="AN309">
        <v>21437</v>
      </c>
      <c r="AO309" t="s">
        <v>110</v>
      </c>
      <c r="AP309" t="s">
        <v>109</v>
      </c>
    </row>
    <row r="310" spans="1:42" x14ac:dyDescent="0.25">
      <c r="A310" s="28" t="str">
        <f>"15989"</f>
        <v>15989</v>
      </c>
      <c r="B310">
        <v>15989</v>
      </c>
      <c r="C310" t="s">
        <v>2488</v>
      </c>
      <c r="D310" t="s">
        <v>121</v>
      </c>
      <c r="F310" t="s">
        <v>120</v>
      </c>
      <c r="G310" t="s">
        <v>1090</v>
      </c>
      <c r="I310" t="s">
        <v>10613</v>
      </c>
      <c r="J310" t="s">
        <v>7</v>
      </c>
      <c r="K310" s="63">
        <v>24231</v>
      </c>
      <c r="L310" s="28">
        <f>DATEDIF(K310,Zwift25!G$1,"Y")</f>
        <v>58</v>
      </c>
      <c r="M310" s="67">
        <f>IF(J310="m",VLOOKUP(L310,'All Solo Adjustments'!A:D,4,FALSE),VLOOKUP(L310,'All Solo Adjustments'!A:J,10,FALSE))</f>
        <v>2.7199074074074074E-3</v>
      </c>
      <c r="N310" s="63"/>
      <c r="O310" s="63"/>
      <c r="P310" s="63"/>
      <c r="Q310" s="63"/>
      <c r="R310" t="s">
        <v>137</v>
      </c>
      <c r="S310" t="s">
        <v>136</v>
      </c>
      <c r="T310" t="s">
        <v>292</v>
      </c>
      <c r="U310" t="s">
        <v>10612</v>
      </c>
      <c r="X310" t="s">
        <v>636</v>
      </c>
      <c r="Y310" t="s">
        <v>10611</v>
      </c>
      <c r="Z310" t="str">
        <f>"07500817842"</f>
        <v>07500817842</v>
      </c>
      <c r="AA310" t="str">
        <f>""</f>
        <v/>
      </c>
      <c r="AB310" t="s">
        <v>10610</v>
      </c>
      <c r="AC310" t="s">
        <v>10609</v>
      </c>
      <c r="AD310" t="s">
        <v>114</v>
      </c>
      <c r="AE310" s="63">
        <v>45300</v>
      </c>
      <c r="AF310" t="s">
        <v>156</v>
      </c>
      <c r="AG310" t="s">
        <v>112</v>
      </c>
      <c r="AH310" t="s">
        <v>112</v>
      </c>
      <c r="AI310" s="63">
        <v>45300</v>
      </c>
      <c r="AJ310" s="63">
        <v>45657</v>
      </c>
      <c r="AK310" t="s">
        <v>112</v>
      </c>
      <c r="AL310" t="s">
        <v>111</v>
      </c>
      <c r="AM310" t="s">
        <v>111</v>
      </c>
      <c r="AN310">
        <v>31508</v>
      </c>
      <c r="AO310" t="s">
        <v>110</v>
      </c>
      <c r="AP310" t="s">
        <v>109</v>
      </c>
    </row>
    <row r="311" spans="1:42" x14ac:dyDescent="0.25">
      <c r="A311" s="28" t="str">
        <f>"13796"</f>
        <v>13796</v>
      </c>
      <c r="B311">
        <v>13796</v>
      </c>
      <c r="C311" t="s">
        <v>2488</v>
      </c>
      <c r="D311" t="s">
        <v>121</v>
      </c>
      <c r="E311" t="s">
        <v>584</v>
      </c>
      <c r="F311" t="s">
        <v>120</v>
      </c>
      <c r="G311" t="s">
        <v>492</v>
      </c>
      <c r="H311" t="s">
        <v>1104</v>
      </c>
      <c r="I311" t="s">
        <v>10608</v>
      </c>
      <c r="J311" t="s">
        <v>7</v>
      </c>
      <c r="K311" s="63">
        <v>19008</v>
      </c>
      <c r="L311" s="28">
        <f>DATEDIF(K311,Zwift25!G$1,"Y")</f>
        <v>72</v>
      </c>
      <c r="M311" s="67">
        <f>IF(J311="m",VLOOKUP(L311,'All Solo Adjustments'!A:D,4,FALSE),VLOOKUP(L311,'All Solo Adjustments'!A:J,10,FALSE))</f>
        <v>7.129629629629629E-3</v>
      </c>
      <c r="N311" s="63"/>
      <c r="O311" s="63"/>
      <c r="P311" s="63"/>
      <c r="Q311" s="63"/>
      <c r="R311" t="s">
        <v>239</v>
      </c>
      <c r="S311" t="s">
        <v>274</v>
      </c>
      <c r="T311" t="s">
        <v>292</v>
      </c>
      <c r="U311" t="s">
        <v>10607</v>
      </c>
      <c r="V311" t="s">
        <v>1751</v>
      </c>
      <c r="W311" t="s">
        <v>627</v>
      </c>
      <c r="Y311" t="s">
        <v>10606</v>
      </c>
      <c r="Z311" t="str">
        <f>"07764432593"</f>
        <v>07764432593</v>
      </c>
      <c r="AA311" t="str">
        <f>"01132935545"</f>
        <v>01132935545</v>
      </c>
      <c r="AB311" t="s">
        <v>2069</v>
      </c>
      <c r="AC311" t="s">
        <v>10605</v>
      </c>
      <c r="AD311" t="s">
        <v>114</v>
      </c>
      <c r="AE311" s="63">
        <v>45288</v>
      </c>
      <c r="AF311" t="s">
        <v>113</v>
      </c>
      <c r="AG311" t="s">
        <v>112</v>
      </c>
      <c r="AH311" t="s">
        <v>112</v>
      </c>
      <c r="AI311" s="63">
        <v>43341</v>
      </c>
      <c r="AJ311" s="63">
        <v>45657</v>
      </c>
      <c r="AK311" t="s">
        <v>112</v>
      </c>
      <c r="AL311" t="s">
        <v>111</v>
      </c>
      <c r="AM311" t="s">
        <v>111</v>
      </c>
      <c r="AN311">
        <v>9254</v>
      </c>
      <c r="AO311" t="s">
        <v>110</v>
      </c>
      <c r="AP311" t="s">
        <v>109</v>
      </c>
    </row>
    <row r="312" spans="1:42" x14ac:dyDescent="0.25">
      <c r="A312" s="28" t="str">
        <f>"0409"</f>
        <v>0409</v>
      </c>
      <c r="B312">
        <v>409</v>
      </c>
      <c r="C312" t="s">
        <v>2488</v>
      </c>
      <c r="D312" t="s">
        <v>121</v>
      </c>
      <c r="F312" t="s">
        <v>120</v>
      </c>
      <c r="G312" t="s">
        <v>227</v>
      </c>
      <c r="H312" t="s">
        <v>10604</v>
      </c>
      <c r="I312" t="s">
        <v>2140</v>
      </c>
      <c r="J312" t="s">
        <v>7</v>
      </c>
      <c r="K312" s="63">
        <v>14146</v>
      </c>
      <c r="L312" s="28">
        <f>DATEDIF(K312,Zwift25!G$1,"Y")</f>
        <v>86</v>
      </c>
      <c r="M312" s="67">
        <f>IF(J312="m",VLOOKUP(L312,'All Solo Adjustments'!A:D,4,FALSE),VLOOKUP(L312,'All Solo Adjustments'!A:J,10,FALSE))</f>
        <v>1.4988425925925926E-2</v>
      </c>
      <c r="N312" s="63"/>
      <c r="O312" s="63"/>
      <c r="P312" s="63"/>
      <c r="Q312" s="63"/>
      <c r="R312" t="s">
        <v>198</v>
      </c>
      <c r="S312" t="s">
        <v>461</v>
      </c>
      <c r="T312" t="s">
        <v>292</v>
      </c>
      <c r="U312" t="s">
        <v>10603</v>
      </c>
      <c r="V312" t="s">
        <v>1178</v>
      </c>
      <c r="W312" t="s">
        <v>196</v>
      </c>
      <c r="Y312" t="s">
        <v>10602</v>
      </c>
      <c r="Z312" t="str">
        <f>""</f>
        <v/>
      </c>
      <c r="AA312" t="str">
        <f>""</f>
        <v/>
      </c>
      <c r="AB312" t="s">
        <v>1269</v>
      </c>
      <c r="AC312" t="s">
        <v>10601</v>
      </c>
      <c r="AD312" t="s">
        <v>145</v>
      </c>
      <c r="AE312" s="63">
        <v>45348</v>
      </c>
      <c r="AF312" t="s">
        <v>113</v>
      </c>
      <c r="AG312" t="s">
        <v>112</v>
      </c>
      <c r="AH312" t="s">
        <v>112</v>
      </c>
      <c r="AI312" s="63">
        <v>28794</v>
      </c>
      <c r="AJ312" s="63">
        <v>45657</v>
      </c>
      <c r="AK312" t="s">
        <v>111</v>
      </c>
      <c r="AL312" t="s">
        <v>111</v>
      </c>
      <c r="AM312" t="s">
        <v>111</v>
      </c>
      <c r="AN312" t="s">
        <v>105</v>
      </c>
      <c r="AO312" t="s">
        <v>110</v>
      </c>
      <c r="AP312" t="s">
        <v>109</v>
      </c>
    </row>
    <row r="313" spans="1:42" x14ac:dyDescent="0.25">
      <c r="A313" s="28" t="str">
        <f>"16201"</f>
        <v>16201</v>
      </c>
      <c r="B313">
        <v>16201</v>
      </c>
      <c r="C313" t="s">
        <v>2488</v>
      </c>
      <c r="D313" t="s">
        <v>121</v>
      </c>
      <c r="F313" t="s">
        <v>144</v>
      </c>
      <c r="G313" t="s">
        <v>10600</v>
      </c>
      <c r="I313" t="s">
        <v>10599</v>
      </c>
      <c r="J313" t="s">
        <v>126</v>
      </c>
      <c r="K313" s="63">
        <v>29818</v>
      </c>
      <c r="L313" s="28">
        <f>DATEDIF(K313,Zwift25!G$1,"Y")</f>
        <v>43</v>
      </c>
      <c r="M313" s="67">
        <f>IF(J313="m",VLOOKUP(L313,'All Solo Adjustments'!A:D,4,FALSE),VLOOKUP(L313,'All Solo Adjustments'!A:J,10,FALSE))</f>
        <v>4.5254629629629629E-3</v>
      </c>
      <c r="N313" s="63"/>
      <c r="O313" s="63"/>
      <c r="P313" s="63"/>
      <c r="Q313" s="63"/>
      <c r="R313" t="s">
        <v>184</v>
      </c>
      <c r="S313" t="s">
        <v>183</v>
      </c>
      <c r="T313" t="s">
        <v>292</v>
      </c>
      <c r="U313" t="s">
        <v>10598</v>
      </c>
      <c r="V313" t="s">
        <v>10597</v>
      </c>
      <c r="W313" t="s">
        <v>167</v>
      </c>
      <c r="X313" t="s">
        <v>167</v>
      </c>
      <c r="Y313" t="s">
        <v>10596</v>
      </c>
      <c r="Z313" t="str">
        <f>"07426426745"</f>
        <v>07426426745</v>
      </c>
      <c r="AA313" t="str">
        <f>""</f>
        <v/>
      </c>
      <c r="AB313" t="s">
        <v>629</v>
      </c>
      <c r="AC313" t="s">
        <v>10595</v>
      </c>
      <c r="AD313" t="s">
        <v>114</v>
      </c>
      <c r="AE313" s="63">
        <v>45520</v>
      </c>
      <c r="AF313" t="s">
        <v>156</v>
      </c>
      <c r="AG313" t="s">
        <v>112</v>
      </c>
      <c r="AH313" t="s">
        <v>112</v>
      </c>
      <c r="AI313" s="63">
        <v>45520</v>
      </c>
      <c r="AJ313" s="63">
        <v>45657</v>
      </c>
      <c r="AK313" t="s">
        <v>112</v>
      </c>
      <c r="AL313" t="s">
        <v>111</v>
      </c>
      <c r="AM313" t="s">
        <v>111</v>
      </c>
      <c r="AN313">
        <v>37778</v>
      </c>
      <c r="AO313" t="s">
        <v>122</v>
      </c>
      <c r="AP313" t="s">
        <v>122</v>
      </c>
    </row>
    <row r="314" spans="1:42" x14ac:dyDescent="0.25">
      <c r="A314" s="28" t="str">
        <f>"16207"</f>
        <v>16207</v>
      </c>
      <c r="B314">
        <v>16207</v>
      </c>
      <c r="C314" t="s">
        <v>2488</v>
      </c>
      <c r="D314" t="s">
        <v>121</v>
      </c>
      <c r="F314" t="s">
        <v>120</v>
      </c>
      <c r="G314" t="s">
        <v>10594</v>
      </c>
      <c r="I314" t="s">
        <v>10593</v>
      </c>
      <c r="J314" t="s">
        <v>7</v>
      </c>
      <c r="K314" s="63">
        <v>28549</v>
      </c>
      <c r="L314" s="28">
        <f>DATEDIF(K314,Zwift25!G$1,"Y")</f>
        <v>46</v>
      </c>
      <c r="M314" s="67">
        <f>IF(J314="m",VLOOKUP(L314,'All Solo Adjustments'!A:D,4,FALSE),VLOOKUP(L314,'All Solo Adjustments'!A:J,10,FALSE))</f>
        <v>5.6712962962962956E-4</v>
      </c>
      <c r="N314" s="63"/>
      <c r="O314" s="63"/>
      <c r="P314" s="63"/>
      <c r="Q314" s="63"/>
      <c r="R314" t="s">
        <v>283</v>
      </c>
      <c r="S314" t="s">
        <v>530</v>
      </c>
      <c r="T314" t="s">
        <v>292</v>
      </c>
      <c r="U314" t="s">
        <v>10592</v>
      </c>
      <c r="V314" t="s">
        <v>10591</v>
      </c>
      <c r="Y314" t="s">
        <v>10590</v>
      </c>
      <c r="Z314" t="str">
        <f>"07595361097"</f>
        <v>07595361097</v>
      </c>
      <c r="AA314" t="str">
        <f>""</f>
        <v/>
      </c>
      <c r="AB314" t="s">
        <v>10589</v>
      </c>
      <c r="AC314" t="s">
        <v>10588</v>
      </c>
      <c r="AD314" t="s">
        <v>114</v>
      </c>
      <c r="AE314" s="63">
        <v>45527</v>
      </c>
      <c r="AF314" t="s">
        <v>156</v>
      </c>
      <c r="AG314" t="s">
        <v>112</v>
      </c>
      <c r="AH314" t="s">
        <v>112</v>
      </c>
      <c r="AI314" s="63">
        <v>45527</v>
      </c>
      <c r="AJ314" s="63">
        <v>45657</v>
      </c>
      <c r="AK314" t="s">
        <v>112</v>
      </c>
      <c r="AL314" t="s">
        <v>111</v>
      </c>
      <c r="AM314" t="s">
        <v>111</v>
      </c>
      <c r="AN314">
        <v>44661</v>
      </c>
      <c r="AO314" t="s">
        <v>110</v>
      </c>
      <c r="AP314" t="s">
        <v>109</v>
      </c>
    </row>
    <row r="315" spans="1:42" x14ac:dyDescent="0.25">
      <c r="A315" s="28" t="str">
        <f>"4738"</f>
        <v>4738</v>
      </c>
      <c r="B315">
        <v>4738</v>
      </c>
      <c r="C315" t="s">
        <v>2488</v>
      </c>
      <c r="D315" t="s">
        <v>121</v>
      </c>
      <c r="F315" t="s">
        <v>139</v>
      </c>
      <c r="G315" t="s">
        <v>10587</v>
      </c>
      <c r="I315" t="s">
        <v>2138</v>
      </c>
      <c r="J315" t="s">
        <v>126</v>
      </c>
      <c r="K315" s="63">
        <v>15278</v>
      </c>
      <c r="L315" s="28">
        <f>DATEDIF(K315,Zwift25!G$1,"Y")</f>
        <v>82</v>
      </c>
      <c r="M315" s="67">
        <f>IF(J315="m",VLOOKUP(L315,'All Solo Adjustments'!A:D,4,FALSE),VLOOKUP(L315,'All Solo Adjustments'!A:J,10,FALSE))</f>
        <v>1.818287037037037E-2</v>
      </c>
      <c r="N315" s="63"/>
      <c r="O315" s="63"/>
      <c r="P315" s="63"/>
      <c r="Q315" s="63"/>
      <c r="R315" t="s">
        <v>159</v>
      </c>
      <c r="S315" t="s">
        <v>570</v>
      </c>
      <c r="T315" t="s">
        <v>292</v>
      </c>
      <c r="U315" t="s">
        <v>10586</v>
      </c>
      <c r="V315" t="s">
        <v>940</v>
      </c>
      <c r="W315" t="s">
        <v>159</v>
      </c>
      <c r="Y315" t="s">
        <v>10585</v>
      </c>
      <c r="Z315" t="str">
        <f>"99999 999999"</f>
        <v>99999 999999</v>
      </c>
      <c r="AA315" t="str">
        <f>""</f>
        <v/>
      </c>
      <c r="AB315" t="s">
        <v>290</v>
      </c>
      <c r="AD315" t="s">
        <v>145</v>
      </c>
      <c r="AF315" t="s">
        <v>113</v>
      </c>
      <c r="AG315" t="s">
        <v>111</v>
      </c>
      <c r="AH315" t="s">
        <v>111</v>
      </c>
      <c r="AI315" s="63">
        <v>43523</v>
      </c>
      <c r="AK315" t="s">
        <v>111</v>
      </c>
      <c r="AL315" t="s">
        <v>111</v>
      </c>
      <c r="AM315" t="s">
        <v>111</v>
      </c>
      <c r="AN315" t="s">
        <v>105</v>
      </c>
      <c r="AO315" t="s">
        <v>122</v>
      </c>
      <c r="AP315" t="s">
        <v>122</v>
      </c>
    </row>
    <row r="316" spans="1:42" x14ac:dyDescent="0.25">
      <c r="A316" s="28" t="str">
        <f>"14222"</f>
        <v>14222</v>
      </c>
      <c r="B316">
        <v>14222</v>
      </c>
      <c r="C316" t="s">
        <v>2488</v>
      </c>
      <c r="D316" t="s">
        <v>121</v>
      </c>
      <c r="F316" t="s">
        <v>120</v>
      </c>
      <c r="G316" t="s">
        <v>389</v>
      </c>
      <c r="I316" t="s">
        <v>2138</v>
      </c>
      <c r="J316" t="s">
        <v>7</v>
      </c>
      <c r="K316" s="63">
        <v>26259</v>
      </c>
      <c r="L316" s="28">
        <f>DATEDIF(K316,Zwift25!G$1,"Y")</f>
        <v>52</v>
      </c>
      <c r="M316" s="67">
        <f>IF(J316="m",VLOOKUP(L316,'All Solo Adjustments'!A:D,4,FALSE),VLOOKUP(L316,'All Solo Adjustments'!A:J,10,FALSE))</f>
        <v>1.4814814814814816E-3</v>
      </c>
      <c r="N316" s="63"/>
      <c r="O316" s="63"/>
      <c r="P316" s="63"/>
      <c r="Q316" s="63"/>
      <c r="R316" t="s">
        <v>154</v>
      </c>
      <c r="S316" t="s">
        <v>153</v>
      </c>
      <c r="T316" t="s">
        <v>292</v>
      </c>
      <c r="U316" t="s">
        <v>10584</v>
      </c>
      <c r="W316" t="s">
        <v>1315</v>
      </c>
      <c r="X316" t="s">
        <v>752</v>
      </c>
      <c r="Y316" t="s">
        <v>10583</v>
      </c>
      <c r="Z316" t="str">
        <f>"07940520257"</f>
        <v>07940520257</v>
      </c>
      <c r="AA316" t="str">
        <f>"01985511345"</f>
        <v>01985511345</v>
      </c>
      <c r="AB316" t="s">
        <v>10582</v>
      </c>
      <c r="AC316" t="s">
        <v>10581</v>
      </c>
      <c r="AD316" t="s">
        <v>114</v>
      </c>
      <c r="AE316" s="63">
        <v>45295</v>
      </c>
      <c r="AF316" t="s">
        <v>156</v>
      </c>
      <c r="AG316" t="s">
        <v>112</v>
      </c>
      <c r="AH316" t="s">
        <v>112</v>
      </c>
      <c r="AI316" s="63">
        <v>43602</v>
      </c>
      <c r="AJ316" s="63">
        <v>45657</v>
      </c>
      <c r="AK316" t="s">
        <v>112</v>
      </c>
      <c r="AL316" t="s">
        <v>111</v>
      </c>
      <c r="AM316" t="s">
        <v>111</v>
      </c>
      <c r="AN316">
        <v>5965</v>
      </c>
      <c r="AO316" t="s">
        <v>110</v>
      </c>
      <c r="AP316" t="s">
        <v>109</v>
      </c>
    </row>
    <row r="317" spans="1:42" x14ac:dyDescent="0.25">
      <c r="A317" s="28" t="str">
        <f>"0418"</f>
        <v>0418</v>
      </c>
      <c r="B317">
        <v>418</v>
      </c>
      <c r="C317" t="s">
        <v>2488</v>
      </c>
      <c r="D317" t="s">
        <v>132</v>
      </c>
      <c r="F317" t="s">
        <v>120</v>
      </c>
      <c r="G317" t="s">
        <v>944</v>
      </c>
      <c r="H317" t="s">
        <v>1349</v>
      </c>
      <c r="I317" t="s">
        <v>10580</v>
      </c>
      <c r="J317" t="s">
        <v>7</v>
      </c>
      <c r="K317" s="63">
        <v>17088</v>
      </c>
      <c r="L317" s="28">
        <f>DATEDIF(K317,Zwift25!G$1,"Y")</f>
        <v>78</v>
      </c>
      <c r="M317" s="67">
        <f>IF(J317="m",VLOOKUP(L317,'All Solo Adjustments'!A:D,4,FALSE),VLOOKUP(L317,'All Solo Adjustments'!A:J,10,FALSE))</f>
        <v>9.9189814814814817E-3</v>
      </c>
      <c r="N317" s="63"/>
      <c r="O317" s="63"/>
      <c r="P317" s="63"/>
      <c r="Q317" s="63"/>
      <c r="R317" t="s">
        <v>383</v>
      </c>
      <c r="S317" t="s">
        <v>690</v>
      </c>
      <c r="T317" t="s">
        <v>292</v>
      </c>
      <c r="U317" t="s">
        <v>10579</v>
      </c>
      <c r="V317" t="s">
        <v>1457</v>
      </c>
      <c r="W317" t="s">
        <v>2284</v>
      </c>
      <c r="X317" t="s">
        <v>10578</v>
      </c>
      <c r="Y317" t="s">
        <v>10577</v>
      </c>
      <c r="Z317" t="str">
        <f>"01600 860120"</f>
        <v>01600 860120</v>
      </c>
      <c r="AA317" t="str">
        <f>"07747845713"</f>
        <v>07747845713</v>
      </c>
      <c r="AB317" t="s">
        <v>2429</v>
      </c>
      <c r="AC317" t="s">
        <v>10576</v>
      </c>
      <c r="AD317" t="s">
        <v>114</v>
      </c>
      <c r="AE317" s="63">
        <v>45300</v>
      </c>
      <c r="AF317" t="s">
        <v>156</v>
      </c>
      <c r="AG317" t="s">
        <v>112</v>
      </c>
      <c r="AH317" t="s">
        <v>112</v>
      </c>
      <c r="AI317" s="63">
        <v>43442</v>
      </c>
      <c r="AJ317" s="63">
        <v>45657</v>
      </c>
      <c r="AK317" t="s">
        <v>111</v>
      </c>
      <c r="AL317" t="s">
        <v>111</v>
      </c>
      <c r="AM317" t="s">
        <v>111</v>
      </c>
      <c r="AN317" t="s">
        <v>105</v>
      </c>
      <c r="AO317" t="s">
        <v>110</v>
      </c>
      <c r="AP317" t="s">
        <v>109</v>
      </c>
    </row>
    <row r="318" spans="1:42" x14ac:dyDescent="0.25">
      <c r="A318" s="28" t="str">
        <f>"13273"</f>
        <v>13273</v>
      </c>
      <c r="B318">
        <v>13273</v>
      </c>
      <c r="C318" t="s">
        <v>2488</v>
      </c>
      <c r="D318" t="s">
        <v>130</v>
      </c>
      <c r="F318" t="s">
        <v>149</v>
      </c>
      <c r="G318" t="s">
        <v>148</v>
      </c>
      <c r="I318" t="s">
        <v>10580</v>
      </c>
      <c r="J318" t="s">
        <v>126</v>
      </c>
      <c r="K318" s="63">
        <v>17537</v>
      </c>
      <c r="L318" s="28">
        <f>DATEDIF(K318,Zwift25!G$1,"Y")</f>
        <v>76</v>
      </c>
      <c r="M318" s="67">
        <f>IF(J318="m",VLOOKUP(L318,'All Solo Adjustments'!A:D,4,FALSE),VLOOKUP(L318,'All Solo Adjustments'!A:J,10,FALSE))</f>
        <v>1.4456018518518519E-2</v>
      </c>
      <c r="N318" s="63"/>
      <c r="O318" s="63"/>
      <c r="P318" s="63"/>
      <c r="Q318" s="63"/>
      <c r="R318" t="s">
        <v>383</v>
      </c>
      <c r="S318" t="s">
        <v>690</v>
      </c>
      <c r="T318" t="s">
        <v>292</v>
      </c>
      <c r="U318" t="s">
        <v>10579</v>
      </c>
      <c r="V318" t="s">
        <v>1457</v>
      </c>
      <c r="W318" t="s">
        <v>2284</v>
      </c>
      <c r="X318" t="s">
        <v>10578</v>
      </c>
      <c r="Y318" t="s">
        <v>10577</v>
      </c>
      <c r="Z318" t="str">
        <f>"01600 860120"</f>
        <v>01600 860120</v>
      </c>
      <c r="AA318" t="str">
        <f>"07747845713"</f>
        <v>07747845713</v>
      </c>
      <c r="AB318" t="s">
        <v>2429</v>
      </c>
      <c r="AC318" t="s">
        <v>10576</v>
      </c>
      <c r="AD318" t="s">
        <v>114</v>
      </c>
      <c r="AE318" s="63">
        <v>45300</v>
      </c>
      <c r="AF318" t="s">
        <v>113</v>
      </c>
      <c r="AG318" t="s">
        <v>111</v>
      </c>
      <c r="AH318" t="s">
        <v>111</v>
      </c>
      <c r="AI318" s="63">
        <v>43442</v>
      </c>
      <c r="AJ318" s="63">
        <v>45657</v>
      </c>
      <c r="AK318" t="s">
        <v>111</v>
      </c>
      <c r="AL318" t="s">
        <v>111</v>
      </c>
      <c r="AM318" t="s">
        <v>111</v>
      </c>
      <c r="AN318" t="s">
        <v>105</v>
      </c>
      <c r="AO318" t="s">
        <v>122</v>
      </c>
      <c r="AP318" t="s">
        <v>122</v>
      </c>
    </row>
    <row r="319" spans="1:42" x14ac:dyDescent="0.25">
      <c r="A319" s="28" t="str">
        <f>"6022"</f>
        <v>6022</v>
      </c>
      <c r="B319">
        <v>6022</v>
      </c>
      <c r="C319" t="s">
        <v>2488</v>
      </c>
      <c r="D319" t="s">
        <v>121</v>
      </c>
      <c r="F319" t="s">
        <v>120</v>
      </c>
      <c r="G319" t="s">
        <v>10575</v>
      </c>
      <c r="H319" t="s">
        <v>709</v>
      </c>
      <c r="I319" t="s">
        <v>2137</v>
      </c>
      <c r="J319" t="s">
        <v>7</v>
      </c>
      <c r="K319" s="63">
        <v>21916</v>
      </c>
      <c r="L319" s="28">
        <f>DATEDIF(K319,Zwift25!G$1,"Y")</f>
        <v>64</v>
      </c>
      <c r="M319" s="67">
        <f>IF(J319="m",VLOOKUP(L319,'All Solo Adjustments'!A:D,4,FALSE),VLOOKUP(L319,'All Solo Adjustments'!A:J,10,FALSE))</f>
        <v>4.31712962962963E-3</v>
      </c>
      <c r="N319" s="63"/>
      <c r="O319" s="63"/>
      <c r="P319" s="63"/>
      <c r="Q319" s="63"/>
      <c r="R319" t="s">
        <v>184</v>
      </c>
      <c r="S319" t="s">
        <v>183</v>
      </c>
      <c r="T319" t="s">
        <v>292</v>
      </c>
      <c r="U319" t="s">
        <v>10574</v>
      </c>
      <c r="V319" t="s">
        <v>860</v>
      </c>
      <c r="Y319" t="s">
        <v>10573</v>
      </c>
      <c r="Z319" t="str">
        <f>"01296 436418"</f>
        <v>01296 436418</v>
      </c>
      <c r="AA319" t="str">
        <f>""</f>
        <v/>
      </c>
      <c r="AB319" t="s">
        <v>976</v>
      </c>
      <c r="AC319" t="s">
        <v>10572</v>
      </c>
      <c r="AD319" t="s">
        <v>114</v>
      </c>
      <c r="AE319" s="63">
        <v>45277</v>
      </c>
      <c r="AF319" t="s">
        <v>156</v>
      </c>
      <c r="AG319" t="s">
        <v>112</v>
      </c>
      <c r="AH319" t="s">
        <v>112</v>
      </c>
      <c r="AI319" s="63">
        <v>42746</v>
      </c>
      <c r="AJ319" s="63">
        <v>45657</v>
      </c>
      <c r="AK319" t="s">
        <v>111</v>
      </c>
      <c r="AL319" t="s">
        <v>111</v>
      </c>
      <c r="AM319" t="s">
        <v>111</v>
      </c>
      <c r="AN319">
        <v>1335</v>
      </c>
      <c r="AO319" t="s">
        <v>110</v>
      </c>
      <c r="AP319" t="s">
        <v>109</v>
      </c>
    </row>
    <row r="320" spans="1:42" x14ac:dyDescent="0.25">
      <c r="A320" s="28" t="str">
        <f>"5034"</f>
        <v>5034</v>
      </c>
      <c r="B320">
        <v>5034</v>
      </c>
      <c r="C320" t="s">
        <v>2488</v>
      </c>
      <c r="D320" t="s">
        <v>121</v>
      </c>
      <c r="E320" t="s">
        <v>584</v>
      </c>
      <c r="F320" t="s">
        <v>120</v>
      </c>
      <c r="G320" t="s">
        <v>220</v>
      </c>
      <c r="I320" t="s">
        <v>2137</v>
      </c>
      <c r="J320" t="s">
        <v>7</v>
      </c>
      <c r="K320" s="63">
        <v>17490</v>
      </c>
      <c r="L320" s="28">
        <f>DATEDIF(K320,Zwift25!G$1,"Y")</f>
        <v>76</v>
      </c>
      <c r="M320" s="67">
        <f>IF(J320="m",VLOOKUP(L320,'All Solo Adjustments'!A:D,4,FALSE),VLOOKUP(L320,'All Solo Adjustments'!A:J,10,FALSE))</f>
        <v>8.912037037037036E-3</v>
      </c>
      <c r="N320" s="63"/>
      <c r="O320" s="63"/>
      <c r="P320" s="63"/>
      <c r="Q320" s="63"/>
      <c r="R320" t="s">
        <v>125</v>
      </c>
      <c r="S320" t="s">
        <v>170</v>
      </c>
      <c r="T320" t="s">
        <v>292</v>
      </c>
      <c r="U320" t="s">
        <v>10571</v>
      </c>
      <c r="V320" t="s">
        <v>10570</v>
      </c>
      <c r="W320" t="s">
        <v>1254</v>
      </c>
      <c r="X320" t="s">
        <v>1253</v>
      </c>
      <c r="Y320" t="s">
        <v>10569</v>
      </c>
      <c r="Z320" t="str">
        <f>"07727408402"</f>
        <v>07727408402</v>
      </c>
      <c r="AA320" t="str">
        <f>"01213250881"</f>
        <v>01213250881</v>
      </c>
      <c r="AB320" t="s">
        <v>10568</v>
      </c>
      <c r="AC320" t="s">
        <v>10567</v>
      </c>
      <c r="AD320" t="s">
        <v>114</v>
      </c>
      <c r="AE320" s="63">
        <v>45262</v>
      </c>
      <c r="AF320" t="s">
        <v>113</v>
      </c>
      <c r="AG320" t="s">
        <v>112</v>
      </c>
      <c r="AH320" t="s">
        <v>112</v>
      </c>
      <c r="AI320" s="63">
        <v>41768</v>
      </c>
      <c r="AJ320" s="63">
        <v>45657</v>
      </c>
      <c r="AK320" t="s">
        <v>111</v>
      </c>
      <c r="AL320" t="s">
        <v>111</v>
      </c>
      <c r="AM320" t="s">
        <v>111</v>
      </c>
      <c r="AN320">
        <v>309</v>
      </c>
      <c r="AO320" t="s">
        <v>110</v>
      </c>
      <c r="AP320" t="s">
        <v>109</v>
      </c>
    </row>
    <row r="321" spans="1:42" x14ac:dyDescent="0.25">
      <c r="A321" s="28" t="str">
        <f>"0419"</f>
        <v>0419</v>
      </c>
      <c r="B321">
        <v>419</v>
      </c>
      <c r="C321" t="s">
        <v>2488</v>
      </c>
      <c r="D321" t="s">
        <v>121</v>
      </c>
      <c r="F321" t="s">
        <v>120</v>
      </c>
      <c r="G321" t="s">
        <v>783</v>
      </c>
      <c r="I321" t="s">
        <v>10566</v>
      </c>
      <c r="J321" t="s">
        <v>7</v>
      </c>
      <c r="K321" s="63">
        <v>13962</v>
      </c>
      <c r="L321" s="28">
        <f>DATEDIF(K321,Zwift25!G$1,"Y")</f>
        <v>86</v>
      </c>
      <c r="M321" s="67">
        <f>IF(J321="m",VLOOKUP(L321,'All Solo Adjustments'!A:D,4,FALSE),VLOOKUP(L321,'All Solo Adjustments'!A:J,10,FALSE))</f>
        <v>1.4988425925925926E-2</v>
      </c>
      <c r="N321" s="63"/>
      <c r="O321" s="63"/>
      <c r="P321" s="63"/>
      <c r="Q321" s="63"/>
      <c r="R321" t="s">
        <v>239</v>
      </c>
      <c r="S321" t="s">
        <v>437</v>
      </c>
      <c r="T321" t="s">
        <v>292</v>
      </c>
      <c r="U321" t="s">
        <v>10565</v>
      </c>
      <c r="V321" t="s">
        <v>10564</v>
      </c>
      <c r="W321" t="s">
        <v>975</v>
      </c>
      <c r="Y321" t="s">
        <v>10563</v>
      </c>
      <c r="Z321" t="str">
        <f>"01274 820842"</f>
        <v>01274 820842</v>
      </c>
      <c r="AA321" t="str">
        <f>""</f>
        <v/>
      </c>
      <c r="AB321" t="s">
        <v>974</v>
      </c>
      <c r="AD321" t="s">
        <v>145</v>
      </c>
      <c r="AF321" t="s">
        <v>113</v>
      </c>
      <c r="AG321" t="s">
        <v>112</v>
      </c>
      <c r="AH321" t="s">
        <v>112</v>
      </c>
      <c r="AI321" s="63">
        <v>31008</v>
      </c>
      <c r="AK321" t="s">
        <v>111</v>
      </c>
      <c r="AL321" t="s">
        <v>111</v>
      </c>
      <c r="AM321" t="s">
        <v>111</v>
      </c>
      <c r="AN321" t="s">
        <v>105</v>
      </c>
      <c r="AO321" t="s">
        <v>110</v>
      </c>
      <c r="AP321" t="s">
        <v>109</v>
      </c>
    </row>
    <row r="322" spans="1:42" x14ac:dyDescent="0.25">
      <c r="A322" s="28" t="str">
        <f>"5806"</f>
        <v>5806</v>
      </c>
      <c r="B322">
        <v>5806</v>
      </c>
      <c r="C322" t="s">
        <v>2488</v>
      </c>
      <c r="D322" t="s">
        <v>121</v>
      </c>
      <c r="E322" t="s">
        <v>584</v>
      </c>
      <c r="F322" t="s">
        <v>120</v>
      </c>
      <c r="G322" t="s">
        <v>520</v>
      </c>
      <c r="H322" t="s">
        <v>284</v>
      </c>
      <c r="I322" t="s">
        <v>896</v>
      </c>
      <c r="J322" t="s">
        <v>7</v>
      </c>
      <c r="K322" s="63">
        <v>21151</v>
      </c>
      <c r="L322" s="28">
        <f>DATEDIF(K322,Zwift25!G$1,"Y")</f>
        <v>66</v>
      </c>
      <c r="M322" s="67">
        <f>IF(J322="m",VLOOKUP(L322,'All Solo Adjustments'!A:D,4,FALSE),VLOOKUP(L322,'All Solo Adjustments'!A:J,10,FALSE))</f>
        <v>4.9421296296296297E-3</v>
      </c>
      <c r="N322" s="63"/>
      <c r="O322" s="63"/>
      <c r="P322" s="63"/>
      <c r="Q322" s="63"/>
      <c r="R322" t="s">
        <v>125</v>
      </c>
      <c r="S322" t="s">
        <v>170</v>
      </c>
      <c r="T322" t="s">
        <v>292</v>
      </c>
      <c r="U322" t="s">
        <v>10562</v>
      </c>
      <c r="V322" t="s">
        <v>342</v>
      </c>
      <c r="Y322" t="s">
        <v>10561</v>
      </c>
      <c r="Z322" t="str">
        <f>"07724546939"</f>
        <v>07724546939</v>
      </c>
      <c r="AA322" t="str">
        <f>"01473843159"</f>
        <v>01473843159</v>
      </c>
      <c r="AB322" t="s">
        <v>341</v>
      </c>
      <c r="AC322" t="s">
        <v>10560</v>
      </c>
      <c r="AD322" t="s">
        <v>114</v>
      </c>
      <c r="AE322" s="63">
        <v>45344</v>
      </c>
      <c r="AF322" t="s">
        <v>156</v>
      </c>
      <c r="AG322" t="s">
        <v>112</v>
      </c>
      <c r="AH322" t="s">
        <v>112</v>
      </c>
      <c r="AI322" s="63">
        <v>42467</v>
      </c>
      <c r="AJ322" s="63">
        <v>45657</v>
      </c>
      <c r="AK322" t="s">
        <v>111</v>
      </c>
      <c r="AL322" t="s">
        <v>111</v>
      </c>
      <c r="AM322" t="s">
        <v>111</v>
      </c>
      <c r="AN322">
        <v>1096</v>
      </c>
      <c r="AO322" t="s">
        <v>110</v>
      </c>
      <c r="AP322" t="s">
        <v>109</v>
      </c>
    </row>
    <row r="323" spans="1:42" x14ac:dyDescent="0.25">
      <c r="A323" s="28" t="str">
        <f>"16037"</f>
        <v>16037</v>
      </c>
      <c r="B323">
        <v>16037</v>
      </c>
      <c r="C323" t="s">
        <v>2488</v>
      </c>
      <c r="D323" t="s">
        <v>121</v>
      </c>
      <c r="F323" t="s">
        <v>120</v>
      </c>
      <c r="G323" t="s">
        <v>402</v>
      </c>
      <c r="H323" t="s">
        <v>1044</v>
      </c>
      <c r="I323" t="s">
        <v>10559</v>
      </c>
      <c r="J323" t="s">
        <v>7</v>
      </c>
      <c r="K323" s="63">
        <v>26256</v>
      </c>
      <c r="L323" s="28">
        <f>DATEDIF(K323,Zwift25!G$1,"Y")</f>
        <v>52</v>
      </c>
      <c r="M323" s="67">
        <f>IF(J323="m",VLOOKUP(L323,'All Solo Adjustments'!A:D,4,FALSE),VLOOKUP(L323,'All Solo Adjustments'!A:J,10,FALSE))</f>
        <v>1.4814814814814816E-3</v>
      </c>
      <c r="N323" s="63"/>
      <c r="O323" s="63"/>
      <c r="P323" s="63"/>
      <c r="Q323" s="63"/>
      <c r="R323" t="s">
        <v>213</v>
      </c>
      <c r="S323" t="s">
        <v>212</v>
      </c>
      <c r="T323" t="s">
        <v>292</v>
      </c>
      <c r="U323" t="s">
        <v>10558</v>
      </c>
      <c r="V323" t="s">
        <v>10557</v>
      </c>
      <c r="W323" t="s">
        <v>10556</v>
      </c>
      <c r="X323" t="s">
        <v>249</v>
      </c>
      <c r="Y323" t="s">
        <v>10555</v>
      </c>
      <c r="Z323" t="str">
        <f>"07791093637"</f>
        <v>07791093637</v>
      </c>
      <c r="AA323" t="str">
        <f>""</f>
        <v/>
      </c>
      <c r="AB323" t="s">
        <v>10554</v>
      </c>
      <c r="AC323" t="s">
        <v>10553</v>
      </c>
      <c r="AD323" t="s">
        <v>114</v>
      </c>
      <c r="AE323" s="63">
        <v>45343</v>
      </c>
      <c r="AF323" t="s">
        <v>113</v>
      </c>
      <c r="AG323" t="s">
        <v>112</v>
      </c>
      <c r="AH323" t="s">
        <v>112</v>
      </c>
      <c r="AI323" s="63">
        <v>45343</v>
      </c>
      <c r="AJ323" s="63">
        <v>45657</v>
      </c>
      <c r="AK323" t="s">
        <v>112</v>
      </c>
      <c r="AL323" t="s">
        <v>111</v>
      </c>
      <c r="AM323" t="s">
        <v>111</v>
      </c>
      <c r="AN323">
        <v>27914</v>
      </c>
      <c r="AO323" t="s">
        <v>110</v>
      </c>
      <c r="AP323" t="s">
        <v>109</v>
      </c>
    </row>
    <row r="324" spans="1:42" x14ac:dyDescent="0.25">
      <c r="A324" s="28" t="str">
        <f>"15963"</f>
        <v>15963</v>
      </c>
      <c r="B324">
        <v>15963</v>
      </c>
      <c r="C324" t="s">
        <v>2488</v>
      </c>
      <c r="D324" t="s">
        <v>121</v>
      </c>
      <c r="E324" t="s">
        <v>584</v>
      </c>
      <c r="F324" t="s">
        <v>120</v>
      </c>
      <c r="G324" t="s">
        <v>300</v>
      </c>
      <c r="I324" t="s">
        <v>10552</v>
      </c>
      <c r="J324" t="s">
        <v>7</v>
      </c>
      <c r="K324" s="63">
        <v>25280</v>
      </c>
      <c r="L324" s="28">
        <f>DATEDIF(K324,Zwift25!G$1,"Y")</f>
        <v>55</v>
      </c>
      <c r="M324" s="67">
        <f>IF(J324="m",VLOOKUP(L324,'All Solo Adjustments'!A:D,4,FALSE),VLOOKUP(L324,'All Solo Adjustments'!A:J,10,FALSE))</f>
        <v>2.0601851851851853E-3</v>
      </c>
      <c r="N324" s="63"/>
      <c r="O324" s="63"/>
      <c r="P324" s="63"/>
      <c r="Q324" s="63"/>
      <c r="R324" t="s">
        <v>143</v>
      </c>
      <c r="S324" t="s">
        <v>142</v>
      </c>
      <c r="T324" t="s">
        <v>292</v>
      </c>
      <c r="U324" t="s">
        <v>10551</v>
      </c>
      <c r="W324" t="s">
        <v>10550</v>
      </c>
      <c r="X324" t="s">
        <v>172</v>
      </c>
      <c r="Y324" t="s">
        <v>10549</v>
      </c>
      <c r="Z324" t="str">
        <f>"07931863447"</f>
        <v>07931863447</v>
      </c>
      <c r="AA324" t="str">
        <f>""</f>
        <v/>
      </c>
      <c r="AB324" t="s">
        <v>5056</v>
      </c>
      <c r="AC324" t="s">
        <v>10548</v>
      </c>
      <c r="AD324" t="s">
        <v>114</v>
      </c>
      <c r="AE324" s="63">
        <v>45289</v>
      </c>
      <c r="AF324" t="s">
        <v>113</v>
      </c>
      <c r="AG324" t="s">
        <v>112</v>
      </c>
      <c r="AH324" t="s">
        <v>112</v>
      </c>
      <c r="AI324" s="63">
        <v>45289</v>
      </c>
      <c r="AJ324" s="63">
        <v>45657</v>
      </c>
      <c r="AK324" t="s">
        <v>112</v>
      </c>
      <c r="AL324" t="s">
        <v>111</v>
      </c>
      <c r="AM324" t="s">
        <v>111</v>
      </c>
      <c r="AN324">
        <v>373</v>
      </c>
      <c r="AO324" t="s">
        <v>110</v>
      </c>
      <c r="AP324" t="s">
        <v>109</v>
      </c>
    </row>
    <row r="325" spans="1:42" x14ac:dyDescent="0.25">
      <c r="A325" s="28" t="str">
        <f>"0423"</f>
        <v>0423</v>
      </c>
      <c r="B325">
        <v>423</v>
      </c>
      <c r="C325" t="s">
        <v>2488</v>
      </c>
      <c r="D325" t="s">
        <v>121</v>
      </c>
      <c r="E325" t="s">
        <v>2500</v>
      </c>
      <c r="F325" t="s">
        <v>139</v>
      </c>
      <c r="G325" t="s">
        <v>659</v>
      </c>
      <c r="I325" t="s">
        <v>10547</v>
      </c>
      <c r="J325" t="s">
        <v>126</v>
      </c>
      <c r="K325" s="63">
        <v>23143</v>
      </c>
      <c r="L325" s="28">
        <f>DATEDIF(K325,Zwift25!G$1,"Y")</f>
        <v>61</v>
      </c>
      <c r="M325" s="67">
        <f>IF(J325="m",VLOOKUP(L325,'All Solo Adjustments'!A:D,4,FALSE),VLOOKUP(L325,'All Solo Adjustments'!A:J,10,FALSE))</f>
        <v>7.2337962962962963E-3</v>
      </c>
      <c r="N325" s="63"/>
      <c r="O325" s="63"/>
      <c r="P325" s="63"/>
      <c r="Q325" s="63"/>
      <c r="R325" t="s">
        <v>328</v>
      </c>
      <c r="S325" t="s">
        <v>327</v>
      </c>
      <c r="T325" t="s">
        <v>292</v>
      </c>
      <c r="U325" t="s">
        <v>10546</v>
      </c>
      <c r="V325" t="s">
        <v>10545</v>
      </c>
      <c r="W325" t="s">
        <v>1391</v>
      </c>
      <c r="X325" t="s">
        <v>325</v>
      </c>
      <c r="Y325" t="s">
        <v>10544</v>
      </c>
      <c r="Z325" t="str">
        <f>"07790949141"</f>
        <v>07790949141</v>
      </c>
      <c r="AA325" t="str">
        <f>""</f>
        <v/>
      </c>
      <c r="AB325" t="s">
        <v>1146</v>
      </c>
      <c r="AC325" t="s">
        <v>10543</v>
      </c>
      <c r="AD325" t="s">
        <v>145</v>
      </c>
      <c r="AE325" s="63">
        <v>45577</v>
      </c>
      <c r="AF325" t="s">
        <v>113</v>
      </c>
      <c r="AG325" t="s">
        <v>112</v>
      </c>
      <c r="AH325" t="s">
        <v>112</v>
      </c>
      <c r="AI325" s="63">
        <v>37692</v>
      </c>
      <c r="AJ325" s="63">
        <v>46022</v>
      </c>
      <c r="AK325" t="s">
        <v>111</v>
      </c>
      <c r="AL325" t="s">
        <v>111</v>
      </c>
      <c r="AM325" t="s">
        <v>111</v>
      </c>
      <c r="AN325">
        <v>2063</v>
      </c>
      <c r="AO325" t="s">
        <v>122</v>
      </c>
      <c r="AP325" t="s">
        <v>122</v>
      </c>
    </row>
    <row r="326" spans="1:42" x14ac:dyDescent="0.25">
      <c r="A326" s="28" t="str">
        <f>"6098"</f>
        <v>6098</v>
      </c>
      <c r="B326">
        <v>6098</v>
      </c>
      <c r="C326" t="s">
        <v>2488</v>
      </c>
      <c r="D326" t="s">
        <v>121</v>
      </c>
      <c r="F326" t="s">
        <v>120</v>
      </c>
      <c r="G326" t="s">
        <v>492</v>
      </c>
      <c r="H326" t="s">
        <v>649</v>
      </c>
      <c r="I326" t="s">
        <v>2133</v>
      </c>
      <c r="J326" t="s">
        <v>7</v>
      </c>
      <c r="K326" s="63">
        <v>26504</v>
      </c>
      <c r="L326" s="28">
        <f>DATEDIF(K326,Zwift25!G$1,"Y")</f>
        <v>52</v>
      </c>
      <c r="M326" s="67">
        <f>IF(J326="m",VLOOKUP(L326,'All Solo Adjustments'!A:D,4,FALSE),VLOOKUP(L326,'All Solo Adjustments'!A:J,10,FALSE))</f>
        <v>1.4814814814814816E-3</v>
      </c>
      <c r="N326" s="63"/>
      <c r="O326" s="63"/>
      <c r="P326" s="63"/>
      <c r="Q326" s="63"/>
      <c r="R326" t="s">
        <v>198</v>
      </c>
      <c r="S326" t="s">
        <v>461</v>
      </c>
      <c r="T326" t="s">
        <v>292</v>
      </c>
      <c r="U326" t="s">
        <v>10542</v>
      </c>
      <c r="V326" t="s">
        <v>2055</v>
      </c>
      <c r="W326" t="s">
        <v>532</v>
      </c>
      <c r="X326" t="s">
        <v>495</v>
      </c>
      <c r="Y326" t="s">
        <v>10541</v>
      </c>
      <c r="Z326" t="str">
        <f>"07917813711"</f>
        <v>07917813711</v>
      </c>
      <c r="AA326" t="str">
        <f>""</f>
        <v/>
      </c>
      <c r="AB326" t="s">
        <v>1269</v>
      </c>
      <c r="AC326" t="s">
        <v>10540</v>
      </c>
      <c r="AD326" t="s">
        <v>114</v>
      </c>
      <c r="AE326" s="63">
        <v>45213</v>
      </c>
      <c r="AF326" t="s">
        <v>156</v>
      </c>
      <c r="AG326" t="s">
        <v>112</v>
      </c>
      <c r="AH326" t="s">
        <v>112</v>
      </c>
      <c r="AI326" s="63">
        <v>42787</v>
      </c>
      <c r="AJ326" s="63">
        <v>45657</v>
      </c>
      <c r="AK326" t="s">
        <v>111</v>
      </c>
      <c r="AL326" t="s">
        <v>111</v>
      </c>
      <c r="AM326" t="s">
        <v>111</v>
      </c>
      <c r="AN326">
        <v>14647</v>
      </c>
      <c r="AO326" t="s">
        <v>110</v>
      </c>
      <c r="AP326" t="s">
        <v>109</v>
      </c>
    </row>
    <row r="327" spans="1:42" x14ac:dyDescent="0.25">
      <c r="A327" s="28" t="str">
        <f>"16129"</f>
        <v>16129</v>
      </c>
      <c r="B327">
        <v>16129</v>
      </c>
      <c r="C327" t="s">
        <v>2488</v>
      </c>
      <c r="D327" t="s">
        <v>121</v>
      </c>
      <c r="E327" t="s">
        <v>6041</v>
      </c>
      <c r="F327" t="s">
        <v>120</v>
      </c>
      <c r="G327" t="s">
        <v>251</v>
      </c>
      <c r="I327" t="s">
        <v>196</v>
      </c>
      <c r="J327" t="s">
        <v>7</v>
      </c>
      <c r="K327" s="63">
        <v>27401</v>
      </c>
      <c r="L327" s="28">
        <f>DATEDIF(K327,Zwift25!G$1,"Y")</f>
        <v>49</v>
      </c>
      <c r="M327" s="67">
        <f>IF(J327="m",VLOOKUP(L327,'All Solo Adjustments'!A:D,4,FALSE),VLOOKUP(L327,'All Solo Adjustments'!A:J,10,FALSE))</f>
        <v>9.837962962962962E-4</v>
      </c>
      <c r="N327" s="63"/>
      <c r="O327" s="63"/>
      <c r="P327" s="63"/>
      <c r="Q327" s="63"/>
      <c r="R327" t="s">
        <v>125</v>
      </c>
      <c r="S327" t="s">
        <v>170</v>
      </c>
      <c r="T327" t="s">
        <v>292</v>
      </c>
      <c r="U327" t="s">
        <v>10539</v>
      </c>
      <c r="V327" t="s">
        <v>1149</v>
      </c>
      <c r="Y327" t="s">
        <v>1147</v>
      </c>
      <c r="Z327" t="str">
        <f>"07814449717"</f>
        <v>07814449717</v>
      </c>
      <c r="AA327" t="str">
        <f>""</f>
        <v/>
      </c>
      <c r="AB327" t="s">
        <v>942</v>
      </c>
      <c r="AC327" t="s">
        <v>10538</v>
      </c>
      <c r="AD327" t="s">
        <v>114</v>
      </c>
      <c r="AE327" s="63">
        <v>45417</v>
      </c>
      <c r="AF327" t="s">
        <v>156</v>
      </c>
      <c r="AG327" t="s">
        <v>112</v>
      </c>
      <c r="AH327" t="s">
        <v>112</v>
      </c>
      <c r="AI327" s="63">
        <v>45417</v>
      </c>
      <c r="AJ327" s="63">
        <v>45657</v>
      </c>
      <c r="AK327" t="s">
        <v>112</v>
      </c>
      <c r="AL327" t="s">
        <v>111</v>
      </c>
      <c r="AM327" t="s">
        <v>111</v>
      </c>
      <c r="AN327">
        <v>37492</v>
      </c>
      <c r="AO327" t="s">
        <v>110</v>
      </c>
      <c r="AP327" t="s">
        <v>109</v>
      </c>
    </row>
    <row r="328" spans="1:42" x14ac:dyDescent="0.25">
      <c r="A328" s="28" t="str">
        <f>"13755"</f>
        <v>13755</v>
      </c>
      <c r="B328">
        <v>13755</v>
      </c>
      <c r="C328" t="s">
        <v>2488</v>
      </c>
      <c r="D328" t="s">
        <v>121</v>
      </c>
      <c r="F328" t="s">
        <v>120</v>
      </c>
      <c r="G328" t="s">
        <v>1463</v>
      </c>
      <c r="I328" t="s">
        <v>10537</v>
      </c>
      <c r="J328" t="s">
        <v>7</v>
      </c>
      <c r="K328" s="63">
        <v>28368</v>
      </c>
      <c r="L328" s="28">
        <f>DATEDIF(K328,Zwift25!G$1,"Y")</f>
        <v>47</v>
      </c>
      <c r="M328" s="67">
        <f>IF(J328="m",VLOOKUP(L328,'All Solo Adjustments'!A:D,4,FALSE),VLOOKUP(L328,'All Solo Adjustments'!A:J,10,FALSE))</f>
        <v>6.9444444444444436E-4</v>
      </c>
      <c r="N328" s="63"/>
      <c r="O328" s="63"/>
      <c r="P328" s="63"/>
      <c r="Q328" s="63"/>
      <c r="R328" t="s">
        <v>213</v>
      </c>
      <c r="S328" t="s">
        <v>212</v>
      </c>
      <c r="T328" t="s">
        <v>292</v>
      </c>
      <c r="U328" t="s">
        <v>10536</v>
      </c>
      <c r="V328" t="s">
        <v>10535</v>
      </c>
      <c r="W328" t="s">
        <v>1788</v>
      </c>
      <c r="X328" t="s">
        <v>534</v>
      </c>
      <c r="Y328" t="s">
        <v>10534</v>
      </c>
      <c r="Z328" t="str">
        <f>"07538023874"</f>
        <v>07538023874</v>
      </c>
      <c r="AA328" t="str">
        <f>"01939809670"</f>
        <v>01939809670</v>
      </c>
      <c r="AB328" t="s">
        <v>533</v>
      </c>
      <c r="AC328" t="s">
        <v>10533</v>
      </c>
      <c r="AD328" t="s">
        <v>114</v>
      </c>
      <c r="AE328" s="63">
        <v>45292</v>
      </c>
      <c r="AF328" t="s">
        <v>113</v>
      </c>
      <c r="AG328" t="s">
        <v>112</v>
      </c>
      <c r="AH328" t="s">
        <v>112</v>
      </c>
      <c r="AI328" s="63">
        <v>43320</v>
      </c>
      <c r="AJ328" s="63">
        <v>45657</v>
      </c>
      <c r="AK328" t="s">
        <v>112</v>
      </c>
      <c r="AL328" t="s">
        <v>111</v>
      </c>
      <c r="AM328" t="s">
        <v>111</v>
      </c>
      <c r="AN328">
        <v>5081</v>
      </c>
      <c r="AO328" t="s">
        <v>110</v>
      </c>
      <c r="AP328" t="s">
        <v>109</v>
      </c>
    </row>
    <row r="329" spans="1:42" x14ac:dyDescent="0.25">
      <c r="A329" s="28" t="str">
        <f>"14973"</f>
        <v>14973</v>
      </c>
      <c r="B329">
        <v>14973</v>
      </c>
      <c r="C329" t="s">
        <v>2488</v>
      </c>
      <c r="D329" t="s">
        <v>121</v>
      </c>
      <c r="F329" t="s">
        <v>139</v>
      </c>
      <c r="G329" t="s">
        <v>659</v>
      </c>
      <c r="I329" t="s">
        <v>10532</v>
      </c>
      <c r="J329" t="s">
        <v>126</v>
      </c>
      <c r="K329" s="63">
        <v>25219</v>
      </c>
      <c r="L329" s="28">
        <f>DATEDIF(K329,Zwift25!G$1,"Y")</f>
        <v>55</v>
      </c>
      <c r="M329" s="67">
        <f>IF(J329="m",VLOOKUP(L329,'All Solo Adjustments'!A:D,4,FALSE),VLOOKUP(L329,'All Solo Adjustments'!A:J,10,FALSE))</f>
        <v>5.6597222222222222E-3</v>
      </c>
      <c r="N329" s="63"/>
      <c r="O329" s="63"/>
      <c r="P329" s="63"/>
      <c r="Q329" s="63"/>
      <c r="R329" t="s">
        <v>125</v>
      </c>
      <c r="S329" t="s">
        <v>170</v>
      </c>
      <c r="T329" t="s">
        <v>292</v>
      </c>
      <c r="U329" t="s">
        <v>4877</v>
      </c>
      <c r="V329" t="s">
        <v>4876</v>
      </c>
      <c r="W329" t="s">
        <v>342</v>
      </c>
      <c r="Y329" t="s">
        <v>10531</v>
      </c>
      <c r="Z329" t="str">
        <f>"+447843092482"</f>
        <v>+447843092482</v>
      </c>
      <c r="AA329" t="str">
        <f>""</f>
        <v/>
      </c>
      <c r="AB329" t="s">
        <v>4874</v>
      </c>
      <c r="AC329" t="s">
        <v>10530</v>
      </c>
      <c r="AD329" t="s">
        <v>114</v>
      </c>
      <c r="AE329" s="63">
        <v>45271</v>
      </c>
      <c r="AF329" t="s">
        <v>113</v>
      </c>
      <c r="AG329" t="s">
        <v>112</v>
      </c>
      <c r="AH329" t="s">
        <v>112</v>
      </c>
      <c r="AI329" s="63">
        <v>44292</v>
      </c>
      <c r="AJ329" s="63">
        <v>45657</v>
      </c>
      <c r="AK329" t="s">
        <v>112</v>
      </c>
      <c r="AL329" t="s">
        <v>111</v>
      </c>
      <c r="AM329" t="s">
        <v>111</v>
      </c>
      <c r="AN329">
        <v>38177</v>
      </c>
      <c r="AO329" t="s">
        <v>122</v>
      </c>
      <c r="AP329" t="s">
        <v>122</v>
      </c>
    </row>
    <row r="330" spans="1:42" x14ac:dyDescent="0.25">
      <c r="A330" s="28" t="str">
        <f>"14441"</f>
        <v>14441</v>
      </c>
      <c r="B330">
        <v>14441</v>
      </c>
      <c r="C330" t="s">
        <v>2488</v>
      </c>
      <c r="D330" t="s">
        <v>121</v>
      </c>
      <c r="E330" t="s">
        <v>10529</v>
      </c>
      <c r="F330" t="s">
        <v>120</v>
      </c>
      <c r="G330" t="s">
        <v>366</v>
      </c>
      <c r="I330" t="s">
        <v>10528</v>
      </c>
      <c r="J330" t="s">
        <v>7</v>
      </c>
      <c r="K330" s="63">
        <v>22459</v>
      </c>
      <c r="L330" s="28">
        <f>DATEDIF(K330,Zwift25!G$1,"Y")</f>
        <v>63</v>
      </c>
      <c r="M330" s="67">
        <f>IF(J330="m",VLOOKUP(L330,'All Solo Adjustments'!A:D,4,FALSE),VLOOKUP(L330,'All Solo Adjustments'!A:J,10,FALSE))</f>
        <v>4.0277777777777777E-3</v>
      </c>
      <c r="N330" s="63"/>
      <c r="O330" s="63"/>
      <c r="P330" s="63"/>
      <c r="Q330" s="63"/>
      <c r="R330" t="s">
        <v>137</v>
      </c>
      <c r="S330" t="s">
        <v>136</v>
      </c>
      <c r="T330" t="s">
        <v>292</v>
      </c>
      <c r="U330" t="s">
        <v>10527</v>
      </c>
      <c r="V330" t="s">
        <v>10526</v>
      </c>
      <c r="W330" t="s">
        <v>3283</v>
      </c>
      <c r="X330" t="s">
        <v>729</v>
      </c>
      <c r="Y330" t="s">
        <v>10525</v>
      </c>
      <c r="Z330" t="str">
        <f>"O7771700235"</f>
        <v>O7771700235</v>
      </c>
      <c r="AA330" t="str">
        <f>""</f>
        <v/>
      </c>
      <c r="AB330" t="s">
        <v>1797</v>
      </c>
      <c r="AC330" t="s">
        <v>10524</v>
      </c>
      <c r="AD330" t="s">
        <v>114</v>
      </c>
      <c r="AE330" s="63">
        <v>45262</v>
      </c>
      <c r="AF330" t="s">
        <v>113</v>
      </c>
      <c r="AG330" t="s">
        <v>112</v>
      </c>
      <c r="AH330" t="s">
        <v>112</v>
      </c>
      <c r="AI330" s="63">
        <v>43853</v>
      </c>
      <c r="AJ330" s="63">
        <v>45657</v>
      </c>
      <c r="AK330" t="s">
        <v>112</v>
      </c>
      <c r="AL330" t="s">
        <v>111</v>
      </c>
      <c r="AM330" t="s">
        <v>111</v>
      </c>
      <c r="AN330">
        <v>21979</v>
      </c>
      <c r="AO330" t="s">
        <v>110</v>
      </c>
      <c r="AP330" t="s">
        <v>109</v>
      </c>
    </row>
    <row r="331" spans="1:42" x14ac:dyDescent="0.25">
      <c r="A331" s="28" t="str">
        <f>"4508"</f>
        <v>4508</v>
      </c>
      <c r="B331">
        <v>4508</v>
      </c>
      <c r="C331" t="s">
        <v>2488</v>
      </c>
      <c r="D331" t="s">
        <v>121</v>
      </c>
      <c r="E331" t="s">
        <v>584</v>
      </c>
      <c r="F331" t="s">
        <v>120</v>
      </c>
      <c r="G331" t="s">
        <v>492</v>
      </c>
      <c r="I331" t="s">
        <v>708</v>
      </c>
      <c r="J331" t="s">
        <v>7</v>
      </c>
      <c r="K331" s="63">
        <v>26120</v>
      </c>
      <c r="L331" s="28">
        <f>DATEDIF(K331,Zwift25!G$1,"Y")</f>
        <v>53</v>
      </c>
      <c r="M331" s="67">
        <f>IF(J331="m",VLOOKUP(L331,'All Solo Adjustments'!A:D,4,FALSE),VLOOKUP(L331,'All Solo Adjustments'!A:J,10,FALSE))</f>
        <v>1.6666666666666668E-3</v>
      </c>
      <c r="N331" s="63"/>
      <c r="O331" s="63"/>
      <c r="P331" s="63"/>
      <c r="Q331" s="63"/>
      <c r="R331" t="s">
        <v>198</v>
      </c>
      <c r="S331" t="s">
        <v>461</v>
      </c>
      <c r="T331" t="s">
        <v>292</v>
      </c>
      <c r="U331" t="s">
        <v>10523</v>
      </c>
      <c r="V331" t="s">
        <v>1858</v>
      </c>
      <c r="W331" t="s">
        <v>999</v>
      </c>
      <c r="X331" t="s">
        <v>196</v>
      </c>
      <c r="Y331" t="s">
        <v>10522</v>
      </c>
      <c r="Z331" t="str">
        <f>"07505 709265"</f>
        <v>07505 709265</v>
      </c>
      <c r="AA331" t="str">
        <f>""</f>
        <v/>
      </c>
      <c r="AB331" t="s">
        <v>514</v>
      </c>
      <c r="AC331" t="s">
        <v>10521</v>
      </c>
      <c r="AD331" t="s">
        <v>114</v>
      </c>
      <c r="AE331" s="63">
        <v>45263</v>
      </c>
      <c r="AF331" t="s">
        <v>113</v>
      </c>
      <c r="AG331" t="s">
        <v>112</v>
      </c>
      <c r="AH331" t="s">
        <v>112</v>
      </c>
      <c r="AI331" s="63">
        <v>41009</v>
      </c>
      <c r="AJ331" s="63">
        <v>45657</v>
      </c>
      <c r="AK331" t="s">
        <v>111</v>
      </c>
      <c r="AL331" t="s">
        <v>111</v>
      </c>
      <c r="AM331" t="s">
        <v>111</v>
      </c>
      <c r="AN331">
        <v>1103</v>
      </c>
      <c r="AO331" t="s">
        <v>110</v>
      </c>
      <c r="AP331" t="s">
        <v>109</v>
      </c>
    </row>
    <row r="332" spans="1:42" x14ac:dyDescent="0.25">
      <c r="A332" s="28" t="str">
        <f>"0429"</f>
        <v>0429</v>
      </c>
      <c r="B332">
        <v>429</v>
      </c>
      <c r="C332" t="s">
        <v>2488</v>
      </c>
      <c r="D332" t="s">
        <v>121</v>
      </c>
      <c r="F332" t="s">
        <v>120</v>
      </c>
      <c r="G332" t="s">
        <v>820</v>
      </c>
      <c r="I332" t="s">
        <v>10520</v>
      </c>
      <c r="J332" t="s">
        <v>7</v>
      </c>
      <c r="K332" s="63">
        <v>15440</v>
      </c>
      <c r="L332" s="28">
        <f>DATEDIF(K332,Zwift25!G$1,"Y")</f>
        <v>82</v>
      </c>
      <c r="M332" s="67">
        <f>IF(J332="m",VLOOKUP(L332,'All Solo Adjustments'!A:D,4,FALSE),VLOOKUP(L332,'All Solo Adjustments'!A:J,10,FALSE))</f>
        <v>1.2210648148148148E-2</v>
      </c>
      <c r="N332" s="63"/>
      <c r="O332" s="63"/>
      <c r="P332" s="63"/>
      <c r="Q332" s="63"/>
      <c r="R332" t="s">
        <v>184</v>
      </c>
      <c r="S332" t="s">
        <v>183</v>
      </c>
      <c r="T332" t="s">
        <v>292</v>
      </c>
      <c r="U332" t="s">
        <v>10519</v>
      </c>
      <c r="V332" t="s">
        <v>5208</v>
      </c>
      <c r="Y332" t="s">
        <v>10518</v>
      </c>
      <c r="Z332" t="str">
        <f>"020 8868 469"</f>
        <v>020 8868 469</v>
      </c>
      <c r="AA332" t="str">
        <f>""</f>
        <v/>
      </c>
      <c r="AB332" t="s">
        <v>1417</v>
      </c>
      <c r="AD332" t="s">
        <v>145</v>
      </c>
      <c r="AE332" s="63">
        <v>45368</v>
      </c>
      <c r="AF332" t="s">
        <v>113</v>
      </c>
      <c r="AG332" t="s">
        <v>112</v>
      </c>
      <c r="AH332" t="s">
        <v>112</v>
      </c>
      <c r="AI332" s="63">
        <v>43472</v>
      </c>
      <c r="AJ332" s="63">
        <v>45657</v>
      </c>
      <c r="AK332" t="s">
        <v>111</v>
      </c>
      <c r="AL332" t="s">
        <v>111</v>
      </c>
      <c r="AM332" t="s">
        <v>111</v>
      </c>
      <c r="AN332" t="s">
        <v>105</v>
      </c>
      <c r="AO332" t="s">
        <v>110</v>
      </c>
      <c r="AP332" t="s">
        <v>109</v>
      </c>
    </row>
    <row r="333" spans="1:42" x14ac:dyDescent="0.25">
      <c r="A333" s="28" t="str">
        <f>"1820"</f>
        <v>1820</v>
      </c>
      <c r="B333">
        <v>1820</v>
      </c>
      <c r="C333" t="s">
        <v>2488</v>
      </c>
      <c r="D333" t="s">
        <v>132</v>
      </c>
      <c r="F333" t="s">
        <v>120</v>
      </c>
      <c r="G333" t="s">
        <v>195</v>
      </c>
      <c r="I333" t="s">
        <v>2129</v>
      </c>
      <c r="J333" t="s">
        <v>7</v>
      </c>
      <c r="K333" s="63">
        <v>18774</v>
      </c>
      <c r="L333" s="28">
        <f>DATEDIF(K333,Zwift25!G$1,"Y")</f>
        <v>73</v>
      </c>
      <c r="M333" s="67">
        <f>IF(J333="m",VLOOKUP(L333,'All Solo Adjustments'!A:D,4,FALSE),VLOOKUP(L333,'All Solo Adjustments'!A:J,10,FALSE))</f>
        <v>7.5462962962962966E-3</v>
      </c>
      <c r="N333" s="63"/>
      <c r="O333" s="63"/>
      <c r="P333" s="63"/>
      <c r="Q333" s="63"/>
      <c r="R333" t="s">
        <v>180</v>
      </c>
      <c r="S333" t="s">
        <v>1741</v>
      </c>
      <c r="T333" t="s">
        <v>292</v>
      </c>
      <c r="U333" t="s">
        <v>10517</v>
      </c>
      <c r="V333" t="s">
        <v>10516</v>
      </c>
      <c r="W333" t="s">
        <v>926</v>
      </c>
      <c r="X333" t="s">
        <v>871</v>
      </c>
      <c r="Y333" t="s">
        <v>10515</v>
      </c>
      <c r="Z333" t="str">
        <f>"07784 572966"</f>
        <v>07784 572966</v>
      </c>
      <c r="AA333" t="str">
        <f>"01604 780351"</f>
        <v>01604 780351</v>
      </c>
      <c r="AB333" t="s">
        <v>2916</v>
      </c>
      <c r="AC333" t="s">
        <v>10514</v>
      </c>
      <c r="AD333" t="s">
        <v>114</v>
      </c>
      <c r="AE333" s="63">
        <v>45271</v>
      </c>
      <c r="AF333" t="s">
        <v>113</v>
      </c>
      <c r="AG333" t="s">
        <v>112</v>
      </c>
      <c r="AH333" t="s">
        <v>112</v>
      </c>
      <c r="AI333" s="63">
        <v>43454</v>
      </c>
      <c r="AJ333" s="63">
        <v>45657</v>
      </c>
      <c r="AK333" t="s">
        <v>111</v>
      </c>
      <c r="AL333" t="s">
        <v>111</v>
      </c>
      <c r="AM333" t="s">
        <v>111</v>
      </c>
      <c r="AN333">
        <v>6405</v>
      </c>
      <c r="AO333" t="s">
        <v>110</v>
      </c>
      <c r="AP333" t="s">
        <v>109</v>
      </c>
    </row>
    <row r="334" spans="1:42" x14ac:dyDescent="0.25">
      <c r="A334" s="28" t="str">
        <f>"10339"</f>
        <v>10339</v>
      </c>
      <c r="B334">
        <v>10339</v>
      </c>
      <c r="C334" t="s">
        <v>2488</v>
      </c>
      <c r="D334" t="s">
        <v>130</v>
      </c>
      <c r="F334" t="s">
        <v>149</v>
      </c>
      <c r="G334" t="s">
        <v>1495</v>
      </c>
      <c r="I334" t="s">
        <v>1533</v>
      </c>
      <c r="J334" t="s">
        <v>126</v>
      </c>
      <c r="K334" s="63">
        <v>18458</v>
      </c>
      <c r="L334" s="28">
        <f>DATEDIF(K334,Zwift25!G$1,"Y")</f>
        <v>74</v>
      </c>
      <c r="M334" s="67">
        <f>IF(J334="m",VLOOKUP(L334,'All Solo Adjustments'!A:D,4,FALSE),VLOOKUP(L334,'All Solo Adjustments'!A:J,10,FALSE))</f>
        <v>1.3414351851851853E-2</v>
      </c>
      <c r="N334" s="63"/>
      <c r="O334" s="63"/>
      <c r="P334" s="63"/>
      <c r="Q334" s="63"/>
      <c r="R334" t="s">
        <v>180</v>
      </c>
      <c r="S334" t="s">
        <v>1741</v>
      </c>
      <c r="T334" t="s">
        <v>292</v>
      </c>
      <c r="U334" t="s">
        <v>10517</v>
      </c>
      <c r="V334" t="s">
        <v>10516</v>
      </c>
      <c r="W334" t="s">
        <v>926</v>
      </c>
      <c r="X334" t="s">
        <v>871</v>
      </c>
      <c r="Y334" t="s">
        <v>10515</v>
      </c>
      <c r="Z334" t="str">
        <f>"07784 572966"</f>
        <v>07784 572966</v>
      </c>
      <c r="AA334" t="str">
        <f>"01604 780351"</f>
        <v>01604 780351</v>
      </c>
      <c r="AB334" t="s">
        <v>2916</v>
      </c>
      <c r="AC334" t="s">
        <v>10514</v>
      </c>
      <c r="AD334" t="s">
        <v>114</v>
      </c>
      <c r="AE334" s="63">
        <v>45271</v>
      </c>
      <c r="AF334" t="s">
        <v>113</v>
      </c>
      <c r="AG334" t="s">
        <v>112</v>
      </c>
      <c r="AH334" t="s">
        <v>112</v>
      </c>
      <c r="AI334" s="63">
        <v>43454</v>
      </c>
      <c r="AJ334" s="63">
        <v>45657</v>
      </c>
      <c r="AK334" t="s">
        <v>111</v>
      </c>
      <c r="AL334" t="s">
        <v>111</v>
      </c>
      <c r="AM334" t="s">
        <v>111</v>
      </c>
      <c r="AN334" t="s">
        <v>105</v>
      </c>
      <c r="AO334" t="s">
        <v>122</v>
      </c>
      <c r="AP334" t="s">
        <v>122</v>
      </c>
    </row>
    <row r="335" spans="1:42" x14ac:dyDescent="0.25">
      <c r="A335" s="28" t="str">
        <f>"16087"</f>
        <v>16087</v>
      </c>
      <c r="B335">
        <v>16087</v>
      </c>
      <c r="C335" t="s">
        <v>2488</v>
      </c>
      <c r="D335" t="s">
        <v>121</v>
      </c>
      <c r="E335" t="s">
        <v>584</v>
      </c>
      <c r="F335" t="s">
        <v>120</v>
      </c>
      <c r="G335" t="s">
        <v>1085</v>
      </c>
      <c r="H335" t="s">
        <v>235</v>
      </c>
      <c r="I335" t="s">
        <v>2129</v>
      </c>
      <c r="J335" t="s">
        <v>7</v>
      </c>
      <c r="K335" s="63">
        <v>30572</v>
      </c>
      <c r="L335" s="28">
        <f>DATEDIF(K335,Zwift25!G$1,"Y")</f>
        <v>41</v>
      </c>
      <c r="M335" s="67">
        <f>IF(J335="m",VLOOKUP(L335,'All Solo Adjustments'!A:D,4,FALSE),VLOOKUP(L335,'All Solo Adjustments'!A:J,10,FALSE))</f>
        <v>6.9444444444444444E-5</v>
      </c>
      <c r="N335" s="63"/>
      <c r="O335" s="63"/>
      <c r="P335" s="63"/>
      <c r="Q335" s="63"/>
      <c r="R335" t="s">
        <v>296</v>
      </c>
      <c r="S335" t="s">
        <v>295</v>
      </c>
      <c r="T335" t="s">
        <v>292</v>
      </c>
      <c r="U335" t="s">
        <v>10513</v>
      </c>
      <c r="V335" t="s">
        <v>10512</v>
      </c>
      <c r="Y335" t="s">
        <v>10511</v>
      </c>
      <c r="Z335" t="str">
        <f>"07894818305"</f>
        <v>07894818305</v>
      </c>
      <c r="AA335" t="str">
        <f>""</f>
        <v/>
      </c>
      <c r="AB335" t="s">
        <v>10510</v>
      </c>
      <c r="AC335" t="s">
        <v>10509</v>
      </c>
      <c r="AD335" t="s">
        <v>114</v>
      </c>
      <c r="AE335" s="63">
        <v>45385</v>
      </c>
      <c r="AF335" t="s">
        <v>156</v>
      </c>
      <c r="AG335" t="s">
        <v>112</v>
      </c>
      <c r="AH335" t="s">
        <v>112</v>
      </c>
      <c r="AI335" s="63">
        <v>45385</v>
      </c>
      <c r="AJ335" s="63">
        <v>45657</v>
      </c>
      <c r="AK335" t="s">
        <v>112</v>
      </c>
      <c r="AL335" t="s">
        <v>111</v>
      </c>
      <c r="AM335" t="s">
        <v>111</v>
      </c>
      <c r="AN335">
        <v>22189</v>
      </c>
      <c r="AO335" t="s">
        <v>110</v>
      </c>
      <c r="AP335" t="s">
        <v>109</v>
      </c>
    </row>
    <row r="336" spans="1:42" x14ac:dyDescent="0.25">
      <c r="A336" s="28" t="str">
        <f>"14118"</f>
        <v>14118</v>
      </c>
      <c r="B336">
        <v>14118</v>
      </c>
      <c r="C336" t="s">
        <v>2488</v>
      </c>
      <c r="D336" t="s">
        <v>121</v>
      </c>
      <c r="F336" t="s">
        <v>139</v>
      </c>
      <c r="G336" t="s">
        <v>606</v>
      </c>
      <c r="I336" t="s">
        <v>10508</v>
      </c>
      <c r="J336" t="s">
        <v>126</v>
      </c>
      <c r="K336" s="63">
        <v>21527</v>
      </c>
      <c r="L336" s="28">
        <f>DATEDIF(K336,Zwift25!G$1,"Y")</f>
        <v>65</v>
      </c>
      <c r="M336" s="67">
        <f>IF(J336="m",VLOOKUP(L336,'All Solo Adjustments'!A:D,4,FALSE),VLOOKUP(L336,'All Solo Adjustments'!A:J,10,FALSE))</f>
        <v>8.9467592592592585E-3</v>
      </c>
      <c r="N336" s="63"/>
      <c r="O336" s="63"/>
      <c r="P336" s="63"/>
      <c r="Q336" s="63"/>
      <c r="R336" t="s">
        <v>125</v>
      </c>
      <c r="S336" t="s">
        <v>170</v>
      </c>
      <c r="T336" t="s">
        <v>292</v>
      </c>
      <c r="U336" t="s">
        <v>10507</v>
      </c>
      <c r="W336" t="s">
        <v>746</v>
      </c>
      <c r="Y336" t="s">
        <v>10506</v>
      </c>
      <c r="Z336" t="str">
        <f>"07733 333 727"</f>
        <v>07733 333 727</v>
      </c>
      <c r="AA336" t="str">
        <f>""</f>
        <v/>
      </c>
      <c r="AB336" t="s">
        <v>745</v>
      </c>
      <c r="AC336" t="s">
        <v>10505</v>
      </c>
      <c r="AD336" t="s">
        <v>114</v>
      </c>
      <c r="AE336" s="63">
        <v>45292</v>
      </c>
      <c r="AF336" t="s">
        <v>156</v>
      </c>
      <c r="AG336" t="s">
        <v>112</v>
      </c>
      <c r="AH336" t="s">
        <v>112</v>
      </c>
      <c r="AI336" s="63">
        <v>43544</v>
      </c>
      <c r="AJ336" s="63">
        <v>45657</v>
      </c>
      <c r="AK336" t="s">
        <v>112</v>
      </c>
      <c r="AL336" t="s">
        <v>111</v>
      </c>
      <c r="AM336" t="s">
        <v>111</v>
      </c>
      <c r="AN336">
        <v>19120</v>
      </c>
      <c r="AO336" t="s">
        <v>122</v>
      </c>
      <c r="AP336" t="s">
        <v>122</v>
      </c>
    </row>
    <row r="337" spans="1:42" x14ac:dyDescent="0.25">
      <c r="A337" s="28" t="str">
        <f>"0430"</f>
        <v>0430</v>
      </c>
      <c r="B337">
        <v>430</v>
      </c>
      <c r="C337" t="s">
        <v>2488</v>
      </c>
      <c r="D337" t="s">
        <v>121</v>
      </c>
      <c r="F337" t="s">
        <v>120</v>
      </c>
      <c r="G337" t="s">
        <v>284</v>
      </c>
      <c r="I337" t="s">
        <v>10504</v>
      </c>
      <c r="J337" t="s">
        <v>7</v>
      </c>
      <c r="K337" s="63">
        <v>13686</v>
      </c>
      <c r="L337" s="28">
        <f>DATEDIF(K337,Zwift25!G$1,"Y")</f>
        <v>87</v>
      </c>
      <c r="M337" s="67">
        <f>IF(J337="m",VLOOKUP(L337,'All Solo Adjustments'!A:D,4,FALSE),VLOOKUP(L337,'All Solo Adjustments'!A:J,10,FALSE))</f>
        <v>1.576388888888889E-2</v>
      </c>
      <c r="N337" s="63"/>
      <c r="O337" s="63"/>
      <c r="P337" s="63"/>
      <c r="Q337" s="63"/>
      <c r="R337" t="s">
        <v>239</v>
      </c>
      <c r="S337" t="s">
        <v>437</v>
      </c>
      <c r="T337" t="s">
        <v>292</v>
      </c>
      <c r="U337" t="s">
        <v>10503</v>
      </c>
      <c r="V337" t="s">
        <v>10502</v>
      </c>
      <c r="W337" t="s">
        <v>2271</v>
      </c>
      <c r="Y337" t="s">
        <v>10501</v>
      </c>
      <c r="Z337" t="str">
        <f>"01274 564234"</f>
        <v>01274 564234</v>
      </c>
      <c r="AA337" t="str">
        <f>""</f>
        <v/>
      </c>
      <c r="AB337" t="s">
        <v>679</v>
      </c>
      <c r="AC337" t="s">
        <v>10500</v>
      </c>
      <c r="AD337" t="s">
        <v>151</v>
      </c>
      <c r="AF337" t="s">
        <v>113</v>
      </c>
      <c r="AG337" t="s">
        <v>112</v>
      </c>
      <c r="AH337" t="s">
        <v>112</v>
      </c>
      <c r="AI337" s="63">
        <v>28369</v>
      </c>
      <c r="AK337" t="s">
        <v>111</v>
      </c>
      <c r="AL337" t="s">
        <v>111</v>
      </c>
      <c r="AM337" t="s">
        <v>111</v>
      </c>
      <c r="AN337" t="s">
        <v>105</v>
      </c>
      <c r="AO337" t="s">
        <v>110</v>
      </c>
      <c r="AP337" t="s">
        <v>109</v>
      </c>
    </row>
    <row r="338" spans="1:42" x14ac:dyDescent="0.25">
      <c r="A338" s="28" t="str">
        <f>"16041"</f>
        <v>16041</v>
      </c>
      <c r="B338">
        <v>16041</v>
      </c>
      <c r="C338" t="s">
        <v>2488</v>
      </c>
      <c r="D338" t="s">
        <v>121</v>
      </c>
      <c r="E338" t="s">
        <v>584</v>
      </c>
      <c r="F338" t="s">
        <v>120</v>
      </c>
      <c r="G338" t="s">
        <v>520</v>
      </c>
      <c r="I338" t="s">
        <v>10499</v>
      </c>
      <c r="J338" t="s">
        <v>7</v>
      </c>
      <c r="K338" s="63">
        <v>23453</v>
      </c>
      <c r="L338" s="28">
        <f>DATEDIF(K338,Zwift25!G$1,"Y")</f>
        <v>60</v>
      </c>
      <c r="M338" s="67">
        <f>IF(J338="m",VLOOKUP(L338,'All Solo Adjustments'!A:D,4,FALSE),VLOOKUP(L338,'All Solo Adjustments'!A:J,10,FALSE))</f>
        <v>3.2060185185185186E-3</v>
      </c>
      <c r="N338" s="63"/>
      <c r="O338" s="63"/>
      <c r="P338" s="63"/>
      <c r="Q338" s="63"/>
      <c r="R338" t="s">
        <v>125</v>
      </c>
      <c r="S338" t="s">
        <v>170</v>
      </c>
      <c r="T338" t="s">
        <v>292</v>
      </c>
      <c r="U338" t="s">
        <v>10498</v>
      </c>
      <c r="V338" t="s">
        <v>2437</v>
      </c>
      <c r="W338" t="s">
        <v>10497</v>
      </c>
      <c r="X338" t="s">
        <v>123</v>
      </c>
      <c r="Y338" t="s">
        <v>10496</v>
      </c>
      <c r="Z338" t="str">
        <f>"07793555224"</f>
        <v>07793555224</v>
      </c>
      <c r="AA338" t="str">
        <f>""</f>
        <v/>
      </c>
      <c r="AB338" t="s">
        <v>10495</v>
      </c>
      <c r="AC338" t="s">
        <v>10494</v>
      </c>
      <c r="AD338" t="s">
        <v>114</v>
      </c>
      <c r="AE338" s="63">
        <v>45348</v>
      </c>
      <c r="AF338" t="s">
        <v>156</v>
      </c>
      <c r="AG338" t="s">
        <v>112</v>
      </c>
      <c r="AH338" t="s">
        <v>112</v>
      </c>
      <c r="AI338" s="63">
        <v>45348</v>
      </c>
      <c r="AJ338" s="63">
        <v>45657</v>
      </c>
      <c r="AK338" t="s">
        <v>112</v>
      </c>
      <c r="AL338" t="s">
        <v>112</v>
      </c>
      <c r="AM338" t="s">
        <v>112</v>
      </c>
      <c r="AN338">
        <v>43192</v>
      </c>
      <c r="AO338" t="s">
        <v>110</v>
      </c>
      <c r="AP338" t="s">
        <v>109</v>
      </c>
    </row>
    <row r="339" spans="1:42" x14ac:dyDescent="0.25">
      <c r="A339" s="28" t="str">
        <f>"0435"</f>
        <v>0435</v>
      </c>
      <c r="B339">
        <v>435</v>
      </c>
      <c r="C339" t="s">
        <v>2488</v>
      </c>
      <c r="D339" t="s">
        <v>132</v>
      </c>
      <c r="F339" t="s">
        <v>403</v>
      </c>
      <c r="G339" t="s">
        <v>234</v>
      </c>
      <c r="I339" t="s">
        <v>2126</v>
      </c>
      <c r="J339" t="s">
        <v>7</v>
      </c>
      <c r="K339" s="63">
        <v>16244</v>
      </c>
      <c r="L339" s="28">
        <f>DATEDIF(K339,Zwift25!G$1,"Y")</f>
        <v>80</v>
      </c>
      <c r="M339" s="67">
        <f>IF(J339="m",VLOOKUP(L339,'All Solo Adjustments'!A:D,4,FALSE),VLOOKUP(L339,'All Solo Adjustments'!A:J,10,FALSE))</f>
        <v>1.1018518518518518E-2</v>
      </c>
      <c r="N339" s="63"/>
      <c r="O339" s="63"/>
      <c r="P339" s="63"/>
      <c r="Q339" s="63"/>
      <c r="R339" t="s">
        <v>296</v>
      </c>
      <c r="S339" t="s">
        <v>2310</v>
      </c>
      <c r="T339" t="s">
        <v>292</v>
      </c>
      <c r="U339" t="s">
        <v>10493</v>
      </c>
      <c r="V339" t="s">
        <v>10492</v>
      </c>
      <c r="W339" t="s">
        <v>10491</v>
      </c>
      <c r="X339" t="s">
        <v>1738</v>
      </c>
      <c r="Y339" t="s">
        <v>10490</v>
      </c>
      <c r="Z339" t="str">
        <f>"07900901810"</f>
        <v>07900901810</v>
      </c>
      <c r="AA339" t="str">
        <f>""</f>
        <v/>
      </c>
      <c r="AB339" t="s">
        <v>7783</v>
      </c>
      <c r="AC339" t="s">
        <v>10489</v>
      </c>
      <c r="AD339" t="s">
        <v>145</v>
      </c>
      <c r="AF339" t="s">
        <v>156</v>
      </c>
      <c r="AG339" t="s">
        <v>112</v>
      </c>
      <c r="AH339" t="s">
        <v>112</v>
      </c>
      <c r="AI339" s="63">
        <v>31472</v>
      </c>
      <c r="AK339" t="s">
        <v>111</v>
      </c>
      <c r="AL339" t="s">
        <v>111</v>
      </c>
      <c r="AM339" t="s">
        <v>111</v>
      </c>
      <c r="AN339">
        <v>24193</v>
      </c>
      <c r="AO339" t="s">
        <v>110</v>
      </c>
      <c r="AP339" t="s">
        <v>109</v>
      </c>
    </row>
    <row r="340" spans="1:42" x14ac:dyDescent="0.25">
      <c r="A340" s="28" t="str">
        <f>"14114"</f>
        <v>14114</v>
      </c>
      <c r="B340">
        <v>14114</v>
      </c>
      <c r="C340" t="s">
        <v>2488</v>
      </c>
      <c r="D340" t="s">
        <v>121</v>
      </c>
      <c r="F340" t="s">
        <v>120</v>
      </c>
      <c r="G340" t="s">
        <v>251</v>
      </c>
      <c r="H340" t="s">
        <v>359</v>
      </c>
      <c r="I340" t="s">
        <v>2126</v>
      </c>
      <c r="J340" t="s">
        <v>7</v>
      </c>
      <c r="K340" s="63">
        <v>25226</v>
      </c>
      <c r="L340" s="28">
        <f>DATEDIF(K340,Zwift25!G$1,"Y")</f>
        <v>55</v>
      </c>
      <c r="M340" s="67">
        <f>IF(J340="m",VLOOKUP(L340,'All Solo Adjustments'!A:D,4,FALSE),VLOOKUP(L340,'All Solo Adjustments'!A:J,10,FALSE))</f>
        <v>2.0601851851851853E-3</v>
      </c>
      <c r="N340" s="63"/>
      <c r="O340" s="63"/>
      <c r="P340" s="63"/>
      <c r="Q340" s="63"/>
      <c r="R340" t="s">
        <v>143</v>
      </c>
      <c r="S340" t="s">
        <v>142</v>
      </c>
      <c r="T340" t="s">
        <v>292</v>
      </c>
      <c r="U340" t="s">
        <v>10488</v>
      </c>
      <c r="V340" t="s">
        <v>2787</v>
      </c>
      <c r="W340" t="s">
        <v>1185</v>
      </c>
      <c r="X340" t="s">
        <v>486</v>
      </c>
      <c r="Y340" t="s">
        <v>10487</v>
      </c>
      <c r="Z340" t="str">
        <f>"07855746616"</f>
        <v>07855746616</v>
      </c>
      <c r="AA340" t="str">
        <f>""</f>
        <v/>
      </c>
      <c r="AB340" t="s">
        <v>1587</v>
      </c>
      <c r="AC340" t="s">
        <v>10486</v>
      </c>
      <c r="AD340" t="s">
        <v>114</v>
      </c>
      <c r="AE340" s="63">
        <v>45353</v>
      </c>
      <c r="AF340" t="s">
        <v>156</v>
      </c>
      <c r="AG340" t="s">
        <v>112</v>
      </c>
      <c r="AH340" t="s">
        <v>112</v>
      </c>
      <c r="AI340" s="63">
        <v>43543</v>
      </c>
      <c r="AJ340" s="63">
        <v>45657</v>
      </c>
      <c r="AK340" t="s">
        <v>112</v>
      </c>
      <c r="AL340" t="s">
        <v>111</v>
      </c>
      <c r="AM340" t="s">
        <v>111</v>
      </c>
      <c r="AN340">
        <v>3616</v>
      </c>
      <c r="AO340" t="s">
        <v>110</v>
      </c>
      <c r="AP340" t="s">
        <v>109</v>
      </c>
    </row>
    <row r="341" spans="1:42" x14ac:dyDescent="0.25">
      <c r="A341" s="28" t="str">
        <f>"14142"</f>
        <v>14142</v>
      </c>
      <c r="B341">
        <v>14142</v>
      </c>
      <c r="C341" t="s">
        <v>2488</v>
      </c>
      <c r="D341" t="s">
        <v>121</v>
      </c>
      <c r="F341" t="s">
        <v>120</v>
      </c>
      <c r="G341" t="s">
        <v>1769</v>
      </c>
      <c r="H341" t="s">
        <v>284</v>
      </c>
      <c r="I341" t="s">
        <v>2126</v>
      </c>
      <c r="J341" t="s">
        <v>7</v>
      </c>
      <c r="K341" s="63">
        <v>24692</v>
      </c>
      <c r="L341" s="28">
        <f>DATEDIF(K341,Zwift25!G$1,"Y")</f>
        <v>57</v>
      </c>
      <c r="M341" s="67">
        <f>IF(J341="m",VLOOKUP(L341,'All Solo Adjustments'!A:D,4,FALSE),VLOOKUP(L341,'All Solo Adjustments'!A:J,10,FALSE))</f>
        <v>2.488425925925926E-3</v>
      </c>
      <c r="N341" s="63"/>
      <c r="O341" s="63"/>
      <c r="P341" s="63"/>
      <c r="Q341" s="63"/>
      <c r="R341" t="s">
        <v>125</v>
      </c>
      <c r="S341" t="s">
        <v>170</v>
      </c>
      <c r="T341" t="s">
        <v>292</v>
      </c>
      <c r="U341" t="s">
        <v>10485</v>
      </c>
      <c r="V341" t="s">
        <v>10484</v>
      </c>
      <c r="W341" t="s">
        <v>223</v>
      </c>
      <c r="Y341" t="s">
        <v>10483</v>
      </c>
      <c r="Z341" t="str">
        <f>"07770262798"</f>
        <v>07770262798</v>
      </c>
      <c r="AA341" t="str">
        <f>""</f>
        <v/>
      </c>
      <c r="AB341" t="s">
        <v>10482</v>
      </c>
      <c r="AC341" t="s">
        <v>10481</v>
      </c>
      <c r="AD341" t="s">
        <v>114</v>
      </c>
      <c r="AE341" s="63">
        <v>45232</v>
      </c>
      <c r="AF341" t="s">
        <v>156</v>
      </c>
      <c r="AG341" t="s">
        <v>112</v>
      </c>
      <c r="AH341" t="s">
        <v>112</v>
      </c>
      <c r="AI341" s="63">
        <v>43559</v>
      </c>
      <c r="AJ341" s="63">
        <v>45657</v>
      </c>
      <c r="AK341" t="s">
        <v>112</v>
      </c>
      <c r="AL341" t="s">
        <v>111</v>
      </c>
      <c r="AM341" t="s">
        <v>111</v>
      </c>
      <c r="AN341">
        <v>29883</v>
      </c>
      <c r="AO341" t="s">
        <v>110</v>
      </c>
      <c r="AP341" t="s">
        <v>109</v>
      </c>
    </row>
    <row r="342" spans="1:42" x14ac:dyDescent="0.25">
      <c r="A342" s="28" t="str">
        <f>"15063"</f>
        <v>15063</v>
      </c>
      <c r="B342">
        <v>15063</v>
      </c>
      <c r="C342" t="s">
        <v>2488</v>
      </c>
      <c r="D342" t="s">
        <v>121</v>
      </c>
      <c r="F342" t="s">
        <v>149</v>
      </c>
      <c r="G342" t="s">
        <v>455</v>
      </c>
      <c r="I342" t="s">
        <v>2126</v>
      </c>
      <c r="J342" t="s">
        <v>126</v>
      </c>
      <c r="K342" s="63">
        <v>21567</v>
      </c>
      <c r="L342" s="28">
        <f>DATEDIF(K342,Zwift25!G$1,"Y")</f>
        <v>65</v>
      </c>
      <c r="M342" s="67">
        <f>IF(J342="m",VLOOKUP(L342,'All Solo Adjustments'!A:D,4,FALSE),VLOOKUP(L342,'All Solo Adjustments'!A:J,10,FALSE))</f>
        <v>8.9467592592592585E-3</v>
      </c>
      <c r="N342" s="63"/>
      <c r="O342" s="63"/>
      <c r="P342" s="63"/>
      <c r="Q342" s="63"/>
      <c r="R342" t="s">
        <v>137</v>
      </c>
      <c r="S342" t="s">
        <v>136</v>
      </c>
      <c r="T342" t="s">
        <v>292</v>
      </c>
      <c r="U342" t="s">
        <v>10480</v>
      </c>
      <c r="V342" t="s">
        <v>10477</v>
      </c>
      <c r="W342" t="s">
        <v>1089</v>
      </c>
      <c r="X342" t="s">
        <v>1091</v>
      </c>
      <c r="Y342" t="s">
        <v>10476</v>
      </c>
      <c r="Z342" t="str">
        <f>"07833045331"</f>
        <v>07833045331</v>
      </c>
      <c r="AA342" t="str">
        <f>""</f>
        <v/>
      </c>
      <c r="AB342" t="s">
        <v>629</v>
      </c>
      <c r="AC342" t="s">
        <v>10479</v>
      </c>
      <c r="AD342" t="s">
        <v>114</v>
      </c>
      <c r="AE342" s="63">
        <v>45359</v>
      </c>
      <c r="AF342" t="s">
        <v>156</v>
      </c>
      <c r="AG342" t="s">
        <v>112</v>
      </c>
      <c r="AH342" t="s">
        <v>112</v>
      </c>
      <c r="AI342" s="63">
        <v>44324</v>
      </c>
      <c r="AJ342" s="63">
        <v>45657</v>
      </c>
      <c r="AK342" t="s">
        <v>112</v>
      </c>
      <c r="AL342" t="s">
        <v>111</v>
      </c>
      <c r="AM342" t="s">
        <v>111</v>
      </c>
      <c r="AN342">
        <v>29316</v>
      </c>
      <c r="AO342" t="s">
        <v>122</v>
      </c>
      <c r="AP342" t="s">
        <v>122</v>
      </c>
    </row>
    <row r="343" spans="1:42" x14ac:dyDescent="0.25">
      <c r="A343" s="28" t="str">
        <f>"15064"</f>
        <v>15064</v>
      </c>
      <c r="B343">
        <v>15064</v>
      </c>
      <c r="C343" t="s">
        <v>2488</v>
      </c>
      <c r="D343" t="s">
        <v>121</v>
      </c>
      <c r="F343" t="s">
        <v>120</v>
      </c>
      <c r="G343" t="s">
        <v>245</v>
      </c>
      <c r="I343" t="s">
        <v>2126</v>
      </c>
      <c r="J343" t="s">
        <v>7</v>
      </c>
      <c r="K343" s="63">
        <v>20904</v>
      </c>
      <c r="L343" s="28">
        <f>DATEDIF(K343,Zwift25!G$1,"Y")</f>
        <v>67</v>
      </c>
      <c r="M343" s="67">
        <f>IF(J343="m",VLOOKUP(L343,'All Solo Adjustments'!A:D,4,FALSE),VLOOKUP(L343,'All Solo Adjustments'!A:J,10,FALSE))</f>
        <v>5.2662037037037035E-3</v>
      </c>
      <c r="N343" s="63"/>
      <c r="O343" s="63"/>
      <c r="P343" s="63"/>
      <c r="Q343" s="63"/>
      <c r="R343" t="s">
        <v>137</v>
      </c>
      <c r="S343" t="s">
        <v>136</v>
      </c>
      <c r="T343" t="s">
        <v>292</v>
      </c>
      <c r="U343" t="s">
        <v>10478</v>
      </c>
      <c r="V343" t="s">
        <v>10477</v>
      </c>
      <c r="W343" t="s">
        <v>1089</v>
      </c>
      <c r="X343" t="s">
        <v>1091</v>
      </c>
      <c r="Y343" t="s">
        <v>10476</v>
      </c>
      <c r="Z343" t="str">
        <f>"07901857050"</f>
        <v>07901857050</v>
      </c>
      <c r="AA343" t="str">
        <f>""</f>
        <v/>
      </c>
      <c r="AB343" t="s">
        <v>629</v>
      </c>
      <c r="AC343" t="s">
        <v>10475</v>
      </c>
      <c r="AD343" t="s">
        <v>114</v>
      </c>
      <c r="AE343" s="63">
        <v>45359</v>
      </c>
      <c r="AF343" t="s">
        <v>156</v>
      </c>
      <c r="AG343" t="s">
        <v>112</v>
      </c>
      <c r="AH343" t="s">
        <v>112</v>
      </c>
      <c r="AI343" s="63">
        <v>44324</v>
      </c>
      <c r="AJ343" s="63">
        <v>45657</v>
      </c>
      <c r="AK343" t="s">
        <v>112</v>
      </c>
      <c r="AL343" t="s">
        <v>111</v>
      </c>
      <c r="AM343" t="s">
        <v>111</v>
      </c>
      <c r="AN343">
        <v>29313</v>
      </c>
      <c r="AO343" t="s">
        <v>110</v>
      </c>
      <c r="AP343" t="s">
        <v>109</v>
      </c>
    </row>
    <row r="344" spans="1:42" x14ac:dyDescent="0.25">
      <c r="A344" s="28" t="str">
        <f>"15465"</f>
        <v>15465</v>
      </c>
      <c r="B344">
        <v>15465</v>
      </c>
      <c r="C344" t="s">
        <v>2488</v>
      </c>
      <c r="D344" t="s">
        <v>121</v>
      </c>
      <c r="F344" t="s">
        <v>120</v>
      </c>
      <c r="G344" t="s">
        <v>245</v>
      </c>
      <c r="H344" t="s">
        <v>1166</v>
      </c>
      <c r="I344" t="s">
        <v>2126</v>
      </c>
      <c r="J344" t="s">
        <v>7</v>
      </c>
      <c r="K344" s="63">
        <v>25661</v>
      </c>
      <c r="L344" s="28">
        <f>DATEDIF(K344,Zwift25!G$1,"Y")</f>
        <v>54</v>
      </c>
      <c r="M344" s="67">
        <f>IF(J344="m",VLOOKUP(L344,'All Solo Adjustments'!A:D,4,FALSE),VLOOKUP(L344,'All Solo Adjustments'!A:J,10,FALSE))</f>
        <v>1.8518518518518517E-3</v>
      </c>
      <c r="N344" s="63"/>
      <c r="O344" s="63"/>
      <c r="P344" s="63"/>
      <c r="Q344" s="63"/>
      <c r="R344" t="s">
        <v>180</v>
      </c>
      <c r="S344" t="s">
        <v>179</v>
      </c>
      <c r="T344" t="s">
        <v>292</v>
      </c>
      <c r="U344" t="s">
        <v>10474</v>
      </c>
      <c r="V344" t="s">
        <v>1204</v>
      </c>
      <c r="Y344" t="s">
        <v>10473</v>
      </c>
      <c r="Z344" t="str">
        <f>"07545259186"</f>
        <v>07545259186</v>
      </c>
      <c r="AA344" t="str">
        <f>""</f>
        <v/>
      </c>
      <c r="AB344" t="s">
        <v>4536</v>
      </c>
      <c r="AC344" t="s">
        <v>10472</v>
      </c>
      <c r="AD344" t="s">
        <v>114</v>
      </c>
      <c r="AE344" s="63">
        <v>45272</v>
      </c>
      <c r="AF344" t="s">
        <v>156</v>
      </c>
      <c r="AG344" t="s">
        <v>112</v>
      </c>
      <c r="AH344" t="s">
        <v>112</v>
      </c>
      <c r="AI344" s="63">
        <v>44676</v>
      </c>
      <c r="AJ344" s="63">
        <v>45657</v>
      </c>
      <c r="AK344" t="s">
        <v>112</v>
      </c>
      <c r="AL344" t="s">
        <v>111</v>
      </c>
      <c r="AM344" t="s">
        <v>111</v>
      </c>
      <c r="AN344">
        <v>43372</v>
      </c>
      <c r="AO344" t="s">
        <v>110</v>
      </c>
      <c r="AP344" t="s">
        <v>109</v>
      </c>
    </row>
    <row r="345" spans="1:42" x14ac:dyDescent="0.25">
      <c r="A345" s="28" t="str">
        <f>"16141"</f>
        <v>16141</v>
      </c>
      <c r="B345">
        <v>16141</v>
      </c>
      <c r="C345" t="s">
        <v>2488</v>
      </c>
      <c r="D345" t="s">
        <v>121</v>
      </c>
      <c r="F345" t="s">
        <v>120</v>
      </c>
      <c r="G345" t="s">
        <v>206</v>
      </c>
      <c r="H345" t="s">
        <v>310</v>
      </c>
      <c r="I345" t="s">
        <v>2126</v>
      </c>
      <c r="J345" t="s">
        <v>7</v>
      </c>
      <c r="K345" s="63">
        <v>28037</v>
      </c>
      <c r="L345" s="28">
        <f>DATEDIF(K345,Zwift25!G$1,"Y")</f>
        <v>48</v>
      </c>
      <c r="M345" s="67">
        <f>IF(J345="m",VLOOKUP(L345,'All Solo Adjustments'!A:D,4,FALSE),VLOOKUP(L345,'All Solo Adjustments'!A:J,10,FALSE))</f>
        <v>8.3333333333333339E-4</v>
      </c>
      <c r="N345" s="63"/>
      <c r="O345" s="63"/>
      <c r="P345" s="63"/>
      <c r="Q345" s="63"/>
      <c r="R345" t="s">
        <v>296</v>
      </c>
      <c r="S345" t="s">
        <v>295</v>
      </c>
      <c r="T345" t="s">
        <v>292</v>
      </c>
      <c r="U345" t="s">
        <v>10471</v>
      </c>
      <c r="V345" t="s">
        <v>10470</v>
      </c>
      <c r="W345" t="s">
        <v>10469</v>
      </c>
      <c r="Y345" t="s">
        <v>10468</v>
      </c>
      <c r="Z345" t="str">
        <f>"07736834934"</f>
        <v>07736834934</v>
      </c>
      <c r="AA345" t="str">
        <f>""</f>
        <v/>
      </c>
      <c r="AB345" t="s">
        <v>408</v>
      </c>
      <c r="AC345" t="s">
        <v>10467</v>
      </c>
      <c r="AD345" t="s">
        <v>114</v>
      </c>
      <c r="AE345" s="63">
        <v>45434</v>
      </c>
      <c r="AF345" t="s">
        <v>156</v>
      </c>
      <c r="AG345" t="s">
        <v>112</v>
      </c>
      <c r="AH345" t="s">
        <v>112</v>
      </c>
      <c r="AI345" s="63">
        <v>45434</v>
      </c>
      <c r="AJ345" s="63">
        <v>45657</v>
      </c>
      <c r="AK345" t="s">
        <v>112</v>
      </c>
      <c r="AL345" t="s">
        <v>111</v>
      </c>
      <c r="AM345" t="s">
        <v>111</v>
      </c>
      <c r="AN345">
        <v>50633</v>
      </c>
      <c r="AO345" t="s">
        <v>110</v>
      </c>
      <c r="AP345" t="s">
        <v>109</v>
      </c>
    </row>
    <row r="346" spans="1:42" x14ac:dyDescent="0.25">
      <c r="A346" s="28" t="str">
        <f>"4160"</f>
        <v>4160</v>
      </c>
      <c r="B346">
        <v>4160</v>
      </c>
      <c r="C346" t="s">
        <v>2488</v>
      </c>
      <c r="D346" t="s">
        <v>121</v>
      </c>
      <c r="F346" t="s">
        <v>120</v>
      </c>
      <c r="G346" t="s">
        <v>649</v>
      </c>
      <c r="H346" t="s">
        <v>241</v>
      </c>
      <c r="I346" t="s">
        <v>891</v>
      </c>
      <c r="J346" t="s">
        <v>7</v>
      </c>
      <c r="K346" s="63">
        <v>16613</v>
      </c>
      <c r="L346" s="28">
        <f>DATEDIF(K346,Zwift25!G$1,"Y")</f>
        <v>79</v>
      </c>
      <c r="M346" s="67">
        <f>IF(J346="m",VLOOKUP(L346,'All Solo Adjustments'!A:D,4,FALSE),VLOOKUP(L346,'All Solo Adjustments'!A:J,10,FALSE))</f>
        <v>1.0451388888888889E-2</v>
      </c>
      <c r="N346" s="63"/>
      <c r="O346" s="63"/>
      <c r="P346" s="63"/>
      <c r="Q346" s="63"/>
      <c r="R346" t="s">
        <v>125</v>
      </c>
      <c r="S346" t="s">
        <v>170</v>
      </c>
      <c r="T346" t="s">
        <v>292</v>
      </c>
      <c r="U346" t="s">
        <v>10466</v>
      </c>
      <c r="V346" t="s">
        <v>225</v>
      </c>
      <c r="W346" t="s">
        <v>123</v>
      </c>
      <c r="Y346" t="s">
        <v>10465</v>
      </c>
      <c r="Z346" t="str">
        <f>"01206 760227"</f>
        <v>01206 760227</v>
      </c>
      <c r="AA346" t="str">
        <f>""</f>
        <v/>
      </c>
      <c r="AB346" t="s">
        <v>444</v>
      </c>
      <c r="AC346" t="s">
        <v>10464</v>
      </c>
      <c r="AD346" t="s">
        <v>114</v>
      </c>
      <c r="AE346" s="63">
        <v>45292</v>
      </c>
      <c r="AF346" t="s">
        <v>113</v>
      </c>
      <c r="AG346" t="s">
        <v>112</v>
      </c>
      <c r="AH346" t="s">
        <v>112</v>
      </c>
      <c r="AI346" s="63">
        <v>40626</v>
      </c>
      <c r="AJ346" s="63">
        <v>45657</v>
      </c>
      <c r="AK346" t="s">
        <v>111</v>
      </c>
      <c r="AL346" t="s">
        <v>111</v>
      </c>
      <c r="AM346" t="s">
        <v>111</v>
      </c>
      <c r="AN346" t="s">
        <v>105</v>
      </c>
      <c r="AO346" t="s">
        <v>110</v>
      </c>
      <c r="AP346" t="s">
        <v>109</v>
      </c>
    </row>
    <row r="347" spans="1:42" x14ac:dyDescent="0.25">
      <c r="A347" s="28" t="str">
        <f>"3509"</f>
        <v>3509</v>
      </c>
      <c r="B347">
        <v>3509</v>
      </c>
      <c r="C347" t="s">
        <v>2488</v>
      </c>
      <c r="D347" t="s">
        <v>121</v>
      </c>
      <c r="E347" t="s">
        <v>584</v>
      </c>
      <c r="F347" t="s">
        <v>120</v>
      </c>
      <c r="G347" t="s">
        <v>952</v>
      </c>
      <c r="I347" t="s">
        <v>891</v>
      </c>
      <c r="J347" t="s">
        <v>7</v>
      </c>
      <c r="K347" s="63">
        <v>21696</v>
      </c>
      <c r="L347" s="28">
        <f>DATEDIF(K347,Zwift25!G$1,"Y")</f>
        <v>65</v>
      </c>
      <c r="M347" s="67">
        <f>IF(J347="m",VLOOKUP(L347,'All Solo Adjustments'!A:D,4,FALSE),VLOOKUP(L347,'All Solo Adjustments'!A:J,10,FALSE))</f>
        <v>4.6180555555555558E-3</v>
      </c>
      <c r="N347" s="63"/>
      <c r="O347" s="63"/>
      <c r="P347" s="63"/>
      <c r="Q347" s="63"/>
      <c r="R347" t="s">
        <v>213</v>
      </c>
      <c r="S347" t="s">
        <v>212</v>
      </c>
      <c r="T347" t="s">
        <v>292</v>
      </c>
      <c r="U347" t="s">
        <v>10463</v>
      </c>
      <c r="V347" t="s">
        <v>1486</v>
      </c>
      <c r="W347" t="s">
        <v>10462</v>
      </c>
      <c r="X347" t="s">
        <v>10461</v>
      </c>
      <c r="Y347" t="s">
        <v>10460</v>
      </c>
      <c r="Z347" t="str">
        <f>"01939 262509"</f>
        <v>01939 262509</v>
      </c>
      <c r="AA347" t="str">
        <f>"07910 810703"</f>
        <v>07910 810703</v>
      </c>
      <c r="AB347" t="s">
        <v>1052</v>
      </c>
      <c r="AC347" t="s">
        <v>10459</v>
      </c>
      <c r="AD347" t="s">
        <v>114</v>
      </c>
      <c r="AE347" s="63">
        <v>45291</v>
      </c>
      <c r="AF347" t="s">
        <v>113</v>
      </c>
      <c r="AG347" t="s">
        <v>112</v>
      </c>
      <c r="AH347" t="s">
        <v>112</v>
      </c>
      <c r="AI347" s="63">
        <v>39820</v>
      </c>
      <c r="AJ347" s="63">
        <v>45657</v>
      </c>
      <c r="AK347" t="s">
        <v>111</v>
      </c>
      <c r="AL347" t="s">
        <v>111</v>
      </c>
      <c r="AM347" t="s">
        <v>111</v>
      </c>
      <c r="AN347">
        <v>4197</v>
      </c>
      <c r="AO347" t="s">
        <v>110</v>
      </c>
      <c r="AP347" t="s">
        <v>109</v>
      </c>
    </row>
    <row r="348" spans="1:42" x14ac:dyDescent="0.25">
      <c r="A348" s="28" t="str">
        <f>"0441"</f>
        <v>0441</v>
      </c>
      <c r="B348">
        <v>441</v>
      </c>
      <c r="C348" t="s">
        <v>2488</v>
      </c>
      <c r="D348" t="s">
        <v>121</v>
      </c>
      <c r="F348" t="s">
        <v>120</v>
      </c>
      <c r="G348" t="s">
        <v>284</v>
      </c>
      <c r="I348" t="s">
        <v>891</v>
      </c>
      <c r="J348" t="s">
        <v>7</v>
      </c>
      <c r="K348" s="63">
        <v>19790</v>
      </c>
      <c r="L348" s="28">
        <f>DATEDIF(K348,Zwift25!G$1,"Y")</f>
        <v>70</v>
      </c>
      <c r="M348" s="67">
        <f>IF(J348="m",VLOOKUP(L348,'All Solo Adjustments'!A:D,4,FALSE),VLOOKUP(L348,'All Solo Adjustments'!A:J,10,FALSE))</f>
        <v>6.3425925925925924E-3</v>
      </c>
      <c r="N348" s="63"/>
      <c r="O348" s="63"/>
      <c r="P348" s="63"/>
      <c r="Q348" s="63"/>
      <c r="R348" t="s">
        <v>118</v>
      </c>
      <c r="S348" t="s">
        <v>2460</v>
      </c>
      <c r="T348" t="s">
        <v>292</v>
      </c>
      <c r="U348" t="s">
        <v>10458</v>
      </c>
      <c r="V348" t="s">
        <v>875</v>
      </c>
      <c r="W348" t="s">
        <v>2459</v>
      </c>
      <c r="Y348" t="s">
        <v>10457</v>
      </c>
      <c r="Z348" t="str">
        <f>"0114 2377189"</f>
        <v>0114 2377189</v>
      </c>
      <c r="AA348" t="str">
        <f>""</f>
        <v/>
      </c>
      <c r="AB348" t="s">
        <v>1099</v>
      </c>
      <c r="AD348" t="s">
        <v>151</v>
      </c>
      <c r="AF348" t="s">
        <v>113</v>
      </c>
      <c r="AG348" t="s">
        <v>112</v>
      </c>
      <c r="AH348" t="s">
        <v>112</v>
      </c>
      <c r="AI348" s="63">
        <v>40878</v>
      </c>
      <c r="AK348" t="s">
        <v>111</v>
      </c>
      <c r="AL348" t="s">
        <v>111</v>
      </c>
      <c r="AM348" t="s">
        <v>111</v>
      </c>
      <c r="AN348" t="s">
        <v>105</v>
      </c>
      <c r="AO348" t="s">
        <v>110</v>
      </c>
      <c r="AP348" t="s">
        <v>109</v>
      </c>
    </row>
    <row r="349" spans="1:42" x14ac:dyDescent="0.25">
      <c r="A349" s="28" t="str">
        <f>"3530"</f>
        <v>3530</v>
      </c>
      <c r="B349">
        <v>3530</v>
      </c>
      <c r="C349" t="s">
        <v>2488</v>
      </c>
      <c r="D349" t="s">
        <v>121</v>
      </c>
      <c r="F349" t="s">
        <v>120</v>
      </c>
      <c r="G349" t="s">
        <v>164</v>
      </c>
      <c r="I349" t="s">
        <v>10456</v>
      </c>
      <c r="J349" t="s">
        <v>7</v>
      </c>
      <c r="K349" s="63">
        <v>16049</v>
      </c>
      <c r="L349" s="28">
        <f>DATEDIF(K349,Zwift25!G$1,"Y")</f>
        <v>80</v>
      </c>
      <c r="M349" s="67">
        <f>IF(J349="m",VLOOKUP(L349,'All Solo Adjustments'!A:D,4,FALSE),VLOOKUP(L349,'All Solo Adjustments'!A:J,10,FALSE))</f>
        <v>1.1018518518518518E-2</v>
      </c>
      <c r="N349" s="63"/>
      <c r="O349" s="63"/>
      <c r="P349" s="63"/>
      <c r="Q349" s="63"/>
      <c r="R349" t="s">
        <v>159</v>
      </c>
      <c r="S349" t="s">
        <v>570</v>
      </c>
      <c r="T349" t="s">
        <v>292</v>
      </c>
      <c r="U349" t="s">
        <v>10455</v>
      </c>
      <c r="V349" t="s">
        <v>755</v>
      </c>
      <c r="W349" t="s">
        <v>159</v>
      </c>
      <c r="Y349" t="s">
        <v>10454</v>
      </c>
      <c r="Z349" t="str">
        <f>"07956 672955"</f>
        <v>07956 672955</v>
      </c>
      <c r="AA349" t="str">
        <f>""</f>
        <v/>
      </c>
      <c r="AB349" t="s">
        <v>10453</v>
      </c>
      <c r="AD349" t="s">
        <v>145</v>
      </c>
      <c r="AF349" t="s">
        <v>113</v>
      </c>
      <c r="AG349" t="s">
        <v>112</v>
      </c>
      <c r="AH349" t="s">
        <v>112</v>
      </c>
      <c r="AI349" s="63">
        <v>43451</v>
      </c>
      <c r="AK349" t="s">
        <v>111</v>
      </c>
      <c r="AL349" t="s">
        <v>111</v>
      </c>
      <c r="AM349" t="s">
        <v>111</v>
      </c>
      <c r="AN349" t="s">
        <v>105</v>
      </c>
      <c r="AO349" t="s">
        <v>110</v>
      </c>
      <c r="AP349" t="s">
        <v>109</v>
      </c>
    </row>
    <row r="350" spans="1:42" x14ac:dyDescent="0.25">
      <c r="A350" s="28" t="str">
        <f>"16095"</f>
        <v>16095</v>
      </c>
      <c r="B350">
        <v>16095</v>
      </c>
      <c r="C350" t="s">
        <v>2488</v>
      </c>
      <c r="D350" t="s">
        <v>121</v>
      </c>
      <c r="F350" t="s">
        <v>120</v>
      </c>
      <c r="G350" t="s">
        <v>251</v>
      </c>
      <c r="I350" t="s">
        <v>886</v>
      </c>
      <c r="J350" t="s">
        <v>7</v>
      </c>
      <c r="K350" s="63">
        <v>23379</v>
      </c>
      <c r="L350" s="28">
        <f>DATEDIF(K350,Zwift25!G$1,"Y")</f>
        <v>60</v>
      </c>
      <c r="M350" s="67">
        <f>IF(J350="m",VLOOKUP(L350,'All Solo Adjustments'!A:D,4,FALSE),VLOOKUP(L350,'All Solo Adjustments'!A:J,10,FALSE))</f>
        <v>3.2060185185185186E-3</v>
      </c>
      <c r="N350" s="63"/>
      <c r="O350" s="63"/>
      <c r="P350" s="63"/>
      <c r="Q350" s="63"/>
      <c r="R350" t="s">
        <v>198</v>
      </c>
      <c r="S350" t="s">
        <v>461</v>
      </c>
      <c r="T350" t="s">
        <v>292</v>
      </c>
      <c r="U350" t="s">
        <v>10452</v>
      </c>
      <c r="V350" t="s">
        <v>1004</v>
      </c>
      <c r="W350" t="s">
        <v>196</v>
      </c>
      <c r="Y350" t="s">
        <v>10451</v>
      </c>
      <c r="Z350" t="str">
        <f>"07879602821"</f>
        <v>07879602821</v>
      </c>
      <c r="AA350" t="str">
        <f>""</f>
        <v/>
      </c>
      <c r="AB350" t="s">
        <v>10450</v>
      </c>
      <c r="AC350" t="s">
        <v>10449</v>
      </c>
      <c r="AD350" t="s">
        <v>114</v>
      </c>
      <c r="AE350" s="63">
        <v>45391</v>
      </c>
      <c r="AF350" t="s">
        <v>156</v>
      </c>
      <c r="AG350" t="s">
        <v>112</v>
      </c>
      <c r="AH350" t="s">
        <v>112</v>
      </c>
      <c r="AI350" s="63">
        <v>45391</v>
      </c>
      <c r="AJ350" s="63">
        <v>45657</v>
      </c>
      <c r="AK350" t="s">
        <v>112</v>
      </c>
      <c r="AL350" t="s">
        <v>111</v>
      </c>
      <c r="AM350" t="s">
        <v>111</v>
      </c>
      <c r="AN350">
        <v>4902</v>
      </c>
      <c r="AO350" t="s">
        <v>110</v>
      </c>
      <c r="AP350" t="s">
        <v>109</v>
      </c>
    </row>
    <row r="351" spans="1:42" x14ac:dyDescent="0.25">
      <c r="A351" s="28" t="str">
        <f>"14600"</f>
        <v>14600</v>
      </c>
      <c r="B351">
        <v>14600</v>
      </c>
      <c r="C351" t="s">
        <v>2488</v>
      </c>
      <c r="D351" t="s">
        <v>121</v>
      </c>
      <c r="E351" t="s">
        <v>584</v>
      </c>
      <c r="F351" t="s">
        <v>403</v>
      </c>
      <c r="G351" t="s">
        <v>2052</v>
      </c>
      <c r="I351" t="s">
        <v>10448</v>
      </c>
      <c r="J351" t="s">
        <v>126</v>
      </c>
      <c r="K351" s="63">
        <v>19794</v>
      </c>
      <c r="L351" s="28">
        <f>DATEDIF(K351,Zwift25!G$1,"Y")</f>
        <v>70</v>
      </c>
      <c r="M351" s="67">
        <f>IF(J351="m",VLOOKUP(L351,'All Solo Adjustments'!A:D,4,FALSE),VLOOKUP(L351,'All Solo Adjustments'!A:J,10,FALSE))</f>
        <v>1.15625E-2</v>
      </c>
      <c r="N351" s="63"/>
      <c r="O351" s="63"/>
      <c r="P351" s="63"/>
      <c r="Q351" s="63"/>
      <c r="R351" t="s">
        <v>180</v>
      </c>
      <c r="S351" t="s">
        <v>179</v>
      </c>
      <c r="T351" t="s">
        <v>292</v>
      </c>
      <c r="U351" t="s">
        <v>10447</v>
      </c>
      <c r="V351" t="s">
        <v>992</v>
      </c>
      <c r="W351" t="s">
        <v>992</v>
      </c>
      <c r="X351" t="s">
        <v>10446</v>
      </c>
      <c r="Y351" t="s">
        <v>10445</v>
      </c>
      <c r="Z351" t="str">
        <f>"01162705181"</f>
        <v>01162705181</v>
      </c>
      <c r="AA351" t="str">
        <f>"07957984901"</f>
        <v>07957984901</v>
      </c>
      <c r="AB351" t="s">
        <v>216</v>
      </c>
      <c r="AC351" t="s">
        <v>10444</v>
      </c>
      <c r="AD351" t="s">
        <v>114</v>
      </c>
      <c r="AE351" s="63">
        <v>45218</v>
      </c>
      <c r="AF351" t="s">
        <v>156</v>
      </c>
      <c r="AG351" t="s">
        <v>112</v>
      </c>
      <c r="AH351" t="s">
        <v>112</v>
      </c>
      <c r="AI351" s="63">
        <v>44027</v>
      </c>
      <c r="AJ351" s="63">
        <v>45657</v>
      </c>
      <c r="AK351" t="s">
        <v>112</v>
      </c>
      <c r="AL351" t="s">
        <v>111</v>
      </c>
      <c r="AM351" t="s">
        <v>111</v>
      </c>
      <c r="AN351">
        <v>11479</v>
      </c>
      <c r="AO351" t="s">
        <v>122</v>
      </c>
      <c r="AP351" t="s">
        <v>122</v>
      </c>
    </row>
    <row r="352" spans="1:42" x14ac:dyDescent="0.25">
      <c r="A352" s="28" t="str">
        <f>"3822"</f>
        <v>3822</v>
      </c>
      <c r="B352">
        <v>3822</v>
      </c>
      <c r="C352" t="s">
        <v>2488</v>
      </c>
      <c r="D352" t="s">
        <v>121</v>
      </c>
      <c r="E352" t="s">
        <v>584</v>
      </c>
      <c r="F352" t="s">
        <v>120</v>
      </c>
      <c r="G352" t="s">
        <v>230</v>
      </c>
      <c r="I352" t="s">
        <v>2121</v>
      </c>
      <c r="J352" t="s">
        <v>7</v>
      </c>
      <c r="K352" s="63">
        <v>20167</v>
      </c>
      <c r="L352" s="28">
        <f>DATEDIF(K352,Zwift25!G$1,"Y")</f>
        <v>69</v>
      </c>
      <c r="M352" s="67">
        <f>IF(J352="m",VLOOKUP(L352,'All Solo Adjustments'!A:D,4,FALSE),VLOOKUP(L352,'All Solo Adjustments'!A:J,10,FALSE))</f>
        <v>5.9722222222222225E-3</v>
      </c>
      <c r="N352" s="63"/>
      <c r="O352" s="63"/>
      <c r="P352" s="63"/>
      <c r="Q352" s="63"/>
      <c r="R352" t="s">
        <v>296</v>
      </c>
      <c r="S352" t="s">
        <v>295</v>
      </c>
      <c r="T352" t="s">
        <v>292</v>
      </c>
      <c r="U352" t="s">
        <v>10443</v>
      </c>
      <c r="V352" t="s">
        <v>10442</v>
      </c>
      <c r="W352" t="s">
        <v>804</v>
      </c>
      <c r="Y352" t="s">
        <v>10441</v>
      </c>
      <c r="Z352" t="str">
        <f>"01698 810540"</f>
        <v>01698 810540</v>
      </c>
      <c r="AA352" t="str">
        <f>"07722013855"</f>
        <v>07722013855</v>
      </c>
      <c r="AB352" t="s">
        <v>1780</v>
      </c>
      <c r="AC352" t="s">
        <v>10440</v>
      </c>
      <c r="AD352" t="s">
        <v>114</v>
      </c>
      <c r="AE352" s="63">
        <v>45292</v>
      </c>
      <c r="AF352" t="s">
        <v>156</v>
      </c>
      <c r="AG352" t="s">
        <v>112</v>
      </c>
      <c r="AH352" t="s">
        <v>112</v>
      </c>
      <c r="AI352" s="63">
        <v>40187</v>
      </c>
      <c r="AJ352" s="63">
        <v>45657</v>
      </c>
      <c r="AK352" t="s">
        <v>111</v>
      </c>
      <c r="AL352" t="s">
        <v>111</v>
      </c>
      <c r="AM352" t="s">
        <v>111</v>
      </c>
      <c r="AN352">
        <v>2569</v>
      </c>
      <c r="AO352" t="s">
        <v>110</v>
      </c>
      <c r="AP352" t="s">
        <v>109</v>
      </c>
    </row>
    <row r="353" spans="1:42" x14ac:dyDescent="0.25">
      <c r="A353" s="28" t="str">
        <f>"14956"</f>
        <v>14956</v>
      </c>
      <c r="B353">
        <v>14956</v>
      </c>
      <c r="C353" t="s">
        <v>2488</v>
      </c>
      <c r="D353" t="s">
        <v>121</v>
      </c>
      <c r="F353" t="s">
        <v>120</v>
      </c>
      <c r="G353" t="s">
        <v>377</v>
      </c>
      <c r="I353" t="s">
        <v>2120</v>
      </c>
      <c r="J353" t="s">
        <v>7</v>
      </c>
      <c r="K353" s="63">
        <v>22208</v>
      </c>
      <c r="L353" s="28">
        <f>DATEDIF(K353,Zwift25!G$1,"Y")</f>
        <v>63</v>
      </c>
      <c r="M353" s="67">
        <f>IF(J353="m",VLOOKUP(L353,'All Solo Adjustments'!A:D,4,FALSE),VLOOKUP(L353,'All Solo Adjustments'!A:J,10,FALSE))</f>
        <v>4.0277777777777777E-3</v>
      </c>
      <c r="N353" s="63"/>
      <c r="O353" s="63"/>
      <c r="P353" s="63"/>
      <c r="Q353" s="63"/>
      <c r="R353" t="s">
        <v>328</v>
      </c>
      <c r="S353" t="s">
        <v>327</v>
      </c>
      <c r="T353" t="s">
        <v>292</v>
      </c>
      <c r="U353" t="s">
        <v>10439</v>
      </c>
      <c r="V353" t="s">
        <v>1220</v>
      </c>
      <c r="Y353" t="s">
        <v>2119</v>
      </c>
      <c r="Z353" t="str">
        <f>"07862289430"</f>
        <v>07862289430</v>
      </c>
      <c r="AA353" t="str">
        <f>""</f>
        <v/>
      </c>
      <c r="AB353" t="s">
        <v>10438</v>
      </c>
      <c r="AC353" t="s">
        <v>10437</v>
      </c>
      <c r="AD353" t="s">
        <v>114</v>
      </c>
      <c r="AE353" s="63">
        <v>45399</v>
      </c>
      <c r="AF353" t="s">
        <v>156</v>
      </c>
      <c r="AG353" t="s">
        <v>112</v>
      </c>
      <c r="AH353" t="s">
        <v>112</v>
      </c>
      <c r="AI353" s="63">
        <v>44285</v>
      </c>
      <c r="AJ353" s="63">
        <v>45657</v>
      </c>
      <c r="AK353" t="s">
        <v>112</v>
      </c>
      <c r="AL353" t="s">
        <v>111</v>
      </c>
      <c r="AM353" t="s">
        <v>111</v>
      </c>
      <c r="AN353" t="s">
        <v>105</v>
      </c>
      <c r="AO353" t="s">
        <v>110</v>
      </c>
      <c r="AP353" t="s">
        <v>109</v>
      </c>
    </row>
    <row r="354" spans="1:42" x14ac:dyDescent="0.25">
      <c r="A354" s="28" t="str">
        <f>"6367"</f>
        <v>6367</v>
      </c>
      <c r="B354">
        <v>6367</v>
      </c>
      <c r="C354" t="s">
        <v>2488</v>
      </c>
      <c r="D354" t="s">
        <v>121</v>
      </c>
      <c r="E354" t="s">
        <v>584</v>
      </c>
      <c r="F354" t="s">
        <v>120</v>
      </c>
      <c r="G354" t="s">
        <v>489</v>
      </c>
      <c r="H354" t="s">
        <v>1000</v>
      </c>
      <c r="I354" t="s">
        <v>10436</v>
      </c>
      <c r="J354" t="s">
        <v>7</v>
      </c>
      <c r="K354" s="63">
        <v>25485</v>
      </c>
      <c r="L354" s="28">
        <f>DATEDIF(K354,Zwift25!G$1,"Y")</f>
        <v>55</v>
      </c>
      <c r="M354" s="67">
        <f>IF(J354="m",VLOOKUP(L354,'All Solo Adjustments'!A:D,4,FALSE),VLOOKUP(L354,'All Solo Adjustments'!A:J,10,FALSE))</f>
        <v>2.0601851851851853E-3</v>
      </c>
      <c r="N354" s="63"/>
      <c r="O354" s="63"/>
      <c r="P354" s="63"/>
      <c r="Q354" s="63"/>
      <c r="R354" t="s">
        <v>239</v>
      </c>
      <c r="S354" t="s">
        <v>274</v>
      </c>
      <c r="T354" t="s">
        <v>292</v>
      </c>
      <c r="U354" t="s">
        <v>10435</v>
      </c>
      <c r="V354" t="s">
        <v>961</v>
      </c>
      <c r="W354" t="s">
        <v>898</v>
      </c>
      <c r="X354" t="s">
        <v>960</v>
      </c>
      <c r="Y354" t="s">
        <v>10434</v>
      </c>
      <c r="Z354" t="str">
        <f>"07875676981"</f>
        <v>07875676981</v>
      </c>
      <c r="AA354" t="str">
        <f>""</f>
        <v/>
      </c>
      <c r="AB354" t="s">
        <v>2536</v>
      </c>
      <c r="AC354" t="s">
        <v>10433</v>
      </c>
      <c r="AD354" t="s">
        <v>114</v>
      </c>
      <c r="AE354" s="63">
        <v>45236</v>
      </c>
      <c r="AF354" t="s">
        <v>156</v>
      </c>
      <c r="AG354" t="s">
        <v>112</v>
      </c>
      <c r="AH354" t="s">
        <v>112</v>
      </c>
      <c r="AI354" s="63">
        <v>43100</v>
      </c>
      <c r="AJ354" s="63">
        <v>45657</v>
      </c>
      <c r="AK354" t="s">
        <v>111</v>
      </c>
      <c r="AL354" t="s">
        <v>111</v>
      </c>
      <c r="AM354" t="s">
        <v>111</v>
      </c>
      <c r="AN354">
        <v>1941</v>
      </c>
      <c r="AO354" t="s">
        <v>110</v>
      </c>
      <c r="AP354" t="s">
        <v>109</v>
      </c>
    </row>
    <row r="355" spans="1:42" x14ac:dyDescent="0.25">
      <c r="A355" s="28" t="str">
        <f>"13880"</f>
        <v>13880</v>
      </c>
      <c r="B355">
        <v>13880</v>
      </c>
      <c r="C355" t="s">
        <v>2488</v>
      </c>
      <c r="D355" t="s">
        <v>121</v>
      </c>
      <c r="E355" t="s">
        <v>584</v>
      </c>
      <c r="F355" t="s">
        <v>120</v>
      </c>
      <c r="G355" t="s">
        <v>1245</v>
      </c>
      <c r="I355" t="s">
        <v>10432</v>
      </c>
      <c r="J355" t="s">
        <v>7</v>
      </c>
      <c r="K355" s="63">
        <v>21619</v>
      </c>
      <c r="L355" s="28">
        <f>DATEDIF(K355,Zwift25!G$1,"Y")</f>
        <v>65</v>
      </c>
      <c r="M355" s="67">
        <f>IF(J355="m",VLOOKUP(L355,'All Solo Adjustments'!A:D,4,FALSE),VLOOKUP(L355,'All Solo Adjustments'!A:J,10,FALSE))</f>
        <v>4.6180555555555558E-3</v>
      </c>
      <c r="N355" s="63"/>
      <c r="O355" s="63"/>
      <c r="P355" s="63"/>
      <c r="Q355" s="63"/>
      <c r="R355" t="s">
        <v>527</v>
      </c>
      <c r="S355" t="s">
        <v>526</v>
      </c>
      <c r="T355" t="s">
        <v>292</v>
      </c>
      <c r="U355" t="s">
        <v>10431</v>
      </c>
      <c r="V355" t="s">
        <v>1235</v>
      </c>
      <c r="Y355" t="s">
        <v>10430</v>
      </c>
      <c r="Z355" t="str">
        <f>"07582868199"</f>
        <v>07582868199</v>
      </c>
      <c r="AA355" t="str">
        <f>""</f>
        <v/>
      </c>
      <c r="AB355" t="s">
        <v>216</v>
      </c>
      <c r="AC355" t="s">
        <v>10429</v>
      </c>
      <c r="AD355" t="s">
        <v>114</v>
      </c>
      <c r="AE355" s="63">
        <v>45292</v>
      </c>
      <c r="AF355" t="s">
        <v>113</v>
      </c>
      <c r="AG355" t="s">
        <v>112</v>
      </c>
      <c r="AH355" t="s">
        <v>112</v>
      </c>
      <c r="AI355" s="63">
        <v>43412</v>
      </c>
      <c r="AJ355" s="63">
        <v>45657</v>
      </c>
      <c r="AK355" t="s">
        <v>112</v>
      </c>
      <c r="AL355" t="s">
        <v>111</v>
      </c>
      <c r="AM355" t="s">
        <v>111</v>
      </c>
      <c r="AN355">
        <v>2727</v>
      </c>
      <c r="AO355" t="s">
        <v>110</v>
      </c>
      <c r="AP355" t="s">
        <v>109</v>
      </c>
    </row>
    <row r="356" spans="1:42" x14ac:dyDescent="0.25">
      <c r="A356" s="28" t="str">
        <f>"5241"</f>
        <v>5241</v>
      </c>
      <c r="B356">
        <v>5241</v>
      </c>
      <c r="C356" t="s">
        <v>2488</v>
      </c>
      <c r="D356" t="s">
        <v>121</v>
      </c>
      <c r="F356" t="s">
        <v>120</v>
      </c>
      <c r="G356" t="s">
        <v>536</v>
      </c>
      <c r="I356" t="s">
        <v>2453</v>
      </c>
      <c r="J356" t="s">
        <v>7</v>
      </c>
      <c r="K356" s="63">
        <v>21143</v>
      </c>
      <c r="L356" s="28">
        <f>DATEDIF(K356,Zwift25!G$1,"Y")</f>
        <v>66</v>
      </c>
      <c r="M356" s="67">
        <f>IF(J356="m",VLOOKUP(L356,'All Solo Adjustments'!A:D,4,FALSE),VLOOKUP(L356,'All Solo Adjustments'!A:J,10,FALSE))</f>
        <v>4.9421296296296297E-3</v>
      </c>
      <c r="N356" s="63"/>
      <c r="O356" s="63"/>
      <c r="P356" s="63"/>
      <c r="Q356" s="63"/>
      <c r="R356" t="s">
        <v>184</v>
      </c>
      <c r="S356" t="s">
        <v>183</v>
      </c>
      <c r="T356" t="s">
        <v>292</v>
      </c>
      <c r="U356" t="s">
        <v>10428</v>
      </c>
      <c r="V356" t="s">
        <v>10427</v>
      </c>
      <c r="W356" t="s">
        <v>146</v>
      </c>
      <c r="Y356" t="s">
        <v>10426</v>
      </c>
      <c r="Z356" t="str">
        <f>"07889 968603"</f>
        <v>07889 968603</v>
      </c>
      <c r="AA356" t="str">
        <f>""</f>
        <v/>
      </c>
      <c r="AB356" t="s">
        <v>10425</v>
      </c>
      <c r="AC356" t="s">
        <v>10424</v>
      </c>
      <c r="AD356" t="s">
        <v>114</v>
      </c>
      <c r="AE356" s="63">
        <v>45222</v>
      </c>
      <c r="AF356" t="s">
        <v>113</v>
      </c>
      <c r="AG356" t="s">
        <v>112</v>
      </c>
      <c r="AH356" t="s">
        <v>112</v>
      </c>
      <c r="AI356" s="63">
        <v>42030</v>
      </c>
      <c r="AJ356" s="63">
        <v>45657</v>
      </c>
      <c r="AK356" t="s">
        <v>111</v>
      </c>
      <c r="AL356" t="s">
        <v>111</v>
      </c>
      <c r="AM356" t="s">
        <v>111</v>
      </c>
      <c r="AN356">
        <v>818</v>
      </c>
      <c r="AO356" t="s">
        <v>110</v>
      </c>
      <c r="AP356" t="s">
        <v>109</v>
      </c>
    </row>
    <row r="357" spans="1:42" x14ac:dyDescent="0.25">
      <c r="A357" s="28" t="str">
        <f>"0468"</f>
        <v>0468</v>
      </c>
      <c r="B357">
        <v>468</v>
      </c>
      <c r="C357" t="s">
        <v>2488</v>
      </c>
      <c r="D357" t="s">
        <v>121</v>
      </c>
      <c r="F357" t="s">
        <v>120</v>
      </c>
      <c r="G357" t="s">
        <v>492</v>
      </c>
      <c r="I357" t="s">
        <v>10422</v>
      </c>
      <c r="J357" t="s">
        <v>7</v>
      </c>
      <c r="K357" s="63">
        <v>11481</v>
      </c>
      <c r="L357" s="28">
        <f>DATEDIF(K357,Zwift25!G$1,"Y")</f>
        <v>93</v>
      </c>
      <c r="M357" s="67">
        <f>IF(J357="m",VLOOKUP(L357,'All Solo Adjustments'!A:D,4,FALSE),VLOOKUP(L357,'All Solo Adjustments'!A:J,10,FALSE))</f>
        <v>2.1516203703703704E-2</v>
      </c>
      <c r="N357" s="63"/>
      <c r="O357" s="63"/>
      <c r="P357" s="63"/>
      <c r="Q357" s="63"/>
      <c r="R357" t="s">
        <v>283</v>
      </c>
      <c r="S357" t="s">
        <v>2311</v>
      </c>
      <c r="T357" t="s">
        <v>292</v>
      </c>
      <c r="U357" t="s">
        <v>10421</v>
      </c>
      <c r="V357" t="s">
        <v>10420</v>
      </c>
      <c r="W357" t="s">
        <v>2358</v>
      </c>
      <c r="X357" t="s">
        <v>1156</v>
      </c>
      <c r="Y357" t="s">
        <v>10419</v>
      </c>
      <c r="Z357" t="str">
        <f>"01886 888575"</f>
        <v>01886 888575</v>
      </c>
      <c r="AA357" t="str">
        <f>"07554 284607"</f>
        <v>07554 284607</v>
      </c>
      <c r="AB357" t="s">
        <v>1389</v>
      </c>
      <c r="AC357" t="s">
        <v>10423</v>
      </c>
      <c r="AD357" t="s">
        <v>151</v>
      </c>
      <c r="AF357" t="s">
        <v>156</v>
      </c>
      <c r="AG357" t="s">
        <v>112</v>
      </c>
      <c r="AH357" t="s">
        <v>112</v>
      </c>
      <c r="AI357" s="63">
        <v>33239</v>
      </c>
      <c r="AK357" t="s">
        <v>111</v>
      </c>
      <c r="AL357" t="s">
        <v>111</v>
      </c>
      <c r="AM357" t="s">
        <v>111</v>
      </c>
      <c r="AN357" t="s">
        <v>105</v>
      </c>
      <c r="AO357" t="s">
        <v>110</v>
      </c>
      <c r="AP357" t="s">
        <v>109</v>
      </c>
    </row>
    <row r="358" spans="1:42" x14ac:dyDescent="0.25">
      <c r="A358" s="28" t="str">
        <f>"7502"</f>
        <v>7502</v>
      </c>
      <c r="B358">
        <v>7502</v>
      </c>
      <c r="C358" t="s">
        <v>2488</v>
      </c>
      <c r="D358" t="s">
        <v>121</v>
      </c>
      <c r="F358" t="s">
        <v>149</v>
      </c>
      <c r="G358" t="s">
        <v>478</v>
      </c>
      <c r="I358" t="s">
        <v>10422</v>
      </c>
      <c r="J358" t="s">
        <v>126</v>
      </c>
      <c r="K358" s="63">
        <v>17120</v>
      </c>
      <c r="L358" s="28">
        <f>DATEDIF(K358,Zwift25!G$1,"Y")</f>
        <v>77</v>
      </c>
      <c r="M358" s="67">
        <f>IF(J358="m",VLOOKUP(L358,'All Solo Adjustments'!A:D,4,FALSE),VLOOKUP(L358,'All Solo Adjustments'!A:J,10,FALSE))</f>
        <v>1.5011574074074075E-2</v>
      </c>
      <c r="N358" s="63"/>
      <c r="O358" s="63"/>
      <c r="P358" s="63"/>
      <c r="Q358" s="63"/>
      <c r="R358" t="s">
        <v>283</v>
      </c>
      <c r="S358" t="s">
        <v>657</v>
      </c>
      <c r="T358" t="s">
        <v>292</v>
      </c>
      <c r="U358" t="s">
        <v>10421</v>
      </c>
      <c r="V358" t="s">
        <v>10420</v>
      </c>
      <c r="W358" t="s">
        <v>2358</v>
      </c>
      <c r="X358" t="s">
        <v>1156</v>
      </c>
      <c r="Y358" t="s">
        <v>10419</v>
      </c>
      <c r="Z358" t="str">
        <f>"01886 888575"</f>
        <v>01886 888575</v>
      </c>
      <c r="AA358" t="str">
        <f>""</f>
        <v/>
      </c>
      <c r="AB358" t="s">
        <v>290</v>
      </c>
      <c r="AC358" t="s">
        <v>10418</v>
      </c>
      <c r="AD358" t="s">
        <v>145</v>
      </c>
      <c r="AE358" s="63">
        <v>45335</v>
      </c>
      <c r="AF358" t="s">
        <v>156</v>
      </c>
      <c r="AG358" t="s">
        <v>111</v>
      </c>
      <c r="AH358" t="s">
        <v>111</v>
      </c>
      <c r="AI358" s="63">
        <v>33239</v>
      </c>
      <c r="AJ358" s="63">
        <v>45657</v>
      </c>
      <c r="AK358" t="s">
        <v>111</v>
      </c>
      <c r="AL358" t="s">
        <v>111</v>
      </c>
      <c r="AM358" t="s">
        <v>111</v>
      </c>
      <c r="AN358" t="s">
        <v>105</v>
      </c>
      <c r="AO358" t="s">
        <v>122</v>
      </c>
      <c r="AP358" t="s">
        <v>122</v>
      </c>
    </row>
    <row r="359" spans="1:42" x14ac:dyDescent="0.25">
      <c r="A359" s="28" t="str">
        <f>"0471"</f>
        <v>0471</v>
      </c>
      <c r="B359">
        <v>471</v>
      </c>
      <c r="C359" t="s">
        <v>2488</v>
      </c>
      <c r="D359" t="s">
        <v>132</v>
      </c>
      <c r="F359" t="s">
        <v>120</v>
      </c>
      <c r="G359" t="s">
        <v>195</v>
      </c>
      <c r="H359" t="s">
        <v>284</v>
      </c>
      <c r="I359" t="s">
        <v>883</v>
      </c>
      <c r="J359" t="s">
        <v>7</v>
      </c>
      <c r="K359" s="63">
        <v>16508</v>
      </c>
      <c r="L359" s="28">
        <f>DATEDIF(K359,Zwift25!G$1,"Y")</f>
        <v>79</v>
      </c>
      <c r="M359" s="67">
        <f>IF(J359="m",VLOOKUP(L359,'All Solo Adjustments'!A:D,4,FALSE),VLOOKUP(L359,'All Solo Adjustments'!A:J,10,FALSE))</f>
        <v>1.0451388888888889E-2</v>
      </c>
      <c r="N359" s="63"/>
      <c r="O359" s="63"/>
      <c r="P359" s="63"/>
      <c r="Q359" s="63"/>
      <c r="R359" t="s">
        <v>239</v>
      </c>
      <c r="S359" t="s">
        <v>238</v>
      </c>
      <c r="T359" t="s">
        <v>292</v>
      </c>
      <c r="U359" t="s">
        <v>10417</v>
      </c>
      <c r="V359" t="s">
        <v>10416</v>
      </c>
      <c r="W359" t="s">
        <v>467</v>
      </c>
      <c r="Y359" t="s">
        <v>10415</v>
      </c>
      <c r="Z359" t="str">
        <f>"01484 659238"</f>
        <v>01484 659238</v>
      </c>
      <c r="AA359" t="str">
        <f>"07726 368861"</f>
        <v>07726 368861</v>
      </c>
      <c r="AB359" t="s">
        <v>1063</v>
      </c>
      <c r="AC359" t="s">
        <v>10414</v>
      </c>
      <c r="AD359" t="s">
        <v>114</v>
      </c>
      <c r="AE359" s="63">
        <v>45301</v>
      </c>
      <c r="AF359" t="s">
        <v>113</v>
      </c>
      <c r="AG359" t="s">
        <v>112</v>
      </c>
      <c r="AH359" t="s">
        <v>112</v>
      </c>
      <c r="AI359" s="63">
        <v>31804</v>
      </c>
      <c r="AJ359" s="63">
        <v>45657</v>
      </c>
      <c r="AK359" t="s">
        <v>111</v>
      </c>
      <c r="AL359" t="s">
        <v>111</v>
      </c>
      <c r="AM359" t="s">
        <v>111</v>
      </c>
      <c r="AN359">
        <v>22205</v>
      </c>
      <c r="AO359" t="s">
        <v>110</v>
      </c>
      <c r="AP359" t="s">
        <v>109</v>
      </c>
    </row>
    <row r="360" spans="1:42" x14ac:dyDescent="0.25">
      <c r="A360" s="28" t="str">
        <f>"12991"</f>
        <v>12991</v>
      </c>
      <c r="B360">
        <v>12991</v>
      </c>
      <c r="C360" t="s">
        <v>2488</v>
      </c>
      <c r="D360" t="s">
        <v>130</v>
      </c>
      <c r="F360" t="s">
        <v>149</v>
      </c>
      <c r="G360" t="s">
        <v>850</v>
      </c>
      <c r="I360" t="s">
        <v>883</v>
      </c>
      <c r="J360" t="s">
        <v>126</v>
      </c>
      <c r="K360" s="63">
        <v>16559</v>
      </c>
      <c r="L360" s="28">
        <f>DATEDIF(K360,Zwift25!G$1,"Y")</f>
        <v>79</v>
      </c>
      <c r="M360" s="67">
        <f>IF(J360="m",VLOOKUP(L360,'All Solo Adjustments'!A:D,4,FALSE),VLOOKUP(L360,'All Solo Adjustments'!A:J,10,FALSE))</f>
        <v>1.6192129629629629E-2</v>
      </c>
      <c r="N360" s="63"/>
      <c r="O360" s="63"/>
      <c r="P360" s="63"/>
      <c r="Q360" s="63"/>
      <c r="R360" t="s">
        <v>239</v>
      </c>
      <c r="S360" t="s">
        <v>238</v>
      </c>
      <c r="T360" t="s">
        <v>292</v>
      </c>
      <c r="U360" t="s">
        <v>10417</v>
      </c>
      <c r="V360" t="s">
        <v>10416</v>
      </c>
      <c r="W360" t="s">
        <v>467</v>
      </c>
      <c r="Y360" t="s">
        <v>10415</v>
      </c>
      <c r="Z360" t="str">
        <f>"01484 659238"</f>
        <v>01484 659238</v>
      </c>
      <c r="AA360" t="str">
        <f>"07726 368861"</f>
        <v>07726 368861</v>
      </c>
      <c r="AB360" t="s">
        <v>1063</v>
      </c>
      <c r="AC360" t="s">
        <v>10414</v>
      </c>
      <c r="AD360" t="s">
        <v>114</v>
      </c>
      <c r="AE360" s="63">
        <v>45301</v>
      </c>
      <c r="AF360" t="s">
        <v>113</v>
      </c>
      <c r="AG360" t="s">
        <v>111</v>
      </c>
      <c r="AH360" t="s">
        <v>111</v>
      </c>
      <c r="AI360" s="63">
        <v>31804</v>
      </c>
      <c r="AJ360" s="63">
        <v>45657</v>
      </c>
      <c r="AK360" t="s">
        <v>111</v>
      </c>
      <c r="AL360" t="s">
        <v>111</v>
      </c>
      <c r="AM360" t="s">
        <v>111</v>
      </c>
      <c r="AN360" t="s">
        <v>105</v>
      </c>
      <c r="AO360" t="s">
        <v>122</v>
      </c>
      <c r="AP360" t="s">
        <v>122</v>
      </c>
    </row>
    <row r="361" spans="1:42" x14ac:dyDescent="0.25">
      <c r="A361" s="28" t="str">
        <f>"0477"</f>
        <v>0477</v>
      </c>
      <c r="B361">
        <v>477</v>
      </c>
      <c r="C361" t="s">
        <v>2488</v>
      </c>
      <c r="D361" t="s">
        <v>121</v>
      </c>
      <c r="E361" t="s">
        <v>2752</v>
      </c>
      <c r="F361" t="s">
        <v>120</v>
      </c>
      <c r="G361" t="s">
        <v>251</v>
      </c>
      <c r="I361" t="s">
        <v>10413</v>
      </c>
      <c r="J361" t="s">
        <v>7</v>
      </c>
      <c r="K361" s="63">
        <v>17105</v>
      </c>
      <c r="L361" s="28">
        <f>DATEDIF(K361,Zwift25!G$1,"Y")</f>
        <v>77</v>
      </c>
      <c r="M361" s="67">
        <f>IF(J361="m",VLOOKUP(L361,'All Solo Adjustments'!A:D,4,FALSE),VLOOKUP(L361,'All Solo Adjustments'!A:J,10,FALSE))</f>
        <v>9.3981481481481485E-3</v>
      </c>
      <c r="N361" s="63"/>
      <c r="O361" s="63"/>
      <c r="P361" s="63"/>
      <c r="Q361" s="63"/>
      <c r="R361" t="s">
        <v>137</v>
      </c>
      <c r="S361" t="s">
        <v>136</v>
      </c>
      <c r="T361" t="s">
        <v>292</v>
      </c>
      <c r="U361" t="s">
        <v>10412</v>
      </c>
      <c r="V361" t="s">
        <v>5276</v>
      </c>
      <c r="W361" t="s">
        <v>2191</v>
      </c>
      <c r="X361" t="s">
        <v>141</v>
      </c>
      <c r="Y361" t="s">
        <v>10411</v>
      </c>
      <c r="Z361" t="str">
        <f>"01428 651843"</f>
        <v>01428 651843</v>
      </c>
      <c r="AA361" t="str">
        <f>"07770885428"</f>
        <v>07770885428</v>
      </c>
      <c r="AB361" t="s">
        <v>378</v>
      </c>
      <c r="AC361" t="s">
        <v>10410</v>
      </c>
      <c r="AD361" t="s">
        <v>114</v>
      </c>
      <c r="AE361" s="63">
        <v>45238</v>
      </c>
      <c r="AF361" t="s">
        <v>156</v>
      </c>
      <c r="AG361" t="s">
        <v>112</v>
      </c>
      <c r="AH361" t="s">
        <v>112</v>
      </c>
      <c r="AI361" s="63">
        <v>36766</v>
      </c>
      <c r="AJ361" s="63">
        <v>45657</v>
      </c>
      <c r="AK361" t="s">
        <v>111</v>
      </c>
      <c r="AL361" t="s">
        <v>111</v>
      </c>
      <c r="AM361" t="s">
        <v>111</v>
      </c>
      <c r="AN361" t="s">
        <v>105</v>
      </c>
      <c r="AO361" t="s">
        <v>110</v>
      </c>
      <c r="AP361" t="s">
        <v>109</v>
      </c>
    </row>
    <row r="362" spans="1:42" x14ac:dyDescent="0.25">
      <c r="A362" s="28" t="str">
        <f>"14152"</f>
        <v>14152</v>
      </c>
      <c r="B362">
        <v>14152</v>
      </c>
      <c r="C362" t="s">
        <v>2488</v>
      </c>
      <c r="D362" t="s">
        <v>121</v>
      </c>
      <c r="F362" t="s">
        <v>120</v>
      </c>
      <c r="G362" t="s">
        <v>10409</v>
      </c>
      <c r="I362" t="s">
        <v>2115</v>
      </c>
      <c r="J362" t="s">
        <v>7</v>
      </c>
      <c r="K362" s="63">
        <v>23905</v>
      </c>
      <c r="L362" s="28">
        <f>DATEDIF(K362,Zwift25!G$1,"Y")</f>
        <v>59</v>
      </c>
      <c r="M362" s="67">
        <f>IF(J362="m",VLOOKUP(L362,'All Solo Adjustments'!A:D,4,FALSE),VLOOKUP(L362,'All Solo Adjustments'!A:J,10,FALSE))</f>
        <v>2.9629629629629632E-3</v>
      </c>
      <c r="N362" s="63"/>
      <c r="O362" s="63"/>
      <c r="P362" s="63"/>
      <c r="Q362" s="63"/>
      <c r="R362" t="s">
        <v>527</v>
      </c>
      <c r="S362" t="s">
        <v>526</v>
      </c>
      <c r="T362" t="s">
        <v>292</v>
      </c>
      <c r="U362" t="s">
        <v>10408</v>
      </c>
      <c r="W362" t="s">
        <v>1298</v>
      </c>
      <c r="X362" t="s">
        <v>2456</v>
      </c>
      <c r="Y362" t="s">
        <v>10407</v>
      </c>
      <c r="Z362" t="str">
        <f>"07919074134"</f>
        <v>07919074134</v>
      </c>
      <c r="AA362" t="str">
        <f>""</f>
        <v/>
      </c>
      <c r="AB362" t="s">
        <v>4717</v>
      </c>
      <c r="AC362" t="s">
        <v>10406</v>
      </c>
      <c r="AD362" t="s">
        <v>114</v>
      </c>
      <c r="AE362" s="63">
        <v>45263</v>
      </c>
      <c r="AF362" t="s">
        <v>113</v>
      </c>
      <c r="AG362" t="s">
        <v>112</v>
      </c>
      <c r="AH362" t="s">
        <v>112</v>
      </c>
      <c r="AI362" s="63">
        <v>43561</v>
      </c>
      <c r="AJ362" s="63">
        <v>45657</v>
      </c>
      <c r="AK362" t="s">
        <v>112</v>
      </c>
      <c r="AL362" t="s">
        <v>111</v>
      </c>
      <c r="AM362" t="s">
        <v>111</v>
      </c>
      <c r="AN362">
        <v>1419</v>
      </c>
      <c r="AO362" t="s">
        <v>110</v>
      </c>
      <c r="AP362" t="s">
        <v>109</v>
      </c>
    </row>
    <row r="363" spans="1:42" x14ac:dyDescent="0.25">
      <c r="A363" s="28" t="str">
        <f>"14521"</f>
        <v>14521</v>
      </c>
      <c r="B363">
        <v>14521</v>
      </c>
      <c r="C363" t="s">
        <v>2488</v>
      </c>
      <c r="D363" t="s">
        <v>121</v>
      </c>
      <c r="E363" t="s">
        <v>584</v>
      </c>
      <c r="F363" t="s">
        <v>120</v>
      </c>
      <c r="G363" t="s">
        <v>1267</v>
      </c>
      <c r="H363" t="s">
        <v>10405</v>
      </c>
      <c r="I363" t="s">
        <v>10404</v>
      </c>
      <c r="J363" t="s">
        <v>7</v>
      </c>
      <c r="K363" s="63">
        <v>22270</v>
      </c>
      <c r="L363" s="28">
        <f>DATEDIF(K363,Zwift25!G$1,"Y")</f>
        <v>63</v>
      </c>
      <c r="M363" s="67">
        <f>IF(J363="m",VLOOKUP(L363,'All Solo Adjustments'!A:D,4,FALSE),VLOOKUP(L363,'All Solo Adjustments'!A:J,10,FALSE))</f>
        <v>4.0277777777777777E-3</v>
      </c>
      <c r="N363" s="63"/>
      <c r="O363" s="63"/>
      <c r="P363" s="63"/>
      <c r="Q363" s="63"/>
      <c r="R363" t="s">
        <v>383</v>
      </c>
      <c r="S363" t="s">
        <v>382</v>
      </c>
      <c r="T363" t="s">
        <v>292</v>
      </c>
      <c r="U363" t="s">
        <v>10403</v>
      </c>
      <c r="V363" t="s">
        <v>10402</v>
      </c>
      <c r="W363" t="s">
        <v>10401</v>
      </c>
      <c r="X363" t="s">
        <v>10400</v>
      </c>
      <c r="Y363" t="s">
        <v>10399</v>
      </c>
      <c r="Z363" t="str">
        <f>"01834814749"</f>
        <v>01834814749</v>
      </c>
      <c r="AA363" t="str">
        <f>"07938832596"</f>
        <v>07938832596</v>
      </c>
      <c r="AB363" t="s">
        <v>380</v>
      </c>
      <c r="AC363" t="s">
        <v>10398</v>
      </c>
      <c r="AD363" t="s">
        <v>114</v>
      </c>
      <c r="AE363" s="63">
        <v>45292</v>
      </c>
      <c r="AF363" t="s">
        <v>156</v>
      </c>
      <c r="AG363" t="s">
        <v>112</v>
      </c>
      <c r="AH363" t="s">
        <v>112</v>
      </c>
      <c r="AI363" s="63">
        <v>43905</v>
      </c>
      <c r="AJ363" s="63">
        <v>45657</v>
      </c>
      <c r="AK363" t="s">
        <v>112</v>
      </c>
      <c r="AL363" t="s">
        <v>111</v>
      </c>
      <c r="AM363" t="s">
        <v>111</v>
      </c>
      <c r="AN363">
        <v>7677</v>
      </c>
      <c r="AO363" t="s">
        <v>110</v>
      </c>
      <c r="AP363" t="s">
        <v>109</v>
      </c>
    </row>
    <row r="364" spans="1:42" x14ac:dyDescent="0.25">
      <c r="A364" s="28" t="str">
        <f>"0487"</f>
        <v>0487</v>
      </c>
      <c r="B364">
        <v>487</v>
      </c>
      <c r="C364" t="s">
        <v>2488</v>
      </c>
      <c r="D364" t="s">
        <v>121</v>
      </c>
      <c r="F364" t="s">
        <v>120</v>
      </c>
      <c r="G364" t="s">
        <v>251</v>
      </c>
      <c r="I364" t="s">
        <v>10397</v>
      </c>
      <c r="J364" t="s">
        <v>7</v>
      </c>
      <c r="K364" s="63">
        <v>15619</v>
      </c>
      <c r="L364" s="28">
        <f>DATEDIF(K364,Zwift25!G$1,"Y")</f>
        <v>82</v>
      </c>
      <c r="M364" s="67">
        <f>IF(J364="m",VLOOKUP(L364,'All Solo Adjustments'!A:D,4,FALSE),VLOOKUP(L364,'All Solo Adjustments'!A:J,10,FALSE))</f>
        <v>1.2210648148148148E-2</v>
      </c>
      <c r="N364" s="63"/>
      <c r="O364" s="63"/>
      <c r="P364" s="63"/>
      <c r="Q364" s="63"/>
      <c r="R364" t="s">
        <v>296</v>
      </c>
      <c r="S364" t="s">
        <v>5271</v>
      </c>
      <c r="T364" t="s">
        <v>292</v>
      </c>
      <c r="U364" t="s">
        <v>10396</v>
      </c>
      <c r="V364" t="s">
        <v>10395</v>
      </c>
      <c r="W364" t="s">
        <v>10394</v>
      </c>
      <c r="Y364" t="s">
        <v>10393</v>
      </c>
      <c r="Z364" t="str">
        <f>"01324 811728"</f>
        <v>01324 811728</v>
      </c>
      <c r="AA364" t="str">
        <f>""</f>
        <v/>
      </c>
      <c r="AB364" t="s">
        <v>4406</v>
      </c>
      <c r="AD364" t="s">
        <v>151</v>
      </c>
      <c r="AF364" t="s">
        <v>113</v>
      </c>
      <c r="AG364" t="s">
        <v>111</v>
      </c>
      <c r="AH364" t="s">
        <v>112</v>
      </c>
      <c r="AI364" s="63">
        <v>34852</v>
      </c>
      <c r="AK364" t="s">
        <v>111</v>
      </c>
      <c r="AL364" t="s">
        <v>111</v>
      </c>
      <c r="AM364" t="s">
        <v>111</v>
      </c>
      <c r="AN364" t="s">
        <v>105</v>
      </c>
      <c r="AO364" t="s">
        <v>110</v>
      </c>
      <c r="AP364" t="s">
        <v>109</v>
      </c>
    </row>
    <row r="365" spans="1:42" x14ac:dyDescent="0.25">
      <c r="A365" s="28" t="str">
        <f>"14440"</f>
        <v>14440</v>
      </c>
      <c r="B365">
        <v>14440</v>
      </c>
      <c r="C365" t="s">
        <v>2488</v>
      </c>
      <c r="D365" t="s">
        <v>121</v>
      </c>
      <c r="E365" t="s">
        <v>584</v>
      </c>
      <c r="F365" t="s">
        <v>120</v>
      </c>
      <c r="G365" t="s">
        <v>1826</v>
      </c>
      <c r="H365" t="s">
        <v>818</v>
      </c>
      <c r="I365" t="s">
        <v>10392</v>
      </c>
      <c r="J365" t="s">
        <v>7</v>
      </c>
      <c r="K365" s="63">
        <v>19098</v>
      </c>
      <c r="L365" s="28">
        <f>DATEDIF(K365,Zwift25!G$1,"Y")</f>
        <v>72</v>
      </c>
      <c r="M365" s="67">
        <f>IF(J365="m",VLOOKUP(L365,'All Solo Adjustments'!A:D,4,FALSE),VLOOKUP(L365,'All Solo Adjustments'!A:J,10,FALSE))</f>
        <v>7.129629629629629E-3</v>
      </c>
      <c r="N365" s="63"/>
      <c r="O365" s="63"/>
      <c r="P365" s="63"/>
      <c r="Q365" s="63"/>
      <c r="R365" t="s">
        <v>125</v>
      </c>
      <c r="S365" t="s">
        <v>170</v>
      </c>
      <c r="T365" t="s">
        <v>292</v>
      </c>
      <c r="U365" t="s">
        <v>10391</v>
      </c>
      <c r="V365" t="s">
        <v>1783</v>
      </c>
      <c r="W365" t="s">
        <v>123</v>
      </c>
      <c r="Y365" t="s">
        <v>10390</v>
      </c>
      <c r="Z365" t="str">
        <f>"01279443908"</f>
        <v>01279443908</v>
      </c>
      <c r="AA365" t="str">
        <f>"07758922068"</f>
        <v>07758922068</v>
      </c>
      <c r="AB365" t="s">
        <v>290</v>
      </c>
      <c r="AC365" t="s">
        <v>10389</v>
      </c>
      <c r="AD365" t="s">
        <v>114</v>
      </c>
      <c r="AE365" s="63">
        <v>45299</v>
      </c>
      <c r="AF365" t="s">
        <v>113</v>
      </c>
      <c r="AG365" t="s">
        <v>112</v>
      </c>
      <c r="AH365" t="s">
        <v>112</v>
      </c>
      <c r="AI365" s="63">
        <v>43852</v>
      </c>
      <c r="AJ365" s="63">
        <v>45657</v>
      </c>
      <c r="AK365" t="s">
        <v>112</v>
      </c>
      <c r="AL365" t="s">
        <v>111</v>
      </c>
      <c r="AM365" t="s">
        <v>111</v>
      </c>
      <c r="AN365">
        <v>34758</v>
      </c>
      <c r="AO365" t="s">
        <v>110</v>
      </c>
      <c r="AP365" t="s">
        <v>109</v>
      </c>
    </row>
    <row r="366" spans="1:42" x14ac:dyDescent="0.25">
      <c r="A366" s="28" t="str">
        <f>"15429"</f>
        <v>15429</v>
      </c>
      <c r="B366">
        <v>15429</v>
      </c>
      <c r="C366" t="s">
        <v>2488</v>
      </c>
      <c r="D366" t="s">
        <v>121</v>
      </c>
      <c r="F366" t="s">
        <v>120</v>
      </c>
      <c r="G366" t="s">
        <v>359</v>
      </c>
      <c r="I366" t="s">
        <v>10388</v>
      </c>
      <c r="J366" t="s">
        <v>7</v>
      </c>
      <c r="K366" s="63">
        <v>20617</v>
      </c>
      <c r="L366" s="28">
        <f>DATEDIF(K366,Zwift25!G$1,"Y")</f>
        <v>68</v>
      </c>
      <c r="M366" s="67">
        <f>IF(J366="m",VLOOKUP(L366,'All Solo Adjustments'!A:D,4,FALSE),VLOOKUP(L366,'All Solo Adjustments'!A:J,10,FALSE))</f>
        <v>5.6134259259259262E-3</v>
      </c>
      <c r="N366" s="63"/>
      <c r="O366" s="63"/>
      <c r="P366" s="63"/>
      <c r="Q366" s="63"/>
      <c r="R366" t="s">
        <v>143</v>
      </c>
      <c r="S366" t="s">
        <v>142</v>
      </c>
      <c r="T366" t="s">
        <v>292</v>
      </c>
      <c r="U366" t="s">
        <v>10387</v>
      </c>
      <c r="W366" t="s">
        <v>1854</v>
      </c>
      <c r="X366" t="s">
        <v>486</v>
      </c>
      <c r="Y366" t="s">
        <v>10386</v>
      </c>
      <c r="Z366" t="str">
        <f>"07780932309"</f>
        <v>07780932309</v>
      </c>
      <c r="AA366" t="str">
        <f>""</f>
        <v/>
      </c>
      <c r="AB366" t="s">
        <v>6721</v>
      </c>
      <c r="AC366" t="s">
        <v>10385</v>
      </c>
      <c r="AD366" t="s">
        <v>114</v>
      </c>
      <c r="AE366" s="63">
        <v>45373</v>
      </c>
      <c r="AF366" t="s">
        <v>156</v>
      </c>
      <c r="AG366" t="s">
        <v>112</v>
      </c>
      <c r="AH366" t="s">
        <v>112</v>
      </c>
      <c r="AI366" s="63">
        <v>44653</v>
      </c>
      <c r="AJ366" s="63">
        <v>45657</v>
      </c>
      <c r="AK366" t="s">
        <v>112</v>
      </c>
      <c r="AL366" t="s">
        <v>111</v>
      </c>
      <c r="AM366" t="s">
        <v>111</v>
      </c>
      <c r="AN366">
        <v>43113</v>
      </c>
      <c r="AO366" t="s">
        <v>110</v>
      </c>
      <c r="AP366" t="s">
        <v>109</v>
      </c>
    </row>
    <row r="367" spans="1:42" x14ac:dyDescent="0.25">
      <c r="A367" s="28" t="str">
        <f>"0497"</f>
        <v>0497</v>
      </c>
      <c r="B367">
        <v>497</v>
      </c>
      <c r="C367" t="s">
        <v>2488</v>
      </c>
      <c r="D367" t="s">
        <v>132</v>
      </c>
      <c r="F367" t="s">
        <v>120</v>
      </c>
      <c r="G367" t="s">
        <v>427</v>
      </c>
      <c r="I367" t="s">
        <v>2112</v>
      </c>
      <c r="J367" t="s">
        <v>7</v>
      </c>
      <c r="K367" s="63">
        <v>23167</v>
      </c>
      <c r="L367" s="28">
        <f>DATEDIF(K367,Zwift25!G$1,"Y")</f>
        <v>61</v>
      </c>
      <c r="M367" s="67">
        <f>IF(J367="m",VLOOKUP(L367,'All Solo Adjustments'!A:D,4,FALSE),VLOOKUP(L367,'All Solo Adjustments'!A:J,10,FALSE))</f>
        <v>3.4722222222222225E-3</v>
      </c>
      <c r="N367" s="63"/>
      <c r="O367" s="63"/>
      <c r="P367" s="63"/>
      <c r="Q367" s="63"/>
      <c r="R367" t="s">
        <v>154</v>
      </c>
      <c r="S367" t="s">
        <v>412</v>
      </c>
      <c r="T367" t="s">
        <v>292</v>
      </c>
      <c r="U367" t="s">
        <v>10383</v>
      </c>
      <c r="V367" t="s">
        <v>2263</v>
      </c>
      <c r="W367" t="s">
        <v>752</v>
      </c>
      <c r="Y367" t="s">
        <v>10382</v>
      </c>
      <c r="Z367" t="str">
        <f>"01249 653845"</f>
        <v>01249 653845</v>
      </c>
      <c r="AA367" t="str">
        <f>"07811156141"</f>
        <v>07811156141</v>
      </c>
      <c r="AB367" t="s">
        <v>2618</v>
      </c>
      <c r="AC367" t="s">
        <v>10384</v>
      </c>
      <c r="AD367" t="s">
        <v>114</v>
      </c>
      <c r="AE367" s="63">
        <v>45283</v>
      </c>
      <c r="AF367" t="s">
        <v>113</v>
      </c>
      <c r="AG367" t="s">
        <v>112</v>
      </c>
      <c r="AH367" t="s">
        <v>112</v>
      </c>
      <c r="AI367" s="63">
        <v>37825</v>
      </c>
      <c r="AJ367" s="63">
        <v>45657</v>
      </c>
      <c r="AK367" t="s">
        <v>111</v>
      </c>
      <c r="AL367" t="s">
        <v>111</v>
      </c>
      <c r="AM367" t="s">
        <v>111</v>
      </c>
      <c r="AN367">
        <v>1972</v>
      </c>
      <c r="AO367" t="s">
        <v>110</v>
      </c>
      <c r="AP367" t="s">
        <v>109</v>
      </c>
    </row>
    <row r="368" spans="1:42" x14ac:dyDescent="0.25">
      <c r="A368" s="28" t="str">
        <f>"10891"</f>
        <v>10891</v>
      </c>
      <c r="B368">
        <v>10891</v>
      </c>
      <c r="C368" t="s">
        <v>2488</v>
      </c>
      <c r="D368" t="s">
        <v>130</v>
      </c>
      <c r="F368" t="s">
        <v>149</v>
      </c>
      <c r="G368" t="s">
        <v>7430</v>
      </c>
      <c r="I368" t="s">
        <v>2112</v>
      </c>
      <c r="J368" t="s">
        <v>126</v>
      </c>
      <c r="K368" s="63">
        <v>23599</v>
      </c>
      <c r="L368" s="28">
        <f>DATEDIF(K368,Zwift25!G$1,"Y")</f>
        <v>60</v>
      </c>
      <c r="M368" s="67">
        <f>IF(J368="m",VLOOKUP(L368,'All Solo Adjustments'!A:D,4,FALSE),VLOOKUP(L368,'All Solo Adjustments'!A:J,10,FALSE))</f>
        <v>6.898148148148148E-3</v>
      </c>
      <c r="N368" s="63"/>
      <c r="O368" s="63"/>
      <c r="P368" s="63"/>
      <c r="Q368" s="63"/>
      <c r="R368" t="s">
        <v>154</v>
      </c>
      <c r="S368" t="s">
        <v>412</v>
      </c>
      <c r="T368" t="s">
        <v>292</v>
      </c>
      <c r="U368" t="s">
        <v>10383</v>
      </c>
      <c r="V368" t="s">
        <v>2263</v>
      </c>
      <c r="W368" t="s">
        <v>752</v>
      </c>
      <c r="Y368" t="s">
        <v>10382</v>
      </c>
      <c r="Z368" t="str">
        <f>"01249 653845"</f>
        <v>01249 653845</v>
      </c>
      <c r="AA368" t="str">
        <f>"07811156141"</f>
        <v>07811156141</v>
      </c>
      <c r="AB368" t="s">
        <v>2618</v>
      </c>
      <c r="AC368" t="s">
        <v>10381</v>
      </c>
      <c r="AD368" t="s">
        <v>114</v>
      </c>
      <c r="AE368" s="63">
        <v>45283</v>
      </c>
      <c r="AF368" t="s">
        <v>113</v>
      </c>
      <c r="AG368" t="s">
        <v>112</v>
      </c>
      <c r="AH368" t="s">
        <v>112</v>
      </c>
      <c r="AI368" s="63">
        <v>37825</v>
      </c>
      <c r="AJ368" s="63">
        <v>45657</v>
      </c>
      <c r="AK368" t="s">
        <v>111</v>
      </c>
      <c r="AL368" t="s">
        <v>111</v>
      </c>
      <c r="AM368" t="s">
        <v>111</v>
      </c>
      <c r="AN368" t="s">
        <v>105</v>
      </c>
      <c r="AO368" t="s">
        <v>122</v>
      </c>
      <c r="AP368" t="s">
        <v>122</v>
      </c>
    </row>
    <row r="369" spans="1:42" x14ac:dyDescent="0.25">
      <c r="A369" s="28" t="str">
        <f>"6476"</f>
        <v>6476</v>
      </c>
      <c r="B369">
        <v>6476</v>
      </c>
      <c r="C369" t="s">
        <v>2488</v>
      </c>
      <c r="D369" t="s">
        <v>121</v>
      </c>
      <c r="F369" t="s">
        <v>403</v>
      </c>
      <c r="G369" t="s">
        <v>405</v>
      </c>
      <c r="H369" t="s">
        <v>2028</v>
      </c>
      <c r="I369" t="s">
        <v>2112</v>
      </c>
      <c r="J369" t="s">
        <v>7</v>
      </c>
      <c r="K369" s="63">
        <v>25748</v>
      </c>
      <c r="L369" s="28">
        <f>DATEDIF(K369,Zwift25!G$1,"Y")</f>
        <v>54</v>
      </c>
      <c r="M369" s="67">
        <f>IF(J369="m",VLOOKUP(L369,'All Solo Adjustments'!A:D,4,FALSE),VLOOKUP(L369,'All Solo Adjustments'!A:J,10,FALSE))</f>
        <v>1.8518518518518517E-3</v>
      </c>
      <c r="N369" s="63"/>
      <c r="O369" s="63"/>
      <c r="P369" s="63"/>
      <c r="Q369" s="63"/>
      <c r="R369" t="s">
        <v>125</v>
      </c>
      <c r="S369" t="s">
        <v>170</v>
      </c>
      <c r="T369" t="s">
        <v>292</v>
      </c>
      <c r="U369" t="s">
        <v>10380</v>
      </c>
      <c r="V369" t="s">
        <v>10379</v>
      </c>
      <c r="W369" t="s">
        <v>1573</v>
      </c>
      <c r="Y369" t="s">
        <v>10378</v>
      </c>
      <c r="Z369" t="str">
        <f>"07445 720528"</f>
        <v>07445 720528</v>
      </c>
      <c r="AA369" t="str">
        <f>""</f>
        <v/>
      </c>
      <c r="AB369" t="s">
        <v>2707</v>
      </c>
      <c r="AC369" t="s">
        <v>10377</v>
      </c>
      <c r="AD369" t="s">
        <v>114</v>
      </c>
      <c r="AE369" s="63">
        <v>45262</v>
      </c>
      <c r="AF369" t="s">
        <v>156</v>
      </c>
      <c r="AG369" t="s">
        <v>111</v>
      </c>
      <c r="AH369" t="s">
        <v>111</v>
      </c>
      <c r="AI369" s="63">
        <v>25748</v>
      </c>
      <c r="AJ369" s="63">
        <v>45657</v>
      </c>
      <c r="AK369" t="s">
        <v>111</v>
      </c>
      <c r="AL369" t="s">
        <v>111</v>
      </c>
      <c r="AM369" t="s">
        <v>111</v>
      </c>
      <c r="AN369">
        <v>6802</v>
      </c>
      <c r="AO369" t="s">
        <v>110</v>
      </c>
      <c r="AP369" t="s">
        <v>109</v>
      </c>
    </row>
    <row r="370" spans="1:42" x14ac:dyDescent="0.25">
      <c r="A370" s="28" t="str">
        <f>"15785"</f>
        <v>15785</v>
      </c>
      <c r="B370">
        <v>15785</v>
      </c>
      <c r="C370" t="s">
        <v>2488</v>
      </c>
      <c r="D370" t="s">
        <v>121</v>
      </c>
      <c r="F370" t="s">
        <v>120</v>
      </c>
      <c r="G370" t="s">
        <v>315</v>
      </c>
      <c r="I370" t="s">
        <v>2112</v>
      </c>
      <c r="J370" t="s">
        <v>7</v>
      </c>
      <c r="K370" s="63">
        <v>30218</v>
      </c>
      <c r="L370" s="28">
        <f>DATEDIF(K370,Zwift25!G$1,"Y")</f>
        <v>42</v>
      </c>
      <c r="M370" s="67">
        <f>IF(J370="m",VLOOKUP(L370,'All Solo Adjustments'!A:D,4,FALSE),VLOOKUP(L370,'All Solo Adjustments'!A:J,10,FALSE))</f>
        <v>1.5046296296296295E-4</v>
      </c>
      <c r="N370" s="63"/>
      <c r="O370" s="63"/>
      <c r="P370" s="63"/>
      <c r="Q370" s="63"/>
      <c r="R370" t="s">
        <v>159</v>
      </c>
      <c r="S370" t="s">
        <v>162</v>
      </c>
      <c r="T370" t="s">
        <v>292</v>
      </c>
      <c r="U370" t="s">
        <v>10376</v>
      </c>
      <c r="V370" t="s">
        <v>10375</v>
      </c>
      <c r="W370" t="s">
        <v>10374</v>
      </c>
      <c r="X370" t="s">
        <v>2012</v>
      </c>
      <c r="Y370" t="s">
        <v>10373</v>
      </c>
      <c r="Z370" t="str">
        <f>"07572047339"</f>
        <v>07572047339</v>
      </c>
      <c r="AA370" t="str">
        <f>""</f>
        <v/>
      </c>
      <c r="AB370" t="s">
        <v>1990</v>
      </c>
      <c r="AC370" t="s">
        <v>10372</v>
      </c>
      <c r="AD370" t="s">
        <v>114</v>
      </c>
      <c r="AE370" s="63">
        <v>45348</v>
      </c>
      <c r="AF370" t="s">
        <v>156</v>
      </c>
      <c r="AG370" t="s">
        <v>112</v>
      </c>
      <c r="AH370" t="s">
        <v>112</v>
      </c>
      <c r="AI370" s="63">
        <v>45032</v>
      </c>
      <c r="AJ370" s="63">
        <v>45657</v>
      </c>
      <c r="AK370" t="s">
        <v>112</v>
      </c>
      <c r="AL370" t="s">
        <v>111</v>
      </c>
      <c r="AM370" t="s">
        <v>111</v>
      </c>
      <c r="AN370">
        <v>45755</v>
      </c>
      <c r="AO370" t="s">
        <v>110</v>
      </c>
      <c r="AP370" t="s">
        <v>109</v>
      </c>
    </row>
    <row r="371" spans="1:42" x14ac:dyDescent="0.25">
      <c r="A371" s="28" t="str">
        <f>"0498"</f>
        <v>0498</v>
      </c>
      <c r="B371">
        <v>498</v>
      </c>
      <c r="C371" t="s">
        <v>2488</v>
      </c>
      <c r="D371" t="s">
        <v>121</v>
      </c>
      <c r="F371" t="s">
        <v>120</v>
      </c>
      <c r="G371" t="s">
        <v>245</v>
      </c>
      <c r="H371" t="s">
        <v>164</v>
      </c>
      <c r="I371" t="s">
        <v>876</v>
      </c>
      <c r="J371" t="s">
        <v>7</v>
      </c>
      <c r="K371" s="63">
        <v>21646</v>
      </c>
      <c r="L371" s="28">
        <f>DATEDIF(K371,Zwift25!G$1,"Y")</f>
        <v>65</v>
      </c>
      <c r="M371" s="67">
        <f>IF(J371="m",VLOOKUP(L371,'All Solo Adjustments'!A:D,4,FALSE),VLOOKUP(L371,'All Solo Adjustments'!A:J,10,FALSE))</f>
        <v>4.6180555555555558E-3</v>
      </c>
      <c r="N371" s="63"/>
      <c r="O371" s="63"/>
      <c r="P371" s="63"/>
      <c r="Q371" s="63"/>
      <c r="R371" t="s">
        <v>283</v>
      </c>
      <c r="S371" t="s">
        <v>530</v>
      </c>
      <c r="T371" t="s">
        <v>292</v>
      </c>
      <c r="U371" t="s">
        <v>10371</v>
      </c>
      <c r="V371" t="s">
        <v>1083</v>
      </c>
      <c r="W371" t="s">
        <v>892</v>
      </c>
      <c r="Y371" t="s">
        <v>10370</v>
      </c>
      <c r="Z371" t="str">
        <f>"07952720742"</f>
        <v>07952720742</v>
      </c>
      <c r="AA371" t="str">
        <f>""</f>
        <v/>
      </c>
      <c r="AB371" t="s">
        <v>3075</v>
      </c>
      <c r="AC371" t="s">
        <v>10369</v>
      </c>
      <c r="AD371" t="s">
        <v>114</v>
      </c>
      <c r="AE371" s="63">
        <v>45278</v>
      </c>
      <c r="AF371" t="s">
        <v>156</v>
      </c>
      <c r="AG371" t="s">
        <v>112</v>
      </c>
      <c r="AH371" t="s">
        <v>112</v>
      </c>
      <c r="AI371" s="63">
        <v>41991</v>
      </c>
      <c r="AJ371" s="63">
        <v>45657</v>
      </c>
      <c r="AK371" t="s">
        <v>111</v>
      </c>
      <c r="AL371" t="s">
        <v>111</v>
      </c>
      <c r="AM371" t="s">
        <v>111</v>
      </c>
      <c r="AN371">
        <v>6461</v>
      </c>
      <c r="AO371" t="s">
        <v>110</v>
      </c>
      <c r="AP371" t="s">
        <v>109</v>
      </c>
    </row>
    <row r="372" spans="1:42" x14ac:dyDescent="0.25">
      <c r="A372" s="28" t="str">
        <f>"3923"</f>
        <v>3923</v>
      </c>
      <c r="B372">
        <v>3923</v>
      </c>
      <c r="C372" t="s">
        <v>2488</v>
      </c>
      <c r="D372" t="s">
        <v>121</v>
      </c>
      <c r="F372" t="s">
        <v>120</v>
      </c>
      <c r="G372" t="s">
        <v>492</v>
      </c>
      <c r="I372" t="s">
        <v>876</v>
      </c>
      <c r="J372" t="s">
        <v>7</v>
      </c>
      <c r="K372" s="63">
        <v>23577</v>
      </c>
      <c r="L372" s="28">
        <f>DATEDIF(K372,Zwift25!G$1,"Y")</f>
        <v>60</v>
      </c>
      <c r="M372" s="67">
        <f>IF(J372="m",VLOOKUP(L372,'All Solo Adjustments'!A:D,4,FALSE),VLOOKUP(L372,'All Solo Adjustments'!A:J,10,FALSE))</f>
        <v>3.2060185185185186E-3</v>
      </c>
      <c r="N372" s="63"/>
      <c r="O372" s="63"/>
      <c r="P372" s="63"/>
      <c r="Q372" s="63"/>
      <c r="R372" t="s">
        <v>118</v>
      </c>
      <c r="S372" t="s">
        <v>117</v>
      </c>
      <c r="T372" t="s">
        <v>292</v>
      </c>
      <c r="U372" t="s">
        <v>10368</v>
      </c>
      <c r="V372" t="s">
        <v>10367</v>
      </c>
      <c r="W372" t="s">
        <v>1289</v>
      </c>
      <c r="X372" t="s">
        <v>968</v>
      </c>
      <c r="Y372" t="s">
        <v>10366</v>
      </c>
      <c r="Z372" t="str">
        <f>"01246 209671"</f>
        <v>01246 209671</v>
      </c>
      <c r="AA372" t="str">
        <f>"07759790619"</f>
        <v>07759790619</v>
      </c>
      <c r="AB372" t="s">
        <v>1589</v>
      </c>
      <c r="AC372" t="s">
        <v>10365</v>
      </c>
      <c r="AD372" t="s">
        <v>114</v>
      </c>
      <c r="AE372" s="63">
        <v>45300</v>
      </c>
      <c r="AF372" t="s">
        <v>113</v>
      </c>
      <c r="AG372" t="s">
        <v>112</v>
      </c>
      <c r="AH372" t="s">
        <v>112</v>
      </c>
      <c r="AI372" s="63">
        <v>41640</v>
      </c>
      <c r="AJ372" s="63">
        <v>45657</v>
      </c>
      <c r="AK372" t="s">
        <v>111</v>
      </c>
      <c r="AL372" t="s">
        <v>111</v>
      </c>
      <c r="AM372" t="s">
        <v>111</v>
      </c>
      <c r="AN372">
        <v>1903</v>
      </c>
      <c r="AO372" t="s">
        <v>110</v>
      </c>
      <c r="AP372" t="s">
        <v>109</v>
      </c>
    </row>
    <row r="373" spans="1:42" x14ac:dyDescent="0.25">
      <c r="A373" s="28" t="str">
        <f>"3447"</f>
        <v>3447</v>
      </c>
      <c r="B373">
        <v>3447</v>
      </c>
      <c r="C373" t="s">
        <v>2488</v>
      </c>
      <c r="D373" t="s">
        <v>121</v>
      </c>
      <c r="F373" t="s">
        <v>120</v>
      </c>
      <c r="G373" t="s">
        <v>481</v>
      </c>
      <c r="H373" t="s">
        <v>359</v>
      </c>
      <c r="I373" t="s">
        <v>10364</v>
      </c>
      <c r="J373" t="s">
        <v>7</v>
      </c>
      <c r="K373" s="63">
        <v>18679</v>
      </c>
      <c r="L373" s="28">
        <f>DATEDIF(K373,Zwift25!G$1,"Y")</f>
        <v>73</v>
      </c>
      <c r="M373" s="67">
        <f>IF(J373="m",VLOOKUP(L373,'All Solo Adjustments'!A:D,4,FALSE),VLOOKUP(L373,'All Solo Adjustments'!A:J,10,FALSE))</f>
        <v>7.5462962962962966E-3</v>
      </c>
      <c r="N373" s="63"/>
      <c r="O373" s="63"/>
      <c r="P373" s="63"/>
      <c r="Q373" s="63"/>
      <c r="R373" t="s">
        <v>184</v>
      </c>
      <c r="S373" t="s">
        <v>183</v>
      </c>
      <c r="T373" t="s">
        <v>292</v>
      </c>
      <c r="U373" t="s">
        <v>10363</v>
      </c>
      <c r="V373" t="s">
        <v>1692</v>
      </c>
      <c r="W373" t="s">
        <v>1034</v>
      </c>
      <c r="Y373" t="s">
        <v>10362</v>
      </c>
      <c r="Z373" t="str">
        <f>"020 8958 3612"</f>
        <v>020 8958 3612</v>
      </c>
      <c r="AA373" t="str">
        <f>"07565584343"</f>
        <v>07565584343</v>
      </c>
      <c r="AB373" t="s">
        <v>288</v>
      </c>
      <c r="AC373" t="s">
        <v>10361</v>
      </c>
      <c r="AD373" t="s">
        <v>114</v>
      </c>
      <c r="AE373" s="63">
        <v>45273</v>
      </c>
      <c r="AF373" t="s">
        <v>113</v>
      </c>
      <c r="AG373" t="s">
        <v>112</v>
      </c>
      <c r="AH373" t="s">
        <v>112</v>
      </c>
      <c r="AI373" s="63">
        <v>39661</v>
      </c>
      <c r="AJ373" s="63">
        <v>45657</v>
      </c>
      <c r="AK373" t="s">
        <v>111</v>
      </c>
      <c r="AL373" t="s">
        <v>111</v>
      </c>
      <c r="AM373" t="s">
        <v>111</v>
      </c>
      <c r="AN373">
        <v>36770</v>
      </c>
      <c r="AO373" t="s">
        <v>110</v>
      </c>
      <c r="AP373" t="s">
        <v>109</v>
      </c>
    </row>
    <row r="374" spans="1:42" x14ac:dyDescent="0.25">
      <c r="A374" s="28" t="str">
        <f>"16197"</f>
        <v>16197</v>
      </c>
      <c r="B374">
        <v>16197</v>
      </c>
      <c r="C374" t="s">
        <v>2488</v>
      </c>
      <c r="D374" t="s">
        <v>121</v>
      </c>
      <c r="F374" t="s">
        <v>120</v>
      </c>
      <c r="G374" t="s">
        <v>10360</v>
      </c>
      <c r="I374" t="s">
        <v>874</v>
      </c>
      <c r="J374" t="s">
        <v>7</v>
      </c>
      <c r="K374" s="63">
        <v>22696</v>
      </c>
      <c r="L374" s="28">
        <f>DATEDIF(K374,Zwift25!G$1,"Y")</f>
        <v>62</v>
      </c>
      <c r="M374" s="67">
        <f>IF(J374="m",VLOOKUP(L374,'All Solo Adjustments'!A:D,4,FALSE),VLOOKUP(L374,'All Solo Adjustments'!A:J,10,FALSE))</f>
        <v>3.7384259259259259E-3</v>
      </c>
      <c r="N374" s="63"/>
      <c r="O374" s="63"/>
      <c r="P374" s="63"/>
      <c r="Q374" s="63"/>
      <c r="R374" t="s">
        <v>137</v>
      </c>
      <c r="S374" t="s">
        <v>136</v>
      </c>
      <c r="T374" t="s">
        <v>292</v>
      </c>
      <c r="U374" t="s">
        <v>10359</v>
      </c>
      <c r="V374" t="s">
        <v>10358</v>
      </c>
      <c r="Y374" t="s">
        <v>10357</v>
      </c>
      <c r="Z374" t="str">
        <f>"07980274845"</f>
        <v>07980274845</v>
      </c>
      <c r="AA374" t="str">
        <f>""</f>
        <v/>
      </c>
      <c r="AB374" t="s">
        <v>10356</v>
      </c>
      <c r="AC374" t="s">
        <v>10355</v>
      </c>
      <c r="AD374" t="s">
        <v>114</v>
      </c>
      <c r="AE374" s="63">
        <v>45509</v>
      </c>
      <c r="AF374" t="s">
        <v>156</v>
      </c>
      <c r="AG374" t="s">
        <v>112</v>
      </c>
      <c r="AH374" t="s">
        <v>112</v>
      </c>
      <c r="AI374" s="63">
        <v>45509</v>
      </c>
      <c r="AJ374" s="63">
        <v>45657</v>
      </c>
      <c r="AK374" t="s">
        <v>112</v>
      </c>
      <c r="AL374" t="s">
        <v>111</v>
      </c>
      <c r="AM374" t="s">
        <v>111</v>
      </c>
      <c r="AN374">
        <v>33059</v>
      </c>
      <c r="AO374" t="s">
        <v>110</v>
      </c>
      <c r="AP374" t="s">
        <v>109</v>
      </c>
    </row>
    <row r="375" spans="1:42" x14ac:dyDescent="0.25">
      <c r="A375" s="28" t="str">
        <f>"10345"</f>
        <v>10345</v>
      </c>
      <c r="B375">
        <v>10345</v>
      </c>
      <c r="C375" t="s">
        <v>2488</v>
      </c>
      <c r="D375" t="s">
        <v>121</v>
      </c>
      <c r="F375" t="s">
        <v>149</v>
      </c>
      <c r="G375" t="s">
        <v>1654</v>
      </c>
      <c r="I375" t="s">
        <v>2111</v>
      </c>
      <c r="J375" t="s">
        <v>126</v>
      </c>
      <c r="K375" s="63">
        <v>20332</v>
      </c>
      <c r="L375" s="28">
        <f>DATEDIF(K375,Zwift25!G$1,"Y")</f>
        <v>69</v>
      </c>
      <c r="M375" s="67">
        <f>IF(J375="m",VLOOKUP(L375,'All Solo Adjustments'!A:D,4,FALSE),VLOOKUP(L375,'All Solo Adjustments'!A:J,10,FALSE))</f>
        <v>1.1145833333333332E-2</v>
      </c>
      <c r="N375" s="63"/>
      <c r="O375" s="63"/>
      <c r="P375" s="63"/>
      <c r="Q375" s="63"/>
      <c r="R375" t="s">
        <v>180</v>
      </c>
      <c r="S375" t="s">
        <v>1741</v>
      </c>
      <c r="T375" t="s">
        <v>292</v>
      </c>
      <c r="U375" t="s">
        <v>10346</v>
      </c>
      <c r="V375" t="s">
        <v>10345</v>
      </c>
      <c r="X375" t="s">
        <v>177</v>
      </c>
      <c r="Y375" t="s">
        <v>10344</v>
      </c>
      <c r="Z375" t="str">
        <f>"01623 475303"</f>
        <v>01623 475303</v>
      </c>
      <c r="AA375" t="str">
        <f>""</f>
        <v/>
      </c>
      <c r="AB375" t="s">
        <v>176</v>
      </c>
      <c r="AC375" t="s">
        <v>10343</v>
      </c>
      <c r="AD375" t="s">
        <v>145</v>
      </c>
      <c r="AE375" s="63">
        <v>45268</v>
      </c>
      <c r="AF375" t="s">
        <v>156</v>
      </c>
      <c r="AG375" t="s">
        <v>111</v>
      </c>
      <c r="AH375" t="s">
        <v>111</v>
      </c>
      <c r="AI375" s="63">
        <v>43508</v>
      </c>
      <c r="AJ375" s="63">
        <v>45657</v>
      </c>
      <c r="AK375" t="s">
        <v>111</v>
      </c>
      <c r="AL375" t="s">
        <v>111</v>
      </c>
      <c r="AM375" t="s">
        <v>111</v>
      </c>
      <c r="AN375">
        <v>3935</v>
      </c>
      <c r="AO375" t="s">
        <v>122</v>
      </c>
      <c r="AP375" t="s">
        <v>122</v>
      </c>
    </row>
    <row r="376" spans="1:42" x14ac:dyDescent="0.25">
      <c r="A376" s="28" t="str">
        <f>"0506"</f>
        <v>0506</v>
      </c>
      <c r="B376">
        <v>506</v>
      </c>
      <c r="C376" t="s">
        <v>2488</v>
      </c>
      <c r="D376" t="s">
        <v>121</v>
      </c>
      <c r="E376" t="s">
        <v>10354</v>
      </c>
      <c r="F376" t="s">
        <v>139</v>
      </c>
      <c r="G376" t="s">
        <v>352</v>
      </c>
      <c r="I376" t="s">
        <v>2111</v>
      </c>
      <c r="J376" t="s">
        <v>126</v>
      </c>
      <c r="K376" s="63">
        <v>21018</v>
      </c>
      <c r="L376" s="28">
        <f>DATEDIF(K376,Zwift25!G$1,"Y")</f>
        <v>67</v>
      </c>
      <c r="M376" s="67">
        <f>IF(J376="m",VLOOKUP(L376,'All Solo Adjustments'!A:D,4,FALSE),VLOOKUP(L376,'All Solo Adjustments'!A:J,10,FALSE))</f>
        <v>1.0081018518518519E-2</v>
      </c>
      <c r="N376" s="63"/>
      <c r="O376" s="63"/>
      <c r="P376" s="63"/>
      <c r="Q376" s="63"/>
      <c r="R376" t="s">
        <v>137</v>
      </c>
      <c r="S376" t="s">
        <v>136</v>
      </c>
      <c r="T376" t="s">
        <v>292</v>
      </c>
      <c r="U376" t="s">
        <v>10353</v>
      </c>
      <c r="V376" t="s">
        <v>1378</v>
      </c>
      <c r="W376" t="s">
        <v>564</v>
      </c>
      <c r="Y376" t="s">
        <v>10352</v>
      </c>
      <c r="Z376" t="str">
        <f>"07837 551768"</f>
        <v>07837 551768</v>
      </c>
      <c r="AA376" t="str">
        <f>""</f>
        <v/>
      </c>
      <c r="AB376" t="s">
        <v>996</v>
      </c>
      <c r="AC376" t="s">
        <v>10351</v>
      </c>
      <c r="AD376" t="s">
        <v>145</v>
      </c>
      <c r="AE376" s="63">
        <v>45266</v>
      </c>
      <c r="AF376" t="s">
        <v>113</v>
      </c>
      <c r="AG376" t="s">
        <v>112</v>
      </c>
      <c r="AH376" t="s">
        <v>112</v>
      </c>
      <c r="AI376" s="63">
        <v>35628</v>
      </c>
      <c r="AJ376" s="63">
        <v>45657</v>
      </c>
      <c r="AK376" t="s">
        <v>111</v>
      </c>
      <c r="AL376" t="s">
        <v>111</v>
      </c>
      <c r="AM376" t="s">
        <v>111</v>
      </c>
      <c r="AN376">
        <v>9348</v>
      </c>
      <c r="AO376" t="s">
        <v>122</v>
      </c>
      <c r="AP376" t="s">
        <v>122</v>
      </c>
    </row>
    <row r="377" spans="1:42" x14ac:dyDescent="0.25">
      <c r="A377" s="28" t="str">
        <f>"13668"</f>
        <v>13668</v>
      </c>
      <c r="B377">
        <v>13668</v>
      </c>
      <c r="C377" t="s">
        <v>2488</v>
      </c>
      <c r="D377" t="s">
        <v>121</v>
      </c>
      <c r="F377" t="s">
        <v>120</v>
      </c>
      <c r="G377" t="s">
        <v>773</v>
      </c>
      <c r="I377" t="s">
        <v>2111</v>
      </c>
      <c r="J377" t="s">
        <v>7</v>
      </c>
      <c r="K377" s="63">
        <v>18577</v>
      </c>
      <c r="L377" s="28">
        <f>DATEDIF(K377,Zwift25!G$1,"Y")</f>
        <v>73</v>
      </c>
      <c r="M377" s="67">
        <f>IF(J377="m",VLOOKUP(L377,'All Solo Adjustments'!A:D,4,FALSE),VLOOKUP(L377,'All Solo Adjustments'!A:J,10,FALSE))</f>
        <v>7.5462962962962966E-3</v>
      </c>
      <c r="N377" s="63"/>
      <c r="O377" s="63"/>
      <c r="P377" s="63"/>
      <c r="Q377" s="63"/>
      <c r="R377" t="s">
        <v>239</v>
      </c>
      <c r="S377" t="s">
        <v>274</v>
      </c>
      <c r="T377" t="s">
        <v>292</v>
      </c>
      <c r="U377" t="s">
        <v>10350</v>
      </c>
      <c r="V377" t="s">
        <v>10349</v>
      </c>
      <c r="W377" t="s">
        <v>338</v>
      </c>
      <c r="X377" t="s">
        <v>985</v>
      </c>
      <c r="Y377" t="s">
        <v>10348</v>
      </c>
      <c r="Z377" t="str">
        <f>"07912538931"</f>
        <v>07912538931</v>
      </c>
      <c r="AA377" t="str">
        <f>"01226 290726"</f>
        <v>01226 290726</v>
      </c>
      <c r="AB377" t="s">
        <v>1909</v>
      </c>
      <c r="AC377" t="s">
        <v>10347</v>
      </c>
      <c r="AD377" t="s">
        <v>114</v>
      </c>
      <c r="AE377" s="63">
        <v>45364</v>
      </c>
      <c r="AF377" t="s">
        <v>156</v>
      </c>
      <c r="AG377" t="s">
        <v>112</v>
      </c>
      <c r="AH377" t="s">
        <v>112</v>
      </c>
      <c r="AI377" s="63">
        <v>43274</v>
      </c>
      <c r="AJ377" s="63">
        <v>45657</v>
      </c>
      <c r="AK377" t="s">
        <v>112</v>
      </c>
      <c r="AL377" t="s">
        <v>111</v>
      </c>
      <c r="AM377" t="s">
        <v>111</v>
      </c>
      <c r="AN377">
        <v>19728</v>
      </c>
      <c r="AO377" t="s">
        <v>110</v>
      </c>
      <c r="AP377" t="s">
        <v>109</v>
      </c>
    </row>
    <row r="378" spans="1:42" x14ac:dyDescent="0.25">
      <c r="A378" s="28" t="str">
        <f>"15328"</f>
        <v>15328</v>
      </c>
      <c r="B378">
        <v>15328</v>
      </c>
      <c r="C378" t="s">
        <v>2488</v>
      </c>
      <c r="D378" t="s">
        <v>121</v>
      </c>
      <c r="F378" t="s">
        <v>120</v>
      </c>
      <c r="G378" t="s">
        <v>938</v>
      </c>
      <c r="I378" t="s">
        <v>2111</v>
      </c>
      <c r="J378" t="s">
        <v>7</v>
      </c>
      <c r="K378" s="63">
        <v>16408</v>
      </c>
      <c r="L378" s="28">
        <f>DATEDIF(K378,Zwift25!G$1,"Y")</f>
        <v>79</v>
      </c>
      <c r="M378" s="67">
        <f>IF(J378="m",VLOOKUP(L378,'All Solo Adjustments'!A:D,4,FALSE),VLOOKUP(L378,'All Solo Adjustments'!A:J,10,FALSE))</f>
        <v>1.0451388888888889E-2</v>
      </c>
      <c r="N378" s="63"/>
      <c r="O378" s="63"/>
      <c r="P378" s="63"/>
      <c r="Q378" s="63"/>
      <c r="R378" t="s">
        <v>180</v>
      </c>
      <c r="S378" t="s">
        <v>1741</v>
      </c>
      <c r="T378" t="s">
        <v>292</v>
      </c>
      <c r="U378" t="s">
        <v>10346</v>
      </c>
      <c r="V378" t="s">
        <v>10345</v>
      </c>
      <c r="W378" t="s">
        <v>177</v>
      </c>
      <c r="Y378" t="s">
        <v>10344</v>
      </c>
      <c r="Z378" t="str">
        <f>"01623 475303"</f>
        <v>01623 475303</v>
      </c>
      <c r="AA378" t="str">
        <f>""</f>
        <v/>
      </c>
      <c r="AB378" t="s">
        <v>176</v>
      </c>
      <c r="AC378" t="s">
        <v>10343</v>
      </c>
      <c r="AD378" t="s">
        <v>145</v>
      </c>
      <c r="AE378" s="63">
        <v>45268</v>
      </c>
      <c r="AF378" t="s">
        <v>113</v>
      </c>
      <c r="AG378" t="s">
        <v>112</v>
      </c>
      <c r="AH378" t="s">
        <v>112</v>
      </c>
      <c r="AI378" s="63">
        <v>44567</v>
      </c>
      <c r="AJ378" s="63">
        <v>45657</v>
      </c>
      <c r="AK378" t="s">
        <v>112</v>
      </c>
      <c r="AL378" t="s">
        <v>112</v>
      </c>
      <c r="AM378" t="s">
        <v>112</v>
      </c>
      <c r="AN378" t="s">
        <v>105</v>
      </c>
      <c r="AO378" t="s">
        <v>110</v>
      </c>
      <c r="AP378" t="s">
        <v>109</v>
      </c>
    </row>
    <row r="379" spans="1:42" x14ac:dyDescent="0.25">
      <c r="A379" s="28" t="str">
        <f>"13073"</f>
        <v>13073</v>
      </c>
      <c r="B379">
        <v>13073</v>
      </c>
      <c r="C379" t="s">
        <v>2488</v>
      </c>
      <c r="D379" t="s">
        <v>121</v>
      </c>
      <c r="F379" t="s">
        <v>120</v>
      </c>
      <c r="G379" t="s">
        <v>285</v>
      </c>
      <c r="I379" t="s">
        <v>10342</v>
      </c>
      <c r="J379" t="s">
        <v>7</v>
      </c>
      <c r="K379" s="63">
        <v>20505</v>
      </c>
      <c r="L379" s="28">
        <f>DATEDIF(K379,Zwift25!G$1,"Y")</f>
        <v>68</v>
      </c>
      <c r="M379" s="67">
        <f>IF(J379="m",VLOOKUP(L379,'All Solo Adjustments'!A:D,4,FALSE),VLOOKUP(L379,'All Solo Adjustments'!A:J,10,FALSE))</f>
        <v>5.6134259259259262E-3</v>
      </c>
      <c r="N379" s="63"/>
      <c r="O379" s="63"/>
      <c r="P379" s="63"/>
      <c r="Q379" s="63"/>
      <c r="R379" t="s">
        <v>125</v>
      </c>
      <c r="S379" t="s">
        <v>170</v>
      </c>
      <c r="T379" t="s">
        <v>292</v>
      </c>
      <c r="U379" t="s">
        <v>10341</v>
      </c>
      <c r="V379" t="s">
        <v>10340</v>
      </c>
      <c r="W379" t="s">
        <v>10339</v>
      </c>
      <c r="X379" t="s">
        <v>785</v>
      </c>
      <c r="Y379" t="s">
        <v>10338</v>
      </c>
      <c r="Z379" t="str">
        <f>"07957881349"</f>
        <v>07957881349</v>
      </c>
      <c r="AA379" t="str">
        <f>""</f>
        <v/>
      </c>
      <c r="AB379" t="s">
        <v>10337</v>
      </c>
      <c r="AC379" t="s">
        <v>10336</v>
      </c>
      <c r="AD379" t="s">
        <v>114</v>
      </c>
      <c r="AE379" s="63">
        <v>45296</v>
      </c>
      <c r="AF379" t="s">
        <v>156</v>
      </c>
      <c r="AG379" t="s">
        <v>112</v>
      </c>
      <c r="AH379" t="s">
        <v>112</v>
      </c>
      <c r="AI379" s="63">
        <v>43241</v>
      </c>
      <c r="AJ379" s="63">
        <v>45657</v>
      </c>
      <c r="AK379" t="s">
        <v>112</v>
      </c>
      <c r="AL379" t="s">
        <v>111</v>
      </c>
      <c r="AM379" t="s">
        <v>111</v>
      </c>
      <c r="AN379">
        <v>2028</v>
      </c>
      <c r="AO379" t="s">
        <v>110</v>
      </c>
      <c r="AP379" t="s">
        <v>109</v>
      </c>
    </row>
    <row r="380" spans="1:42" x14ac:dyDescent="0.25">
      <c r="A380" s="28" t="str">
        <f>"15832"</f>
        <v>15832</v>
      </c>
      <c r="B380">
        <v>15832</v>
      </c>
      <c r="C380" t="s">
        <v>2488</v>
      </c>
      <c r="D380" t="s">
        <v>121</v>
      </c>
      <c r="F380" t="s">
        <v>120</v>
      </c>
      <c r="G380" t="s">
        <v>531</v>
      </c>
      <c r="I380" t="s">
        <v>10335</v>
      </c>
      <c r="J380" t="s">
        <v>7</v>
      </c>
      <c r="K380" s="63">
        <v>24052</v>
      </c>
      <c r="L380" s="28">
        <f>DATEDIF(K380,Zwift25!G$1,"Y")</f>
        <v>58</v>
      </c>
      <c r="M380" s="67">
        <f>IF(J380="m",VLOOKUP(L380,'All Solo Adjustments'!A:D,4,FALSE),VLOOKUP(L380,'All Solo Adjustments'!A:J,10,FALSE))</f>
        <v>2.7199074074074074E-3</v>
      </c>
      <c r="N380" s="63"/>
      <c r="O380" s="63"/>
      <c r="P380" s="63"/>
      <c r="Q380" s="63"/>
      <c r="R380" t="s">
        <v>143</v>
      </c>
      <c r="S380" t="s">
        <v>142</v>
      </c>
      <c r="T380" t="s">
        <v>292</v>
      </c>
      <c r="U380" t="s">
        <v>10334</v>
      </c>
      <c r="W380" t="s">
        <v>1366</v>
      </c>
      <c r="X380" t="s">
        <v>141</v>
      </c>
      <c r="Y380" t="s">
        <v>10333</v>
      </c>
      <c r="Z380" t="str">
        <f>"07527743495"</f>
        <v>07527743495</v>
      </c>
      <c r="AA380" t="str">
        <f>""</f>
        <v/>
      </c>
      <c r="AB380" t="s">
        <v>263</v>
      </c>
      <c r="AC380" t="s">
        <v>10332</v>
      </c>
      <c r="AD380" t="s">
        <v>114</v>
      </c>
      <c r="AE380" s="63">
        <v>45292</v>
      </c>
      <c r="AF380" t="s">
        <v>156</v>
      </c>
      <c r="AG380" t="s">
        <v>112</v>
      </c>
      <c r="AH380" t="s">
        <v>112</v>
      </c>
      <c r="AI380" s="63">
        <v>45069</v>
      </c>
      <c r="AJ380" s="63">
        <v>45657</v>
      </c>
      <c r="AK380" t="s">
        <v>112</v>
      </c>
      <c r="AL380" t="s">
        <v>111</v>
      </c>
      <c r="AM380" t="s">
        <v>111</v>
      </c>
      <c r="AN380">
        <v>47350</v>
      </c>
      <c r="AO380" t="s">
        <v>110</v>
      </c>
      <c r="AP380" t="s">
        <v>109</v>
      </c>
    </row>
    <row r="381" spans="1:42" x14ac:dyDescent="0.25">
      <c r="A381" s="28" t="str">
        <f>"5385"</f>
        <v>5385</v>
      </c>
      <c r="B381">
        <v>5385</v>
      </c>
      <c r="C381" t="s">
        <v>2488</v>
      </c>
      <c r="D381" t="s">
        <v>121</v>
      </c>
      <c r="F381" t="s">
        <v>120</v>
      </c>
      <c r="G381" t="s">
        <v>1439</v>
      </c>
      <c r="I381" t="s">
        <v>10331</v>
      </c>
      <c r="J381" t="s">
        <v>7</v>
      </c>
      <c r="K381" s="63">
        <v>19682</v>
      </c>
      <c r="L381" s="28">
        <f>DATEDIF(K381,Zwift25!G$1,"Y")</f>
        <v>70</v>
      </c>
      <c r="M381" s="67">
        <f>IF(J381="m",VLOOKUP(L381,'All Solo Adjustments'!A:D,4,FALSE),VLOOKUP(L381,'All Solo Adjustments'!A:J,10,FALSE))</f>
        <v>6.3425925925925924E-3</v>
      </c>
      <c r="N381" s="63"/>
      <c r="O381" s="63"/>
      <c r="P381" s="63"/>
      <c r="Q381" s="63"/>
      <c r="R381" t="s">
        <v>213</v>
      </c>
      <c r="S381" t="s">
        <v>212</v>
      </c>
      <c r="T381" t="s">
        <v>292</v>
      </c>
      <c r="U381" t="s">
        <v>10330</v>
      </c>
      <c r="V381" t="s">
        <v>2185</v>
      </c>
      <c r="W381" t="s">
        <v>503</v>
      </c>
      <c r="Y381" t="s">
        <v>10329</v>
      </c>
      <c r="Z381" t="str">
        <f>"07903 346997"</f>
        <v>07903 346997</v>
      </c>
      <c r="AA381" t="str">
        <f>""</f>
        <v/>
      </c>
      <c r="AB381" t="s">
        <v>670</v>
      </c>
      <c r="AC381" t="s">
        <v>10328</v>
      </c>
      <c r="AD381" t="s">
        <v>114</v>
      </c>
      <c r="AE381" s="63">
        <v>45262</v>
      </c>
      <c r="AF381" t="s">
        <v>156</v>
      </c>
      <c r="AG381" t="s">
        <v>112</v>
      </c>
      <c r="AH381" t="s">
        <v>112</v>
      </c>
      <c r="AI381" s="63">
        <v>42089</v>
      </c>
      <c r="AJ381" s="63">
        <v>45657</v>
      </c>
      <c r="AK381" t="s">
        <v>111</v>
      </c>
      <c r="AL381" t="s">
        <v>111</v>
      </c>
      <c r="AM381" t="s">
        <v>111</v>
      </c>
      <c r="AN381">
        <v>4230</v>
      </c>
      <c r="AO381" t="s">
        <v>110</v>
      </c>
      <c r="AP381" t="s">
        <v>109</v>
      </c>
    </row>
    <row r="382" spans="1:42" x14ac:dyDescent="0.25">
      <c r="A382" s="28" t="str">
        <f>"14558"</f>
        <v>14558</v>
      </c>
      <c r="B382">
        <v>14558</v>
      </c>
      <c r="C382" t="s">
        <v>2488</v>
      </c>
      <c r="D382" t="s">
        <v>121</v>
      </c>
      <c r="F382" t="s">
        <v>120</v>
      </c>
      <c r="G382" t="s">
        <v>230</v>
      </c>
      <c r="I382" t="s">
        <v>10327</v>
      </c>
      <c r="J382" t="s">
        <v>7</v>
      </c>
      <c r="K382" s="63">
        <v>23290</v>
      </c>
      <c r="L382" s="28">
        <f>DATEDIF(K382,Zwift25!G$1,"Y")</f>
        <v>61</v>
      </c>
      <c r="M382" s="67">
        <f>IF(J382="m",VLOOKUP(L382,'All Solo Adjustments'!A:D,4,FALSE),VLOOKUP(L382,'All Solo Adjustments'!A:J,10,FALSE))</f>
        <v>3.4722222222222225E-3</v>
      </c>
      <c r="N382" s="63"/>
      <c r="O382" s="63"/>
      <c r="P382" s="63"/>
      <c r="Q382" s="63"/>
      <c r="R382" t="s">
        <v>137</v>
      </c>
      <c r="S382" t="s">
        <v>136</v>
      </c>
      <c r="T382" t="s">
        <v>292</v>
      </c>
      <c r="U382" t="s">
        <v>10326</v>
      </c>
      <c r="V382" t="s">
        <v>10325</v>
      </c>
      <c r="W382" t="s">
        <v>350</v>
      </c>
      <c r="Y382" t="s">
        <v>10324</v>
      </c>
      <c r="Z382" t="str">
        <f>"07768 746801"</f>
        <v>07768 746801</v>
      </c>
      <c r="AA382" t="str">
        <f>""</f>
        <v/>
      </c>
      <c r="AB382" t="s">
        <v>825</v>
      </c>
      <c r="AC382" t="s">
        <v>10323</v>
      </c>
      <c r="AD382" t="s">
        <v>114</v>
      </c>
      <c r="AE382" s="63">
        <v>45353</v>
      </c>
      <c r="AF382" t="s">
        <v>113</v>
      </c>
      <c r="AG382" t="s">
        <v>112</v>
      </c>
      <c r="AH382" t="s">
        <v>112</v>
      </c>
      <c r="AI382" s="63">
        <v>43992</v>
      </c>
      <c r="AJ382" s="63">
        <v>45657</v>
      </c>
      <c r="AK382" t="s">
        <v>112</v>
      </c>
      <c r="AL382" t="s">
        <v>111</v>
      </c>
      <c r="AM382" t="s">
        <v>111</v>
      </c>
      <c r="AN382">
        <v>27720</v>
      </c>
      <c r="AO382" t="s">
        <v>110</v>
      </c>
      <c r="AP382" t="s">
        <v>109</v>
      </c>
    </row>
    <row r="383" spans="1:42" x14ac:dyDescent="0.25">
      <c r="A383" s="28" t="str">
        <f>"3780"</f>
        <v>3780</v>
      </c>
      <c r="B383">
        <v>3780</v>
      </c>
      <c r="C383" t="s">
        <v>2488</v>
      </c>
      <c r="D383" t="s">
        <v>121</v>
      </c>
      <c r="F383" t="s">
        <v>120</v>
      </c>
      <c r="G383" t="s">
        <v>790</v>
      </c>
      <c r="I383" t="s">
        <v>10322</v>
      </c>
      <c r="J383" t="s">
        <v>7</v>
      </c>
      <c r="K383" s="63">
        <v>24589</v>
      </c>
      <c r="L383" s="28">
        <f>DATEDIF(K383,Zwift25!G$1,"Y")</f>
        <v>57</v>
      </c>
      <c r="M383" s="67">
        <f>IF(J383="m",VLOOKUP(L383,'All Solo Adjustments'!A:D,4,FALSE),VLOOKUP(L383,'All Solo Adjustments'!A:J,10,FALSE))</f>
        <v>2.488425925925926E-3</v>
      </c>
      <c r="N383" s="63"/>
      <c r="O383" s="63"/>
      <c r="P383" s="63"/>
      <c r="Q383" s="63"/>
      <c r="R383" t="s">
        <v>184</v>
      </c>
      <c r="S383" t="s">
        <v>183</v>
      </c>
      <c r="T383" t="s">
        <v>292</v>
      </c>
      <c r="U383" t="s">
        <v>10321</v>
      </c>
      <c r="V383" t="s">
        <v>167</v>
      </c>
      <c r="Y383" t="s">
        <v>10320</v>
      </c>
      <c r="Z383" t="str">
        <f>"07977 263841"</f>
        <v>07977 263841</v>
      </c>
      <c r="AA383" t="str">
        <f>""</f>
        <v/>
      </c>
      <c r="AB383" t="s">
        <v>290</v>
      </c>
      <c r="AC383" t="s">
        <v>10319</v>
      </c>
      <c r="AD383" t="s">
        <v>114</v>
      </c>
      <c r="AE383" s="63">
        <v>45270</v>
      </c>
      <c r="AF383" t="s">
        <v>156</v>
      </c>
      <c r="AG383" t="s">
        <v>112</v>
      </c>
      <c r="AH383" t="s">
        <v>112</v>
      </c>
      <c r="AI383" s="63">
        <v>40100</v>
      </c>
      <c r="AJ383" s="63">
        <v>45657</v>
      </c>
      <c r="AK383" t="s">
        <v>111</v>
      </c>
      <c r="AL383" t="s">
        <v>111</v>
      </c>
      <c r="AM383" t="s">
        <v>111</v>
      </c>
      <c r="AN383">
        <v>24073</v>
      </c>
      <c r="AO383" t="s">
        <v>110</v>
      </c>
      <c r="AP383" t="s">
        <v>109</v>
      </c>
    </row>
    <row r="384" spans="1:42" x14ac:dyDescent="0.25">
      <c r="A384" s="28" t="str">
        <f>"4869"</f>
        <v>4869</v>
      </c>
      <c r="B384">
        <v>4869</v>
      </c>
      <c r="C384" t="s">
        <v>2488</v>
      </c>
      <c r="D384" t="s">
        <v>121</v>
      </c>
      <c r="E384" t="s">
        <v>584</v>
      </c>
      <c r="F384" t="s">
        <v>120</v>
      </c>
      <c r="G384" t="s">
        <v>10318</v>
      </c>
      <c r="H384" t="s">
        <v>1006</v>
      </c>
      <c r="I384" t="s">
        <v>10317</v>
      </c>
      <c r="J384" t="s">
        <v>7</v>
      </c>
      <c r="K384" s="63">
        <v>21613</v>
      </c>
      <c r="L384" s="28">
        <f>DATEDIF(K384,Zwift25!G$1,"Y")</f>
        <v>65</v>
      </c>
      <c r="M384" s="67">
        <f>IF(J384="m",VLOOKUP(L384,'All Solo Adjustments'!A:D,4,FALSE),VLOOKUP(L384,'All Solo Adjustments'!A:J,10,FALSE))</f>
        <v>4.6180555555555558E-3</v>
      </c>
      <c r="N384" s="63"/>
      <c r="O384" s="63"/>
      <c r="P384" s="63"/>
      <c r="Q384" s="63"/>
      <c r="R384" t="s">
        <v>283</v>
      </c>
      <c r="S384" t="s">
        <v>530</v>
      </c>
      <c r="T384" t="s">
        <v>292</v>
      </c>
      <c r="U384" t="s">
        <v>10316</v>
      </c>
      <c r="V384" t="s">
        <v>1083</v>
      </c>
      <c r="W384" t="s">
        <v>892</v>
      </c>
      <c r="Y384" t="s">
        <v>10315</v>
      </c>
      <c r="Z384" t="str">
        <f>"07887 821970"</f>
        <v>07887 821970</v>
      </c>
      <c r="AA384" t="str">
        <f>""</f>
        <v/>
      </c>
      <c r="AB384" t="s">
        <v>2687</v>
      </c>
      <c r="AC384" t="s">
        <v>10314</v>
      </c>
      <c r="AD384" t="s">
        <v>114</v>
      </c>
      <c r="AE384" s="63">
        <v>45236</v>
      </c>
      <c r="AF384" t="s">
        <v>113</v>
      </c>
      <c r="AG384" t="s">
        <v>112</v>
      </c>
      <c r="AH384" t="s">
        <v>112</v>
      </c>
      <c r="AI384" s="63">
        <v>41640</v>
      </c>
      <c r="AJ384" s="63">
        <v>45657</v>
      </c>
      <c r="AK384" t="s">
        <v>111</v>
      </c>
      <c r="AL384" t="s">
        <v>111</v>
      </c>
      <c r="AM384" t="s">
        <v>111</v>
      </c>
      <c r="AN384">
        <v>2282</v>
      </c>
      <c r="AO384" t="s">
        <v>110</v>
      </c>
      <c r="AP384" t="s">
        <v>109</v>
      </c>
    </row>
    <row r="385" spans="1:42" x14ac:dyDescent="0.25">
      <c r="A385" s="28" t="str">
        <f>"14741"</f>
        <v>14741</v>
      </c>
      <c r="B385">
        <v>14741</v>
      </c>
      <c r="C385" t="s">
        <v>2488</v>
      </c>
      <c r="D385" t="s">
        <v>121</v>
      </c>
      <c r="F385" t="s">
        <v>120</v>
      </c>
      <c r="G385" t="s">
        <v>195</v>
      </c>
      <c r="I385" t="s">
        <v>2109</v>
      </c>
      <c r="J385" t="s">
        <v>7</v>
      </c>
      <c r="K385" s="63">
        <v>27828</v>
      </c>
      <c r="L385" s="28">
        <f>DATEDIF(K385,Zwift25!G$1,"Y")</f>
        <v>48</v>
      </c>
      <c r="M385" s="67">
        <f>IF(J385="m",VLOOKUP(L385,'All Solo Adjustments'!A:D,4,FALSE),VLOOKUP(L385,'All Solo Adjustments'!A:J,10,FALSE))</f>
        <v>8.3333333333333339E-4</v>
      </c>
      <c r="N385" s="63"/>
      <c r="O385" s="63"/>
      <c r="P385" s="63"/>
      <c r="Q385" s="63"/>
      <c r="R385" t="s">
        <v>180</v>
      </c>
      <c r="S385" t="s">
        <v>179</v>
      </c>
      <c r="T385" t="s">
        <v>292</v>
      </c>
      <c r="U385" t="s">
        <v>10313</v>
      </c>
      <c r="V385" t="s">
        <v>1825</v>
      </c>
      <c r="X385" t="s">
        <v>259</v>
      </c>
      <c r="Y385" t="s">
        <v>10312</v>
      </c>
      <c r="Z385" t="str">
        <f>"07447427935"</f>
        <v>07447427935</v>
      </c>
      <c r="AA385" t="str">
        <f>""</f>
        <v/>
      </c>
      <c r="AB385" t="s">
        <v>3877</v>
      </c>
      <c r="AC385" t="s">
        <v>10311</v>
      </c>
      <c r="AD385" t="s">
        <v>114</v>
      </c>
      <c r="AE385" s="63">
        <v>45262</v>
      </c>
      <c r="AF385" t="s">
        <v>113</v>
      </c>
      <c r="AG385" t="s">
        <v>112</v>
      </c>
      <c r="AH385" t="s">
        <v>112</v>
      </c>
      <c r="AI385" s="63">
        <v>44082</v>
      </c>
      <c r="AJ385" s="63">
        <v>45657</v>
      </c>
      <c r="AK385" t="s">
        <v>112</v>
      </c>
      <c r="AL385" t="s">
        <v>111</v>
      </c>
      <c r="AM385" t="s">
        <v>111</v>
      </c>
      <c r="AN385">
        <v>21977</v>
      </c>
      <c r="AO385" t="s">
        <v>110</v>
      </c>
      <c r="AP385" t="s">
        <v>109</v>
      </c>
    </row>
    <row r="386" spans="1:42" x14ac:dyDescent="0.25">
      <c r="A386" s="28" t="str">
        <f>"0509"</f>
        <v>0509</v>
      </c>
      <c r="B386">
        <v>509</v>
      </c>
      <c r="C386" t="s">
        <v>2488</v>
      </c>
      <c r="D386" t="s">
        <v>121</v>
      </c>
      <c r="F386" t="s">
        <v>120</v>
      </c>
      <c r="G386" t="s">
        <v>10310</v>
      </c>
      <c r="I386" t="s">
        <v>10309</v>
      </c>
      <c r="J386" t="s">
        <v>7</v>
      </c>
      <c r="K386" s="63">
        <v>16101</v>
      </c>
      <c r="L386" s="28">
        <f>DATEDIF(K386,Zwift25!G$1,"Y")</f>
        <v>80</v>
      </c>
      <c r="M386" s="67">
        <f>IF(J386="m",VLOOKUP(L386,'All Solo Adjustments'!A:D,4,FALSE),VLOOKUP(L386,'All Solo Adjustments'!A:J,10,FALSE))</f>
        <v>1.1018518518518518E-2</v>
      </c>
      <c r="N386" s="63"/>
      <c r="O386" s="63"/>
      <c r="P386" s="63"/>
      <c r="Q386" s="63"/>
      <c r="R386" t="s">
        <v>198</v>
      </c>
      <c r="S386" t="s">
        <v>476</v>
      </c>
      <c r="T386" t="s">
        <v>292</v>
      </c>
      <c r="U386" t="s">
        <v>10308</v>
      </c>
      <c r="V386" t="s">
        <v>1513</v>
      </c>
      <c r="W386" t="s">
        <v>460</v>
      </c>
      <c r="X386" t="s">
        <v>196</v>
      </c>
      <c r="Y386" t="s">
        <v>10307</v>
      </c>
      <c r="Z386" t="str">
        <f>"01614857629"</f>
        <v>01614857629</v>
      </c>
      <c r="AA386" t="str">
        <f>"07946560820"</f>
        <v>07946560820</v>
      </c>
      <c r="AB386" t="s">
        <v>1025</v>
      </c>
      <c r="AC386" t="s">
        <v>10306</v>
      </c>
      <c r="AD386" t="s">
        <v>145</v>
      </c>
      <c r="AF386" t="s">
        <v>113</v>
      </c>
      <c r="AG386" t="s">
        <v>112</v>
      </c>
      <c r="AH386" t="s">
        <v>112</v>
      </c>
      <c r="AI386" s="63">
        <v>37257</v>
      </c>
      <c r="AK386" t="s">
        <v>111</v>
      </c>
      <c r="AL386" t="s">
        <v>111</v>
      </c>
      <c r="AM386" t="s">
        <v>111</v>
      </c>
      <c r="AN386">
        <v>111</v>
      </c>
      <c r="AO386" t="s">
        <v>110</v>
      </c>
      <c r="AP386" t="s">
        <v>109</v>
      </c>
    </row>
    <row r="387" spans="1:42" x14ac:dyDescent="0.25">
      <c r="A387" s="28" t="str">
        <f>"5288"</f>
        <v>5288</v>
      </c>
      <c r="B387">
        <v>5288</v>
      </c>
      <c r="C387" t="s">
        <v>2488</v>
      </c>
      <c r="D387" t="s">
        <v>121</v>
      </c>
      <c r="F387" t="s">
        <v>120</v>
      </c>
      <c r="G387" t="s">
        <v>685</v>
      </c>
      <c r="H387" t="s">
        <v>185</v>
      </c>
      <c r="I387" t="s">
        <v>10302</v>
      </c>
      <c r="J387" t="s">
        <v>7</v>
      </c>
      <c r="K387" s="63">
        <v>22766</v>
      </c>
      <c r="L387" s="28">
        <f>DATEDIF(K387,Zwift25!G$1,"Y")</f>
        <v>62</v>
      </c>
      <c r="M387" s="67">
        <f>IF(J387="m",VLOOKUP(L387,'All Solo Adjustments'!A:D,4,FALSE),VLOOKUP(L387,'All Solo Adjustments'!A:J,10,FALSE))</f>
        <v>3.7384259259259259E-3</v>
      </c>
      <c r="N387" s="63"/>
      <c r="O387" s="63"/>
      <c r="P387" s="63"/>
      <c r="Q387" s="63"/>
      <c r="R387" t="s">
        <v>154</v>
      </c>
      <c r="S387" t="s">
        <v>153</v>
      </c>
      <c r="T387" t="s">
        <v>292</v>
      </c>
      <c r="U387" t="s">
        <v>10305</v>
      </c>
      <c r="V387" t="s">
        <v>2478</v>
      </c>
      <c r="Y387" t="s">
        <v>10304</v>
      </c>
      <c r="Z387" t="str">
        <f>"07989 857518"</f>
        <v>07989 857518</v>
      </c>
      <c r="AA387" t="str">
        <f>""</f>
        <v/>
      </c>
      <c r="AB387" t="s">
        <v>1058</v>
      </c>
      <c r="AC387" t="s">
        <v>10303</v>
      </c>
      <c r="AD387" t="s">
        <v>114</v>
      </c>
      <c r="AE387" s="63">
        <v>45280</v>
      </c>
      <c r="AF387" t="s">
        <v>156</v>
      </c>
      <c r="AG387" t="s">
        <v>112</v>
      </c>
      <c r="AH387" t="s">
        <v>111</v>
      </c>
      <c r="AI387" s="63">
        <v>42005</v>
      </c>
      <c r="AJ387" s="63">
        <v>45657</v>
      </c>
      <c r="AK387" t="s">
        <v>111</v>
      </c>
      <c r="AL387" t="s">
        <v>111</v>
      </c>
      <c r="AM387" t="s">
        <v>111</v>
      </c>
      <c r="AN387">
        <v>825</v>
      </c>
      <c r="AO387" t="s">
        <v>110</v>
      </c>
      <c r="AP387" t="s">
        <v>109</v>
      </c>
    </row>
    <row r="388" spans="1:42" x14ac:dyDescent="0.25">
      <c r="A388" s="28" t="str">
        <f>"13058"</f>
        <v>13058</v>
      </c>
      <c r="B388">
        <v>13058</v>
      </c>
      <c r="C388" t="s">
        <v>2488</v>
      </c>
      <c r="D388" t="s">
        <v>121</v>
      </c>
      <c r="F388" t="s">
        <v>120</v>
      </c>
      <c r="G388" t="s">
        <v>481</v>
      </c>
      <c r="I388" t="s">
        <v>10302</v>
      </c>
      <c r="J388" t="s">
        <v>7</v>
      </c>
      <c r="K388" s="63">
        <v>22766</v>
      </c>
      <c r="L388" s="28">
        <f>DATEDIF(K388,Zwift25!G$1,"Y")</f>
        <v>62</v>
      </c>
      <c r="M388" s="67">
        <f>IF(J388="m",VLOOKUP(L388,'All Solo Adjustments'!A:D,4,FALSE),VLOOKUP(L388,'All Solo Adjustments'!A:J,10,FALSE))</f>
        <v>3.7384259259259259E-3</v>
      </c>
      <c r="N388" s="63"/>
      <c r="O388" s="63"/>
      <c r="P388" s="63"/>
      <c r="Q388" s="63"/>
      <c r="R388" t="s">
        <v>184</v>
      </c>
      <c r="S388" t="s">
        <v>183</v>
      </c>
      <c r="T388" t="s">
        <v>292</v>
      </c>
      <c r="U388" t="s">
        <v>10301</v>
      </c>
      <c r="V388" t="s">
        <v>1035</v>
      </c>
      <c r="W388" t="s">
        <v>1035</v>
      </c>
      <c r="X388" t="s">
        <v>1034</v>
      </c>
      <c r="Y388" t="s">
        <v>10300</v>
      </c>
      <c r="Z388" t="str">
        <f>"07767272567"</f>
        <v>07767272567</v>
      </c>
      <c r="AA388" t="str">
        <f>""</f>
        <v/>
      </c>
      <c r="AB388" t="s">
        <v>7175</v>
      </c>
      <c r="AC388" t="s">
        <v>10299</v>
      </c>
      <c r="AD388" t="s">
        <v>114</v>
      </c>
      <c r="AE388" s="63">
        <v>45262</v>
      </c>
      <c r="AF388" t="s">
        <v>156</v>
      </c>
      <c r="AG388" t="s">
        <v>111</v>
      </c>
      <c r="AH388" t="s">
        <v>111</v>
      </c>
      <c r="AI388" s="63">
        <v>43236</v>
      </c>
      <c r="AJ388" s="63">
        <v>45657</v>
      </c>
      <c r="AK388" t="s">
        <v>112</v>
      </c>
      <c r="AL388" t="s">
        <v>111</v>
      </c>
      <c r="AM388" t="s">
        <v>111</v>
      </c>
      <c r="AN388">
        <v>19782</v>
      </c>
      <c r="AO388" t="s">
        <v>110</v>
      </c>
      <c r="AP388" t="s">
        <v>109</v>
      </c>
    </row>
    <row r="389" spans="1:42" x14ac:dyDescent="0.25">
      <c r="A389" s="28" t="str">
        <f>"14562"</f>
        <v>14562</v>
      </c>
      <c r="B389">
        <v>14562</v>
      </c>
      <c r="C389" t="s">
        <v>2488</v>
      </c>
      <c r="D389" t="s">
        <v>121</v>
      </c>
      <c r="E389" t="s">
        <v>584</v>
      </c>
      <c r="F389" t="s">
        <v>120</v>
      </c>
      <c r="G389" t="s">
        <v>230</v>
      </c>
      <c r="H389" t="s">
        <v>410</v>
      </c>
      <c r="I389" t="s">
        <v>10298</v>
      </c>
      <c r="J389" t="s">
        <v>7</v>
      </c>
      <c r="K389" s="63">
        <v>27747</v>
      </c>
      <c r="L389" s="28">
        <f>DATEDIF(K389,Zwift25!G$1,"Y")</f>
        <v>48</v>
      </c>
      <c r="M389" s="67">
        <f>IF(J389="m",VLOOKUP(L389,'All Solo Adjustments'!A:D,4,FALSE),VLOOKUP(L389,'All Solo Adjustments'!A:J,10,FALSE))</f>
        <v>8.3333333333333339E-4</v>
      </c>
      <c r="N389" s="63"/>
      <c r="O389" s="63"/>
      <c r="P389" s="63"/>
      <c r="Q389" s="63"/>
      <c r="R389" t="s">
        <v>283</v>
      </c>
      <c r="S389" t="s">
        <v>530</v>
      </c>
      <c r="T389" t="s">
        <v>292</v>
      </c>
      <c r="U389" t="s">
        <v>10297</v>
      </c>
      <c r="V389" t="s">
        <v>10296</v>
      </c>
      <c r="W389" t="s">
        <v>10295</v>
      </c>
      <c r="X389" t="s">
        <v>1306</v>
      </c>
      <c r="Y389" t="s">
        <v>10294</v>
      </c>
      <c r="Z389" t="str">
        <f>"07599265430"</f>
        <v>07599265430</v>
      </c>
      <c r="AA389" t="str">
        <f>"01386793228"</f>
        <v>01386793228</v>
      </c>
      <c r="AB389" t="s">
        <v>10293</v>
      </c>
      <c r="AC389" t="s">
        <v>10292</v>
      </c>
      <c r="AD389" t="s">
        <v>114</v>
      </c>
      <c r="AE389" s="63">
        <v>45287</v>
      </c>
      <c r="AF389" t="s">
        <v>113</v>
      </c>
      <c r="AG389" t="s">
        <v>112</v>
      </c>
      <c r="AH389" t="s">
        <v>112</v>
      </c>
      <c r="AI389" s="63">
        <v>43996</v>
      </c>
      <c r="AJ389" s="63">
        <v>45657</v>
      </c>
      <c r="AK389" t="s">
        <v>112</v>
      </c>
      <c r="AL389" t="s">
        <v>111</v>
      </c>
      <c r="AM389" t="s">
        <v>111</v>
      </c>
      <c r="AN389">
        <v>34039</v>
      </c>
      <c r="AO389" t="s">
        <v>110</v>
      </c>
      <c r="AP389" t="s">
        <v>109</v>
      </c>
    </row>
    <row r="390" spans="1:42" x14ac:dyDescent="0.25">
      <c r="A390" s="28" t="str">
        <f>"0512"</f>
        <v>0512</v>
      </c>
      <c r="B390">
        <v>512</v>
      </c>
      <c r="C390" t="s">
        <v>2488</v>
      </c>
      <c r="D390" t="s">
        <v>121</v>
      </c>
      <c r="F390" t="s">
        <v>120</v>
      </c>
      <c r="G390" t="s">
        <v>481</v>
      </c>
      <c r="I390" t="s">
        <v>10291</v>
      </c>
      <c r="J390" t="s">
        <v>7</v>
      </c>
      <c r="K390" s="63">
        <v>13860</v>
      </c>
      <c r="L390" s="28">
        <f>DATEDIF(K390,Zwift25!G$1,"Y")</f>
        <v>86</v>
      </c>
      <c r="M390" s="67">
        <f>IF(J390="m",VLOOKUP(L390,'All Solo Adjustments'!A:D,4,FALSE),VLOOKUP(L390,'All Solo Adjustments'!A:J,10,FALSE))</f>
        <v>1.4988425925925926E-2</v>
      </c>
      <c r="N390" s="63"/>
      <c r="O390" s="63"/>
      <c r="P390" s="63"/>
      <c r="Q390" s="63"/>
      <c r="R390" t="s">
        <v>137</v>
      </c>
      <c r="S390" t="s">
        <v>2312</v>
      </c>
      <c r="T390" t="s">
        <v>292</v>
      </c>
      <c r="U390" t="s">
        <v>10290</v>
      </c>
      <c r="V390" t="s">
        <v>10289</v>
      </c>
      <c r="W390" t="s">
        <v>10288</v>
      </c>
      <c r="X390" t="s">
        <v>10287</v>
      </c>
      <c r="Y390" t="s">
        <v>10286</v>
      </c>
      <c r="Z390" t="str">
        <f>"01258 861805"</f>
        <v>01258 861805</v>
      </c>
      <c r="AA390" t="str">
        <f>""</f>
        <v/>
      </c>
      <c r="AB390" t="s">
        <v>10285</v>
      </c>
      <c r="AD390" t="s">
        <v>151</v>
      </c>
      <c r="AF390" t="s">
        <v>113</v>
      </c>
      <c r="AG390" t="s">
        <v>112</v>
      </c>
      <c r="AH390" t="s">
        <v>112</v>
      </c>
      <c r="AI390" s="63">
        <v>32582</v>
      </c>
      <c r="AK390" t="s">
        <v>111</v>
      </c>
      <c r="AL390" t="s">
        <v>111</v>
      </c>
      <c r="AM390" t="s">
        <v>111</v>
      </c>
      <c r="AN390" t="s">
        <v>105</v>
      </c>
      <c r="AO390" t="s">
        <v>110</v>
      </c>
      <c r="AP390" t="s">
        <v>109</v>
      </c>
    </row>
    <row r="391" spans="1:42" x14ac:dyDescent="0.25">
      <c r="A391" s="28" t="str">
        <f>"15556"</f>
        <v>15556</v>
      </c>
      <c r="B391">
        <v>15556</v>
      </c>
      <c r="C391" t="s">
        <v>2488</v>
      </c>
      <c r="D391" t="s">
        <v>121</v>
      </c>
      <c r="F391" t="s">
        <v>120</v>
      </c>
      <c r="G391" t="s">
        <v>10284</v>
      </c>
      <c r="I391" t="s">
        <v>10283</v>
      </c>
      <c r="J391" t="s">
        <v>7</v>
      </c>
      <c r="K391" s="63">
        <v>24141</v>
      </c>
      <c r="L391" s="28">
        <f>DATEDIF(K391,Zwift25!G$1,"Y")</f>
        <v>58</v>
      </c>
      <c r="M391" s="67">
        <f>IF(J391="m",VLOOKUP(L391,'All Solo Adjustments'!A:D,4,FALSE),VLOOKUP(L391,'All Solo Adjustments'!A:J,10,FALSE))</f>
        <v>2.7199074074074074E-3</v>
      </c>
      <c r="N391" s="63"/>
      <c r="O391" s="63"/>
      <c r="P391" s="63"/>
      <c r="Q391" s="63"/>
      <c r="R391" t="s">
        <v>239</v>
      </c>
      <c r="S391" t="s">
        <v>274</v>
      </c>
      <c r="T391" t="s">
        <v>292</v>
      </c>
      <c r="U391" t="s">
        <v>10282</v>
      </c>
      <c r="V391" t="s">
        <v>919</v>
      </c>
      <c r="W391" t="s">
        <v>2058</v>
      </c>
      <c r="X391" t="s">
        <v>960</v>
      </c>
      <c r="Y391" t="s">
        <v>10281</v>
      </c>
      <c r="Z391" t="str">
        <f>"07973828664"</f>
        <v>07973828664</v>
      </c>
      <c r="AA391" t="str">
        <f>""</f>
        <v/>
      </c>
      <c r="AB391" t="s">
        <v>2536</v>
      </c>
      <c r="AC391" t="s">
        <v>10280</v>
      </c>
      <c r="AD391" t="s">
        <v>114</v>
      </c>
      <c r="AE391" s="63">
        <v>45263</v>
      </c>
      <c r="AF391" t="s">
        <v>156</v>
      </c>
      <c r="AG391" t="s">
        <v>112</v>
      </c>
      <c r="AH391" t="s">
        <v>112</v>
      </c>
      <c r="AI391" s="63">
        <v>44748</v>
      </c>
      <c r="AJ391" s="63">
        <v>45657</v>
      </c>
      <c r="AK391" t="s">
        <v>112</v>
      </c>
      <c r="AL391" t="s">
        <v>111</v>
      </c>
      <c r="AM391" t="s">
        <v>111</v>
      </c>
      <c r="AN391">
        <v>3684</v>
      </c>
      <c r="AO391" t="s">
        <v>110</v>
      </c>
      <c r="AP391" t="s">
        <v>109</v>
      </c>
    </row>
    <row r="392" spans="1:42" x14ac:dyDescent="0.25">
      <c r="A392" s="28" t="str">
        <f>"0514"</f>
        <v>0514</v>
      </c>
      <c r="B392">
        <v>514</v>
      </c>
      <c r="C392" t="s">
        <v>2488</v>
      </c>
      <c r="D392" t="s">
        <v>121</v>
      </c>
      <c r="F392" t="s">
        <v>120</v>
      </c>
      <c r="G392" t="s">
        <v>284</v>
      </c>
      <c r="I392" t="s">
        <v>10277</v>
      </c>
      <c r="J392" t="s">
        <v>7</v>
      </c>
      <c r="K392" s="63">
        <v>17800</v>
      </c>
      <c r="L392" s="28">
        <f>DATEDIF(K392,Zwift25!G$1,"Y")</f>
        <v>76</v>
      </c>
      <c r="M392" s="67">
        <f>IF(J392="m",VLOOKUP(L392,'All Solo Adjustments'!A:D,4,FALSE),VLOOKUP(L392,'All Solo Adjustments'!A:J,10,FALSE))</f>
        <v>8.912037037037036E-3</v>
      </c>
      <c r="N392" s="63"/>
      <c r="O392" s="63"/>
      <c r="P392" s="63"/>
      <c r="Q392" s="63"/>
      <c r="R392" t="s">
        <v>118</v>
      </c>
      <c r="S392" t="s">
        <v>117</v>
      </c>
      <c r="T392" t="s">
        <v>292</v>
      </c>
      <c r="U392" t="s">
        <v>10279</v>
      </c>
      <c r="V392" t="s">
        <v>547</v>
      </c>
      <c r="Y392" t="s">
        <v>10278</v>
      </c>
      <c r="Z392" t="str">
        <f>"0114 2377812"</f>
        <v>0114 2377812</v>
      </c>
      <c r="AA392" t="str">
        <f>""</f>
        <v/>
      </c>
      <c r="AB392" t="s">
        <v>1745</v>
      </c>
      <c r="AD392" t="s">
        <v>145</v>
      </c>
      <c r="AE392" s="63">
        <v>45315</v>
      </c>
      <c r="AF392" t="s">
        <v>113</v>
      </c>
      <c r="AG392" t="s">
        <v>112</v>
      </c>
      <c r="AH392" t="s">
        <v>112</v>
      </c>
      <c r="AI392" s="63">
        <v>35431</v>
      </c>
      <c r="AJ392" s="63">
        <v>45657</v>
      </c>
      <c r="AK392" t="s">
        <v>111</v>
      </c>
      <c r="AL392" t="s">
        <v>112</v>
      </c>
      <c r="AM392" t="s">
        <v>112</v>
      </c>
      <c r="AN392" t="s">
        <v>105</v>
      </c>
      <c r="AO392" t="s">
        <v>110</v>
      </c>
      <c r="AP392" t="s">
        <v>109</v>
      </c>
    </row>
    <row r="393" spans="1:42" x14ac:dyDescent="0.25">
      <c r="A393" s="28" t="str">
        <f>"12742"</f>
        <v>12742</v>
      </c>
      <c r="B393">
        <v>12742</v>
      </c>
      <c r="C393" t="s">
        <v>2488</v>
      </c>
      <c r="D393" t="s">
        <v>121</v>
      </c>
      <c r="F393" t="s">
        <v>120</v>
      </c>
      <c r="G393" t="s">
        <v>481</v>
      </c>
      <c r="I393" t="s">
        <v>10277</v>
      </c>
      <c r="J393" t="s">
        <v>7</v>
      </c>
      <c r="K393" s="63">
        <v>17800</v>
      </c>
      <c r="L393" s="28">
        <f>DATEDIF(K393,Zwift25!G$1,"Y")</f>
        <v>76</v>
      </c>
      <c r="M393" s="67">
        <f>IF(J393="m",VLOOKUP(L393,'All Solo Adjustments'!A:D,4,FALSE),VLOOKUP(L393,'All Solo Adjustments'!A:J,10,FALSE))</f>
        <v>8.912037037037036E-3</v>
      </c>
      <c r="N393" s="63"/>
      <c r="O393" s="63"/>
      <c r="P393" s="63"/>
      <c r="Q393" s="63"/>
      <c r="R393" t="s">
        <v>118</v>
      </c>
      <c r="S393" t="s">
        <v>117</v>
      </c>
      <c r="T393" t="s">
        <v>292</v>
      </c>
      <c r="U393" t="s">
        <v>10276</v>
      </c>
      <c r="V393" t="s">
        <v>10275</v>
      </c>
      <c r="W393" t="s">
        <v>547</v>
      </c>
      <c r="Y393" t="s">
        <v>10274</v>
      </c>
      <c r="Z393" t="str">
        <f>"01909 568619"</f>
        <v>01909 568619</v>
      </c>
      <c r="AA393" t="str">
        <f>""</f>
        <v/>
      </c>
      <c r="AB393" t="s">
        <v>1745</v>
      </c>
      <c r="AD393" t="s">
        <v>145</v>
      </c>
      <c r="AE393" s="63">
        <v>45295</v>
      </c>
      <c r="AF393" t="s">
        <v>113</v>
      </c>
      <c r="AG393" t="s">
        <v>112</v>
      </c>
      <c r="AH393" t="s">
        <v>112</v>
      </c>
      <c r="AI393" s="63">
        <v>35431</v>
      </c>
      <c r="AJ393" s="63">
        <v>45657</v>
      </c>
      <c r="AK393" t="s">
        <v>111</v>
      </c>
      <c r="AL393" t="s">
        <v>112</v>
      </c>
      <c r="AM393" t="s">
        <v>112</v>
      </c>
      <c r="AN393" t="s">
        <v>105</v>
      </c>
      <c r="AO393" t="s">
        <v>110</v>
      </c>
      <c r="AP393" t="s">
        <v>109</v>
      </c>
    </row>
    <row r="394" spans="1:42" x14ac:dyDescent="0.25">
      <c r="A394" s="28" t="str">
        <f>"12495"</f>
        <v>12495</v>
      </c>
      <c r="B394">
        <v>12495</v>
      </c>
      <c r="C394" t="s">
        <v>2488</v>
      </c>
      <c r="D394" t="s">
        <v>121</v>
      </c>
      <c r="F394" t="s">
        <v>120</v>
      </c>
      <c r="G394" t="s">
        <v>195</v>
      </c>
      <c r="I394" t="s">
        <v>10273</v>
      </c>
      <c r="J394" t="s">
        <v>7</v>
      </c>
      <c r="K394" s="63">
        <v>17472</v>
      </c>
      <c r="L394" s="28">
        <f>DATEDIF(K394,Zwift25!G$1,"Y")</f>
        <v>76</v>
      </c>
      <c r="M394" s="67">
        <f>IF(J394="m",VLOOKUP(L394,'All Solo Adjustments'!A:D,4,FALSE),VLOOKUP(L394,'All Solo Adjustments'!A:J,10,FALSE))</f>
        <v>8.912037037037036E-3</v>
      </c>
      <c r="N394" s="63"/>
      <c r="O394" s="63"/>
      <c r="P394" s="63"/>
      <c r="Q394" s="63"/>
      <c r="R394" t="s">
        <v>159</v>
      </c>
      <c r="S394" t="s">
        <v>162</v>
      </c>
      <c r="T394" t="s">
        <v>292</v>
      </c>
      <c r="U394" t="s">
        <v>10272</v>
      </c>
      <c r="V394" t="s">
        <v>10271</v>
      </c>
      <c r="W394" t="s">
        <v>3392</v>
      </c>
      <c r="X394" t="s">
        <v>159</v>
      </c>
      <c r="Y394" t="s">
        <v>10270</v>
      </c>
      <c r="Z394" t="str">
        <f>"01474 814475"</f>
        <v>01474 814475</v>
      </c>
      <c r="AA394" t="str">
        <f>""</f>
        <v/>
      </c>
      <c r="AB394" t="s">
        <v>2342</v>
      </c>
      <c r="AC394" t="s">
        <v>10269</v>
      </c>
      <c r="AD394" t="s">
        <v>114</v>
      </c>
      <c r="AE394" s="63">
        <v>45237</v>
      </c>
      <c r="AF394" t="s">
        <v>113</v>
      </c>
      <c r="AG394" t="s">
        <v>112</v>
      </c>
      <c r="AH394" t="s">
        <v>112</v>
      </c>
      <c r="AI394" s="63">
        <v>43532</v>
      </c>
      <c r="AJ394" s="63">
        <v>45657</v>
      </c>
      <c r="AK394" t="s">
        <v>111</v>
      </c>
      <c r="AL394" t="s">
        <v>111</v>
      </c>
      <c r="AM394" t="s">
        <v>111</v>
      </c>
      <c r="AN394">
        <v>23875</v>
      </c>
      <c r="AO394" t="s">
        <v>110</v>
      </c>
      <c r="AP394" t="s">
        <v>109</v>
      </c>
    </row>
    <row r="395" spans="1:42" x14ac:dyDescent="0.25">
      <c r="A395" s="28" t="str">
        <f>"15884"</f>
        <v>15884</v>
      </c>
      <c r="B395">
        <v>15884</v>
      </c>
      <c r="C395" t="s">
        <v>2488</v>
      </c>
      <c r="D395" t="s">
        <v>121</v>
      </c>
      <c r="E395" t="s">
        <v>584</v>
      </c>
      <c r="F395" t="s">
        <v>120</v>
      </c>
      <c r="G395" t="s">
        <v>220</v>
      </c>
      <c r="H395" t="s">
        <v>10268</v>
      </c>
      <c r="I395" t="s">
        <v>10267</v>
      </c>
      <c r="J395" t="s">
        <v>7</v>
      </c>
      <c r="K395" s="63">
        <v>22877</v>
      </c>
      <c r="L395" s="28">
        <f>DATEDIF(K395,Zwift25!G$1,"Y")</f>
        <v>62</v>
      </c>
      <c r="M395" s="67">
        <f>IF(J395="m",VLOOKUP(L395,'All Solo Adjustments'!A:D,4,FALSE),VLOOKUP(L395,'All Solo Adjustments'!A:J,10,FALSE))</f>
        <v>3.7384259259259259E-3</v>
      </c>
      <c r="N395" s="63"/>
      <c r="O395" s="63"/>
      <c r="P395" s="63"/>
      <c r="Q395" s="63"/>
      <c r="R395" t="s">
        <v>283</v>
      </c>
      <c r="S395" t="s">
        <v>530</v>
      </c>
      <c r="T395" t="s">
        <v>292</v>
      </c>
      <c r="U395" t="s">
        <v>10266</v>
      </c>
      <c r="V395" t="s">
        <v>10265</v>
      </c>
      <c r="W395" t="s">
        <v>1346</v>
      </c>
      <c r="Y395" t="s">
        <v>10264</v>
      </c>
      <c r="Z395" t="str">
        <f>"07931909253"</f>
        <v>07931909253</v>
      </c>
      <c r="AA395" t="str">
        <f>""</f>
        <v/>
      </c>
      <c r="AB395" t="s">
        <v>10263</v>
      </c>
      <c r="AC395" t="s">
        <v>10262</v>
      </c>
      <c r="AD395" t="s">
        <v>114</v>
      </c>
      <c r="AE395" s="63">
        <v>45258</v>
      </c>
      <c r="AF395" t="s">
        <v>156</v>
      </c>
      <c r="AG395" t="s">
        <v>112</v>
      </c>
      <c r="AH395" t="s">
        <v>112</v>
      </c>
      <c r="AI395" s="63">
        <v>45117</v>
      </c>
      <c r="AJ395" s="63">
        <v>45657</v>
      </c>
      <c r="AK395" t="s">
        <v>112</v>
      </c>
      <c r="AL395" t="s">
        <v>111</v>
      </c>
      <c r="AM395" t="s">
        <v>111</v>
      </c>
      <c r="AN395">
        <v>46354</v>
      </c>
      <c r="AO395" t="s">
        <v>110</v>
      </c>
      <c r="AP395" t="s">
        <v>109</v>
      </c>
    </row>
    <row r="396" spans="1:42" x14ac:dyDescent="0.25">
      <c r="A396" s="28" t="str">
        <f>"14172"</f>
        <v>14172</v>
      </c>
      <c r="B396">
        <v>14172</v>
      </c>
      <c r="C396" t="s">
        <v>2488</v>
      </c>
      <c r="D396" t="s">
        <v>121</v>
      </c>
      <c r="E396" t="s">
        <v>584</v>
      </c>
      <c r="F396" t="s">
        <v>149</v>
      </c>
      <c r="G396" t="s">
        <v>10261</v>
      </c>
      <c r="H396" t="s">
        <v>1096</v>
      </c>
      <c r="I396" t="s">
        <v>2452</v>
      </c>
      <c r="J396" t="s">
        <v>126</v>
      </c>
      <c r="K396" s="63">
        <v>23526</v>
      </c>
      <c r="L396" s="28">
        <f>DATEDIF(K396,Zwift25!G$1,"Y")</f>
        <v>60</v>
      </c>
      <c r="M396" s="67">
        <f>IF(J396="m",VLOOKUP(L396,'All Solo Adjustments'!A:D,4,FALSE),VLOOKUP(L396,'All Solo Adjustments'!A:J,10,FALSE))</f>
        <v>6.898148148148148E-3</v>
      </c>
      <c r="N396" s="63"/>
      <c r="O396" s="63"/>
      <c r="P396" s="63"/>
      <c r="Q396" s="63"/>
      <c r="R396" t="s">
        <v>184</v>
      </c>
      <c r="S396" t="s">
        <v>183</v>
      </c>
      <c r="T396" t="s">
        <v>292</v>
      </c>
      <c r="U396" t="s">
        <v>10260</v>
      </c>
      <c r="V396" t="s">
        <v>10259</v>
      </c>
      <c r="W396" t="s">
        <v>347</v>
      </c>
      <c r="Y396" t="s">
        <v>10258</v>
      </c>
      <c r="Z396" t="str">
        <f>"07779809462"</f>
        <v>07779809462</v>
      </c>
      <c r="AA396" t="str">
        <f>""</f>
        <v/>
      </c>
      <c r="AB396" t="s">
        <v>10257</v>
      </c>
      <c r="AC396" t="s">
        <v>10256</v>
      </c>
      <c r="AD396" t="s">
        <v>114</v>
      </c>
      <c r="AE396" s="63">
        <v>45363</v>
      </c>
      <c r="AF396" t="s">
        <v>156</v>
      </c>
      <c r="AG396" t="s">
        <v>112</v>
      </c>
      <c r="AH396" t="s">
        <v>112</v>
      </c>
      <c r="AI396" s="63">
        <v>43567</v>
      </c>
      <c r="AJ396" s="63">
        <v>45657</v>
      </c>
      <c r="AK396" t="s">
        <v>112</v>
      </c>
      <c r="AL396" t="s">
        <v>111</v>
      </c>
      <c r="AM396" t="s">
        <v>111</v>
      </c>
      <c r="AN396">
        <v>11319</v>
      </c>
      <c r="AO396" t="s">
        <v>122</v>
      </c>
      <c r="AP396" t="s">
        <v>122</v>
      </c>
    </row>
    <row r="397" spans="1:42" x14ac:dyDescent="0.25">
      <c r="A397" s="28" t="str">
        <f>"5871"</f>
        <v>5871</v>
      </c>
      <c r="B397">
        <v>5871</v>
      </c>
      <c r="C397" t="s">
        <v>2488</v>
      </c>
      <c r="D397" t="s">
        <v>121</v>
      </c>
      <c r="F397" t="s">
        <v>120</v>
      </c>
      <c r="G397" t="s">
        <v>1252</v>
      </c>
      <c r="I397" t="s">
        <v>1976</v>
      </c>
      <c r="J397" t="s">
        <v>7</v>
      </c>
      <c r="K397" s="63">
        <v>20083</v>
      </c>
      <c r="L397" s="28">
        <f>DATEDIF(K397,Zwift25!G$1,"Y")</f>
        <v>69</v>
      </c>
      <c r="M397" s="67">
        <f>IF(J397="m",VLOOKUP(L397,'All Solo Adjustments'!A:D,4,FALSE),VLOOKUP(L397,'All Solo Adjustments'!A:J,10,FALSE))</f>
        <v>5.9722222222222225E-3</v>
      </c>
      <c r="N397" s="63"/>
      <c r="O397" s="63"/>
      <c r="P397" s="63"/>
      <c r="Q397" s="63"/>
      <c r="R397" t="s">
        <v>296</v>
      </c>
      <c r="S397" t="s">
        <v>295</v>
      </c>
      <c r="T397" t="s">
        <v>292</v>
      </c>
      <c r="U397" t="s">
        <v>10255</v>
      </c>
      <c r="V397" t="s">
        <v>10254</v>
      </c>
      <c r="W397" t="s">
        <v>804</v>
      </c>
      <c r="Y397" t="s">
        <v>10253</v>
      </c>
      <c r="Z397" t="str">
        <f>"0141 637 1870"</f>
        <v>0141 637 1870</v>
      </c>
      <c r="AA397" t="str">
        <f>"07742914382"</f>
        <v>07742914382</v>
      </c>
      <c r="AC397" t="s">
        <v>10252</v>
      </c>
      <c r="AD397" t="s">
        <v>114</v>
      </c>
      <c r="AE397" s="63">
        <v>45345</v>
      </c>
      <c r="AF397" t="s">
        <v>156</v>
      </c>
      <c r="AG397" t="s">
        <v>112</v>
      </c>
      <c r="AH397" t="s">
        <v>112</v>
      </c>
      <c r="AI397" s="63">
        <v>42497</v>
      </c>
      <c r="AJ397" s="63">
        <v>45657</v>
      </c>
      <c r="AK397" t="s">
        <v>111</v>
      </c>
      <c r="AL397" t="s">
        <v>111</v>
      </c>
      <c r="AM397" t="s">
        <v>111</v>
      </c>
      <c r="AN397" t="s">
        <v>105</v>
      </c>
      <c r="AO397" t="s">
        <v>110</v>
      </c>
      <c r="AP397" t="s">
        <v>109</v>
      </c>
    </row>
    <row r="398" spans="1:42" x14ac:dyDescent="0.25">
      <c r="A398" s="28" t="str">
        <f>"0524"</f>
        <v>0524</v>
      </c>
      <c r="B398">
        <v>524</v>
      </c>
      <c r="C398" t="s">
        <v>2488</v>
      </c>
      <c r="D398" t="s">
        <v>121</v>
      </c>
      <c r="F398" t="s">
        <v>120</v>
      </c>
      <c r="G398" t="s">
        <v>783</v>
      </c>
      <c r="I398" t="s">
        <v>10251</v>
      </c>
      <c r="J398" t="s">
        <v>7</v>
      </c>
      <c r="K398" s="63">
        <v>12807</v>
      </c>
      <c r="L398" s="28">
        <f>DATEDIF(K398,Zwift25!G$1,"Y")</f>
        <v>89</v>
      </c>
      <c r="M398" s="67">
        <f>IF(J398="m",VLOOKUP(L398,'All Solo Adjustments'!A:D,4,FALSE),VLOOKUP(L398,'All Solo Adjustments'!A:J,10,FALSE))</f>
        <v>1.7465277777777777E-2</v>
      </c>
      <c r="N398" s="63"/>
      <c r="O398" s="63"/>
      <c r="P398" s="63"/>
      <c r="Q398" s="63"/>
      <c r="R398" t="s">
        <v>239</v>
      </c>
      <c r="S398" t="s">
        <v>437</v>
      </c>
      <c r="T398" t="s">
        <v>292</v>
      </c>
      <c r="U398" t="s">
        <v>10250</v>
      </c>
      <c r="V398" t="s">
        <v>10249</v>
      </c>
      <c r="W398" t="s">
        <v>10248</v>
      </c>
      <c r="X398" t="s">
        <v>627</v>
      </c>
      <c r="Y398" t="s">
        <v>10247</v>
      </c>
      <c r="Z398" t="str">
        <f>"00000 000000"</f>
        <v>00000 000000</v>
      </c>
      <c r="AA398" t="str">
        <f>"00000 000000"</f>
        <v>00000 000000</v>
      </c>
      <c r="AB398" t="s">
        <v>4188</v>
      </c>
      <c r="AC398" t="s">
        <v>10246</v>
      </c>
      <c r="AD398" t="s">
        <v>151</v>
      </c>
      <c r="AF398" t="s">
        <v>113</v>
      </c>
      <c r="AG398" t="s">
        <v>112</v>
      </c>
      <c r="AH398" t="s">
        <v>112</v>
      </c>
      <c r="AI398" s="63">
        <v>27515</v>
      </c>
      <c r="AK398" t="s">
        <v>111</v>
      </c>
      <c r="AL398" t="s">
        <v>111</v>
      </c>
      <c r="AM398" t="s">
        <v>111</v>
      </c>
      <c r="AN398" t="s">
        <v>105</v>
      </c>
      <c r="AO398" t="s">
        <v>110</v>
      </c>
      <c r="AP398" t="s">
        <v>109</v>
      </c>
    </row>
    <row r="399" spans="1:42" x14ac:dyDescent="0.25">
      <c r="A399" s="28" t="str">
        <f>"4905"</f>
        <v>4905</v>
      </c>
      <c r="B399">
        <v>4905</v>
      </c>
      <c r="C399" t="s">
        <v>2488</v>
      </c>
      <c r="D399" t="s">
        <v>121</v>
      </c>
      <c r="E399" t="s">
        <v>584</v>
      </c>
      <c r="F399" t="s">
        <v>120</v>
      </c>
      <c r="G399" t="s">
        <v>1202</v>
      </c>
      <c r="H399" t="s">
        <v>10245</v>
      </c>
      <c r="I399" t="s">
        <v>2451</v>
      </c>
      <c r="J399" t="s">
        <v>7</v>
      </c>
      <c r="K399" s="63">
        <v>17446</v>
      </c>
      <c r="L399" s="28">
        <f>DATEDIF(K399,Zwift25!G$1,"Y")</f>
        <v>77</v>
      </c>
      <c r="M399" s="67">
        <f>IF(J399="m",VLOOKUP(L399,'All Solo Adjustments'!A:D,4,FALSE),VLOOKUP(L399,'All Solo Adjustments'!A:J,10,FALSE))</f>
        <v>9.3981481481481485E-3</v>
      </c>
      <c r="N399" s="63"/>
      <c r="O399" s="63"/>
      <c r="P399" s="63"/>
      <c r="Q399" s="63"/>
      <c r="R399" t="s">
        <v>213</v>
      </c>
      <c r="S399" t="s">
        <v>212</v>
      </c>
      <c r="T399" t="s">
        <v>292</v>
      </c>
      <c r="U399" t="s">
        <v>10244</v>
      </c>
      <c r="V399" t="s">
        <v>2321</v>
      </c>
      <c r="W399" t="s">
        <v>211</v>
      </c>
      <c r="Y399" t="s">
        <v>10243</v>
      </c>
      <c r="Z399" t="str">
        <f>"01244 401200"</f>
        <v>01244 401200</v>
      </c>
      <c r="AA399" t="str">
        <f>""</f>
        <v/>
      </c>
      <c r="AB399" t="s">
        <v>210</v>
      </c>
      <c r="AC399" t="s">
        <v>10242</v>
      </c>
      <c r="AD399" t="s">
        <v>114</v>
      </c>
      <c r="AE399" s="63">
        <v>45275</v>
      </c>
      <c r="AF399" t="s">
        <v>113</v>
      </c>
      <c r="AG399" t="s">
        <v>112</v>
      </c>
      <c r="AH399" t="s">
        <v>112</v>
      </c>
      <c r="AI399" s="63">
        <v>41667</v>
      </c>
      <c r="AJ399" s="63">
        <v>45657</v>
      </c>
      <c r="AK399" t="s">
        <v>111</v>
      </c>
      <c r="AL399" t="s">
        <v>111</v>
      </c>
      <c r="AM399" t="s">
        <v>111</v>
      </c>
      <c r="AN399">
        <v>777</v>
      </c>
      <c r="AO399" t="s">
        <v>110</v>
      </c>
      <c r="AP399" t="s">
        <v>109</v>
      </c>
    </row>
    <row r="400" spans="1:42" x14ac:dyDescent="0.25">
      <c r="A400" s="28" t="str">
        <f>"0531"</f>
        <v>0531</v>
      </c>
      <c r="B400">
        <v>531</v>
      </c>
      <c r="C400" t="s">
        <v>2488</v>
      </c>
      <c r="D400" t="s">
        <v>121</v>
      </c>
      <c r="E400" t="s">
        <v>584</v>
      </c>
      <c r="F400" t="s">
        <v>120</v>
      </c>
      <c r="G400" t="s">
        <v>790</v>
      </c>
      <c r="I400" t="s">
        <v>2104</v>
      </c>
      <c r="J400" t="s">
        <v>7</v>
      </c>
      <c r="K400" s="63">
        <v>19766</v>
      </c>
      <c r="L400" s="28">
        <f>DATEDIF(K400,Zwift25!G$1,"Y")</f>
        <v>70</v>
      </c>
      <c r="M400" s="67">
        <f>IF(J400="m",VLOOKUP(L400,'All Solo Adjustments'!A:D,4,FALSE),VLOOKUP(L400,'All Solo Adjustments'!A:J,10,FALSE))</f>
        <v>6.3425925925925924E-3</v>
      </c>
      <c r="N400" s="63"/>
      <c r="O400" s="63"/>
      <c r="P400" s="63"/>
      <c r="Q400" s="63"/>
      <c r="R400" t="s">
        <v>137</v>
      </c>
      <c r="S400" t="s">
        <v>136</v>
      </c>
      <c r="T400" t="s">
        <v>292</v>
      </c>
      <c r="U400" t="s">
        <v>10241</v>
      </c>
      <c r="W400" t="s">
        <v>509</v>
      </c>
      <c r="X400" t="s">
        <v>152</v>
      </c>
      <c r="Y400" t="s">
        <v>10240</v>
      </c>
      <c r="Z400" t="str">
        <f>""</f>
        <v/>
      </c>
      <c r="AA400" t="str">
        <f>"07717942632"</f>
        <v>07717942632</v>
      </c>
      <c r="AB400" t="s">
        <v>10239</v>
      </c>
      <c r="AC400" t="s">
        <v>10238</v>
      </c>
      <c r="AD400" t="s">
        <v>114</v>
      </c>
      <c r="AE400" s="63">
        <v>45218</v>
      </c>
      <c r="AF400" t="s">
        <v>113</v>
      </c>
      <c r="AG400" t="s">
        <v>112</v>
      </c>
      <c r="AH400" t="s">
        <v>112</v>
      </c>
      <c r="AI400" s="63">
        <v>43421</v>
      </c>
      <c r="AJ400" s="63">
        <v>45657</v>
      </c>
      <c r="AK400" t="s">
        <v>111</v>
      </c>
      <c r="AL400" t="s">
        <v>111</v>
      </c>
      <c r="AM400" t="s">
        <v>111</v>
      </c>
      <c r="AN400">
        <v>623</v>
      </c>
      <c r="AO400" t="s">
        <v>110</v>
      </c>
      <c r="AP400" t="s">
        <v>109</v>
      </c>
    </row>
    <row r="401" spans="1:42" x14ac:dyDescent="0.25">
      <c r="A401" s="28" t="str">
        <f>"3841"</f>
        <v>3841</v>
      </c>
      <c r="B401">
        <v>3841</v>
      </c>
      <c r="C401" t="s">
        <v>2488</v>
      </c>
      <c r="D401" t="s">
        <v>121</v>
      </c>
      <c r="E401" t="s">
        <v>584</v>
      </c>
      <c r="F401" t="s">
        <v>120</v>
      </c>
      <c r="G401" t="s">
        <v>300</v>
      </c>
      <c r="I401" t="s">
        <v>2104</v>
      </c>
      <c r="J401" t="s">
        <v>7</v>
      </c>
      <c r="K401" s="63">
        <v>25499</v>
      </c>
      <c r="L401" s="28">
        <f>DATEDIF(K401,Zwift25!G$1,"Y")</f>
        <v>54</v>
      </c>
      <c r="M401" s="67">
        <f>IF(J401="m",VLOOKUP(L401,'All Solo Adjustments'!A:D,4,FALSE),VLOOKUP(L401,'All Solo Adjustments'!A:J,10,FALSE))</f>
        <v>1.8518518518518517E-3</v>
      </c>
      <c r="N401" s="63"/>
      <c r="O401" s="63"/>
      <c r="P401" s="63"/>
      <c r="Q401" s="63"/>
      <c r="R401" t="s">
        <v>328</v>
      </c>
      <c r="S401" t="s">
        <v>327</v>
      </c>
      <c r="T401" t="s">
        <v>292</v>
      </c>
      <c r="U401" t="s">
        <v>10237</v>
      </c>
      <c r="V401" t="s">
        <v>10236</v>
      </c>
      <c r="W401" t="s">
        <v>325</v>
      </c>
      <c r="Y401" t="s">
        <v>10235</v>
      </c>
      <c r="Z401" t="str">
        <f>"07500 788477"</f>
        <v>07500 788477</v>
      </c>
      <c r="AA401" t="str">
        <f>""</f>
        <v/>
      </c>
      <c r="AB401" t="s">
        <v>10234</v>
      </c>
      <c r="AC401" t="s">
        <v>10233</v>
      </c>
      <c r="AD401" t="s">
        <v>114</v>
      </c>
      <c r="AE401" s="63">
        <v>45386</v>
      </c>
      <c r="AF401" t="s">
        <v>156</v>
      </c>
      <c r="AG401" t="s">
        <v>112</v>
      </c>
      <c r="AH401" t="s">
        <v>112</v>
      </c>
      <c r="AI401" s="63">
        <v>40227</v>
      </c>
      <c r="AJ401" s="63">
        <v>45657</v>
      </c>
      <c r="AK401" t="s">
        <v>111</v>
      </c>
      <c r="AL401" t="s">
        <v>111</v>
      </c>
      <c r="AM401" t="s">
        <v>111</v>
      </c>
      <c r="AN401">
        <v>3492</v>
      </c>
      <c r="AO401" t="s">
        <v>110</v>
      </c>
      <c r="AP401" t="s">
        <v>109</v>
      </c>
    </row>
    <row r="402" spans="1:42" x14ac:dyDescent="0.25">
      <c r="A402" s="28" t="str">
        <f>"5142"</f>
        <v>5142</v>
      </c>
      <c r="B402">
        <v>5142</v>
      </c>
      <c r="C402" t="s">
        <v>2488</v>
      </c>
      <c r="D402" t="s">
        <v>121</v>
      </c>
      <c r="F402" t="s">
        <v>120</v>
      </c>
      <c r="G402" t="s">
        <v>195</v>
      </c>
      <c r="I402" t="s">
        <v>2104</v>
      </c>
      <c r="J402" t="s">
        <v>7</v>
      </c>
      <c r="K402" s="63">
        <v>16712</v>
      </c>
      <c r="L402" s="28">
        <f>DATEDIF(K402,Zwift25!G$1,"Y")</f>
        <v>79</v>
      </c>
      <c r="M402" s="67">
        <f>IF(J402="m",VLOOKUP(L402,'All Solo Adjustments'!A:D,4,FALSE),VLOOKUP(L402,'All Solo Adjustments'!A:J,10,FALSE))</f>
        <v>1.0451388888888889E-2</v>
      </c>
      <c r="N402" s="63"/>
      <c r="O402" s="63"/>
      <c r="P402" s="63"/>
      <c r="Q402" s="63"/>
      <c r="R402" t="s">
        <v>328</v>
      </c>
      <c r="S402" t="s">
        <v>327</v>
      </c>
      <c r="T402" t="s">
        <v>292</v>
      </c>
      <c r="U402" t="s">
        <v>1915</v>
      </c>
      <c r="V402" t="s">
        <v>10232</v>
      </c>
      <c r="W402" t="s">
        <v>10231</v>
      </c>
      <c r="X402" t="s">
        <v>326</v>
      </c>
      <c r="Y402" t="s">
        <v>10230</v>
      </c>
      <c r="Z402" t="str">
        <f>"07747 311622"</f>
        <v>07747 311622</v>
      </c>
      <c r="AA402" t="str">
        <f>""</f>
        <v/>
      </c>
      <c r="AB402" t="s">
        <v>1146</v>
      </c>
      <c r="AC402" t="s">
        <v>10229</v>
      </c>
      <c r="AD402" t="s">
        <v>114</v>
      </c>
      <c r="AE402" s="63">
        <v>45398</v>
      </c>
      <c r="AF402" t="s">
        <v>156</v>
      </c>
      <c r="AG402" t="s">
        <v>112</v>
      </c>
      <c r="AH402" t="s">
        <v>112</v>
      </c>
      <c r="AI402" s="63">
        <v>41880</v>
      </c>
      <c r="AJ402" s="63">
        <v>45657</v>
      </c>
      <c r="AK402" t="s">
        <v>111</v>
      </c>
      <c r="AL402" t="s">
        <v>111</v>
      </c>
      <c r="AM402" t="s">
        <v>111</v>
      </c>
      <c r="AN402" t="s">
        <v>105</v>
      </c>
      <c r="AO402" t="s">
        <v>110</v>
      </c>
      <c r="AP402" t="s">
        <v>109</v>
      </c>
    </row>
    <row r="403" spans="1:42" x14ac:dyDescent="0.25">
      <c r="A403" s="28" t="str">
        <f>"15710"</f>
        <v>15710</v>
      </c>
      <c r="B403">
        <v>15710</v>
      </c>
      <c r="C403" t="s">
        <v>2488</v>
      </c>
      <c r="D403" t="s">
        <v>121</v>
      </c>
      <c r="E403" t="s">
        <v>584</v>
      </c>
      <c r="F403" t="s">
        <v>120</v>
      </c>
      <c r="G403" t="s">
        <v>783</v>
      </c>
      <c r="I403" t="s">
        <v>2104</v>
      </c>
      <c r="J403" t="s">
        <v>7</v>
      </c>
      <c r="K403" s="63">
        <v>24616</v>
      </c>
      <c r="L403" s="28">
        <f>DATEDIF(K403,Zwift25!G$1,"Y")</f>
        <v>57</v>
      </c>
      <c r="M403" s="67">
        <f>IF(J403="m",VLOOKUP(L403,'All Solo Adjustments'!A:D,4,FALSE),VLOOKUP(L403,'All Solo Adjustments'!A:J,10,FALSE))</f>
        <v>2.488425925925926E-3</v>
      </c>
      <c r="N403" s="63"/>
      <c r="O403" s="63"/>
      <c r="P403" s="63"/>
      <c r="Q403" s="63"/>
      <c r="R403" t="s">
        <v>137</v>
      </c>
      <c r="S403" t="s">
        <v>136</v>
      </c>
      <c r="T403" t="s">
        <v>292</v>
      </c>
      <c r="U403" t="s">
        <v>10228</v>
      </c>
      <c r="V403" t="s">
        <v>7986</v>
      </c>
      <c r="W403" t="s">
        <v>1546</v>
      </c>
      <c r="Y403" t="s">
        <v>10227</v>
      </c>
      <c r="Z403" t="str">
        <f>"07387224910"</f>
        <v>07387224910</v>
      </c>
      <c r="AA403" t="str">
        <f>""</f>
        <v/>
      </c>
      <c r="AB403" t="s">
        <v>357</v>
      </c>
      <c r="AC403" t="s">
        <v>10226</v>
      </c>
      <c r="AD403" t="s">
        <v>114</v>
      </c>
      <c r="AE403" s="63">
        <v>45217</v>
      </c>
      <c r="AF403" t="s">
        <v>156</v>
      </c>
      <c r="AG403" t="s">
        <v>112</v>
      </c>
      <c r="AH403" t="s">
        <v>112</v>
      </c>
      <c r="AI403" s="63">
        <v>44982</v>
      </c>
      <c r="AJ403" s="63">
        <v>45657</v>
      </c>
      <c r="AK403" t="s">
        <v>112</v>
      </c>
      <c r="AL403" t="s">
        <v>111</v>
      </c>
      <c r="AM403" t="s">
        <v>111</v>
      </c>
      <c r="AN403">
        <v>40112</v>
      </c>
      <c r="AO403" t="s">
        <v>110</v>
      </c>
      <c r="AP403" t="s">
        <v>109</v>
      </c>
    </row>
    <row r="404" spans="1:42" x14ac:dyDescent="0.25">
      <c r="A404" s="28" t="str">
        <f>"16206"</f>
        <v>16206</v>
      </c>
      <c r="B404">
        <v>16206</v>
      </c>
      <c r="C404" t="s">
        <v>2488</v>
      </c>
      <c r="D404" t="s">
        <v>121</v>
      </c>
      <c r="E404" t="s">
        <v>584</v>
      </c>
      <c r="F404" t="s">
        <v>120</v>
      </c>
      <c r="G404" t="s">
        <v>1908</v>
      </c>
      <c r="H404" t="s">
        <v>1742</v>
      </c>
      <c r="I404" t="s">
        <v>10225</v>
      </c>
      <c r="J404" t="s">
        <v>7</v>
      </c>
      <c r="K404" s="63">
        <v>23770</v>
      </c>
      <c r="L404" s="28">
        <f>DATEDIF(K404,Zwift25!G$1,"Y")</f>
        <v>59</v>
      </c>
      <c r="M404" s="67">
        <f>IF(J404="m",VLOOKUP(L404,'All Solo Adjustments'!A:D,4,FALSE),VLOOKUP(L404,'All Solo Adjustments'!A:J,10,FALSE))</f>
        <v>2.9629629629629632E-3</v>
      </c>
      <c r="N404" s="63"/>
      <c r="O404" s="63"/>
      <c r="P404" s="63"/>
      <c r="Q404" s="63"/>
      <c r="R404" t="s">
        <v>125</v>
      </c>
      <c r="S404" t="s">
        <v>170</v>
      </c>
      <c r="T404" t="s">
        <v>292</v>
      </c>
      <c r="U404" t="s">
        <v>10224</v>
      </c>
      <c r="V404" t="s">
        <v>10223</v>
      </c>
      <c r="W404" t="s">
        <v>631</v>
      </c>
      <c r="X404" t="s">
        <v>169</v>
      </c>
      <c r="Y404" t="s">
        <v>10222</v>
      </c>
      <c r="Z404" t="str">
        <f>"01787281979"</f>
        <v>01787281979</v>
      </c>
      <c r="AA404" t="str">
        <f>""</f>
        <v/>
      </c>
      <c r="AB404" t="s">
        <v>190</v>
      </c>
      <c r="AC404" t="s">
        <v>10221</v>
      </c>
      <c r="AD404" t="s">
        <v>114</v>
      </c>
      <c r="AE404" s="63">
        <v>45527</v>
      </c>
      <c r="AF404" t="s">
        <v>156</v>
      </c>
      <c r="AG404" t="s">
        <v>112</v>
      </c>
      <c r="AH404" t="s">
        <v>112</v>
      </c>
      <c r="AI404" s="63">
        <v>45527</v>
      </c>
      <c r="AJ404" s="63">
        <v>45657</v>
      </c>
      <c r="AK404" t="s">
        <v>112</v>
      </c>
      <c r="AL404" t="s">
        <v>111</v>
      </c>
      <c r="AM404" t="s">
        <v>111</v>
      </c>
      <c r="AN404" t="s">
        <v>105</v>
      </c>
      <c r="AO404" t="s">
        <v>110</v>
      </c>
      <c r="AP404" t="s">
        <v>109</v>
      </c>
    </row>
    <row r="405" spans="1:42" x14ac:dyDescent="0.25">
      <c r="A405" s="28" t="str">
        <f>"15331"</f>
        <v>15331</v>
      </c>
      <c r="B405">
        <v>15331</v>
      </c>
      <c r="C405" t="s">
        <v>2488</v>
      </c>
      <c r="D405" t="s">
        <v>121</v>
      </c>
      <c r="E405" t="s">
        <v>584</v>
      </c>
      <c r="F405" t="s">
        <v>120</v>
      </c>
      <c r="G405" t="s">
        <v>10220</v>
      </c>
      <c r="H405" t="s">
        <v>174</v>
      </c>
      <c r="I405" t="s">
        <v>10219</v>
      </c>
      <c r="J405" t="s">
        <v>7</v>
      </c>
      <c r="K405" s="63">
        <v>28223</v>
      </c>
      <c r="L405" s="28">
        <f>DATEDIF(K405,Zwift25!G$1,"Y")</f>
        <v>47</v>
      </c>
      <c r="M405" s="67">
        <f>IF(J405="m",VLOOKUP(L405,'All Solo Adjustments'!A:D,4,FALSE),VLOOKUP(L405,'All Solo Adjustments'!A:J,10,FALSE))</f>
        <v>6.9444444444444436E-4</v>
      </c>
      <c r="N405" s="63"/>
      <c r="O405" s="63"/>
      <c r="P405" s="63"/>
      <c r="Q405" s="63"/>
      <c r="R405" t="s">
        <v>143</v>
      </c>
      <c r="S405" t="s">
        <v>142</v>
      </c>
      <c r="T405" t="s">
        <v>292</v>
      </c>
      <c r="U405" t="s">
        <v>10218</v>
      </c>
      <c r="V405" t="s">
        <v>759</v>
      </c>
      <c r="Y405" t="s">
        <v>10217</v>
      </c>
      <c r="Z405" t="str">
        <f>"07950747094"</f>
        <v>07950747094</v>
      </c>
      <c r="AA405" t="str">
        <f>""</f>
        <v/>
      </c>
      <c r="AB405" t="s">
        <v>305</v>
      </c>
      <c r="AC405" t="s">
        <v>10216</v>
      </c>
      <c r="AD405" t="s">
        <v>114</v>
      </c>
      <c r="AE405" s="63">
        <v>45369</v>
      </c>
      <c r="AF405" t="s">
        <v>156</v>
      </c>
      <c r="AG405" t="s">
        <v>112</v>
      </c>
      <c r="AH405" t="s">
        <v>112</v>
      </c>
      <c r="AI405" s="63">
        <v>44569</v>
      </c>
      <c r="AJ405" s="63">
        <v>45657</v>
      </c>
      <c r="AK405" t="s">
        <v>112</v>
      </c>
      <c r="AL405" t="s">
        <v>111</v>
      </c>
      <c r="AM405" t="s">
        <v>111</v>
      </c>
      <c r="AN405">
        <v>27241</v>
      </c>
      <c r="AO405" t="s">
        <v>110</v>
      </c>
      <c r="AP405" t="s">
        <v>109</v>
      </c>
    </row>
    <row r="406" spans="1:42" x14ac:dyDescent="0.25">
      <c r="A406" s="28" t="str">
        <f>"16064"</f>
        <v>16064</v>
      </c>
      <c r="B406">
        <v>16064</v>
      </c>
      <c r="C406" t="s">
        <v>2488</v>
      </c>
      <c r="D406" t="s">
        <v>121</v>
      </c>
      <c r="F406" t="s">
        <v>139</v>
      </c>
      <c r="G406" t="s">
        <v>4555</v>
      </c>
      <c r="H406" t="s">
        <v>10215</v>
      </c>
      <c r="I406" t="s">
        <v>10214</v>
      </c>
      <c r="J406" t="s">
        <v>126</v>
      </c>
      <c r="K406" s="63">
        <v>27759</v>
      </c>
      <c r="L406" s="28">
        <f>DATEDIF(K406,Zwift25!G$1,"Y")</f>
        <v>48</v>
      </c>
      <c r="M406" s="67">
        <f>IF(J406="m",VLOOKUP(L406,'All Solo Adjustments'!A:D,4,FALSE),VLOOKUP(L406,'All Solo Adjustments'!A:J,10,FALSE))</f>
        <v>4.8032407407407407E-3</v>
      </c>
      <c r="N406" s="63"/>
      <c r="O406" s="63"/>
      <c r="P406" s="63"/>
      <c r="Q406" s="63"/>
      <c r="R406" t="s">
        <v>125</v>
      </c>
      <c r="S406" t="s">
        <v>170</v>
      </c>
      <c r="T406" t="s">
        <v>292</v>
      </c>
      <c r="U406" t="s">
        <v>10213</v>
      </c>
      <c r="V406" t="s">
        <v>10212</v>
      </c>
      <c r="W406" t="s">
        <v>988</v>
      </c>
      <c r="X406" t="s">
        <v>1767</v>
      </c>
      <c r="Y406" t="s">
        <v>10211</v>
      </c>
      <c r="Z406" t="str">
        <f>"07899806011"</f>
        <v>07899806011</v>
      </c>
      <c r="AA406" t="str">
        <f>""</f>
        <v/>
      </c>
      <c r="AB406" t="s">
        <v>10210</v>
      </c>
      <c r="AC406" t="s">
        <v>10209</v>
      </c>
      <c r="AD406" t="s">
        <v>114</v>
      </c>
      <c r="AE406" s="63">
        <v>45438</v>
      </c>
      <c r="AF406" t="s">
        <v>156</v>
      </c>
      <c r="AG406" t="s">
        <v>112</v>
      </c>
      <c r="AH406" t="s">
        <v>112</v>
      </c>
      <c r="AI406" s="63">
        <v>45438</v>
      </c>
      <c r="AJ406" s="63">
        <v>45657</v>
      </c>
      <c r="AK406" t="s">
        <v>112</v>
      </c>
      <c r="AL406" t="s">
        <v>111</v>
      </c>
      <c r="AM406" t="s">
        <v>111</v>
      </c>
      <c r="AN406">
        <v>7333</v>
      </c>
      <c r="AO406" t="s">
        <v>122</v>
      </c>
      <c r="AP406" t="s">
        <v>122</v>
      </c>
    </row>
    <row r="407" spans="1:42" x14ac:dyDescent="0.25">
      <c r="A407" s="28" t="str">
        <f>"4235"</f>
        <v>4235</v>
      </c>
      <c r="B407">
        <v>4235</v>
      </c>
      <c r="C407" t="s">
        <v>2488</v>
      </c>
      <c r="D407" t="s">
        <v>121</v>
      </c>
      <c r="F407" t="s">
        <v>120</v>
      </c>
      <c r="G407" t="s">
        <v>400</v>
      </c>
      <c r="H407" t="s">
        <v>284</v>
      </c>
      <c r="I407" t="s">
        <v>10208</v>
      </c>
      <c r="J407" t="s">
        <v>7</v>
      </c>
      <c r="K407" s="63">
        <v>21599</v>
      </c>
      <c r="L407" s="28">
        <f>DATEDIF(K407,Zwift25!G$1,"Y")</f>
        <v>65</v>
      </c>
      <c r="M407" s="67">
        <f>IF(J407="m",VLOOKUP(L407,'All Solo Adjustments'!A:D,4,FALSE),VLOOKUP(L407,'All Solo Adjustments'!A:J,10,FALSE))</f>
        <v>4.6180555555555558E-3</v>
      </c>
      <c r="N407" s="63"/>
      <c r="O407" s="63"/>
      <c r="P407" s="63"/>
      <c r="Q407" s="63"/>
      <c r="R407" t="s">
        <v>137</v>
      </c>
      <c r="S407" t="s">
        <v>136</v>
      </c>
      <c r="T407" t="s">
        <v>292</v>
      </c>
      <c r="U407" t="s">
        <v>10207</v>
      </c>
      <c r="V407" t="s">
        <v>10206</v>
      </c>
      <c r="W407" t="s">
        <v>2135</v>
      </c>
      <c r="X407" t="s">
        <v>564</v>
      </c>
      <c r="Y407" t="s">
        <v>10205</v>
      </c>
      <c r="Z407" t="str">
        <f>"01730 893764"</f>
        <v>01730 893764</v>
      </c>
      <c r="AA407" t="str">
        <f>""</f>
        <v/>
      </c>
      <c r="AB407" t="s">
        <v>378</v>
      </c>
      <c r="AC407" t="s">
        <v>10204</v>
      </c>
      <c r="AD407" t="s">
        <v>114</v>
      </c>
      <c r="AE407" s="63">
        <v>45292</v>
      </c>
      <c r="AF407" t="s">
        <v>113</v>
      </c>
      <c r="AG407" t="s">
        <v>112</v>
      </c>
      <c r="AH407" t="s">
        <v>112</v>
      </c>
      <c r="AI407" s="63">
        <v>40679</v>
      </c>
      <c r="AJ407" s="63">
        <v>45657</v>
      </c>
      <c r="AK407" t="s">
        <v>111</v>
      </c>
      <c r="AL407" t="s">
        <v>111</v>
      </c>
      <c r="AM407" t="s">
        <v>111</v>
      </c>
      <c r="AN407">
        <v>8003</v>
      </c>
      <c r="AO407" t="s">
        <v>110</v>
      </c>
      <c r="AP407" t="s">
        <v>109</v>
      </c>
    </row>
    <row r="408" spans="1:42" x14ac:dyDescent="0.25">
      <c r="A408" s="28" t="str">
        <f>"4787"</f>
        <v>4787</v>
      </c>
      <c r="B408">
        <v>4787</v>
      </c>
      <c r="C408" t="s">
        <v>2488</v>
      </c>
      <c r="D408" t="s">
        <v>121</v>
      </c>
      <c r="E408" t="s">
        <v>584</v>
      </c>
      <c r="F408" t="s">
        <v>120</v>
      </c>
      <c r="G408" t="s">
        <v>492</v>
      </c>
      <c r="H408" t="s">
        <v>649</v>
      </c>
      <c r="I408" t="s">
        <v>10203</v>
      </c>
      <c r="J408" t="s">
        <v>7</v>
      </c>
      <c r="K408" s="63">
        <v>25202</v>
      </c>
      <c r="L408" s="28">
        <f>DATEDIF(K408,Zwift25!G$1,"Y")</f>
        <v>55</v>
      </c>
      <c r="M408" s="67">
        <f>IF(J408="m",VLOOKUP(L408,'All Solo Adjustments'!A:D,4,FALSE),VLOOKUP(L408,'All Solo Adjustments'!A:J,10,FALSE))</f>
        <v>2.0601851851851853E-3</v>
      </c>
      <c r="N408" s="63"/>
      <c r="O408" s="63"/>
      <c r="P408" s="63"/>
      <c r="Q408" s="63"/>
      <c r="R408" t="s">
        <v>184</v>
      </c>
      <c r="S408" t="s">
        <v>183</v>
      </c>
      <c r="T408" t="s">
        <v>292</v>
      </c>
      <c r="U408" t="s">
        <v>10202</v>
      </c>
      <c r="V408" t="s">
        <v>1573</v>
      </c>
      <c r="W408" t="s">
        <v>735</v>
      </c>
      <c r="Y408" t="s">
        <v>10201</v>
      </c>
      <c r="Z408" t="str">
        <f>"01234 217403"</f>
        <v>01234 217403</v>
      </c>
      <c r="AA408" t="str">
        <f>""</f>
        <v/>
      </c>
      <c r="AB408" t="s">
        <v>10190</v>
      </c>
      <c r="AC408" t="s">
        <v>10200</v>
      </c>
      <c r="AD408" t="s">
        <v>114</v>
      </c>
      <c r="AE408" s="63">
        <v>45292</v>
      </c>
      <c r="AF408" t="s">
        <v>113</v>
      </c>
      <c r="AG408" t="s">
        <v>112</v>
      </c>
      <c r="AH408" t="s">
        <v>112</v>
      </c>
      <c r="AI408" s="63">
        <v>41429</v>
      </c>
      <c r="AJ408" s="63">
        <v>45657</v>
      </c>
      <c r="AK408" t="s">
        <v>111</v>
      </c>
      <c r="AL408" t="s">
        <v>111</v>
      </c>
      <c r="AM408" t="s">
        <v>111</v>
      </c>
      <c r="AN408">
        <v>494</v>
      </c>
      <c r="AO408" t="s">
        <v>110</v>
      </c>
      <c r="AP408" t="s">
        <v>109</v>
      </c>
    </row>
    <row r="409" spans="1:42" x14ac:dyDescent="0.25">
      <c r="A409" s="28" t="str">
        <f>"4525"</f>
        <v>4525</v>
      </c>
      <c r="B409">
        <v>4525</v>
      </c>
      <c r="C409" t="s">
        <v>2488</v>
      </c>
      <c r="D409" t="s">
        <v>121</v>
      </c>
      <c r="F409" t="s">
        <v>120</v>
      </c>
      <c r="G409" t="s">
        <v>10199</v>
      </c>
      <c r="H409" t="s">
        <v>1068</v>
      </c>
      <c r="I409" t="s">
        <v>10198</v>
      </c>
      <c r="J409" t="s">
        <v>7</v>
      </c>
      <c r="K409" s="63">
        <v>19708</v>
      </c>
      <c r="L409" s="28">
        <f>DATEDIF(K409,Zwift25!G$1,"Y")</f>
        <v>70</v>
      </c>
      <c r="M409" s="67">
        <f>IF(J409="m",VLOOKUP(L409,'All Solo Adjustments'!A:D,4,FALSE),VLOOKUP(L409,'All Solo Adjustments'!A:J,10,FALSE))</f>
        <v>6.3425925925925924E-3</v>
      </c>
      <c r="N409" s="63"/>
      <c r="O409" s="63"/>
      <c r="P409" s="63"/>
      <c r="Q409" s="63"/>
      <c r="R409" t="s">
        <v>184</v>
      </c>
      <c r="S409" t="s">
        <v>183</v>
      </c>
      <c r="T409" t="s">
        <v>292</v>
      </c>
      <c r="U409" t="s">
        <v>10197</v>
      </c>
      <c r="V409" t="s">
        <v>309</v>
      </c>
      <c r="Y409" t="s">
        <v>10196</v>
      </c>
      <c r="Z409" t="str">
        <f>"07813 541392"</f>
        <v>07813 541392</v>
      </c>
      <c r="AA409" t="str">
        <f>""</f>
        <v/>
      </c>
      <c r="AB409" t="s">
        <v>10190</v>
      </c>
      <c r="AC409" t="s">
        <v>10195</v>
      </c>
      <c r="AD409" t="s">
        <v>114</v>
      </c>
      <c r="AE409" s="63">
        <v>45323</v>
      </c>
      <c r="AF409" t="s">
        <v>113</v>
      </c>
      <c r="AG409" t="s">
        <v>112</v>
      </c>
      <c r="AH409" t="s">
        <v>112</v>
      </c>
      <c r="AI409" s="63">
        <v>41016</v>
      </c>
      <c r="AJ409" s="63">
        <v>45657</v>
      </c>
      <c r="AK409" t="s">
        <v>111</v>
      </c>
      <c r="AL409" t="s">
        <v>111</v>
      </c>
      <c r="AM409" t="s">
        <v>111</v>
      </c>
      <c r="AN409">
        <v>11281</v>
      </c>
      <c r="AO409" t="s">
        <v>110</v>
      </c>
      <c r="AP409" t="s">
        <v>109</v>
      </c>
    </row>
    <row r="410" spans="1:42" x14ac:dyDescent="0.25">
      <c r="A410" s="28" t="str">
        <f>"0511"</f>
        <v>0511</v>
      </c>
      <c r="B410">
        <v>511</v>
      </c>
      <c r="C410" t="s">
        <v>2488</v>
      </c>
      <c r="D410" t="s">
        <v>121</v>
      </c>
      <c r="E410" t="s">
        <v>584</v>
      </c>
      <c r="F410" t="s">
        <v>120</v>
      </c>
      <c r="G410" t="s">
        <v>251</v>
      </c>
      <c r="H410" t="s">
        <v>174</v>
      </c>
      <c r="I410" t="s">
        <v>10194</v>
      </c>
      <c r="J410" t="s">
        <v>7</v>
      </c>
      <c r="K410" s="63">
        <v>18954</v>
      </c>
      <c r="L410" s="28">
        <f>DATEDIF(K410,Zwift25!G$1,"Y")</f>
        <v>72</v>
      </c>
      <c r="M410" s="67">
        <f>IF(J410="m",VLOOKUP(L410,'All Solo Adjustments'!A:D,4,FALSE),VLOOKUP(L410,'All Solo Adjustments'!A:J,10,FALSE))</f>
        <v>7.129629629629629E-3</v>
      </c>
      <c r="N410" s="63"/>
      <c r="O410" s="63"/>
      <c r="P410" s="63"/>
      <c r="Q410" s="63"/>
      <c r="R410" t="s">
        <v>184</v>
      </c>
      <c r="S410" t="s">
        <v>183</v>
      </c>
      <c r="T410" t="s">
        <v>292</v>
      </c>
      <c r="U410" t="s">
        <v>10193</v>
      </c>
      <c r="V410" t="s">
        <v>10192</v>
      </c>
      <c r="W410" t="s">
        <v>735</v>
      </c>
      <c r="Y410" t="s">
        <v>10191</v>
      </c>
      <c r="Z410" t="str">
        <f>"01582 882490"</f>
        <v>01582 882490</v>
      </c>
      <c r="AA410" t="str">
        <f>"07733231810"</f>
        <v>07733231810</v>
      </c>
      <c r="AB410" t="s">
        <v>10190</v>
      </c>
      <c r="AC410" t="s">
        <v>10189</v>
      </c>
      <c r="AD410" t="s">
        <v>114</v>
      </c>
      <c r="AE410" s="63">
        <v>45272</v>
      </c>
      <c r="AF410" t="s">
        <v>113</v>
      </c>
      <c r="AG410" t="s">
        <v>112</v>
      </c>
      <c r="AH410" t="s">
        <v>112</v>
      </c>
      <c r="AI410" s="63">
        <v>43511</v>
      </c>
      <c r="AJ410" s="63">
        <v>45657</v>
      </c>
      <c r="AK410" t="s">
        <v>111</v>
      </c>
      <c r="AL410" t="s">
        <v>111</v>
      </c>
      <c r="AM410" t="s">
        <v>111</v>
      </c>
      <c r="AN410">
        <v>11933</v>
      </c>
      <c r="AO410" t="s">
        <v>110</v>
      </c>
      <c r="AP410" t="s">
        <v>109</v>
      </c>
    </row>
    <row r="411" spans="1:42" x14ac:dyDescent="0.25">
      <c r="A411" s="28" t="str">
        <f>"15727"</f>
        <v>15727</v>
      </c>
      <c r="B411">
        <v>15727</v>
      </c>
      <c r="C411" t="s">
        <v>2488</v>
      </c>
      <c r="D411" t="s">
        <v>121</v>
      </c>
      <c r="F411" t="s">
        <v>120</v>
      </c>
      <c r="G411" t="s">
        <v>1166</v>
      </c>
      <c r="I411" t="s">
        <v>10188</v>
      </c>
      <c r="J411" t="s">
        <v>7</v>
      </c>
      <c r="K411" s="63">
        <v>27725</v>
      </c>
      <c r="L411" s="28">
        <f>DATEDIF(K411,Zwift25!G$1,"Y")</f>
        <v>48</v>
      </c>
      <c r="M411" s="67">
        <f>IF(J411="m",VLOOKUP(L411,'All Solo Adjustments'!A:D,4,FALSE),VLOOKUP(L411,'All Solo Adjustments'!A:J,10,FALSE))</f>
        <v>8.3333333333333339E-4</v>
      </c>
      <c r="N411" s="63"/>
      <c r="O411" s="63"/>
      <c r="P411" s="63"/>
      <c r="Q411" s="63"/>
      <c r="R411" t="s">
        <v>198</v>
      </c>
      <c r="S411" t="s">
        <v>461</v>
      </c>
      <c r="T411" t="s">
        <v>292</v>
      </c>
      <c r="U411" t="s">
        <v>10187</v>
      </c>
      <c r="V411" t="s">
        <v>10186</v>
      </c>
      <c r="W411" t="s">
        <v>968</v>
      </c>
      <c r="Y411" t="s">
        <v>10185</v>
      </c>
      <c r="Z411" t="str">
        <f>"07462206148"</f>
        <v>07462206148</v>
      </c>
      <c r="AA411" t="str">
        <f>""</f>
        <v/>
      </c>
      <c r="AB411" t="s">
        <v>10184</v>
      </c>
      <c r="AC411" t="s">
        <v>10183</v>
      </c>
      <c r="AD411" t="s">
        <v>114</v>
      </c>
      <c r="AE411" s="63">
        <v>45379</v>
      </c>
      <c r="AF411" t="s">
        <v>156</v>
      </c>
      <c r="AG411" t="s">
        <v>112</v>
      </c>
      <c r="AH411" t="s">
        <v>112</v>
      </c>
      <c r="AI411" s="63">
        <v>44994</v>
      </c>
      <c r="AJ411" s="63">
        <v>45657</v>
      </c>
      <c r="AK411" t="s">
        <v>112</v>
      </c>
      <c r="AL411" t="s">
        <v>111</v>
      </c>
      <c r="AM411" t="s">
        <v>111</v>
      </c>
      <c r="AN411">
        <v>39323</v>
      </c>
      <c r="AO411" t="s">
        <v>110</v>
      </c>
      <c r="AP411" t="s">
        <v>109</v>
      </c>
    </row>
    <row r="412" spans="1:42" x14ac:dyDescent="0.25">
      <c r="A412" s="28" t="str">
        <f>"14404"</f>
        <v>14404</v>
      </c>
      <c r="B412">
        <v>14404</v>
      </c>
      <c r="C412" t="s">
        <v>2488</v>
      </c>
      <c r="D412" t="s">
        <v>121</v>
      </c>
      <c r="E412" t="s">
        <v>8179</v>
      </c>
      <c r="F412" t="s">
        <v>120</v>
      </c>
      <c r="G412" t="s">
        <v>427</v>
      </c>
      <c r="I412" t="s">
        <v>10182</v>
      </c>
      <c r="J412" t="s">
        <v>7</v>
      </c>
      <c r="K412" s="63">
        <v>27084</v>
      </c>
      <c r="L412" s="28">
        <f>DATEDIF(K412,Zwift25!G$1,"Y")</f>
        <v>50</v>
      </c>
      <c r="M412" s="67">
        <f>IF(J412="m",VLOOKUP(L412,'All Solo Adjustments'!A:D,4,FALSE),VLOOKUP(L412,'All Solo Adjustments'!A:J,10,FALSE))</f>
        <v>1.1342592592592591E-3</v>
      </c>
      <c r="N412" s="63"/>
      <c r="O412" s="63"/>
      <c r="P412" s="63"/>
      <c r="Q412" s="63"/>
      <c r="R412" t="s">
        <v>143</v>
      </c>
      <c r="S412" t="s">
        <v>142</v>
      </c>
      <c r="T412" t="s">
        <v>292</v>
      </c>
      <c r="U412" t="s">
        <v>8651</v>
      </c>
      <c r="V412" t="s">
        <v>10181</v>
      </c>
      <c r="W412" t="s">
        <v>661</v>
      </c>
      <c r="X412" t="s">
        <v>141</v>
      </c>
      <c r="Y412" t="s">
        <v>10180</v>
      </c>
      <c r="Z412" t="str">
        <f>"07970352994"</f>
        <v>07970352994</v>
      </c>
      <c r="AA412" t="str">
        <f>""</f>
        <v/>
      </c>
      <c r="AB412" t="s">
        <v>10179</v>
      </c>
      <c r="AC412" t="s">
        <v>10178</v>
      </c>
      <c r="AD412" t="s">
        <v>114</v>
      </c>
      <c r="AE412" s="63">
        <v>45224</v>
      </c>
      <c r="AF412" t="s">
        <v>156</v>
      </c>
      <c r="AG412" t="s">
        <v>112</v>
      </c>
      <c r="AH412" t="s">
        <v>112</v>
      </c>
      <c r="AI412" s="63">
        <v>43816</v>
      </c>
      <c r="AJ412" s="63">
        <v>45657</v>
      </c>
      <c r="AK412" t="s">
        <v>112</v>
      </c>
      <c r="AL412" t="s">
        <v>111</v>
      </c>
      <c r="AM412" t="s">
        <v>111</v>
      </c>
      <c r="AN412">
        <v>14489</v>
      </c>
      <c r="AO412" t="s">
        <v>110</v>
      </c>
      <c r="AP412" t="s">
        <v>109</v>
      </c>
    </row>
    <row r="413" spans="1:42" x14ac:dyDescent="0.25">
      <c r="A413" s="28" t="str">
        <f>"0544"</f>
        <v>0544</v>
      </c>
      <c r="B413">
        <v>544</v>
      </c>
      <c r="C413" t="s">
        <v>2488</v>
      </c>
      <c r="D413" t="s">
        <v>121</v>
      </c>
      <c r="F413" t="s">
        <v>120</v>
      </c>
      <c r="G413" t="s">
        <v>251</v>
      </c>
      <c r="I413" t="s">
        <v>10177</v>
      </c>
      <c r="J413" t="s">
        <v>7</v>
      </c>
      <c r="K413" s="63">
        <v>14478</v>
      </c>
      <c r="L413" s="28">
        <f>DATEDIF(K413,Zwift25!G$1,"Y")</f>
        <v>85</v>
      </c>
      <c r="M413" s="67">
        <f>IF(J413="m",VLOOKUP(L413,'All Solo Adjustments'!A:D,4,FALSE),VLOOKUP(L413,'All Solo Adjustments'!A:J,10,FALSE))</f>
        <v>1.4236111111111111E-2</v>
      </c>
      <c r="N413" s="63"/>
      <c r="O413" s="63"/>
      <c r="P413" s="63"/>
      <c r="Q413" s="63"/>
      <c r="R413" t="s">
        <v>137</v>
      </c>
      <c r="S413" t="s">
        <v>2312</v>
      </c>
      <c r="T413" t="s">
        <v>292</v>
      </c>
      <c r="U413" t="s">
        <v>10176</v>
      </c>
      <c r="V413" t="s">
        <v>10175</v>
      </c>
      <c r="W413" t="s">
        <v>208</v>
      </c>
      <c r="Y413" t="s">
        <v>10174</v>
      </c>
      <c r="Z413" t="str">
        <f>"01794 512907"</f>
        <v>01794 512907</v>
      </c>
      <c r="AA413" t="str">
        <f>""</f>
        <v/>
      </c>
      <c r="AB413" t="s">
        <v>996</v>
      </c>
      <c r="AC413" t="s">
        <v>10173</v>
      </c>
      <c r="AD413" t="s">
        <v>145</v>
      </c>
      <c r="AF413" t="s">
        <v>113</v>
      </c>
      <c r="AG413" t="s">
        <v>112</v>
      </c>
      <c r="AH413" t="s">
        <v>112</v>
      </c>
      <c r="AI413" s="63">
        <v>32741</v>
      </c>
      <c r="AK413" t="s">
        <v>111</v>
      </c>
      <c r="AL413" t="s">
        <v>111</v>
      </c>
      <c r="AM413" t="s">
        <v>111</v>
      </c>
      <c r="AN413" t="s">
        <v>105</v>
      </c>
      <c r="AO413" t="s">
        <v>110</v>
      </c>
      <c r="AP413" t="s">
        <v>109</v>
      </c>
    </row>
    <row r="414" spans="1:42" x14ac:dyDescent="0.25">
      <c r="A414" s="28" t="str">
        <f>"16190"</f>
        <v>16190</v>
      </c>
      <c r="B414">
        <v>16190</v>
      </c>
      <c r="C414" t="s">
        <v>2488</v>
      </c>
      <c r="D414" t="s">
        <v>121</v>
      </c>
      <c r="F414" t="s">
        <v>120</v>
      </c>
      <c r="G414" t="s">
        <v>481</v>
      </c>
      <c r="H414" t="s">
        <v>1303</v>
      </c>
      <c r="I414" t="s">
        <v>10172</v>
      </c>
      <c r="J414" t="s">
        <v>7</v>
      </c>
      <c r="K414" s="63">
        <v>14083</v>
      </c>
      <c r="L414" s="28">
        <f>DATEDIF(K414,Zwift25!G$1,"Y")</f>
        <v>86</v>
      </c>
      <c r="M414" s="67">
        <f>IF(J414="m",VLOOKUP(L414,'All Solo Adjustments'!A:D,4,FALSE),VLOOKUP(L414,'All Solo Adjustments'!A:J,10,FALSE))</f>
        <v>1.4988425925925926E-2</v>
      </c>
      <c r="N414" s="63"/>
      <c r="O414" s="63"/>
      <c r="P414" s="63"/>
      <c r="Q414" s="63"/>
      <c r="R414" t="s">
        <v>159</v>
      </c>
      <c r="S414" t="s">
        <v>162</v>
      </c>
      <c r="T414" t="s">
        <v>292</v>
      </c>
      <c r="U414" t="s">
        <v>10171</v>
      </c>
      <c r="W414" t="s">
        <v>535</v>
      </c>
      <c r="X414" t="s">
        <v>534</v>
      </c>
      <c r="Y414" t="s">
        <v>10170</v>
      </c>
      <c r="Z414" t="str">
        <f>"01743248924"</f>
        <v>01743248924</v>
      </c>
      <c r="AA414" t="str">
        <f>""</f>
        <v/>
      </c>
      <c r="AB414" t="s">
        <v>10169</v>
      </c>
      <c r="AC414" t="s">
        <v>10168</v>
      </c>
      <c r="AD414" t="s">
        <v>145</v>
      </c>
      <c r="AE414" s="63">
        <v>45489</v>
      </c>
      <c r="AF414" t="s">
        <v>156</v>
      </c>
      <c r="AG414" t="s">
        <v>112</v>
      </c>
      <c r="AH414" t="s">
        <v>112</v>
      </c>
      <c r="AI414" s="63">
        <v>45488</v>
      </c>
      <c r="AJ414" s="63">
        <v>45657</v>
      </c>
      <c r="AK414" t="s">
        <v>112</v>
      </c>
      <c r="AL414" t="s">
        <v>111</v>
      </c>
      <c r="AM414" t="s">
        <v>111</v>
      </c>
      <c r="AN414" t="s">
        <v>105</v>
      </c>
      <c r="AO414" t="s">
        <v>110</v>
      </c>
      <c r="AP414" t="s">
        <v>109</v>
      </c>
    </row>
    <row r="415" spans="1:42" x14ac:dyDescent="0.25">
      <c r="A415" s="28" t="str">
        <f>"0552"</f>
        <v>0552</v>
      </c>
      <c r="B415">
        <v>552</v>
      </c>
      <c r="C415" t="s">
        <v>2488</v>
      </c>
      <c r="D415" t="s">
        <v>121</v>
      </c>
      <c r="F415" t="s">
        <v>120</v>
      </c>
      <c r="G415" t="s">
        <v>481</v>
      </c>
      <c r="I415" t="s">
        <v>2098</v>
      </c>
      <c r="J415" t="s">
        <v>7</v>
      </c>
      <c r="K415" s="63">
        <v>13693</v>
      </c>
      <c r="L415" s="28">
        <f>DATEDIF(K415,Zwift25!G$1,"Y")</f>
        <v>87</v>
      </c>
      <c r="M415" s="67">
        <f>IF(J415="m",VLOOKUP(L415,'All Solo Adjustments'!A:D,4,FALSE),VLOOKUP(L415,'All Solo Adjustments'!A:J,10,FALSE))</f>
        <v>1.576388888888889E-2</v>
      </c>
      <c r="N415" s="63"/>
      <c r="O415" s="63"/>
      <c r="P415" s="63"/>
      <c r="Q415" s="63"/>
      <c r="R415" t="s">
        <v>184</v>
      </c>
      <c r="S415" t="s">
        <v>835</v>
      </c>
      <c r="T415" t="s">
        <v>292</v>
      </c>
      <c r="U415" t="s">
        <v>10167</v>
      </c>
      <c r="V415" t="s">
        <v>10166</v>
      </c>
      <c r="W415" t="s">
        <v>834</v>
      </c>
      <c r="Y415" t="s">
        <v>10165</v>
      </c>
      <c r="Z415" t="str">
        <f>"01753 861275"</f>
        <v>01753 861275</v>
      </c>
      <c r="AA415" t="str">
        <f>""</f>
        <v/>
      </c>
      <c r="AB415" t="s">
        <v>1875</v>
      </c>
      <c r="AD415" t="s">
        <v>145</v>
      </c>
      <c r="AF415" t="s">
        <v>113</v>
      </c>
      <c r="AG415" t="s">
        <v>112</v>
      </c>
      <c r="AH415" t="s">
        <v>112</v>
      </c>
      <c r="AI415" s="63">
        <v>37742</v>
      </c>
      <c r="AK415" t="s">
        <v>111</v>
      </c>
      <c r="AL415" t="s">
        <v>111</v>
      </c>
      <c r="AM415" t="s">
        <v>111</v>
      </c>
      <c r="AN415" t="s">
        <v>105</v>
      </c>
      <c r="AO415" t="s">
        <v>110</v>
      </c>
      <c r="AP415" t="s">
        <v>109</v>
      </c>
    </row>
    <row r="416" spans="1:42" x14ac:dyDescent="0.25">
      <c r="A416" s="28" t="str">
        <f>"0553"</f>
        <v>0553</v>
      </c>
      <c r="B416">
        <v>553</v>
      </c>
      <c r="C416" t="s">
        <v>2488</v>
      </c>
      <c r="D416" t="s">
        <v>121</v>
      </c>
      <c r="F416" t="s">
        <v>120</v>
      </c>
      <c r="G416" t="s">
        <v>284</v>
      </c>
      <c r="I416" t="s">
        <v>2097</v>
      </c>
      <c r="J416" t="s">
        <v>7</v>
      </c>
      <c r="K416" s="63">
        <v>7713</v>
      </c>
      <c r="L416" s="28">
        <f>DATEDIF(K416,Zwift25!G$1,"Y")</f>
        <v>103</v>
      </c>
      <c r="M416" s="67" t="e">
        <f>IF(J416="m",VLOOKUP(L416,'All Solo Adjustments'!A:D,4,FALSE),VLOOKUP(L416,'All Solo Adjustments'!A:J,10,FALSE))</f>
        <v>#N/A</v>
      </c>
      <c r="N416" s="63"/>
      <c r="O416" s="63"/>
      <c r="P416" s="63"/>
      <c r="Q416" s="63"/>
      <c r="R416" t="s">
        <v>328</v>
      </c>
      <c r="S416" t="s">
        <v>2290</v>
      </c>
      <c r="T416" t="s">
        <v>292</v>
      </c>
      <c r="U416" t="s">
        <v>10164</v>
      </c>
      <c r="V416" t="s">
        <v>2184</v>
      </c>
      <c r="W416" t="s">
        <v>326</v>
      </c>
      <c r="X416" t="s">
        <v>325</v>
      </c>
      <c r="Y416" t="s">
        <v>10163</v>
      </c>
      <c r="Z416" t="str">
        <f>""</f>
        <v/>
      </c>
      <c r="AA416" t="str">
        <f>""</f>
        <v/>
      </c>
      <c r="AB416" t="s">
        <v>290</v>
      </c>
      <c r="AD416" t="s">
        <v>151</v>
      </c>
      <c r="AF416" t="s">
        <v>113</v>
      </c>
      <c r="AG416" t="s">
        <v>112</v>
      </c>
      <c r="AH416" t="s">
        <v>112</v>
      </c>
      <c r="AK416" t="s">
        <v>111</v>
      </c>
      <c r="AL416" t="s">
        <v>111</v>
      </c>
      <c r="AM416" t="s">
        <v>111</v>
      </c>
      <c r="AN416" t="s">
        <v>105</v>
      </c>
      <c r="AO416" t="s">
        <v>110</v>
      </c>
      <c r="AP416" t="s">
        <v>109</v>
      </c>
    </row>
    <row r="417" spans="1:42" x14ac:dyDescent="0.25">
      <c r="A417" s="28" t="str">
        <f>"2172"</f>
        <v>2172</v>
      </c>
      <c r="B417">
        <v>2172</v>
      </c>
      <c r="C417" t="s">
        <v>2488</v>
      </c>
      <c r="D417" t="s">
        <v>121</v>
      </c>
      <c r="E417" t="s">
        <v>10162</v>
      </c>
      <c r="F417" t="s">
        <v>144</v>
      </c>
      <c r="G417" t="s">
        <v>3059</v>
      </c>
      <c r="I417" t="s">
        <v>2097</v>
      </c>
      <c r="J417" t="s">
        <v>126</v>
      </c>
      <c r="K417" s="63">
        <v>22986</v>
      </c>
      <c r="L417" s="28">
        <f>DATEDIF(K417,Zwift25!G$1,"Y")</f>
        <v>61</v>
      </c>
      <c r="M417" s="67">
        <f>IF(J417="m",VLOOKUP(L417,'All Solo Adjustments'!A:D,4,FALSE),VLOOKUP(L417,'All Solo Adjustments'!A:J,10,FALSE))</f>
        <v>7.2337962962962963E-3</v>
      </c>
      <c r="N417" s="63"/>
      <c r="O417" s="63"/>
      <c r="P417" s="63"/>
      <c r="Q417" s="63"/>
      <c r="R417" t="s">
        <v>527</v>
      </c>
      <c r="S417" t="s">
        <v>612</v>
      </c>
      <c r="T417" t="s">
        <v>292</v>
      </c>
      <c r="U417" t="s">
        <v>10161</v>
      </c>
      <c r="V417" t="s">
        <v>10160</v>
      </c>
      <c r="W417" t="s">
        <v>10159</v>
      </c>
      <c r="X417" t="s">
        <v>1949</v>
      </c>
      <c r="Y417" t="s">
        <v>10158</v>
      </c>
      <c r="Z417" t="str">
        <f>"01642 701264"</f>
        <v>01642 701264</v>
      </c>
      <c r="AA417" t="str">
        <f>""</f>
        <v/>
      </c>
      <c r="AB417" t="s">
        <v>1173</v>
      </c>
      <c r="AC417" t="s">
        <v>10157</v>
      </c>
      <c r="AD417" t="s">
        <v>145</v>
      </c>
      <c r="AF417" t="s">
        <v>113</v>
      </c>
      <c r="AG417" t="s">
        <v>111</v>
      </c>
      <c r="AH417" t="s">
        <v>111</v>
      </c>
      <c r="AI417" s="63">
        <v>38773</v>
      </c>
      <c r="AK417" t="s">
        <v>111</v>
      </c>
      <c r="AL417" t="s">
        <v>111</v>
      </c>
      <c r="AM417" t="s">
        <v>111</v>
      </c>
      <c r="AN417" t="s">
        <v>105</v>
      </c>
      <c r="AO417" t="s">
        <v>122</v>
      </c>
      <c r="AP417" t="s">
        <v>122</v>
      </c>
    </row>
    <row r="418" spans="1:42" x14ac:dyDescent="0.25">
      <c r="A418" s="28" t="str">
        <f>"5320"</f>
        <v>5320</v>
      </c>
      <c r="B418">
        <v>5320</v>
      </c>
      <c r="C418" t="s">
        <v>2488</v>
      </c>
      <c r="D418" t="s">
        <v>121</v>
      </c>
      <c r="F418" t="s">
        <v>120</v>
      </c>
      <c r="G418" t="s">
        <v>377</v>
      </c>
      <c r="H418" t="s">
        <v>10156</v>
      </c>
      <c r="I418" t="s">
        <v>10155</v>
      </c>
      <c r="J418" t="s">
        <v>7</v>
      </c>
      <c r="K418" s="63">
        <v>21000</v>
      </c>
      <c r="L418" s="28">
        <f>DATEDIF(K418,Zwift25!G$1,"Y")</f>
        <v>67</v>
      </c>
      <c r="M418" s="67">
        <f>IF(J418="m",VLOOKUP(L418,'All Solo Adjustments'!A:D,4,FALSE),VLOOKUP(L418,'All Solo Adjustments'!A:J,10,FALSE))</f>
        <v>5.2662037037037035E-3</v>
      </c>
      <c r="N418" s="63"/>
      <c r="O418" s="63"/>
      <c r="P418" s="63"/>
      <c r="Q418" s="63"/>
      <c r="R418" t="s">
        <v>159</v>
      </c>
      <c r="S418" t="s">
        <v>162</v>
      </c>
      <c r="T418" t="s">
        <v>292</v>
      </c>
      <c r="U418" t="s">
        <v>10154</v>
      </c>
      <c r="V418" t="s">
        <v>10153</v>
      </c>
      <c r="W418" t="s">
        <v>160</v>
      </c>
      <c r="X418" t="s">
        <v>159</v>
      </c>
      <c r="Y418" t="s">
        <v>10152</v>
      </c>
      <c r="Z418" t="str">
        <f>"07930340144"</f>
        <v>07930340144</v>
      </c>
      <c r="AA418" t="str">
        <f>""</f>
        <v/>
      </c>
      <c r="AB418" t="s">
        <v>1491</v>
      </c>
      <c r="AC418" t="s">
        <v>10151</v>
      </c>
      <c r="AD418" t="s">
        <v>114</v>
      </c>
      <c r="AE418" s="63">
        <v>45365</v>
      </c>
      <c r="AF418" t="s">
        <v>156</v>
      </c>
      <c r="AG418" t="s">
        <v>112</v>
      </c>
      <c r="AH418" t="s">
        <v>112</v>
      </c>
      <c r="AI418" s="63">
        <v>42061</v>
      </c>
      <c r="AJ418" s="63">
        <v>45657</v>
      </c>
      <c r="AK418" t="s">
        <v>111</v>
      </c>
      <c r="AL418" t="s">
        <v>112</v>
      </c>
      <c r="AM418" t="s">
        <v>111</v>
      </c>
      <c r="AN418">
        <v>1551</v>
      </c>
      <c r="AO418" t="s">
        <v>110</v>
      </c>
      <c r="AP418" t="s">
        <v>109</v>
      </c>
    </row>
    <row r="419" spans="1:42" x14ac:dyDescent="0.25">
      <c r="A419" s="28" t="str">
        <f>"6292"</f>
        <v>6292</v>
      </c>
      <c r="B419">
        <v>6292</v>
      </c>
      <c r="C419" t="s">
        <v>2488</v>
      </c>
      <c r="D419" t="s">
        <v>121</v>
      </c>
      <c r="F419" t="s">
        <v>120</v>
      </c>
      <c r="G419" t="s">
        <v>234</v>
      </c>
      <c r="I419" t="s">
        <v>2095</v>
      </c>
      <c r="J419" t="s">
        <v>7</v>
      </c>
      <c r="K419" s="63">
        <v>17484</v>
      </c>
      <c r="L419" s="28">
        <f>DATEDIF(K419,Zwift25!G$1,"Y")</f>
        <v>76</v>
      </c>
      <c r="M419" s="67">
        <f>IF(J419="m",VLOOKUP(L419,'All Solo Adjustments'!A:D,4,FALSE),VLOOKUP(L419,'All Solo Adjustments'!A:J,10,FALSE))</f>
        <v>8.912037037037036E-3</v>
      </c>
      <c r="N419" s="63"/>
      <c r="O419" s="63"/>
      <c r="P419" s="63"/>
      <c r="Q419" s="63"/>
      <c r="R419" t="s">
        <v>296</v>
      </c>
      <c r="S419" t="s">
        <v>295</v>
      </c>
      <c r="T419" t="s">
        <v>292</v>
      </c>
      <c r="U419" t="s">
        <v>10150</v>
      </c>
      <c r="V419" t="s">
        <v>10149</v>
      </c>
      <c r="W419" t="s">
        <v>10148</v>
      </c>
      <c r="X419" t="s">
        <v>794</v>
      </c>
      <c r="Y419" t="s">
        <v>10147</v>
      </c>
      <c r="Z419" t="str">
        <f>"01334 656111"</f>
        <v>01334 656111</v>
      </c>
      <c r="AA419" t="str">
        <f>""</f>
        <v/>
      </c>
      <c r="AB419" t="s">
        <v>10146</v>
      </c>
      <c r="AC419" t="s">
        <v>10145</v>
      </c>
      <c r="AD419" t="s">
        <v>114</v>
      </c>
      <c r="AE419" s="63">
        <v>45278</v>
      </c>
      <c r="AF419" t="s">
        <v>113</v>
      </c>
      <c r="AG419" t="s">
        <v>112</v>
      </c>
      <c r="AH419" t="s">
        <v>112</v>
      </c>
      <c r="AI419" s="63">
        <v>42904</v>
      </c>
      <c r="AJ419" s="63">
        <v>45657</v>
      </c>
      <c r="AK419" t="s">
        <v>111</v>
      </c>
      <c r="AL419" t="s">
        <v>111</v>
      </c>
      <c r="AM419" t="s">
        <v>111</v>
      </c>
      <c r="AN419" t="s">
        <v>105</v>
      </c>
      <c r="AO419" t="s">
        <v>110</v>
      </c>
      <c r="AP419" t="s">
        <v>109</v>
      </c>
    </row>
    <row r="420" spans="1:42" x14ac:dyDescent="0.25">
      <c r="A420" s="28" t="str">
        <f>"14829"</f>
        <v>14829</v>
      </c>
      <c r="B420">
        <v>14829</v>
      </c>
      <c r="C420" t="s">
        <v>2488</v>
      </c>
      <c r="D420" t="s">
        <v>121</v>
      </c>
      <c r="F420" t="s">
        <v>144</v>
      </c>
      <c r="G420" t="s">
        <v>10144</v>
      </c>
      <c r="I420" t="s">
        <v>10143</v>
      </c>
      <c r="J420" t="s">
        <v>126</v>
      </c>
      <c r="K420" s="63">
        <v>20696</v>
      </c>
      <c r="L420" s="28">
        <f>DATEDIF(K420,Zwift25!G$1,"Y")</f>
        <v>68</v>
      </c>
      <c r="M420" s="67">
        <f>IF(J420="m",VLOOKUP(L420,'All Solo Adjustments'!A:D,4,FALSE),VLOOKUP(L420,'All Solo Adjustments'!A:J,10,FALSE))</f>
        <v>1.0729166666666668E-2</v>
      </c>
      <c r="N420" s="63"/>
      <c r="O420" s="63"/>
      <c r="P420" s="63"/>
      <c r="Q420" s="63"/>
      <c r="R420" t="s">
        <v>213</v>
      </c>
      <c r="S420" t="s">
        <v>212</v>
      </c>
      <c r="T420" t="s">
        <v>292</v>
      </c>
      <c r="U420" t="s">
        <v>10142</v>
      </c>
      <c r="V420" t="s">
        <v>10141</v>
      </c>
      <c r="W420" t="s">
        <v>10140</v>
      </c>
      <c r="Y420" t="s">
        <v>10139</v>
      </c>
      <c r="Z420" t="str">
        <f>"07932169628 "</f>
        <v xml:space="preserve">07932169628 </v>
      </c>
      <c r="AA420" t="str">
        <f>""</f>
        <v/>
      </c>
      <c r="AB420" t="s">
        <v>10138</v>
      </c>
      <c r="AC420" t="s">
        <v>10137</v>
      </c>
      <c r="AD420" t="s">
        <v>145</v>
      </c>
      <c r="AE420" s="63">
        <v>45483</v>
      </c>
      <c r="AF420" t="s">
        <v>113</v>
      </c>
      <c r="AG420" t="s">
        <v>112</v>
      </c>
      <c r="AH420" t="s">
        <v>112</v>
      </c>
      <c r="AI420" s="63">
        <v>44214</v>
      </c>
      <c r="AJ420" s="63">
        <v>45657</v>
      </c>
      <c r="AK420" t="s">
        <v>112</v>
      </c>
      <c r="AL420" t="s">
        <v>111</v>
      </c>
      <c r="AM420" t="s">
        <v>111</v>
      </c>
      <c r="AN420">
        <v>11908</v>
      </c>
      <c r="AO420" t="s">
        <v>122</v>
      </c>
      <c r="AP420" t="s">
        <v>122</v>
      </c>
    </row>
    <row r="421" spans="1:42" x14ac:dyDescent="0.25">
      <c r="A421" s="28" t="str">
        <f>"15751"</f>
        <v>15751</v>
      </c>
      <c r="B421">
        <v>15751</v>
      </c>
      <c r="C421" t="s">
        <v>2488</v>
      </c>
      <c r="D421" t="s">
        <v>121</v>
      </c>
      <c r="F421" t="s">
        <v>120</v>
      </c>
      <c r="G421" t="s">
        <v>594</v>
      </c>
      <c r="I421" t="s">
        <v>2093</v>
      </c>
      <c r="J421" t="s">
        <v>7</v>
      </c>
      <c r="K421" s="63">
        <v>30367</v>
      </c>
      <c r="L421" s="28">
        <f>DATEDIF(K421,Zwift25!G$1,"Y")</f>
        <v>41</v>
      </c>
      <c r="M421" s="67">
        <f>IF(J421="m",VLOOKUP(L421,'All Solo Adjustments'!A:D,4,FALSE),VLOOKUP(L421,'All Solo Adjustments'!A:J,10,FALSE))</f>
        <v>6.9444444444444444E-5</v>
      </c>
      <c r="N421" s="63"/>
      <c r="O421" s="63"/>
      <c r="P421" s="63"/>
      <c r="Q421" s="63"/>
      <c r="R421" t="s">
        <v>125</v>
      </c>
      <c r="S421" t="s">
        <v>170</v>
      </c>
      <c r="T421" t="s">
        <v>292</v>
      </c>
      <c r="U421" t="s">
        <v>10136</v>
      </c>
      <c r="V421" t="s">
        <v>435</v>
      </c>
      <c r="Y421" t="s">
        <v>10135</v>
      </c>
      <c r="Z421" t="str">
        <f>"07947584988"</f>
        <v>07947584988</v>
      </c>
      <c r="AA421" t="str">
        <f>""</f>
        <v/>
      </c>
      <c r="AB421" t="s">
        <v>434</v>
      </c>
      <c r="AC421" t="s">
        <v>10134</v>
      </c>
      <c r="AD421" t="s">
        <v>114</v>
      </c>
      <c r="AE421" s="63">
        <v>45292</v>
      </c>
      <c r="AF421" t="s">
        <v>156</v>
      </c>
      <c r="AG421" t="s">
        <v>112</v>
      </c>
      <c r="AH421" t="s">
        <v>112</v>
      </c>
      <c r="AI421" s="63">
        <v>45013</v>
      </c>
      <c r="AJ421" s="63">
        <v>45657</v>
      </c>
      <c r="AK421" t="s">
        <v>112</v>
      </c>
      <c r="AL421" t="s">
        <v>111</v>
      </c>
      <c r="AM421" t="s">
        <v>111</v>
      </c>
      <c r="AN421">
        <v>43302</v>
      </c>
      <c r="AO421" t="s">
        <v>110</v>
      </c>
      <c r="AP421" t="s">
        <v>109</v>
      </c>
    </row>
    <row r="422" spans="1:42" x14ac:dyDescent="0.25">
      <c r="A422" s="28" t="str">
        <f>"6113"</f>
        <v>6113</v>
      </c>
      <c r="B422">
        <v>6113</v>
      </c>
      <c r="C422" t="s">
        <v>2488</v>
      </c>
      <c r="D422" t="s">
        <v>121</v>
      </c>
      <c r="F422" t="s">
        <v>120</v>
      </c>
      <c r="G422" t="s">
        <v>285</v>
      </c>
      <c r="I422" t="s">
        <v>10133</v>
      </c>
      <c r="J422" t="s">
        <v>7</v>
      </c>
      <c r="K422" s="63">
        <v>23419</v>
      </c>
      <c r="L422" s="28">
        <f>DATEDIF(K422,Zwift25!G$1,"Y")</f>
        <v>60</v>
      </c>
      <c r="M422" s="67">
        <f>IF(J422="m",VLOOKUP(L422,'All Solo Adjustments'!A:D,4,FALSE),VLOOKUP(L422,'All Solo Adjustments'!A:J,10,FALSE))</f>
        <v>3.2060185185185186E-3</v>
      </c>
      <c r="N422" s="63"/>
      <c r="O422" s="63"/>
      <c r="P422" s="63"/>
      <c r="Q422" s="63"/>
      <c r="R422" t="s">
        <v>383</v>
      </c>
      <c r="S422" t="s">
        <v>382</v>
      </c>
      <c r="T422" t="s">
        <v>292</v>
      </c>
      <c r="U422" t="s">
        <v>10132</v>
      </c>
      <c r="V422" t="s">
        <v>10131</v>
      </c>
      <c r="W422" t="s">
        <v>1497</v>
      </c>
      <c r="Y422" t="s">
        <v>10130</v>
      </c>
      <c r="Z422" t="str">
        <f>"07968 912562"</f>
        <v>07968 912562</v>
      </c>
      <c r="AA422" t="str">
        <f>""</f>
        <v/>
      </c>
      <c r="AB422" t="s">
        <v>1469</v>
      </c>
      <c r="AC422" t="s">
        <v>10129</v>
      </c>
      <c r="AD422" t="s">
        <v>114</v>
      </c>
      <c r="AE422" s="63">
        <v>45319</v>
      </c>
      <c r="AF422" t="s">
        <v>156</v>
      </c>
      <c r="AG422" t="s">
        <v>112</v>
      </c>
      <c r="AH422" t="s">
        <v>112</v>
      </c>
      <c r="AI422" s="63">
        <v>42800</v>
      </c>
      <c r="AJ422" s="63">
        <v>45657</v>
      </c>
      <c r="AK422" t="s">
        <v>111</v>
      </c>
      <c r="AL422" t="s">
        <v>111</v>
      </c>
      <c r="AM422" t="s">
        <v>111</v>
      </c>
      <c r="AN422">
        <v>2446</v>
      </c>
      <c r="AO422" t="s">
        <v>110</v>
      </c>
      <c r="AP422" t="s">
        <v>109</v>
      </c>
    </row>
    <row r="423" spans="1:42" x14ac:dyDescent="0.25">
      <c r="A423" s="28" t="str">
        <f>"14480"</f>
        <v>14480</v>
      </c>
      <c r="B423">
        <v>14480</v>
      </c>
      <c r="C423" t="s">
        <v>2488</v>
      </c>
      <c r="D423" t="s">
        <v>121</v>
      </c>
      <c r="F423" t="s">
        <v>120</v>
      </c>
      <c r="G423" t="s">
        <v>284</v>
      </c>
      <c r="I423" t="s">
        <v>10128</v>
      </c>
      <c r="J423" t="s">
        <v>7</v>
      </c>
      <c r="K423" s="63">
        <v>19939</v>
      </c>
      <c r="L423" s="28">
        <f>DATEDIF(K423,Zwift25!G$1,"Y")</f>
        <v>70</v>
      </c>
      <c r="M423" s="67">
        <f>IF(J423="m",VLOOKUP(L423,'All Solo Adjustments'!A:D,4,FALSE),VLOOKUP(L423,'All Solo Adjustments'!A:J,10,FALSE))</f>
        <v>6.3425925925925924E-3</v>
      </c>
      <c r="N423" s="63"/>
      <c r="O423" s="63"/>
      <c r="P423" s="63"/>
      <c r="Q423" s="63"/>
      <c r="R423" t="s">
        <v>125</v>
      </c>
      <c r="S423" t="s">
        <v>170</v>
      </c>
      <c r="T423" t="s">
        <v>292</v>
      </c>
      <c r="U423" t="s">
        <v>10127</v>
      </c>
      <c r="V423" t="s">
        <v>10126</v>
      </c>
      <c r="W423" t="s">
        <v>146</v>
      </c>
      <c r="Y423" t="s">
        <v>10125</v>
      </c>
      <c r="Z423" t="str">
        <f>"01462 620182"</f>
        <v>01462 620182</v>
      </c>
      <c r="AA423" t="str">
        <f>"07475 739833"</f>
        <v>07475 739833</v>
      </c>
      <c r="AB423" t="s">
        <v>308</v>
      </c>
      <c r="AC423" t="s">
        <v>10124</v>
      </c>
      <c r="AD423" t="s">
        <v>114</v>
      </c>
      <c r="AE423" s="63">
        <v>45265</v>
      </c>
      <c r="AF423" t="s">
        <v>113</v>
      </c>
      <c r="AG423" t="s">
        <v>112</v>
      </c>
      <c r="AH423" t="s">
        <v>112</v>
      </c>
      <c r="AI423" s="63">
        <v>43876</v>
      </c>
      <c r="AJ423" s="63">
        <v>45657</v>
      </c>
      <c r="AK423" t="s">
        <v>112</v>
      </c>
      <c r="AL423" t="s">
        <v>111</v>
      </c>
      <c r="AM423" t="s">
        <v>111</v>
      </c>
      <c r="AN423">
        <v>33594</v>
      </c>
      <c r="AO423" t="s">
        <v>110</v>
      </c>
      <c r="AP423" t="s">
        <v>109</v>
      </c>
    </row>
    <row r="424" spans="1:42" x14ac:dyDescent="0.25">
      <c r="A424" s="28" t="str">
        <f>"0569"</f>
        <v>0569</v>
      </c>
      <c r="B424">
        <v>569</v>
      </c>
      <c r="C424" t="s">
        <v>2488</v>
      </c>
      <c r="D424" t="s">
        <v>121</v>
      </c>
      <c r="F424" t="s">
        <v>120</v>
      </c>
      <c r="G424" t="s">
        <v>343</v>
      </c>
      <c r="I424" t="s">
        <v>10123</v>
      </c>
      <c r="J424" t="s">
        <v>7</v>
      </c>
      <c r="K424" s="63">
        <v>23814</v>
      </c>
      <c r="L424" s="28">
        <f>DATEDIF(K424,Zwift25!G$1,"Y")</f>
        <v>59</v>
      </c>
      <c r="M424" s="67">
        <f>IF(J424="m",VLOOKUP(L424,'All Solo Adjustments'!A:D,4,FALSE),VLOOKUP(L424,'All Solo Adjustments'!A:J,10,FALSE))</f>
        <v>2.9629629629629632E-3</v>
      </c>
      <c r="N424" s="63"/>
      <c r="O424" s="63"/>
      <c r="P424" s="63"/>
      <c r="Q424" s="63"/>
      <c r="R424" t="s">
        <v>296</v>
      </c>
      <c r="S424" t="s">
        <v>295</v>
      </c>
      <c r="T424" t="s">
        <v>292</v>
      </c>
      <c r="U424" t="s">
        <v>10122</v>
      </c>
      <c r="V424" t="s">
        <v>10121</v>
      </c>
      <c r="W424" t="s">
        <v>804</v>
      </c>
      <c r="Y424" t="s">
        <v>10120</v>
      </c>
      <c r="Z424" t="str">
        <f>"07810815166"</f>
        <v>07810815166</v>
      </c>
      <c r="AA424" t="str">
        <f>""</f>
        <v/>
      </c>
      <c r="AB424" t="s">
        <v>1682</v>
      </c>
      <c r="AC424" t="s">
        <v>10119</v>
      </c>
      <c r="AD424" t="s">
        <v>114</v>
      </c>
      <c r="AE424" s="63">
        <v>45266</v>
      </c>
      <c r="AF424" t="s">
        <v>156</v>
      </c>
      <c r="AG424" t="s">
        <v>112</v>
      </c>
      <c r="AH424" t="s">
        <v>112</v>
      </c>
      <c r="AI424" s="63">
        <v>38696</v>
      </c>
      <c r="AJ424" s="63">
        <v>45657</v>
      </c>
      <c r="AK424" t="s">
        <v>111</v>
      </c>
      <c r="AL424" t="s">
        <v>111</v>
      </c>
      <c r="AM424" t="s">
        <v>111</v>
      </c>
      <c r="AN424">
        <v>7672</v>
      </c>
      <c r="AO424" t="s">
        <v>110</v>
      </c>
      <c r="AP424" t="s">
        <v>109</v>
      </c>
    </row>
    <row r="425" spans="1:42" x14ac:dyDescent="0.25">
      <c r="A425" s="28" t="str">
        <f>"0572"</f>
        <v>0572</v>
      </c>
      <c r="B425">
        <v>572</v>
      </c>
      <c r="C425" t="s">
        <v>2488</v>
      </c>
      <c r="D425" t="s">
        <v>121</v>
      </c>
      <c r="F425" t="s">
        <v>120</v>
      </c>
      <c r="G425" t="s">
        <v>1208</v>
      </c>
      <c r="I425" t="s">
        <v>2092</v>
      </c>
      <c r="J425" t="s">
        <v>7</v>
      </c>
      <c r="K425" s="63">
        <v>11608</v>
      </c>
      <c r="L425" s="28">
        <f>DATEDIF(K425,Zwift25!G$1,"Y")</f>
        <v>93</v>
      </c>
      <c r="M425" s="67">
        <f>IF(J425="m",VLOOKUP(L425,'All Solo Adjustments'!A:D,4,FALSE),VLOOKUP(L425,'All Solo Adjustments'!A:J,10,FALSE))</f>
        <v>2.1516203703703704E-2</v>
      </c>
      <c r="N425" s="63"/>
      <c r="O425" s="63"/>
      <c r="P425" s="63"/>
      <c r="Q425" s="63"/>
      <c r="R425" t="s">
        <v>118</v>
      </c>
      <c r="S425" t="s">
        <v>873</v>
      </c>
      <c r="T425" t="s">
        <v>292</v>
      </c>
      <c r="U425" t="s">
        <v>10118</v>
      </c>
      <c r="V425" t="s">
        <v>2996</v>
      </c>
      <c r="W425" t="s">
        <v>1430</v>
      </c>
      <c r="Y425" t="s">
        <v>10117</v>
      </c>
      <c r="Z425" t="str">
        <f>"01709 874033"</f>
        <v>01709 874033</v>
      </c>
      <c r="AA425" t="str">
        <f>""</f>
        <v/>
      </c>
      <c r="AB425" t="s">
        <v>1214</v>
      </c>
      <c r="AD425" t="s">
        <v>151</v>
      </c>
      <c r="AF425" t="s">
        <v>113</v>
      </c>
      <c r="AG425" t="s">
        <v>112</v>
      </c>
      <c r="AH425" t="s">
        <v>112</v>
      </c>
      <c r="AI425" s="63">
        <v>29952</v>
      </c>
      <c r="AK425" t="s">
        <v>111</v>
      </c>
      <c r="AL425" t="s">
        <v>111</v>
      </c>
      <c r="AM425" t="s">
        <v>111</v>
      </c>
      <c r="AN425" t="s">
        <v>105</v>
      </c>
      <c r="AO425" t="s">
        <v>110</v>
      </c>
      <c r="AP425" t="s">
        <v>109</v>
      </c>
    </row>
    <row r="426" spans="1:42" x14ac:dyDescent="0.25">
      <c r="A426" s="28" t="str">
        <f>"16131"</f>
        <v>16131</v>
      </c>
      <c r="B426">
        <v>16131</v>
      </c>
      <c r="C426" t="s">
        <v>2488</v>
      </c>
      <c r="D426" t="s">
        <v>121</v>
      </c>
      <c r="F426" t="s">
        <v>149</v>
      </c>
      <c r="G426" t="s">
        <v>890</v>
      </c>
      <c r="I426" t="s">
        <v>10116</v>
      </c>
      <c r="J426" t="s">
        <v>126</v>
      </c>
      <c r="K426" s="63">
        <v>29136</v>
      </c>
      <c r="L426" s="28">
        <f>DATEDIF(K426,Zwift25!G$1,"Y")</f>
        <v>45</v>
      </c>
      <c r="M426" s="67">
        <f>IF(J426="m",VLOOKUP(L426,'All Solo Adjustments'!A:D,4,FALSE),VLOOKUP(L426,'All Solo Adjustments'!A:J,10,FALSE))</f>
        <v>4.6180555555555558E-3</v>
      </c>
      <c r="N426" s="63"/>
      <c r="O426" s="63"/>
      <c r="P426" s="63"/>
      <c r="Q426" s="63"/>
      <c r="R426" t="s">
        <v>180</v>
      </c>
      <c r="S426" t="s">
        <v>179</v>
      </c>
      <c r="T426" t="s">
        <v>292</v>
      </c>
      <c r="U426" t="s">
        <v>10115</v>
      </c>
      <c r="V426" t="s">
        <v>10114</v>
      </c>
      <c r="Y426" t="s">
        <v>10113</v>
      </c>
      <c r="Z426" t="str">
        <f>"07837383035"</f>
        <v>07837383035</v>
      </c>
      <c r="AA426" t="str">
        <f>""</f>
        <v/>
      </c>
      <c r="AB426" t="s">
        <v>10112</v>
      </c>
      <c r="AC426" t="s">
        <v>10111</v>
      </c>
      <c r="AD426" t="s">
        <v>114</v>
      </c>
      <c r="AE426" s="63">
        <v>45418</v>
      </c>
      <c r="AF426" t="s">
        <v>156</v>
      </c>
      <c r="AG426" t="s">
        <v>112</v>
      </c>
      <c r="AH426" t="s">
        <v>112</v>
      </c>
      <c r="AI426" s="63">
        <v>45418</v>
      </c>
      <c r="AJ426" s="63">
        <v>45657</v>
      </c>
      <c r="AK426" t="s">
        <v>112</v>
      </c>
      <c r="AL426" t="s">
        <v>111</v>
      </c>
      <c r="AM426" t="s">
        <v>111</v>
      </c>
      <c r="AN426">
        <v>38146</v>
      </c>
      <c r="AO426" t="s">
        <v>122</v>
      </c>
      <c r="AP426" t="s">
        <v>122</v>
      </c>
    </row>
    <row r="427" spans="1:42" x14ac:dyDescent="0.25">
      <c r="A427" s="28" t="str">
        <f>"15705"</f>
        <v>15705</v>
      </c>
      <c r="B427">
        <v>15705</v>
      </c>
      <c r="C427" t="s">
        <v>2488</v>
      </c>
      <c r="D427" t="s">
        <v>121</v>
      </c>
      <c r="E427" t="s">
        <v>584</v>
      </c>
      <c r="F427" t="s">
        <v>120</v>
      </c>
      <c r="G427" t="s">
        <v>1487</v>
      </c>
      <c r="I427" t="s">
        <v>10110</v>
      </c>
      <c r="J427" t="s">
        <v>7</v>
      </c>
      <c r="K427" s="63">
        <v>29508</v>
      </c>
      <c r="L427" s="28">
        <f>DATEDIF(K427,Zwift25!G$1,"Y")</f>
        <v>43</v>
      </c>
      <c r="M427" s="67">
        <f>IF(J427="m",VLOOKUP(L427,'All Solo Adjustments'!A:D,4,FALSE),VLOOKUP(L427,'All Solo Adjustments'!A:J,10,FALSE))</f>
        <v>2.4305555555555555E-4</v>
      </c>
      <c r="N427" s="63"/>
      <c r="O427" s="63"/>
      <c r="P427" s="63"/>
      <c r="Q427" s="63"/>
      <c r="R427" t="s">
        <v>239</v>
      </c>
      <c r="S427" t="s">
        <v>274</v>
      </c>
      <c r="T427" t="s">
        <v>292</v>
      </c>
      <c r="U427" t="s">
        <v>10109</v>
      </c>
      <c r="W427" t="s">
        <v>547</v>
      </c>
      <c r="Y427" t="s">
        <v>10108</v>
      </c>
      <c r="Z427" t="str">
        <f>"07765425964"</f>
        <v>07765425964</v>
      </c>
      <c r="AA427" t="str">
        <f>""</f>
        <v/>
      </c>
      <c r="AB427" t="s">
        <v>1541</v>
      </c>
      <c r="AC427" t="s">
        <v>10107</v>
      </c>
      <c r="AD427" t="s">
        <v>114</v>
      </c>
      <c r="AE427" s="63">
        <v>45293</v>
      </c>
      <c r="AF427" t="s">
        <v>113</v>
      </c>
      <c r="AG427" t="s">
        <v>112</v>
      </c>
      <c r="AH427" t="s">
        <v>112</v>
      </c>
      <c r="AI427" s="63">
        <v>44981</v>
      </c>
      <c r="AJ427" s="63">
        <v>45657</v>
      </c>
      <c r="AK427" t="s">
        <v>112</v>
      </c>
      <c r="AL427" t="s">
        <v>111</v>
      </c>
      <c r="AM427" t="s">
        <v>111</v>
      </c>
      <c r="AN427">
        <v>38764</v>
      </c>
      <c r="AO427" t="s">
        <v>110</v>
      </c>
      <c r="AP427" t="s">
        <v>109</v>
      </c>
    </row>
    <row r="428" spans="1:42" x14ac:dyDescent="0.25">
      <c r="A428" s="28" t="str">
        <f>"0576"</f>
        <v>0576</v>
      </c>
      <c r="B428">
        <v>576</v>
      </c>
      <c r="C428" t="s">
        <v>2488</v>
      </c>
      <c r="D428" t="s">
        <v>121</v>
      </c>
      <c r="F428" t="s">
        <v>120</v>
      </c>
      <c r="G428" t="s">
        <v>251</v>
      </c>
      <c r="I428" t="s">
        <v>10106</v>
      </c>
      <c r="J428" t="s">
        <v>7</v>
      </c>
      <c r="K428" s="63">
        <v>13401</v>
      </c>
      <c r="L428" s="28">
        <f>DATEDIF(K428,Zwift25!G$1,"Y")</f>
        <v>88</v>
      </c>
      <c r="M428" s="67">
        <f>IF(J428="m",VLOOKUP(L428,'All Solo Adjustments'!A:D,4,FALSE),VLOOKUP(L428,'All Solo Adjustments'!A:J,10,FALSE))</f>
        <v>1.6597222222222222E-2</v>
      </c>
      <c r="N428" s="63"/>
      <c r="O428" s="63"/>
      <c r="P428" s="63"/>
      <c r="Q428" s="63"/>
      <c r="R428" t="s">
        <v>143</v>
      </c>
      <c r="S428" t="s">
        <v>487</v>
      </c>
      <c r="T428" t="s">
        <v>292</v>
      </c>
      <c r="U428" t="s">
        <v>10105</v>
      </c>
      <c r="V428" t="s">
        <v>1854</v>
      </c>
      <c r="W428" t="s">
        <v>486</v>
      </c>
      <c r="Y428" t="s">
        <v>10104</v>
      </c>
      <c r="Z428" t="str">
        <f>"01273 563733"</f>
        <v>01273 563733</v>
      </c>
      <c r="AA428" t="str">
        <f>""</f>
        <v/>
      </c>
      <c r="AB428" t="s">
        <v>972</v>
      </c>
      <c r="AC428" t="s">
        <v>10103</v>
      </c>
      <c r="AD428" t="s">
        <v>151</v>
      </c>
      <c r="AF428" t="s">
        <v>113</v>
      </c>
      <c r="AG428" t="s">
        <v>112</v>
      </c>
      <c r="AH428" t="s">
        <v>112</v>
      </c>
      <c r="AI428" s="63">
        <v>32509</v>
      </c>
      <c r="AK428" t="s">
        <v>111</v>
      </c>
      <c r="AL428" t="s">
        <v>111</v>
      </c>
      <c r="AM428" t="s">
        <v>111</v>
      </c>
      <c r="AN428" t="s">
        <v>105</v>
      </c>
      <c r="AO428" t="s">
        <v>110</v>
      </c>
      <c r="AP428" t="s">
        <v>109</v>
      </c>
    </row>
    <row r="429" spans="1:42" x14ac:dyDescent="0.25">
      <c r="A429" s="28" t="str">
        <f>"16160"</f>
        <v>16160</v>
      </c>
      <c r="B429">
        <v>16160</v>
      </c>
      <c r="C429" t="s">
        <v>2488</v>
      </c>
      <c r="D429" t="s">
        <v>121</v>
      </c>
      <c r="F429" t="s">
        <v>120</v>
      </c>
      <c r="G429" t="s">
        <v>185</v>
      </c>
      <c r="H429" t="s">
        <v>195</v>
      </c>
      <c r="I429" t="s">
        <v>2091</v>
      </c>
      <c r="J429" t="s">
        <v>7</v>
      </c>
      <c r="K429" s="63">
        <v>29739</v>
      </c>
      <c r="L429" s="28">
        <f>DATEDIF(K429,Zwift25!G$1,"Y")</f>
        <v>43</v>
      </c>
      <c r="M429" s="67">
        <f>IF(J429="m",VLOOKUP(L429,'All Solo Adjustments'!A:D,4,FALSE),VLOOKUP(L429,'All Solo Adjustments'!A:J,10,FALSE))</f>
        <v>2.4305555555555555E-4</v>
      </c>
      <c r="N429" s="63"/>
      <c r="O429" s="63"/>
      <c r="P429" s="63"/>
      <c r="Q429" s="63"/>
      <c r="R429" t="s">
        <v>527</v>
      </c>
      <c r="S429" t="s">
        <v>526</v>
      </c>
      <c r="T429" t="s">
        <v>292</v>
      </c>
      <c r="U429" t="s">
        <v>10102</v>
      </c>
      <c r="W429" t="s">
        <v>10101</v>
      </c>
      <c r="X429" t="s">
        <v>1227</v>
      </c>
      <c r="Y429" t="s">
        <v>10100</v>
      </c>
      <c r="Z429" t="str">
        <f>"07568314760"</f>
        <v>07568314760</v>
      </c>
      <c r="AA429" t="str">
        <f>""</f>
        <v/>
      </c>
      <c r="AB429" t="s">
        <v>7833</v>
      </c>
      <c r="AC429" t="s">
        <v>10099</v>
      </c>
      <c r="AD429" t="s">
        <v>114</v>
      </c>
      <c r="AE429" s="63">
        <v>45459</v>
      </c>
      <c r="AF429" t="s">
        <v>156</v>
      </c>
      <c r="AG429" t="s">
        <v>112</v>
      </c>
      <c r="AH429" t="s">
        <v>112</v>
      </c>
      <c r="AI429" s="63">
        <v>45459</v>
      </c>
      <c r="AJ429" s="63">
        <v>45657</v>
      </c>
      <c r="AK429" t="s">
        <v>112</v>
      </c>
      <c r="AL429" t="s">
        <v>111</v>
      </c>
      <c r="AM429" t="s">
        <v>111</v>
      </c>
      <c r="AN429">
        <v>45149</v>
      </c>
      <c r="AO429" t="s">
        <v>110</v>
      </c>
      <c r="AP429" t="s">
        <v>109</v>
      </c>
    </row>
    <row r="430" spans="1:42" x14ac:dyDescent="0.25">
      <c r="A430" s="28" t="str">
        <f>"3903"</f>
        <v>3903</v>
      </c>
      <c r="B430">
        <v>3903</v>
      </c>
      <c r="C430" t="s">
        <v>2488</v>
      </c>
      <c r="D430" t="s">
        <v>121</v>
      </c>
      <c r="F430" t="s">
        <v>120</v>
      </c>
      <c r="G430" t="s">
        <v>300</v>
      </c>
      <c r="H430" t="s">
        <v>10098</v>
      </c>
      <c r="I430" t="s">
        <v>10097</v>
      </c>
      <c r="J430" t="s">
        <v>7</v>
      </c>
      <c r="K430" s="63">
        <v>22031</v>
      </c>
      <c r="L430" s="28">
        <f>DATEDIF(K430,Zwift25!G$1,"Y")</f>
        <v>64</v>
      </c>
      <c r="M430" s="67">
        <f>IF(J430="m",VLOOKUP(L430,'All Solo Adjustments'!A:D,4,FALSE),VLOOKUP(L430,'All Solo Adjustments'!A:J,10,FALSE))</f>
        <v>4.31712962962963E-3</v>
      </c>
      <c r="N430" s="63"/>
      <c r="O430" s="63"/>
      <c r="P430" s="63"/>
      <c r="Q430" s="63"/>
      <c r="R430" t="s">
        <v>125</v>
      </c>
      <c r="S430" t="s">
        <v>170</v>
      </c>
      <c r="T430" t="s">
        <v>292</v>
      </c>
      <c r="U430" t="s">
        <v>10096</v>
      </c>
      <c r="V430" t="s">
        <v>10095</v>
      </c>
      <c r="W430" t="s">
        <v>123</v>
      </c>
      <c r="Y430" t="s">
        <v>10094</v>
      </c>
      <c r="Z430" t="str">
        <f>"07791 678188"</f>
        <v>07791 678188</v>
      </c>
      <c r="AA430" t="str">
        <f>""</f>
        <v/>
      </c>
      <c r="AB430" t="s">
        <v>7811</v>
      </c>
      <c r="AC430" t="s">
        <v>10093</v>
      </c>
      <c r="AD430" t="s">
        <v>114</v>
      </c>
      <c r="AE430" s="63">
        <v>45309</v>
      </c>
      <c r="AF430" t="s">
        <v>156</v>
      </c>
      <c r="AG430" t="s">
        <v>112</v>
      </c>
      <c r="AH430" t="s">
        <v>112</v>
      </c>
      <c r="AI430" s="63">
        <v>41352</v>
      </c>
      <c r="AJ430" s="63">
        <v>45657</v>
      </c>
      <c r="AK430" t="s">
        <v>111</v>
      </c>
      <c r="AL430" t="s">
        <v>111</v>
      </c>
      <c r="AM430" t="s">
        <v>111</v>
      </c>
      <c r="AN430">
        <v>4450</v>
      </c>
      <c r="AO430" t="s">
        <v>110</v>
      </c>
      <c r="AP430" t="s">
        <v>109</v>
      </c>
    </row>
    <row r="431" spans="1:42" x14ac:dyDescent="0.25">
      <c r="A431" s="28" t="str">
        <f>"580"</f>
        <v>580</v>
      </c>
      <c r="B431">
        <v>580</v>
      </c>
      <c r="C431" t="s">
        <v>2488</v>
      </c>
      <c r="D431" t="s">
        <v>121</v>
      </c>
      <c r="E431" t="s">
        <v>584</v>
      </c>
      <c r="F431" t="s">
        <v>120</v>
      </c>
      <c r="G431" t="s">
        <v>680</v>
      </c>
      <c r="H431" t="s">
        <v>941</v>
      </c>
      <c r="I431" t="s">
        <v>2089</v>
      </c>
      <c r="J431" t="s">
        <v>7</v>
      </c>
      <c r="K431" s="63">
        <v>19677</v>
      </c>
      <c r="L431" s="28">
        <f>DATEDIF(K431,Zwift25!G$1,"Y")</f>
        <v>70</v>
      </c>
      <c r="M431" s="67">
        <f>IF(J431="m",VLOOKUP(L431,'All Solo Adjustments'!A:D,4,FALSE),VLOOKUP(L431,'All Solo Adjustments'!A:J,10,FALSE))</f>
        <v>6.3425925925925924E-3</v>
      </c>
      <c r="N431" s="63"/>
      <c r="O431" s="63"/>
      <c r="P431" s="63"/>
      <c r="Q431" s="63"/>
      <c r="R431" t="s">
        <v>180</v>
      </c>
      <c r="S431" t="s">
        <v>179</v>
      </c>
      <c r="T431" t="s">
        <v>292</v>
      </c>
      <c r="U431" t="s">
        <v>2088</v>
      </c>
      <c r="V431" t="s">
        <v>2087</v>
      </c>
      <c r="W431" t="s">
        <v>1145</v>
      </c>
      <c r="X431" t="s">
        <v>892</v>
      </c>
      <c r="Y431" t="s">
        <v>2086</v>
      </c>
      <c r="Z431" t="str">
        <f>"01785 812565"</f>
        <v>01785 812565</v>
      </c>
      <c r="AA431" t="str">
        <f>"07894033152"</f>
        <v>07894033152</v>
      </c>
      <c r="AB431" t="s">
        <v>1232</v>
      </c>
      <c r="AC431" t="s">
        <v>10092</v>
      </c>
      <c r="AD431" t="s">
        <v>114</v>
      </c>
      <c r="AE431" s="63">
        <v>45363</v>
      </c>
      <c r="AF431" t="s">
        <v>113</v>
      </c>
      <c r="AG431" t="s">
        <v>112</v>
      </c>
      <c r="AH431" t="s">
        <v>112</v>
      </c>
      <c r="AI431" s="63">
        <v>36677</v>
      </c>
      <c r="AJ431" s="63">
        <v>45657</v>
      </c>
      <c r="AK431" t="s">
        <v>111</v>
      </c>
      <c r="AL431" t="s">
        <v>111</v>
      </c>
      <c r="AM431" t="s">
        <v>111</v>
      </c>
      <c r="AN431">
        <v>1765</v>
      </c>
      <c r="AO431" t="s">
        <v>110</v>
      </c>
      <c r="AP431" t="s">
        <v>109</v>
      </c>
    </row>
    <row r="432" spans="1:42" x14ac:dyDescent="0.25">
      <c r="A432" s="28" t="str">
        <f>"0581"</f>
        <v>0581</v>
      </c>
      <c r="B432">
        <v>581</v>
      </c>
      <c r="C432" t="s">
        <v>2488</v>
      </c>
      <c r="D432" t="s">
        <v>121</v>
      </c>
      <c r="F432" t="s">
        <v>120</v>
      </c>
      <c r="G432" t="s">
        <v>513</v>
      </c>
      <c r="I432" t="s">
        <v>10091</v>
      </c>
      <c r="J432" t="s">
        <v>7</v>
      </c>
      <c r="K432" s="63">
        <v>13505</v>
      </c>
      <c r="L432" s="28">
        <f>DATEDIF(K432,Zwift25!G$1,"Y")</f>
        <v>87</v>
      </c>
      <c r="M432" s="67">
        <f>IF(J432="m",VLOOKUP(L432,'All Solo Adjustments'!A:D,4,FALSE),VLOOKUP(L432,'All Solo Adjustments'!A:J,10,FALSE))</f>
        <v>1.576388888888889E-2</v>
      </c>
      <c r="N432" s="63"/>
      <c r="O432" s="63"/>
      <c r="P432" s="63"/>
      <c r="Q432" s="63"/>
      <c r="R432" t="s">
        <v>184</v>
      </c>
      <c r="S432" t="s">
        <v>10090</v>
      </c>
      <c r="T432" t="s">
        <v>292</v>
      </c>
      <c r="U432" t="s">
        <v>10089</v>
      </c>
      <c r="V432" t="s">
        <v>1669</v>
      </c>
      <c r="W432" t="s">
        <v>401</v>
      </c>
      <c r="Y432" t="s">
        <v>10088</v>
      </c>
      <c r="Z432" t="str">
        <f>""</f>
        <v/>
      </c>
      <c r="AA432" t="str">
        <f>""</f>
        <v/>
      </c>
      <c r="AB432" t="s">
        <v>10087</v>
      </c>
      <c r="AD432" t="s">
        <v>151</v>
      </c>
      <c r="AF432" t="s">
        <v>113</v>
      </c>
      <c r="AG432" t="s">
        <v>111</v>
      </c>
      <c r="AH432" t="s">
        <v>112</v>
      </c>
      <c r="AI432" s="63">
        <v>28216</v>
      </c>
      <c r="AK432" t="s">
        <v>111</v>
      </c>
      <c r="AL432" t="s">
        <v>111</v>
      </c>
      <c r="AM432" t="s">
        <v>111</v>
      </c>
      <c r="AN432" t="s">
        <v>105</v>
      </c>
      <c r="AO432" t="s">
        <v>110</v>
      </c>
      <c r="AP432" t="s">
        <v>109</v>
      </c>
    </row>
    <row r="433" spans="1:42" x14ac:dyDescent="0.25">
      <c r="A433" s="28" t="str">
        <f>"15771"</f>
        <v>15771</v>
      </c>
      <c r="B433">
        <v>15771</v>
      </c>
      <c r="C433" t="s">
        <v>2488</v>
      </c>
      <c r="D433" t="s">
        <v>121</v>
      </c>
      <c r="E433" t="s">
        <v>584</v>
      </c>
      <c r="F433" t="s">
        <v>120</v>
      </c>
      <c r="G433" t="s">
        <v>1404</v>
      </c>
      <c r="I433" t="s">
        <v>2085</v>
      </c>
      <c r="J433" t="s">
        <v>7</v>
      </c>
      <c r="K433" s="63">
        <v>30214</v>
      </c>
      <c r="L433" s="28">
        <f>DATEDIF(K433,Zwift25!G$1,"Y")</f>
        <v>42</v>
      </c>
      <c r="M433" s="67">
        <f>IF(J433="m",VLOOKUP(L433,'All Solo Adjustments'!A:D,4,FALSE),VLOOKUP(L433,'All Solo Adjustments'!A:J,10,FALSE))</f>
        <v>1.5046296296296295E-4</v>
      </c>
      <c r="N433" s="63"/>
      <c r="O433" s="63"/>
      <c r="P433" s="63"/>
      <c r="Q433" s="63"/>
      <c r="R433" t="s">
        <v>184</v>
      </c>
      <c r="S433" t="s">
        <v>183</v>
      </c>
      <c r="T433" t="s">
        <v>292</v>
      </c>
      <c r="U433" t="s">
        <v>10086</v>
      </c>
      <c r="V433" t="s">
        <v>10085</v>
      </c>
      <c r="W433" t="s">
        <v>729</v>
      </c>
      <c r="Y433" t="s">
        <v>10084</v>
      </c>
      <c r="Z433" t="str">
        <f>"O78691 O15 99"</f>
        <v>O78691 O15 99</v>
      </c>
      <c r="AA433" t="str">
        <f>""</f>
        <v/>
      </c>
      <c r="AB433" t="s">
        <v>232</v>
      </c>
      <c r="AC433" t="s">
        <v>10083</v>
      </c>
      <c r="AD433" t="s">
        <v>114</v>
      </c>
      <c r="AE433" s="63">
        <v>45322</v>
      </c>
      <c r="AF433" t="s">
        <v>156</v>
      </c>
      <c r="AG433" t="s">
        <v>112</v>
      </c>
      <c r="AH433" t="s">
        <v>112</v>
      </c>
      <c r="AI433" s="63">
        <v>45025</v>
      </c>
      <c r="AJ433" s="63">
        <v>45657</v>
      </c>
      <c r="AK433" t="s">
        <v>112</v>
      </c>
      <c r="AL433" t="s">
        <v>111</v>
      </c>
      <c r="AM433" t="s">
        <v>111</v>
      </c>
      <c r="AN433">
        <v>34972</v>
      </c>
      <c r="AO433" t="s">
        <v>110</v>
      </c>
      <c r="AP433" t="s">
        <v>109</v>
      </c>
    </row>
    <row r="434" spans="1:42" x14ac:dyDescent="0.25">
      <c r="A434" s="28" t="str">
        <f>"16119"</f>
        <v>16119</v>
      </c>
      <c r="B434">
        <v>16119</v>
      </c>
      <c r="C434" t="s">
        <v>2488</v>
      </c>
      <c r="D434" t="s">
        <v>121</v>
      </c>
      <c r="E434" t="s">
        <v>584</v>
      </c>
      <c r="F434" t="s">
        <v>120</v>
      </c>
      <c r="G434" t="s">
        <v>230</v>
      </c>
      <c r="H434" t="s">
        <v>488</v>
      </c>
      <c r="I434" t="s">
        <v>10082</v>
      </c>
      <c r="J434" t="s">
        <v>7</v>
      </c>
      <c r="K434" s="63">
        <v>21181</v>
      </c>
      <c r="L434" s="28">
        <f>DATEDIF(K434,Zwift25!G$1,"Y")</f>
        <v>66</v>
      </c>
      <c r="M434" s="67">
        <f>IF(J434="m",VLOOKUP(L434,'All Solo Adjustments'!A:D,4,FALSE),VLOOKUP(L434,'All Solo Adjustments'!A:J,10,FALSE))</f>
        <v>4.9421296296296297E-3</v>
      </c>
      <c r="N434" s="63"/>
      <c r="O434" s="63"/>
      <c r="P434" s="63"/>
      <c r="Q434" s="63"/>
      <c r="R434" t="s">
        <v>180</v>
      </c>
      <c r="S434" t="s">
        <v>179</v>
      </c>
      <c r="T434" t="s">
        <v>292</v>
      </c>
      <c r="U434" t="s">
        <v>10081</v>
      </c>
      <c r="V434" t="s">
        <v>10080</v>
      </c>
      <c r="W434" t="s">
        <v>1296</v>
      </c>
      <c r="Y434" t="s">
        <v>10079</v>
      </c>
      <c r="Z434" t="str">
        <f>"07817312904"</f>
        <v>07817312904</v>
      </c>
      <c r="AA434" t="str">
        <f>"01652635175"</f>
        <v>01652635175</v>
      </c>
      <c r="AB434" t="s">
        <v>8875</v>
      </c>
      <c r="AC434" t="s">
        <v>10078</v>
      </c>
      <c r="AD434" t="s">
        <v>114</v>
      </c>
      <c r="AE434" s="63">
        <v>45407</v>
      </c>
      <c r="AF434" t="s">
        <v>156</v>
      </c>
      <c r="AG434" t="s">
        <v>112</v>
      </c>
      <c r="AH434" t="s">
        <v>112</v>
      </c>
      <c r="AI434" s="63">
        <v>45407</v>
      </c>
      <c r="AJ434" s="63">
        <v>45657</v>
      </c>
      <c r="AK434" t="s">
        <v>112</v>
      </c>
      <c r="AL434" t="s">
        <v>111</v>
      </c>
      <c r="AM434" t="s">
        <v>111</v>
      </c>
      <c r="AN434">
        <v>44555</v>
      </c>
      <c r="AO434" t="s">
        <v>110</v>
      </c>
      <c r="AP434" t="s">
        <v>109</v>
      </c>
    </row>
    <row r="435" spans="1:42" x14ac:dyDescent="0.25">
      <c r="A435" s="28" t="str">
        <f>"14787"</f>
        <v>14787</v>
      </c>
      <c r="B435">
        <v>14787</v>
      </c>
      <c r="C435" t="s">
        <v>2488</v>
      </c>
      <c r="D435" t="s">
        <v>132</v>
      </c>
      <c r="E435" t="s">
        <v>584</v>
      </c>
      <c r="F435" t="s">
        <v>120</v>
      </c>
      <c r="G435" t="s">
        <v>492</v>
      </c>
      <c r="I435" t="s">
        <v>864</v>
      </c>
      <c r="J435" t="s">
        <v>7</v>
      </c>
      <c r="K435" s="63">
        <v>22289</v>
      </c>
      <c r="L435" s="28">
        <f>DATEDIF(K435,Zwift25!G$1,"Y")</f>
        <v>63</v>
      </c>
      <c r="M435" s="67">
        <f>IF(J435="m",VLOOKUP(L435,'All Solo Adjustments'!A:D,4,FALSE),VLOOKUP(L435,'All Solo Adjustments'!A:J,10,FALSE))</f>
        <v>4.0277777777777777E-3</v>
      </c>
      <c r="N435" s="63"/>
      <c r="O435" s="63"/>
      <c r="P435" s="63"/>
      <c r="Q435" s="63"/>
      <c r="R435" t="s">
        <v>296</v>
      </c>
      <c r="S435" t="s">
        <v>701</v>
      </c>
      <c r="T435" t="s">
        <v>292</v>
      </c>
      <c r="U435" t="s">
        <v>10076</v>
      </c>
      <c r="V435" t="s">
        <v>10075</v>
      </c>
      <c r="W435" t="s">
        <v>10074</v>
      </c>
      <c r="Y435" t="s">
        <v>10073</v>
      </c>
      <c r="Z435" t="str">
        <f>"07970 780460"</f>
        <v>07970 780460</v>
      </c>
      <c r="AA435" t="str">
        <f>"01828 640435"</f>
        <v>01828 640435</v>
      </c>
      <c r="AB435" t="s">
        <v>2832</v>
      </c>
      <c r="AC435" t="s">
        <v>861</v>
      </c>
      <c r="AD435" t="s">
        <v>114</v>
      </c>
      <c r="AE435" s="63">
        <v>45264</v>
      </c>
      <c r="AF435" t="s">
        <v>156</v>
      </c>
      <c r="AG435" t="s">
        <v>112</v>
      </c>
      <c r="AH435" t="s">
        <v>112</v>
      </c>
      <c r="AI435" s="63">
        <v>44166</v>
      </c>
      <c r="AJ435" s="63">
        <v>45657</v>
      </c>
      <c r="AK435" t="s">
        <v>112</v>
      </c>
      <c r="AL435" t="s">
        <v>111</v>
      </c>
      <c r="AM435" t="s">
        <v>111</v>
      </c>
      <c r="AN435">
        <v>17296</v>
      </c>
      <c r="AO435" t="s">
        <v>110</v>
      </c>
      <c r="AP435" t="s">
        <v>109</v>
      </c>
    </row>
    <row r="436" spans="1:42" x14ac:dyDescent="0.25">
      <c r="A436" s="28" t="str">
        <f>"14788"</f>
        <v>14788</v>
      </c>
      <c r="B436">
        <v>14788</v>
      </c>
      <c r="C436" t="s">
        <v>2488</v>
      </c>
      <c r="D436" t="s">
        <v>130</v>
      </c>
      <c r="E436" t="s">
        <v>584</v>
      </c>
      <c r="F436" t="s">
        <v>149</v>
      </c>
      <c r="G436" t="s">
        <v>10077</v>
      </c>
      <c r="I436" t="s">
        <v>864</v>
      </c>
      <c r="J436" t="s">
        <v>126</v>
      </c>
      <c r="K436" s="63">
        <v>24743</v>
      </c>
      <c r="L436" s="28">
        <f>DATEDIF(K436,Zwift25!G$1,"Y")</f>
        <v>57</v>
      </c>
      <c r="M436" s="67">
        <f>IF(J436="m",VLOOKUP(L436,'All Solo Adjustments'!A:D,4,FALSE),VLOOKUP(L436,'All Solo Adjustments'!A:J,10,FALSE))</f>
        <v>6.076388888888889E-3</v>
      </c>
      <c r="N436" s="63"/>
      <c r="O436" s="63"/>
      <c r="P436" s="63"/>
      <c r="Q436" s="63"/>
      <c r="R436" t="s">
        <v>296</v>
      </c>
      <c r="S436" t="s">
        <v>701</v>
      </c>
      <c r="T436" t="s">
        <v>292</v>
      </c>
      <c r="U436" t="s">
        <v>10076</v>
      </c>
      <c r="V436" t="s">
        <v>10075</v>
      </c>
      <c r="W436" t="s">
        <v>10074</v>
      </c>
      <c r="Y436" t="s">
        <v>10073</v>
      </c>
      <c r="Z436" t="str">
        <f>"07970 780460"</f>
        <v>07970 780460</v>
      </c>
      <c r="AA436" t="str">
        <f>"01828 640435"</f>
        <v>01828 640435</v>
      </c>
      <c r="AB436" t="s">
        <v>862</v>
      </c>
      <c r="AC436" t="s">
        <v>861</v>
      </c>
      <c r="AD436" t="s">
        <v>114</v>
      </c>
      <c r="AE436" s="63">
        <v>45264</v>
      </c>
      <c r="AF436" t="s">
        <v>156</v>
      </c>
      <c r="AG436" t="s">
        <v>112</v>
      </c>
      <c r="AH436" t="s">
        <v>112</v>
      </c>
      <c r="AI436" s="63">
        <v>44166</v>
      </c>
      <c r="AJ436" s="63">
        <v>45657</v>
      </c>
      <c r="AK436" t="s">
        <v>112</v>
      </c>
      <c r="AL436" t="s">
        <v>111</v>
      </c>
      <c r="AM436" t="s">
        <v>111</v>
      </c>
      <c r="AN436">
        <v>31149</v>
      </c>
      <c r="AO436" t="s">
        <v>122</v>
      </c>
      <c r="AP436" t="s">
        <v>122</v>
      </c>
    </row>
    <row r="437" spans="1:42" x14ac:dyDescent="0.25">
      <c r="A437" s="28" t="str">
        <f>"15221"</f>
        <v>15221</v>
      </c>
      <c r="B437">
        <v>15221</v>
      </c>
      <c r="C437" t="s">
        <v>2488</v>
      </c>
      <c r="D437" t="s">
        <v>121</v>
      </c>
      <c r="E437" t="s">
        <v>584</v>
      </c>
      <c r="F437" t="s">
        <v>120</v>
      </c>
      <c r="G437" t="s">
        <v>10072</v>
      </c>
      <c r="I437" t="s">
        <v>864</v>
      </c>
      <c r="J437" t="s">
        <v>7</v>
      </c>
      <c r="K437" s="63">
        <v>26111</v>
      </c>
      <c r="L437" s="28">
        <f>DATEDIF(K437,Zwift25!G$1,"Y")</f>
        <v>53</v>
      </c>
      <c r="M437" s="67">
        <f>IF(J437="m",VLOOKUP(L437,'All Solo Adjustments'!A:D,4,FALSE),VLOOKUP(L437,'All Solo Adjustments'!A:J,10,FALSE))</f>
        <v>1.6666666666666668E-3</v>
      </c>
      <c r="N437" s="63"/>
      <c r="O437" s="63"/>
      <c r="P437" s="63"/>
      <c r="Q437" s="63"/>
      <c r="R437" t="s">
        <v>184</v>
      </c>
      <c r="S437" t="s">
        <v>183</v>
      </c>
      <c r="T437" t="s">
        <v>292</v>
      </c>
      <c r="U437" t="s">
        <v>10071</v>
      </c>
      <c r="V437" t="s">
        <v>10070</v>
      </c>
      <c r="W437" t="s">
        <v>293</v>
      </c>
      <c r="X437" t="s">
        <v>1746</v>
      </c>
      <c r="Y437" t="s">
        <v>10069</v>
      </c>
      <c r="Z437" t="str">
        <f>"07879497166"</f>
        <v>07879497166</v>
      </c>
      <c r="AA437" t="str">
        <f>""</f>
        <v/>
      </c>
      <c r="AB437" t="s">
        <v>10068</v>
      </c>
      <c r="AC437" t="s">
        <v>10067</v>
      </c>
      <c r="AD437" t="s">
        <v>114</v>
      </c>
      <c r="AE437" s="63">
        <v>45292</v>
      </c>
      <c r="AF437" t="s">
        <v>156</v>
      </c>
      <c r="AG437" t="s">
        <v>112</v>
      </c>
      <c r="AH437" t="s">
        <v>112</v>
      </c>
      <c r="AI437" s="63">
        <v>44431</v>
      </c>
      <c r="AJ437" s="63">
        <v>45657</v>
      </c>
      <c r="AK437" t="s">
        <v>112</v>
      </c>
      <c r="AL437" t="s">
        <v>111</v>
      </c>
      <c r="AM437" t="s">
        <v>111</v>
      </c>
      <c r="AN437">
        <v>34436</v>
      </c>
      <c r="AO437" t="s">
        <v>110</v>
      </c>
      <c r="AP437" t="s">
        <v>109</v>
      </c>
    </row>
    <row r="438" spans="1:42" x14ac:dyDescent="0.25">
      <c r="A438" s="28" t="str">
        <f>"16171"</f>
        <v>16171</v>
      </c>
      <c r="B438">
        <v>16171</v>
      </c>
      <c r="C438" t="s">
        <v>2488</v>
      </c>
      <c r="D438" t="s">
        <v>121</v>
      </c>
      <c r="F438" t="s">
        <v>120</v>
      </c>
      <c r="G438" t="s">
        <v>284</v>
      </c>
      <c r="I438" t="s">
        <v>864</v>
      </c>
      <c r="J438" t="s">
        <v>7</v>
      </c>
      <c r="K438" s="63">
        <v>23076</v>
      </c>
      <c r="L438" s="28">
        <f>DATEDIF(K438,Zwift25!G$1,"Y")</f>
        <v>61</v>
      </c>
      <c r="M438" s="67">
        <f>IF(J438="m",VLOOKUP(L438,'All Solo Adjustments'!A:D,4,FALSE),VLOOKUP(L438,'All Solo Adjustments'!A:J,10,FALSE))</f>
        <v>3.4722222222222225E-3</v>
      </c>
      <c r="N438" s="63"/>
      <c r="O438" s="63"/>
      <c r="P438" s="63"/>
      <c r="Q438" s="63"/>
      <c r="R438" t="s">
        <v>527</v>
      </c>
      <c r="S438" t="s">
        <v>526</v>
      </c>
      <c r="T438" t="s">
        <v>292</v>
      </c>
      <c r="U438" t="s">
        <v>10066</v>
      </c>
      <c r="V438" t="s">
        <v>10065</v>
      </c>
      <c r="W438" t="s">
        <v>10064</v>
      </c>
      <c r="X438" t="s">
        <v>337</v>
      </c>
      <c r="Y438" t="s">
        <v>10063</v>
      </c>
      <c r="Z438" t="str">
        <f>"07869054274"</f>
        <v>07869054274</v>
      </c>
      <c r="AA438" t="str">
        <f>""</f>
        <v/>
      </c>
      <c r="AB438" t="s">
        <v>2240</v>
      </c>
      <c r="AC438" t="s">
        <v>10062</v>
      </c>
      <c r="AD438" t="s">
        <v>114</v>
      </c>
      <c r="AE438" s="63">
        <v>45465</v>
      </c>
      <c r="AF438" t="s">
        <v>156</v>
      </c>
      <c r="AG438" t="s">
        <v>112</v>
      </c>
      <c r="AH438" t="s">
        <v>112</v>
      </c>
      <c r="AI438" s="63">
        <v>45465</v>
      </c>
      <c r="AJ438" s="63">
        <v>45657</v>
      </c>
      <c r="AK438" t="s">
        <v>112</v>
      </c>
      <c r="AL438" t="s">
        <v>111</v>
      </c>
      <c r="AM438" t="s">
        <v>111</v>
      </c>
      <c r="AN438">
        <v>19059</v>
      </c>
      <c r="AO438" t="s">
        <v>110</v>
      </c>
      <c r="AP438" t="s">
        <v>109</v>
      </c>
    </row>
    <row r="439" spans="1:42" x14ac:dyDescent="0.25">
      <c r="A439" s="28" t="str">
        <f>"3806"</f>
        <v>3806</v>
      </c>
      <c r="B439">
        <v>3806</v>
      </c>
      <c r="C439" t="s">
        <v>2488</v>
      </c>
      <c r="D439" t="s">
        <v>121</v>
      </c>
      <c r="F439" t="s">
        <v>120</v>
      </c>
      <c r="G439" t="s">
        <v>744</v>
      </c>
      <c r="H439" t="s">
        <v>1483</v>
      </c>
      <c r="I439" t="s">
        <v>858</v>
      </c>
      <c r="J439" t="s">
        <v>7</v>
      </c>
      <c r="K439" s="63">
        <v>24692</v>
      </c>
      <c r="L439" s="28">
        <f>DATEDIF(K439,Zwift25!G$1,"Y")</f>
        <v>57</v>
      </c>
      <c r="M439" s="67">
        <f>IF(J439="m",VLOOKUP(L439,'All Solo Adjustments'!A:D,4,FALSE),VLOOKUP(L439,'All Solo Adjustments'!A:J,10,FALSE))</f>
        <v>2.488425925925926E-3</v>
      </c>
      <c r="N439" s="63"/>
      <c r="O439" s="63"/>
      <c r="P439" s="63"/>
      <c r="Q439" s="63"/>
      <c r="R439" t="s">
        <v>184</v>
      </c>
      <c r="S439" t="s">
        <v>183</v>
      </c>
      <c r="T439" t="s">
        <v>292</v>
      </c>
      <c r="U439" t="s">
        <v>10061</v>
      </c>
      <c r="V439" t="s">
        <v>2282</v>
      </c>
      <c r="W439" t="s">
        <v>735</v>
      </c>
      <c r="Y439" t="s">
        <v>10060</v>
      </c>
      <c r="Z439" t="str">
        <f>"07362473965"</f>
        <v>07362473965</v>
      </c>
      <c r="AA439" t="str">
        <f>"01525750525"</f>
        <v>01525750525</v>
      </c>
      <c r="AB439" t="s">
        <v>2226</v>
      </c>
      <c r="AC439" t="s">
        <v>10059</v>
      </c>
      <c r="AD439" t="s">
        <v>114</v>
      </c>
      <c r="AE439" s="63">
        <v>45293</v>
      </c>
      <c r="AF439" t="s">
        <v>156</v>
      </c>
      <c r="AG439" t="s">
        <v>112</v>
      </c>
      <c r="AH439" t="s">
        <v>112</v>
      </c>
      <c r="AI439" s="63">
        <v>40194</v>
      </c>
      <c r="AJ439" s="63">
        <v>45657</v>
      </c>
      <c r="AK439" t="s">
        <v>111</v>
      </c>
      <c r="AL439" t="s">
        <v>111</v>
      </c>
      <c r="AM439" t="s">
        <v>111</v>
      </c>
      <c r="AN439">
        <v>1269</v>
      </c>
      <c r="AO439" t="s">
        <v>110</v>
      </c>
      <c r="AP439" t="s">
        <v>109</v>
      </c>
    </row>
    <row r="440" spans="1:42" x14ac:dyDescent="0.25">
      <c r="A440" s="28" t="str">
        <f>"4413"</f>
        <v>4413</v>
      </c>
      <c r="B440">
        <v>4413</v>
      </c>
      <c r="C440" t="s">
        <v>2488</v>
      </c>
      <c r="D440" t="s">
        <v>121</v>
      </c>
      <c r="F440" t="s">
        <v>120</v>
      </c>
      <c r="G440" t="s">
        <v>285</v>
      </c>
      <c r="I440" t="s">
        <v>858</v>
      </c>
      <c r="J440" t="s">
        <v>7</v>
      </c>
      <c r="K440" s="63">
        <v>19298</v>
      </c>
      <c r="L440" s="28">
        <f>DATEDIF(K440,Zwift25!G$1,"Y")</f>
        <v>71</v>
      </c>
      <c r="M440" s="67">
        <f>IF(J440="m",VLOOKUP(L440,'All Solo Adjustments'!A:D,4,FALSE),VLOOKUP(L440,'All Solo Adjustments'!A:J,10,FALSE))</f>
        <v>6.7245370370370375E-3</v>
      </c>
      <c r="N440" s="63"/>
      <c r="O440" s="63"/>
      <c r="P440" s="63"/>
      <c r="Q440" s="63"/>
      <c r="R440" t="s">
        <v>184</v>
      </c>
      <c r="S440" t="s">
        <v>183</v>
      </c>
      <c r="T440" t="s">
        <v>292</v>
      </c>
      <c r="U440" t="s">
        <v>10058</v>
      </c>
      <c r="V440" t="s">
        <v>1938</v>
      </c>
      <c r="Y440" t="s">
        <v>10057</v>
      </c>
      <c r="Z440" t="str">
        <f>"01276 64134"</f>
        <v>01276 64134</v>
      </c>
      <c r="AA440" t="str">
        <f>""</f>
        <v/>
      </c>
      <c r="AB440" t="s">
        <v>544</v>
      </c>
      <c r="AC440" t="s">
        <v>10056</v>
      </c>
      <c r="AD440" t="s">
        <v>114</v>
      </c>
      <c r="AE440" s="63">
        <v>45265</v>
      </c>
      <c r="AF440" t="s">
        <v>113</v>
      </c>
      <c r="AG440" t="s">
        <v>112</v>
      </c>
      <c r="AH440" t="s">
        <v>112</v>
      </c>
      <c r="AI440" s="63">
        <v>40953</v>
      </c>
      <c r="AJ440" s="63">
        <v>45657</v>
      </c>
      <c r="AK440" t="s">
        <v>111</v>
      </c>
      <c r="AL440" t="s">
        <v>111</v>
      </c>
      <c r="AM440" t="s">
        <v>111</v>
      </c>
      <c r="AN440">
        <v>7332</v>
      </c>
      <c r="AO440" t="s">
        <v>110</v>
      </c>
      <c r="AP440" t="s">
        <v>109</v>
      </c>
    </row>
    <row r="441" spans="1:42" x14ac:dyDescent="0.25">
      <c r="A441" s="28" t="str">
        <f>"2954"</f>
        <v>2954</v>
      </c>
      <c r="B441">
        <v>2954</v>
      </c>
      <c r="C441" t="s">
        <v>2488</v>
      </c>
      <c r="D441" t="s">
        <v>121</v>
      </c>
      <c r="F441" t="s">
        <v>120</v>
      </c>
      <c r="G441" t="s">
        <v>649</v>
      </c>
      <c r="H441" t="s">
        <v>359</v>
      </c>
      <c r="I441" t="s">
        <v>858</v>
      </c>
      <c r="J441" t="s">
        <v>7</v>
      </c>
      <c r="K441" s="63">
        <v>15767</v>
      </c>
      <c r="L441" s="28">
        <f>DATEDIF(K441,Zwift25!G$1,"Y")</f>
        <v>81</v>
      </c>
      <c r="M441" s="67">
        <f>IF(J441="m",VLOOKUP(L441,'All Solo Adjustments'!A:D,4,FALSE),VLOOKUP(L441,'All Solo Adjustments'!A:J,10,FALSE))</f>
        <v>1.1597222222222222E-2</v>
      </c>
      <c r="N441" s="63"/>
      <c r="O441" s="63"/>
      <c r="P441" s="63"/>
      <c r="Q441" s="63"/>
      <c r="R441" t="s">
        <v>125</v>
      </c>
      <c r="S441" t="s">
        <v>170</v>
      </c>
      <c r="T441" t="s">
        <v>292</v>
      </c>
      <c r="U441" t="s">
        <v>10055</v>
      </c>
      <c r="V441" t="s">
        <v>746</v>
      </c>
      <c r="W441" t="s">
        <v>169</v>
      </c>
      <c r="Y441" t="s">
        <v>10054</v>
      </c>
      <c r="Z441" t="str">
        <f>"01502 800619"</f>
        <v>01502 800619</v>
      </c>
      <c r="AA441" t="str">
        <f>""</f>
        <v/>
      </c>
      <c r="AB441" t="s">
        <v>10053</v>
      </c>
      <c r="AC441" t="s">
        <v>10052</v>
      </c>
      <c r="AD441" t="s">
        <v>114</v>
      </c>
      <c r="AE441" s="63">
        <v>45252</v>
      </c>
      <c r="AF441" t="s">
        <v>113</v>
      </c>
      <c r="AG441" t="s">
        <v>112</v>
      </c>
      <c r="AH441" t="s">
        <v>112</v>
      </c>
      <c r="AI441" s="63">
        <v>39190</v>
      </c>
      <c r="AJ441" s="63">
        <v>45657</v>
      </c>
      <c r="AK441" t="s">
        <v>111</v>
      </c>
      <c r="AL441" t="s">
        <v>111</v>
      </c>
      <c r="AM441" t="s">
        <v>111</v>
      </c>
      <c r="AN441">
        <v>224</v>
      </c>
      <c r="AO441" t="s">
        <v>110</v>
      </c>
      <c r="AP441" t="s">
        <v>109</v>
      </c>
    </row>
    <row r="442" spans="1:42" x14ac:dyDescent="0.25">
      <c r="A442" s="28" t="str">
        <f>"3334"</f>
        <v>3334</v>
      </c>
      <c r="B442">
        <v>3334</v>
      </c>
      <c r="C442" t="s">
        <v>2488</v>
      </c>
      <c r="D442" t="s">
        <v>121</v>
      </c>
      <c r="F442" t="s">
        <v>120</v>
      </c>
      <c r="G442" t="s">
        <v>10051</v>
      </c>
      <c r="I442" t="s">
        <v>2080</v>
      </c>
      <c r="J442" t="s">
        <v>7</v>
      </c>
      <c r="K442" s="63">
        <v>16635</v>
      </c>
      <c r="L442" s="28">
        <f>DATEDIF(K442,Zwift25!G$1,"Y")</f>
        <v>79</v>
      </c>
      <c r="M442" s="67">
        <f>IF(J442="m",VLOOKUP(L442,'All Solo Adjustments'!A:D,4,FALSE),VLOOKUP(L442,'All Solo Adjustments'!A:J,10,FALSE))</f>
        <v>1.0451388888888889E-2</v>
      </c>
      <c r="N442" s="63"/>
      <c r="O442" s="63"/>
      <c r="P442" s="63"/>
      <c r="Q442" s="63"/>
      <c r="R442" t="s">
        <v>383</v>
      </c>
      <c r="S442" t="s">
        <v>382</v>
      </c>
      <c r="T442" t="s">
        <v>292</v>
      </c>
      <c r="U442" t="s">
        <v>10050</v>
      </c>
      <c r="V442" t="s">
        <v>10049</v>
      </c>
      <c r="W442" t="s">
        <v>1278</v>
      </c>
      <c r="Y442" t="s">
        <v>10048</v>
      </c>
      <c r="Z442" t="str">
        <f>"01656 662842"</f>
        <v>01656 662842</v>
      </c>
      <c r="AA442" t="str">
        <f>"07915673811"</f>
        <v>07915673811</v>
      </c>
      <c r="AB442" t="s">
        <v>380</v>
      </c>
      <c r="AC442" t="s">
        <v>10047</v>
      </c>
      <c r="AD442" t="s">
        <v>114</v>
      </c>
      <c r="AE442" s="63">
        <v>45279</v>
      </c>
      <c r="AF442" t="s">
        <v>113</v>
      </c>
      <c r="AG442" t="s">
        <v>112</v>
      </c>
      <c r="AH442" t="s">
        <v>112</v>
      </c>
      <c r="AI442" s="63">
        <v>39568</v>
      </c>
      <c r="AJ442" s="63">
        <v>45657</v>
      </c>
      <c r="AK442" t="s">
        <v>111</v>
      </c>
      <c r="AL442" t="s">
        <v>111</v>
      </c>
      <c r="AM442" t="s">
        <v>111</v>
      </c>
      <c r="AN442">
        <v>9913</v>
      </c>
      <c r="AO442" t="s">
        <v>110</v>
      </c>
      <c r="AP442" t="s">
        <v>109</v>
      </c>
    </row>
    <row r="443" spans="1:42" x14ac:dyDescent="0.25">
      <c r="A443" s="28" t="str">
        <f>"6468"</f>
        <v>6468</v>
      </c>
      <c r="B443">
        <v>6468</v>
      </c>
      <c r="C443" t="s">
        <v>2488</v>
      </c>
      <c r="D443" t="s">
        <v>121</v>
      </c>
      <c r="E443" t="s">
        <v>584</v>
      </c>
      <c r="F443" t="s">
        <v>120</v>
      </c>
      <c r="G443" t="s">
        <v>10046</v>
      </c>
      <c r="I443" t="s">
        <v>10045</v>
      </c>
      <c r="J443" t="s">
        <v>7</v>
      </c>
      <c r="K443" s="63">
        <v>22386</v>
      </c>
      <c r="L443" s="28">
        <f>DATEDIF(K443,Zwift25!G$1,"Y")</f>
        <v>63</v>
      </c>
      <c r="M443" s="67">
        <f>IF(J443="m",VLOOKUP(L443,'All Solo Adjustments'!A:D,4,FALSE),VLOOKUP(L443,'All Solo Adjustments'!A:J,10,FALSE))</f>
        <v>4.0277777777777777E-3</v>
      </c>
      <c r="N443" s="63"/>
      <c r="O443" s="63"/>
      <c r="P443" s="63"/>
      <c r="Q443" s="63"/>
      <c r="R443" t="s">
        <v>527</v>
      </c>
      <c r="S443" t="s">
        <v>526</v>
      </c>
      <c r="T443" t="s">
        <v>292</v>
      </c>
      <c r="U443" t="s">
        <v>10044</v>
      </c>
      <c r="V443" t="s">
        <v>10043</v>
      </c>
      <c r="W443" t="s">
        <v>7074</v>
      </c>
      <c r="Y443" t="s">
        <v>10042</v>
      </c>
      <c r="Z443" t="str">
        <f>"07903 434683"</f>
        <v>07903 434683</v>
      </c>
      <c r="AA443" t="str">
        <f>""</f>
        <v/>
      </c>
      <c r="AB443" t="s">
        <v>6065</v>
      </c>
      <c r="AC443" t="s">
        <v>10041</v>
      </c>
      <c r="AD443" t="s">
        <v>114</v>
      </c>
      <c r="AE443" s="63">
        <v>45293</v>
      </c>
      <c r="AF443" t="s">
        <v>156</v>
      </c>
      <c r="AG443" t="s">
        <v>112</v>
      </c>
      <c r="AH443" t="s">
        <v>112</v>
      </c>
      <c r="AI443" s="63">
        <v>43168</v>
      </c>
      <c r="AJ443" s="63">
        <v>45657</v>
      </c>
      <c r="AK443" t="s">
        <v>111</v>
      </c>
      <c r="AL443" t="s">
        <v>111</v>
      </c>
      <c r="AM443" t="s">
        <v>111</v>
      </c>
      <c r="AN443">
        <v>2927</v>
      </c>
      <c r="AO443" t="s">
        <v>110</v>
      </c>
      <c r="AP443" t="s">
        <v>109</v>
      </c>
    </row>
    <row r="444" spans="1:42" x14ac:dyDescent="0.25">
      <c r="A444" s="28" t="str">
        <f>"0601"</f>
        <v>0601</v>
      </c>
      <c r="B444">
        <v>601</v>
      </c>
      <c r="C444" t="s">
        <v>2488</v>
      </c>
      <c r="D444" t="s">
        <v>121</v>
      </c>
      <c r="F444" t="s">
        <v>120</v>
      </c>
      <c r="G444" t="s">
        <v>245</v>
      </c>
      <c r="H444" t="s">
        <v>159</v>
      </c>
      <c r="I444" t="s">
        <v>858</v>
      </c>
      <c r="J444" t="s">
        <v>7</v>
      </c>
      <c r="K444" s="63">
        <v>18973</v>
      </c>
      <c r="L444" s="28">
        <f>DATEDIF(K444,Zwift25!G$1,"Y")</f>
        <v>72</v>
      </c>
      <c r="M444" s="67">
        <f>IF(J444="m",VLOOKUP(L444,'All Solo Adjustments'!A:D,4,FALSE),VLOOKUP(L444,'All Solo Adjustments'!A:J,10,FALSE))</f>
        <v>7.129629629629629E-3</v>
      </c>
      <c r="N444" s="63"/>
      <c r="O444" s="63"/>
      <c r="P444" s="63"/>
      <c r="Q444" s="63"/>
      <c r="R444" t="s">
        <v>527</v>
      </c>
      <c r="S444" t="s">
        <v>526</v>
      </c>
      <c r="T444" t="s">
        <v>292</v>
      </c>
      <c r="U444" t="s">
        <v>10040</v>
      </c>
      <c r="V444" t="s">
        <v>1136</v>
      </c>
      <c r="Y444" t="s">
        <v>10039</v>
      </c>
      <c r="Z444" t="str">
        <f>"01325 352337"</f>
        <v>01325 352337</v>
      </c>
      <c r="AA444" t="str">
        <f>"07831442937"</f>
        <v>07831442937</v>
      </c>
      <c r="AB444" t="s">
        <v>10038</v>
      </c>
      <c r="AC444" t="s">
        <v>10037</v>
      </c>
      <c r="AD444" t="s">
        <v>114</v>
      </c>
      <c r="AE444" s="63">
        <v>45292</v>
      </c>
      <c r="AF444" t="s">
        <v>113</v>
      </c>
      <c r="AG444" t="s">
        <v>112</v>
      </c>
      <c r="AH444" t="s">
        <v>112</v>
      </c>
      <c r="AI444" s="63">
        <v>43168</v>
      </c>
      <c r="AJ444" s="63">
        <v>45657</v>
      </c>
      <c r="AK444" t="s">
        <v>111</v>
      </c>
      <c r="AL444" t="s">
        <v>111</v>
      </c>
      <c r="AM444" t="s">
        <v>111</v>
      </c>
      <c r="AN444">
        <v>2659</v>
      </c>
      <c r="AO444" t="s">
        <v>110</v>
      </c>
      <c r="AP444" t="s">
        <v>109</v>
      </c>
    </row>
    <row r="445" spans="1:42" x14ac:dyDescent="0.25">
      <c r="A445" s="28" t="str">
        <f>"3454"</f>
        <v>3454</v>
      </c>
      <c r="B445">
        <v>3454</v>
      </c>
      <c r="C445" t="s">
        <v>2488</v>
      </c>
      <c r="D445" t="s">
        <v>121</v>
      </c>
      <c r="F445" t="s">
        <v>120</v>
      </c>
      <c r="G445" t="s">
        <v>1202</v>
      </c>
      <c r="I445" t="s">
        <v>858</v>
      </c>
      <c r="J445" t="s">
        <v>7</v>
      </c>
      <c r="K445" s="63">
        <v>16322</v>
      </c>
      <c r="L445" s="28">
        <f>DATEDIF(K445,Zwift25!G$1,"Y")</f>
        <v>80</v>
      </c>
      <c r="M445" s="67">
        <f>IF(J445="m",VLOOKUP(L445,'All Solo Adjustments'!A:D,4,FALSE),VLOOKUP(L445,'All Solo Adjustments'!A:J,10,FALSE))</f>
        <v>1.1018518518518518E-2</v>
      </c>
      <c r="N445" s="63"/>
      <c r="O445" s="63"/>
      <c r="P445" s="63"/>
      <c r="Q445" s="63"/>
      <c r="R445" t="s">
        <v>198</v>
      </c>
      <c r="S445" t="s">
        <v>461</v>
      </c>
      <c r="T445" t="s">
        <v>292</v>
      </c>
      <c r="U445" t="s">
        <v>10036</v>
      </c>
      <c r="V445" t="s">
        <v>4482</v>
      </c>
      <c r="W445" t="s">
        <v>1039</v>
      </c>
      <c r="X445" t="s">
        <v>1039</v>
      </c>
      <c r="Y445" t="s">
        <v>10035</v>
      </c>
      <c r="Z445" t="str">
        <f>"07894907626"</f>
        <v>07894907626</v>
      </c>
      <c r="AA445" t="str">
        <f>"01617483784"</f>
        <v>01617483784</v>
      </c>
      <c r="AB445" t="s">
        <v>514</v>
      </c>
      <c r="AC445" t="s">
        <v>10034</v>
      </c>
      <c r="AD445" t="s">
        <v>114</v>
      </c>
      <c r="AE445" s="63">
        <v>45262</v>
      </c>
      <c r="AF445" t="s">
        <v>156</v>
      </c>
      <c r="AG445" t="s">
        <v>112</v>
      </c>
      <c r="AH445" t="s">
        <v>112</v>
      </c>
      <c r="AI445" s="63">
        <v>40544</v>
      </c>
      <c r="AJ445" s="63">
        <v>45657</v>
      </c>
      <c r="AK445" t="s">
        <v>111</v>
      </c>
      <c r="AL445" t="s">
        <v>112</v>
      </c>
      <c r="AM445" t="s">
        <v>112</v>
      </c>
      <c r="AN445">
        <v>7925</v>
      </c>
      <c r="AO445" t="s">
        <v>110</v>
      </c>
      <c r="AP445" t="s">
        <v>109</v>
      </c>
    </row>
    <row r="446" spans="1:42" x14ac:dyDescent="0.25">
      <c r="A446" s="28" t="str">
        <f>"14612"</f>
        <v>14612</v>
      </c>
      <c r="B446">
        <v>14612</v>
      </c>
      <c r="C446" t="s">
        <v>2488</v>
      </c>
      <c r="D446" t="s">
        <v>121</v>
      </c>
      <c r="E446" t="s">
        <v>584</v>
      </c>
      <c r="F446" t="s">
        <v>120</v>
      </c>
      <c r="G446" t="s">
        <v>10033</v>
      </c>
      <c r="H446" t="s">
        <v>407</v>
      </c>
      <c r="I446" t="s">
        <v>858</v>
      </c>
      <c r="J446" t="s">
        <v>7</v>
      </c>
      <c r="K446" s="63">
        <v>19970</v>
      </c>
      <c r="L446" s="28">
        <f>DATEDIF(K446,Zwift25!G$1,"Y")</f>
        <v>70</v>
      </c>
      <c r="M446" s="67">
        <f>IF(J446="m",VLOOKUP(L446,'All Solo Adjustments'!A:D,4,FALSE),VLOOKUP(L446,'All Solo Adjustments'!A:J,10,FALSE))</f>
        <v>6.3425925925925924E-3</v>
      </c>
      <c r="N446" s="63"/>
      <c r="O446" s="63"/>
      <c r="P446" s="63"/>
      <c r="Q446" s="63"/>
      <c r="R446" t="s">
        <v>154</v>
      </c>
      <c r="S446" t="s">
        <v>153</v>
      </c>
      <c r="T446" t="s">
        <v>292</v>
      </c>
      <c r="U446" t="s">
        <v>10032</v>
      </c>
      <c r="V446" t="s">
        <v>244</v>
      </c>
      <c r="W446" t="s">
        <v>10031</v>
      </c>
      <c r="X446" t="s">
        <v>669</v>
      </c>
      <c r="Y446" t="s">
        <v>10030</v>
      </c>
      <c r="Z446" t="str">
        <f>"07800978471"</f>
        <v>07800978471</v>
      </c>
      <c r="AA446" t="str">
        <f>"01174314845"</f>
        <v>01174314845</v>
      </c>
      <c r="AB446" t="s">
        <v>10029</v>
      </c>
      <c r="AC446" t="s">
        <v>10028</v>
      </c>
      <c r="AD446" t="s">
        <v>114</v>
      </c>
      <c r="AE446" s="63">
        <v>45292</v>
      </c>
      <c r="AF446" t="s">
        <v>156</v>
      </c>
      <c r="AG446" t="s">
        <v>112</v>
      </c>
      <c r="AH446" t="s">
        <v>112</v>
      </c>
      <c r="AI446" s="63">
        <v>44036</v>
      </c>
      <c r="AJ446" s="63">
        <v>45657</v>
      </c>
      <c r="AK446" t="s">
        <v>112</v>
      </c>
      <c r="AL446" t="s">
        <v>111</v>
      </c>
      <c r="AM446" t="s">
        <v>111</v>
      </c>
      <c r="AN446">
        <v>24935</v>
      </c>
      <c r="AO446" t="s">
        <v>110</v>
      </c>
      <c r="AP446" t="s">
        <v>109</v>
      </c>
    </row>
    <row r="447" spans="1:42" x14ac:dyDescent="0.25">
      <c r="A447" s="28" t="str">
        <f>"14719"</f>
        <v>14719</v>
      </c>
      <c r="B447">
        <v>14719</v>
      </c>
      <c r="C447" t="s">
        <v>2488</v>
      </c>
      <c r="D447" t="s">
        <v>121</v>
      </c>
      <c r="F447" t="s">
        <v>120</v>
      </c>
      <c r="G447" t="s">
        <v>1508</v>
      </c>
      <c r="I447" t="s">
        <v>858</v>
      </c>
      <c r="J447" t="s">
        <v>7</v>
      </c>
      <c r="K447" s="63">
        <v>26846</v>
      </c>
      <c r="L447" s="28">
        <f>DATEDIF(K447,Zwift25!G$1,"Y")</f>
        <v>51</v>
      </c>
      <c r="M447" s="67">
        <f>IF(J447="m",VLOOKUP(L447,'All Solo Adjustments'!A:D,4,FALSE),VLOOKUP(L447,'All Solo Adjustments'!A:J,10,FALSE))</f>
        <v>1.3078703703703703E-3</v>
      </c>
      <c r="N447" s="63"/>
      <c r="O447" s="63"/>
      <c r="P447" s="63"/>
      <c r="Q447" s="63"/>
      <c r="R447" t="s">
        <v>213</v>
      </c>
      <c r="S447" t="s">
        <v>212</v>
      </c>
      <c r="T447" t="s">
        <v>292</v>
      </c>
      <c r="U447" t="s">
        <v>10027</v>
      </c>
      <c r="W447" t="s">
        <v>2871</v>
      </c>
      <c r="X447" t="s">
        <v>1560</v>
      </c>
      <c r="Y447" t="s">
        <v>10026</v>
      </c>
      <c r="Z447" t="str">
        <f>"07711357047"</f>
        <v>07711357047</v>
      </c>
      <c r="AA447" t="str">
        <f>""</f>
        <v/>
      </c>
      <c r="AB447" t="s">
        <v>2143</v>
      </c>
      <c r="AC447" t="s">
        <v>10025</v>
      </c>
      <c r="AD447" t="s">
        <v>114</v>
      </c>
      <c r="AE447" s="63">
        <v>45529</v>
      </c>
      <c r="AF447" t="s">
        <v>113</v>
      </c>
      <c r="AG447" t="s">
        <v>112</v>
      </c>
      <c r="AH447" t="s">
        <v>112</v>
      </c>
      <c r="AI447" s="63">
        <v>44077</v>
      </c>
      <c r="AJ447" s="63">
        <v>45657</v>
      </c>
      <c r="AK447" t="s">
        <v>112</v>
      </c>
      <c r="AL447" t="s">
        <v>111</v>
      </c>
      <c r="AM447" t="s">
        <v>111</v>
      </c>
      <c r="AN447">
        <v>4988</v>
      </c>
      <c r="AO447" t="s">
        <v>110</v>
      </c>
      <c r="AP447" t="s">
        <v>109</v>
      </c>
    </row>
    <row r="448" spans="1:42" x14ac:dyDescent="0.25">
      <c r="A448" s="28" t="str">
        <f>"15902"</f>
        <v>15902</v>
      </c>
      <c r="B448">
        <v>15902</v>
      </c>
      <c r="C448" t="s">
        <v>2488</v>
      </c>
      <c r="D448" t="s">
        <v>121</v>
      </c>
      <c r="E448" t="s">
        <v>584</v>
      </c>
      <c r="F448" t="s">
        <v>149</v>
      </c>
      <c r="G448" t="s">
        <v>10024</v>
      </c>
      <c r="H448" t="s">
        <v>595</v>
      </c>
      <c r="I448" t="s">
        <v>858</v>
      </c>
      <c r="J448" t="s">
        <v>126</v>
      </c>
      <c r="K448" s="63">
        <v>25168</v>
      </c>
      <c r="L448" s="28">
        <f>DATEDIF(K448,Zwift25!G$1,"Y")</f>
        <v>55</v>
      </c>
      <c r="M448" s="67">
        <f>IF(J448="m",VLOOKUP(L448,'All Solo Adjustments'!A:D,4,FALSE),VLOOKUP(L448,'All Solo Adjustments'!A:J,10,FALSE))</f>
        <v>5.6597222222222222E-3</v>
      </c>
      <c r="N448" s="63"/>
      <c r="O448" s="63"/>
      <c r="P448" s="63"/>
      <c r="Q448" s="63"/>
      <c r="R448" t="s">
        <v>383</v>
      </c>
      <c r="S448" t="s">
        <v>382</v>
      </c>
      <c r="T448" t="s">
        <v>292</v>
      </c>
      <c r="U448" t="s">
        <v>10023</v>
      </c>
      <c r="W448" t="s">
        <v>3703</v>
      </c>
      <c r="X448" t="s">
        <v>10022</v>
      </c>
      <c r="Y448" t="s">
        <v>10021</v>
      </c>
      <c r="Z448" t="str">
        <f>"07887795611"</f>
        <v>07887795611</v>
      </c>
      <c r="AA448" t="str">
        <f>"07966002508"</f>
        <v>07966002508</v>
      </c>
      <c r="AB448" t="s">
        <v>10020</v>
      </c>
      <c r="AC448" t="s">
        <v>10019</v>
      </c>
      <c r="AD448" t="s">
        <v>114</v>
      </c>
      <c r="AE448" s="63">
        <v>45306</v>
      </c>
      <c r="AF448" t="s">
        <v>156</v>
      </c>
      <c r="AG448" t="s">
        <v>112</v>
      </c>
      <c r="AH448" t="s">
        <v>112</v>
      </c>
      <c r="AI448" s="63">
        <v>45150</v>
      </c>
      <c r="AJ448" s="63">
        <v>45657</v>
      </c>
      <c r="AK448" t="s">
        <v>112</v>
      </c>
      <c r="AL448" t="s">
        <v>111</v>
      </c>
      <c r="AM448" t="s">
        <v>111</v>
      </c>
      <c r="AN448">
        <v>24527</v>
      </c>
      <c r="AO448" t="s">
        <v>122</v>
      </c>
      <c r="AP448" t="s">
        <v>122</v>
      </c>
    </row>
    <row r="449" spans="1:42" x14ac:dyDescent="0.25">
      <c r="A449" s="28" t="str">
        <f>"6090"</f>
        <v>6090</v>
      </c>
      <c r="B449">
        <v>6090</v>
      </c>
      <c r="C449" t="s">
        <v>2488</v>
      </c>
      <c r="D449" t="s">
        <v>121</v>
      </c>
      <c r="F449" t="s">
        <v>120</v>
      </c>
      <c r="G449" t="s">
        <v>1163</v>
      </c>
      <c r="I449" t="s">
        <v>856</v>
      </c>
      <c r="J449" t="s">
        <v>7</v>
      </c>
      <c r="K449" s="63">
        <v>28172</v>
      </c>
      <c r="L449" s="28">
        <f>DATEDIF(K449,Zwift25!G$1,"Y")</f>
        <v>47</v>
      </c>
      <c r="M449" s="67">
        <f>IF(J449="m",VLOOKUP(L449,'All Solo Adjustments'!A:D,4,FALSE),VLOOKUP(L449,'All Solo Adjustments'!A:J,10,FALSE))</f>
        <v>6.9444444444444436E-4</v>
      </c>
      <c r="N449" s="63"/>
      <c r="O449" s="63"/>
      <c r="P449" s="63"/>
      <c r="Q449" s="63"/>
      <c r="R449" t="s">
        <v>283</v>
      </c>
      <c r="S449" t="s">
        <v>530</v>
      </c>
      <c r="T449" t="s">
        <v>292</v>
      </c>
      <c r="U449" t="s">
        <v>10018</v>
      </c>
      <c r="V449" t="s">
        <v>880</v>
      </c>
      <c r="W449" t="s">
        <v>748</v>
      </c>
      <c r="Y449" t="s">
        <v>10017</v>
      </c>
      <c r="Z449" t="str">
        <f>"07946688837"</f>
        <v>07946688837</v>
      </c>
      <c r="AA449" t="str">
        <f>""</f>
        <v/>
      </c>
      <c r="AB449" t="s">
        <v>1272</v>
      </c>
      <c r="AC449" t="s">
        <v>10016</v>
      </c>
      <c r="AD449" t="s">
        <v>114</v>
      </c>
      <c r="AE449" s="63">
        <v>45566</v>
      </c>
      <c r="AF449" t="s">
        <v>156</v>
      </c>
      <c r="AG449" t="s">
        <v>112</v>
      </c>
      <c r="AH449" t="s">
        <v>112</v>
      </c>
      <c r="AI449" s="63">
        <v>42783</v>
      </c>
      <c r="AJ449" s="63">
        <v>46022</v>
      </c>
      <c r="AK449" t="s">
        <v>111</v>
      </c>
      <c r="AL449" t="s">
        <v>111</v>
      </c>
      <c r="AM449" t="s">
        <v>112</v>
      </c>
      <c r="AN449">
        <v>7683</v>
      </c>
      <c r="AO449" t="s">
        <v>110</v>
      </c>
      <c r="AP449" t="s">
        <v>109</v>
      </c>
    </row>
    <row r="450" spans="1:42" x14ac:dyDescent="0.25">
      <c r="A450" s="28" t="str">
        <f>"0599"</f>
        <v>0599</v>
      </c>
      <c r="B450">
        <v>599</v>
      </c>
      <c r="C450" t="s">
        <v>2488</v>
      </c>
      <c r="D450" t="s">
        <v>121</v>
      </c>
      <c r="E450" t="s">
        <v>584</v>
      </c>
      <c r="F450" t="s">
        <v>120</v>
      </c>
      <c r="G450" t="s">
        <v>195</v>
      </c>
      <c r="H450" t="s">
        <v>1631</v>
      </c>
      <c r="I450" t="s">
        <v>856</v>
      </c>
      <c r="J450" t="s">
        <v>7</v>
      </c>
      <c r="K450" s="63">
        <v>16738</v>
      </c>
      <c r="L450" s="28">
        <f>DATEDIF(K450,Zwift25!G$1,"Y")</f>
        <v>78</v>
      </c>
      <c r="M450" s="67">
        <f>IF(J450="m",VLOOKUP(L450,'All Solo Adjustments'!A:D,4,FALSE),VLOOKUP(L450,'All Solo Adjustments'!A:J,10,FALSE))</f>
        <v>9.9189814814814817E-3</v>
      </c>
      <c r="N450" s="63"/>
      <c r="O450" s="63"/>
      <c r="P450" s="63"/>
      <c r="Q450" s="63"/>
      <c r="R450" t="s">
        <v>180</v>
      </c>
      <c r="S450" t="s">
        <v>179</v>
      </c>
      <c r="T450" t="s">
        <v>292</v>
      </c>
      <c r="U450" t="s">
        <v>10015</v>
      </c>
      <c r="V450" t="s">
        <v>4051</v>
      </c>
      <c r="W450" t="s">
        <v>1219</v>
      </c>
      <c r="X450" t="s">
        <v>259</v>
      </c>
      <c r="Y450" t="s">
        <v>10014</v>
      </c>
      <c r="Z450" t="str">
        <f>"01509 508864"</f>
        <v>01509 508864</v>
      </c>
      <c r="AA450" t="str">
        <f>"07788373932"</f>
        <v>07788373932</v>
      </c>
      <c r="AB450" t="s">
        <v>1038</v>
      </c>
      <c r="AC450" t="s">
        <v>10013</v>
      </c>
      <c r="AD450" t="s">
        <v>114</v>
      </c>
      <c r="AE450" s="63">
        <v>45271</v>
      </c>
      <c r="AF450" t="s">
        <v>113</v>
      </c>
      <c r="AG450" t="s">
        <v>112</v>
      </c>
      <c r="AH450" t="s">
        <v>112</v>
      </c>
      <c r="AI450" s="63">
        <v>43187</v>
      </c>
      <c r="AJ450" s="63">
        <v>45657</v>
      </c>
      <c r="AK450" t="s">
        <v>111</v>
      </c>
      <c r="AL450" t="s">
        <v>111</v>
      </c>
      <c r="AM450" t="s">
        <v>111</v>
      </c>
      <c r="AN450">
        <v>2201</v>
      </c>
      <c r="AO450" t="s">
        <v>110</v>
      </c>
      <c r="AP450" t="s">
        <v>109</v>
      </c>
    </row>
    <row r="451" spans="1:42" x14ac:dyDescent="0.25">
      <c r="A451" s="28" t="str">
        <f>"0609"</f>
        <v>0609</v>
      </c>
      <c r="B451">
        <v>609</v>
      </c>
      <c r="C451" t="s">
        <v>2488</v>
      </c>
      <c r="D451" t="s">
        <v>121</v>
      </c>
      <c r="F451" t="s">
        <v>120</v>
      </c>
      <c r="G451" t="s">
        <v>1413</v>
      </c>
      <c r="I451" t="s">
        <v>856</v>
      </c>
      <c r="J451" t="s">
        <v>7</v>
      </c>
      <c r="K451" s="63">
        <v>17745</v>
      </c>
      <c r="L451" s="28">
        <f>DATEDIF(K451,Zwift25!G$1,"Y")</f>
        <v>76</v>
      </c>
      <c r="M451" s="67">
        <f>IF(J451="m",VLOOKUP(L451,'All Solo Adjustments'!A:D,4,FALSE),VLOOKUP(L451,'All Solo Adjustments'!A:J,10,FALSE))</f>
        <v>8.912037037037036E-3</v>
      </c>
      <c r="N451" s="63"/>
      <c r="O451" s="63"/>
      <c r="P451" s="63"/>
      <c r="Q451" s="63"/>
      <c r="R451" t="s">
        <v>154</v>
      </c>
      <c r="S451" t="s">
        <v>153</v>
      </c>
      <c r="T451" t="s">
        <v>292</v>
      </c>
      <c r="U451" t="s">
        <v>10012</v>
      </c>
      <c r="V451" t="s">
        <v>9723</v>
      </c>
      <c r="W451" t="s">
        <v>1528</v>
      </c>
      <c r="Y451" t="s">
        <v>10011</v>
      </c>
      <c r="Z451" t="str">
        <f>"01225 834821"</f>
        <v>01225 834821</v>
      </c>
      <c r="AA451" t="str">
        <f>""</f>
        <v/>
      </c>
      <c r="AB451" t="s">
        <v>290</v>
      </c>
      <c r="AC451" t="s">
        <v>10010</v>
      </c>
      <c r="AD451" t="s">
        <v>145</v>
      </c>
      <c r="AE451" s="63">
        <v>45314</v>
      </c>
      <c r="AF451" t="s">
        <v>113</v>
      </c>
      <c r="AG451" t="s">
        <v>112</v>
      </c>
      <c r="AH451" t="s">
        <v>112</v>
      </c>
      <c r="AI451" s="63">
        <v>43471</v>
      </c>
      <c r="AJ451" s="63">
        <v>45657</v>
      </c>
      <c r="AK451" t="s">
        <v>111</v>
      </c>
      <c r="AL451" t="s">
        <v>111</v>
      </c>
      <c r="AM451" t="s">
        <v>111</v>
      </c>
      <c r="AN451" t="s">
        <v>105</v>
      </c>
      <c r="AO451" t="s">
        <v>110</v>
      </c>
      <c r="AP451" t="s">
        <v>109</v>
      </c>
    </row>
    <row r="452" spans="1:42" x14ac:dyDescent="0.25">
      <c r="A452" s="28" t="str">
        <f>"14332"</f>
        <v>14332</v>
      </c>
      <c r="B452">
        <v>14332</v>
      </c>
      <c r="C452" t="s">
        <v>2488</v>
      </c>
      <c r="D452" t="s">
        <v>132</v>
      </c>
      <c r="F452" t="s">
        <v>149</v>
      </c>
      <c r="G452" t="s">
        <v>306</v>
      </c>
      <c r="H452" t="s">
        <v>129</v>
      </c>
      <c r="I452" t="s">
        <v>856</v>
      </c>
      <c r="J452" t="s">
        <v>126</v>
      </c>
      <c r="K452" s="63">
        <v>27305</v>
      </c>
      <c r="L452" s="28">
        <f>DATEDIF(K452,Zwift25!G$1,"Y")</f>
        <v>50</v>
      </c>
      <c r="M452" s="67">
        <f>IF(J452="m",VLOOKUP(L452,'All Solo Adjustments'!A:D,4,FALSE),VLOOKUP(L452,'All Solo Adjustments'!A:J,10,FALSE))</f>
        <v>4.9768518518518521E-3</v>
      </c>
      <c r="N452" s="63"/>
      <c r="O452" s="63"/>
      <c r="P452" s="63"/>
      <c r="Q452" s="63"/>
      <c r="R452" t="s">
        <v>143</v>
      </c>
      <c r="S452" t="s">
        <v>168</v>
      </c>
      <c r="T452" t="s">
        <v>292</v>
      </c>
      <c r="U452" t="s">
        <v>10008</v>
      </c>
      <c r="V452" t="s">
        <v>10007</v>
      </c>
      <c r="W452" t="s">
        <v>9021</v>
      </c>
      <c r="X452" t="s">
        <v>486</v>
      </c>
      <c r="Y452" t="s">
        <v>10006</v>
      </c>
      <c r="Z452" t="str">
        <f>"07733227124"</f>
        <v>07733227124</v>
      </c>
      <c r="AA452" t="str">
        <f>""</f>
        <v/>
      </c>
      <c r="AB452" t="s">
        <v>1359</v>
      </c>
      <c r="AC452" t="s">
        <v>10009</v>
      </c>
      <c r="AD452" t="s">
        <v>114</v>
      </c>
      <c r="AE452" s="63">
        <v>45310</v>
      </c>
      <c r="AF452" t="s">
        <v>156</v>
      </c>
      <c r="AG452" t="s">
        <v>112</v>
      </c>
      <c r="AH452" t="s">
        <v>112</v>
      </c>
      <c r="AI452" s="63">
        <v>43682</v>
      </c>
      <c r="AJ452" s="63">
        <v>45657</v>
      </c>
      <c r="AK452" t="s">
        <v>112</v>
      </c>
      <c r="AL452" t="s">
        <v>111</v>
      </c>
      <c r="AM452" t="s">
        <v>111</v>
      </c>
      <c r="AN452">
        <v>3327</v>
      </c>
      <c r="AO452" t="s">
        <v>122</v>
      </c>
      <c r="AP452" t="s">
        <v>122</v>
      </c>
    </row>
    <row r="453" spans="1:42" x14ac:dyDescent="0.25">
      <c r="A453" s="28" t="str">
        <f>"14333"</f>
        <v>14333</v>
      </c>
      <c r="B453">
        <v>14333</v>
      </c>
      <c r="C453" t="s">
        <v>2488</v>
      </c>
      <c r="D453" t="s">
        <v>130</v>
      </c>
      <c r="E453" t="s">
        <v>4918</v>
      </c>
      <c r="F453" t="s">
        <v>120</v>
      </c>
      <c r="G453" t="s">
        <v>1713</v>
      </c>
      <c r="I453" t="s">
        <v>856</v>
      </c>
      <c r="J453" t="s">
        <v>7</v>
      </c>
      <c r="K453" s="63">
        <v>26587</v>
      </c>
      <c r="L453" s="28">
        <f>DATEDIF(K453,Zwift25!G$1,"Y")</f>
        <v>51</v>
      </c>
      <c r="M453" s="67">
        <f>IF(J453="m",VLOOKUP(L453,'All Solo Adjustments'!A:D,4,FALSE),VLOOKUP(L453,'All Solo Adjustments'!A:J,10,FALSE))</f>
        <v>1.3078703703703703E-3</v>
      </c>
      <c r="N453" s="63"/>
      <c r="O453" s="63"/>
      <c r="P453" s="63"/>
      <c r="Q453" s="63"/>
      <c r="R453" t="s">
        <v>143</v>
      </c>
      <c r="S453" t="s">
        <v>168</v>
      </c>
      <c r="T453" t="s">
        <v>292</v>
      </c>
      <c r="U453" t="s">
        <v>10008</v>
      </c>
      <c r="V453" t="s">
        <v>10007</v>
      </c>
      <c r="W453" t="s">
        <v>9021</v>
      </c>
      <c r="X453" t="s">
        <v>486</v>
      </c>
      <c r="Y453" t="s">
        <v>10006</v>
      </c>
      <c r="Z453" t="str">
        <f>"07733227124"</f>
        <v>07733227124</v>
      </c>
      <c r="AA453" t="str">
        <f>""</f>
        <v/>
      </c>
      <c r="AB453" t="s">
        <v>1359</v>
      </c>
      <c r="AC453" t="s">
        <v>10005</v>
      </c>
      <c r="AD453" t="s">
        <v>114</v>
      </c>
      <c r="AE453" s="63">
        <v>45310</v>
      </c>
      <c r="AF453" t="s">
        <v>156</v>
      </c>
      <c r="AG453" t="s">
        <v>112</v>
      </c>
      <c r="AH453" t="s">
        <v>112</v>
      </c>
      <c r="AI453" s="63">
        <v>43682</v>
      </c>
      <c r="AJ453" s="63">
        <v>45657</v>
      </c>
      <c r="AK453" t="s">
        <v>112</v>
      </c>
      <c r="AL453" t="s">
        <v>111</v>
      </c>
      <c r="AM453" t="s">
        <v>111</v>
      </c>
      <c r="AN453">
        <v>5007</v>
      </c>
      <c r="AO453" t="s">
        <v>110</v>
      </c>
      <c r="AP453" t="s">
        <v>109</v>
      </c>
    </row>
    <row r="454" spans="1:42" x14ac:dyDescent="0.25">
      <c r="A454" s="28" t="str">
        <f>"14343"</f>
        <v>14343</v>
      </c>
      <c r="B454">
        <v>14343</v>
      </c>
      <c r="C454" t="s">
        <v>2488</v>
      </c>
      <c r="D454" t="s">
        <v>121</v>
      </c>
      <c r="F454" t="s">
        <v>120</v>
      </c>
      <c r="G454" t="s">
        <v>171</v>
      </c>
      <c r="I454" t="s">
        <v>856</v>
      </c>
      <c r="J454" t="s">
        <v>7</v>
      </c>
      <c r="K454" s="63">
        <v>20094</v>
      </c>
      <c r="L454" s="28">
        <f>DATEDIF(K454,Zwift25!G$1,"Y")</f>
        <v>69</v>
      </c>
      <c r="M454" s="67">
        <f>IF(J454="m",VLOOKUP(L454,'All Solo Adjustments'!A:D,4,FALSE),VLOOKUP(L454,'All Solo Adjustments'!A:J,10,FALSE))</f>
        <v>5.9722222222222225E-3</v>
      </c>
      <c r="N454" s="63"/>
      <c r="O454" s="63"/>
      <c r="P454" s="63"/>
      <c r="Q454" s="63"/>
      <c r="R454" t="s">
        <v>154</v>
      </c>
      <c r="S454" t="s">
        <v>153</v>
      </c>
      <c r="T454" t="s">
        <v>292</v>
      </c>
      <c r="U454" t="s">
        <v>10004</v>
      </c>
      <c r="V454" t="s">
        <v>10003</v>
      </c>
      <c r="W454" t="s">
        <v>10002</v>
      </c>
      <c r="X454" t="s">
        <v>1632</v>
      </c>
      <c r="Y454" t="s">
        <v>10001</v>
      </c>
      <c r="Z454" t="str">
        <f>"07717737541"</f>
        <v>07717737541</v>
      </c>
      <c r="AA454" t="str">
        <f>""</f>
        <v/>
      </c>
      <c r="AB454" t="s">
        <v>10000</v>
      </c>
      <c r="AC454" t="s">
        <v>9999</v>
      </c>
      <c r="AD454" t="s">
        <v>114</v>
      </c>
      <c r="AE454" s="63">
        <v>45375</v>
      </c>
      <c r="AF454" t="s">
        <v>113</v>
      </c>
      <c r="AG454" t="s">
        <v>112</v>
      </c>
      <c r="AH454" t="s">
        <v>112</v>
      </c>
      <c r="AI454" s="63">
        <v>43691</v>
      </c>
      <c r="AJ454" s="63">
        <v>45657</v>
      </c>
      <c r="AK454" t="s">
        <v>112</v>
      </c>
      <c r="AL454" t="s">
        <v>111</v>
      </c>
      <c r="AM454" t="s">
        <v>111</v>
      </c>
      <c r="AN454">
        <v>10071</v>
      </c>
      <c r="AO454" t="s">
        <v>110</v>
      </c>
      <c r="AP454" t="s">
        <v>109</v>
      </c>
    </row>
    <row r="455" spans="1:42" x14ac:dyDescent="0.25">
      <c r="A455" s="28" t="str">
        <f>"15060"</f>
        <v>15060</v>
      </c>
      <c r="B455">
        <v>15060</v>
      </c>
      <c r="C455" t="s">
        <v>2488</v>
      </c>
      <c r="D455" t="s">
        <v>121</v>
      </c>
      <c r="E455" t="s">
        <v>584</v>
      </c>
      <c r="F455" t="s">
        <v>403</v>
      </c>
      <c r="G455" t="s">
        <v>9998</v>
      </c>
      <c r="I455" t="s">
        <v>855</v>
      </c>
      <c r="J455" t="s">
        <v>126</v>
      </c>
      <c r="K455" s="63">
        <v>29613</v>
      </c>
      <c r="L455" s="28">
        <f>DATEDIF(K455,Zwift25!G$1,"Y")</f>
        <v>43</v>
      </c>
      <c r="M455" s="67">
        <f>IF(J455="m",VLOOKUP(L455,'All Solo Adjustments'!A:D,4,FALSE),VLOOKUP(L455,'All Solo Adjustments'!A:J,10,FALSE))</f>
        <v>4.5254629629629629E-3</v>
      </c>
      <c r="N455" s="63"/>
      <c r="O455" s="63"/>
      <c r="P455" s="63"/>
      <c r="Q455" s="63"/>
      <c r="R455" t="s">
        <v>239</v>
      </c>
      <c r="S455" t="s">
        <v>274</v>
      </c>
      <c r="T455" t="s">
        <v>292</v>
      </c>
      <c r="U455" t="s">
        <v>9997</v>
      </c>
      <c r="W455" t="s">
        <v>8637</v>
      </c>
      <c r="X455" t="s">
        <v>236</v>
      </c>
      <c r="Y455" t="s">
        <v>9996</v>
      </c>
      <c r="Z455" t="str">
        <f>"07917681473"</f>
        <v>07917681473</v>
      </c>
      <c r="AA455" t="str">
        <f>""</f>
        <v/>
      </c>
      <c r="AB455" t="s">
        <v>447</v>
      </c>
      <c r="AC455" t="s">
        <v>9995</v>
      </c>
      <c r="AD455" t="s">
        <v>114</v>
      </c>
      <c r="AE455" s="63">
        <v>45216</v>
      </c>
      <c r="AF455" t="s">
        <v>156</v>
      </c>
      <c r="AG455" t="s">
        <v>112</v>
      </c>
      <c r="AH455" t="s">
        <v>112</v>
      </c>
      <c r="AI455" s="63">
        <v>44323</v>
      </c>
      <c r="AJ455" s="63">
        <v>45657</v>
      </c>
      <c r="AK455" t="s">
        <v>112</v>
      </c>
      <c r="AL455" t="s">
        <v>111</v>
      </c>
      <c r="AM455" t="s">
        <v>111</v>
      </c>
      <c r="AN455">
        <v>39104</v>
      </c>
      <c r="AO455" t="s">
        <v>122</v>
      </c>
      <c r="AP455" t="s">
        <v>122</v>
      </c>
    </row>
    <row r="456" spans="1:42" x14ac:dyDescent="0.25">
      <c r="A456" s="28" t="str">
        <f>"15831"</f>
        <v>15831</v>
      </c>
      <c r="B456">
        <v>15831</v>
      </c>
      <c r="C456" t="s">
        <v>2488</v>
      </c>
      <c r="D456" t="s">
        <v>121</v>
      </c>
      <c r="F456" t="s">
        <v>403</v>
      </c>
      <c r="G456" t="s">
        <v>164</v>
      </c>
      <c r="I456" t="s">
        <v>855</v>
      </c>
      <c r="J456" t="s">
        <v>7</v>
      </c>
      <c r="K456" s="63">
        <v>24598</v>
      </c>
      <c r="L456" s="28">
        <f>DATEDIF(K456,Zwift25!G$1,"Y")</f>
        <v>57</v>
      </c>
      <c r="M456" s="67">
        <f>IF(J456="m",VLOOKUP(L456,'All Solo Adjustments'!A:D,4,FALSE),VLOOKUP(L456,'All Solo Adjustments'!A:J,10,FALSE))</f>
        <v>2.488425925925926E-3</v>
      </c>
      <c r="N456" s="63"/>
      <c r="O456" s="63"/>
      <c r="P456" s="63"/>
      <c r="Q456" s="63"/>
      <c r="R456" t="s">
        <v>296</v>
      </c>
      <c r="S456" t="s">
        <v>295</v>
      </c>
      <c r="T456" t="s">
        <v>292</v>
      </c>
      <c r="U456" t="s">
        <v>9994</v>
      </c>
      <c r="V456" t="s">
        <v>1452</v>
      </c>
      <c r="Y456" t="s">
        <v>9993</v>
      </c>
      <c r="Z456" t="str">
        <f>"07779997821"</f>
        <v>07779997821</v>
      </c>
      <c r="AA456" t="str">
        <f>""</f>
        <v/>
      </c>
      <c r="AB456" t="s">
        <v>598</v>
      </c>
      <c r="AC456" t="s">
        <v>9992</v>
      </c>
      <c r="AD456" t="s">
        <v>114</v>
      </c>
      <c r="AE456" s="63">
        <v>45292</v>
      </c>
      <c r="AF456" t="s">
        <v>156</v>
      </c>
      <c r="AG456" t="s">
        <v>112</v>
      </c>
      <c r="AH456" t="s">
        <v>112</v>
      </c>
      <c r="AI456" s="63">
        <v>45068</v>
      </c>
      <c r="AJ456" s="63">
        <v>45657</v>
      </c>
      <c r="AK456" t="s">
        <v>112</v>
      </c>
      <c r="AL456" t="s">
        <v>111</v>
      </c>
      <c r="AM456" t="s">
        <v>111</v>
      </c>
      <c r="AN456">
        <v>45971</v>
      </c>
      <c r="AO456" t="s">
        <v>110</v>
      </c>
      <c r="AP456" t="s">
        <v>109</v>
      </c>
    </row>
    <row r="457" spans="1:42" x14ac:dyDescent="0.25">
      <c r="A457" s="28" t="str">
        <f>"0615"</f>
        <v>0615</v>
      </c>
      <c r="B457">
        <v>615</v>
      </c>
      <c r="C457" t="s">
        <v>2488</v>
      </c>
      <c r="D457" t="s">
        <v>121</v>
      </c>
      <c r="E457" t="s">
        <v>584</v>
      </c>
      <c r="G457" t="s">
        <v>185</v>
      </c>
      <c r="I457" t="s">
        <v>2446</v>
      </c>
      <c r="J457" t="s">
        <v>7</v>
      </c>
      <c r="K457" s="63">
        <v>22349</v>
      </c>
      <c r="L457" s="28">
        <f>DATEDIF(K457,Zwift25!G$1,"Y")</f>
        <v>63</v>
      </c>
      <c r="M457" s="67">
        <f>IF(J457="m",VLOOKUP(L457,'All Solo Adjustments'!A:D,4,FALSE),VLOOKUP(L457,'All Solo Adjustments'!A:J,10,FALSE))</f>
        <v>4.0277777777777777E-3</v>
      </c>
      <c r="N457" s="63"/>
      <c r="O457" s="63"/>
      <c r="P457" s="63"/>
      <c r="Q457" s="63"/>
      <c r="R457" t="s">
        <v>527</v>
      </c>
      <c r="S457" t="s">
        <v>526</v>
      </c>
      <c r="T457" t="s">
        <v>292</v>
      </c>
      <c r="U457" t="s">
        <v>9991</v>
      </c>
      <c r="V457" t="s">
        <v>9990</v>
      </c>
      <c r="W457" t="s">
        <v>1405</v>
      </c>
      <c r="Y457" t="s">
        <v>9989</v>
      </c>
      <c r="Z457" t="str">
        <f>"01642 850435"</f>
        <v>01642 850435</v>
      </c>
      <c r="AA457" t="str">
        <f>"07961784976"</f>
        <v>07961784976</v>
      </c>
      <c r="AB457" t="s">
        <v>9988</v>
      </c>
      <c r="AC457" t="s">
        <v>9987</v>
      </c>
      <c r="AD457" t="s">
        <v>114</v>
      </c>
      <c r="AE457" s="63">
        <v>45263</v>
      </c>
      <c r="AF457" t="s">
        <v>113</v>
      </c>
      <c r="AG457" t="s">
        <v>112</v>
      </c>
      <c r="AH457" t="s">
        <v>112</v>
      </c>
      <c r="AI457" s="63">
        <v>36962</v>
      </c>
      <c r="AJ457" s="63">
        <v>45657</v>
      </c>
      <c r="AK457" t="s">
        <v>111</v>
      </c>
      <c r="AL457" t="s">
        <v>111</v>
      </c>
      <c r="AM457" t="s">
        <v>111</v>
      </c>
      <c r="AN457">
        <v>9419</v>
      </c>
      <c r="AO457" t="s">
        <v>110</v>
      </c>
      <c r="AP457" t="s">
        <v>109</v>
      </c>
    </row>
    <row r="458" spans="1:42" x14ac:dyDescent="0.25">
      <c r="A458" s="28" t="str">
        <f>"0612"</f>
        <v>0612</v>
      </c>
      <c r="B458">
        <v>612</v>
      </c>
      <c r="C458" t="s">
        <v>2488</v>
      </c>
      <c r="D458" t="s">
        <v>121</v>
      </c>
      <c r="F458" t="s">
        <v>120</v>
      </c>
      <c r="G458" t="s">
        <v>284</v>
      </c>
      <c r="I458" t="s">
        <v>2446</v>
      </c>
      <c r="J458" t="s">
        <v>7</v>
      </c>
      <c r="K458" s="63">
        <v>12759</v>
      </c>
      <c r="L458" s="28">
        <f>DATEDIF(K458,Zwift25!G$1,"Y")</f>
        <v>89</v>
      </c>
      <c r="M458" s="67">
        <f>IF(J458="m",VLOOKUP(L458,'All Solo Adjustments'!A:D,4,FALSE),VLOOKUP(L458,'All Solo Adjustments'!A:J,10,FALSE))</f>
        <v>1.7465277777777777E-2</v>
      </c>
      <c r="N458" s="63"/>
      <c r="O458" s="63"/>
      <c r="P458" s="63"/>
      <c r="Q458" s="63"/>
      <c r="R458" t="s">
        <v>198</v>
      </c>
      <c r="S458" t="s">
        <v>476</v>
      </c>
      <c r="T458" t="s">
        <v>292</v>
      </c>
      <c r="U458" t="s">
        <v>9986</v>
      </c>
      <c r="V458" t="s">
        <v>9985</v>
      </c>
      <c r="W458" t="s">
        <v>1055</v>
      </c>
      <c r="X458" t="s">
        <v>196</v>
      </c>
      <c r="Y458" t="s">
        <v>9984</v>
      </c>
      <c r="Z458" t="str">
        <f>"0161 437 0648"</f>
        <v>0161 437 0648</v>
      </c>
      <c r="AA458" t="str">
        <f>""</f>
        <v/>
      </c>
      <c r="AB458" t="s">
        <v>290</v>
      </c>
      <c r="AC458" t="s">
        <v>9983</v>
      </c>
      <c r="AD458" t="s">
        <v>151</v>
      </c>
      <c r="AF458" t="s">
        <v>113</v>
      </c>
      <c r="AG458" t="s">
        <v>112</v>
      </c>
      <c r="AH458" t="s">
        <v>112</v>
      </c>
      <c r="AI458" s="63">
        <v>27818</v>
      </c>
      <c r="AK458" t="s">
        <v>111</v>
      </c>
      <c r="AL458" t="s">
        <v>111</v>
      </c>
      <c r="AM458" t="s">
        <v>111</v>
      </c>
      <c r="AN458" t="s">
        <v>105</v>
      </c>
      <c r="AO458" t="s">
        <v>110</v>
      </c>
      <c r="AP458" t="s">
        <v>109</v>
      </c>
    </row>
    <row r="459" spans="1:42" x14ac:dyDescent="0.25">
      <c r="A459" s="28" t="str">
        <f>"0621"</f>
        <v>0621</v>
      </c>
      <c r="B459">
        <v>621</v>
      </c>
      <c r="C459" t="s">
        <v>2488</v>
      </c>
      <c r="D459" t="s">
        <v>121</v>
      </c>
      <c r="F459" t="s">
        <v>120</v>
      </c>
      <c r="G459" t="s">
        <v>2049</v>
      </c>
      <c r="I459" t="s">
        <v>2076</v>
      </c>
      <c r="J459" t="s">
        <v>7</v>
      </c>
      <c r="K459" s="63">
        <v>13997</v>
      </c>
      <c r="L459" s="28">
        <f>DATEDIF(K459,Zwift25!G$1,"Y")</f>
        <v>86</v>
      </c>
      <c r="M459" s="67">
        <f>IF(J459="m",VLOOKUP(L459,'All Solo Adjustments'!A:D,4,FALSE),VLOOKUP(L459,'All Solo Adjustments'!A:J,10,FALSE))</f>
        <v>1.4988425925925926E-2</v>
      </c>
      <c r="N459" s="63"/>
      <c r="O459" s="63"/>
      <c r="P459" s="63"/>
      <c r="Q459" s="63"/>
      <c r="R459" t="s">
        <v>137</v>
      </c>
      <c r="S459" t="s">
        <v>2312</v>
      </c>
      <c r="T459" t="s">
        <v>292</v>
      </c>
      <c r="U459" t="s">
        <v>9982</v>
      </c>
      <c r="V459" t="s">
        <v>350</v>
      </c>
      <c r="W459" t="s">
        <v>564</v>
      </c>
      <c r="Y459" t="s">
        <v>9981</v>
      </c>
      <c r="Z459" t="str">
        <f>"01329 841793"</f>
        <v>01329 841793</v>
      </c>
      <c r="AA459" t="str">
        <f>""</f>
        <v/>
      </c>
      <c r="AB459" t="s">
        <v>825</v>
      </c>
      <c r="AC459" t="s">
        <v>9980</v>
      </c>
      <c r="AD459" t="s">
        <v>145</v>
      </c>
      <c r="AF459" t="s">
        <v>113</v>
      </c>
      <c r="AG459" t="s">
        <v>112</v>
      </c>
      <c r="AH459" t="s">
        <v>112</v>
      </c>
      <c r="AI459" s="63">
        <v>31645</v>
      </c>
      <c r="AK459" t="s">
        <v>111</v>
      </c>
      <c r="AL459" t="s">
        <v>111</v>
      </c>
      <c r="AM459" t="s">
        <v>111</v>
      </c>
      <c r="AN459" t="s">
        <v>105</v>
      </c>
      <c r="AO459" t="s">
        <v>110</v>
      </c>
      <c r="AP459" t="s">
        <v>109</v>
      </c>
    </row>
    <row r="460" spans="1:42" x14ac:dyDescent="0.25">
      <c r="A460" s="28" t="str">
        <f>"0619"</f>
        <v>0619</v>
      </c>
      <c r="B460">
        <v>619</v>
      </c>
      <c r="C460" t="s">
        <v>2488</v>
      </c>
      <c r="D460" t="s">
        <v>121</v>
      </c>
      <c r="E460" t="s">
        <v>584</v>
      </c>
      <c r="F460" t="s">
        <v>120</v>
      </c>
      <c r="G460" t="s">
        <v>230</v>
      </c>
      <c r="I460" t="s">
        <v>2076</v>
      </c>
      <c r="J460" t="s">
        <v>7</v>
      </c>
      <c r="K460" s="63">
        <v>17418</v>
      </c>
      <c r="L460" s="28">
        <f>DATEDIF(K460,Zwift25!G$1,"Y")</f>
        <v>77</v>
      </c>
      <c r="M460" s="67">
        <f>IF(J460="m",VLOOKUP(L460,'All Solo Adjustments'!A:D,4,FALSE),VLOOKUP(L460,'All Solo Adjustments'!A:J,10,FALSE))</f>
        <v>9.3981481481481485E-3</v>
      </c>
      <c r="N460" s="63"/>
      <c r="O460" s="63"/>
      <c r="P460" s="63"/>
      <c r="Q460" s="63"/>
      <c r="R460" t="s">
        <v>125</v>
      </c>
      <c r="S460" t="s">
        <v>170</v>
      </c>
      <c r="T460" t="s">
        <v>292</v>
      </c>
      <c r="U460" t="s">
        <v>9979</v>
      </c>
      <c r="V460" t="s">
        <v>9978</v>
      </c>
      <c r="W460" t="s">
        <v>1525</v>
      </c>
      <c r="X460" t="s">
        <v>193</v>
      </c>
      <c r="Y460" t="s">
        <v>9977</v>
      </c>
      <c r="Z460" t="str">
        <f>"07539 743346"</f>
        <v>07539 743346</v>
      </c>
      <c r="AA460" t="str">
        <f>""</f>
        <v/>
      </c>
      <c r="AB460" t="s">
        <v>192</v>
      </c>
      <c r="AC460" t="s">
        <v>9976</v>
      </c>
      <c r="AD460" t="s">
        <v>114</v>
      </c>
      <c r="AE460" s="63">
        <v>45279</v>
      </c>
      <c r="AF460" t="s">
        <v>156</v>
      </c>
      <c r="AG460" t="s">
        <v>112</v>
      </c>
      <c r="AH460" t="s">
        <v>112</v>
      </c>
      <c r="AI460" s="63">
        <v>37305</v>
      </c>
      <c r="AJ460" s="63">
        <v>45657</v>
      </c>
      <c r="AK460" t="s">
        <v>111</v>
      </c>
      <c r="AL460" t="s">
        <v>111</v>
      </c>
      <c r="AM460" t="s">
        <v>111</v>
      </c>
      <c r="AN460">
        <v>881</v>
      </c>
      <c r="AO460" t="s">
        <v>110</v>
      </c>
      <c r="AP460" t="s">
        <v>109</v>
      </c>
    </row>
    <row r="461" spans="1:42" x14ac:dyDescent="0.25">
      <c r="A461" s="28" t="str">
        <f>"15113"</f>
        <v>15113</v>
      </c>
      <c r="B461">
        <v>15113</v>
      </c>
      <c r="C461" t="s">
        <v>2488</v>
      </c>
      <c r="D461" t="s">
        <v>121</v>
      </c>
      <c r="F461" t="s">
        <v>120</v>
      </c>
      <c r="G461" t="s">
        <v>601</v>
      </c>
      <c r="I461" t="s">
        <v>2076</v>
      </c>
      <c r="J461" t="s">
        <v>7</v>
      </c>
      <c r="K461" s="63">
        <v>25439</v>
      </c>
      <c r="L461" s="28">
        <f>DATEDIF(K461,Zwift25!G$1,"Y")</f>
        <v>55</v>
      </c>
      <c r="M461" s="67">
        <f>IF(J461="m",VLOOKUP(L461,'All Solo Adjustments'!A:D,4,FALSE),VLOOKUP(L461,'All Solo Adjustments'!A:J,10,FALSE))</f>
        <v>2.0601851851851853E-3</v>
      </c>
      <c r="N461" s="63"/>
      <c r="O461" s="63"/>
      <c r="P461" s="63"/>
      <c r="Q461" s="63"/>
      <c r="R461" t="s">
        <v>125</v>
      </c>
      <c r="S461" t="s">
        <v>170</v>
      </c>
      <c r="T461" t="s">
        <v>292</v>
      </c>
      <c r="U461" t="s">
        <v>9975</v>
      </c>
      <c r="V461" t="s">
        <v>435</v>
      </c>
      <c r="W461" t="s">
        <v>201</v>
      </c>
      <c r="Y461" t="s">
        <v>9974</v>
      </c>
      <c r="Z461" t="str">
        <f>"0798690394"</f>
        <v>0798690394</v>
      </c>
      <c r="AA461" t="str">
        <f>""</f>
        <v/>
      </c>
      <c r="AB461" t="s">
        <v>1389</v>
      </c>
      <c r="AC461" t="s">
        <v>9973</v>
      </c>
      <c r="AD461" t="s">
        <v>114</v>
      </c>
      <c r="AE461" s="63">
        <v>45397</v>
      </c>
      <c r="AF461" t="s">
        <v>156</v>
      </c>
      <c r="AG461" t="s">
        <v>112</v>
      </c>
      <c r="AH461" t="s">
        <v>112</v>
      </c>
      <c r="AI461" s="63">
        <v>44359</v>
      </c>
      <c r="AJ461" s="63">
        <v>45657</v>
      </c>
      <c r="AK461" t="s">
        <v>112</v>
      </c>
      <c r="AL461" t="s">
        <v>112</v>
      </c>
      <c r="AM461" t="s">
        <v>111</v>
      </c>
      <c r="AN461">
        <v>10335</v>
      </c>
      <c r="AO461" t="s">
        <v>110</v>
      </c>
      <c r="AP461" t="s">
        <v>109</v>
      </c>
    </row>
    <row r="462" spans="1:42" x14ac:dyDescent="0.25">
      <c r="A462" s="28" t="str">
        <f>"15939"</f>
        <v>15939</v>
      </c>
      <c r="B462">
        <v>15939</v>
      </c>
      <c r="C462" t="s">
        <v>2488</v>
      </c>
      <c r="D462" t="s">
        <v>121</v>
      </c>
      <c r="F462" t="s">
        <v>120</v>
      </c>
      <c r="G462" t="s">
        <v>405</v>
      </c>
      <c r="H462" t="s">
        <v>230</v>
      </c>
      <c r="I462" t="s">
        <v>2076</v>
      </c>
      <c r="J462" t="s">
        <v>7</v>
      </c>
      <c r="K462" s="63">
        <v>24266</v>
      </c>
      <c r="L462" s="28">
        <f>DATEDIF(K462,Zwift25!G$1,"Y")</f>
        <v>58</v>
      </c>
      <c r="M462" s="67">
        <f>IF(J462="m",VLOOKUP(L462,'All Solo Adjustments'!A:D,4,FALSE),VLOOKUP(L462,'All Solo Adjustments'!A:J,10,FALSE))</f>
        <v>2.7199074074074074E-3</v>
      </c>
      <c r="N462" s="63"/>
      <c r="O462" s="63"/>
      <c r="P462" s="63"/>
      <c r="Q462" s="63"/>
      <c r="R462" t="s">
        <v>143</v>
      </c>
      <c r="S462" t="s">
        <v>142</v>
      </c>
      <c r="T462" t="s">
        <v>292</v>
      </c>
      <c r="U462" t="s">
        <v>9972</v>
      </c>
      <c r="W462" t="s">
        <v>661</v>
      </c>
      <c r="X462" t="s">
        <v>141</v>
      </c>
      <c r="Y462" t="s">
        <v>9971</v>
      </c>
      <c r="Z462" t="str">
        <f>"07771782809"</f>
        <v>07771782809</v>
      </c>
      <c r="AA462" t="str">
        <f>""</f>
        <v/>
      </c>
      <c r="AB462" t="s">
        <v>9970</v>
      </c>
      <c r="AC462" t="s">
        <v>9969</v>
      </c>
      <c r="AD462" t="s">
        <v>114</v>
      </c>
      <c r="AE462" s="63">
        <v>45222</v>
      </c>
      <c r="AF462" t="s">
        <v>113</v>
      </c>
      <c r="AG462" t="s">
        <v>112</v>
      </c>
      <c r="AH462" t="s">
        <v>112</v>
      </c>
      <c r="AI462" s="63">
        <v>45222</v>
      </c>
      <c r="AJ462" s="63">
        <v>45657</v>
      </c>
      <c r="AK462" t="s">
        <v>112</v>
      </c>
      <c r="AL462" t="s">
        <v>111</v>
      </c>
      <c r="AM462" t="s">
        <v>111</v>
      </c>
      <c r="AN462">
        <v>28207</v>
      </c>
      <c r="AO462" t="s">
        <v>110</v>
      </c>
      <c r="AP462" t="s">
        <v>109</v>
      </c>
    </row>
    <row r="463" spans="1:42" x14ac:dyDescent="0.25">
      <c r="A463" s="28" t="str">
        <f>"16145"</f>
        <v>16145</v>
      </c>
      <c r="B463">
        <v>16145</v>
      </c>
      <c r="C463" t="s">
        <v>2488</v>
      </c>
      <c r="D463" t="s">
        <v>132</v>
      </c>
      <c r="E463" t="s">
        <v>584</v>
      </c>
      <c r="F463" t="s">
        <v>120</v>
      </c>
      <c r="G463" t="s">
        <v>601</v>
      </c>
      <c r="H463" t="s">
        <v>678</v>
      </c>
      <c r="I463" t="s">
        <v>2076</v>
      </c>
      <c r="J463" t="s">
        <v>7</v>
      </c>
      <c r="K463" s="63">
        <v>26127</v>
      </c>
      <c r="L463" s="28">
        <f>DATEDIF(K463,Zwift25!G$1,"Y")</f>
        <v>53</v>
      </c>
      <c r="M463" s="67">
        <f>IF(J463="m",VLOOKUP(L463,'All Solo Adjustments'!A:D,4,FALSE),VLOOKUP(L463,'All Solo Adjustments'!A:J,10,FALSE))</f>
        <v>1.6666666666666668E-3</v>
      </c>
      <c r="N463" s="63"/>
      <c r="O463" s="63"/>
      <c r="P463" s="63"/>
      <c r="Q463" s="63"/>
      <c r="R463" t="s">
        <v>118</v>
      </c>
      <c r="S463" t="s">
        <v>1517</v>
      </c>
      <c r="T463" t="s">
        <v>292</v>
      </c>
      <c r="U463" t="s">
        <v>9966</v>
      </c>
      <c r="V463" t="s">
        <v>9965</v>
      </c>
      <c r="W463" t="s">
        <v>9964</v>
      </c>
      <c r="X463" t="s">
        <v>892</v>
      </c>
      <c r="Y463" t="s">
        <v>9963</v>
      </c>
      <c r="Z463" t="str">
        <f>"07950846492"</f>
        <v>07950846492</v>
      </c>
      <c r="AA463" t="str">
        <f>""</f>
        <v/>
      </c>
      <c r="AB463" t="s">
        <v>1269</v>
      </c>
      <c r="AC463" t="s">
        <v>9968</v>
      </c>
      <c r="AD463" t="s">
        <v>114</v>
      </c>
      <c r="AE463" s="63">
        <v>45437</v>
      </c>
      <c r="AF463" t="s">
        <v>156</v>
      </c>
      <c r="AG463" t="s">
        <v>112</v>
      </c>
      <c r="AH463" t="s">
        <v>112</v>
      </c>
      <c r="AI463" s="63">
        <v>45437</v>
      </c>
      <c r="AJ463" s="63">
        <v>45657</v>
      </c>
      <c r="AK463" t="s">
        <v>112</v>
      </c>
      <c r="AL463" t="s">
        <v>111</v>
      </c>
      <c r="AM463" t="s">
        <v>111</v>
      </c>
      <c r="AN463">
        <v>47717</v>
      </c>
      <c r="AO463" t="s">
        <v>110</v>
      </c>
      <c r="AP463" t="s">
        <v>109</v>
      </c>
    </row>
    <row r="464" spans="1:42" x14ac:dyDescent="0.25">
      <c r="A464" s="28" t="str">
        <f>"16146"</f>
        <v>16146</v>
      </c>
      <c r="B464">
        <v>16146</v>
      </c>
      <c r="C464" t="s">
        <v>2488</v>
      </c>
      <c r="D464" t="s">
        <v>130</v>
      </c>
      <c r="E464" t="s">
        <v>584</v>
      </c>
      <c r="F464" t="s">
        <v>149</v>
      </c>
      <c r="G464" t="s">
        <v>9967</v>
      </c>
      <c r="H464" t="s">
        <v>819</v>
      </c>
      <c r="I464" t="s">
        <v>2076</v>
      </c>
      <c r="J464" t="s">
        <v>126</v>
      </c>
      <c r="K464" s="63">
        <v>28147</v>
      </c>
      <c r="L464" s="28">
        <f>DATEDIF(K464,Zwift25!G$1,"Y")</f>
        <v>47</v>
      </c>
      <c r="M464" s="67">
        <f>IF(J464="m",VLOOKUP(L464,'All Solo Adjustments'!A:D,4,FALSE),VLOOKUP(L464,'All Solo Adjustments'!A:J,10,FALSE))</f>
        <v>4.7337962962962958E-3</v>
      </c>
      <c r="N464" s="63"/>
      <c r="O464" s="63"/>
      <c r="P464" s="63"/>
      <c r="Q464" s="63"/>
      <c r="R464" t="s">
        <v>118</v>
      </c>
      <c r="S464" t="s">
        <v>1517</v>
      </c>
      <c r="T464" t="s">
        <v>292</v>
      </c>
      <c r="U464" t="s">
        <v>9966</v>
      </c>
      <c r="V464" t="s">
        <v>9965</v>
      </c>
      <c r="W464" t="s">
        <v>9964</v>
      </c>
      <c r="X464" t="s">
        <v>892</v>
      </c>
      <c r="Y464" t="s">
        <v>9963</v>
      </c>
      <c r="Z464" t="str">
        <f>"07950846492"</f>
        <v>07950846492</v>
      </c>
      <c r="AA464" t="str">
        <f>""</f>
        <v/>
      </c>
      <c r="AB464" t="s">
        <v>9962</v>
      </c>
      <c r="AC464" t="s">
        <v>9961</v>
      </c>
      <c r="AD464" t="s">
        <v>114</v>
      </c>
      <c r="AE464" s="63">
        <v>45437</v>
      </c>
      <c r="AG464" t="s">
        <v>112</v>
      </c>
      <c r="AH464" t="s">
        <v>112</v>
      </c>
      <c r="AI464" s="63">
        <v>45437</v>
      </c>
      <c r="AJ464" s="63">
        <v>45657</v>
      </c>
      <c r="AK464" t="s">
        <v>112</v>
      </c>
      <c r="AL464" t="s">
        <v>111</v>
      </c>
      <c r="AM464" t="s">
        <v>111</v>
      </c>
      <c r="AN464">
        <v>45244</v>
      </c>
      <c r="AO464" t="s">
        <v>122</v>
      </c>
      <c r="AP464" t="s">
        <v>122</v>
      </c>
    </row>
    <row r="465" spans="1:42" x14ac:dyDescent="0.25">
      <c r="A465" s="28" t="str">
        <f>"0623"</f>
        <v>0623</v>
      </c>
      <c r="B465">
        <v>623</v>
      </c>
      <c r="C465" t="s">
        <v>2488</v>
      </c>
      <c r="D465" t="s">
        <v>121</v>
      </c>
      <c r="F465" t="s">
        <v>120</v>
      </c>
      <c r="G465" t="s">
        <v>1104</v>
      </c>
      <c r="I465" t="s">
        <v>9960</v>
      </c>
      <c r="J465" t="s">
        <v>7</v>
      </c>
      <c r="K465" s="63">
        <v>10298</v>
      </c>
      <c r="L465" s="28">
        <f>DATEDIF(K465,Zwift25!G$1,"Y")</f>
        <v>96</v>
      </c>
      <c r="M465" s="67">
        <f>IF(J465="m",VLOOKUP(L465,'All Solo Adjustments'!A:D,4,FALSE),VLOOKUP(L465,'All Solo Adjustments'!A:J,10,FALSE))</f>
        <v>2.5300925925925925E-2</v>
      </c>
      <c r="N465" s="63"/>
      <c r="O465" s="63"/>
      <c r="P465" s="63"/>
      <c r="Q465" s="63"/>
      <c r="R465" t="s">
        <v>125</v>
      </c>
      <c r="S465" t="s">
        <v>484</v>
      </c>
      <c r="T465" t="s">
        <v>292</v>
      </c>
      <c r="U465" t="s">
        <v>9959</v>
      </c>
      <c r="V465" t="s">
        <v>6146</v>
      </c>
      <c r="W465" t="s">
        <v>123</v>
      </c>
      <c r="Y465" t="s">
        <v>9958</v>
      </c>
      <c r="Z465" t="str">
        <f>"01277 653313"</f>
        <v>01277 653313</v>
      </c>
      <c r="AA465" t="str">
        <f>""</f>
        <v/>
      </c>
      <c r="AB465" t="s">
        <v>508</v>
      </c>
      <c r="AD465" t="s">
        <v>151</v>
      </c>
      <c r="AF465" t="s">
        <v>113</v>
      </c>
      <c r="AG465" t="s">
        <v>112</v>
      </c>
      <c r="AH465" t="s">
        <v>112</v>
      </c>
      <c r="AI465" s="63">
        <v>27356</v>
      </c>
      <c r="AK465" t="s">
        <v>111</v>
      </c>
      <c r="AL465" t="s">
        <v>111</v>
      </c>
      <c r="AM465" t="s">
        <v>111</v>
      </c>
      <c r="AN465" t="s">
        <v>105</v>
      </c>
      <c r="AO465" t="s">
        <v>110</v>
      </c>
      <c r="AP465" t="s">
        <v>109</v>
      </c>
    </row>
    <row r="466" spans="1:42" x14ac:dyDescent="0.25">
      <c r="A466" s="28" t="str">
        <f>"16096"</f>
        <v>16096</v>
      </c>
      <c r="B466">
        <v>16096</v>
      </c>
      <c r="C466" t="s">
        <v>2488</v>
      </c>
      <c r="D466" t="s">
        <v>121</v>
      </c>
      <c r="E466" t="s">
        <v>584</v>
      </c>
      <c r="F466" t="s">
        <v>403</v>
      </c>
      <c r="G466" t="s">
        <v>513</v>
      </c>
      <c r="I466" t="s">
        <v>9957</v>
      </c>
      <c r="J466" t="s">
        <v>7</v>
      </c>
      <c r="K466" s="63">
        <v>30140</v>
      </c>
      <c r="L466" s="28">
        <f>DATEDIF(K466,Zwift25!G$1,"Y")</f>
        <v>42</v>
      </c>
      <c r="M466" s="67">
        <f>IF(J466="m",VLOOKUP(L466,'All Solo Adjustments'!A:D,4,FALSE),VLOOKUP(L466,'All Solo Adjustments'!A:J,10,FALSE))</f>
        <v>1.5046296296296295E-4</v>
      </c>
      <c r="N466" s="63"/>
      <c r="O466" s="63"/>
      <c r="P466" s="63"/>
      <c r="Q466" s="63"/>
      <c r="R466" t="s">
        <v>184</v>
      </c>
      <c r="S466" t="s">
        <v>183</v>
      </c>
      <c r="T466" t="s">
        <v>292</v>
      </c>
      <c r="U466" t="s">
        <v>9956</v>
      </c>
      <c r="V466" t="s">
        <v>9955</v>
      </c>
      <c r="W466" t="s">
        <v>9954</v>
      </c>
      <c r="X466" t="s">
        <v>401</v>
      </c>
      <c r="Y466" t="s">
        <v>9953</v>
      </c>
      <c r="Z466" t="str">
        <f>"07525440284"</f>
        <v>07525440284</v>
      </c>
      <c r="AA466" t="str">
        <f>""</f>
        <v/>
      </c>
      <c r="AB466" t="s">
        <v>9952</v>
      </c>
      <c r="AC466" t="s">
        <v>9951</v>
      </c>
      <c r="AD466" t="s">
        <v>114</v>
      </c>
      <c r="AE466" s="63">
        <v>45392</v>
      </c>
      <c r="AF466" t="s">
        <v>156</v>
      </c>
      <c r="AG466" t="s">
        <v>112</v>
      </c>
      <c r="AH466" t="s">
        <v>112</v>
      </c>
      <c r="AI466" s="63">
        <v>45392</v>
      </c>
      <c r="AJ466" s="63">
        <v>45657</v>
      </c>
      <c r="AK466" t="s">
        <v>112</v>
      </c>
      <c r="AL466" t="s">
        <v>111</v>
      </c>
      <c r="AM466" t="s">
        <v>111</v>
      </c>
      <c r="AN466">
        <v>48221</v>
      </c>
      <c r="AO466" t="s">
        <v>110</v>
      </c>
      <c r="AP466" t="s">
        <v>109</v>
      </c>
    </row>
    <row r="467" spans="1:42" x14ac:dyDescent="0.25">
      <c r="A467" s="28" t="str">
        <f>"6338"</f>
        <v>6338</v>
      </c>
      <c r="B467">
        <v>6338</v>
      </c>
      <c r="C467" t="s">
        <v>2488</v>
      </c>
      <c r="D467" t="s">
        <v>121</v>
      </c>
      <c r="E467" t="s">
        <v>2500</v>
      </c>
      <c r="F467" t="s">
        <v>120</v>
      </c>
      <c r="G467" t="s">
        <v>1484</v>
      </c>
      <c r="I467" t="s">
        <v>9950</v>
      </c>
      <c r="J467" t="s">
        <v>7</v>
      </c>
      <c r="K467" s="63">
        <v>23739</v>
      </c>
      <c r="L467" s="28">
        <f>DATEDIF(K467,Zwift25!G$1,"Y")</f>
        <v>59</v>
      </c>
      <c r="M467" s="67">
        <f>IF(J467="m",VLOOKUP(L467,'All Solo Adjustments'!A:D,4,FALSE),VLOOKUP(L467,'All Solo Adjustments'!A:J,10,FALSE))</f>
        <v>2.9629629629629632E-3</v>
      </c>
      <c r="N467" s="63"/>
      <c r="O467" s="63"/>
      <c r="P467" s="63"/>
      <c r="Q467" s="63"/>
      <c r="R467" t="s">
        <v>328</v>
      </c>
      <c r="S467" t="s">
        <v>327</v>
      </c>
      <c r="T467" t="s">
        <v>292</v>
      </c>
      <c r="U467" t="s">
        <v>9949</v>
      </c>
      <c r="V467" t="s">
        <v>9948</v>
      </c>
      <c r="W467" t="s">
        <v>2124</v>
      </c>
      <c r="X467" t="s">
        <v>810</v>
      </c>
      <c r="Y467" t="s">
        <v>9947</v>
      </c>
      <c r="Z467" t="str">
        <f>"07421260383"</f>
        <v>07421260383</v>
      </c>
      <c r="AA467" t="str">
        <f>""</f>
        <v/>
      </c>
      <c r="AB467" t="s">
        <v>9946</v>
      </c>
      <c r="AC467" t="s">
        <v>9945</v>
      </c>
      <c r="AD467" t="s">
        <v>114</v>
      </c>
      <c r="AE467" s="63">
        <v>45208</v>
      </c>
      <c r="AF467" t="s">
        <v>113</v>
      </c>
      <c r="AG467" t="s">
        <v>112</v>
      </c>
      <c r="AH467" t="s">
        <v>112</v>
      </c>
      <c r="AI467" s="63">
        <v>42961</v>
      </c>
      <c r="AJ467" s="63">
        <v>45657</v>
      </c>
      <c r="AK467" t="s">
        <v>111</v>
      </c>
      <c r="AL467" t="s">
        <v>111</v>
      </c>
      <c r="AM467" t="s">
        <v>111</v>
      </c>
      <c r="AN467">
        <v>19646</v>
      </c>
      <c r="AO467" t="s">
        <v>110</v>
      </c>
      <c r="AP467" t="s">
        <v>109</v>
      </c>
    </row>
    <row r="468" spans="1:42" x14ac:dyDescent="0.25">
      <c r="A468" s="28" t="str">
        <f>"13926"</f>
        <v>13926</v>
      </c>
      <c r="B468">
        <v>13926</v>
      </c>
      <c r="C468" t="s">
        <v>2488</v>
      </c>
      <c r="D468" t="s">
        <v>121</v>
      </c>
      <c r="E468" t="s">
        <v>584</v>
      </c>
      <c r="F468" t="s">
        <v>120</v>
      </c>
      <c r="G468" t="s">
        <v>952</v>
      </c>
      <c r="H468" t="s">
        <v>941</v>
      </c>
      <c r="I468" t="s">
        <v>9944</v>
      </c>
      <c r="J468" t="s">
        <v>7</v>
      </c>
      <c r="K468" s="63">
        <v>25048</v>
      </c>
      <c r="L468" s="28">
        <f>DATEDIF(K468,Zwift25!G$1,"Y")</f>
        <v>56</v>
      </c>
      <c r="M468" s="67">
        <f>IF(J468="m",VLOOKUP(L468,'All Solo Adjustments'!A:D,4,FALSE),VLOOKUP(L468,'All Solo Adjustments'!A:J,10,FALSE))</f>
        <v>2.2685185185185182E-3</v>
      </c>
      <c r="N468" s="63"/>
      <c r="O468" s="63"/>
      <c r="P468" s="63"/>
      <c r="Q468" s="63"/>
      <c r="R468" t="s">
        <v>527</v>
      </c>
      <c r="S468" t="s">
        <v>526</v>
      </c>
      <c r="T468" t="s">
        <v>292</v>
      </c>
      <c r="U468" t="s">
        <v>9943</v>
      </c>
      <c r="V468" t="s">
        <v>9942</v>
      </c>
      <c r="W468" t="s">
        <v>2991</v>
      </c>
      <c r="X468" t="s">
        <v>1234</v>
      </c>
      <c r="Y468" t="s">
        <v>9941</v>
      </c>
      <c r="Z468" t="str">
        <f>"07542978781"</f>
        <v>07542978781</v>
      </c>
      <c r="AA468" t="str">
        <f>""</f>
        <v/>
      </c>
      <c r="AB468" t="s">
        <v>9940</v>
      </c>
      <c r="AC468" t="s">
        <v>9939</v>
      </c>
      <c r="AD468" t="s">
        <v>114</v>
      </c>
      <c r="AE468" s="63">
        <v>45262</v>
      </c>
      <c r="AF468" t="s">
        <v>113</v>
      </c>
      <c r="AG468" t="s">
        <v>112</v>
      </c>
      <c r="AH468" t="s">
        <v>112</v>
      </c>
      <c r="AI468" s="63">
        <v>43446</v>
      </c>
      <c r="AJ468" s="63">
        <v>45657</v>
      </c>
      <c r="AK468" t="s">
        <v>112</v>
      </c>
      <c r="AL468" t="s">
        <v>111</v>
      </c>
      <c r="AM468" t="s">
        <v>111</v>
      </c>
      <c r="AN468">
        <v>14948</v>
      </c>
      <c r="AO468" t="s">
        <v>110</v>
      </c>
      <c r="AP468" t="s">
        <v>109</v>
      </c>
    </row>
    <row r="469" spans="1:42" x14ac:dyDescent="0.25">
      <c r="A469" s="28" t="str">
        <f>"15046"</f>
        <v>15046</v>
      </c>
      <c r="B469">
        <v>15046</v>
      </c>
      <c r="C469" t="s">
        <v>2488</v>
      </c>
      <c r="D469" t="s">
        <v>121</v>
      </c>
      <c r="F469" t="s">
        <v>120</v>
      </c>
      <c r="G469" t="s">
        <v>9938</v>
      </c>
      <c r="I469" t="s">
        <v>9937</v>
      </c>
      <c r="J469" t="s">
        <v>7</v>
      </c>
      <c r="K469" s="63">
        <v>25228</v>
      </c>
      <c r="L469" s="28">
        <f>DATEDIF(K469,Zwift25!G$1,"Y")</f>
        <v>55</v>
      </c>
      <c r="M469" s="67">
        <f>IF(J469="m",VLOOKUP(L469,'All Solo Adjustments'!A:D,4,FALSE),VLOOKUP(L469,'All Solo Adjustments'!A:J,10,FALSE))</f>
        <v>2.0601851851851853E-3</v>
      </c>
      <c r="N469" s="63"/>
      <c r="O469" s="63"/>
      <c r="P469" s="63"/>
      <c r="Q469" s="63"/>
      <c r="R469" t="s">
        <v>118</v>
      </c>
      <c r="S469" t="s">
        <v>117</v>
      </c>
      <c r="T469" t="s">
        <v>292</v>
      </c>
      <c r="U469" t="s">
        <v>9936</v>
      </c>
      <c r="V469" t="s">
        <v>547</v>
      </c>
      <c r="Y469" t="s">
        <v>9935</v>
      </c>
      <c r="Z469" t="str">
        <f>"07977134412"</f>
        <v>07977134412</v>
      </c>
      <c r="AA469" t="str">
        <f>""</f>
        <v/>
      </c>
      <c r="AB469" t="s">
        <v>9934</v>
      </c>
      <c r="AC469" t="s">
        <v>9933</v>
      </c>
      <c r="AD469" t="s">
        <v>114</v>
      </c>
      <c r="AE469" s="63">
        <v>45363</v>
      </c>
      <c r="AF469" t="s">
        <v>156</v>
      </c>
      <c r="AG469" t="s">
        <v>112</v>
      </c>
      <c r="AH469" t="s">
        <v>112</v>
      </c>
      <c r="AI469" s="63">
        <v>44319</v>
      </c>
      <c r="AJ469" s="63">
        <v>45657</v>
      </c>
      <c r="AK469" t="s">
        <v>112</v>
      </c>
      <c r="AL469" t="s">
        <v>111</v>
      </c>
      <c r="AM469" t="s">
        <v>111</v>
      </c>
      <c r="AN469">
        <v>15481</v>
      </c>
      <c r="AO469" t="s">
        <v>110</v>
      </c>
      <c r="AP469" t="s">
        <v>109</v>
      </c>
    </row>
    <row r="470" spans="1:42" x14ac:dyDescent="0.25">
      <c r="A470" s="28" t="str">
        <f>"3828"</f>
        <v>3828</v>
      </c>
      <c r="B470">
        <v>3828</v>
      </c>
      <c r="C470" t="s">
        <v>2488</v>
      </c>
      <c r="D470" t="s">
        <v>121</v>
      </c>
      <c r="E470" t="s">
        <v>8179</v>
      </c>
      <c r="F470" t="s">
        <v>120</v>
      </c>
      <c r="G470" t="s">
        <v>245</v>
      </c>
      <c r="H470" t="s">
        <v>174</v>
      </c>
      <c r="I470" t="s">
        <v>1413</v>
      </c>
      <c r="J470" t="s">
        <v>7</v>
      </c>
      <c r="K470" s="63">
        <v>23183</v>
      </c>
      <c r="L470" s="28">
        <f>DATEDIF(K470,Zwift25!G$1,"Y")</f>
        <v>61</v>
      </c>
      <c r="M470" s="67">
        <f>IF(J470="m",VLOOKUP(L470,'All Solo Adjustments'!A:D,4,FALSE),VLOOKUP(L470,'All Solo Adjustments'!A:J,10,FALSE))</f>
        <v>3.4722222222222225E-3</v>
      </c>
      <c r="N470" s="63"/>
      <c r="O470" s="63"/>
      <c r="P470" s="63"/>
      <c r="Q470" s="63"/>
      <c r="R470" t="s">
        <v>143</v>
      </c>
      <c r="S470" t="s">
        <v>142</v>
      </c>
      <c r="T470" t="s">
        <v>292</v>
      </c>
      <c r="U470" t="s">
        <v>9932</v>
      </c>
      <c r="V470" t="s">
        <v>9931</v>
      </c>
      <c r="W470" t="s">
        <v>242</v>
      </c>
      <c r="X470" t="s">
        <v>172</v>
      </c>
      <c r="Y470" t="s">
        <v>9930</v>
      </c>
      <c r="Z470" t="str">
        <f>"01293 522721"</f>
        <v>01293 522721</v>
      </c>
      <c r="AA470" t="str">
        <f>"07778 548979"</f>
        <v>07778 548979</v>
      </c>
      <c r="AB470" t="s">
        <v>9929</v>
      </c>
      <c r="AC470" t="s">
        <v>9928</v>
      </c>
      <c r="AD470" t="s">
        <v>114</v>
      </c>
      <c r="AE470" s="63">
        <v>45291</v>
      </c>
      <c r="AF470" t="s">
        <v>113</v>
      </c>
      <c r="AG470" t="s">
        <v>112</v>
      </c>
      <c r="AH470" t="s">
        <v>112</v>
      </c>
      <c r="AI470" s="63">
        <v>40216</v>
      </c>
      <c r="AJ470" s="63">
        <v>45657</v>
      </c>
      <c r="AK470" t="s">
        <v>111</v>
      </c>
      <c r="AL470" t="s">
        <v>111</v>
      </c>
      <c r="AM470" t="s">
        <v>111</v>
      </c>
      <c r="AN470">
        <v>5332</v>
      </c>
      <c r="AO470" t="s">
        <v>110</v>
      </c>
      <c r="AP470" t="s">
        <v>109</v>
      </c>
    </row>
    <row r="471" spans="1:42" x14ac:dyDescent="0.25">
      <c r="A471" s="28" t="str">
        <f>"0637"</f>
        <v>0637</v>
      </c>
      <c r="B471">
        <v>637</v>
      </c>
      <c r="C471" t="s">
        <v>2488</v>
      </c>
      <c r="D471" t="s">
        <v>121</v>
      </c>
      <c r="F471" t="s">
        <v>120</v>
      </c>
      <c r="G471" t="s">
        <v>721</v>
      </c>
      <c r="I471" t="s">
        <v>1413</v>
      </c>
      <c r="J471" t="s">
        <v>7</v>
      </c>
      <c r="K471" s="63">
        <v>15342</v>
      </c>
      <c r="L471" s="28">
        <f>DATEDIF(K471,Zwift25!G$1,"Y")</f>
        <v>82</v>
      </c>
      <c r="M471" s="67">
        <f>IF(J471="m",VLOOKUP(L471,'All Solo Adjustments'!A:D,4,FALSE),VLOOKUP(L471,'All Solo Adjustments'!A:J,10,FALSE))</f>
        <v>1.2210648148148148E-2</v>
      </c>
      <c r="N471" s="63"/>
      <c r="O471" s="63"/>
      <c r="P471" s="63"/>
      <c r="Q471" s="63"/>
      <c r="R471" t="s">
        <v>154</v>
      </c>
      <c r="S471" t="s">
        <v>2404</v>
      </c>
      <c r="T471" t="s">
        <v>292</v>
      </c>
      <c r="U471" t="s">
        <v>1973</v>
      </c>
      <c r="V471" t="s">
        <v>9927</v>
      </c>
      <c r="W471" t="s">
        <v>9926</v>
      </c>
      <c r="X471" t="s">
        <v>9925</v>
      </c>
      <c r="Y471" t="s">
        <v>9924</v>
      </c>
      <c r="Z471" t="str">
        <f>"01234 567890"</f>
        <v>01234 567890</v>
      </c>
      <c r="AA471" t="str">
        <f>""</f>
        <v/>
      </c>
      <c r="AB471" t="s">
        <v>290</v>
      </c>
      <c r="AD471" t="s">
        <v>151</v>
      </c>
      <c r="AF471" t="s">
        <v>113</v>
      </c>
      <c r="AG471" t="s">
        <v>112</v>
      </c>
      <c r="AH471" t="s">
        <v>112</v>
      </c>
      <c r="AK471" t="s">
        <v>111</v>
      </c>
      <c r="AL471" t="s">
        <v>111</v>
      </c>
      <c r="AM471" t="s">
        <v>111</v>
      </c>
      <c r="AN471" t="s">
        <v>105</v>
      </c>
      <c r="AO471" t="s">
        <v>110</v>
      </c>
      <c r="AP471" t="s">
        <v>109</v>
      </c>
    </row>
    <row r="472" spans="1:42" x14ac:dyDescent="0.25">
      <c r="A472" s="28" t="str">
        <f>"15223"</f>
        <v>15223</v>
      </c>
      <c r="B472">
        <v>15223</v>
      </c>
      <c r="C472" t="s">
        <v>2488</v>
      </c>
      <c r="D472" t="s">
        <v>121</v>
      </c>
      <c r="F472" t="s">
        <v>120</v>
      </c>
      <c r="G472" t="s">
        <v>221</v>
      </c>
      <c r="I472" t="s">
        <v>9923</v>
      </c>
      <c r="J472" t="s">
        <v>7</v>
      </c>
      <c r="K472" s="63">
        <v>22442</v>
      </c>
      <c r="L472" s="28">
        <f>DATEDIF(K472,Zwift25!G$1,"Y")</f>
        <v>63</v>
      </c>
      <c r="M472" s="67">
        <f>IF(J472="m",VLOOKUP(L472,'All Solo Adjustments'!A:D,4,FALSE),VLOOKUP(L472,'All Solo Adjustments'!A:J,10,FALSE))</f>
        <v>4.0277777777777777E-3</v>
      </c>
      <c r="N472" s="63"/>
      <c r="O472" s="63"/>
      <c r="P472" s="63"/>
      <c r="Q472" s="63"/>
      <c r="R472" t="s">
        <v>527</v>
      </c>
      <c r="S472" t="s">
        <v>526</v>
      </c>
      <c r="T472" t="s">
        <v>292</v>
      </c>
      <c r="U472" t="s">
        <v>9922</v>
      </c>
      <c r="V472" t="s">
        <v>1320</v>
      </c>
      <c r="W472" t="s">
        <v>869</v>
      </c>
      <c r="Y472" t="s">
        <v>9921</v>
      </c>
      <c r="Z472" t="str">
        <f>"+447709568597"</f>
        <v>+447709568597</v>
      </c>
      <c r="AA472" t="str">
        <f>"+447709568597"</f>
        <v>+447709568597</v>
      </c>
      <c r="AB472" t="s">
        <v>9920</v>
      </c>
      <c r="AC472" t="s">
        <v>9919</v>
      </c>
      <c r="AD472" t="s">
        <v>114</v>
      </c>
      <c r="AE472" s="63">
        <v>45355</v>
      </c>
      <c r="AF472" t="s">
        <v>156</v>
      </c>
      <c r="AG472" t="s">
        <v>112</v>
      </c>
      <c r="AH472" t="s">
        <v>112</v>
      </c>
      <c r="AI472" s="63">
        <v>44433</v>
      </c>
      <c r="AJ472" s="63">
        <v>45657</v>
      </c>
      <c r="AK472" t="s">
        <v>112</v>
      </c>
      <c r="AL472" t="s">
        <v>111</v>
      </c>
      <c r="AM472" t="s">
        <v>111</v>
      </c>
      <c r="AN472">
        <v>34535</v>
      </c>
      <c r="AO472" t="s">
        <v>110</v>
      </c>
      <c r="AP472" t="s">
        <v>109</v>
      </c>
    </row>
    <row r="473" spans="1:42" x14ac:dyDescent="0.25">
      <c r="A473" s="28" t="str">
        <f>"0642"</f>
        <v>0642</v>
      </c>
      <c r="B473">
        <v>642</v>
      </c>
      <c r="C473" t="s">
        <v>2488</v>
      </c>
      <c r="D473" t="s">
        <v>121</v>
      </c>
      <c r="F473" t="s">
        <v>120</v>
      </c>
      <c r="G473" t="s">
        <v>251</v>
      </c>
      <c r="H473" t="s">
        <v>284</v>
      </c>
      <c r="I473" t="s">
        <v>9918</v>
      </c>
      <c r="J473" t="s">
        <v>7</v>
      </c>
      <c r="K473" s="63">
        <v>18162</v>
      </c>
      <c r="L473" s="28">
        <f>DATEDIF(K473,Zwift25!G$1,"Y")</f>
        <v>75</v>
      </c>
      <c r="M473" s="67">
        <f>IF(J473="m",VLOOKUP(L473,'All Solo Adjustments'!A:D,4,FALSE),VLOOKUP(L473,'All Solo Adjustments'!A:J,10,FALSE))</f>
        <v>8.4374999999999988E-3</v>
      </c>
      <c r="N473" s="63"/>
      <c r="O473" s="63"/>
      <c r="P473" s="63"/>
      <c r="Q473" s="63"/>
      <c r="R473" t="s">
        <v>184</v>
      </c>
      <c r="S473" t="s">
        <v>183</v>
      </c>
      <c r="T473" t="s">
        <v>292</v>
      </c>
      <c r="U473" t="s">
        <v>9917</v>
      </c>
      <c r="V473" t="s">
        <v>9916</v>
      </c>
      <c r="W473" t="s">
        <v>1714</v>
      </c>
      <c r="Y473" t="s">
        <v>9915</v>
      </c>
      <c r="Z473" t="str">
        <f>"01753 474932"</f>
        <v>01753 474932</v>
      </c>
      <c r="AA473" t="str">
        <f>""</f>
        <v/>
      </c>
      <c r="AB473" t="s">
        <v>7175</v>
      </c>
      <c r="AC473" t="s">
        <v>9914</v>
      </c>
      <c r="AD473" t="s">
        <v>114</v>
      </c>
      <c r="AE473" s="63">
        <v>45254</v>
      </c>
      <c r="AF473" t="s">
        <v>113</v>
      </c>
      <c r="AG473" t="s">
        <v>112</v>
      </c>
      <c r="AH473" t="s">
        <v>112</v>
      </c>
      <c r="AI473" s="63">
        <v>32994</v>
      </c>
      <c r="AJ473" s="63">
        <v>45657</v>
      </c>
      <c r="AK473" t="s">
        <v>111</v>
      </c>
      <c r="AL473" t="s">
        <v>111</v>
      </c>
      <c r="AM473" t="s">
        <v>111</v>
      </c>
      <c r="AN473" t="s">
        <v>105</v>
      </c>
      <c r="AO473" t="s">
        <v>110</v>
      </c>
      <c r="AP473" t="s">
        <v>109</v>
      </c>
    </row>
    <row r="474" spans="1:42" x14ac:dyDescent="0.25">
      <c r="A474" s="28" t="str">
        <f>"0646"</f>
        <v>0646</v>
      </c>
      <c r="B474">
        <v>646</v>
      </c>
      <c r="C474" t="s">
        <v>2488</v>
      </c>
      <c r="D474" t="s">
        <v>121</v>
      </c>
      <c r="F474" t="s">
        <v>120</v>
      </c>
      <c r="G474" t="s">
        <v>195</v>
      </c>
      <c r="I474" t="s">
        <v>9909</v>
      </c>
      <c r="J474" t="s">
        <v>7</v>
      </c>
      <c r="K474" s="63">
        <v>15263</v>
      </c>
      <c r="L474" s="28">
        <f>DATEDIF(K474,Zwift25!G$1,"Y")</f>
        <v>82</v>
      </c>
      <c r="M474" s="67">
        <f>IF(J474="m",VLOOKUP(L474,'All Solo Adjustments'!A:D,4,FALSE),VLOOKUP(L474,'All Solo Adjustments'!A:J,10,FALSE))</f>
        <v>1.2210648148148148E-2</v>
      </c>
      <c r="N474" s="63"/>
      <c r="O474" s="63"/>
      <c r="P474" s="63"/>
      <c r="Q474" s="63"/>
      <c r="R474" t="s">
        <v>296</v>
      </c>
      <c r="S474" t="s">
        <v>2310</v>
      </c>
      <c r="T474" t="s">
        <v>292</v>
      </c>
      <c r="U474" t="s">
        <v>9913</v>
      </c>
      <c r="V474" t="s">
        <v>9912</v>
      </c>
      <c r="W474" t="s">
        <v>2125</v>
      </c>
      <c r="Y474" t="s">
        <v>9911</v>
      </c>
      <c r="Z474" t="str">
        <f>"01324 815621"</f>
        <v>01324 815621</v>
      </c>
      <c r="AA474" t="str">
        <f>""</f>
        <v/>
      </c>
      <c r="AB474" t="s">
        <v>2828</v>
      </c>
      <c r="AC474" t="s">
        <v>9910</v>
      </c>
      <c r="AD474" t="s">
        <v>145</v>
      </c>
      <c r="AF474" t="s">
        <v>113</v>
      </c>
      <c r="AG474" t="s">
        <v>112</v>
      </c>
      <c r="AH474" t="s">
        <v>112</v>
      </c>
      <c r="AI474" s="63">
        <v>31472</v>
      </c>
      <c r="AK474" t="s">
        <v>111</v>
      </c>
      <c r="AL474" t="s">
        <v>111</v>
      </c>
      <c r="AM474" t="s">
        <v>111</v>
      </c>
      <c r="AN474" t="s">
        <v>105</v>
      </c>
      <c r="AO474" t="s">
        <v>110</v>
      </c>
      <c r="AP474" t="s">
        <v>109</v>
      </c>
    </row>
    <row r="475" spans="1:42" x14ac:dyDescent="0.25">
      <c r="A475" s="28" t="str">
        <f>"0644"</f>
        <v>0644</v>
      </c>
      <c r="B475">
        <v>644</v>
      </c>
      <c r="C475" t="s">
        <v>2488</v>
      </c>
      <c r="D475" t="s">
        <v>121</v>
      </c>
      <c r="F475" t="s">
        <v>120</v>
      </c>
      <c r="G475" t="s">
        <v>663</v>
      </c>
      <c r="I475" t="s">
        <v>9909</v>
      </c>
      <c r="J475" t="s">
        <v>7</v>
      </c>
      <c r="K475" s="63">
        <v>14337</v>
      </c>
      <c r="L475" s="28">
        <f>DATEDIF(K475,Zwift25!G$1,"Y")</f>
        <v>85</v>
      </c>
      <c r="M475" s="67">
        <f>IF(J475="m",VLOOKUP(L475,'All Solo Adjustments'!A:D,4,FALSE),VLOOKUP(L475,'All Solo Adjustments'!A:J,10,FALSE))</f>
        <v>1.4236111111111111E-2</v>
      </c>
      <c r="N475" s="63"/>
      <c r="O475" s="63"/>
      <c r="P475" s="63"/>
      <c r="Q475" s="63"/>
      <c r="R475" t="s">
        <v>296</v>
      </c>
      <c r="S475" t="s">
        <v>2310</v>
      </c>
      <c r="T475" t="s">
        <v>292</v>
      </c>
      <c r="U475" t="s">
        <v>9908</v>
      </c>
      <c r="V475" t="s">
        <v>9907</v>
      </c>
      <c r="Y475" t="s">
        <v>9906</v>
      </c>
      <c r="Z475" t="str">
        <f>"01896 756402"</f>
        <v>01896 756402</v>
      </c>
      <c r="AA475" t="str">
        <f>""</f>
        <v/>
      </c>
      <c r="AB475" t="s">
        <v>1380</v>
      </c>
      <c r="AD475" t="s">
        <v>145</v>
      </c>
      <c r="AF475" t="s">
        <v>113</v>
      </c>
      <c r="AG475" t="s">
        <v>112</v>
      </c>
      <c r="AH475" t="s">
        <v>112</v>
      </c>
      <c r="AI475" s="63">
        <v>29331</v>
      </c>
      <c r="AK475" t="s">
        <v>111</v>
      </c>
      <c r="AL475" t="s">
        <v>111</v>
      </c>
      <c r="AM475" t="s">
        <v>111</v>
      </c>
      <c r="AN475" t="s">
        <v>105</v>
      </c>
      <c r="AO475" t="s">
        <v>110</v>
      </c>
      <c r="AP475" t="s">
        <v>109</v>
      </c>
    </row>
    <row r="476" spans="1:42" x14ac:dyDescent="0.25">
      <c r="A476" s="28" t="str">
        <f>"11704"</f>
        <v>11704</v>
      </c>
      <c r="B476">
        <v>11704</v>
      </c>
      <c r="C476" t="s">
        <v>2488</v>
      </c>
      <c r="D476" t="s">
        <v>121</v>
      </c>
      <c r="F476" t="s">
        <v>149</v>
      </c>
      <c r="G476" t="s">
        <v>1518</v>
      </c>
      <c r="H476" t="s">
        <v>577</v>
      </c>
      <c r="I476" t="s">
        <v>9905</v>
      </c>
      <c r="J476" t="s">
        <v>126</v>
      </c>
      <c r="K476" s="63">
        <v>21453</v>
      </c>
      <c r="L476" s="28">
        <f>DATEDIF(K476,Zwift25!G$1,"Y")</f>
        <v>66</v>
      </c>
      <c r="M476" s="67">
        <f>IF(J476="m",VLOOKUP(L476,'All Solo Adjustments'!A:D,4,FALSE),VLOOKUP(L476,'All Solo Adjustments'!A:J,10,FALSE))</f>
        <v>9.4907407407407406E-3</v>
      </c>
      <c r="N476" s="63"/>
      <c r="O476" s="63"/>
      <c r="P476" s="63"/>
      <c r="Q476" s="63"/>
      <c r="R476" t="s">
        <v>184</v>
      </c>
      <c r="S476" t="s">
        <v>183</v>
      </c>
      <c r="T476" t="s">
        <v>292</v>
      </c>
      <c r="U476" t="s">
        <v>9904</v>
      </c>
      <c r="V476" t="s">
        <v>9903</v>
      </c>
      <c r="W476" t="s">
        <v>347</v>
      </c>
      <c r="Y476" t="s">
        <v>9902</v>
      </c>
      <c r="Z476" t="str">
        <f>"07866718356"</f>
        <v>07866718356</v>
      </c>
      <c r="AA476" t="str">
        <f>""</f>
        <v/>
      </c>
      <c r="AB476" t="s">
        <v>9901</v>
      </c>
      <c r="AC476" t="s">
        <v>9900</v>
      </c>
      <c r="AD476" t="s">
        <v>114</v>
      </c>
      <c r="AE476" s="63">
        <v>45270</v>
      </c>
      <c r="AF476" t="s">
        <v>113</v>
      </c>
      <c r="AG476" t="s">
        <v>112</v>
      </c>
      <c r="AH476" t="s">
        <v>112</v>
      </c>
      <c r="AI476" s="63">
        <v>43208</v>
      </c>
      <c r="AJ476" s="63">
        <v>45657</v>
      </c>
      <c r="AK476" t="s">
        <v>112</v>
      </c>
      <c r="AL476" t="s">
        <v>111</v>
      </c>
      <c r="AM476" t="s">
        <v>111</v>
      </c>
      <c r="AN476">
        <v>15800</v>
      </c>
      <c r="AO476" t="s">
        <v>122</v>
      </c>
      <c r="AP476" t="s">
        <v>122</v>
      </c>
    </row>
    <row r="477" spans="1:42" x14ac:dyDescent="0.25">
      <c r="A477" s="28" t="str">
        <f>"14485"</f>
        <v>14485</v>
      </c>
      <c r="B477">
        <v>14485</v>
      </c>
      <c r="C477" t="s">
        <v>2488</v>
      </c>
      <c r="D477" t="s">
        <v>121</v>
      </c>
      <c r="E477" t="s">
        <v>3539</v>
      </c>
      <c r="F477" t="s">
        <v>120</v>
      </c>
      <c r="G477" t="s">
        <v>594</v>
      </c>
      <c r="I477" t="s">
        <v>2066</v>
      </c>
      <c r="J477" t="s">
        <v>7</v>
      </c>
      <c r="K477" s="63">
        <v>16363</v>
      </c>
      <c r="L477" s="28">
        <f>DATEDIF(K477,Zwift25!G$1,"Y")</f>
        <v>79</v>
      </c>
      <c r="M477" s="67">
        <f>IF(J477="m",VLOOKUP(L477,'All Solo Adjustments'!A:D,4,FALSE),VLOOKUP(L477,'All Solo Adjustments'!A:J,10,FALSE))</f>
        <v>1.0451388888888889E-2</v>
      </c>
      <c r="N477" s="63"/>
      <c r="O477" s="63"/>
      <c r="P477" s="63"/>
      <c r="Q477" s="63"/>
      <c r="R477" t="s">
        <v>239</v>
      </c>
      <c r="S477" t="s">
        <v>274</v>
      </c>
      <c r="T477" t="s">
        <v>292</v>
      </c>
      <c r="U477" t="s">
        <v>9899</v>
      </c>
      <c r="V477" t="s">
        <v>9898</v>
      </c>
      <c r="W477" t="s">
        <v>1292</v>
      </c>
      <c r="Y477" t="s">
        <v>9897</v>
      </c>
      <c r="Z477" t="str">
        <f>"+447886917357"</f>
        <v>+447886917357</v>
      </c>
      <c r="AA477" t="str">
        <f>"01723862331"</f>
        <v>01723862331</v>
      </c>
      <c r="AB477" t="s">
        <v>4397</v>
      </c>
      <c r="AC477" t="s">
        <v>9896</v>
      </c>
      <c r="AD477" t="s">
        <v>114</v>
      </c>
      <c r="AE477" s="63">
        <v>45265</v>
      </c>
      <c r="AF477" t="s">
        <v>156</v>
      </c>
      <c r="AG477" t="s">
        <v>112</v>
      </c>
      <c r="AH477" t="s">
        <v>112</v>
      </c>
      <c r="AI477" s="63">
        <v>43880</v>
      </c>
      <c r="AJ477" s="63">
        <v>45657</v>
      </c>
      <c r="AK477" t="s">
        <v>112</v>
      </c>
      <c r="AL477" t="s">
        <v>111</v>
      </c>
      <c r="AM477" t="s">
        <v>111</v>
      </c>
      <c r="AN477">
        <v>40713</v>
      </c>
      <c r="AO477" t="s">
        <v>110</v>
      </c>
      <c r="AP477" t="s">
        <v>109</v>
      </c>
    </row>
    <row r="478" spans="1:42" x14ac:dyDescent="0.25">
      <c r="A478" s="28" t="str">
        <f>"6495"</f>
        <v>6495</v>
      </c>
      <c r="B478">
        <v>6495</v>
      </c>
      <c r="C478" t="s">
        <v>2488</v>
      </c>
      <c r="D478" t="s">
        <v>121</v>
      </c>
      <c r="E478" t="s">
        <v>584</v>
      </c>
      <c r="F478" t="s">
        <v>120</v>
      </c>
      <c r="G478" t="s">
        <v>678</v>
      </c>
      <c r="I478" t="s">
        <v>9895</v>
      </c>
      <c r="J478" t="s">
        <v>7</v>
      </c>
      <c r="K478" s="63">
        <v>16715</v>
      </c>
      <c r="L478" s="28">
        <f>DATEDIF(K478,Zwift25!G$1,"Y")</f>
        <v>79</v>
      </c>
      <c r="M478" s="67">
        <f>IF(J478="m",VLOOKUP(L478,'All Solo Adjustments'!A:D,4,FALSE),VLOOKUP(L478,'All Solo Adjustments'!A:J,10,FALSE))</f>
        <v>1.0451388888888889E-2</v>
      </c>
      <c r="N478" s="63"/>
      <c r="O478" s="63"/>
      <c r="P478" s="63"/>
      <c r="Q478" s="63"/>
      <c r="R478" t="s">
        <v>296</v>
      </c>
      <c r="S478" t="s">
        <v>295</v>
      </c>
      <c r="T478" t="s">
        <v>292</v>
      </c>
      <c r="U478" t="s">
        <v>9894</v>
      </c>
      <c r="V478" t="s">
        <v>2386</v>
      </c>
      <c r="X478" t="s">
        <v>1638</v>
      </c>
      <c r="Y478" t="s">
        <v>9893</v>
      </c>
      <c r="Z478" t="str">
        <f>"0141 8837336"</f>
        <v>0141 8837336</v>
      </c>
      <c r="AA478" t="str">
        <f>"07368621051"</f>
        <v>07368621051</v>
      </c>
      <c r="AB478" t="s">
        <v>2378</v>
      </c>
      <c r="AC478" t="s">
        <v>9892</v>
      </c>
      <c r="AD478" t="s">
        <v>114</v>
      </c>
      <c r="AE478" s="63">
        <v>45281</v>
      </c>
      <c r="AF478" t="s">
        <v>113</v>
      </c>
      <c r="AG478" t="s">
        <v>112</v>
      </c>
      <c r="AH478" t="s">
        <v>112</v>
      </c>
      <c r="AI478" s="63">
        <v>43186</v>
      </c>
      <c r="AJ478" s="63">
        <v>45657</v>
      </c>
      <c r="AK478" t="s">
        <v>111</v>
      </c>
      <c r="AL478" t="s">
        <v>111</v>
      </c>
      <c r="AM478" t="s">
        <v>111</v>
      </c>
      <c r="AN478" t="s">
        <v>105</v>
      </c>
      <c r="AO478" t="s">
        <v>110</v>
      </c>
      <c r="AP478" t="s">
        <v>109</v>
      </c>
    </row>
    <row r="479" spans="1:42" x14ac:dyDescent="0.25">
      <c r="A479" s="28" t="str">
        <f>"15717"</f>
        <v>15717</v>
      </c>
      <c r="B479">
        <v>15717</v>
      </c>
      <c r="C479" t="s">
        <v>2488</v>
      </c>
      <c r="D479" t="s">
        <v>121</v>
      </c>
      <c r="F479" t="s">
        <v>120</v>
      </c>
      <c r="G479" t="s">
        <v>1163</v>
      </c>
      <c r="I479" t="s">
        <v>9891</v>
      </c>
      <c r="J479" t="s">
        <v>7</v>
      </c>
      <c r="K479" s="63">
        <v>26735</v>
      </c>
      <c r="L479" s="28">
        <f>DATEDIF(K479,Zwift25!G$1,"Y")</f>
        <v>51</v>
      </c>
      <c r="M479" s="67">
        <f>IF(J479="m",VLOOKUP(L479,'All Solo Adjustments'!A:D,4,FALSE),VLOOKUP(L479,'All Solo Adjustments'!A:J,10,FALSE))</f>
        <v>1.3078703703703703E-3</v>
      </c>
      <c r="N479" s="63"/>
      <c r="O479" s="63"/>
      <c r="P479" s="63"/>
      <c r="Q479" s="63"/>
      <c r="R479" t="s">
        <v>328</v>
      </c>
      <c r="S479" t="s">
        <v>327</v>
      </c>
      <c r="T479" t="s">
        <v>292</v>
      </c>
      <c r="U479" t="s">
        <v>9890</v>
      </c>
      <c r="V479" t="s">
        <v>9889</v>
      </c>
      <c r="W479" t="s">
        <v>9888</v>
      </c>
      <c r="Y479" t="s">
        <v>9887</v>
      </c>
      <c r="Z479" t="str">
        <f>"07850378646"</f>
        <v>07850378646</v>
      </c>
      <c r="AA479" t="str">
        <f>""</f>
        <v/>
      </c>
      <c r="AB479" t="s">
        <v>9886</v>
      </c>
      <c r="AC479" t="s">
        <v>9885</v>
      </c>
      <c r="AD479" t="s">
        <v>114</v>
      </c>
      <c r="AE479" s="63">
        <v>45265</v>
      </c>
      <c r="AF479" t="s">
        <v>156</v>
      </c>
      <c r="AG479" t="s">
        <v>112</v>
      </c>
      <c r="AH479" t="s">
        <v>112</v>
      </c>
      <c r="AI479" s="63">
        <v>44989</v>
      </c>
      <c r="AJ479" s="63">
        <v>45657</v>
      </c>
      <c r="AK479" t="s">
        <v>112</v>
      </c>
      <c r="AL479" t="s">
        <v>111</v>
      </c>
      <c r="AM479" t="s">
        <v>111</v>
      </c>
      <c r="AN479">
        <v>1584</v>
      </c>
      <c r="AO479" t="s">
        <v>110</v>
      </c>
      <c r="AP479" t="s">
        <v>109</v>
      </c>
    </row>
    <row r="480" spans="1:42" x14ac:dyDescent="0.25">
      <c r="A480" s="28" t="str">
        <f>"4080"</f>
        <v>4080</v>
      </c>
      <c r="B480">
        <v>4080</v>
      </c>
      <c r="C480" t="s">
        <v>2488</v>
      </c>
      <c r="D480" t="s">
        <v>121</v>
      </c>
      <c r="E480" t="s">
        <v>584</v>
      </c>
      <c r="F480" t="s">
        <v>120</v>
      </c>
      <c r="G480" t="s">
        <v>400</v>
      </c>
      <c r="I480" t="s">
        <v>9884</v>
      </c>
      <c r="J480" t="s">
        <v>7</v>
      </c>
      <c r="K480" s="63">
        <v>23167</v>
      </c>
      <c r="L480" s="28">
        <f>DATEDIF(K480,Zwift25!G$1,"Y")</f>
        <v>61</v>
      </c>
      <c r="M480" s="67">
        <f>IF(J480="m",VLOOKUP(L480,'All Solo Adjustments'!A:D,4,FALSE),VLOOKUP(L480,'All Solo Adjustments'!A:J,10,FALSE))</f>
        <v>3.4722222222222225E-3</v>
      </c>
      <c r="N480" s="63"/>
      <c r="O480" s="63"/>
      <c r="P480" s="63"/>
      <c r="Q480" s="63"/>
      <c r="R480" t="s">
        <v>283</v>
      </c>
      <c r="S480" t="s">
        <v>530</v>
      </c>
      <c r="T480" t="s">
        <v>292</v>
      </c>
      <c r="U480" t="s">
        <v>9883</v>
      </c>
      <c r="V480" t="s">
        <v>9882</v>
      </c>
      <c r="W480" t="s">
        <v>9882</v>
      </c>
      <c r="X480" t="s">
        <v>9881</v>
      </c>
      <c r="Y480" t="s">
        <v>9880</v>
      </c>
      <c r="Z480" t="str">
        <f>"07534902443"</f>
        <v>07534902443</v>
      </c>
      <c r="AA480" t="str">
        <f>"01214343913"</f>
        <v>01214343913</v>
      </c>
      <c r="AB480" t="s">
        <v>653</v>
      </c>
      <c r="AC480" t="s">
        <v>9879</v>
      </c>
      <c r="AD480" t="s">
        <v>114</v>
      </c>
      <c r="AE480" s="63">
        <v>45237</v>
      </c>
      <c r="AF480" t="s">
        <v>113</v>
      </c>
      <c r="AG480" t="s">
        <v>112</v>
      </c>
      <c r="AH480" t="s">
        <v>112</v>
      </c>
      <c r="AI480" s="63">
        <v>40556</v>
      </c>
      <c r="AJ480" s="63">
        <v>45657</v>
      </c>
      <c r="AK480" t="s">
        <v>111</v>
      </c>
      <c r="AL480" t="s">
        <v>111</v>
      </c>
      <c r="AM480" t="s">
        <v>111</v>
      </c>
      <c r="AN480">
        <v>1395</v>
      </c>
      <c r="AO480" t="s">
        <v>110</v>
      </c>
      <c r="AP480" t="s">
        <v>109</v>
      </c>
    </row>
    <row r="481" spans="1:42" x14ac:dyDescent="0.25">
      <c r="A481" s="28" t="str">
        <f>"16200"</f>
        <v>16200</v>
      </c>
      <c r="B481">
        <v>16200</v>
      </c>
      <c r="C481" t="s">
        <v>2488</v>
      </c>
      <c r="D481" t="s">
        <v>121</v>
      </c>
      <c r="F481" t="s">
        <v>120</v>
      </c>
      <c r="G481" t="s">
        <v>1068</v>
      </c>
      <c r="H481" t="s">
        <v>284</v>
      </c>
      <c r="I481" t="s">
        <v>9878</v>
      </c>
      <c r="J481" t="s">
        <v>7</v>
      </c>
      <c r="K481" s="63">
        <v>19817</v>
      </c>
      <c r="L481" s="28">
        <f>DATEDIF(K481,Zwift25!G$1,"Y")</f>
        <v>70</v>
      </c>
      <c r="M481" s="67">
        <f>IF(J481="m",VLOOKUP(L481,'All Solo Adjustments'!A:D,4,FALSE),VLOOKUP(L481,'All Solo Adjustments'!A:J,10,FALSE))</f>
        <v>6.3425925925925924E-3</v>
      </c>
      <c r="N481" s="63"/>
      <c r="O481" s="63"/>
      <c r="P481" s="63"/>
      <c r="Q481" s="63"/>
      <c r="R481" t="s">
        <v>328</v>
      </c>
      <c r="S481" t="s">
        <v>327</v>
      </c>
      <c r="T481" t="s">
        <v>292</v>
      </c>
      <c r="U481" t="s">
        <v>9877</v>
      </c>
      <c r="V481" t="s">
        <v>7935</v>
      </c>
      <c r="W481" t="s">
        <v>9876</v>
      </c>
      <c r="X481" t="s">
        <v>713</v>
      </c>
      <c r="Y481" t="s">
        <v>9875</v>
      </c>
      <c r="Z481" t="str">
        <f>"07547479375"</f>
        <v>07547479375</v>
      </c>
      <c r="AA481" t="str">
        <f>""</f>
        <v/>
      </c>
      <c r="AB481" t="s">
        <v>408</v>
      </c>
      <c r="AC481" t="s">
        <v>9874</v>
      </c>
      <c r="AD481" t="s">
        <v>114</v>
      </c>
      <c r="AE481" s="63">
        <v>45519</v>
      </c>
      <c r="AF481" t="s">
        <v>156</v>
      </c>
      <c r="AG481" t="s">
        <v>112</v>
      </c>
      <c r="AH481" t="s">
        <v>112</v>
      </c>
      <c r="AI481" s="63">
        <v>45519</v>
      </c>
      <c r="AJ481" s="63">
        <v>45657</v>
      </c>
      <c r="AK481" t="s">
        <v>112</v>
      </c>
      <c r="AL481" t="s">
        <v>111</v>
      </c>
      <c r="AM481" t="s">
        <v>111</v>
      </c>
      <c r="AN481">
        <v>10713</v>
      </c>
      <c r="AO481" t="s">
        <v>110</v>
      </c>
      <c r="AP481" t="s">
        <v>109</v>
      </c>
    </row>
    <row r="482" spans="1:42" x14ac:dyDescent="0.25">
      <c r="A482" s="28" t="str">
        <f>"5476"</f>
        <v>5476</v>
      </c>
      <c r="B482">
        <v>5476</v>
      </c>
      <c r="C482" t="s">
        <v>2488</v>
      </c>
      <c r="D482" t="s">
        <v>121</v>
      </c>
      <c r="E482" t="s">
        <v>584</v>
      </c>
      <c r="F482" t="s">
        <v>120</v>
      </c>
      <c r="G482" t="s">
        <v>218</v>
      </c>
      <c r="I482" t="s">
        <v>9873</v>
      </c>
      <c r="J482" t="s">
        <v>7</v>
      </c>
      <c r="K482" s="63">
        <v>26075</v>
      </c>
      <c r="L482" s="28">
        <f>DATEDIF(K482,Zwift25!G$1,"Y")</f>
        <v>53</v>
      </c>
      <c r="M482" s="67">
        <f>IF(J482="m",VLOOKUP(L482,'All Solo Adjustments'!A:D,4,FALSE),VLOOKUP(L482,'All Solo Adjustments'!A:J,10,FALSE))</f>
        <v>1.6666666666666668E-3</v>
      </c>
      <c r="N482" s="63"/>
      <c r="O482" s="63"/>
      <c r="P482" s="63"/>
      <c r="Q482" s="63"/>
      <c r="R482" t="s">
        <v>143</v>
      </c>
      <c r="S482" t="s">
        <v>142</v>
      </c>
      <c r="T482" t="s">
        <v>292</v>
      </c>
      <c r="U482" t="s">
        <v>9872</v>
      </c>
      <c r="V482" t="s">
        <v>9871</v>
      </c>
      <c r="W482" t="s">
        <v>486</v>
      </c>
      <c r="Y482" t="s">
        <v>9870</v>
      </c>
      <c r="Z482" t="str">
        <f>"01825 760738"</f>
        <v>01825 760738</v>
      </c>
      <c r="AA482" t="str">
        <f>"07841 197342"</f>
        <v>07841 197342</v>
      </c>
      <c r="AB482" t="s">
        <v>1655</v>
      </c>
      <c r="AC482" t="s">
        <v>9869</v>
      </c>
      <c r="AD482" t="s">
        <v>114</v>
      </c>
      <c r="AE482" s="63">
        <v>45293</v>
      </c>
      <c r="AF482" t="s">
        <v>156</v>
      </c>
      <c r="AG482" t="s">
        <v>112</v>
      </c>
      <c r="AH482" t="s">
        <v>112</v>
      </c>
      <c r="AI482" s="63">
        <v>42140</v>
      </c>
      <c r="AJ482" s="63">
        <v>45657</v>
      </c>
      <c r="AK482" t="s">
        <v>111</v>
      </c>
      <c r="AL482" t="s">
        <v>111</v>
      </c>
      <c r="AM482" t="s">
        <v>111</v>
      </c>
      <c r="AN482">
        <v>3050</v>
      </c>
      <c r="AO482" t="s">
        <v>110</v>
      </c>
      <c r="AP482" t="s">
        <v>109</v>
      </c>
    </row>
    <row r="483" spans="1:42" x14ac:dyDescent="0.25">
      <c r="A483" s="28" t="str">
        <f>"0656"</f>
        <v>0656</v>
      </c>
      <c r="B483">
        <v>656</v>
      </c>
      <c r="C483" t="s">
        <v>2488</v>
      </c>
      <c r="D483" t="s">
        <v>121</v>
      </c>
      <c r="F483" t="s">
        <v>120</v>
      </c>
      <c r="G483" t="s">
        <v>1202</v>
      </c>
      <c r="I483" t="s">
        <v>2059</v>
      </c>
      <c r="J483" t="s">
        <v>7</v>
      </c>
      <c r="K483" s="63">
        <v>13998</v>
      </c>
      <c r="L483" s="28">
        <f>DATEDIF(K483,Zwift25!G$1,"Y")</f>
        <v>86</v>
      </c>
      <c r="M483" s="67">
        <f>IF(J483="m",VLOOKUP(L483,'All Solo Adjustments'!A:D,4,FALSE),VLOOKUP(L483,'All Solo Adjustments'!A:J,10,FALSE))</f>
        <v>1.4988425925925926E-2</v>
      </c>
      <c r="N483" s="63"/>
      <c r="O483" s="63"/>
      <c r="P483" s="63"/>
      <c r="Q483" s="63"/>
      <c r="R483" t="s">
        <v>239</v>
      </c>
      <c r="S483" t="s">
        <v>170</v>
      </c>
      <c r="T483" t="s">
        <v>292</v>
      </c>
      <c r="U483" t="s">
        <v>9868</v>
      </c>
      <c r="V483" t="s">
        <v>8637</v>
      </c>
      <c r="W483" t="s">
        <v>236</v>
      </c>
      <c r="Y483" t="s">
        <v>9867</v>
      </c>
      <c r="Z483" t="str">
        <f>"07523 319926"</f>
        <v>07523 319926</v>
      </c>
      <c r="AA483" t="str">
        <f>""</f>
        <v/>
      </c>
      <c r="AB483" t="s">
        <v>8635</v>
      </c>
      <c r="AD483" t="s">
        <v>151</v>
      </c>
      <c r="AF483" t="s">
        <v>113</v>
      </c>
      <c r="AG483" t="s">
        <v>112</v>
      </c>
      <c r="AH483" t="s">
        <v>112</v>
      </c>
      <c r="AI483" s="63">
        <v>29423</v>
      </c>
      <c r="AK483" t="s">
        <v>111</v>
      </c>
      <c r="AL483" t="s">
        <v>111</v>
      </c>
      <c r="AM483" t="s">
        <v>111</v>
      </c>
      <c r="AN483" t="s">
        <v>105</v>
      </c>
      <c r="AO483" t="s">
        <v>110</v>
      </c>
      <c r="AP483" t="s">
        <v>109</v>
      </c>
    </row>
    <row r="484" spans="1:42" x14ac:dyDescent="0.25">
      <c r="A484" s="28" t="str">
        <f>"15068"</f>
        <v>15068</v>
      </c>
      <c r="B484">
        <v>15068</v>
      </c>
      <c r="C484" t="s">
        <v>2488</v>
      </c>
      <c r="D484" t="s">
        <v>121</v>
      </c>
      <c r="E484" t="s">
        <v>584</v>
      </c>
      <c r="F484" t="s">
        <v>120</v>
      </c>
      <c r="G484" t="s">
        <v>718</v>
      </c>
      <c r="I484" t="s">
        <v>2059</v>
      </c>
      <c r="J484" t="s">
        <v>7</v>
      </c>
      <c r="K484" s="63">
        <v>29716</v>
      </c>
      <c r="L484" s="28">
        <f>DATEDIF(K484,Zwift25!G$1,"Y")</f>
        <v>43</v>
      </c>
      <c r="M484" s="67">
        <f>IF(J484="m",VLOOKUP(L484,'All Solo Adjustments'!A:D,4,FALSE),VLOOKUP(L484,'All Solo Adjustments'!A:J,10,FALSE))</f>
        <v>2.4305555555555555E-4</v>
      </c>
      <c r="N484" s="63"/>
      <c r="O484" s="63"/>
      <c r="P484" s="63"/>
      <c r="Q484" s="63"/>
      <c r="R484" t="s">
        <v>296</v>
      </c>
      <c r="S484" t="s">
        <v>295</v>
      </c>
      <c r="T484" t="s">
        <v>292</v>
      </c>
      <c r="U484" t="s">
        <v>9866</v>
      </c>
      <c r="V484" t="s">
        <v>9865</v>
      </c>
      <c r="W484" t="s">
        <v>1556</v>
      </c>
      <c r="Y484" t="s">
        <v>9864</v>
      </c>
      <c r="Z484" t="str">
        <f>"07387448279"</f>
        <v>07387448279</v>
      </c>
      <c r="AA484" t="str">
        <f>""</f>
        <v/>
      </c>
      <c r="AB484" t="s">
        <v>1941</v>
      </c>
      <c r="AC484" t="s">
        <v>9863</v>
      </c>
      <c r="AD484" t="s">
        <v>114</v>
      </c>
      <c r="AE484" s="63">
        <v>45284</v>
      </c>
      <c r="AF484" t="s">
        <v>156</v>
      </c>
      <c r="AG484" t="s">
        <v>112</v>
      </c>
      <c r="AH484" t="s">
        <v>112</v>
      </c>
      <c r="AI484" s="63">
        <v>44327</v>
      </c>
      <c r="AJ484" s="63">
        <v>45657</v>
      </c>
      <c r="AK484" t="s">
        <v>112</v>
      </c>
      <c r="AL484" t="s">
        <v>111</v>
      </c>
      <c r="AM484" t="s">
        <v>111</v>
      </c>
      <c r="AN484" t="s">
        <v>105</v>
      </c>
      <c r="AO484" t="s">
        <v>110</v>
      </c>
      <c r="AP484" t="s">
        <v>109</v>
      </c>
    </row>
    <row r="485" spans="1:42" x14ac:dyDescent="0.25">
      <c r="A485" s="28" t="str">
        <f>"14585"</f>
        <v>14585</v>
      </c>
      <c r="B485">
        <v>14585</v>
      </c>
      <c r="C485" t="s">
        <v>2488</v>
      </c>
      <c r="D485" t="s">
        <v>121</v>
      </c>
      <c r="E485" t="s">
        <v>584</v>
      </c>
      <c r="F485" t="s">
        <v>120</v>
      </c>
      <c r="G485" t="s">
        <v>300</v>
      </c>
      <c r="I485" t="s">
        <v>9862</v>
      </c>
      <c r="J485" t="s">
        <v>7</v>
      </c>
      <c r="K485" s="63">
        <v>23519</v>
      </c>
      <c r="L485" s="28">
        <f>DATEDIF(K485,Zwift25!G$1,"Y")</f>
        <v>60</v>
      </c>
      <c r="M485" s="67">
        <f>IF(J485="m",VLOOKUP(L485,'All Solo Adjustments'!A:D,4,FALSE),VLOOKUP(L485,'All Solo Adjustments'!A:J,10,FALSE))</f>
        <v>3.2060185185185186E-3</v>
      </c>
      <c r="N485" s="63"/>
      <c r="O485" s="63"/>
      <c r="P485" s="63"/>
      <c r="Q485" s="63"/>
      <c r="R485" t="s">
        <v>296</v>
      </c>
      <c r="S485" t="s">
        <v>295</v>
      </c>
      <c r="T485" t="s">
        <v>292</v>
      </c>
      <c r="U485" t="s">
        <v>9861</v>
      </c>
      <c r="V485" t="s">
        <v>2411</v>
      </c>
      <c r="W485" t="s">
        <v>2380</v>
      </c>
      <c r="Y485" t="s">
        <v>9860</v>
      </c>
      <c r="Z485" t="str">
        <f>"07816 655758"</f>
        <v>07816 655758</v>
      </c>
      <c r="AA485" t="str">
        <f>""</f>
        <v/>
      </c>
      <c r="AB485" t="s">
        <v>9859</v>
      </c>
      <c r="AC485" t="s">
        <v>9858</v>
      </c>
      <c r="AD485" t="s">
        <v>114</v>
      </c>
      <c r="AE485" s="63">
        <v>45283</v>
      </c>
      <c r="AF485" t="s">
        <v>156</v>
      </c>
      <c r="AG485" t="s">
        <v>112</v>
      </c>
      <c r="AH485" t="s">
        <v>112</v>
      </c>
      <c r="AI485" s="63">
        <v>44022</v>
      </c>
      <c r="AJ485" s="63">
        <v>45657</v>
      </c>
      <c r="AK485" t="s">
        <v>112</v>
      </c>
      <c r="AL485" t="s">
        <v>111</v>
      </c>
      <c r="AM485" t="s">
        <v>111</v>
      </c>
      <c r="AN485">
        <v>19315</v>
      </c>
      <c r="AO485" t="s">
        <v>110</v>
      </c>
      <c r="AP485" t="s">
        <v>109</v>
      </c>
    </row>
    <row r="486" spans="1:42" x14ac:dyDescent="0.25">
      <c r="A486" s="28" t="str">
        <f>"14784"</f>
        <v>14784</v>
      </c>
      <c r="B486">
        <v>14784</v>
      </c>
      <c r="C486" t="s">
        <v>2488</v>
      </c>
      <c r="D486" t="s">
        <v>121</v>
      </c>
      <c r="E486" t="s">
        <v>2752</v>
      </c>
      <c r="F486" t="s">
        <v>120</v>
      </c>
      <c r="G486" t="s">
        <v>373</v>
      </c>
      <c r="H486" t="s">
        <v>174</v>
      </c>
      <c r="I486" t="s">
        <v>9857</v>
      </c>
      <c r="J486" t="s">
        <v>7</v>
      </c>
      <c r="K486" s="63">
        <v>26666</v>
      </c>
      <c r="L486" s="28">
        <f>DATEDIF(K486,Zwift25!G$1,"Y")</f>
        <v>51</v>
      </c>
      <c r="M486" s="67">
        <f>IF(J486="m",VLOOKUP(L486,'All Solo Adjustments'!A:D,4,FALSE),VLOOKUP(L486,'All Solo Adjustments'!A:J,10,FALSE))</f>
        <v>1.3078703703703703E-3</v>
      </c>
      <c r="N486" s="63"/>
      <c r="O486" s="63"/>
      <c r="P486" s="63"/>
      <c r="Q486" s="63"/>
      <c r="R486" t="s">
        <v>137</v>
      </c>
      <c r="S486" t="s">
        <v>136</v>
      </c>
      <c r="T486" t="s">
        <v>292</v>
      </c>
      <c r="U486" t="s">
        <v>9856</v>
      </c>
      <c r="V486" t="s">
        <v>2228</v>
      </c>
      <c r="W486" t="s">
        <v>564</v>
      </c>
      <c r="Y486" t="s">
        <v>9855</v>
      </c>
      <c r="Z486" t="str">
        <f>"07765885041"</f>
        <v>07765885041</v>
      </c>
      <c r="AA486" t="str">
        <f>""</f>
        <v/>
      </c>
      <c r="AB486" t="s">
        <v>378</v>
      </c>
      <c r="AC486" t="s">
        <v>9854</v>
      </c>
      <c r="AD486" t="s">
        <v>114</v>
      </c>
      <c r="AE486" s="63">
        <v>45223</v>
      </c>
      <c r="AF486" t="s">
        <v>156</v>
      </c>
      <c r="AG486" t="s">
        <v>112</v>
      </c>
      <c r="AH486" t="s">
        <v>112</v>
      </c>
      <c r="AI486" s="63">
        <v>44156</v>
      </c>
      <c r="AJ486" s="63">
        <v>45657</v>
      </c>
      <c r="AK486" t="s">
        <v>112</v>
      </c>
      <c r="AL486" t="s">
        <v>111</v>
      </c>
      <c r="AM486" t="s">
        <v>111</v>
      </c>
      <c r="AN486">
        <v>13656</v>
      </c>
      <c r="AO486" t="s">
        <v>110</v>
      </c>
      <c r="AP486" t="s">
        <v>109</v>
      </c>
    </row>
    <row r="487" spans="1:42" x14ac:dyDescent="0.25">
      <c r="A487" s="28" t="str">
        <f>"16124"</f>
        <v>16124</v>
      </c>
      <c r="B487">
        <v>16124</v>
      </c>
      <c r="C487" t="s">
        <v>2488</v>
      </c>
      <c r="D487" t="s">
        <v>121</v>
      </c>
      <c r="F487" t="s">
        <v>120</v>
      </c>
      <c r="G487" t="s">
        <v>952</v>
      </c>
      <c r="H487" t="s">
        <v>773</v>
      </c>
      <c r="I487" t="s">
        <v>1395</v>
      </c>
      <c r="J487" t="s">
        <v>7</v>
      </c>
      <c r="K487" s="63">
        <v>25883</v>
      </c>
      <c r="L487" s="28">
        <f>DATEDIF(K487,Zwift25!G$1,"Y")</f>
        <v>53</v>
      </c>
      <c r="M487" s="67">
        <f>IF(J487="m",VLOOKUP(L487,'All Solo Adjustments'!A:D,4,FALSE),VLOOKUP(L487,'All Solo Adjustments'!A:J,10,FALSE))</f>
        <v>1.6666666666666668E-3</v>
      </c>
      <c r="N487" s="63"/>
      <c r="O487" s="63"/>
      <c r="P487" s="63"/>
      <c r="Q487" s="63"/>
      <c r="R487" t="s">
        <v>527</v>
      </c>
      <c r="S487" t="s">
        <v>526</v>
      </c>
      <c r="T487" t="s">
        <v>292</v>
      </c>
      <c r="U487" t="s">
        <v>9853</v>
      </c>
      <c r="V487" t="s">
        <v>9852</v>
      </c>
      <c r="W487" t="s">
        <v>1601</v>
      </c>
      <c r="Y487" t="s">
        <v>9851</v>
      </c>
      <c r="Z487" t="str">
        <f>"07379747194"</f>
        <v>07379747194</v>
      </c>
      <c r="AA487" t="str">
        <f>""</f>
        <v/>
      </c>
      <c r="AB487" t="s">
        <v>9850</v>
      </c>
      <c r="AC487" t="s">
        <v>9849</v>
      </c>
      <c r="AD487" t="s">
        <v>114</v>
      </c>
      <c r="AE487" s="63">
        <v>45412</v>
      </c>
      <c r="AF487" t="s">
        <v>156</v>
      </c>
      <c r="AG487" t="s">
        <v>112</v>
      </c>
      <c r="AH487" t="s">
        <v>112</v>
      </c>
      <c r="AI487" s="63">
        <v>45412</v>
      </c>
      <c r="AJ487" s="63">
        <v>45657</v>
      </c>
      <c r="AK487" t="s">
        <v>112</v>
      </c>
      <c r="AL487" t="s">
        <v>111</v>
      </c>
      <c r="AM487" t="s">
        <v>111</v>
      </c>
      <c r="AN487">
        <v>1285</v>
      </c>
      <c r="AO487" t="s">
        <v>110</v>
      </c>
      <c r="AP487" t="s">
        <v>109</v>
      </c>
    </row>
    <row r="488" spans="1:42" x14ac:dyDescent="0.25">
      <c r="A488" s="28" t="str">
        <f>"6099"</f>
        <v>6099</v>
      </c>
      <c r="B488">
        <v>6099</v>
      </c>
      <c r="C488" t="s">
        <v>2488</v>
      </c>
      <c r="D488" t="s">
        <v>121</v>
      </c>
      <c r="E488" t="s">
        <v>5372</v>
      </c>
      <c r="F488" t="s">
        <v>120</v>
      </c>
      <c r="G488" t="s">
        <v>756</v>
      </c>
      <c r="I488" t="s">
        <v>9848</v>
      </c>
      <c r="J488" t="s">
        <v>7</v>
      </c>
      <c r="K488" s="63">
        <v>22606</v>
      </c>
      <c r="L488" s="28">
        <f>DATEDIF(K488,Zwift25!G$1,"Y")</f>
        <v>62</v>
      </c>
      <c r="M488" s="67">
        <f>IF(J488="m",VLOOKUP(L488,'All Solo Adjustments'!A:D,4,FALSE),VLOOKUP(L488,'All Solo Adjustments'!A:J,10,FALSE))</f>
        <v>3.7384259259259259E-3</v>
      </c>
      <c r="N488" s="63"/>
      <c r="O488" s="63"/>
      <c r="P488" s="63"/>
      <c r="Q488" s="63"/>
      <c r="R488" t="s">
        <v>296</v>
      </c>
      <c r="S488" t="s">
        <v>295</v>
      </c>
      <c r="T488" t="s">
        <v>292</v>
      </c>
      <c r="U488" t="s">
        <v>9847</v>
      </c>
      <c r="V488" t="s">
        <v>9846</v>
      </c>
      <c r="Y488" t="s">
        <v>9845</v>
      </c>
      <c r="Z488" t="str">
        <f>"07816 647842"</f>
        <v>07816 647842</v>
      </c>
      <c r="AA488" t="str">
        <f>""</f>
        <v/>
      </c>
      <c r="AB488" t="s">
        <v>1165</v>
      </c>
      <c r="AC488" t="s">
        <v>9844</v>
      </c>
      <c r="AD488" t="s">
        <v>114</v>
      </c>
      <c r="AE488" s="63">
        <v>45265</v>
      </c>
      <c r="AF488" t="s">
        <v>156</v>
      </c>
      <c r="AG488" t="s">
        <v>112</v>
      </c>
      <c r="AH488" t="s">
        <v>112</v>
      </c>
      <c r="AI488" s="63">
        <v>42774</v>
      </c>
      <c r="AJ488" s="63">
        <v>45657</v>
      </c>
      <c r="AK488" t="s">
        <v>111</v>
      </c>
      <c r="AL488" t="s">
        <v>111</v>
      </c>
      <c r="AM488" t="s">
        <v>111</v>
      </c>
      <c r="AN488">
        <v>1173</v>
      </c>
      <c r="AO488" t="s">
        <v>110</v>
      </c>
      <c r="AP488" t="s">
        <v>109</v>
      </c>
    </row>
    <row r="489" spans="1:42" x14ac:dyDescent="0.25">
      <c r="A489" s="28" t="str">
        <f>"14667"</f>
        <v>14667</v>
      </c>
      <c r="B489">
        <v>14667</v>
      </c>
      <c r="C489" t="s">
        <v>2488</v>
      </c>
      <c r="D489" t="s">
        <v>121</v>
      </c>
      <c r="F489" t="s">
        <v>120</v>
      </c>
      <c r="G489" t="s">
        <v>1857</v>
      </c>
      <c r="I489" t="s">
        <v>2054</v>
      </c>
      <c r="J489" t="s">
        <v>7</v>
      </c>
      <c r="K489" s="63">
        <v>21669</v>
      </c>
      <c r="L489" s="28">
        <f>DATEDIF(K489,Zwift25!G$1,"Y")</f>
        <v>65</v>
      </c>
      <c r="M489" s="67">
        <f>IF(J489="m",VLOOKUP(L489,'All Solo Adjustments'!A:D,4,FALSE),VLOOKUP(L489,'All Solo Adjustments'!A:J,10,FALSE))</f>
        <v>4.6180555555555558E-3</v>
      </c>
      <c r="N489" s="63"/>
      <c r="O489" s="63"/>
      <c r="P489" s="63"/>
      <c r="Q489" s="63"/>
      <c r="R489" t="s">
        <v>180</v>
      </c>
      <c r="S489" t="s">
        <v>179</v>
      </c>
      <c r="T489" t="s">
        <v>292</v>
      </c>
      <c r="U489" t="s">
        <v>9843</v>
      </c>
      <c r="V489" t="s">
        <v>1949</v>
      </c>
      <c r="W489" t="s">
        <v>869</v>
      </c>
      <c r="Y489" t="s">
        <v>9842</v>
      </c>
      <c r="Z489" t="str">
        <f>"07852348693"</f>
        <v>07852348693</v>
      </c>
      <c r="AA489" t="str">
        <f>""</f>
        <v/>
      </c>
      <c r="AB489" t="s">
        <v>2008</v>
      </c>
      <c r="AC489" t="s">
        <v>9841</v>
      </c>
      <c r="AD489" t="s">
        <v>114</v>
      </c>
      <c r="AE489" s="63">
        <v>45263</v>
      </c>
      <c r="AF489" t="s">
        <v>156</v>
      </c>
      <c r="AG489" t="s">
        <v>112</v>
      </c>
      <c r="AH489" t="s">
        <v>112</v>
      </c>
      <c r="AI489" s="63">
        <v>44061</v>
      </c>
      <c r="AJ489" s="63">
        <v>45657</v>
      </c>
      <c r="AK489" t="s">
        <v>112</v>
      </c>
      <c r="AL489" t="s">
        <v>111</v>
      </c>
      <c r="AM489" t="s">
        <v>111</v>
      </c>
      <c r="AN489">
        <v>2431</v>
      </c>
      <c r="AO489" t="s">
        <v>110</v>
      </c>
      <c r="AP489" t="s">
        <v>109</v>
      </c>
    </row>
    <row r="490" spans="1:42" x14ac:dyDescent="0.25">
      <c r="A490" s="28" t="str">
        <f>"15852"</f>
        <v>15852</v>
      </c>
      <c r="B490">
        <v>15852</v>
      </c>
      <c r="C490" t="s">
        <v>2488</v>
      </c>
      <c r="D490" t="s">
        <v>121</v>
      </c>
      <c r="F490" t="s">
        <v>144</v>
      </c>
      <c r="G490" t="s">
        <v>9840</v>
      </c>
      <c r="I490" t="s">
        <v>2054</v>
      </c>
      <c r="J490" t="s">
        <v>126</v>
      </c>
      <c r="K490" s="63">
        <v>27015</v>
      </c>
      <c r="L490" s="28">
        <f>DATEDIF(K490,Zwift25!G$1,"Y")</f>
        <v>50</v>
      </c>
      <c r="M490" s="67">
        <f>IF(J490="m",VLOOKUP(L490,'All Solo Adjustments'!A:D,4,FALSE),VLOOKUP(L490,'All Solo Adjustments'!A:J,10,FALSE))</f>
        <v>4.9768518518518521E-3</v>
      </c>
      <c r="N490" s="63"/>
      <c r="O490" s="63"/>
      <c r="P490" s="63"/>
      <c r="Q490" s="63"/>
      <c r="R490" t="s">
        <v>125</v>
      </c>
      <c r="S490" t="s">
        <v>170</v>
      </c>
      <c r="T490" t="s">
        <v>292</v>
      </c>
      <c r="U490" t="s">
        <v>9839</v>
      </c>
      <c r="V490" t="s">
        <v>9838</v>
      </c>
      <c r="W490" t="s">
        <v>9837</v>
      </c>
      <c r="Y490" t="s">
        <v>9836</v>
      </c>
      <c r="Z490" t="str">
        <f>"7971182261"</f>
        <v>7971182261</v>
      </c>
      <c r="AA490" t="str">
        <f>""</f>
        <v/>
      </c>
      <c r="AB490" t="s">
        <v>9835</v>
      </c>
      <c r="AC490" t="s">
        <v>9834</v>
      </c>
      <c r="AD490" t="s">
        <v>114</v>
      </c>
      <c r="AE490" s="63">
        <v>45357</v>
      </c>
      <c r="AF490" t="s">
        <v>113</v>
      </c>
      <c r="AG490" t="s">
        <v>112</v>
      </c>
      <c r="AH490" t="s">
        <v>112</v>
      </c>
      <c r="AI490" s="63">
        <v>45092</v>
      </c>
      <c r="AJ490" s="63">
        <v>45657</v>
      </c>
      <c r="AK490" t="s">
        <v>112</v>
      </c>
      <c r="AL490" t="s">
        <v>111</v>
      </c>
      <c r="AM490" t="s">
        <v>111</v>
      </c>
      <c r="AN490">
        <v>8677</v>
      </c>
      <c r="AO490" t="s">
        <v>122</v>
      </c>
      <c r="AP490" t="s">
        <v>122</v>
      </c>
    </row>
    <row r="491" spans="1:42" x14ac:dyDescent="0.25">
      <c r="A491" s="28" t="str">
        <f>"0667"</f>
        <v>0667</v>
      </c>
      <c r="B491">
        <v>667</v>
      </c>
      <c r="C491" t="s">
        <v>2488</v>
      </c>
      <c r="D491" t="s">
        <v>121</v>
      </c>
      <c r="F491" t="s">
        <v>120</v>
      </c>
      <c r="G491" t="s">
        <v>195</v>
      </c>
      <c r="I491" t="s">
        <v>2444</v>
      </c>
      <c r="J491" t="s">
        <v>7</v>
      </c>
      <c r="K491" s="63">
        <v>13885</v>
      </c>
      <c r="L491" s="28">
        <f>DATEDIF(K491,Zwift25!G$1,"Y")</f>
        <v>86</v>
      </c>
      <c r="M491" s="67">
        <f>IF(J491="m",VLOOKUP(L491,'All Solo Adjustments'!A:D,4,FALSE),VLOOKUP(L491,'All Solo Adjustments'!A:J,10,FALSE))</f>
        <v>1.4988425925925926E-2</v>
      </c>
      <c r="N491" s="63"/>
      <c r="O491" s="63"/>
      <c r="P491" s="63"/>
      <c r="Q491" s="63"/>
      <c r="R491" t="s">
        <v>159</v>
      </c>
      <c r="S491" t="s">
        <v>570</v>
      </c>
      <c r="T491" t="s">
        <v>292</v>
      </c>
      <c r="U491" t="s">
        <v>2443</v>
      </c>
      <c r="V491" t="s">
        <v>2442</v>
      </c>
      <c r="W491" t="s">
        <v>2441</v>
      </c>
      <c r="X491" t="s">
        <v>159</v>
      </c>
      <c r="Y491" t="s">
        <v>2440</v>
      </c>
      <c r="Z491" t="str">
        <f>"01959 572282"</f>
        <v>01959 572282</v>
      </c>
      <c r="AA491" t="str">
        <f>""</f>
        <v/>
      </c>
      <c r="AB491" t="s">
        <v>157</v>
      </c>
      <c r="AC491" t="s">
        <v>9833</v>
      </c>
      <c r="AD491" t="s">
        <v>145</v>
      </c>
      <c r="AF491" t="s">
        <v>113</v>
      </c>
      <c r="AG491" t="s">
        <v>112</v>
      </c>
      <c r="AH491" t="s">
        <v>112</v>
      </c>
      <c r="AI491" s="63">
        <v>43454</v>
      </c>
      <c r="AK491" t="s">
        <v>111</v>
      </c>
      <c r="AL491" t="s">
        <v>111</v>
      </c>
      <c r="AM491" t="s">
        <v>111</v>
      </c>
      <c r="AN491" t="s">
        <v>105</v>
      </c>
      <c r="AO491" t="s">
        <v>110</v>
      </c>
      <c r="AP491" t="s">
        <v>109</v>
      </c>
    </row>
    <row r="492" spans="1:42" x14ac:dyDescent="0.25">
      <c r="A492" s="28" t="str">
        <f>"15619"</f>
        <v>15619</v>
      </c>
      <c r="B492">
        <v>15619</v>
      </c>
      <c r="C492" t="s">
        <v>2488</v>
      </c>
      <c r="D492" t="s">
        <v>121</v>
      </c>
      <c r="F492" t="s">
        <v>120</v>
      </c>
      <c r="G492" t="s">
        <v>373</v>
      </c>
      <c r="I492" t="s">
        <v>9832</v>
      </c>
      <c r="J492" t="s">
        <v>7</v>
      </c>
      <c r="K492" s="63">
        <v>30275</v>
      </c>
      <c r="L492" s="28">
        <f>DATEDIF(K492,Zwift25!G$1,"Y")</f>
        <v>41</v>
      </c>
      <c r="M492" s="67">
        <f>IF(J492="m",VLOOKUP(L492,'All Solo Adjustments'!A:D,4,FALSE),VLOOKUP(L492,'All Solo Adjustments'!A:J,10,FALSE))</f>
        <v>6.9444444444444444E-5</v>
      </c>
      <c r="N492" s="63"/>
      <c r="O492" s="63"/>
      <c r="P492" s="63"/>
      <c r="Q492" s="63"/>
      <c r="R492" t="s">
        <v>125</v>
      </c>
      <c r="S492" t="s">
        <v>170</v>
      </c>
      <c r="T492" t="s">
        <v>292</v>
      </c>
      <c r="U492" t="s">
        <v>9831</v>
      </c>
      <c r="V492" t="s">
        <v>736</v>
      </c>
      <c r="W492" t="s">
        <v>735</v>
      </c>
      <c r="Y492" t="s">
        <v>9830</v>
      </c>
      <c r="Z492" t="str">
        <f>"07863110799"</f>
        <v>07863110799</v>
      </c>
      <c r="AA492" t="str">
        <f>""</f>
        <v/>
      </c>
      <c r="AB492" t="s">
        <v>9829</v>
      </c>
      <c r="AC492" t="s">
        <v>9828</v>
      </c>
      <c r="AD492" t="s">
        <v>114</v>
      </c>
      <c r="AE492" s="63">
        <v>45293</v>
      </c>
      <c r="AF492" t="s">
        <v>156</v>
      </c>
      <c r="AG492" t="s">
        <v>112</v>
      </c>
      <c r="AH492" t="s">
        <v>112</v>
      </c>
      <c r="AI492" s="63">
        <v>44886</v>
      </c>
      <c r="AJ492" s="63">
        <v>45657</v>
      </c>
      <c r="AK492" t="s">
        <v>112</v>
      </c>
      <c r="AL492" t="s">
        <v>111</v>
      </c>
      <c r="AM492" t="s">
        <v>111</v>
      </c>
      <c r="AN492">
        <v>5920</v>
      </c>
      <c r="AO492" t="s">
        <v>110</v>
      </c>
      <c r="AP492" t="s">
        <v>109</v>
      </c>
    </row>
    <row r="493" spans="1:42" x14ac:dyDescent="0.25">
      <c r="A493" s="28" t="str">
        <f>"0668"</f>
        <v>0668</v>
      </c>
      <c r="B493">
        <v>668</v>
      </c>
      <c r="C493" t="s">
        <v>2488</v>
      </c>
      <c r="D493" t="s">
        <v>121</v>
      </c>
      <c r="F493" t="s">
        <v>120</v>
      </c>
      <c r="G493" t="s">
        <v>284</v>
      </c>
      <c r="I493" t="s">
        <v>9827</v>
      </c>
      <c r="J493" t="s">
        <v>7</v>
      </c>
      <c r="K493" s="63">
        <v>10306</v>
      </c>
      <c r="L493" s="28">
        <f>DATEDIF(K493,Zwift25!G$1,"Y")</f>
        <v>96</v>
      </c>
      <c r="M493" s="67">
        <f>IF(J493="m",VLOOKUP(L493,'All Solo Adjustments'!A:D,4,FALSE),VLOOKUP(L493,'All Solo Adjustments'!A:J,10,FALSE))</f>
        <v>2.5300925925925925E-2</v>
      </c>
      <c r="N493" s="63"/>
      <c r="O493" s="63"/>
      <c r="P493" s="63"/>
      <c r="Q493" s="63"/>
      <c r="R493" t="s">
        <v>118</v>
      </c>
      <c r="S493" t="s">
        <v>873</v>
      </c>
      <c r="T493" t="s">
        <v>292</v>
      </c>
      <c r="U493" t="s">
        <v>9826</v>
      </c>
      <c r="V493" t="s">
        <v>1216</v>
      </c>
      <c r="W493" t="s">
        <v>1430</v>
      </c>
      <c r="Y493" t="s">
        <v>9825</v>
      </c>
      <c r="Z493" t="str">
        <f>"01709 588201"</f>
        <v>01709 588201</v>
      </c>
      <c r="AA493" t="str">
        <f>""</f>
        <v/>
      </c>
      <c r="AB493" t="s">
        <v>1214</v>
      </c>
      <c r="AD493" t="s">
        <v>151</v>
      </c>
      <c r="AF493" t="s">
        <v>113</v>
      </c>
      <c r="AG493" t="s">
        <v>112</v>
      </c>
      <c r="AH493" t="s">
        <v>112</v>
      </c>
      <c r="AI493" s="63">
        <v>35431</v>
      </c>
      <c r="AK493" t="s">
        <v>111</v>
      </c>
      <c r="AL493" t="s">
        <v>111</v>
      </c>
      <c r="AM493" t="s">
        <v>111</v>
      </c>
      <c r="AN493" t="s">
        <v>105</v>
      </c>
      <c r="AO493" t="s">
        <v>110</v>
      </c>
      <c r="AP493" t="s">
        <v>109</v>
      </c>
    </row>
    <row r="494" spans="1:42" x14ac:dyDescent="0.25">
      <c r="A494" s="28" t="str">
        <f>"15515"</f>
        <v>15515</v>
      </c>
      <c r="B494">
        <v>15515</v>
      </c>
      <c r="C494" t="s">
        <v>2488</v>
      </c>
      <c r="D494" t="s">
        <v>121</v>
      </c>
      <c r="F494" t="s">
        <v>120</v>
      </c>
      <c r="G494" t="s">
        <v>245</v>
      </c>
      <c r="H494" t="s">
        <v>843</v>
      </c>
      <c r="I494" t="s">
        <v>9824</v>
      </c>
      <c r="J494" t="s">
        <v>7</v>
      </c>
      <c r="K494" s="63">
        <v>30103</v>
      </c>
      <c r="L494" s="28">
        <f>DATEDIF(K494,Zwift25!G$1,"Y")</f>
        <v>42</v>
      </c>
      <c r="M494" s="67">
        <f>IF(J494="m",VLOOKUP(L494,'All Solo Adjustments'!A:D,4,FALSE),VLOOKUP(L494,'All Solo Adjustments'!A:J,10,FALSE))</f>
        <v>1.5046296296296295E-4</v>
      </c>
      <c r="N494" s="63"/>
      <c r="O494" s="63"/>
      <c r="P494" s="63"/>
      <c r="Q494" s="63"/>
      <c r="R494" t="s">
        <v>198</v>
      </c>
      <c r="S494" t="s">
        <v>461</v>
      </c>
      <c r="T494" t="s">
        <v>292</v>
      </c>
      <c r="U494" t="s">
        <v>9823</v>
      </c>
      <c r="V494" t="s">
        <v>9822</v>
      </c>
      <c r="W494" t="s">
        <v>998</v>
      </c>
      <c r="Y494" t="s">
        <v>9821</v>
      </c>
      <c r="Z494" t="str">
        <f>"07932228392"</f>
        <v>07932228392</v>
      </c>
      <c r="AA494" t="str">
        <f>""</f>
        <v/>
      </c>
      <c r="AB494" t="s">
        <v>514</v>
      </c>
      <c r="AC494" t="s">
        <v>9820</v>
      </c>
      <c r="AD494" t="s">
        <v>114</v>
      </c>
      <c r="AE494" s="63">
        <v>45372</v>
      </c>
      <c r="AF494" t="s">
        <v>156</v>
      </c>
      <c r="AG494" t="s">
        <v>112</v>
      </c>
      <c r="AH494" t="s">
        <v>112</v>
      </c>
      <c r="AI494" s="63">
        <v>44717</v>
      </c>
      <c r="AJ494" s="63">
        <v>45657</v>
      </c>
      <c r="AK494" t="s">
        <v>112</v>
      </c>
      <c r="AL494" t="s">
        <v>111</v>
      </c>
      <c r="AM494" t="s">
        <v>111</v>
      </c>
      <c r="AN494">
        <v>24364</v>
      </c>
      <c r="AO494" t="s">
        <v>110</v>
      </c>
      <c r="AP494" t="s">
        <v>109</v>
      </c>
    </row>
    <row r="495" spans="1:42" x14ac:dyDescent="0.25">
      <c r="A495" s="28" t="str">
        <f>"4798"</f>
        <v>4798</v>
      </c>
      <c r="B495">
        <v>4798</v>
      </c>
      <c r="C495" t="s">
        <v>2488</v>
      </c>
      <c r="D495" t="s">
        <v>121</v>
      </c>
      <c r="F495" t="s">
        <v>120</v>
      </c>
      <c r="G495" t="s">
        <v>241</v>
      </c>
      <c r="I495" t="s">
        <v>849</v>
      </c>
      <c r="J495" t="s">
        <v>7</v>
      </c>
      <c r="K495" s="63">
        <v>21602</v>
      </c>
      <c r="L495" s="28">
        <f>DATEDIF(K495,Zwift25!G$1,"Y")</f>
        <v>65</v>
      </c>
      <c r="M495" s="67">
        <f>IF(J495="m",VLOOKUP(L495,'All Solo Adjustments'!A:D,4,FALSE),VLOOKUP(L495,'All Solo Adjustments'!A:J,10,FALSE))</f>
        <v>4.6180555555555558E-3</v>
      </c>
      <c r="N495" s="63"/>
      <c r="O495" s="63"/>
      <c r="P495" s="63"/>
      <c r="Q495" s="63"/>
      <c r="R495" t="s">
        <v>125</v>
      </c>
      <c r="S495" t="s">
        <v>170</v>
      </c>
      <c r="T495" t="s">
        <v>292</v>
      </c>
      <c r="U495" t="s">
        <v>848</v>
      </c>
      <c r="V495" t="s">
        <v>847</v>
      </c>
      <c r="W495" t="s">
        <v>846</v>
      </c>
      <c r="X495" t="s">
        <v>123</v>
      </c>
      <c r="Y495" t="s">
        <v>845</v>
      </c>
      <c r="Z495" t="str">
        <f>"07714 937777"</f>
        <v>07714 937777</v>
      </c>
      <c r="AA495" t="str">
        <f>""</f>
        <v/>
      </c>
      <c r="AB495" t="s">
        <v>216</v>
      </c>
      <c r="AC495" t="s">
        <v>9819</v>
      </c>
      <c r="AD495" t="s">
        <v>114</v>
      </c>
      <c r="AE495" s="63">
        <v>45232</v>
      </c>
      <c r="AF495" t="s">
        <v>156</v>
      </c>
      <c r="AG495" t="s">
        <v>112</v>
      </c>
      <c r="AH495" t="s">
        <v>112</v>
      </c>
      <c r="AI495" s="63">
        <v>41435</v>
      </c>
      <c r="AJ495" s="63">
        <v>45657</v>
      </c>
      <c r="AK495" t="s">
        <v>111</v>
      </c>
      <c r="AL495" t="s">
        <v>111</v>
      </c>
      <c r="AM495" t="s">
        <v>111</v>
      </c>
      <c r="AN495">
        <v>236</v>
      </c>
      <c r="AO495" t="s">
        <v>110</v>
      </c>
      <c r="AP495" t="s">
        <v>109</v>
      </c>
    </row>
    <row r="496" spans="1:42" x14ac:dyDescent="0.25">
      <c r="A496" s="28" t="str">
        <f>"16125"</f>
        <v>16125</v>
      </c>
      <c r="B496">
        <v>16125</v>
      </c>
      <c r="C496" t="s">
        <v>2488</v>
      </c>
      <c r="D496" t="s">
        <v>121</v>
      </c>
      <c r="E496" t="s">
        <v>584</v>
      </c>
      <c r="F496" t="s">
        <v>120</v>
      </c>
      <c r="G496" t="s">
        <v>1847</v>
      </c>
      <c r="H496" t="s">
        <v>251</v>
      </c>
      <c r="I496" t="s">
        <v>9818</v>
      </c>
      <c r="J496" t="s">
        <v>7</v>
      </c>
      <c r="K496" s="63">
        <v>22362</v>
      </c>
      <c r="L496" s="28">
        <f>DATEDIF(K496,Zwift25!G$1,"Y")</f>
        <v>63</v>
      </c>
      <c r="M496" s="67">
        <f>IF(J496="m",VLOOKUP(L496,'All Solo Adjustments'!A:D,4,FALSE),VLOOKUP(L496,'All Solo Adjustments'!A:J,10,FALSE))</f>
        <v>4.0277777777777777E-3</v>
      </c>
      <c r="N496" s="63"/>
      <c r="O496" s="63"/>
      <c r="P496" s="63"/>
      <c r="Q496" s="63"/>
      <c r="R496" t="s">
        <v>125</v>
      </c>
      <c r="S496" t="s">
        <v>170</v>
      </c>
      <c r="T496" t="s">
        <v>292</v>
      </c>
      <c r="U496" t="s">
        <v>9817</v>
      </c>
      <c r="W496" t="s">
        <v>9816</v>
      </c>
      <c r="Y496" t="s">
        <v>9815</v>
      </c>
      <c r="Z496" t="str">
        <f>"07748644974"</f>
        <v>07748644974</v>
      </c>
      <c r="AA496" t="str">
        <f>""</f>
        <v/>
      </c>
      <c r="AB496" t="s">
        <v>9814</v>
      </c>
      <c r="AC496" t="s">
        <v>9813</v>
      </c>
      <c r="AD496" t="s">
        <v>114</v>
      </c>
      <c r="AE496" s="63">
        <v>45417</v>
      </c>
      <c r="AF496" t="s">
        <v>156</v>
      </c>
      <c r="AG496" t="s">
        <v>112</v>
      </c>
      <c r="AH496" t="s">
        <v>112</v>
      </c>
      <c r="AI496" s="63">
        <v>45417</v>
      </c>
      <c r="AJ496" s="63">
        <v>45657</v>
      </c>
      <c r="AK496" t="s">
        <v>112</v>
      </c>
      <c r="AL496" t="s">
        <v>111</v>
      </c>
      <c r="AM496" t="s">
        <v>111</v>
      </c>
      <c r="AN496">
        <v>7640</v>
      </c>
      <c r="AO496" t="s">
        <v>110</v>
      </c>
      <c r="AP496" t="s">
        <v>109</v>
      </c>
    </row>
    <row r="497" spans="1:42" x14ac:dyDescent="0.25">
      <c r="A497" s="28" t="str">
        <f>"15520"</f>
        <v>15520</v>
      </c>
      <c r="B497">
        <v>15520</v>
      </c>
      <c r="C497" t="s">
        <v>2488</v>
      </c>
      <c r="D497" t="s">
        <v>121</v>
      </c>
      <c r="E497" t="s">
        <v>2500</v>
      </c>
      <c r="F497" t="s">
        <v>120</v>
      </c>
      <c r="G497" t="s">
        <v>994</v>
      </c>
      <c r="H497" t="s">
        <v>1007</v>
      </c>
      <c r="I497" t="s">
        <v>1662</v>
      </c>
      <c r="J497" t="s">
        <v>7</v>
      </c>
      <c r="K497" s="63">
        <v>25577</v>
      </c>
      <c r="L497" s="28">
        <f>DATEDIF(K497,Zwift25!G$1,"Y")</f>
        <v>54</v>
      </c>
      <c r="M497" s="67">
        <f>IF(J497="m",VLOOKUP(L497,'All Solo Adjustments'!A:D,4,FALSE),VLOOKUP(L497,'All Solo Adjustments'!A:J,10,FALSE))</f>
        <v>1.8518518518518517E-3</v>
      </c>
      <c r="N497" s="63"/>
      <c r="O497" s="63"/>
      <c r="P497" s="63"/>
      <c r="Q497" s="63"/>
      <c r="R497" t="s">
        <v>154</v>
      </c>
      <c r="S497" t="s">
        <v>153</v>
      </c>
      <c r="T497" t="s">
        <v>292</v>
      </c>
      <c r="U497" t="s">
        <v>9812</v>
      </c>
      <c r="V497" t="s">
        <v>9811</v>
      </c>
      <c r="W497" t="s">
        <v>641</v>
      </c>
      <c r="X497" t="s">
        <v>1333</v>
      </c>
      <c r="Y497" t="s">
        <v>9810</v>
      </c>
      <c r="Z497" t="str">
        <f>"07821720459"</f>
        <v>07821720459</v>
      </c>
      <c r="AA497" t="str">
        <f>""</f>
        <v/>
      </c>
      <c r="AB497" t="s">
        <v>640</v>
      </c>
      <c r="AC497" t="s">
        <v>9809</v>
      </c>
      <c r="AD497" t="s">
        <v>114</v>
      </c>
      <c r="AE497" s="63">
        <v>45219</v>
      </c>
      <c r="AF497" t="s">
        <v>113</v>
      </c>
      <c r="AG497" t="s">
        <v>112</v>
      </c>
      <c r="AH497" t="s">
        <v>112</v>
      </c>
      <c r="AI497" s="63">
        <v>44723</v>
      </c>
      <c r="AJ497" s="63">
        <v>45657</v>
      </c>
      <c r="AK497" t="s">
        <v>112</v>
      </c>
      <c r="AL497" t="s">
        <v>111</v>
      </c>
      <c r="AM497" t="s">
        <v>111</v>
      </c>
      <c r="AN497">
        <v>3246</v>
      </c>
      <c r="AO497" t="s">
        <v>110</v>
      </c>
      <c r="AP497" t="s">
        <v>109</v>
      </c>
    </row>
    <row r="498" spans="1:42" x14ac:dyDescent="0.25">
      <c r="A498" s="28" t="str">
        <f>"15917"</f>
        <v>15917</v>
      </c>
      <c r="B498">
        <v>15917</v>
      </c>
      <c r="C498" t="s">
        <v>2488</v>
      </c>
      <c r="D498" t="s">
        <v>121</v>
      </c>
      <c r="E498" t="s">
        <v>584</v>
      </c>
      <c r="F498" t="s">
        <v>149</v>
      </c>
      <c r="G498" t="s">
        <v>1942</v>
      </c>
      <c r="I498" t="s">
        <v>9808</v>
      </c>
      <c r="J498" t="s">
        <v>126</v>
      </c>
      <c r="K498" s="63">
        <v>24445</v>
      </c>
      <c r="L498" s="28">
        <f>DATEDIF(K498,Zwift25!G$1,"Y")</f>
        <v>57</v>
      </c>
      <c r="M498" s="67">
        <f>IF(J498="m",VLOOKUP(L498,'All Solo Adjustments'!A:D,4,FALSE),VLOOKUP(L498,'All Solo Adjustments'!A:J,10,FALSE))</f>
        <v>6.076388888888889E-3</v>
      </c>
      <c r="N498" s="63"/>
      <c r="O498" s="63"/>
      <c r="P498" s="63"/>
      <c r="Q498" s="63"/>
      <c r="R498" t="s">
        <v>137</v>
      </c>
      <c r="S498" t="s">
        <v>136</v>
      </c>
      <c r="T498" t="s">
        <v>292</v>
      </c>
      <c r="U498" t="s">
        <v>9807</v>
      </c>
      <c r="W498" t="s">
        <v>7423</v>
      </c>
      <c r="X498" t="s">
        <v>564</v>
      </c>
      <c r="Y498" t="s">
        <v>9806</v>
      </c>
      <c r="Z498" t="str">
        <f>"07879815853"</f>
        <v>07879815853</v>
      </c>
      <c r="AA498" t="str">
        <f>""</f>
        <v/>
      </c>
      <c r="AB498" t="s">
        <v>378</v>
      </c>
      <c r="AC498" t="s">
        <v>9805</v>
      </c>
      <c r="AD498" t="s">
        <v>114</v>
      </c>
      <c r="AE498" s="63">
        <v>45339</v>
      </c>
      <c r="AF498" t="s">
        <v>156</v>
      </c>
      <c r="AG498" t="s">
        <v>112</v>
      </c>
      <c r="AH498" t="s">
        <v>112</v>
      </c>
      <c r="AI498" s="63">
        <v>45159</v>
      </c>
      <c r="AJ498" s="63">
        <v>45657</v>
      </c>
      <c r="AK498" t="s">
        <v>112</v>
      </c>
      <c r="AL498" t="s">
        <v>111</v>
      </c>
      <c r="AM498" t="s">
        <v>111</v>
      </c>
      <c r="AN498">
        <v>39079</v>
      </c>
      <c r="AO498" t="s">
        <v>122</v>
      </c>
      <c r="AP498" t="s">
        <v>122</v>
      </c>
    </row>
    <row r="499" spans="1:42" x14ac:dyDescent="0.25">
      <c r="A499" s="28" t="str">
        <f>"3720"</f>
        <v>3720</v>
      </c>
      <c r="B499">
        <v>3720</v>
      </c>
      <c r="C499" t="s">
        <v>2488</v>
      </c>
      <c r="D499" t="s">
        <v>121</v>
      </c>
      <c r="F499" t="s">
        <v>120</v>
      </c>
      <c r="G499" t="s">
        <v>284</v>
      </c>
      <c r="H499" t="s">
        <v>941</v>
      </c>
      <c r="I499" t="s">
        <v>9804</v>
      </c>
      <c r="J499" t="s">
        <v>7</v>
      </c>
      <c r="K499" s="63">
        <v>20890</v>
      </c>
      <c r="L499" s="28">
        <f>DATEDIF(K499,Zwift25!G$1,"Y")</f>
        <v>67</v>
      </c>
      <c r="M499" s="67">
        <f>IF(J499="m",VLOOKUP(L499,'All Solo Adjustments'!A:D,4,FALSE),VLOOKUP(L499,'All Solo Adjustments'!A:J,10,FALSE))</f>
        <v>5.2662037037037035E-3</v>
      </c>
      <c r="N499" s="63"/>
      <c r="O499" s="63"/>
      <c r="P499" s="63"/>
      <c r="Q499" s="63"/>
      <c r="R499" t="s">
        <v>184</v>
      </c>
      <c r="S499" t="s">
        <v>183</v>
      </c>
      <c r="T499" t="s">
        <v>292</v>
      </c>
      <c r="U499" t="s">
        <v>9803</v>
      </c>
      <c r="V499" t="s">
        <v>9802</v>
      </c>
      <c r="W499" t="s">
        <v>347</v>
      </c>
      <c r="Y499" t="s">
        <v>9801</v>
      </c>
      <c r="Z499" t="str">
        <f>"07747 007781"</f>
        <v>07747 007781</v>
      </c>
      <c r="AA499" t="str">
        <f>""</f>
        <v/>
      </c>
      <c r="AB499" t="s">
        <v>1361</v>
      </c>
      <c r="AC499" t="s">
        <v>9800</v>
      </c>
      <c r="AD499" t="s">
        <v>114</v>
      </c>
      <c r="AE499" s="63">
        <v>45300</v>
      </c>
      <c r="AF499" t="s">
        <v>113</v>
      </c>
      <c r="AG499" t="s">
        <v>112</v>
      </c>
      <c r="AH499" t="s">
        <v>112</v>
      </c>
      <c r="AI499" s="63">
        <v>40000</v>
      </c>
      <c r="AJ499" s="63">
        <v>45657</v>
      </c>
      <c r="AK499" t="s">
        <v>111</v>
      </c>
      <c r="AL499" t="s">
        <v>111</v>
      </c>
      <c r="AM499" t="s">
        <v>111</v>
      </c>
      <c r="AN499">
        <v>1486</v>
      </c>
      <c r="AO499" t="s">
        <v>110</v>
      </c>
      <c r="AP499" t="s">
        <v>109</v>
      </c>
    </row>
    <row r="500" spans="1:42" x14ac:dyDescent="0.25">
      <c r="A500" s="28" t="str">
        <f>"14708"</f>
        <v>14708</v>
      </c>
      <c r="B500">
        <v>14708</v>
      </c>
      <c r="C500" t="s">
        <v>2488</v>
      </c>
      <c r="D500" t="s">
        <v>121</v>
      </c>
      <c r="F500" t="s">
        <v>120</v>
      </c>
      <c r="G500" t="s">
        <v>340</v>
      </c>
      <c r="I500" t="s">
        <v>2051</v>
      </c>
      <c r="J500" t="s">
        <v>7</v>
      </c>
      <c r="K500" s="63">
        <v>26754</v>
      </c>
      <c r="L500" s="28">
        <f>DATEDIF(K500,Zwift25!G$1,"Y")</f>
        <v>51</v>
      </c>
      <c r="M500" s="67">
        <f>IF(J500="m",VLOOKUP(L500,'All Solo Adjustments'!A:D,4,FALSE),VLOOKUP(L500,'All Solo Adjustments'!A:J,10,FALSE))</f>
        <v>1.3078703703703703E-3</v>
      </c>
      <c r="N500" s="63"/>
      <c r="O500" s="63"/>
      <c r="P500" s="63"/>
      <c r="Q500" s="63"/>
      <c r="R500" t="s">
        <v>137</v>
      </c>
      <c r="S500" t="s">
        <v>136</v>
      </c>
      <c r="T500" t="s">
        <v>292</v>
      </c>
      <c r="U500" t="s">
        <v>9799</v>
      </c>
      <c r="V500" t="s">
        <v>4209</v>
      </c>
      <c r="Y500" t="s">
        <v>9798</v>
      </c>
      <c r="Z500" t="str">
        <f>"07834381681"</f>
        <v>07834381681</v>
      </c>
      <c r="AA500" t="str">
        <f>""</f>
        <v/>
      </c>
      <c r="AB500" t="s">
        <v>9797</v>
      </c>
      <c r="AC500" t="s">
        <v>9796</v>
      </c>
      <c r="AD500" t="s">
        <v>114</v>
      </c>
      <c r="AE500" s="63">
        <v>45357</v>
      </c>
      <c r="AF500" t="s">
        <v>156</v>
      </c>
      <c r="AG500" t="s">
        <v>112</v>
      </c>
      <c r="AH500" t="s">
        <v>112</v>
      </c>
      <c r="AI500" s="63">
        <v>44074</v>
      </c>
      <c r="AJ500" s="63">
        <v>45657</v>
      </c>
      <c r="AK500" t="s">
        <v>112</v>
      </c>
      <c r="AL500" t="s">
        <v>111</v>
      </c>
      <c r="AM500" t="s">
        <v>111</v>
      </c>
      <c r="AN500">
        <v>35633</v>
      </c>
      <c r="AO500" t="s">
        <v>110</v>
      </c>
      <c r="AP500" t="s">
        <v>109</v>
      </c>
    </row>
    <row r="501" spans="1:42" x14ac:dyDescent="0.25">
      <c r="A501" s="28" t="str">
        <f>"16130"</f>
        <v>16130</v>
      </c>
      <c r="B501">
        <v>16130</v>
      </c>
      <c r="C501" t="s">
        <v>2488</v>
      </c>
      <c r="D501" t="s">
        <v>121</v>
      </c>
      <c r="F501" t="s">
        <v>120</v>
      </c>
      <c r="G501" t="s">
        <v>1085</v>
      </c>
      <c r="H501" t="s">
        <v>9795</v>
      </c>
      <c r="I501" t="s">
        <v>840</v>
      </c>
      <c r="J501" t="s">
        <v>7</v>
      </c>
      <c r="K501" s="63">
        <v>27231</v>
      </c>
      <c r="L501" s="28">
        <f>DATEDIF(K501,Zwift25!G$1,"Y")</f>
        <v>50</v>
      </c>
      <c r="M501" s="67">
        <f>IF(J501="m",VLOOKUP(L501,'All Solo Adjustments'!A:D,4,FALSE),VLOOKUP(L501,'All Solo Adjustments'!A:J,10,FALSE))</f>
        <v>1.1342592592592591E-3</v>
      </c>
      <c r="N501" s="63"/>
      <c r="O501" s="63"/>
      <c r="P501" s="63"/>
      <c r="Q501" s="63"/>
      <c r="R501" t="s">
        <v>137</v>
      </c>
      <c r="S501" t="s">
        <v>136</v>
      </c>
      <c r="T501" t="s">
        <v>292</v>
      </c>
      <c r="U501" t="s">
        <v>9794</v>
      </c>
      <c r="V501" t="s">
        <v>9793</v>
      </c>
      <c r="W501" t="s">
        <v>9792</v>
      </c>
      <c r="X501" t="s">
        <v>729</v>
      </c>
      <c r="Y501" t="s">
        <v>9791</v>
      </c>
      <c r="Z501" t="str">
        <f>"07547761757"</f>
        <v>07547761757</v>
      </c>
      <c r="AA501" t="str">
        <f>""</f>
        <v/>
      </c>
      <c r="AB501" t="s">
        <v>9790</v>
      </c>
      <c r="AC501" t="s">
        <v>9789</v>
      </c>
      <c r="AD501" t="s">
        <v>114</v>
      </c>
      <c r="AE501" s="63">
        <v>45418</v>
      </c>
      <c r="AF501" t="s">
        <v>156</v>
      </c>
      <c r="AG501" t="s">
        <v>112</v>
      </c>
      <c r="AH501" t="s">
        <v>112</v>
      </c>
      <c r="AI501" s="63">
        <v>45418</v>
      </c>
      <c r="AJ501" s="63">
        <v>45657</v>
      </c>
      <c r="AK501" t="s">
        <v>112</v>
      </c>
      <c r="AL501" t="s">
        <v>111</v>
      </c>
      <c r="AM501" t="s">
        <v>111</v>
      </c>
      <c r="AN501">
        <v>9232</v>
      </c>
      <c r="AO501" t="s">
        <v>110</v>
      </c>
      <c r="AP501" t="s">
        <v>109</v>
      </c>
    </row>
    <row r="502" spans="1:42" x14ac:dyDescent="0.25">
      <c r="A502" s="28" t="str">
        <f>"5532"</f>
        <v>5532</v>
      </c>
      <c r="B502">
        <v>5532</v>
      </c>
      <c r="C502" t="s">
        <v>2488</v>
      </c>
      <c r="D502" t="s">
        <v>121</v>
      </c>
      <c r="F502" t="s">
        <v>120</v>
      </c>
      <c r="G502" t="s">
        <v>400</v>
      </c>
      <c r="H502" t="s">
        <v>284</v>
      </c>
      <c r="I502" t="s">
        <v>9788</v>
      </c>
      <c r="J502" t="s">
        <v>7</v>
      </c>
      <c r="K502" s="63">
        <v>24548</v>
      </c>
      <c r="L502" s="28">
        <f>DATEDIF(K502,Zwift25!G$1,"Y")</f>
        <v>57</v>
      </c>
      <c r="M502" s="67">
        <f>IF(J502="m",VLOOKUP(L502,'All Solo Adjustments'!A:D,4,FALSE),VLOOKUP(L502,'All Solo Adjustments'!A:J,10,FALSE))</f>
        <v>2.488425925925926E-3</v>
      </c>
      <c r="N502" s="63"/>
      <c r="O502" s="63"/>
      <c r="P502" s="63"/>
      <c r="Q502" s="63"/>
      <c r="R502" t="s">
        <v>184</v>
      </c>
      <c r="S502" t="s">
        <v>183</v>
      </c>
      <c r="T502" t="s">
        <v>292</v>
      </c>
      <c r="U502" t="s">
        <v>9787</v>
      </c>
      <c r="V502" t="s">
        <v>9786</v>
      </c>
      <c r="W502" t="s">
        <v>9785</v>
      </c>
      <c r="X502" t="s">
        <v>930</v>
      </c>
      <c r="Y502" t="s">
        <v>9784</v>
      </c>
      <c r="Z502" t="str">
        <f>"01865 390728"</f>
        <v>01865 390728</v>
      </c>
      <c r="AA502" t="str">
        <f>"07796155928"</f>
        <v>07796155928</v>
      </c>
      <c r="AB502" t="s">
        <v>1717</v>
      </c>
      <c r="AC502" t="s">
        <v>9783</v>
      </c>
      <c r="AD502" t="s">
        <v>114</v>
      </c>
      <c r="AE502" s="63">
        <v>45302</v>
      </c>
      <c r="AF502" t="s">
        <v>156</v>
      </c>
      <c r="AG502" t="s">
        <v>112</v>
      </c>
      <c r="AH502" t="s">
        <v>112</v>
      </c>
      <c r="AI502" s="63">
        <v>42176</v>
      </c>
      <c r="AJ502" s="63">
        <v>45657</v>
      </c>
      <c r="AK502" t="s">
        <v>111</v>
      </c>
      <c r="AL502" t="s">
        <v>111</v>
      </c>
      <c r="AM502" t="s">
        <v>111</v>
      </c>
      <c r="AN502">
        <v>6533</v>
      </c>
      <c r="AO502" t="s">
        <v>110</v>
      </c>
      <c r="AP502" t="s">
        <v>109</v>
      </c>
    </row>
    <row r="503" spans="1:42" x14ac:dyDescent="0.25">
      <c r="A503" s="28" t="str">
        <f>"3998"</f>
        <v>3998</v>
      </c>
      <c r="B503">
        <v>3998</v>
      </c>
      <c r="C503" t="s">
        <v>2488</v>
      </c>
      <c r="D503" t="s">
        <v>121</v>
      </c>
      <c r="F503" t="s">
        <v>120</v>
      </c>
      <c r="G503" t="s">
        <v>251</v>
      </c>
      <c r="I503" t="s">
        <v>9782</v>
      </c>
      <c r="J503" t="s">
        <v>7</v>
      </c>
      <c r="K503" s="63">
        <v>14853</v>
      </c>
      <c r="L503" s="28">
        <f>DATEDIF(K503,Zwift25!G$1,"Y")</f>
        <v>84</v>
      </c>
      <c r="M503" s="67">
        <f>IF(J503="m",VLOOKUP(L503,'All Solo Adjustments'!A:D,4,FALSE),VLOOKUP(L503,'All Solo Adjustments'!A:J,10,FALSE))</f>
        <v>1.3530092592592592E-2</v>
      </c>
      <c r="N503" s="63"/>
      <c r="O503" s="63"/>
      <c r="P503" s="63"/>
      <c r="Q503" s="63"/>
      <c r="R503" t="s">
        <v>154</v>
      </c>
      <c r="S503" t="s">
        <v>153</v>
      </c>
      <c r="T503" t="s">
        <v>292</v>
      </c>
      <c r="U503" t="s">
        <v>9781</v>
      </c>
      <c r="V503" t="s">
        <v>9780</v>
      </c>
      <c r="W503" t="s">
        <v>9779</v>
      </c>
      <c r="X503" t="s">
        <v>134</v>
      </c>
      <c r="Y503" t="s">
        <v>9778</v>
      </c>
      <c r="Z503" t="str">
        <f>"01963 220889"</f>
        <v>01963 220889</v>
      </c>
      <c r="AA503" t="str">
        <f>""</f>
        <v/>
      </c>
      <c r="AB503" t="s">
        <v>290</v>
      </c>
      <c r="AC503" t="s">
        <v>9777</v>
      </c>
      <c r="AD503" t="s">
        <v>145</v>
      </c>
      <c r="AE503" s="63">
        <v>45345</v>
      </c>
      <c r="AF503" t="s">
        <v>113</v>
      </c>
      <c r="AG503" t="s">
        <v>112</v>
      </c>
      <c r="AH503" t="s">
        <v>112</v>
      </c>
      <c r="AI503" s="63">
        <v>40269</v>
      </c>
      <c r="AJ503" s="63">
        <v>45657</v>
      </c>
      <c r="AK503" t="s">
        <v>111</v>
      </c>
      <c r="AL503" t="s">
        <v>111</v>
      </c>
      <c r="AM503" t="s">
        <v>111</v>
      </c>
      <c r="AN503" t="s">
        <v>105</v>
      </c>
      <c r="AO503" t="s">
        <v>110</v>
      </c>
      <c r="AP503" t="s">
        <v>109</v>
      </c>
    </row>
    <row r="504" spans="1:42" x14ac:dyDescent="0.25">
      <c r="A504" s="28" t="str">
        <f>"16202"</f>
        <v>16202</v>
      </c>
      <c r="B504">
        <v>16202</v>
      </c>
      <c r="C504" t="s">
        <v>2488</v>
      </c>
      <c r="D504" t="s">
        <v>121</v>
      </c>
      <c r="E504" t="s">
        <v>584</v>
      </c>
      <c r="F504" t="s">
        <v>120</v>
      </c>
      <c r="G504" t="s">
        <v>489</v>
      </c>
      <c r="H504" t="s">
        <v>952</v>
      </c>
      <c r="I504" t="s">
        <v>9776</v>
      </c>
      <c r="J504" t="s">
        <v>7</v>
      </c>
      <c r="K504" s="63">
        <v>24425</v>
      </c>
      <c r="L504" s="28">
        <f>DATEDIF(K504,Zwift25!G$1,"Y")</f>
        <v>57</v>
      </c>
      <c r="M504" s="67">
        <f>IF(J504="m",VLOOKUP(L504,'All Solo Adjustments'!A:D,4,FALSE),VLOOKUP(L504,'All Solo Adjustments'!A:J,10,FALSE))</f>
        <v>2.488425925925926E-3</v>
      </c>
      <c r="N504" s="63"/>
      <c r="O504" s="63"/>
      <c r="P504" s="63"/>
      <c r="Q504" s="63"/>
      <c r="R504" t="s">
        <v>184</v>
      </c>
      <c r="S504" t="s">
        <v>183</v>
      </c>
      <c r="T504" t="s">
        <v>292</v>
      </c>
      <c r="U504" t="s">
        <v>9775</v>
      </c>
      <c r="V504" t="s">
        <v>8534</v>
      </c>
      <c r="W504" t="s">
        <v>1228</v>
      </c>
      <c r="Y504" t="s">
        <v>9774</v>
      </c>
      <c r="Z504" t="str">
        <f>"07884 175748"</f>
        <v>07884 175748</v>
      </c>
      <c r="AA504" t="str">
        <f>""</f>
        <v/>
      </c>
      <c r="AB504" t="s">
        <v>1142</v>
      </c>
      <c r="AC504" t="s">
        <v>9773</v>
      </c>
      <c r="AD504" t="s">
        <v>114</v>
      </c>
      <c r="AE504" s="63">
        <v>45523</v>
      </c>
      <c r="AF504" t="s">
        <v>156</v>
      </c>
      <c r="AG504" t="s">
        <v>112</v>
      </c>
      <c r="AH504" t="s">
        <v>112</v>
      </c>
      <c r="AI504" s="63">
        <v>45523</v>
      </c>
      <c r="AJ504" s="63">
        <v>45657</v>
      </c>
      <c r="AK504" t="s">
        <v>112</v>
      </c>
      <c r="AL504" t="s">
        <v>111</v>
      </c>
      <c r="AM504" t="s">
        <v>111</v>
      </c>
      <c r="AN504">
        <v>33009</v>
      </c>
      <c r="AO504" t="s">
        <v>110</v>
      </c>
      <c r="AP504" t="s">
        <v>109</v>
      </c>
    </row>
    <row r="505" spans="1:42" x14ac:dyDescent="0.25">
      <c r="A505" s="28" t="str">
        <f>"15888"</f>
        <v>15888</v>
      </c>
      <c r="B505">
        <v>15888</v>
      </c>
      <c r="C505" t="s">
        <v>2488</v>
      </c>
      <c r="D505" t="s">
        <v>121</v>
      </c>
      <c r="F505" t="s">
        <v>120</v>
      </c>
      <c r="G505" t="s">
        <v>359</v>
      </c>
      <c r="I505" t="s">
        <v>9772</v>
      </c>
      <c r="J505" t="s">
        <v>7</v>
      </c>
      <c r="K505" s="63">
        <v>30279</v>
      </c>
      <c r="L505" s="28">
        <f>DATEDIF(K505,Zwift25!G$1,"Y")</f>
        <v>41</v>
      </c>
      <c r="M505" s="67">
        <f>IF(J505="m",VLOOKUP(L505,'All Solo Adjustments'!A:D,4,FALSE),VLOOKUP(L505,'All Solo Adjustments'!A:J,10,FALSE))</f>
        <v>6.9444444444444444E-5</v>
      </c>
      <c r="N505" s="63"/>
      <c r="O505" s="63"/>
      <c r="P505" s="63"/>
      <c r="Q505" s="63"/>
      <c r="R505" t="s">
        <v>137</v>
      </c>
      <c r="S505" t="s">
        <v>136</v>
      </c>
      <c r="T505" t="s">
        <v>292</v>
      </c>
      <c r="U505" t="s">
        <v>9771</v>
      </c>
      <c r="V505" t="s">
        <v>5092</v>
      </c>
      <c r="W505" t="s">
        <v>564</v>
      </c>
      <c r="Y505" t="s">
        <v>9770</v>
      </c>
      <c r="Z505" t="str">
        <f>"07752585205"</f>
        <v>07752585205</v>
      </c>
      <c r="AA505" t="str">
        <f>""</f>
        <v/>
      </c>
      <c r="AB505" t="s">
        <v>408</v>
      </c>
      <c r="AC505" t="s">
        <v>9769</v>
      </c>
      <c r="AD505" t="s">
        <v>114</v>
      </c>
      <c r="AE505" s="63">
        <v>45293</v>
      </c>
      <c r="AF505" t="s">
        <v>156</v>
      </c>
      <c r="AG505" t="s">
        <v>112</v>
      </c>
      <c r="AH505" t="s">
        <v>112</v>
      </c>
      <c r="AI505" s="63">
        <v>45124</v>
      </c>
      <c r="AJ505" s="63">
        <v>45657</v>
      </c>
      <c r="AK505" t="s">
        <v>112</v>
      </c>
      <c r="AL505" t="s">
        <v>111</v>
      </c>
      <c r="AM505" t="s">
        <v>111</v>
      </c>
      <c r="AN505">
        <v>48018</v>
      </c>
      <c r="AO505" t="s">
        <v>110</v>
      </c>
      <c r="AP505" t="s">
        <v>109</v>
      </c>
    </row>
    <row r="506" spans="1:42" x14ac:dyDescent="0.25">
      <c r="A506" s="28" t="str">
        <f>"15691"</f>
        <v>15691</v>
      </c>
      <c r="B506">
        <v>15691</v>
      </c>
      <c r="C506" t="s">
        <v>2488</v>
      </c>
      <c r="D506" t="s">
        <v>121</v>
      </c>
      <c r="F506" t="s">
        <v>120</v>
      </c>
      <c r="G506" t="s">
        <v>165</v>
      </c>
      <c r="I506" t="s">
        <v>9768</v>
      </c>
      <c r="J506" t="s">
        <v>7</v>
      </c>
      <c r="K506" s="63">
        <v>26408</v>
      </c>
      <c r="L506" s="28">
        <f>DATEDIF(K506,Zwift25!G$1,"Y")</f>
        <v>52</v>
      </c>
      <c r="M506" s="67">
        <f>IF(J506="m",VLOOKUP(L506,'All Solo Adjustments'!A:D,4,FALSE),VLOOKUP(L506,'All Solo Adjustments'!A:J,10,FALSE))</f>
        <v>1.4814814814814816E-3</v>
      </c>
      <c r="N506" s="63"/>
      <c r="O506" s="63"/>
      <c r="P506" s="63"/>
      <c r="Q506" s="63"/>
      <c r="R506" t="s">
        <v>296</v>
      </c>
      <c r="S506" t="s">
        <v>295</v>
      </c>
      <c r="T506" t="s">
        <v>292</v>
      </c>
      <c r="U506">
        <v>7</v>
      </c>
      <c r="V506" t="s">
        <v>9767</v>
      </c>
      <c r="W506" t="s">
        <v>9766</v>
      </c>
      <c r="X506" t="s">
        <v>9765</v>
      </c>
      <c r="Y506" t="s">
        <v>9764</v>
      </c>
      <c r="Z506" t="str">
        <f>"07970516125"</f>
        <v>07970516125</v>
      </c>
      <c r="AA506" t="str">
        <f>""</f>
        <v/>
      </c>
      <c r="AB506" t="s">
        <v>9763</v>
      </c>
      <c r="AC506" t="s">
        <v>9762</v>
      </c>
      <c r="AD506" t="s">
        <v>114</v>
      </c>
      <c r="AE506" s="63">
        <v>45339</v>
      </c>
      <c r="AF506" t="s">
        <v>156</v>
      </c>
      <c r="AG506" t="s">
        <v>112</v>
      </c>
      <c r="AH506" t="s">
        <v>112</v>
      </c>
      <c r="AI506" s="63">
        <v>44973</v>
      </c>
      <c r="AJ506" s="63">
        <v>45657</v>
      </c>
      <c r="AK506" t="s">
        <v>112</v>
      </c>
      <c r="AL506" t="s">
        <v>111</v>
      </c>
      <c r="AM506" t="s">
        <v>111</v>
      </c>
      <c r="AN506">
        <v>25699</v>
      </c>
      <c r="AO506" t="s">
        <v>110</v>
      </c>
      <c r="AP506" t="s">
        <v>109</v>
      </c>
    </row>
    <row r="507" spans="1:42" x14ac:dyDescent="0.25">
      <c r="A507" s="28" t="str">
        <f>"15163"</f>
        <v>15163</v>
      </c>
      <c r="B507">
        <v>15163</v>
      </c>
      <c r="C507" t="s">
        <v>2488</v>
      </c>
      <c r="D507" t="s">
        <v>121</v>
      </c>
      <c r="F507" t="s">
        <v>120</v>
      </c>
      <c r="G507" t="s">
        <v>231</v>
      </c>
      <c r="H507" t="s">
        <v>185</v>
      </c>
      <c r="I507" t="s">
        <v>9761</v>
      </c>
      <c r="J507" t="s">
        <v>7</v>
      </c>
      <c r="K507" s="63">
        <v>27411</v>
      </c>
      <c r="L507" s="28">
        <f>DATEDIF(K507,Zwift25!G$1,"Y")</f>
        <v>49</v>
      </c>
      <c r="M507" s="67">
        <f>IF(J507="m",VLOOKUP(L507,'All Solo Adjustments'!A:D,4,FALSE),VLOOKUP(L507,'All Solo Adjustments'!A:J,10,FALSE))</f>
        <v>9.837962962962962E-4</v>
      </c>
      <c r="N507" s="63"/>
      <c r="O507" s="63"/>
      <c r="P507" s="63"/>
      <c r="Q507" s="63"/>
      <c r="R507" t="s">
        <v>239</v>
      </c>
      <c r="S507" t="s">
        <v>274</v>
      </c>
      <c r="T507" t="s">
        <v>292</v>
      </c>
      <c r="U507" t="s">
        <v>9760</v>
      </c>
      <c r="V507" t="s">
        <v>9759</v>
      </c>
      <c r="W507" t="s">
        <v>422</v>
      </c>
      <c r="X507" t="s">
        <v>869</v>
      </c>
      <c r="Y507" t="s">
        <v>9758</v>
      </c>
      <c r="Z507" t="str">
        <f>"07746768037"</f>
        <v>07746768037</v>
      </c>
      <c r="AA507" t="str">
        <f>"01757 229757"</f>
        <v>01757 229757</v>
      </c>
      <c r="AB507" t="s">
        <v>421</v>
      </c>
      <c r="AC507" t="s">
        <v>9757</v>
      </c>
      <c r="AD507" t="s">
        <v>114</v>
      </c>
      <c r="AE507" s="63">
        <v>45277</v>
      </c>
      <c r="AF507" t="s">
        <v>113</v>
      </c>
      <c r="AG507" t="s">
        <v>112</v>
      </c>
      <c r="AH507" t="s">
        <v>112</v>
      </c>
      <c r="AI507" s="63">
        <v>44383</v>
      </c>
      <c r="AJ507" s="63">
        <v>45657</v>
      </c>
      <c r="AK507" t="s">
        <v>112</v>
      </c>
      <c r="AL507" t="s">
        <v>111</v>
      </c>
      <c r="AM507" t="s">
        <v>111</v>
      </c>
      <c r="AN507">
        <v>36658</v>
      </c>
      <c r="AO507" t="s">
        <v>110</v>
      </c>
      <c r="AP507" t="s">
        <v>109</v>
      </c>
    </row>
    <row r="508" spans="1:42" x14ac:dyDescent="0.25">
      <c r="A508" s="28" t="str">
        <f>"0694"</f>
        <v>0694</v>
      </c>
      <c r="B508">
        <v>694</v>
      </c>
      <c r="C508" t="s">
        <v>2488</v>
      </c>
      <c r="D508" t="s">
        <v>121</v>
      </c>
      <c r="F508" t="s">
        <v>120</v>
      </c>
      <c r="G508" t="s">
        <v>481</v>
      </c>
      <c r="I508" t="s">
        <v>9756</v>
      </c>
      <c r="J508" t="s">
        <v>7</v>
      </c>
      <c r="K508" s="63">
        <v>16730</v>
      </c>
      <c r="L508" s="28">
        <f>DATEDIF(K508,Zwift25!G$1,"Y")</f>
        <v>78</v>
      </c>
      <c r="M508" s="67">
        <f>IF(J508="m",VLOOKUP(L508,'All Solo Adjustments'!A:D,4,FALSE),VLOOKUP(L508,'All Solo Adjustments'!A:J,10,FALSE))</f>
        <v>9.9189814814814817E-3</v>
      </c>
      <c r="N508" s="63"/>
      <c r="O508" s="63"/>
      <c r="P508" s="63"/>
      <c r="Q508" s="63"/>
      <c r="R508" t="s">
        <v>118</v>
      </c>
      <c r="S508" t="s">
        <v>117</v>
      </c>
      <c r="T508" t="s">
        <v>292</v>
      </c>
      <c r="U508" t="s">
        <v>9755</v>
      </c>
      <c r="V508" t="s">
        <v>1953</v>
      </c>
      <c r="W508" t="s">
        <v>547</v>
      </c>
      <c r="Y508" t="s">
        <v>9754</v>
      </c>
      <c r="Z508" t="str">
        <f>"01142363229"</f>
        <v>01142363229</v>
      </c>
      <c r="AA508" t="str">
        <f>""</f>
        <v/>
      </c>
      <c r="AB508" t="s">
        <v>9753</v>
      </c>
      <c r="AC508" t="s">
        <v>9752</v>
      </c>
      <c r="AD508" t="s">
        <v>114</v>
      </c>
      <c r="AE508" s="63">
        <v>45262</v>
      </c>
      <c r="AF508" t="s">
        <v>113</v>
      </c>
      <c r="AG508" t="s">
        <v>112</v>
      </c>
      <c r="AH508" t="s">
        <v>112</v>
      </c>
      <c r="AI508" s="63">
        <v>35431</v>
      </c>
      <c r="AJ508" s="63">
        <v>45657</v>
      </c>
      <c r="AK508" t="s">
        <v>111</v>
      </c>
      <c r="AL508" t="s">
        <v>111</v>
      </c>
      <c r="AM508" t="s">
        <v>111</v>
      </c>
      <c r="AN508" t="s">
        <v>105</v>
      </c>
      <c r="AO508" t="s">
        <v>110</v>
      </c>
      <c r="AP508" t="s">
        <v>109</v>
      </c>
    </row>
    <row r="509" spans="1:42" x14ac:dyDescent="0.25">
      <c r="A509" s="28" t="str">
        <f>"14626"</f>
        <v>14626</v>
      </c>
      <c r="B509">
        <v>14626</v>
      </c>
      <c r="C509" t="s">
        <v>2488</v>
      </c>
      <c r="D509" t="s">
        <v>121</v>
      </c>
      <c r="F509" t="s">
        <v>120</v>
      </c>
      <c r="G509" t="s">
        <v>9751</v>
      </c>
      <c r="I509" t="s">
        <v>9750</v>
      </c>
      <c r="J509" t="s">
        <v>7</v>
      </c>
      <c r="K509" s="63">
        <v>26298</v>
      </c>
      <c r="L509" s="28">
        <f>DATEDIF(K509,Zwift25!G$1,"Y")</f>
        <v>52</v>
      </c>
      <c r="M509" s="67">
        <f>IF(J509="m",VLOOKUP(L509,'All Solo Adjustments'!A:D,4,FALSE),VLOOKUP(L509,'All Solo Adjustments'!A:J,10,FALSE))</f>
        <v>1.4814814814814816E-3</v>
      </c>
      <c r="N509" s="63"/>
      <c r="O509" s="63"/>
      <c r="P509" s="63"/>
      <c r="Q509" s="63"/>
      <c r="R509" t="s">
        <v>154</v>
      </c>
      <c r="S509" t="s">
        <v>153</v>
      </c>
      <c r="T509" t="s">
        <v>292</v>
      </c>
      <c r="U509" t="s">
        <v>9749</v>
      </c>
      <c r="V509" t="s">
        <v>2451</v>
      </c>
      <c r="W509" t="s">
        <v>313</v>
      </c>
      <c r="X509" t="s">
        <v>574</v>
      </c>
      <c r="Y509" t="s">
        <v>9748</v>
      </c>
      <c r="Z509" t="str">
        <f>"07967686175"</f>
        <v>07967686175</v>
      </c>
      <c r="AA509" t="str">
        <f>""</f>
        <v/>
      </c>
      <c r="AB509" t="s">
        <v>629</v>
      </c>
      <c r="AC509" t="s">
        <v>9747</v>
      </c>
      <c r="AD509" t="s">
        <v>114</v>
      </c>
      <c r="AE509" s="63">
        <v>45292</v>
      </c>
      <c r="AF509" t="s">
        <v>156</v>
      </c>
      <c r="AG509" t="s">
        <v>112</v>
      </c>
      <c r="AH509" t="s">
        <v>112</v>
      </c>
      <c r="AI509" s="63">
        <v>44044</v>
      </c>
      <c r="AJ509" s="63">
        <v>45657</v>
      </c>
      <c r="AK509" t="s">
        <v>112</v>
      </c>
      <c r="AL509" t="s">
        <v>111</v>
      </c>
      <c r="AM509" t="s">
        <v>111</v>
      </c>
      <c r="AN509">
        <v>2731</v>
      </c>
      <c r="AO509" t="s">
        <v>110</v>
      </c>
      <c r="AP509" t="s">
        <v>109</v>
      </c>
    </row>
    <row r="510" spans="1:42" x14ac:dyDescent="0.25">
      <c r="A510" s="28" t="str">
        <f>"0697"</f>
        <v>0697</v>
      </c>
      <c r="B510">
        <v>697</v>
      </c>
      <c r="C510" t="s">
        <v>2488</v>
      </c>
      <c r="D510" t="s">
        <v>132</v>
      </c>
      <c r="F510" t="s">
        <v>120</v>
      </c>
      <c r="G510" t="s">
        <v>284</v>
      </c>
      <c r="I510" t="s">
        <v>9745</v>
      </c>
      <c r="J510" t="s">
        <v>7</v>
      </c>
      <c r="K510" s="63">
        <v>20102</v>
      </c>
      <c r="L510" s="28">
        <f>DATEDIF(K510,Zwift25!G$1,"Y")</f>
        <v>69</v>
      </c>
      <c r="M510" s="67">
        <f>IF(J510="m",VLOOKUP(L510,'All Solo Adjustments'!A:D,4,FALSE),VLOOKUP(L510,'All Solo Adjustments'!A:J,10,FALSE))</f>
        <v>5.9722222222222225E-3</v>
      </c>
      <c r="N510" s="63"/>
      <c r="O510" s="63"/>
      <c r="P510" s="63"/>
      <c r="Q510" s="63"/>
      <c r="R510" t="s">
        <v>125</v>
      </c>
      <c r="S510" t="s">
        <v>124</v>
      </c>
      <c r="T510" t="s">
        <v>292</v>
      </c>
      <c r="U510" t="s">
        <v>9744</v>
      </c>
      <c r="V510" t="s">
        <v>9743</v>
      </c>
      <c r="W510" t="s">
        <v>9742</v>
      </c>
      <c r="X510" t="s">
        <v>169</v>
      </c>
      <c r="Y510" t="s">
        <v>9741</v>
      </c>
      <c r="Z510" t="str">
        <f>"01502 575523"</f>
        <v>01502 575523</v>
      </c>
      <c r="AA510" t="str">
        <f>""</f>
        <v/>
      </c>
      <c r="AB510" t="s">
        <v>398</v>
      </c>
      <c r="AC510" t="s">
        <v>9740</v>
      </c>
      <c r="AD510" t="s">
        <v>145</v>
      </c>
      <c r="AE510" s="63">
        <v>45309</v>
      </c>
      <c r="AF510" t="s">
        <v>113</v>
      </c>
      <c r="AG510" t="s">
        <v>112</v>
      </c>
      <c r="AH510" t="s">
        <v>112</v>
      </c>
      <c r="AI510" s="63">
        <v>34816</v>
      </c>
      <c r="AJ510" s="63">
        <v>45657</v>
      </c>
      <c r="AK510" t="s">
        <v>111</v>
      </c>
      <c r="AL510" t="s">
        <v>111</v>
      </c>
      <c r="AM510" t="s">
        <v>111</v>
      </c>
      <c r="AN510" t="s">
        <v>105</v>
      </c>
      <c r="AO510" t="s">
        <v>110</v>
      </c>
      <c r="AP510" t="s">
        <v>109</v>
      </c>
    </row>
    <row r="511" spans="1:42" x14ac:dyDescent="0.25">
      <c r="A511" s="28" t="str">
        <f>"12183"</f>
        <v>12183</v>
      </c>
      <c r="B511">
        <v>12183</v>
      </c>
      <c r="C511" t="s">
        <v>2488</v>
      </c>
      <c r="D511" t="s">
        <v>130</v>
      </c>
      <c r="F511" t="s">
        <v>149</v>
      </c>
      <c r="G511" t="s">
        <v>9746</v>
      </c>
      <c r="I511" t="s">
        <v>9745</v>
      </c>
      <c r="J511" t="s">
        <v>126</v>
      </c>
      <c r="K511" s="63">
        <v>20154</v>
      </c>
      <c r="L511" s="28">
        <f>DATEDIF(K511,Zwift25!G$1,"Y")</f>
        <v>69</v>
      </c>
      <c r="M511" s="67">
        <f>IF(J511="m",VLOOKUP(L511,'All Solo Adjustments'!A:D,4,FALSE),VLOOKUP(L511,'All Solo Adjustments'!A:J,10,FALSE))</f>
        <v>1.1145833333333332E-2</v>
      </c>
      <c r="N511" s="63"/>
      <c r="O511" s="63"/>
      <c r="P511" s="63"/>
      <c r="Q511" s="63"/>
      <c r="R511" t="s">
        <v>125</v>
      </c>
      <c r="S511" t="s">
        <v>124</v>
      </c>
      <c r="T511" t="s">
        <v>292</v>
      </c>
      <c r="U511" t="s">
        <v>9744</v>
      </c>
      <c r="V511" t="s">
        <v>9743</v>
      </c>
      <c r="W511" t="s">
        <v>9742</v>
      </c>
      <c r="X511" t="s">
        <v>169</v>
      </c>
      <c r="Y511" t="s">
        <v>9741</v>
      </c>
      <c r="Z511" t="str">
        <f>"01502 575523"</f>
        <v>01502 575523</v>
      </c>
      <c r="AA511" t="str">
        <f>""</f>
        <v/>
      </c>
      <c r="AB511" t="s">
        <v>398</v>
      </c>
      <c r="AC511" t="s">
        <v>9740</v>
      </c>
      <c r="AD511" t="s">
        <v>145</v>
      </c>
      <c r="AE511" s="63">
        <v>45309</v>
      </c>
      <c r="AF511" t="s">
        <v>113</v>
      </c>
      <c r="AG511" t="s">
        <v>111</v>
      </c>
      <c r="AH511" t="s">
        <v>111</v>
      </c>
      <c r="AI511" s="63">
        <v>34816</v>
      </c>
      <c r="AJ511" s="63">
        <v>45657</v>
      </c>
      <c r="AK511" t="s">
        <v>111</v>
      </c>
      <c r="AL511" t="s">
        <v>111</v>
      </c>
      <c r="AM511" t="s">
        <v>111</v>
      </c>
      <c r="AN511" t="s">
        <v>105</v>
      </c>
      <c r="AO511" t="s">
        <v>122</v>
      </c>
      <c r="AP511" t="s">
        <v>122</v>
      </c>
    </row>
    <row r="512" spans="1:42" x14ac:dyDescent="0.25">
      <c r="A512" s="28" t="str">
        <f>"0700"</f>
        <v>0700</v>
      </c>
      <c r="B512">
        <v>700</v>
      </c>
      <c r="C512" t="s">
        <v>2488</v>
      </c>
      <c r="D512" t="s">
        <v>121</v>
      </c>
      <c r="E512" t="s">
        <v>584</v>
      </c>
      <c r="F512" t="s">
        <v>120</v>
      </c>
      <c r="G512" t="s">
        <v>164</v>
      </c>
      <c r="I512" t="s">
        <v>753</v>
      </c>
      <c r="J512" t="s">
        <v>7</v>
      </c>
      <c r="K512" s="63">
        <v>19926</v>
      </c>
      <c r="L512" s="28">
        <f>DATEDIF(K512,Zwift25!G$1,"Y")</f>
        <v>70</v>
      </c>
      <c r="M512" s="67">
        <f>IF(J512="m",VLOOKUP(L512,'All Solo Adjustments'!A:D,4,FALSE),VLOOKUP(L512,'All Solo Adjustments'!A:J,10,FALSE))</f>
        <v>6.3425925925925924E-3</v>
      </c>
      <c r="N512" s="63"/>
      <c r="O512" s="63"/>
      <c r="P512" s="63"/>
      <c r="Q512" s="63"/>
      <c r="R512" t="s">
        <v>239</v>
      </c>
      <c r="S512" t="s">
        <v>274</v>
      </c>
      <c r="T512" t="s">
        <v>292</v>
      </c>
      <c r="U512" t="s">
        <v>9739</v>
      </c>
      <c r="V512" t="s">
        <v>9738</v>
      </c>
      <c r="W512" t="s">
        <v>8385</v>
      </c>
      <c r="Y512" t="s">
        <v>9737</v>
      </c>
      <c r="Z512" t="str">
        <f>"01729 860058"</f>
        <v>01729 860058</v>
      </c>
      <c r="AA512" t="str">
        <f>""</f>
        <v/>
      </c>
      <c r="AB512" t="s">
        <v>1593</v>
      </c>
      <c r="AC512" t="s">
        <v>9736</v>
      </c>
      <c r="AD512" t="s">
        <v>114</v>
      </c>
      <c r="AE512" s="63">
        <v>45266</v>
      </c>
      <c r="AF512" t="s">
        <v>113</v>
      </c>
      <c r="AG512" t="s">
        <v>112</v>
      </c>
      <c r="AH512" t="s">
        <v>112</v>
      </c>
      <c r="AI512" s="63">
        <v>35380</v>
      </c>
      <c r="AJ512" s="63">
        <v>45657</v>
      </c>
      <c r="AK512" t="s">
        <v>111</v>
      </c>
      <c r="AL512" t="s">
        <v>111</v>
      </c>
      <c r="AM512" t="s">
        <v>111</v>
      </c>
      <c r="AN512">
        <v>1035</v>
      </c>
      <c r="AO512" t="s">
        <v>110</v>
      </c>
      <c r="AP512" t="s">
        <v>109</v>
      </c>
    </row>
    <row r="513" spans="1:42" x14ac:dyDescent="0.25">
      <c r="A513" s="28" t="str">
        <f>"14717"</f>
        <v>14717</v>
      </c>
      <c r="B513">
        <v>14717</v>
      </c>
      <c r="C513" t="s">
        <v>2488</v>
      </c>
      <c r="D513" t="s">
        <v>121</v>
      </c>
      <c r="F513" t="s">
        <v>120</v>
      </c>
      <c r="G513" t="s">
        <v>155</v>
      </c>
      <c r="H513" t="s">
        <v>359</v>
      </c>
      <c r="I513" t="s">
        <v>9735</v>
      </c>
      <c r="J513" t="s">
        <v>7</v>
      </c>
      <c r="K513" s="63">
        <v>26420</v>
      </c>
      <c r="L513" s="28">
        <f>DATEDIF(K513,Zwift25!G$1,"Y")</f>
        <v>52</v>
      </c>
      <c r="M513" s="67">
        <f>IF(J513="m",VLOOKUP(L513,'All Solo Adjustments'!A:D,4,FALSE),VLOOKUP(L513,'All Solo Adjustments'!A:J,10,FALSE))</f>
        <v>1.4814814814814816E-3</v>
      </c>
      <c r="N513" s="63"/>
      <c r="O513" s="63"/>
      <c r="P513" s="63"/>
      <c r="Q513" s="63"/>
      <c r="R513" t="s">
        <v>180</v>
      </c>
      <c r="S513" t="s">
        <v>179</v>
      </c>
      <c r="T513" t="s">
        <v>292</v>
      </c>
      <c r="U513" t="s">
        <v>9734</v>
      </c>
      <c r="V513" t="s">
        <v>9733</v>
      </c>
      <c r="W513" t="s">
        <v>992</v>
      </c>
      <c r="X513" t="s">
        <v>259</v>
      </c>
      <c r="Y513" t="s">
        <v>9732</v>
      </c>
      <c r="Z513" t="str">
        <f>"07501725115"</f>
        <v>07501725115</v>
      </c>
      <c r="AA513" t="str">
        <f>""</f>
        <v/>
      </c>
      <c r="AB513" t="s">
        <v>865</v>
      </c>
      <c r="AC513" t="s">
        <v>9731</v>
      </c>
      <c r="AD513" t="s">
        <v>114</v>
      </c>
      <c r="AE513" s="63">
        <v>45327</v>
      </c>
      <c r="AF513" t="s">
        <v>156</v>
      </c>
      <c r="AG513" t="s">
        <v>112</v>
      </c>
      <c r="AH513" t="s">
        <v>112</v>
      </c>
      <c r="AI513" s="63">
        <v>44077</v>
      </c>
      <c r="AJ513" s="63">
        <v>45657</v>
      </c>
      <c r="AK513" t="s">
        <v>112</v>
      </c>
      <c r="AL513" t="s">
        <v>111</v>
      </c>
      <c r="AM513" t="s">
        <v>111</v>
      </c>
      <c r="AN513">
        <v>1403</v>
      </c>
      <c r="AO513" t="s">
        <v>110</v>
      </c>
      <c r="AP513" t="s">
        <v>109</v>
      </c>
    </row>
    <row r="514" spans="1:42" x14ac:dyDescent="0.25">
      <c r="A514" s="28" t="str">
        <f>"0701"</f>
        <v>0701</v>
      </c>
      <c r="B514">
        <v>701</v>
      </c>
      <c r="C514" t="s">
        <v>2488</v>
      </c>
      <c r="D514" t="s">
        <v>121</v>
      </c>
      <c r="F514" t="s">
        <v>120</v>
      </c>
      <c r="G514" t="s">
        <v>695</v>
      </c>
      <c r="I514" t="s">
        <v>9730</v>
      </c>
      <c r="J514" t="s">
        <v>7</v>
      </c>
      <c r="K514" s="63">
        <v>17310</v>
      </c>
      <c r="L514" s="28">
        <f>DATEDIF(K514,Zwift25!G$1,"Y")</f>
        <v>77</v>
      </c>
      <c r="M514" s="67">
        <f>IF(J514="m",VLOOKUP(L514,'All Solo Adjustments'!A:D,4,FALSE),VLOOKUP(L514,'All Solo Adjustments'!A:J,10,FALSE))</f>
        <v>9.3981481481481485E-3</v>
      </c>
      <c r="N514" s="63"/>
      <c r="O514" s="63"/>
      <c r="P514" s="63"/>
      <c r="Q514" s="63"/>
      <c r="R514" t="s">
        <v>328</v>
      </c>
      <c r="S514" t="s">
        <v>327</v>
      </c>
      <c r="T514" t="s">
        <v>292</v>
      </c>
      <c r="U514" t="s">
        <v>9729</v>
      </c>
      <c r="V514" t="s">
        <v>2184</v>
      </c>
      <c r="W514" t="s">
        <v>326</v>
      </c>
      <c r="X514" t="s">
        <v>325</v>
      </c>
      <c r="Y514" t="s">
        <v>9728</v>
      </c>
      <c r="Z514" t="str">
        <f>"01772 718595"</f>
        <v>01772 718595</v>
      </c>
      <c r="AA514" t="str">
        <f>""</f>
        <v/>
      </c>
      <c r="AB514" t="s">
        <v>1704</v>
      </c>
      <c r="AC514" t="s">
        <v>9727</v>
      </c>
      <c r="AD514" t="s">
        <v>114</v>
      </c>
      <c r="AE514" s="63">
        <v>45261</v>
      </c>
      <c r="AF514" t="s">
        <v>113</v>
      </c>
      <c r="AG514" t="s">
        <v>112</v>
      </c>
      <c r="AH514" t="s">
        <v>112</v>
      </c>
      <c r="AI514" s="63">
        <v>43410</v>
      </c>
      <c r="AJ514" s="63">
        <v>45657</v>
      </c>
      <c r="AK514" t="s">
        <v>111</v>
      </c>
      <c r="AL514" t="s">
        <v>111</v>
      </c>
      <c r="AM514" t="s">
        <v>111</v>
      </c>
      <c r="AN514">
        <v>7287</v>
      </c>
      <c r="AO514" t="s">
        <v>110</v>
      </c>
      <c r="AP514" t="s">
        <v>109</v>
      </c>
    </row>
    <row r="515" spans="1:42" x14ac:dyDescent="0.25">
      <c r="A515" s="28" t="str">
        <f>"15782"</f>
        <v>15782</v>
      </c>
      <c r="B515">
        <v>15782</v>
      </c>
      <c r="C515" t="s">
        <v>2488</v>
      </c>
      <c r="D515" t="s">
        <v>121</v>
      </c>
      <c r="E515" t="s">
        <v>584</v>
      </c>
      <c r="F515" t="s">
        <v>120</v>
      </c>
      <c r="G515" t="s">
        <v>952</v>
      </c>
      <c r="H515" t="s">
        <v>9726</v>
      </c>
      <c r="I515" t="s">
        <v>9725</v>
      </c>
      <c r="J515" t="s">
        <v>7</v>
      </c>
      <c r="K515" s="63">
        <v>27192</v>
      </c>
      <c r="L515" s="28">
        <f>DATEDIF(K515,Zwift25!G$1,"Y")</f>
        <v>50</v>
      </c>
      <c r="M515" s="67">
        <f>IF(J515="m",VLOOKUP(L515,'All Solo Adjustments'!A:D,4,FALSE),VLOOKUP(L515,'All Solo Adjustments'!A:J,10,FALSE))</f>
        <v>1.1342592592592591E-3</v>
      </c>
      <c r="N515" s="63"/>
      <c r="O515" s="63"/>
      <c r="P515" s="63"/>
      <c r="Q515" s="63"/>
      <c r="R515" t="s">
        <v>154</v>
      </c>
      <c r="S515" t="s">
        <v>153</v>
      </c>
      <c r="T515" t="s">
        <v>292</v>
      </c>
      <c r="U515" t="s">
        <v>9724</v>
      </c>
      <c r="V515" t="s">
        <v>9723</v>
      </c>
      <c r="W515" t="s">
        <v>1528</v>
      </c>
      <c r="X515" t="s">
        <v>152</v>
      </c>
      <c r="Y515" t="s">
        <v>9722</v>
      </c>
      <c r="Z515" t="str">
        <f>"07919155764"</f>
        <v>07919155764</v>
      </c>
      <c r="AA515" t="str">
        <f>"01225832429"</f>
        <v>01225832429</v>
      </c>
      <c r="AB515" t="s">
        <v>408</v>
      </c>
      <c r="AC515" t="s">
        <v>9721</v>
      </c>
      <c r="AD515" t="s">
        <v>114</v>
      </c>
      <c r="AE515" s="63">
        <v>45351</v>
      </c>
      <c r="AF515" t="s">
        <v>156</v>
      </c>
      <c r="AG515" t="s">
        <v>112</v>
      </c>
      <c r="AH515" t="s">
        <v>112</v>
      </c>
      <c r="AI515" s="63">
        <v>45029</v>
      </c>
      <c r="AJ515" s="63">
        <v>45657</v>
      </c>
      <c r="AK515" t="s">
        <v>112</v>
      </c>
      <c r="AL515" t="s">
        <v>111</v>
      </c>
      <c r="AM515" t="s">
        <v>111</v>
      </c>
      <c r="AN515">
        <v>46907</v>
      </c>
      <c r="AO515" t="s">
        <v>110</v>
      </c>
      <c r="AP515" t="s">
        <v>109</v>
      </c>
    </row>
    <row r="516" spans="1:42" x14ac:dyDescent="0.25">
      <c r="A516" s="28" t="str">
        <f>"4192"</f>
        <v>4192</v>
      </c>
      <c r="B516">
        <v>4192</v>
      </c>
      <c r="C516" t="s">
        <v>2488</v>
      </c>
      <c r="D516" t="s">
        <v>132</v>
      </c>
      <c r="F516" t="s">
        <v>120</v>
      </c>
      <c r="G516" t="s">
        <v>334</v>
      </c>
      <c r="I516" t="s">
        <v>9717</v>
      </c>
      <c r="J516" t="s">
        <v>7</v>
      </c>
      <c r="K516" s="63">
        <v>23227</v>
      </c>
      <c r="L516" s="28">
        <f>DATEDIF(K516,Zwift25!G$1,"Y")</f>
        <v>61</v>
      </c>
      <c r="M516" s="67">
        <f>IF(J516="m",VLOOKUP(L516,'All Solo Adjustments'!A:D,4,FALSE),VLOOKUP(L516,'All Solo Adjustments'!A:J,10,FALSE))</f>
        <v>3.4722222222222225E-3</v>
      </c>
      <c r="N516" s="63"/>
      <c r="O516" s="63"/>
      <c r="P516" s="63"/>
      <c r="Q516" s="63"/>
      <c r="R516" t="s">
        <v>143</v>
      </c>
      <c r="S516" t="s">
        <v>168</v>
      </c>
      <c r="T516" t="s">
        <v>292</v>
      </c>
      <c r="U516" t="s">
        <v>9720</v>
      </c>
      <c r="V516" t="s">
        <v>2132</v>
      </c>
      <c r="W516" t="s">
        <v>486</v>
      </c>
      <c r="Y516" t="s">
        <v>9719</v>
      </c>
      <c r="Z516" t="str">
        <f>"01273 558538"</f>
        <v>01273 558538</v>
      </c>
      <c r="AA516" t="str">
        <f>"07973 278502"</f>
        <v>07973 278502</v>
      </c>
      <c r="AB516" t="s">
        <v>1359</v>
      </c>
      <c r="AC516" t="s">
        <v>9718</v>
      </c>
      <c r="AD516" t="s">
        <v>114</v>
      </c>
      <c r="AE516" s="63">
        <v>45370</v>
      </c>
      <c r="AF516" t="s">
        <v>156</v>
      </c>
      <c r="AG516" t="s">
        <v>112</v>
      </c>
      <c r="AH516" t="s">
        <v>112</v>
      </c>
      <c r="AI516" s="63">
        <v>40641</v>
      </c>
      <c r="AJ516" s="63">
        <v>45657</v>
      </c>
      <c r="AK516" t="s">
        <v>111</v>
      </c>
      <c r="AL516" t="s">
        <v>111</v>
      </c>
      <c r="AM516" t="s">
        <v>111</v>
      </c>
      <c r="AN516">
        <v>542</v>
      </c>
      <c r="AO516" t="s">
        <v>110</v>
      </c>
      <c r="AP516" t="s">
        <v>109</v>
      </c>
    </row>
    <row r="517" spans="1:42" x14ac:dyDescent="0.25">
      <c r="A517" s="28" t="str">
        <f>"10186"</f>
        <v>10186</v>
      </c>
      <c r="B517">
        <v>10186</v>
      </c>
      <c r="C517" t="s">
        <v>2488</v>
      </c>
      <c r="D517" t="s">
        <v>130</v>
      </c>
      <c r="F517" t="s">
        <v>149</v>
      </c>
      <c r="G517" t="s">
        <v>1785</v>
      </c>
      <c r="H517" t="s">
        <v>760</v>
      </c>
      <c r="I517" t="s">
        <v>9717</v>
      </c>
      <c r="J517" t="s">
        <v>126</v>
      </c>
      <c r="K517" s="63">
        <v>22820</v>
      </c>
      <c r="L517" s="28">
        <f>DATEDIF(K517,Zwift25!G$1,"Y")</f>
        <v>62</v>
      </c>
      <c r="M517" s="67">
        <f>IF(J517="m",VLOOKUP(L517,'All Solo Adjustments'!A:D,4,FALSE),VLOOKUP(L517,'All Solo Adjustments'!A:J,10,FALSE))</f>
        <v>7.6041666666666662E-3</v>
      </c>
      <c r="N517" s="63"/>
      <c r="O517" s="63"/>
      <c r="P517" s="63"/>
      <c r="Q517" s="63"/>
      <c r="R517" t="s">
        <v>143</v>
      </c>
      <c r="S517" t="s">
        <v>168</v>
      </c>
      <c r="T517" t="s">
        <v>292</v>
      </c>
      <c r="U517" t="s">
        <v>9720</v>
      </c>
      <c r="V517" t="s">
        <v>2132</v>
      </c>
      <c r="W517" t="s">
        <v>486</v>
      </c>
      <c r="Y517" t="s">
        <v>9719</v>
      </c>
      <c r="Z517" t="str">
        <f>"01273 558538"</f>
        <v>01273 558538</v>
      </c>
      <c r="AA517" t="str">
        <f>"07973 278502"</f>
        <v>07973 278502</v>
      </c>
      <c r="AB517" t="s">
        <v>1184</v>
      </c>
      <c r="AC517" t="s">
        <v>9718</v>
      </c>
      <c r="AD517" t="s">
        <v>114</v>
      </c>
      <c r="AE517" s="63">
        <v>45370</v>
      </c>
      <c r="AF517" t="s">
        <v>113</v>
      </c>
      <c r="AG517" t="s">
        <v>112</v>
      </c>
      <c r="AH517" t="s">
        <v>112</v>
      </c>
      <c r="AI517" s="63">
        <v>40641</v>
      </c>
      <c r="AJ517" s="63">
        <v>45657</v>
      </c>
      <c r="AK517" t="s">
        <v>111</v>
      </c>
      <c r="AL517" t="s">
        <v>111</v>
      </c>
      <c r="AM517" t="s">
        <v>111</v>
      </c>
      <c r="AN517" t="s">
        <v>105</v>
      </c>
      <c r="AO517" t="s">
        <v>122</v>
      </c>
      <c r="AP517" t="s">
        <v>122</v>
      </c>
    </row>
    <row r="518" spans="1:42" x14ac:dyDescent="0.25">
      <c r="A518" s="28" t="str">
        <f>"16165"</f>
        <v>16165</v>
      </c>
      <c r="B518">
        <v>16165</v>
      </c>
      <c r="C518" t="s">
        <v>2488</v>
      </c>
      <c r="D518" t="s">
        <v>121</v>
      </c>
      <c r="E518" t="s">
        <v>584</v>
      </c>
      <c r="F518" t="s">
        <v>120</v>
      </c>
      <c r="G518" t="s">
        <v>185</v>
      </c>
      <c r="I518" t="s">
        <v>9717</v>
      </c>
      <c r="J518" t="s">
        <v>7</v>
      </c>
      <c r="K518" s="63">
        <v>23115</v>
      </c>
      <c r="L518" s="28">
        <f>DATEDIF(K518,Zwift25!G$1,"Y")</f>
        <v>61</v>
      </c>
      <c r="M518" s="67">
        <f>IF(J518="m",VLOOKUP(L518,'All Solo Adjustments'!A:D,4,FALSE),VLOOKUP(L518,'All Solo Adjustments'!A:J,10,FALSE))</f>
        <v>3.4722222222222225E-3</v>
      </c>
      <c r="N518" s="63"/>
      <c r="O518" s="63"/>
      <c r="P518" s="63"/>
      <c r="Q518" s="63"/>
      <c r="R518" t="s">
        <v>239</v>
      </c>
      <c r="S518" t="s">
        <v>274</v>
      </c>
      <c r="T518" t="s">
        <v>292</v>
      </c>
      <c r="U518" t="s">
        <v>9716</v>
      </c>
      <c r="V518" t="s">
        <v>9715</v>
      </c>
      <c r="W518" t="s">
        <v>766</v>
      </c>
      <c r="X518" t="s">
        <v>617</v>
      </c>
      <c r="Y518" t="s">
        <v>9714</v>
      </c>
      <c r="Z518" t="str">
        <f>"07813895156"</f>
        <v>07813895156</v>
      </c>
      <c r="AA518" t="str">
        <f>""</f>
        <v/>
      </c>
      <c r="AB518" t="s">
        <v>9713</v>
      </c>
      <c r="AC518" t="s">
        <v>9712</v>
      </c>
      <c r="AD518" t="s">
        <v>114</v>
      </c>
      <c r="AE518" s="63">
        <v>45462</v>
      </c>
      <c r="AF518" t="s">
        <v>156</v>
      </c>
      <c r="AG518" t="s">
        <v>112</v>
      </c>
      <c r="AH518" t="s">
        <v>112</v>
      </c>
      <c r="AI518" s="63">
        <v>45462</v>
      </c>
      <c r="AJ518" s="63">
        <v>45657</v>
      </c>
      <c r="AK518" t="s">
        <v>112</v>
      </c>
      <c r="AL518" t="s">
        <v>111</v>
      </c>
      <c r="AM518" t="s">
        <v>111</v>
      </c>
      <c r="AN518">
        <v>50990</v>
      </c>
      <c r="AO518" t="s">
        <v>110</v>
      </c>
      <c r="AP518" t="s">
        <v>109</v>
      </c>
    </row>
    <row r="519" spans="1:42" x14ac:dyDescent="0.25">
      <c r="A519" s="28" t="str">
        <f>"0704"</f>
        <v>0704</v>
      </c>
      <c r="B519">
        <v>704</v>
      </c>
      <c r="C519" t="s">
        <v>2488</v>
      </c>
      <c r="D519" t="s">
        <v>121</v>
      </c>
      <c r="F519" t="s">
        <v>120</v>
      </c>
      <c r="G519" t="s">
        <v>231</v>
      </c>
      <c r="I519" t="s">
        <v>9711</v>
      </c>
      <c r="J519" t="s">
        <v>7</v>
      </c>
      <c r="K519" s="63">
        <v>17605</v>
      </c>
      <c r="L519" s="28">
        <f>DATEDIF(K519,Zwift25!G$1,"Y")</f>
        <v>76</v>
      </c>
      <c r="M519" s="67">
        <f>IF(J519="m",VLOOKUP(L519,'All Solo Adjustments'!A:D,4,FALSE),VLOOKUP(L519,'All Solo Adjustments'!A:J,10,FALSE))</f>
        <v>8.912037037037036E-3</v>
      </c>
      <c r="N519" s="63"/>
      <c r="O519" s="63"/>
      <c r="P519" s="63"/>
      <c r="Q519" s="63"/>
      <c r="R519" t="s">
        <v>125</v>
      </c>
      <c r="S519" t="s">
        <v>170</v>
      </c>
      <c r="T519" t="s">
        <v>292</v>
      </c>
      <c r="U519" t="s">
        <v>9710</v>
      </c>
      <c r="V519" t="s">
        <v>9709</v>
      </c>
      <c r="W519" t="s">
        <v>223</v>
      </c>
      <c r="Y519" t="s">
        <v>9708</v>
      </c>
      <c r="Z519" t="str">
        <f>"01223 236239"</f>
        <v>01223 236239</v>
      </c>
      <c r="AA519" t="str">
        <f>"07970 093019"</f>
        <v>07970 093019</v>
      </c>
      <c r="AB519" t="s">
        <v>222</v>
      </c>
      <c r="AC519" t="s">
        <v>9707</v>
      </c>
      <c r="AD519" t="s">
        <v>114</v>
      </c>
      <c r="AE519" s="63">
        <v>45292</v>
      </c>
      <c r="AF519" t="s">
        <v>113</v>
      </c>
      <c r="AG519" t="s">
        <v>112</v>
      </c>
      <c r="AH519" t="s">
        <v>112</v>
      </c>
      <c r="AI519" s="63">
        <v>38806</v>
      </c>
      <c r="AJ519" s="63">
        <v>45657</v>
      </c>
      <c r="AK519" t="s">
        <v>111</v>
      </c>
      <c r="AL519" t="s">
        <v>111</v>
      </c>
      <c r="AM519" t="s">
        <v>111</v>
      </c>
      <c r="AN519">
        <v>3</v>
      </c>
      <c r="AO519" t="s">
        <v>110</v>
      </c>
      <c r="AP519" t="s">
        <v>109</v>
      </c>
    </row>
    <row r="520" spans="1:42" x14ac:dyDescent="0.25">
      <c r="A520" s="28" t="str">
        <f>"14884"</f>
        <v>14884</v>
      </c>
      <c r="B520">
        <v>14884</v>
      </c>
      <c r="C520" t="s">
        <v>2488</v>
      </c>
      <c r="D520" t="s">
        <v>121</v>
      </c>
      <c r="F520" t="s">
        <v>120</v>
      </c>
      <c r="G520" t="s">
        <v>9706</v>
      </c>
      <c r="I520" t="s">
        <v>2043</v>
      </c>
      <c r="J520" t="s">
        <v>7</v>
      </c>
      <c r="K520" s="63">
        <v>25681</v>
      </c>
      <c r="L520" s="28">
        <f>DATEDIF(K520,Zwift25!G$1,"Y")</f>
        <v>54</v>
      </c>
      <c r="M520" s="67">
        <f>IF(J520="m",VLOOKUP(L520,'All Solo Adjustments'!A:D,4,FALSE),VLOOKUP(L520,'All Solo Adjustments'!A:J,10,FALSE))</f>
        <v>1.8518518518518517E-3</v>
      </c>
      <c r="N520" s="63"/>
      <c r="O520" s="63"/>
      <c r="P520" s="63"/>
      <c r="Q520" s="63"/>
      <c r="R520" t="s">
        <v>137</v>
      </c>
      <c r="S520" t="s">
        <v>136</v>
      </c>
      <c r="T520" t="s">
        <v>292</v>
      </c>
      <c r="U520" t="s">
        <v>9705</v>
      </c>
      <c r="V520" t="s">
        <v>9705</v>
      </c>
      <c r="W520" t="s">
        <v>9704</v>
      </c>
      <c r="Y520" t="s">
        <v>9703</v>
      </c>
      <c r="Z520" t="str">
        <f>"07971513822"</f>
        <v>07971513822</v>
      </c>
      <c r="AA520" t="str">
        <f>""</f>
        <v/>
      </c>
      <c r="AB520" t="s">
        <v>9702</v>
      </c>
      <c r="AC520" t="s">
        <v>9701</v>
      </c>
      <c r="AD520" t="s">
        <v>114</v>
      </c>
      <c r="AE520" s="63">
        <v>45356</v>
      </c>
      <c r="AF520" t="s">
        <v>156</v>
      </c>
      <c r="AG520" t="s">
        <v>112</v>
      </c>
      <c r="AH520" t="s">
        <v>112</v>
      </c>
      <c r="AI520" s="63">
        <v>44259</v>
      </c>
      <c r="AJ520" s="63">
        <v>45657</v>
      </c>
      <c r="AK520" t="s">
        <v>112</v>
      </c>
      <c r="AL520" t="s">
        <v>111</v>
      </c>
      <c r="AM520" t="s">
        <v>111</v>
      </c>
      <c r="AN520">
        <v>1623</v>
      </c>
      <c r="AO520" t="s">
        <v>110</v>
      </c>
      <c r="AP520" t="s">
        <v>109</v>
      </c>
    </row>
    <row r="521" spans="1:42" x14ac:dyDescent="0.25">
      <c r="A521" s="28" t="str">
        <f>"13661"</f>
        <v>13661</v>
      </c>
      <c r="B521">
        <v>13661</v>
      </c>
      <c r="C521" t="s">
        <v>2488</v>
      </c>
      <c r="D521" t="s">
        <v>121</v>
      </c>
      <c r="F521" t="s">
        <v>120</v>
      </c>
      <c r="G521" t="s">
        <v>359</v>
      </c>
      <c r="I521" t="s">
        <v>839</v>
      </c>
      <c r="J521" t="s">
        <v>7</v>
      </c>
      <c r="K521" s="63">
        <v>28613</v>
      </c>
      <c r="L521" s="28">
        <f>DATEDIF(K521,Zwift25!G$1,"Y")</f>
        <v>46</v>
      </c>
      <c r="M521" s="67">
        <f>IF(J521="m",VLOOKUP(L521,'All Solo Adjustments'!A:D,4,FALSE),VLOOKUP(L521,'All Solo Adjustments'!A:J,10,FALSE))</f>
        <v>5.6712962962962956E-4</v>
      </c>
      <c r="N521" s="63"/>
      <c r="O521" s="63"/>
      <c r="P521" s="63"/>
      <c r="Q521" s="63"/>
      <c r="R521" t="s">
        <v>125</v>
      </c>
      <c r="S521" t="s">
        <v>170</v>
      </c>
      <c r="T521" t="s">
        <v>292</v>
      </c>
      <c r="U521" t="s">
        <v>9700</v>
      </c>
      <c r="V521" t="s">
        <v>223</v>
      </c>
      <c r="W521" t="s">
        <v>419</v>
      </c>
      <c r="Y521" t="s">
        <v>9699</v>
      </c>
      <c r="Z521" t="str">
        <f>"+447956664241"</f>
        <v>+447956664241</v>
      </c>
      <c r="AA521" t="str">
        <f>""</f>
        <v/>
      </c>
      <c r="AB521" t="s">
        <v>9694</v>
      </c>
      <c r="AC521" t="s">
        <v>9698</v>
      </c>
      <c r="AD521" t="s">
        <v>114</v>
      </c>
      <c r="AE521" s="63">
        <v>45384</v>
      </c>
      <c r="AF521" t="s">
        <v>113</v>
      </c>
      <c r="AG521" t="s">
        <v>112</v>
      </c>
      <c r="AH521" t="s">
        <v>112</v>
      </c>
      <c r="AI521" s="63">
        <v>43272</v>
      </c>
      <c r="AJ521" s="63">
        <v>45657</v>
      </c>
      <c r="AK521" t="s">
        <v>112</v>
      </c>
      <c r="AL521" t="s">
        <v>111</v>
      </c>
      <c r="AM521" t="s">
        <v>111</v>
      </c>
      <c r="AN521">
        <v>7242</v>
      </c>
      <c r="AO521" t="s">
        <v>110</v>
      </c>
      <c r="AP521" t="s">
        <v>109</v>
      </c>
    </row>
    <row r="522" spans="1:42" x14ac:dyDescent="0.25">
      <c r="A522" s="28" t="str">
        <f>"15827"</f>
        <v>15827</v>
      </c>
      <c r="B522">
        <v>15827</v>
      </c>
      <c r="C522" t="s">
        <v>2488</v>
      </c>
      <c r="D522" t="s">
        <v>121</v>
      </c>
      <c r="F522" t="s">
        <v>120</v>
      </c>
      <c r="G522" t="s">
        <v>489</v>
      </c>
      <c r="I522" t="s">
        <v>9697</v>
      </c>
      <c r="J522" t="s">
        <v>7</v>
      </c>
      <c r="K522" s="63">
        <v>22531</v>
      </c>
      <c r="L522" s="28">
        <f>DATEDIF(K522,Zwift25!G$1,"Y")</f>
        <v>63</v>
      </c>
      <c r="M522" s="67">
        <f>IF(J522="m",VLOOKUP(L522,'All Solo Adjustments'!A:D,4,FALSE),VLOOKUP(L522,'All Solo Adjustments'!A:J,10,FALSE))</f>
        <v>4.0277777777777777E-3</v>
      </c>
      <c r="N522" s="63"/>
      <c r="O522" s="63"/>
      <c r="P522" s="63"/>
      <c r="Q522" s="63"/>
      <c r="R522" t="s">
        <v>125</v>
      </c>
      <c r="S522" t="s">
        <v>170</v>
      </c>
      <c r="T522" t="s">
        <v>292</v>
      </c>
      <c r="U522" t="s">
        <v>9696</v>
      </c>
      <c r="V522" t="s">
        <v>223</v>
      </c>
      <c r="Y522" t="s">
        <v>9695</v>
      </c>
      <c r="Z522" t="str">
        <f>"07977432545"</f>
        <v>07977432545</v>
      </c>
      <c r="AA522" t="str">
        <f>""</f>
        <v/>
      </c>
      <c r="AB522" t="s">
        <v>9694</v>
      </c>
      <c r="AC522" t="s">
        <v>9693</v>
      </c>
      <c r="AD522" t="s">
        <v>114</v>
      </c>
      <c r="AE522" s="63">
        <v>45266</v>
      </c>
      <c r="AF522" t="s">
        <v>156</v>
      </c>
      <c r="AG522" t="s">
        <v>112</v>
      </c>
      <c r="AH522" t="s">
        <v>112</v>
      </c>
      <c r="AI522" s="63">
        <v>45065</v>
      </c>
      <c r="AJ522" s="63">
        <v>45657</v>
      </c>
      <c r="AK522" t="s">
        <v>112</v>
      </c>
      <c r="AL522" t="s">
        <v>111</v>
      </c>
      <c r="AM522" t="s">
        <v>111</v>
      </c>
      <c r="AN522">
        <v>44033</v>
      </c>
      <c r="AO522" t="s">
        <v>110</v>
      </c>
      <c r="AP522" t="s">
        <v>109</v>
      </c>
    </row>
    <row r="523" spans="1:42" x14ac:dyDescent="0.25">
      <c r="A523" s="28" t="str">
        <f>"3098"</f>
        <v>3098</v>
      </c>
      <c r="B523">
        <v>3098</v>
      </c>
      <c r="C523" t="s">
        <v>2488</v>
      </c>
      <c r="D523" t="s">
        <v>121</v>
      </c>
      <c r="F523" t="s">
        <v>120</v>
      </c>
      <c r="G523" t="s">
        <v>818</v>
      </c>
      <c r="I523" t="s">
        <v>9692</v>
      </c>
      <c r="J523" t="s">
        <v>7</v>
      </c>
      <c r="K523" s="63">
        <v>17079</v>
      </c>
      <c r="L523" s="28">
        <f>DATEDIF(K523,Zwift25!G$1,"Y")</f>
        <v>78</v>
      </c>
      <c r="M523" s="67">
        <f>IF(J523="m",VLOOKUP(L523,'All Solo Adjustments'!A:D,4,FALSE),VLOOKUP(L523,'All Solo Adjustments'!A:J,10,FALSE))</f>
        <v>9.9189814814814817E-3</v>
      </c>
      <c r="N523" s="63"/>
      <c r="O523" s="63"/>
      <c r="P523" s="63"/>
      <c r="Q523" s="63"/>
      <c r="R523" t="s">
        <v>328</v>
      </c>
      <c r="S523" t="s">
        <v>327</v>
      </c>
      <c r="T523" t="s">
        <v>292</v>
      </c>
      <c r="U523" t="s">
        <v>9691</v>
      </c>
      <c r="V523" t="s">
        <v>1060</v>
      </c>
      <c r="W523" t="s">
        <v>752</v>
      </c>
      <c r="Y523" t="s">
        <v>9690</v>
      </c>
      <c r="Z523" t="str">
        <f>"01225 702209"</f>
        <v>01225 702209</v>
      </c>
      <c r="AA523" t="str">
        <f>""</f>
        <v/>
      </c>
      <c r="AB523" t="s">
        <v>2618</v>
      </c>
      <c r="AC523" t="s">
        <v>9689</v>
      </c>
      <c r="AD523" t="s">
        <v>114</v>
      </c>
      <c r="AE523" s="63">
        <v>45366</v>
      </c>
      <c r="AF523" t="s">
        <v>113</v>
      </c>
      <c r="AG523" t="s">
        <v>112</v>
      </c>
      <c r="AH523" t="s">
        <v>112</v>
      </c>
      <c r="AI523" s="63">
        <v>42027</v>
      </c>
      <c r="AJ523" s="63">
        <v>45657</v>
      </c>
      <c r="AK523" t="s">
        <v>111</v>
      </c>
      <c r="AL523" t="s">
        <v>111</v>
      </c>
      <c r="AM523" t="s">
        <v>111</v>
      </c>
      <c r="AN523">
        <v>1692</v>
      </c>
      <c r="AO523" t="s">
        <v>110</v>
      </c>
      <c r="AP523" t="s">
        <v>109</v>
      </c>
    </row>
    <row r="524" spans="1:42" x14ac:dyDescent="0.25">
      <c r="A524" s="28" t="str">
        <f>"0715"</f>
        <v>0715</v>
      </c>
      <c r="B524">
        <v>715</v>
      </c>
      <c r="C524" t="s">
        <v>2488</v>
      </c>
      <c r="D524" t="s">
        <v>121</v>
      </c>
      <c r="F524" t="s">
        <v>120</v>
      </c>
      <c r="G524" t="s">
        <v>251</v>
      </c>
      <c r="H524" t="s">
        <v>284</v>
      </c>
      <c r="I524" t="s">
        <v>9688</v>
      </c>
      <c r="J524" t="s">
        <v>7</v>
      </c>
      <c r="K524" s="63">
        <v>13737</v>
      </c>
      <c r="L524" s="28">
        <f>DATEDIF(K524,Zwift25!G$1,"Y")</f>
        <v>87</v>
      </c>
      <c r="M524" s="67">
        <f>IF(J524="m",VLOOKUP(L524,'All Solo Adjustments'!A:D,4,FALSE),VLOOKUP(L524,'All Solo Adjustments'!A:J,10,FALSE))</f>
        <v>1.576388888888889E-2</v>
      </c>
      <c r="N524" s="63"/>
      <c r="O524" s="63"/>
      <c r="P524" s="63"/>
      <c r="Q524" s="63"/>
      <c r="R524" t="s">
        <v>213</v>
      </c>
      <c r="S524" t="s">
        <v>2309</v>
      </c>
      <c r="T524" t="s">
        <v>292</v>
      </c>
      <c r="U524" t="s">
        <v>9687</v>
      </c>
      <c r="V524" t="s">
        <v>9686</v>
      </c>
      <c r="W524" t="s">
        <v>9685</v>
      </c>
      <c r="X524" t="s">
        <v>912</v>
      </c>
      <c r="Y524" t="s">
        <v>9684</v>
      </c>
      <c r="Z524" t="str">
        <f>"01978 852010"</f>
        <v>01978 852010</v>
      </c>
      <c r="AA524" t="str">
        <f>""</f>
        <v/>
      </c>
      <c r="AB524" t="s">
        <v>1318</v>
      </c>
      <c r="AC524" t="s">
        <v>9683</v>
      </c>
      <c r="AD524" t="s">
        <v>151</v>
      </c>
      <c r="AF524" t="s">
        <v>113</v>
      </c>
      <c r="AG524" t="s">
        <v>112</v>
      </c>
      <c r="AH524" t="s">
        <v>112</v>
      </c>
      <c r="AI524" s="63">
        <v>29370</v>
      </c>
      <c r="AK524" t="s">
        <v>111</v>
      </c>
      <c r="AL524" t="s">
        <v>111</v>
      </c>
      <c r="AM524" t="s">
        <v>111</v>
      </c>
      <c r="AN524" t="s">
        <v>105</v>
      </c>
      <c r="AO524" t="s">
        <v>110</v>
      </c>
      <c r="AP524" t="s">
        <v>109</v>
      </c>
    </row>
    <row r="525" spans="1:42" x14ac:dyDescent="0.25">
      <c r="A525" s="28" t="str">
        <f>"0719"</f>
        <v>0719</v>
      </c>
      <c r="B525">
        <v>719</v>
      </c>
      <c r="C525" t="s">
        <v>2488</v>
      </c>
      <c r="D525" t="s">
        <v>121</v>
      </c>
      <c r="E525" t="s">
        <v>584</v>
      </c>
      <c r="F525" t="s">
        <v>120</v>
      </c>
      <c r="G525" t="s">
        <v>695</v>
      </c>
      <c r="I525" t="s">
        <v>9682</v>
      </c>
      <c r="J525" t="s">
        <v>7</v>
      </c>
      <c r="K525" s="63">
        <v>17404</v>
      </c>
      <c r="L525" s="28">
        <f>DATEDIF(K525,Zwift25!G$1,"Y")</f>
        <v>77</v>
      </c>
      <c r="M525" s="67">
        <f>IF(J525="m",VLOOKUP(L525,'All Solo Adjustments'!A:D,4,FALSE),VLOOKUP(L525,'All Solo Adjustments'!A:J,10,FALSE))</f>
        <v>9.3981481481481485E-3</v>
      </c>
      <c r="N525" s="63"/>
      <c r="O525" s="63"/>
      <c r="P525" s="63"/>
      <c r="Q525" s="63"/>
      <c r="R525" t="s">
        <v>213</v>
      </c>
      <c r="S525" t="s">
        <v>212</v>
      </c>
      <c r="T525" t="s">
        <v>292</v>
      </c>
      <c r="U525" t="s">
        <v>9681</v>
      </c>
      <c r="V525" t="s">
        <v>1788</v>
      </c>
      <c r="W525" t="s">
        <v>534</v>
      </c>
      <c r="X525" t="s">
        <v>534</v>
      </c>
      <c r="Y525" t="s">
        <v>9680</v>
      </c>
      <c r="Z525" t="str">
        <f>"01939234304"</f>
        <v>01939234304</v>
      </c>
      <c r="AA525" t="str">
        <f>"07528176345"</f>
        <v>07528176345</v>
      </c>
      <c r="AB525" t="s">
        <v>1052</v>
      </c>
      <c r="AC525" t="s">
        <v>9679</v>
      </c>
      <c r="AD525" t="s">
        <v>114</v>
      </c>
      <c r="AE525" s="63">
        <v>45288</v>
      </c>
      <c r="AF525" t="s">
        <v>113</v>
      </c>
      <c r="AG525" t="s">
        <v>112</v>
      </c>
      <c r="AH525" t="s">
        <v>112</v>
      </c>
      <c r="AI525" s="63">
        <v>36506</v>
      </c>
      <c r="AJ525" s="63">
        <v>45657</v>
      </c>
      <c r="AK525" t="s">
        <v>111</v>
      </c>
      <c r="AL525" t="s">
        <v>111</v>
      </c>
      <c r="AM525" t="s">
        <v>111</v>
      </c>
      <c r="AN525">
        <v>348</v>
      </c>
      <c r="AO525" t="s">
        <v>110</v>
      </c>
      <c r="AP525" t="s">
        <v>109</v>
      </c>
    </row>
    <row r="526" spans="1:42" x14ac:dyDescent="0.25">
      <c r="A526" s="28" t="str">
        <f>"0726"</f>
        <v>0726</v>
      </c>
      <c r="B526">
        <v>726</v>
      </c>
      <c r="C526" t="s">
        <v>2488</v>
      </c>
      <c r="D526" t="s">
        <v>121</v>
      </c>
      <c r="F526" t="s">
        <v>120</v>
      </c>
      <c r="G526" t="s">
        <v>284</v>
      </c>
      <c r="I526" t="s">
        <v>832</v>
      </c>
      <c r="J526" t="s">
        <v>7</v>
      </c>
      <c r="K526" s="63">
        <v>17781</v>
      </c>
      <c r="L526" s="28">
        <f>DATEDIF(K526,Zwift25!G$1,"Y")</f>
        <v>76</v>
      </c>
      <c r="M526" s="67">
        <f>IF(J526="m",VLOOKUP(L526,'All Solo Adjustments'!A:D,4,FALSE),VLOOKUP(L526,'All Solo Adjustments'!A:J,10,FALSE))</f>
        <v>8.912037037037036E-3</v>
      </c>
      <c r="N526" s="63"/>
      <c r="O526" s="63"/>
      <c r="P526" s="63"/>
      <c r="Q526" s="63"/>
      <c r="R526" t="s">
        <v>296</v>
      </c>
      <c r="S526" t="s">
        <v>295</v>
      </c>
      <c r="T526" t="s">
        <v>292</v>
      </c>
      <c r="U526" t="s">
        <v>9678</v>
      </c>
      <c r="V526" t="s">
        <v>9677</v>
      </c>
      <c r="W526" t="s">
        <v>9676</v>
      </c>
      <c r="X526" t="s">
        <v>1821</v>
      </c>
      <c r="Y526" t="s">
        <v>9675</v>
      </c>
      <c r="Z526" t="str">
        <f>"01530 271219"</f>
        <v>01530 271219</v>
      </c>
      <c r="AA526" t="str">
        <f>"07935322478"</f>
        <v>07935322478</v>
      </c>
      <c r="AB526" t="s">
        <v>294</v>
      </c>
      <c r="AC526" t="s">
        <v>9674</v>
      </c>
      <c r="AD526" t="s">
        <v>145</v>
      </c>
      <c r="AE526" s="63">
        <v>45372</v>
      </c>
      <c r="AF526" t="s">
        <v>113</v>
      </c>
      <c r="AG526" t="s">
        <v>112</v>
      </c>
      <c r="AH526" t="s">
        <v>112</v>
      </c>
      <c r="AI526" s="63">
        <v>38391</v>
      </c>
      <c r="AJ526" s="63">
        <v>45657</v>
      </c>
      <c r="AK526" t="s">
        <v>111</v>
      </c>
      <c r="AL526" t="s">
        <v>111</v>
      </c>
      <c r="AM526" t="s">
        <v>111</v>
      </c>
      <c r="AN526" t="s">
        <v>105</v>
      </c>
      <c r="AO526" t="s">
        <v>110</v>
      </c>
      <c r="AP526" t="s">
        <v>109</v>
      </c>
    </row>
    <row r="527" spans="1:42" x14ac:dyDescent="0.25">
      <c r="A527" s="28" t="str">
        <f>"6377"</f>
        <v>6377</v>
      </c>
      <c r="B527">
        <v>6377</v>
      </c>
      <c r="C527" t="s">
        <v>2488</v>
      </c>
      <c r="D527" t="s">
        <v>121</v>
      </c>
      <c r="F527" t="s">
        <v>120</v>
      </c>
      <c r="G527" t="s">
        <v>185</v>
      </c>
      <c r="H527" t="s">
        <v>779</v>
      </c>
      <c r="I527" t="s">
        <v>832</v>
      </c>
      <c r="J527" t="s">
        <v>7</v>
      </c>
      <c r="K527" s="63">
        <v>24470</v>
      </c>
      <c r="L527" s="28">
        <f>DATEDIF(K527,Zwift25!G$1,"Y")</f>
        <v>57</v>
      </c>
      <c r="M527" s="67">
        <f>IF(J527="m",VLOOKUP(L527,'All Solo Adjustments'!A:D,4,FALSE),VLOOKUP(L527,'All Solo Adjustments'!A:J,10,FALSE))</f>
        <v>2.488425925925926E-3</v>
      </c>
      <c r="N527" s="63"/>
      <c r="O527" s="63"/>
      <c r="P527" s="63"/>
      <c r="Q527" s="63"/>
      <c r="R527" t="s">
        <v>213</v>
      </c>
      <c r="S527" t="s">
        <v>212</v>
      </c>
      <c r="T527" t="s">
        <v>292</v>
      </c>
      <c r="U527" t="s">
        <v>9673</v>
      </c>
      <c r="V527" t="s">
        <v>9672</v>
      </c>
      <c r="W527" t="s">
        <v>2179</v>
      </c>
      <c r="X527" t="s">
        <v>1225</v>
      </c>
      <c r="Y527" t="s">
        <v>9671</v>
      </c>
      <c r="Z527" t="str">
        <f>"07568 184954"</f>
        <v>07568 184954</v>
      </c>
      <c r="AA527" t="str">
        <f>""</f>
        <v/>
      </c>
      <c r="AB527" t="s">
        <v>1113</v>
      </c>
      <c r="AC527" t="s">
        <v>9670</v>
      </c>
      <c r="AD527" t="s">
        <v>114</v>
      </c>
      <c r="AE527" s="63">
        <v>45285</v>
      </c>
      <c r="AF527" t="s">
        <v>113</v>
      </c>
      <c r="AG527" t="s">
        <v>112</v>
      </c>
      <c r="AH527" t="s">
        <v>112</v>
      </c>
      <c r="AI527" s="63">
        <v>43108</v>
      </c>
      <c r="AJ527" s="63">
        <v>45657</v>
      </c>
      <c r="AK527" t="s">
        <v>111</v>
      </c>
      <c r="AL527" t="s">
        <v>111</v>
      </c>
      <c r="AM527" t="s">
        <v>111</v>
      </c>
      <c r="AN527">
        <v>22013</v>
      </c>
      <c r="AO527" t="s">
        <v>110</v>
      </c>
      <c r="AP527" t="s">
        <v>109</v>
      </c>
    </row>
    <row r="528" spans="1:42" x14ac:dyDescent="0.25">
      <c r="A528" s="28" t="str">
        <f>"13064"</f>
        <v>13064</v>
      </c>
      <c r="B528">
        <v>13064</v>
      </c>
      <c r="C528" t="s">
        <v>2488</v>
      </c>
      <c r="D528" t="s">
        <v>121</v>
      </c>
      <c r="F528" t="s">
        <v>120</v>
      </c>
      <c r="G528" t="s">
        <v>927</v>
      </c>
      <c r="H528" t="s">
        <v>1007</v>
      </c>
      <c r="I528" t="s">
        <v>832</v>
      </c>
      <c r="J528" t="s">
        <v>7</v>
      </c>
      <c r="K528" s="63">
        <v>23410</v>
      </c>
      <c r="L528" s="28">
        <f>DATEDIF(K528,Zwift25!G$1,"Y")</f>
        <v>60</v>
      </c>
      <c r="M528" s="67">
        <f>IF(J528="m",VLOOKUP(L528,'All Solo Adjustments'!A:D,4,FALSE),VLOOKUP(L528,'All Solo Adjustments'!A:J,10,FALSE))</f>
        <v>3.2060185185185186E-3</v>
      </c>
      <c r="N528" s="63"/>
      <c r="O528" s="63"/>
      <c r="P528" s="63"/>
      <c r="Q528" s="63"/>
      <c r="R528" t="s">
        <v>143</v>
      </c>
      <c r="S528" t="s">
        <v>142</v>
      </c>
      <c r="T528" t="s">
        <v>292</v>
      </c>
      <c r="U528" t="s">
        <v>9669</v>
      </c>
      <c r="V528" t="s">
        <v>9668</v>
      </c>
      <c r="W528" t="s">
        <v>723</v>
      </c>
      <c r="Y528" t="s">
        <v>9667</v>
      </c>
      <c r="Z528" t="str">
        <f>"07836 208021"</f>
        <v>07836 208021</v>
      </c>
      <c r="AA528" t="str">
        <f>"0208 239 0107"</f>
        <v>0208 239 0107</v>
      </c>
      <c r="AB528" t="s">
        <v>1488</v>
      </c>
      <c r="AC528" t="s">
        <v>9666</v>
      </c>
      <c r="AD528" t="s">
        <v>114</v>
      </c>
      <c r="AE528" s="63">
        <v>45369</v>
      </c>
      <c r="AF528" t="s">
        <v>156</v>
      </c>
      <c r="AG528" t="s">
        <v>112</v>
      </c>
      <c r="AH528" t="s">
        <v>112</v>
      </c>
      <c r="AI528" s="63">
        <v>43238</v>
      </c>
      <c r="AJ528" s="63">
        <v>45657</v>
      </c>
      <c r="AK528" t="s">
        <v>112</v>
      </c>
      <c r="AL528" t="s">
        <v>111</v>
      </c>
      <c r="AM528" t="s">
        <v>111</v>
      </c>
      <c r="AN528">
        <v>24936</v>
      </c>
      <c r="AO528" t="s">
        <v>110</v>
      </c>
      <c r="AP528" t="s">
        <v>109</v>
      </c>
    </row>
    <row r="529" spans="1:42" x14ac:dyDescent="0.25">
      <c r="A529" s="28" t="str">
        <f>"14185"</f>
        <v>14185</v>
      </c>
      <c r="B529">
        <v>14185</v>
      </c>
      <c r="C529" t="s">
        <v>2488</v>
      </c>
      <c r="D529" t="s">
        <v>121</v>
      </c>
      <c r="F529" t="s">
        <v>120</v>
      </c>
      <c r="G529" t="s">
        <v>195</v>
      </c>
      <c r="H529" t="s">
        <v>410</v>
      </c>
      <c r="I529" t="s">
        <v>832</v>
      </c>
      <c r="J529" t="s">
        <v>7</v>
      </c>
      <c r="K529" s="63">
        <v>12681</v>
      </c>
      <c r="L529" s="28">
        <f>DATEDIF(K529,Zwift25!G$1,"Y")</f>
        <v>90</v>
      </c>
      <c r="M529" s="67">
        <f>IF(J529="m",VLOOKUP(L529,'All Solo Adjustments'!A:D,4,FALSE),VLOOKUP(L529,'All Solo Adjustments'!A:J,10,FALSE))</f>
        <v>1.8391203703703705E-2</v>
      </c>
      <c r="N529" s="63"/>
      <c r="O529" s="63"/>
      <c r="P529" s="63"/>
      <c r="Q529" s="63"/>
      <c r="R529" t="s">
        <v>154</v>
      </c>
      <c r="S529" t="s">
        <v>153</v>
      </c>
      <c r="T529" t="s">
        <v>292</v>
      </c>
      <c r="U529" t="s">
        <v>9665</v>
      </c>
      <c r="V529" t="s">
        <v>2263</v>
      </c>
      <c r="W529" t="s">
        <v>752</v>
      </c>
      <c r="Y529" t="s">
        <v>9664</v>
      </c>
      <c r="Z529" t="str">
        <f>"01249 651497"</f>
        <v>01249 651497</v>
      </c>
      <c r="AA529" t="str">
        <f>""</f>
        <v/>
      </c>
      <c r="AB529" t="s">
        <v>2618</v>
      </c>
      <c r="AC529" t="s">
        <v>9663</v>
      </c>
      <c r="AD529" t="s">
        <v>145</v>
      </c>
      <c r="AE529" s="63">
        <v>45310</v>
      </c>
      <c r="AF529" t="s">
        <v>156</v>
      </c>
      <c r="AG529" t="s">
        <v>112</v>
      </c>
      <c r="AH529" t="s">
        <v>111</v>
      </c>
      <c r="AI529" s="63">
        <v>43577</v>
      </c>
      <c r="AJ529" s="63">
        <v>45657</v>
      </c>
      <c r="AK529" t="s">
        <v>112</v>
      </c>
      <c r="AL529" t="s">
        <v>112</v>
      </c>
      <c r="AM529" t="s">
        <v>111</v>
      </c>
      <c r="AN529" t="s">
        <v>105</v>
      </c>
      <c r="AO529" t="s">
        <v>110</v>
      </c>
      <c r="AP529" t="s">
        <v>109</v>
      </c>
    </row>
    <row r="530" spans="1:42" x14ac:dyDescent="0.25">
      <c r="A530" s="28" t="str">
        <f>"14487"</f>
        <v>14487</v>
      </c>
      <c r="B530">
        <v>14487</v>
      </c>
      <c r="C530" t="s">
        <v>2488</v>
      </c>
      <c r="D530" t="s">
        <v>121</v>
      </c>
      <c r="F530" t="s">
        <v>120</v>
      </c>
      <c r="G530" t="s">
        <v>601</v>
      </c>
      <c r="I530" t="s">
        <v>832</v>
      </c>
      <c r="J530" t="s">
        <v>7</v>
      </c>
      <c r="K530" s="63">
        <v>23615</v>
      </c>
      <c r="L530" s="28">
        <f>DATEDIF(K530,Zwift25!G$1,"Y")</f>
        <v>60</v>
      </c>
      <c r="M530" s="67">
        <f>IF(J530="m",VLOOKUP(L530,'All Solo Adjustments'!A:D,4,FALSE),VLOOKUP(L530,'All Solo Adjustments'!A:J,10,FALSE))</f>
        <v>3.2060185185185186E-3</v>
      </c>
      <c r="N530" s="63"/>
      <c r="O530" s="63"/>
      <c r="P530" s="63"/>
      <c r="Q530" s="63"/>
      <c r="R530" t="s">
        <v>154</v>
      </c>
      <c r="S530" t="s">
        <v>153</v>
      </c>
      <c r="T530" t="s">
        <v>292</v>
      </c>
      <c r="U530" t="s">
        <v>9662</v>
      </c>
      <c r="V530" t="s">
        <v>9661</v>
      </c>
      <c r="W530" t="s">
        <v>633</v>
      </c>
      <c r="X530" t="s">
        <v>363</v>
      </c>
      <c r="Y530" t="s">
        <v>9660</v>
      </c>
      <c r="Z530" t="str">
        <f>"07816302098"</f>
        <v>07816302098</v>
      </c>
      <c r="AA530" t="str">
        <f>""</f>
        <v/>
      </c>
      <c r="AB530" t="s">
        <v>769</v>
      </c>
      <c r="AC530" t="s">
        <v>9659</v>
      </c>
      <c r="AD530" t="s">
        <v>114</v>
      </c>
      <c r="AE530" s="63">
        <v>45348</v>
      </c>
      <c r="AF530" t="s">
        <v>113</v>
      </c>
      <c r="AG530" t="s">
        <v>112</v>
      </c>
      <c r="AH530" t="s">
        <v>112</v>
      </c>
      <c r="AI530" s="63">
        <v>43880</v>
      </c>
      <c r="AJ530" s="63">
        <v>45657</v>
      </c>
      <c r="AK530" t="s">
        <v>112</v>
      </c>
      <c r="AL530" t="s">
        <v>111</v>
      </c>
      <c r="AM530" t="s">
        <v>111</v>
      </c>
      <c r="AN530">
        <v>4441</v>
      </c>
      <c r="AO530" t="s">
        <v>110</v>
      </c>
      <c r="AP530" t="s">
        <v>109</v>
      </c>
    </row>
    <row r="531" spans="1:42" x14ac:dyDescent="0.25">
      <c r="A531" s="28" t="str">
        <f>"15504"</f>
        <v>15504</v>
      </c>
      <c r="B531">
        <v>15504</v>
      </c>
      <c r="C531" t="s">
        <v>2488</v>
      </c>
      <c r="D531" t="s">
        <v>121</v>
      </c>
      <c r="F531" t="s">
        <v>120</v>
      </c>
      <c r="G531" t="s">
        <v>185</v>
      </c>
      <c r="H531" t="s">
        <v>952</v>
      </c>
      <c r="I531" t="s">
        <v>832</v>
      </c>
      <c r="J531" t="s">
        <v>7</v>
      </c>
      <c r="K531" s="63">
        <v>29851</v>
      </c>
      <c r="L531" s="28">
        <f>DATEDIF(K531,Zwift25!G$1,"Y")</f>
        <v>43</v>
      </c>
      <c r="M531" s="67">
        <f>IF(J531="m",VLOOKUP(L531,'All Solo Adjustments'!A:D,4,FALSE),VLOOKUP(L531,'All Solo Adjustments'!A:J,10,FALSE))</f>
        <v>2.4305555555555555E-4</v>
      </c>
      <c r="N531" s="63"/>
      <c r="O531" s="63"/>
      <c r="P531" s="63"/>
      <c r="Q531" s="63"/>
      <c r="R531" t="s">
        <v>283</v>
      </c>
      <c r="S531" t="s">
        <v>530</v>
      </c>
      <c r="T531" t="s">
        <v>292</v>
      </c>
      <c r="U531" t="s">
        <v>9658</v>
      </c>
      <c r="W531" t="s">
        <v>9657</v>
      </c>
      <c r="X531" t="s">
        <v>279</v>
      </c>
      <c r="Y531" t="s">
        <v>9656</v>
      </c>
      <c r="Z531" t="str">
        <f>"07894432813"</f>
        <v>07894432813</v>
      </c>
      <c r="AA531" t="str">
        <f>""</f>
        <v/>
      </c>
      <c r="AB531" t="s">
        <v>9655</v>
      </c>
      <c r="AC531" t="s">
        <v>9654</v>
      </c>
      <c r="AD531" t="s">
        <v>114</v>
      </c>
      <c r="AE531" s="63">
        <v>45320</v>
      </c>
      <c r="AF531" t="s">
        <v>113</v>
      </c>
      <c r="AG531" t="s">
        <v>112</v>
      </c>
      <c r="AH531" t="s">
        <v>112</v>
      </c>
      <c r="AI531" s="63">
        <v>44708</v>
      </c>
      <c r="AJ531" s="63">
        <v>45657</v>
      </c>
      <c r="AK531" t="s">
        <v>112</v>
      </c>
      <c r="AL531" t="s">
        <v>111</v>
      </c>
      <c r="AM531" t="s">
        <v>111</v>
      </c>
      <c r="AN531">
        <v>1019</v>
      </c>
      <c r="AO531" t="s">
        <v>110</v>
      </c>
      <c r="AP531" t="s">
        <v>109</v>
      </c>
    </row>
    <row r="532" spans="1:42" x14ac:dyDescent="0.25">
      <c r="A532" s="28" t="str">
        <f>"15761"</f>
        <v>15761</v>
      </c>
      <c r="B532">
        <v>15761</v>
      </c>
      <c r="C532" t="s">
        <v>2488</v>
      </c>
      <c r="D532" t="s">
        <v>121</v>
      </c>
      <c r="F532" t="s">
        <v>120</v>
      </c>
      <c r="G532" t="s">
        <v>185</v>
      </c>
      <c r="I532" t="s">
        <v>832</v>
      </c>
      <c r="J532" t="s">
        <v>7</v>
      </c>
      <c r="K532" s="63">
        <v>26329</v>
      </c>
      <c r="L532" s="28">
        <f>DATEDIF(K532,Zwift25!G$1,"Y")</f>
        <v>52</v>
      </c>
      <c r="M532" s="67">
        <f>IF(J532="m",VLOOKUP(L532,'All Solo Adjustments'!A:D,4,FALSE),VLOOKUP(L532,'All Solo Adjustments'!A:J,10,FALSE))</f>
        <v>1.4814814814814816E-3</v>
      </c>
      <c r="N532" s="63"/>
      <c r="O532" s="63"/>
      <c r="P532" s="63"/>
      <c r="Q532" s="63"/>
      <c r="R532" t="s">
        <v>213</v>
      </c>
      <c r="S532" t="s">
        <v>212</v>
      </c>
      <c r="T532" t="s">
        <v>292</v>
      </c>
      <c r="U532" t="s">
        <v>9653</v>
      </c>
      <c r="W532" t="s">
        <v>393</v>
      </c>
      <c r="X532" t="s">
        <v>213</v>
      </c>
      <c r="Y532" t="s">
        <v>9652</v>
      </c>
      <c r="Z532" t="str">
        <f>"07528768763"</f>
        <v>07528768763</v>
      </c>
      <c r="AA532" t="str">
        <f>""</f>
        <v/>
      </c>
      <c r="AB532" t="s">
        <v>9651</v>
      </c>
      <c r="AC532" t="s">
        <v>9650</v>
      </c>
      <c r="AD532" t="s">
        <v>114</v>
      </c>
      <c r="AE532" s="63">
        <v>45292</v>
      </c>
      <c r="AF532" t="s">
        <v>156</v>
      </c>
      <c r="AG532" t="s">
        <v>112</v>
      </c>
      <c r="AH532" t="s">
        <v>112</v>
      </c>
      <c r="AI532" s="63">
        <v>45019</v>
      </c>
      <c r="AJ532" s="63">
        <v>45657</v>
      </c>
      <c r="AK532" t="s">
        <v>112</v>
      </c>
      <c r="AL532" t="s">
        <v>111</v>
      </c>
      <c r="AM532" t="s">
        <v>111</v>
      </c>
      <c r="AN532">
        <v>42094</v>
      </c>
      <c r="AO532" t="s">
        <v>110</v>
      </c>
      <c r="AP532" t="s">
        <v>109</v>
      </c>
    </row>
    <row r="533" spans="1:42" x14ac:dyDescent="0.25">
      <c r="A533" s="28" t="str">
        <f>"15811"</f>
        <v>15811</v>
      </c>
      <c r="B533">
        <v>15811</v>
      </c>
      <c r="C533" t="s">
        <v>2488</v>
      </c>
      <c r="D533" t="s">
        <v>121</v>
      </c>
      <c r="F533" t="s">
        <v>139</v>
      </c>
      <c r="G533" t="s">
        <v>9649</v>
      </c>
      <c r="I533" t="s">
        <v>9648</v>
      </c>
      <c r="J533" t="s">
        <v>126</v>
      </c>
      <c r="K533" s="63">
        <v>27970</v>
      </c>
      <c r="L533" s="28">
        <f>DATEDIF(K533,Zwift25!G$1,"Y")</f>
        <v>48</v>
      </c>
      <c r="M533" s="67">
        <f>IF(J533="m",VLOOKUP(L533,'All Solo Adjustments'!A:D,4,FALSE),VLOOKUP(L533,'All Solo Adjustments'!A:J,10,FALSE))</f>
        <v>4.8032407407407407E-3</v>
      </c>
      <c r="N533" s="63"/>
      <c r="O533" s="63"/>
      <c r="P533" s="63"/>
      <c r="Q533" s="63"/>
      <c r="R533" t="s">
        <v>283</v>
      </c>
      <c r="S533" t="s">
        <v>530</v>
      </c>
      <c r="T533" t="s">
        <v>292</v>
      </c>
      <c r="U533" t="s">
        <v>9647</v>
      </c>
      <c r="Y533" t="s">
        <v>9646</v>
      </c>
      <c r="Z533" t="str">
        <f>""</f>
        <v/>
      </c>
      <c r="AA533" t="str">
        <f>"07788653645"</f>
        <v>07788653645</v>
      </c>
      <c r="AB533" t="s">
        <v>9645</v>
      </c>
      <c r="AC533" t="s">
        <v>9644</v>
      </c>
      <c r="AD533" t="s">
        <v>114</v>
      </c>
      <c r="AE533" s="63">
        <v>45293</v>
      </c>
      <c r="AF533" t="s">
        <v>156</v>
      </c>
      <c r="AG533" t="s">
        <v>112</v>
      </c>
      <c r="AH533" t="s">
        <v>111</v>
      </c>
      <c r="AI533" s="63">
        <v>45053</v>
      </c>
      <c r="AJ533" s="63">
        <v>45657</v>
      </c>
      <c r="AK533" t="s">
        <v>112</v>
      </c>
      <c r="AL533" t="s">
        <v>112</v>
      </c>
      <c r="AM533" t="s">
        <v>111</v>
      </c>
      <c r="AN533">
        <v>17424</v>
      </c>
      <c r="AO533" t="s">
        <v>122</v>
      </c>
      <c r="AP533" t="s">
        <v>122</v>
      </c>
    </row>
    <row r="534" spans="1:42" x14ac:dyDescent="0.25">
      <c r="A534" s="28" t="str">
        <f>"16177"</f>
        <v>16177</v>
      </c>
      <c r="B534">
        <v>16177</v>
      </c>
      <c r="C534" t="s">
        <v>2488</v>
      </c>
      <c r="D534" t="s">
        <v>121</v>
      </c>
      <c r="E534" t="s">
        <v>584</v>
      </c>
      <c r="F534" t="s">
        <v>120</v>
      </c>
      <c r="G534" t="s">
        <v>958</v>
      </c>
      <c r="I534" t="s">
        <v>9643</v>
      </c>
      <c r="J534" t="s">
        <v>7</v>
      </c>
      <c r="K534" s="63">
        <v>28616</v>
      </c>
      <c r="L534" s="28">
        <f>DATEDIF(K534,Zwift25!G$1,"Y")</f>
        <v>46</v>
      </c>
      <c r="M534" s="67">
        <f>IF(J534="m",VLOOKUP(L534,'All Solo Adjustments'!A:D,4,FALSE),VLOOKUP(L534,'All Solo Adjustments'!A:J,10,FALSE))</f>
        <v>5.6712962962962956E-4</v>
      </c>
      <c r="N534" s="63"/>
      <c r="O534" s="63"/>
      <c r="P534" s="63"/>
      <c r="Q534" s="63"/>
      <c r="R534" t="s">
        <v>184</v>
      </c>
      <c r="S534" t="s">
        <v>183</v>
      </c>
      <c r="T534" t="s">
        <v>292</v>
      </c>
      <c r="U534" t="s">
        <v>9642</v>
      </c>
      <c r="V534" t="s">
        <v>9641</v>
      </c>
      <c r="W534" t="s">
        <v>9640</v>
      </c>
      <c r="X534" t="s">
        <v>9330</v>
      </c>
      <c r="Y534" t="s">
        <v>9639</v>
      </c>
      <c r="Z534" t="str">
        <f>"07887744831"</f>
        <v>07887744831</v>
      </c>
      <c r="AA534" t="str">
        <f>""</f>
        <v/>
      </c>
      <c r="AB534" t="s">
        <v>1076</v>
      </c>
      <c r="AC534" t="s">
        <v>9638</v>
      </c>
      <c r="AD534" t="s">
        <v>114</v>
      </c>
      <c r="AE534" s="63">
        <v>45471</v>
      </c>
      <c r="AF534" t="s">
        <v>156</v>
      </c>
      <c r="AG534" t="s">
        <v>112</v>
      </c>
      <c r="AH534" t="s">
        <v>112</v>
      </c>
      <c r="AI534" s="63">
        <v>45471</v>
      </c>
      <c r="AJ534" s="63">
        <v>45657</v>
      </c>
      <c r="AK534" t="s">
        <v>112</v>
      </c>
      <c r="AL534" t="s">
        <v>112</v>
      </c>
      <c r="AM534" t="s">
        <v>111</v>
      </c>
      <c r="AN534">
        <v>30907</v>
      </c>
      <c r="AO534" t="s">
        <v>110</v>
      </c>
      <c r="AP534" t="s">
        <v>109</v>
      </c>
    </row>
    <row r="535" spans="1:42" x14ac:dyDescent="0.25">
      <c r="A535" s="28" t="str">
        <f>"6333"</f>
        <v>6333</v>
      </c>
      <c r="B535">
        <v>6333</v>
      </c>
      <c r="C535" t="s">
        <v>2488</v>
      </c>
      <c r="D535" t="s">
        <v>121</v>
      </c>
      <c r="F535" t="s">
        <v>120</v>
      </c>
      <c r="G535" t="s">
        <v>520</v>
      </c>
      <c r="H535" t="s">
        <v>174</v>
      </c>
      <c r="I535" t="s">
        <v>9637</v>
      </c>
      <c r="J535" t="s">
        <v>7</v>
      </c>
      <c r="K535" s="63">
        <v>19871</v>
      </c>
      <c r="L535" s="28">
        <f>DATEDIF(K535,Zwift25!G$1,"Y")</f>
        <v>70</v>
      </c>
      <c r="M535" s="67">
        <f>IF(J535="m",VLOOKUP(L535,'All Solo Adjustments'!A:D,4,FALSE),VLOOKUP(L535,'All Solo Adjustments'!A:J,10,FALSE))</f>
        <v>6.3425925925925924E-3</v>
      </c>
      <c r="N535" s="63"/>
      <c r="O535" s="63"/>
      <c r="P535" s="63"/>
      <c r="Q535" s="63"/>
      <c r="R535" t="s">
        <v>125</v>
      </c>
      <c r="S535" t="s">
        <v>170</v>
      </c>
      <c r="T535" t="s">
        <v>292</v>
      </c>
      <c r="U535" t="s">
        <v>9636</v>
      </c>
      <c r="V535" t="s">
        <v>9635</v>
      </c>
      <c r="W535" t="s">
        <v>384</v>
      </c>
      <c r="X535" t="s">
        <v>201</v>
      </c>
      <c r="Y535" t="s">
        <v>9634</v>
      </c>
      <c r="Z535" t="str">
        <f>"07764344739"</f>
        <v>07764344739</v>
      </c>
      <c r="AA535" t="str">
        <f>""</f>
        <v/>
      </c>
      <c r="AB535" t="s">
        <v>464</v>
      </c>
      <c r="AC535" t="s">
        <v>9633</v>
      </c>
      <c r="AD535" t="s">
        <v>114</v>
      </c>
      <c r="AE535" s="63">
        <v>45262</v>
      </c>
      <c r="AF535" t="s">
        <v>156</v>
      </c>
      <c r="AG535" t="s">
        <v>112</v>
      </c>
      <c r="AH535" t="s">
        <v>112</v>
      </c>
      <c r="AI535" s="63">
        <v>42951</v>
      </c>
      <c r="AJ535" s="63">
        <v>45657</v>
      </c>
      <c r="AK535" t="s">
        <v>111</v>
      </c>
      <c r="AL535" t="s">
        <v>111</v>
      </c>
      <c r="AM535" t="s">
        <v>111</v>
      </c>
      <c r="AN535">
        <v>19348</v>
      </c>
      <c r="AO535" t="s">
        <v>110</v>
      </c>
      <c r="AP535" t="s">
        <v>109</v>
      </c>
    </row>
    <row r="536" spans="1:42" x14ac:dyDescent="0.25">
      <c r="A536" s="28" t="str">
        <f>"14828"</f>
        <v>14828</v>
      </c>
      <c r="B536">
        <v>14828</v>
      </c>
      <c r="C536" t="s">
        <v>2488</v>
      </c>
      <c r="D536" t="s">
        <v>121</v>
      </c>
      <c r="F536" t="s">
        <v>120</v>
      </c>
      <c r="G536" t="s">
        <v>300</v>
      </c>
      <c r="I536" t="s">
        <v>1958</v>
      </c>
      <c r="J536" t="s">
        <v>7</v>
      </c>
      <c r="K536" s="63">
        <v>18291</v>
      </c>
      <c r="L536" s="28">
        <f>DATEDIF(K536,Zwift25!G$1,"Y")</f>
        <v>74</v>
      </c>
      <c r="M536" s="67">
        <f>IF(J536="m",VLOOKUP(L536,'All Solo Adjustments'!A:D,4,FALSE),VLOOKUP(L536,'All Solo Adjustments'!A:J,10,FALSE))</f>
        <v>7.9861111111111122E-3</v>
      </c>
      <c r="N536" s="63"/>
      <c r="O536" s="63"/>
      <c r="P536" s="63"/>
      <c r="Q536" s="63"/>
      <c r="R536" t="s">
        <v>296</v>
      </c>
      <c r="S536" t="s">
        <v>295</v>
      </c>
      <c r="T536" t="s">
        <v>292</v>
      </c>
      <c r="U536" t="s">
        <v>9632</v>
      </c>
      <c r="W536" t="s">
        <v>1206</v>
      </c>
      <c r="Y536" t="s">
        <v>9631</v>
      </c>
      <c r="Z536" t="str">
        <f>"01450373802"</f>
        <v>01450373802</v>
      </c>
      <c r="AA536" t="str">
        <f>"07593636952"</f>
        <v>07593636952</v>
      </c>
      <c r="AB536" t="s">
        <v>9630</v>
      </c>
      <c r="AC536" t="s">
        <v>9629</v>
      </c>
      <c r="AD536" t="s">
        <v>114</v>
      </c>
      <c r="AE536" s="63">
        <v>45380</v>
      </c>
      <c r="AF536" t="s">
        <v>113</v>
      </c>
      <c r="AG536" t="s">
        <v>112</v>
      </c>
      <c r="AH536" t="s">
        <v>112</v>
      </c>
      <c r="AI536" s="63">
        <v>44375</v>
      </c>
      <c r="AJ536" s="63">
        <v>45657</v>
      </c>
      <c r="AK536" t="s">
        <v>112</v>
      </c>
      <c r="AL536" t="s">
        <v>111</v>
      </c>
      <c r="AM536" t="s">
        <v>111</v>
      </c>
      <c r="AN536">
        <v>8787</v>
      </c>
      <c r="AO536" t="s">
        <v>110</v>
      </c>
      <c r="AP536" t="s">
        <v>109</v>
      </c>
    </row>
    <row r="537" spans="1:42" x14ac:dyDescent="0.25">
      <c r="A537" s="28" t="str">
        <f>"0733"</f>
        <v>0733</v>
      </c>
      <c r="B537">
        <v>733</v>
      </c>
      <c r="C537" t="s">
        <v>2488</v>
      </c>
      <c r="D537" t="s">
        <v>121</v>
      </c>
      <c r="F537" t="s">
        <v>120</v>
      </c>
      <c r="G537" t="s">
        <v>315</v>
      </c>
      <c r="I537" t="s">
        <v>2040</v>
      </c>
      <c r="J537" t="s">
        <v>7</v>
      </c>
      <c r="K537" s="63">
        <v>11080</v>
      </c>
      <c r="L537" s="28">
        <f>DATEDIF(K537,Zwift25!G$1,"Y")</f>
        <v>94</v>
      </c>
      <c r="M537" s="67">
        <f>IF(J537="m",VLOOKUP(L537,'All Solo Adjustments'!A:D,4,FALSE),VLOOKUP(L537,'All Solo Adjustments'!A:J,10,FALSE))</f>
        <v>2.2685185185185187E-2</v>
      </c>
      <c r="N537" s="63"/>
      <c r="O537" s="63"/>
      <c r="P537" s="63"/>
      <c r="Q537" s="63"/>
      <c r="R537" t="s">
        <v>180</v>
      </c>
      <c r="S537" t="s">
        <v>2288</v>
      </c>
      <c r="T537" t="s">
        <v>292</v>
      </c>
      <c r="U537" t="s">
        <v>9628</v>
      </c>
      <c r="V537" t="s">
        <v>9627</v>
      </c>
      <c r="W537" t="s">
        <v>968</v>
      </c>
      <c r="Y537" t="s">
        <v>9626</v>
      </c>
      <c r="Z537" t="str">
        <f>"01332 671053"</f>
        <v>01332 671053</v>
      </c>
      <c r="AA537" t="str">
        <f>""</f>
        <v/>
      </c>
      <c r="AB537" t="s">
        <v>2955</v>
      </c>
      <c r="AD537" t="s">
        <v>151</v>
      </c>
      <c r="AF537" t="s">
        <v>113</v>
      </c>
      <c r="AG537" t="s">
        <v>112</v>
      </c>
      <c r="AH537" t="s">
        <v>112</v>
      </c>
      <c r="AK537" t="s">
        <v>111</v>
      </c>
      <c r="AL537" t="s">
        <v>111</v>
      </c>
      <c r="AM537" t="s">
        <v>111</v>
      </c>
      <c r="AN537" t="s">
        <v>105</v>
      </c>
      <c r="AO537" t="s">
        <v>110</v>
      </c>
      <c r="AP537" t="s">
        <v>109</v>
      </c>
    </row>
    <row r="538" spans="1:42" x14ac:dyDescent="0.25">
      <c r="A538" s="28" t="str">
        <f>"13725"</f>
        <v>13725</v>
      </c>
      <c r="B538">
        <v>13725</v>
      </c>
      <c r="C538" t="s">
        <v>2488</v>
      </c>
      <c r="D538" t="s">
        <v>121</v>
      </c>
      <c r="F538" t="s">
        <v>144</v>
      </c>
      <c r="G538" t="s">
        <v>6776</v>
      </c>
      <c r="I538" t="s">
        <v>2040</v>
      </c>
      <c r="J538" t="s">
        <v>126</v>
      </c>
      <c r="K538" s="63">
        <v>28559</v>
      </c>
      <c r="L538" s="28">
        <f>DATEDIF(K538,Zwift25!G$1,"Y")</f>
        <v>46</v>
      </c>
      <c r="M538" s="67">
        <f>IF(J538="m",VLOOKUP(L538,'All Solo Adjustments'!A:D,4,FALSE),VLOOKUP(L538,'All Solo Adjustments'!A:J,10,FALSE))</f>
        <v>4.6759259259259263E-3</v>
      </c>
      <c r="N538" s="63"/>
      <c r="O538" s="63"/>
      <c r="P538" s="63"/>
      <c r="Q538" s="63"/>
      <c r="R538" t="s">
        <v>184</v>
      </c>
      <c r="S538" t="s">
        <v>183</v>
      </c>
      <c r="T538" t="s">
        <v>292</v>
      </c>
      <c r="U538" t="s">
        <v>1768</v>
      </c>
      <c r="V538" t="s">
        <v>674</v>
      </c>
      <c r="W538" t="s">
        <v>603</v>
      </c>
      <c r="Y538" t="s">
        <v>9625</v>
      </c>
      <c r="Z538" t="str">
        <f>"07931722817"</f>
        <v>07931722817</v>
      </c>
      <c r="AA538" t="str">
        <f>""</f>
        <v/>
      </c>
      <c r="AB538" t="s">
        <v>8791</v>
      </c>
      <c r="AC538" t="s">
        <v>9624</v>
      </c>
      <c r="AD538" t="s">
        <v>114</v>
      </c>
      <c r="AE538" s="63">
        <v>45263</v>
      </c>
      <c r="AF538" t="s">
        <v>156</v>
      </c>
      <c r="AG538" t="s">
        <v>112</v>
      </c>
      <c r="AH538" t="s">
        <v>112</v>
      </c>
      <c r="AI538" s="63">
        <v>43299</v>
      </c>
      <c r="AJ538" s="63">
        <v>45657</v>
      </c>
      <c r="AK538" t="s">
        <v>112</v>
      </c>
      <c r="AL538" t="s">
        <v>111</v>
      </c>
      <c r="AM538" t="s">
        <v>111</v>
      </c>
      <c r="AN538">
        <v>229</v>
      </c>
      <c r="AO538" t="s">
        <v>122</v>
      </c>
      <c r="AP538" t="s">
        <v>122</v>
      </c>
    </row>
    <row r="539" spans="1:42" x14ac:dyDescent="0.25">
      <c r="A539" s="28" t="str">
        <f>"13730"</f>
        <v>13730</v>
      </c>
      <c r="B539">
        <v>13730</v>
      </c>
      <c r="C539" t="s">
        <v>2488</v>
      </c>
      <c r="D539" t="s">
        <v>121</v>
      </c>
      <c r="F539" t="s">
        <v>120</v>
      </c>
      <c r="G539" t="s">
        <v>556</v>
      </c>
      <c r="H539" t="s">
        <v>1051</v>
      </c>
      <c r="I539" t="s">
        <v>2040</v>
      </c>
      <c r="J539" t="s">
        <v>7</v>
      </c>
      <c r="K539" s="63">
        <v>21711</v>
      </c>
      <c r="L539" s="28">
        <f>DATEDIF(K539,Zwift25!G$1,"Y")</f>
        <v>65</v>
      </c>
      <c r="M539" s="67">
        <f>IF(J539="m",VLOOKUP(L539,'All Solo Adjustments'!A:D,4,FALSE),VLOOKUP(L539,'All Solo Adjustments'!A:J,10,FALSE))</f>
        <v>4.6180555555555558E-3</v>
      </c>
      <c r="N539" s="63"/>
      <c r="O539" s="63"/>
      <c r="P539" s="63"/>
      <c r="Q539" s="63"/>
      <c r="R539" t="s">
        <v>125</v>
      </c>
      <c r="S539" t="s">
        <v>170</v>
      </c>
      <c r="T539" t="s">
        <v>292</v>
      </c>
      <c r="U539" t="s">
        <v>9623</v>
      </c>
      <c r="V539" t="s">
        <v>988</v>
      </c>
      <c r="W539" t="s">
        <v>1767</v>
      </c>
      <c r="X539" t="s">
        <v>1791</v>
      </c>
      <c r="Y539" t="s">
        <v>9622</v>
      </c>
      <c r="Z539" t="str">
        <f>"07941218829"</f>
        <v>07941218829</v>
      </c>
      <c r="AA539" t="str">
        <f>""</f>
        <v/>
      </c>
      <c r="AB539" t="s">
        <v>9621</v>
      </c>
      <c r="AC539" t="s">
        <v>9620</v>
      </c>
      <c r="AD539" t="s">
        <v>114</v>
      </c>
      <c r="AE539" s="63">
        <v>45284</v>
      </c>
      <c r="AF539" t="s">
        <v>156</v>
      </c>
      <c r="AG539" t="s">
        <v>112</v>
      </c>
      <c r="AH539" t="s">
        <v>112</v>
      </c>
      <c r="AI539" s="63">
        <v>43302</v>
      </c>
      <c r="AJ539" s="63">
        <v>45657</v>
      </c>
      <c r="AK539" t="s">
        <v>112</v>
      </c>
      <c r="AL539" t="s">
        <v>111</v>
      </c>
      <c r="AM539" t="s">
        <v>111</v>
      </c>
      <c r="AN539" t="s">
        <v>105</v>
      </c>
      <c r="AO539" t="s">
        <v>110</v>
      </c>
      <c r="AP539" t="s">
        <v>109</v>
      </c>
    </row>
    <row r="540" spans="1:42" x14ac:dyDescent="0.25">
      <c r="A540" s="28" t="str">
        <f>"5098"</f>
        <v>5098</v>
      </c>
      <c r="B540">
        <v>5098</v>
      </c>
      <c r="C540" t="s">
        <v>2488</v>
      </c>
      <c r="D540" t="s">
        <v>121</v>
      </c>
      <c r="F540" t="s">
        <v>120</v>
      </c>
      <c r="G540" t="s">
        <v>165</v>
      </c>
      <c r="I540" t="s">
        <v>1365</v>
      </c>
      <c r="J540" t="s">
        <v>7</v>
      </c>
      <c r="K540" s="63">
        <v>23550</v>
      </c>
      <c r="L540" s="28">
        <f>DATEDIF(K540,Zwift25!G$1,"Y")</f>
        <v>60</v>
      </c>
      <c r="M540" s="67">
        <f>IF(J540="m",VLOOKUP(L540,'All Solo Adjustments'!A:D,4,FALSE),VLOOKUP(L540,'All Solo Adjustments'!A:J,10,FALSE))</f>
        <v>3.2060185185185186E-3</v>
      </c>
      <c r="N540" s="63"/>
      <c r="O540" s="63"/>
      <c r="P540" s="63"/>
      <c r="Q540" s="63"/>
      <c r="R540" t="s">
        <v>125</v>
      </c>
      <c r="S540" t="s">
        <v>170</v>
      </c>
      <c r="T540" t="s">
        <v>292</v>
      </c>
      <c r="U540" t="s">
        <v>9619</v>
      </c>
      <c r="V540" t="s">
        <v>9618</v>
      </c>
      <c r="W540" t="s">
        <v>1678</v>
      </c>
      <c r="Y540" t="s">
        <v>9617</v>
      </c>
      <c r="Z540" t="str">
        <f>"07736 630759"</f>
        <v>07736 630759</v>
      </c>
      <c r="AA540" t="str">
        <f>""</f>
        <v/>
      </c>
      <c r="AB540" t="s">
        <v>1916</v>
      </c>
      <c r="AC540" t="s">
        <v>9616</v>
      </c>
      <c r="AD540" t="s">
        <v>114</v>
      </c>
      <c r="AE540" s="63">
        <v>45292</v>
      </c>
      <c r="AF540" t="s">
        <v>156</v>
      </c>
      <c r="AG540" t="s">
        <v>112</v>
      </c>
      <c r="AH540" t="s">
        <v>112</v>
      </c>
      <c r="AI540" s="63">
        <v>41810</v>
      </c>
      <c r="AJ540" s="63">
        <v>45657</v>
      </c>
      <c r="AK540" t="s">
        <v>111</v>
      </c>
      <c r="AL540" t="s">
        <v>111</v>
      </c>
      <c r="AM540" t="s">
        <v>111</v>
      </c>
      <c r="AN540">
        <v>279</v>
      </c>
      <c r="AO540" t="s">
        <v>110</v>
      </c>
      <c r="AP540" t="s">
        <v>109</v>
      </c>
    </row>
    <row r="541" spans="1:42" x14ac:dyDescent="0.25">
      <c r="A541" s="28" t="str">
        <f>"14067"</f>
        <v>14067</v>
      </c>
      <c r="B541">
        <v>14067</v>
      </c>
      <c r="C541" t="s">
        <v>2488</v>
      </c>
      <c r="D541" t="s">
        <v>121</v>
      </c>
      <c r="E541" t="s">
        <v>584</v>
      </c>
      <c r="F541" t="s">
        <v>120</v>
      </c>
      <c r="G541" t="s">
        <v>251</v>
      </c>
      <c r="H541" t="s">
        <v>492</v>
      </c>
      <c r="I541" t="s">
        <v>1365</v>
      </c>
      <c r="J541" t="s">
        <v>7</v>
      </c>
      <c r="K541" s="63">
        <v>24603</v>
      </c>
      <c r="L541" s="28">
        <f>DATEDIF(K541,Zwift25!G$1,"Y")</f>
        <v>57</v>
      </c>
      <c r="M541" s="67">
        <f>IF(J541="m",VLOOKUP(L541,'All Solo Adjustments'!A:D,4,FALSE),VLOOKUP(L541,'All Solo Adjustments'!A:J,10,FALSE))</f>
        <v>2.488425925925926E-3</v>
      </c>
      <c r="N541" s="63"/>
      <c r="O541" s="63"/>
      <c r="P541" s="63"/>
      <c r="Q541" s="63"/>
      <c r="R541" t="s">
        <v>180</v>
      </c>
      <c r="S541" t="s">
        <v>179</v>
      </c>
      <c r="T541" t="s">
        <v>292</v>
      </c>
      <c r="U541" t="s">
        <v>9615</v>
      </c>
      <c r="V541" t="s">
        <v>9614</v>
      </c>
      <c r="W541" t="s">
        <v>1280</v>
      </c>
      <c r="Y541" t="s">
        <v>9613</v>
      </c>
      <c r="Z541" t="str">
        <f>"07973 194558"</f>
        <v>07973 194558</v>
      </c>
      <c r="AA541" t="str">
        <f>""</f>
        <v/>
      </c>
      <c r="AB541" t="s">
        <v>9612</v>
      </c>
      <c r="AC541" t="s">
        <v>9611</v>
      </c>
      <c r="AD541" t="s">
        <v>114</v>
      </c>
      <c r="AE541" s="63">
        <v>45384</v>
      </c>
      <c r="AF541" t="s">
        <v>113</v>
      </c>
      <c r="AG541" t="s">
        <v>112</v>
      </c>
      <c r="AH541" t="s">
        <v>112</v>
      </c>
      <c r="AI541" s="63">
        <v>43514</v>
      </c>
      <c r="AJ541" s="63">
        <v>45657</v>
      </c>
      <c r="AK541" t="s">
        <v>112</v>
      </c>
      <c r="AL541" t="s">
        <v>111</v>
      </c>
      <c r="AM541" t="s">
        <v>111</v>
      </c>
      <c r="AN541">
        <v>17679</v>
      </c>
      <c r="AO541" t="s">
        <v>110</v>
      </c>
      <c r="AP541" t="s">
        <v>109</v>
      </c>
    </row>
    <row r="542" spans="1:42" x14ac:dyDescent="0.25">
      <c r="A542" s="28" t="str">
        <f>"15567"</f>
        <v>15567</v>
      </c>
      <c r="B542">
        <v>15567</v>
      </c>
      <c r="C542" t="s">
        <v>2488</v>
      </c>
      <c r="D542" t="s">
        <v>132</v>
      </c>
      <c r="F542" t="s">
        <v>120</v>
      </c>
      <c r="G542" t="s">
        <v>481</v>
      </c>
      <c r="I542" t="s">
        <v>2038</v>
      </c>
      <c r="J542" t="s">
        <v>7</v>
      </c>
      <c r="K542" s="63">
        <v>24656</v>
      </c>
      <c r="L542" s="28">
        <f>DATEDIF(K542,Zwift25!G$1,"Y")</f>
        <v>57</v>
      </c>
      <c r="M542" s="67">
        <f>IF(J542="m",VLOOKUP(L542,'All Solo Adjustments'!A:D,4,FALSE),VLOOKUP(L542,'All Solo Adjustments'!A:J,10,FALSE))</f>
        <v>2.488425925925926E-3</v>
      </c>
      <c r="N542" s="63"/>
      <c r="O542" s="63"/>
      <c r="P542" s="63"/>
      <c r="Q542" s="63"/>
      <c r="R542" t="s">
        <v>159</v>
      </c>
      <c r="S542" t="s">
        <v>538</v>
      </c>
      <c r="T542" t="s">
        <v>292</v>
      </c>
      <c r="U542" t="s">
        <v>1820</v>
      </c>
      <c r="V542" t="s">
        <v>787</v>
      </c>
      <c r="W542" t="s">
        <v>159</v>
      </c>
      <c r="Y542" t="s">
        <v>1819</v>
      </c>
      <c r="Z542" t="str">
        <f>"078900 27388"</f>
        <v>078900 27388</v>
      </c>
      <c r="AA542" t="str">
        <f>"07815158131"</f>
        <v>07815158131</v>
      </c>
      <c r="AC542" t="s">
        <v>9610</v>
      </c>
      <c r="AD542" t="s">
        <v>114</v>
      </c>
      <c r="AE542" s="63">
        <v>45318</v>
      </c>
      <c r="AF542" t="s">
        <v>113</v>
      </c>
      <c r="AG542" t="s">
        <v>112</v>
      </c>
      <c r="AH542" t="s">
        <v>112</v>
      </c>
      <c r="AI542" s="63">
        <v>44768</v>
      </c>
      <c r="AJ542" s="63">
        <v>45657</v>
      </c>
      <c r="AK542" t="s">
        <v>112</v>
      </c>
      <c r="AL542" t="s">
        <v>111</v>
      </c>
      <c r="AM542" t="s">
        <v>111</v>
      </c>
      <c r="AN542">
        <v>18724</v>
      </c>
      <c r="AO542" t="s">
        <v>110</v>
      </c>
      <c r="AP542" t="s">
        <v>109</v>
      </c>
    </row>
    <row r="543" spans="1:42" x14ac:dyDescent="0.25">
      <c r="A543" s="28" t="str">
        <f>"15723"</f>
        <v>15723</v>
      </c>
      <c r="B543">
        <v>15723</v>
      </c>
      <c r="C543" t="s">
        <v>2488</v>
      </c>
      <c r="D543" t="s">
        <v>130</v>
      </c>
      <c r="F543" t="s">
        <v>144</v>
      </c>
      <c r="G543" t="s">
        <v>9609</v>
      </c>
      <c r="H543" t="s">
        <v>9608</v>
      </c>
      <c r="I543" t="s">
        <v>9607</v>
      </c>
      <c r="J543" t="s">
        <v>126</v>
      </c>
      <c r="K543" s="63">
        <v>29546</v>
      </c>
      <c r="L543" s="28">
        <f>DATEDIF(K543,Zwift25!G$1,"Y")</f>
        <v>43</v>
      </c>
      <c r="M543" s="67">
        <f>IF(J543="m",VLOOKUP(L543,'All Solo Adjustments'!A:D,4,FALSE),VLOOKUP(L543,'All Solo Adjustments'!A:J,10,FALSE))</f>
        <v>4.5254629629629629E-3</v>
      </c>
      <c r="N543" s="63"/>
      <c r="O543" s="63"/>
      <c r="P543" s="63"/>
      <c r="Q543" s="63"/>
      <c r="R543" t="s">
        <v>159</v>
      </c>
      <c r="S543" t="s">
        <v>538</v>
      </c>
      <c r="T543" t="s">
        <v>292</v>
      </c>
      <c r="U543" t="s">
        <v>1820</v>
      </c>
      <c r="V543" t="s">
        <v>787</v>
      </c>
      <c r="W543" t="s">
        <v>159</v>
      </c>
      <c r="Y543" t="s">
        <v>1819</v>
      </c>
      <c r="Z543" t="str">
        <f>"078900 27388"</f>
        <v>078900 27388</v>
      </c>
      <c r="AA543" t="str">
        <f>"07815158131"</f>
        <v>07815158131</v>
      </c>
      <c r="AB543" t="s">
        <v>1818</v>
      </c>
      <c r="AC543" t="s">
        <v>1817</v>
      </c>
      <c r="AD543" t="s">
        <v>114</v>
      </c>
      <c r="AE543" s="63">
        <v>45318</v>
      </c>
      <c r="AG543" t="s">
        <v>112</v>
      </c>
      <c r="AH543" t="s">
        <v>112</v>
      </c>
      <c r="AI543" s="63">
        <v>44991</v>
      </c>
      <c r="AJ543" s="63">
        <v>45657</v>
      </c>
      <c r="AK543" t="s">
        <v>112</v>
      </c>
      <c r="AL543" t="s">
        <v>111</v>
      </c>
      <c r="AM543" t="s">
        <v>111</v>
      </c>
      <c r="AN543">
        <v>4895</v>
      </c>
      <c r="AO543" t="s">
        <v>122</v>
      </c>
      <c r="AP543" t="s">
        <v>122</v>
      </c>
    </row>
    <row r="544" spans="1:42" x14ac:dyDescent="0.25">
      <c r="A544" s="28" t="str">
        <f>"16164"</f>
        <v>16164</v>
      </c>
      <c r="B544">
        <v>16164</v>
      </c>
      <c r="C544" t="s">
        <v>2488</v>
      </c>
      <c r="D544" t="s">
        <v>121</v>
      </c>
      <c r="E544" t="s">
        <v>584</v>
      </c>
      <c r="F544" t="s">
        <v>120</v>
      </c>
      <c r="G544" t="s">
        <v>231</v>
      </c>
      <c r="I544" t="s">
        <v>9606</v>
      </c>
      <c r="J544" t="s">
        <v>7</v>
      </c>
      <c r="K544" s="63">
        <v>26284</v>
      </c>
      <c r="L544" s="28">
        <f>DATEDIF(K544,Zwift25!G$1,"Y")</f>
        <v>52</v>
      </c>
      <c r="M544" s="67">
        <f>IF(J544="m",VLOOKUP(L544,'All Solo Adjustments'!A:D,4,FALSE),VLOOKUP(L544,'All Solo Adjustments'!A:J,10,FALSE))</f>
        <v>1.4814814814814816E-3</v>
      </c>
      <c r="N544" s="63"/>
      <c r="O544" s="63"/>
      <c r="P544" s="63"/>
      <c r="Q544" s="63"/>
      <c r="R544" t="s">
        <v>527</v>
      </c>
      <c r="S544" t="s">
        <v>526</v>
      </c>
      <c r="T544" t="s">
        <v>292</v>
      </c>
      <c r="U544" t="s">
        <v>9605</v>
      </c>
      <c r="Y544" t="s">
        <v>9604</v>
      </c>
      <c r="Z544" t="str">
        <f>"07949718271"</f>
        <v>07949718271</v>
      </c>
      <c r="AA544" t="str">
        <f>""</f>
        <v/>
      </c>
      <c r="AB544" t="s">
        <v>408</v>
      </c>
      <c r="AC544" t="s">
        <v>9603</v>
      </c>
      <c r="AD544" t="s">
        <v>114</v>
      </c>
      <c r="AE544" s="63">
        <v>45462</v>
      </c>
      <c r="AF544" t="s">
        <v>156</v>
      </c>
      <c r="AG544" t="s">
        <v>112</v>
      </c>
      <c r="AH544" t="s">
        <v>112</v>
      </c>
      <c r="AI544" s="63">
        <v>45462</v>
      </c>
      <c r="AJ544" s="63">
        <v>45657</v>
      </c>
      <c r="AK544" t="s">
        <v>112</v>
      </c>
      <c r="AL544" t="s">
        <v>111</v>
      </c>
      <c r="AM544" t="s">
        <v>111</v>
      </c>
      <c r="AN544">
        <v>50984</v>
      </c>
      <c r="AO544" t="s">
        <v>110</v>
      </c>
      <c r="AP544" t="s">
        <v>109</v>
      </c>
    </row>
    <row r="545" spans="1:42" x14ac:dyDescent="0.25">
      <c r="A545" s="28" t="str">
        <f>"14952"</f>
        <v>14952</v>
      </c>
      <c r="B545">
        <v>14952</v>
      </c>
      <c r="C545" t="s">
        <v>2488</v>
      </c>
      <c r="D545" t="s">
        <v>121</v>
      </c>
      <c r="F545" t="s">
        <v>120</v>
      </c>
      <c r="G545" t="s">
        <v>680</v>
      </c>
      <c r="I545" t="s">
        <v>9602</v>
      </c>
      <c r="J545" t="s">
        <v>7</v>
      </c>
      <c r="K545" s="63">
        <v>27159</v>
      </c>
      <c r="L545" s="28">
        <f>DATEDIF(K545,Zwift25!G$1,"Y")</f>
        <v>50</v>
      </c>
      <c r="M545" s="67">
        <f>IF(J545="m",VLOOKUP(L545,'All Solo Adjustments'!A:D,4,FALSE),VLOOKUP(L545,'All Solo Adjustments'!A:J,10,FALSE))</f>
        <v>1.1342592592592591E-3</v>
      </c>
      <c r="N545" s="63"/>
      <c r="O545" s="63"/>
      <c r="P545" s="63"/>
      <c r="Q545" s="63"/>
      <c r="R545" t="s">
        <v>239</v>
      </c>
      <c r="S545" t="s">
        <v>274</v>
      </c>
      <c r="T545" t="s">
        <v>292</v>
      </c>
      <c r="U545" t="s">
        <v>9601</v>
      </c>
      <c r="V545" t="s">
        <v>9600</v>
      </c>
      <c r="W545" t="s">
        <v>1894</v>
      </c>
      <c r="X545" t="s">
        <v>236</v>
      </c>
      <c r="Y545" t="s">
        <v>9599</v>
      </c>
      <c r="Z545" t="str">
        <f>"07803503402"</f>
        <v>07803503402</v>
      </c>
      <c r="AA545" t="str">
        <f>""</f>
        <v/>
      </c>
      <c r="AB545" t="s">
        <v>1440</v>
      </c>
      <c r="AC545" t="s">
        <v>9598</v>
      </c>
      <c r="AD545" t="s">
        <v>114</v>
      </c>
      <c r="AE545" s="63">
        <v>45262</v>
      </c>
      <c r="AF545" t="s">
        <v>156</v>
      </c>
      <c r="AG545" t="s">
        <v>112</v>
      </c>
      <c r="AH545" t="s">
        <v>112</v>
      </c>
      <c r="AI545" s="63">
        <v>44284</v>
      </c>
      <c r="AJ545" s="63">
        <v>45657</v>
      </c>
      <c r="AK545" t="s">
        <v>112</v>
      </c>
      <c r="AL545" t="s">
        <v>111</v>
      </c>
      <c r="AM545" t="s">
        <v>111</v>
      </c>
      <c r="AN545">
        <v>24473</v>
      </c>
      <c r="AO545" t="s">
        <v>110</v>
      </c>
      <c r="AP545" t="s">
        <v>109</v>
      </c>
    </row>
    <row r="546" spans="1:42" x14ac:dyDescent="0.25">
      <c r="A546" s="28" t="str">
        <f>"11695"</f>
        <v>11695</v>
      </c>
      <c r="B546">
        <v>11695</v>
      </c>
      <c r="C546" t="s">
        <v>2488</v>
      </c>
      <c r="D546" t="s">
        <v>121</v>
      </c>
      <c r="E546" t="s">
        <v>584</v>
      </c>
      <c r="F546" t="s">
        <v>120</v>
      </c>
      <c r="G546" t="s">
        <v>9597</v>
      </c>
      <c r="H546" t="s">
        <v>9596</v>
      </c>
      <c r="I546" t="s">
        <v>9595</v>
      </c>
      <c r="J546" t="s">
        <v>7</v>
      </c>
      <c r="K546" s="63">
        <v>24046</v>
      </c>
      <c r="L546" s="28">
        <f>DATEDIF(K546,Zwift25!G$1,"Y")</f>
        <v>58</v>
      </c>
      <c r="M546" s="67">
        <f>IF(J546="m",VLOOKUP(L546,'All Solo Adjustments'!A:D,4,FALSE),VLOOKUP(L546,'All Solo Adjustments'!A:J,10,FALSE))</f>
        <v>2.7199074074074074E-3</v>
      </c>
      <c r="N546" s="63"/>
      <c r="O546" s="63"/>
      <c r="P546" s="63"/>
      <c r="Q546" s="63"/>
      <c r="R546" t="s">
        <v>184</v>
      </c>
      <c r="S546" t="s">
        <v>183</v>
      </c>
      <c r="T546" t="s">
        <v>292</v>
      </c>
      <c r="U546" t="s">
        <v>9594</v>
      </c>
      <c r="V546" t="s">
        <v>167</v>
      </c>
      <c r="Y546" t="s">
        <v>9593</v>
      </c>
      <c r="Z546" t="str">
        <f>"07887930345"</f>
        <v>07887930345</v>
      </c>
      <c r="AA546" t="str">
        <f>""</f>
        <v/>
      </c>
      <c r="AB546" t="s">
        <v>216</v>
      </c>
      <c r="AC546" t="s">
        <v>9592</v>
      </c>
      <c r="AD546" t="s">
        <v>114</v>
      </c>
      <c r="AE546" s="63">
        <v>45262</v>
      </c>
      <c r="AF546" t="s">
        <v>156</v>
      </c>
      <c r="AG546" t="s">
        <v>112</v>
      </c>
      <c r="AH546" t="s">
        <v>112</v>
      </c>
      <c r="AI546" s="63">
        <v>43206</v>
      </c>
      <c r="AJ546" s="63">
        <v>45657</v>
      </c>
      <c r="AK546" t="s">
        <v>112</v>
      </c>
      <c r="AL546" t="s">
        <v>111</v>
      </c>
      <c r="AM546" t="s">
        <v>111</v>
      </c>
      <c r="AN546">
        <v>14371</v>
      </c>
      <c r="AO546" t="s">
        <v>110</v>
      </c>
      <c r="AP546" t="s">
        <v>109</v>
      </c>
    </row>
    <row r="547" spans="1:42" x14ac:dyDescent="0.25">
      <c r="A547" s="28" t="str">
        <f>"15372"</f>
        <v>15372</v>
      </c>
      <c r="B547">
        <v>15372</v>
      </c>
      <c r="C547" t="s">
        <v>2488</v>
      </c>
      <c r="D547" t="s">
        <v>132</v>
      </c>
      <c r="E547" t="s">
        <v>9591</v>
      </c>
      <c r="F547" t="s">
        <v>149</v>
      </c>
      <c r="G547" t="s">
        <v>681</v>
      </c>
      <c r="I547" t="s">
        <v>9589</v>
      </c>
      <c r="J547" t="s">
        <v>126</v>
      </c>
      <c r="K547" s="63">
        <v>25091</v>
      </c>
      <c r="L547" s="28">
        <f>DATEDIF(K547,Zwift25!G$1,"Y")</f>
        <v>56</v>
      </c>
      <c r="M547" s="67">
        <f>IF(J547="m",VLOOKUP(L547,'All Solo Adjustments'!A:D,4,FALSE),VLOOKUP(L547,'All Solo Adjustments'!A:J,10,FALSE))</f>
        <v>5.8564814814814807E-3</v>
      </c>
      <c r="N547" s="63"/>
      <c r="O547" s="63"/>
      <c r="P547" s="63"/>
      <c r="Q547" s="63"/>
      <c r="R547" t="s">
        <v>137</v>
      </c>
      <c r="S547" t="s">
        <v>703</v>
      </c>
      <c r="T547" t="s">
        <v>292</v>
      </c>
      <c r="U547" t="s">
        <v>9588</v>
      </c>
      <c r="V547" t="s">
        <v>9587</v>
      </c>
      <c r="W547" t="s">
        <v>2202</v>
      </c>
      <c r="X547" t="s">
        <v>674</v>
      </c>
      <c r="Y547" t="s">
        <v>9586</v>
      </c>
      <c r="Z547" t="str">
        <f>"07733272826"</f>
        <v>07733272826</v>
      </c>
      <c r="AA547" t="str">
        <f>""</f>
        <v/>
      </c>
      <c r="AB547" t="s">
        <v>378</v>
      </c>
      <c r="AC547" t="s">
        <v>9590</v>
      </c>
      <c r="AD547" t="s">
        <v>114</v>
      </c>
      <c r="AE547" s="63">
        <v>45293</v>
      </c>
      <c r="AF547" t="s">
        <v>156</v>
      </c>
      <c r="AG547" t="s">
        <v>112</v>
      </c>
      <c r="AH547" t="s">
        <v>112</v>
      </c>
      <c r="AI547" s="63">
        <v>44608</v>
      </c>
      <c r="AJ547" s="63">
        <v>45657</v>
      </c>
      <c r="AK547" t="s">
        <v>112</v>
      </c>
      <c r="AL547" t="s">
        <v>111</v>
      </c>
      <c r="AM547" t="s">
        <v>111</v>
      </c>
      <c r="AN547">
        <v>3612</v>
      </c>
      <c r="AO547" t="s">
        <v>122</v>
      </c>
      <c r="AP547" t="s">
        <v>122</v>
      </c>
    </row>
    <row r="548" spans="1:42" x14ac:dyDescent="0.25">
      <c r="A548" s="28" t="str">
        <f>"15373"</f>
        <v>15373</v>
      </c>
      <c r="B548">
        <v>15373</v>
      </c>
      <c r="C548" t="s">
        <v>2488</v>
      </c>
      <c r="D548" t="s">
        <v>130</v>
      </c>
      <c r="F548" t="s">
        <v>120</v>
      </c>
      <c r="G548" t="s">
        <v>410</v>
      </c>
      <c r="I548" t="s">
        <v>9589</v>
      </c>
      <c r="J548" t="s">
        <v>7</v>
      </c>
      <c r="K548" s="63">
        <v>25745</v>
      </c>
      <c r="L548" s="28">
        <f>DATEDIF(K548,Zwift25!G$1,"Y")</f>
        <v>54</v>
      </c>
      <c r="M548" s="67">
        <f>IF(J548="m",VLOOKUP(L548,'All Solo Adjustments'!A:D,4,FALSE),VLOOKUP(L548,'All Solo Adjustments'!A:J,10,FALSE))</f>
        <v>1.8518518518518517E-3</v>
      </c>
      <c r="N548" s="63"/>
      <c r="O548" s="63"/>
      <c r="P548" s="63"/>
      <c r="Q548" s="63"/>
      <c r="R548" t="s">
        <v>137</v>
      </c>
      <c r="S548" t="s">
        <v>703</v>
      </c>
      <c r="T548" t="s">
        <v>292</v>
      </c>
      <c r="U548" t="s">
        <v>9588</v>
      </c>
      <c r="V548" t="s">
        <v>9587</v>
      </c>
      <c r="W548" t="s">
        <v>2202</v>
      </c>
      <c r="X548" t="s">
        <v>674</v>
      </c>
      <c r="Y548" t="s">
        <v>9586</v>
      </c>
      <c r="Z548" t="str">
        <f>"07733272826"</f>
        <v>07733272826</v>
      </c>
      <c r="AA548" t="str">
        <f>""</f>
        <v/>
      </c>
      <c r="AB548" t="s">
        <v>9585</v>
      </c>
      <c r="AC548" t="s">
        <v>9584</v>
      </c>
      <c r="AD548" t="s">
        <v>114</v>
      </c>
      <c r="AE548" s="63">
        <v>45293</v>
      </c>
      <c r="AG548" t="s">
        <v>112</v>
      </c>
      <c r="AH548" t="s">
        <v>112</v>
      </c>
      <c r="AI548" s="63">
        <v>44608</v>
      </c>
      <c r="AJ548" s="63">
        <v>45657</v>
      </c>
      <c r="AK548" t="s">
        <v>112</v>
      </c>
      <c r="AL548" t="s">
        <v>111</v>
      </c>
      <c r="AM548" t="s">
        <v>111</v>
      </c>
      <c r="AN548" t="s">
        <v>105</v>
      </c>
      <c r="AO548" t="s">
        <v>110</v>
      </c>
      <c r="AP548" t="s">
        <v>109</v>
      </c>
    </row>
    <row r="549" spans="1:42" x14ac:dyDescent="0.25">
      <c r="A549" s="28" t="str">
        <f>"0738"</f>
        <v>0738</v>
      </c>
      <c r="B549">
        <v>738</v>
      </c>
      <c r="C549" t="s">
        <v>2488</v>
      </c>
      <c r="D549" t="s">
        <v>121</v>
      </c>
      <c r="F549" t="s">
        <v>120</v>
      </c>
      <c r="G549" t="s">
        <v>1371</v>
      </c>
      <c r="I549" t="s">
        <v>9583</v>
      </c>
      <c r="J549" t="s">
        <v>7</v>
      </c>
      <c r="K549" s="63">
        <v>18443</v>
      </c>
      <c r="L549" s="28">
        <f>DATEDIF(K549,Zwift25!G$1,"Y")</f>
        <v>74</v>
      </c>
      <c r="M549" s="67">
        <f>IF(J549="m",VLOOKUP(L549,'All Solo Adjustments'!A:D,4,FALSE),VLOOKUP(L549,'All Solo Adjustments'!A:J,10,FALSE))</f>
        <v>7.9861111111111122E-3</v>
      </c>
      <c r="N549" s="63"/>
      <c r="O549" s="63"/>
      <c r="P549" s="63"/>
      <c r="Q549" s="63"/>
      <c r="R549" t="s">
        <v>125</v>
      </c>
      <c r="S549" t="s">
        <v>170</v>
      </c>
      <c r="T549" t="s">
        <v>292</v>
      </c>
      <c r="U549" t="s">
        <v>9582</v>
      </c>
      <c r="V549" t="s">
        <v>9581</v>
      </c>
      <c r="W549" t="s">
        <v>542</v>
      </c>
      <c r="X549" t="s">
        <v>193</v>
      </c>
      <c r="Y549" t="s">
        <v>9580</v>
      </c>
      <c r="Z549" t="str">
        <f>"01553 776918"</f>
        <v>01553 776918</v>
      </c>
      <c r="AA549" t="str">
        <f>""</f>
        <v/>
      </c>
      <c r="AB549" t="s">
        <v>398</v>
      </c>
      <c r="AC549" t="s">
        <v>9579</v>
      </c>
      <c r="AD549" t="s">
        <v>145</v>
      </c>
      <c r="AE549" s="63">
        <v>45331</v>
      </c>
      <c r="AF549" t="s">
        <v>156</v>
      </c>
      <c r="AG549" t="s">
        <v>112</v>
      </c>
      <c r="AH549" t="s">
        <v>112</v>
      </c>
      <c r="AI549" s="63">
        <v>35534</v>
      </c>
      <c r="AJ549" s="63">
        <v>45657</v>
      </c>
      <c r="AK549" t="s">
        <v>111</v>
      </c>
      <c r="AL549" t="s">
        <v>111</v>
      </c>
      <c r="AM549" t="s">
        <v>111</v>
      </c>
      <c r="AN549" t="s">
        <v>105</v>
      </c>
      <c r="AO549" t="s">
        <v>110</v>
      </c>
      <c r="AP549" t="s">
        <v>109</v>
      </c>
    </row>
    <row r="550" spans="1:42" x14ac:dyDescent="0.25">
      <c r="A550" s="28" t="str">
        <f>"14571"</f>
        <v>14571</v>
      </c>
      <c r="B550">
        <v>14571</v>
      </c>
      <c r="C550" t="s">
        <v>2488</v>
      </c>
      <c r="D550" t="s">
        <v>121</v>
      </c>
      <c r="F550" t="s">
        <v>139</v>
      </c>
      <c r="G550" t="s">
        <v>224</v>
      </c>
      <c r="I550" t="s">
        <v>9578</v>
      </c>
      <c r="J550" t="s">
        <v>126</v>
      </c>
      <c r="K550" s="63">
        <v>28651</v>
      </c>
      <c r="L550" s="28">
        <f>DATEDIF(K550,Zwift25!G$1,"Y")</f>
        <v>46</v>
      </c>
      <c r="M550" s="67">
        <f>IF(J550="m",VLOOKUP(L550,'All Solo Adjustments'!A:D,4,FALSE),VLOOKUP(L550,'All Solo Adjustments'!A:J,10,FALSE))</f>
        <v>4.6759259259259263E-3</v>
      </c>
      <c r="N550" s="63"/>
      <c r="O550" s="63"/>
      <c r="P550" s="63"/>
      <c r="Q550" s="63"/>
      <c r="R550" t="s">
        <v>296</v>
      </c>
      <c r="S550" t="s">
        <v>295</v>
      </c>
      <c r="T550" t="s">
        <v>292</v>
      </c>
      <c r="U550" t="s">
        <v>9577</v>
      </c>
      <c r="V550" t="s">
        <v>9576</v>
      </c>
      <c r="Y550" t="s">
        <v>9575</v>
      </c>
      <c r="Z550" t="str">
        <f>"07891573338"</f>
        <v>07891573338</v>
      </c>
      <c r="AA550" t="str">
        <f>""</f>
        <v/>
      </c>
      <c r="AC550" t="s">
        <v>9574</v>
      </c>
      <c r="AD550" t="s">
        <v>114</v>
      </c>
      <c r="AE550" s="63">
        <v>45305</v>
      </c>
      <c r="AF550" t="s">
        <v>156</v>
      </c>
      <c r="AG550" t="s">
        <v>112</v>
      </c>
      <c r="AH550" t="s">
        <v>112</v>
      </c>
      <c r="AI550" s="63">
        <v>44017</v>
      </c>
      <c r="AJ550" s="63">
        <v>45657</v>
      </c>
      <c r="AK550" t="s">
        <v>112</v>
      </c>
      <c r="AL550" t="s">
        <v>111</v>
      </c>
      <c r="AM550" t="s">
        <v>111</v>
      </c>
      <c r="AN550">
        <v>28369</v>
      </c>
      <c r="AO550" t="s">
        <v>122</v>
      </c>
      <c r="AP550" t="s">
        <v>122</v>
      </c>
    </row>
    <row r="551" spans="1:42" x14ac:dyDescent="0.25">
      <c r="A551" s="28" t="str">
        <f>"0740"</f>
        <v>0740</v>
      </c>
      <c r="B551">
        <v>740</v>
      </c>
      <c r="C551" t="s">
        <v>2488</v>
      </c>
      <c r="D551" t="s">
        <v>121</v>
      </c>
      <c r="F551" t="s">
        <v>120</v>
      </c>
      <c r="G551" t="s">
        <v>251</v>
      </c>
      <c r="I551" t="s">
        <v>337</v>
      </c>
      <c r="J551" t="s">
        <v>7</v>
      </c>
      <c r="K551" s="63">
        <v>15848</v>
      </c>
      <c r="L551" s="28">
        <f>DATEDIF(K551,Zwift25!G$1,"Y")</f>
        <v>81</v>
      </c>
      <c r="M551" s="67">
        <f>IF(J551="m",VLOOKUP(L551,'All Solo Adjustments'!A:D,4,FALSE),VLOOKUP(L551,'All Solo Adjustments'!A:J,10,FALSE))</f>
        <v>1.1597222222222222E-2</v>
      </c>
      <c r="N551" s="63"/>
      <c r="O551" s="63"/>
      <c r="P551" s="63"/>
      <c r="Q551" s="63"/>
      <c r="R551" t="s">
        <v>137</v>
      </c>
      <c r="S551" t="s">
        <v>2312</v>
      </c>
      <c r="T551" t="s">
        <v>292</v>
      </c>
      <c r="U551" t="s">
        <v>9573</v>
      </c>
      <c r="V551" t="s">
        <v>9572</v>
      </c>
      <c r="W551" t="s">
        <v>9571</v>
      </c>
      <c r="X551" t="s">
        <v>9570</v>
      </c>
      <c r="Y551" t="s">
        <v>9569</v>
      </c>
      <c r="Z551" t="str">
        <f>"01590 612567"</f>
        <v>01590 612567</v>
      </c>
      <c r="AA551" t="str">
        <f>""</f>
        <v/>
      </c>
      <c r="AB551" t="s">
        <v>2428</v>
      </c>
      <c r="AC551" t="s">
        <v>9568</v>
      </c>
      <c r="AD551" t="s">
        <v>145</v>
      </c>
      <c r="AF551" t="s">
        <v>113</v>
      </c>
      <c r="AG551" t="s">
        <v>112</v>
      </c>
      <c r="AH551" t="s">
        <v>112</v>
      </c>
      <c r="AI551" s="63">
        <v>31186</v>
      </c>
      <c r="AK551" t="s">
        <v>111</v>
      </c>
      <c r="AL551" t="s">
        <v>111</v>
      </c>
      <c r="AM551" t="s">
        <v>111</v>
      </c>
      <c r="AN551">
        <v>4657</v>
      </c>
      <c r="AO551" t="s">
        <v>110</v>
      </c>
      <c r="AP551" t="s">
        <v>109</v>
      </c>
    </row>
    <row r="552" spans="1:42" x14ac:dyDescent="0.25">
      <c r="A552" s="28" t="str">
        <f>"16031"</f>
        <v>16031</v>
      </c>
      <c r="B552">
        <v>16031</v>
      </c>
      <c r="C552" t="s">
        <v>2488</v>
      </c>
      <c r="D552" t="s">
        <v>121</v>
      </c>
      <c r="F552" t="s">
        <v>120</v>
      </c>
      <c r="G552" t="s">
        <v>251</v>
      </c>
      <c r="I552" t="s">
        <v>2036</v>
      </c>
      <c r="J552" t="s">
        <v>7</v>
      </c>
      <c r="K552" s="63">
        <v>26994</v>
      </c>
      <c r="L552" s="28">
        <f>DATEDIF(K552,Zwift25!G$1,"Y")</f>
        <v>50</v>
      </c>
      <c r="M552" s="67">
        <f>IF(J552="m",VLOOKUP(L552,'All Solo Adjustments'!A:D,4,FALSE),VLOOKUP(L552,'All Solo Adjustments'!A:J,10,FALSE))</f>
        <v>1.1342592592592591E-3</v>
      </c>
      <c r="N552" s="63"/>
      <c r="O552" s="63"/>
      <c r="P552" s="63"/>
      <c r="Q552" s="63"/>
      <c r="R552" t="s">
        <v>154</v>
      </c>
      <c r="S552" t="s">
        <v>153</v>
      </c>
      <c r="T552" t="s">
        <v>292</v>
      </c>
      <c r="U552" t="s">
        <v>9567</v>
      </c>
      <c r="W552" t="s">
        <v>1367</v>
      </c>
      <c r="X552" t="s">
        <v>752</v>
      </c>
      <c r="Y552" t="s">
        <v>9566</v>
      </c>
      <c r="Z552" t="str">
        <f>"07974027133"</f>
        <v>07974027133</v>
      </c>
      <c r="AA552" t="str">
        <f>""</f>
        <v/>
      </c>
      <c r="AB552" t="s">
        <v>2618</v>
      </c>
      <c r="AC552" t="s">
        <v>9565</v>
      </c>
      <c r="AD552" t="s">
        <v>114</v>
      </c>
      <c r="AE552" s="63">
        <v>45340</v>
      </c>
      <c r="AF552" t="s">
        <v>156</v>
      </c>
      <c r="AG552" t="s">
        <v>112</v>
      </c>
      <c r="AH552" t="s">
        <v>112</v>
      </c>
      <c r="AI552" s="63">
        <v>45340</v>
      </c>
      <c r="AJ552" s="63">
        <v>45657</v>
      </c>
      <c r="AK552" t="s">
        <v>112</v>
      </c>
      <c r="AL552" t="s">
        <v>111</v>
      </c>
      <c r="AM552" t="s">
        <v>111</v>
      </c>
      <c r="AN552">
        <v>34118</v>
      </c>
      <c r="AO552" t="s">
        <v>110</v>
      </c>
      <c r="AP552" t="s">
        <v>109</v>
      </c>
    </row>
    <row r="553" spans="1:42" x14ac:dyDescent="0.25">
      <c r="A553" s="28" t="str">
        <f>"3422"</f>
        <v>3422</v>
      </c>
      <c r="B553">
        <v>3422</v>
      </c>
      <c r="C553" t="s">
        <v>2488</v>
      </c>
      <c r="D553" t="s">
        <v>121</v>
      </c>
      <c r="F553" t="s">
        <v>144</v>
      </c>
      <c r="G553" t="s">
        <v>2427</v>
      </c>
      <c r="H553" t="s">
        <v>9564</v>
      </c>
      <c r="I553" t="s">
        <v>823</v>
      </c>
      <c r="J553" t="s">
        <v>126</v>
      </c>
      <c r="K553" s="63">
        <v>24483</v>
      </c>
      <c r="L553" s="28">
        <f>DATEDIF(K553,Zwift25!G$1,"Y")</f>
        <v>57</v>
      </c>
      <c r="M553" s="67">
        <f>IF(J553="m",VLOOKUP(L553,'All Solo Adjustments'!A:D,4,FALSE),VLOOKUP(L553,'All Solo Adjustments'!A:J,10,FALSE))</f>
        <v>6.076388888888889E-3</v>
      </c>
      <c r="N553" s="63"/>
      <c r="O553" s="63"/>
      <c r="P553" s="63"/>
      <c r="Q553" s="63"/>
      <c r="R553" t="s">
        <v>125</v>
      </c>
      <c r="S553" t="s">
        <v>170</v>
      </c>
      <c r="T553" t="s">
        <v>292</v>
      </c>
      <c r="U553" t="s">
        <v>9563</v>
      </c>
      <c r="V553" t="s">
        <v>746</v>
      </c>
      <c r="W553" t="s">
        <v>746</v>
      </c>
      <c r="Y553" t="s">
        <v>9562</v>
      </c>
      <c r="Z553" t="str">
        <f>"07946466139"</f>
        <v>07946466139</v>
      </c>
      <c r="AA553" t="str">
        <f>"01502 800603"</f>
        <v>01502 800603</v>
      </c>
      <c r="AB553" t="s">
        <v>1334</v>
      </c>
      <c r="AC553" t="s">
        <v>9561</v>
      </c>
      <c r="AD553" t="s">
        <v>114</v>
      </c>
      <c r="AE553" s="63">
        <v>45283</v>
      </c>
      <c r="AF553" t="s">
        <v>113</v>
      </c>
      <c r="AG553" t="s">
        <v>112</v>
      </c>
      <c r="AH553" t="s">
        <v>112</v>
      </c>
      <c r="AI553" s="63">
        <v>39105</v>
      </c>
      <c r="AJ553" s="63">
        <v>45657</v>
      </c>
      <c r="AK553" t="s">
        <v>111</v>
      </c>
      <c r="AL553" t="s">
        <v>111</v>
      </c>
      <c r="AM553" t="s">
        <v>111</v>
      </c>
      <c r="AN553">
        <v>13932</v>
      </c>
      <c r="AO553" t="s">
        <v>122</v>
      </c>
      <c r="AP553" t="s">
        <v>122</v>
      </c>
    </row>
    <row r="554" spans="1:42" x14ac:dyDescent="0.25">
      <c r="A554" s="28" t="str">
        <f>"0744"</f>
        <v>0744</v>
      </c>
      <c r="B554">
        <v>744</v>
      </c>
      <c r="C554" t="s">
        <v>2488</v>
      </c>
      <c r="D554" t="s">
        <v>121</v>
      </c>
      <c r="F554" t="s">
        <v>120</v>
      </c>
      <c r="G554" t="s">
        <v>583</v>
      </c>
      <c r="I554" t="s">
        <v>9560</v>
      </c>
      <c r="J554" t="s">
        <v>7</v>
      </c>
      <c r="K554" s="63">
        <v>16769</v>
      </c>
      <c r="L554" s="28">
        <f>DATEDIF(K554,Zwift25!G$1,"Y")</f>
        <v>78</v>
      </c>
      <c r="M554" s="67">
        <f>IF(J554="m",VLOOKUP(L554,'All Solo Adjustments'!A:D,4,FALSE),VLOOKUP(L554,'All Solo Adjustments'!A:J,10,FALSE))</f>
        <v>9.9189814814814817E-3</v>
      </c>
      <c r="N554" s="63"/>
      <c r="O554" s="63"/>
      <c r="P554" s="63"/>
      <c r="Q554" s="63"/>
      <c r="R554" t="s">
        <v>383</v>
      </c>
      <c r="S554" t="s">
        <v>382</v>
      </c>
      <c r="T554" t="s">
        <v>292</v>
      </c>
      <c r="U554" t="s">
        <v>9559</v>
      </c>
      <c r="V554" t="s">
        <v>1712</v>
      </c>
      <c r="W554" t="s">
        <v>1711</v>
      </c>
      <c r="X554" t="s">
        <v>1277</v>
      </c>
      <c r="Y554" t="s">
        <v>1710</v>
      </c>
      <c r="Z554" t="str">
        <f>"01656 734528"</f>
        <v>01656 734528</v>
      </c>
      <c r="AA554" t="str">
        <f>""</f>
        <v/>
      </c>
      <c r="AB554" t="s">
        <v>380</v>
      </c>
      <c r="AC554" t="s">
        <v>9558</v>
      </c>
      <c r="AD554" t="s">
        <v>114</v>
      </c>
      <c r="AE554" s="63">
        <v>45405</v>
      </c>
      <c r="AF554" t="s">
        <v>113</v>
      </c>
      <c r="AG554" t="s">
        <v>112</v>
      </c>
      <c r="AH554" t="s">
        <v>112</v>
      </c>
      <c r="AI554" s="63">
        <v>43411</v>
      </c>
      <c r="AJ554" s="63">
        <v>45657</v>
      </c>
      <c r="AK554" t="s">
        <v>111</v>
      </c>
      <c r="AL554" t="s">
        <v>111</v>
      </c>
      <c r="AM554" t="s">
        <v>111</v>
      </c>
      <c r="AN554">
        <v>2179</v>
      </c>
      <c r="AO554" t="s">
        <v>110</v>
      </c>
      <c r="AP554" t="s">
        <v>109</v>
      </c>
    </row>
    <row r="555" spans="1:42" x14ac:dyDescent="0.25">
      <c r="A555" s="28" t="str">
        <f>"13648"</f>
        <v>13648</v>
      </c>
      <c r="B555">
        <v>13648</v>
      </c>
      <c r="C555" t="s">
        <v>2488</v>
      </c>
      <c r="D555" t="s">
        <v>121</v>
      </c>
      <c r="F555" t="s">
        <v>120</v>
      </c>
      <c r="G555" t="s">
        <v>649</v>
      </c>
      <c r="H555" t="s">
        <v>469</v>
      </c>
      <c r="I555" t="s">
        <v>823</v>
      </c>
      <c r="J555" t="s">
        <v>7</v>
      </c>
      <c r="K555" s="63">
        <v>24320</v>
      </c>
      <c r="L555" s="28">
        <f>DATEDIF(K555,Zwift25!G$1,"Y")</f>
        <v>58</v>
      </c>
      <c r="M555" s="67">
        <f>IF(J555="m",VLOOKUP(L555,'All Solo Adjustments'!A:D,4,FALSE),VLOOKUP(L555,'All Solo Adjustments'!A:J,10,FALSE))</f>
        <v>2.7199074074074074E-3</v>
      </c>
      <c r="N555" s="63"/>
      <c r="O555" s="63"/>
      <c r="P555" s="63"/>
      <c r="Q555" s="63"/>
      <c r="R555" t="s">
        <v>125</v>
      </c>
      <c r="S555" t="s">
        <v>170</v>
      </c>
      <c r="T555" t="s">
        <v>292</v>
      </c>
      <c r="U555" t="s">
        <v>9557</v>
      </c>
      <c r="V555" t="s">
        <v>1400</v>
      </c>
      <c r="W555" t="s">
        <v>401</v>
      </c>
      <c r="Y555" t="s">
        <v>9556</v>
      </c>
      <c r="Z555" t="str">
        <f>"07941717350"</f>
        <v>07941717350</v>
      </c>
      <c r="AA555" t="str">
        <f>""</f>
        <v/>
      </c>
      <c r="AB555" t="s">
        <v>301</v>
      </c>
      <c r="AC555" t="s">
        <v>9555</v>
      </c>
      <c r="AD555" t="s">
        <v>114</v>
      </c>
      <c r="AE555" s="63">
        <v>45301</v>
      </c>
      <c r="AF555" t="s">
        <v>156</v>
      </c>
      <c r="AG555" t="s">
        <v>112</v>
      </c>
      <c r="AH555" t="s">
        <v>112</v>
      </c>
      <c r="AI555" s="63">
        <v>43270</v>
      </c>
      <c r="AJ555" s="63">
        <v>45657</v>
      </c>
      <c r="AK555" t="s">
        <v>112</v>
      </c>
      <c r="AL555" t="s">
        <v>112</v>
      </c>
      <c r="AM555" t="s">
        <v>112</v>
      </c>
      <c r="AN555">
        <v>8301</v>
      </c>
      <c r="AO555" t="s">
        <v>110</v>
      </c>
      <c r="AP555" t="s">
        <v>109</v>
      </c>
    </row>
    <row r="556" spans="1:42" x14ac:dyDescent="0.25">
      <c r="A556" s="28" t="str">
        <f>"5576"</f>
        <v>5576</v>
      </c>
      <c r="B556">
        <v>5576</v>
      </c>
      <c r="C556" t="s">
        <v>2488</v>
      </c>
      <c r="D556" t="s">
        <v>121</v>
      </c>
      <c r="E556" t="s">
        <v>9554</v>
      </c>
      <c r="F556" t="s">
        <v>120</v>
      </c>
      <c r="G556" t="s">
        <v>970</v>
      </c>
      <c r="I556" t="s">
        <v>9543</v>
      </c>
      <c r="J556" t="s">
        <v>7</v>
      </c>
      <c r="K556" s="63">
        <v>19821</v>
      </c>
      <c r="L556" s="28">
        <f>DATEDIF(K556,Zwift25!G$1,"Y")</f>
        <v>70</v>
      </c>
      <c r="M556" s="67">
        <f>IF(J556="m",VLOOKUP(L556,'All Solo Adjustments'!A:D,4,FALSE),VLOOKUP(L556,'All Solo Adjustments'!A:J,10,FALSE))</f>
        <v>6.3425925925925924E-3</v>
      </c>
      <c r="N556" s="63"/>
      <c r="O556" s="63"/>
      <c r="P556" s="63"/>
      <c r="Q556" s="63"/>
      <c r="R556" t="s">
        <v>296</v>
      </c>
      <c r="S556" t="s">
        <v>295</v>
      </c>
      <c r="T556" t="s">
        <v>292</v>
      </c>
      <c r="U556" t="s">
        <v>9553</v>
      </c>
      <c r="V556" t="s">
        <v>9552</v>
      </c>
      <c r="W556" t="s">
        <v>9551</v>
      </c>
      <c r="X556" t="s">
        <v>1381</v>
      </c>
      <c r="Y556" t="s">
        <v>9550</v>
      </c>
      <c r="Z556" t="str">
        <f>"01573 963125"</f>
        <v>01573 963125</v>
      </c>
      <c r="AA556" t="str">
        <f>"07976 558616"</f>
        <v>07976 558616</v>
      </c>
      <c r="AB556" t="s">
        <v>9549</v>
      </c>
      <c r="AC556" t="s">
        <v>9548</v>
      </c>
      <c r="AD556" t="s">
        <v>114</v>
      </c>
      <c r="AE556" s="63">
        <v>45569</v>
      </c>
      <c r="AF556" t="s">
        <v>113</v>
      </c>
      <c r="AG556" t="s">
        <v>112</v>
      </c>
      <c r="AH556" t="s">
        <v>112</v>
      </c>
      <c r="AI556" s="63">
        <v>42195</v>
      </c>
      <c r="AJ556" s="63">
        <v>46022</v>
      </c>
      <c r="AK556" t="s">
        <v>111</v>
      </c>
      <c r="AL556" t="s">
        <v>111</v>
      </c>
      <c r="AM556" t="s">
        <v>111</v>
      </c>
      <c r="AN556">
        <v>5454</v>
      </c>
      <c r="AO556" t="s">
        <v>110</v>
      </c>
      <c r="AP556" t="s">
        <v>109</v>
      </c>
    </row>
    <row r="557" spans="1:42" x14ac:dyDescent="0.25">
      <c r="A557" s="28" t="str">
        <f>"6209"</f>
        <v>6209</v>
      </c>
      <c r="B557">
        <v>6209</v>
      </c>
      <c r="C557" t="s">
        <v>2488</v>
      </c>
      <c r="D557" t="s">
        <v>121</v>
      </c>
      <c r="E557" t="s">
        <v>584</v>
      </c>
      <c r="F557" t="s">
        <v>149</v>
      </c>
      <c r="G557" t="s">
        <v>2356</v>
      </c>
      <c r="I557" t="s">
        <v>9543</v>
      </c>
      <c r="J557" t="s">
        <v>126</v>
      </c>
      <c r="K557" s="63">
        <v>22113</v>
      </c>
      <c r="L557" s="28">
        <f>DATEDIF(K557,Zwift25!G$1,"Y")</f>
        <v>64</v>
      </c>
      <c r="M557" s="67">
        <f>IF(J557="m",VLOOKUP(L557,'All Solo Adjustments'!A:D,4,FALSE),VLOOKUP(L557,'All Solo Adjustments'!A:J,10,FALSE))</f>
        <v>8.4490740740740741E-3</v>
      </c>
      <c r="N557" s="63"/>
      <c r="O557" s="63"/>
      <c r="P557" s="63"/>
      <c r="Q557" s="63"/>
      <c r="R557" t="s">
        <v>213</v>
      </c>
      <c r="S557" t="s">
        <v>212</v>
      </c>
      <c r="T557" t="s">
        <v>292</v>
      </c>
      <c r="U557" t="s">
        <v>9547</v>
      </c>
      <c r="V557" t="s">
        <v>8794</v>
      </c>
      <c r="W557" t="s">
        <v>9546</v>
      </c>
      <c r="Y557" t="s">
        <v>9545</v>
      </c>
      <c r="Z557" t="str">
        <f>"07877291055"</f>
        <v>07877291055</v>
      </c>
      <c r="AA557" t="str">
        <f>""</f>
        <v/>
      </c>
      <c r="AB557" t="s">
        <v>1154</v>
      </c>
      <c r="AC557" t="s">
        <v>9544</v>
      </c>
      <c r="AD557" t="s">
        <v>114</v>
      </c>
      <c r="AE557" s="63">
        <v>45293</v>
      </c>
      <c r="AF557" t="s">
        <v>113</v>
      </c>
      <c r="AG557" t="s">
        <v>112</v>
      </c>
      <c r="AH557" t="s">
        <v>112</v>
      </c>
      <c r="AI557" s="63">
        <v>42852</v>
      </c>
      <c r="AJ557" s="63">
        <v>45657</v>
      </c>
      <c r="AK557" t="s">
        <v>111</v>
      </c>
      <c r="AL557" t="s">
        <v>111</v>
      </c>
      <c r="AM557" t="s">
        <v>111</v>
      </c>
      <c r="AN557">
        <v>1505</v>
      </c>
      <c r="AO557" t="s">
        <v>122</v>
      </c>
      <c r="AP557" t="s">
        <v>122</v>
      </c>
    </row>
    <row r="558" spans="1:42" x14ac:dyDescent="0.25">
      <c r="A558" s="28" t="str">
        <f>"15495"</f>
        <v>15495</v>
      </c>
      <c r="B558">
        <v>15495</v>
      </c>
      <c r="C558" t="s">
        <v>2488</v>
      </c>
      <c r="D558" t="s">
        <v>121</v>
      </c>
      <c r="E558" t="s">
        <v>584</v>
      </c>
      <c r="F558" t="s">
        <v>144</v>
      </c>
      <c r="G558" t="s">
        <v>424</v>
      </c>
      <c r="H558" t="s">
        <v>1865</v>
      </c>
      <c r="I558" t="s">
        <v>9543</v>
      </c>
      <c r="J558" t="s">
        <v>126</v>
      </c>
      <c r="K558" s="63">
        <v>27697</v>
      </c>
      <c r="L558" s="28">
        <f>DATEDIF(K558,Zwift25!G$1,"Y")</f>
        <v>48</v>
      </c>
      <c r="M558" s="67">
        <f>IF(J558="m",VLOOKUP(L558,'All Solo Adjustments'!A:D,4,FALSE),VLOOKUP(L558,'All Solo Adjustments'!A:J,10,FALSE))</f>
        <v>4.8032407407407407E-3</v>
      </c>
      <c r="N558" s="63"/>
      <c r="O558" s="63"/>
      <c r="P558" s="63"/>
      <c r="Q558" s="63"/>
      <c r="R558" t="s">
        <v>198</v>
      </c>
      <c r="S558" t="s">
        <v>461</v>
      </c>
      <c r="T558" t="s">
        <v>292</v>
      </c>
      <c r="U558" t="s">
        <v>9542</v>
      </c>
      <c r="V558" t="s">
        <v>9541</v>
      </c>
      <c r="W558" t="s">
        <v>1039</v>
      </c>
      <c r="Y558" t="s">
        <v>9540</v>
      </c>
      <c r="Z558" t="str">
        <f>"07971993903"</f>
        <v>07971993903</v>
      </c>
      <c r="AA558" t="str">
        <f>""</f>
        <v/>
      </c>
      <c r="AB558" t="s">
        <v>1403</v>
      </c>
      <c r="AC558" t="s">
        <v>9539</v>
      </c>
      <c r="AD558" t="s">
        <v>114</v>
      </c>
      <c r="AE558" s="63">
        <v>45338</v>
      </c>
      <c r="AF558" t="s">
        <v>113</v>
      </c>
      <c r="AG558" t="s">
        <v>112</v>
      </c>
      <c r="AH558" t="s">
        <v>112</v>
      </c>
      <c r="AI558" s="63">
        <v>44696</v>
      </c>
      <c r="AJ558" s="63">
        <v>45657</v>
      </c>
      <c r="AK558" t="s">
        <v>112</v>
      </c>
      <c r="AL558" t="s">
        <v>111</v>
      </c>
      <c r="AM558" t="s">
        <v>111</v>
      </c>
      <c r="AN558">
        <v>13546</v>
      </c>
      <c r="AO558" t="s">
        <v>122</v>
      </c>
      <c r="AP558" t="s">
        <v>122</v>
      </c>
    </row>
    <row r="559" spans="1:42" x14ac:dyDescent="0.25">
      <c r="A559" s="28" t="str">
        <f>"0753"</f>
        <v>0753</v>
      </c>
      <c r="B559">
        <v>753</v>
      </c>
      <c r="C559" t="s">
        <v>2488</v>
      </c>
      <c r="D559" t="s">
        <v>121</v>
      </c>
      <c r="F559" t="s">
        <v>120</v>
      </c>
      <c r="G559" t="s">
        <v>284</v>
      </c>
      <c r="H559" t="s">
        <v>1166</v>
      </c>
      <c r="I559" t="s">
        <v>9538</v>
      </c>
      <c r="J559" t="s">
        <v>7</v>
      </c>
      <c r="K559" s="63">
        <v>18850</v>
      </c>
      <c r="L559" s="28">
        <f>DATEDIF(K559,Zwift25!G$1,"Y")</f>
        <v>73</v>
      </c>
      <c r="M559" s="67">
        <f>IF(J559="m",VLOOKUP(L559,'All Solo Adjustments'!A:D,4,FALSE),VLOOKUP(L559,'All Solo Adjustments'!A:J,10,FALSE))</f>
        <v>7.5462962962962966E-3</v>
      </c>
      <c r="N559" s="63"/>
      <c r="O559" s="63"/>
      <c r="P559" s="63"/>
      <c r="Q559" s="63"/>
      <c r="R559" t="s">
        <v>296</v>
      </c>
      <c r="S559" t="s">
        <v>295</v>
      </c>
      <c r="T559" t="s">
        <v>292</v>
      </c>
      <c r="U559" t="s">
        <v>9537</v>
      </c>
      <c r="V559" t="s">
        <v>9536</v>
      </c>
      <c r="W559" t="s">
        <v>3229</v>
      </c>
      <c r="Y559" t="s">
        <v>9535</v>
      </c>
      <c r="Z559" t="str">
        <f>"01847 893546"</f>
        <v>01847 893546</v>
      </c>
      <c r="AA559" t="str">
        <f>""</f>
        <v/>
      </c>
      <c r="AB559" t="s">
        <v>3227</v>
      </c>
      <c r="AC559" t="s">
        <v>9534</v>
      </c>
      <c r="AD559" t="s">
        <v>114</v>
      </c>
      <c r="AE559" s="63">
        <v>45308</v>
      </c>
      <c r="AF559" t="s">
        <v>156</v>
      </c>
      <c r="AG559" t="s">
        <v>112</v>
      </c>
      <c r="AH559" t="s">
        <v>112</v>
      </c>
      <c r="AI559" s="63">
        <v>36957</v>
      </c>
      <c r="AJ559" s="63">
        <v>45657</v>
      </c>
      <c r="AK559" t="s">
        <v>111</v>
      </c>
      <c r="AL559" t="s">
        <v>111</v>
      </c>
      <c r="AM559" t="s">
        <v>111</v>
      </c>
      <c r="AN559" t="s">
        <v>105</v>
      </c>
      <c r="AO559" t="s">
        <v>110</v>
      </c>
      <c r="AP559" t="s">
        <v>109</v>
      </c>
    </row>
    <row r="560" spans="1:42" x14ac:dyDescent="0.25">
      <c r="A560" s="28" t="str">
        <f>"4836"</f>
        <v>4836</v>
      </c>
      <c r="B560">
        <v>4836</v>
      </c>
      <c r="C560" t="s">
        <v>2488</v>
      </c>
      <c r="D560" t="s">
        <v>121</v>
      </c>
      <c r="F560" t="s">
        <v>139</v>
      </c>
      <c r="G560" t="s">
        <v>802</v>
      </c>
      <c r="I560" t="s">
        <v>2438</v>
      </c>
      <c r="J560" t="s">
        <v>126</v>
      </c>
      <c r="K560" s="63">
        <v>18809</v>
      </c>
      <c r="L560" s="28">
        <f>DATEDIF(K560,Zwift25!G$1,"Y")</f>
        <v>73</v>
      </c>
      <c r="M560" s="67">
        <f>IF(J560="m",VLOOKUP(L560,'All Solo Adjustments'!A:D,4,FALSE),VLOOKUP(L560,'All Solo Adjustments'!A:J,10,FALSE))</f>
        <v>1.2928240740740742E-2</v>
      </c>
      <c r="N560" s="63"/>
      <c r="O560" s="63"/>
      <c r="P560" s="63"/>
      <c r="Q560" s="63"/>
      <c r="R560" t="s">
        <v>184</v>
      </c>
      <c r="S560" t="s">
        <v>183</v>
      </c>
      <c r="T560" t="s">
        <v>292</v>
      </c>
      <c r="U560" t="s">
        <v>9533</v>
      </c>
      <c r="V560" t="s">
        <v>167</v>
      </c>
      <c r="Y560" t="s">
        <v>9532</v>
      </c>
      <c r="Z560" t="str">
        <f>"020 7371 1130"</f>
        <v>020 7371 1130</v>
      </c>
      <c r="AA560" t="str">
        <f>"07957561065"</f>
        <v>07957561065</v>
      </c>
      <c r="AB560" t="s">
        <v>1974</v>
      </c>
      <c r="AC560" t="s">
        <v>9531</v>
      </c>
      <c r="AD560" t="s">
        <v>114</v>
      </c>
      <c r="AE560" s="63">
        <v>45268</v>
      </c>
      <c r="AF560" t="s">
        <v>156</v>
      </c>
      <c r="AG560" t="s">
        <v>112</v>
      </c>
      <c r="AH560" t="s">
        <v>112</v>
      </c>
      <c r="AI560" s="63">
        <v>41514</v>
      </c>
      <c r="AJ560" s="63">
        <v>45657</v>
      </c>
      <c r="AK560" t="s">
        <v>111</v>
      </c>
      <c r="AL560" t="s">
        <v>111</v>
      </c>
      <c r="AM560" t="s">
        <v>111</v>
      </c>
      <c r="AN560">
        <v>8851</v>
      </c>
      <c r="AO560" t="s">
        <v>122</v>
      </c>
      <c r="AP560" t="s">
        <v>122</v>
      </c>
    </row>
    <row r="561" spans="1:42" x14ac:dyDescent="0.25">
      <c r="A561" s="28" t="str">
        <f>"0757"</f>
        <v>0757</v>
      </c>
      <c r="B561">
        <v>757</v>
      </c>
      <c r="C561" t="s">
        <v>2488</v>
      </c>
      <c r="D561" t="s">
        <v>121</v>
      </c>
      <c r="F561" t="s">
        <v>120</v>
      </c>
      <c r="G561" t="s">
        <v>9530</v>
      </c>
      <c r="H561" t="s">
        <v>1615</v>
      </c>
      <c r="I561" t="s">
        <v>9529</v>
      </c>
      <c r="J561" t="s">
        <v>7</v>
      </c>
      <c r="K561" s="63">
        <v>19940</v>
      </c>
      <c r="L561" s="28">
        <f>DATEDIF(K561,Zwift25!G$1,"Y")</f>
        <v>70</v>
      </c>
      <c r="M561" s="67">
        <f>IF(J561="m",VLOOKUP(L561,'All Solo Adjustments'!A:D,4,FALSE),VLOOKUP(L561,'All Solo Adjustments'!A:J,10,FALSE))</f>
        <v>6.3425925925925924E-3</v>
      </c>
      <c r="N561" s="63"/>
      <c r="O561" s="63"/>
      <c r="P561" s="63"/>
      <c r="Q561" s="63"/>
      <c r="R561" t="s">
        <v>213</v>
      </c>
      <c r="S561" t="s">
        <v>212</v>
      </c>
      <c r="T561" t="s">
        <v>292</v>
      </c>
      <c r="U561" t="s">
        <v>9528</v>
      </c>
      <c r="V561" t="s">
        <v>9527</v>
      </c>
      <c r="W561" t="s">
        <v>534</v>
      </c>
      <c r="Y561" t="s">
        <v>9526</v>
      </c>
      <c r="Z561" t="str">
        <f>"07508808553"</f>
        <v>07508808553</v>
      </c>
      <c r="AA561" t="str">
        <f>""</f>
        <v/>
      </c>
      <c r="AB561" t="s">
        <v>533</v>
      </c>
      <c r="AC561" t="s">
        <v>9525</v>
      </c>
      <c r="AD561" t="s">
        <v>114</v>
      </c>
      <c r="AE561" s="63">
        <v>45294</v>
      </c>
      <c r="AF561" t="s">
        <v>156</v>
      </c>
      <c r="AG561" t="s">
        <v>112</v>
      </c>
      <c r="AH561" t="s">
        <v>112</v>
      </c>
      <c r="AI561" s="63">
        <v>36177</v>
      </c>
      <c r="AJ561" s="63">
        <v>45657</v>
      </c>
      <c r="AK561" t="s">
        <v>111</v>
      </c>
      <c r="AL561" t="s">
        <v>111</v>
      </c>
      <c r="AM561" t="s">
        <v>111</v>
      </c>
      <c r="AN561">
        <v>18643</v>
      </c>
      <c r="AO561" t="s">
        <v>110</v>
      </c>
      <c r="AP561" t="s">
        <v>109</v>
      </c>
    </row>
    <row r="562" spans="1:42" x14ac:dyDescent="0.25">
      <c r="A562" s="28" t="str">
        <f>"0759"</f>
        <v>0759</v>
      </c>
      <c r="B562">
        <v>759</v>
      </c>
      <c r="C562" t="s">
        <v>2488</v>
      </c>
      <c r="D562" t="s">
        <v>132</v>
      </c>
      <c r="E562" t="s">
        <v>584</v>
      </c>
      <c r="F562" t="s">
        <v>120</v>
      </c>
      <c r="G562" t="s">
        <v>469</v>
      </c>
      <c r="H562" t="s">
        <v>359</v>
      </c>
      <c r="I562" t="s">
        <v>9521</v>
      </c>
      <c r="J562" t="s">
        <v>7</v>
      </c>
      <c r="K562" s="63">
        <v>16330</v>
      </c>
      <c r="L562" s="28">
        <f>DATEDIF(K562,Zwift25!G$1,"Y")</f>
        <v>80</v>
      </c>
      <c r="M562" s="67">
        <f>IF(J562="m",VLOOKUP(L562,'All Solo Adjustments'!A:D,4,FALSE),VLOOKUP(L562,'All Solo Adjustments'!A:J,10,FALSE))</f>
        <v>1.1018518518518518E-2</v>
      </c>
      <c r="N562" s="63"/>
      <c r="O562" s="63"/>
      <c r="P562" s="63"/>
      <c r="Q562" s="63"/>
      <c r="R562" t="s">
        <v>198</v>
      </c>
      <c r="S562" t="s">
        <v>197</v>
      </c>
      <c r="T562" t="s">
        <v>292</v>
      </c>
      <c r="U562" t="s">
        <v>9523</v>
      </c>
      <c r="V562" t="s">
        <v>1521</v>
      </c>
      <c r="W562" t="s">
        <v>1026</v>
      </c>
      <c r="X562" t="s">
        <v>196</v>
      </c>
      <c r="Y562" t="s">
        <v>1520</v>
      </c>
      <c r="Z562" t="str">
        <f>"01625 820210"</f>
        <v>01625 820210</v>
      </c>
      <c r="AA562" t="str">
        <f>"07901528646"</f>
        <v>07901528646</v>
      </c>
      <c r="AB562" t="s">
        <v>1025</v>
      </c>
      <c r="AC562" t="s">
        <v>9522</v>
      </c>
      <c r="AD562" t="s">
        <v>114</v>
      </c>
      <c r="AE562" s="63">
        <v>45264</v>
      </c>
      <c r="AF562" t="s">
        <v>156</v>
      </c>
      <c r="AG562" t="s">
        <v>112</v>
      </c>
      <c r="AH562" t="s">
        <v>112</v>
      </c>
      <c r="AI562" s="63">
        <v>32628</v>
      </c>
      <c r="AJ562" s="63">
        <v>45657</v>
      </c>
      <c r="AK562" t="s">
        <v>111</v>
      </c>
      <c r="AL562" t="s">
        <v>111</v>
      </c>
      <c r="AM562" t="s">
        <v>111</v>
      </c>
      <c r="AN562">
        <v>2460</v>
      </c>
      <c r="AO562" t="s">
        <v>110</v>
      </c>
      <c r="AP562" t="s">
        <v>109</v>
      </c>
    </row>
    <row r="563" spans="1:42" x14ac:dyDescent="0.25">
      <c r="A563" s="28" t="str">
        <f>"13457"</f>
        <v>13457</v>
      </c>
      <c r="B563">
        <v>13457</v>
      </c>
      <c r="C563" t="s">
        <v>2488</v>
      </c>
      <c r="D563" t="s">
        <v>130</v>
      </c>
      <c r="F563" t="s">
        <v>149</v>
      </c>
      <c r="G563" t="s">
        <v>9524</v>
      </c>
      <c r="H563" t="s">
        <v>782</v>
      </c>
      <c r="I563" t="s">
        <v>9521</v>
      </c>
      <c r="J563" t="s">
        <v>126</v>
      </c>
      <c r="K563" s="63">
        <v>18010</v>
      </c>
      <c r="L563" s="28">
        <f>DATEDIF(K563,Zwift25!G$1,"Y")</f>
        <v>75</v>
      </c>
      <c r="M563" s="67">
        <f>IF(J563="m",VLOOKUP(L563,'All Solo Adjustments'!A:D,4,FALSE),VLOOKUP(L563,'All Solo Adjustments'!A:J,10,FALSE))</f>
        <v>1.3923611111111112E-2</v>
      </c>
      <c r="N563" s="63"/>
      <c r="O563" s="63"/>
      <c r="P563" s="63"/>
      <c r="Q563" s="63"/>
      <c r="R563" t="s">
        <v>198</v>
      </c>
      <c r="S563" t="s">
        <v>197</v>
      </c>
      <c r="T563" t="s">
        <v>292</v>
      </c>
      <c r="U563" t="s">
        <v>9523</v>
      </c>
      <c r="V563" t="s">
        <v>1521</v>
      </c>
      <c r="W563" t="s">
        <v>1026</v>
      </c>
      <c r="X563" t="s">
        <v>196</v>
      </c>
      <c r="Y563" t="s">
        <v>1520</v>
      </c>
      <c r="Z563" t="str">
        <f>"01625 820210"</f>
        <v>01625 820210</v>
      </c>
      <c r="AA563" t="str">
        <f>"07901528646"</f>
        <v>07901528646</v>
      </c>
      <c r="AB563" t="s">
        <v>290</v>
      </c>
      <c r="AC563" t="s">
        <v>9522</v>
      </c>
      <c r="AD563" t="s">
        <v>114</v>
      </c>
      <c r="AE563" s="63">
        <v>45262</v>
      </c>
      <c r="AF563" t="s">
        <v>156</v>
      </c>
      <c r="AG563" t="s">
        <v>111</v>
      </c>
      <c r="AH563" t="s">
        <v>111</v>
      </c>
      <c r="AI563" s="63">
        <v>42825</v>
      </c>
      <c r="AJ563" s="63">
        <v>45657</v>
      </c>
      <c r="AK563" t="s">
        <v>111</v>
      </c>
      <c r="AL563" t="s">
        <v>111</v>
      </c>
      <c r="AM563" t="s">
        <v>111</v>
      </c>
      <c r="AN563" t="s">
        <v>105</v>
      </c>
      <c r="AO563" t="s">
        <v>122</v>
      </c>
      <c r="AP563" t="s">
        <v>122</v>
      </c>
    </row>
    <row r="564" spans="1:42" x14ac:dyDescent="0.25">
      <c r="A564" s="28" t="str">
        <f>"13760"</f>
        <v>13760</v>
      </c>
      <c r="B564">
        <v>13760</v>
      </c>
      <c r="C564" t="s">
        <v>2488</v>
      </c>
      <c r="D564" t="s">
        <v>121</v>
      </c>
      <c r="F564" t="s">
        <v>120</v>
      </c>
      <c r="G564" t="s">
        <v>6754</v>
      </c>
      <c r="I564" t="s">
        <v>9521</v>
      </c>
      <c r="J564" t="s">
        <v>7</v>
      </c>
      <c r="K564" s="63">
        <v>23695</v>
      </c>
      <c r="L564" s="28">
        <f>DATEDIF(K564,Zwift25!G$1,"Y")</f>
        <v>59</v>
      </c>
      <c r="M564" s="67">
        <f>IF(J564="m",VLOOKUP(L564,'All Solo Adjustments'!A:D,4,FALSE),VLOOKUP(L564,'All Solo Adjustments'!A:J,10,FALSE))</f>
        <v>2.9629629629629632E-3</v>
      </c>
      <c r="N564" s="63"/>
      <c r="O564" s="63"/>
      <c r="P564" s="63"/>
      <c r="Q564" s="63"/>
      <c r="R564" t="s">
        <v>296</v>
      </c>
      <c r="S564" t="s">
        <v>295</v>
      </c>
      <c r="T564" t="s">
        <v>292</v>
      </c>
      <c r="U564" t="s">
        <v>9520</v>
      </c>
      <c r="V564" t="s">
        <v>9519</v>
      </c>
      <c r="W564" t="s">
        <v>1963</v>
      </c>
      <c r="Y564" t="s">
        <v>9518</v>
      </c>
      <c r="Z564" t="str">
        <f>"0141 561 7875"</f>
        <v>0141 561 7875</v>
      </c>
      <c r="AA564" t="str">
        <f>"0774 849 6577"</f>
        <v>0774 849 6577</v>
      </c>
      <c r="AB564" t="s">
        <v>290</v>
      </c>
      <c r="AC564" t="s">
        <v>9517</v>
      </c>
      <c r="AD564" t="s">
        <v>114</v>
      </c>
      <c r="AE564" s="63">
        <v>45274</v>
      </c>
      <c r="AF564" t="s">
        <v>156</v>
      </c>
      <c r="AG564" t="s">
        <v>112</v>
      </c>
      <c r="AH564" t="s">
        <v>112</v>
      </c>
      <c r="AI564" s="63">
        <v>43320</v>
      </c>
      <c r="AJ564" s="63">
        <v>45657</v>
      </c>
      <c r="AK564" t="s">
        <v>112</v>
      </c>
      <c r="AL564" t="s">
        <v>111</v>
      </c>
      <c r="AM564" t="s">
        <v>111</v>
      </c>
      <c r="AN564">
        <v>26173</v>
      </c>
      <c r="AO564" t="s">
        <v>110</v>
      </c>
      <c r="AP564" t="s">
        <v>109</v>
      </c>
    </row>
    <row r="565" spans="1:42" x14ac:dyDescent="0.25">
      <c r="A565" s="28" t="str">
        <f>"15742"</f>
        <v>15742</v>
      </c>
      <c r="B565">
        <v>15742</v>
      </c>
      <c r="C565" t="s">
        <v>2488</v>
      </c>
      <c r="D565" t="s">
        <v>121</v>
      </c>
      <c r="F565" t="s">
        <v>120</v>
      </c>
      <c r="G565" t="s">
        <v>820</v>
      </c>
      <c r="H565" t="s">
        <v>492</v>
      </c>
      <c r="I565" t="s">
        <v>9516</v>
      </c>
      <c r="J565" t="s">
        <v>7</v>
      </c>
      <c r="K565" s="63">
        <v>23983</v>
      </c>
      <c r="L565" s="28">
        <f>DATEDIF(K565,Zwift25!G$1,"Y")</f>
        <v>59</v>
      </c>
      <c r="M565" s="67">
        <f>IF(J565="m",VLOOKUP(L565,'All Solo Adjustments'!A:D,4,FALSE),VLOOKUP(L565,'All Solo Adjustments'!A:J,10,FALSE))</f>
        <v>2.9629629629629632E-3</v>
      </c>
      <c r="N565" s="63"/>
      <c r="O565" s="63"/>
      <c r="P565" s="63"/>
      <c r="Q565" s="63"/>
      <c r="R565" t="s">
        <v>239</v>
      </c>
      <c r="S565" t="s">
        <v>274</v>
      </c>
      <c r="T565" t="s">
        <v>292</v>
      </c>
      <c r="U565" t="s">
        <v>9515</v>
      </c>
      <c r="W565" t="s">
        <v>1324</v>
      </c>
      <c r="X565" t="s">
        <v>239</v>
      </c>
      <c r="Y565" t="s">
        <v>9514</v>
      </c>
      <c r="Z565" t="str">
        <f>"07771662106"</f>
        <v>07771662106</v>
      </c>
      <c r="AA565" t="str">
        <f>""</f>
        <v/>
      </c>
      <c r="AB565" t="s">
        <v>516</v>
      </c>
      <c r="AC565" t="s">
        <v>9513</v>
      </c>
      <c r="AD565" t="s">
        <v>114</v>
      </c>
      <c r="AE565" s="63">
        <v>45294</v>
      </c>
      <c r="AF565" t="s">
        <v>156</v>
      </c>
      <c r="AG565" t="s">
        <v>112</v>
      </c>
      <c r="AH565" t="s">
        <v>112</v>
      </c>
      <c r="AI565" s="63">
        <v>45008</v>
      </c>
      <c r="AJ565" s="63">
        <v>45657</v>
      </c>
      <c r="AK565" t="s">
        <v>112</v>
      </c>
      <c r="AL565" t="s">
        <v>111</v>
      </c>
      <c r="AM565" t="s">
        <v>111</v>
      </c>
      <c r="AN565">
        <v>44242</v>
      </c>
      <c r="AO565" t="s">
        <v>110</v>
      </c>
      <c r="AP565" t="s">
        <v>109</v>
      </c>
    </row>
    <row r="566" spans="1:42" x14ac:dyDescent="0.25">
      <c r="A566" s="28" t="str">
        <f>"15886"</f>
        <v>15886</v>
      </c>
      <c r="B566">
        <v>15886</v>
      </c>
      <c r="C566" t="s">
        <v>2488</v>
      </c>
      <c r="D566" t="s">
        <v>121</v>
      </c>
      <c r="F566" t="s">
        <v>149</v>
      </c>
      <c r="G566" t="s">
        <v>3058</v>
      </c>
      <c r="H566" t="s">
        <v>478</v>
      </c>
      <c r="I566" t="s">
        <v>2026</v>
      </c>
      <c r="J566" t="s">
        <v>126</v>
      </c>
      <c r="K566" s="63">
        <v>29111</v>
      </c>
      <c r="L566" s="28">
        <f>DATEDIF(K566,Zwift25!G$1,"Y")</f>
        <v>45</v>
      </c>
      <c r="M566" s="67">
        <f>IF(J566="m",VLOOKUP(L566,'All Solo Adjustments'!A:D,4,FALSE),VLOOKUP(L566,'All Solo Adjustments'!A:J,10,FALSE))</f>
        <v>4.6180555555555558E-3</v>
      </c>
      <c r="N566" s="63"/>
      <c r="O566" s="63"/>
      <c r="P566" s="63"/>
      <c r="Q566" s="63"/>
      <c r="R566" t="s">
        <v>213</v>
      </c>
      <c r="S566" t="s">
        <v>212</v>
      </c>
      <c r="T566" t="s">
        <v>292</v>
      </c>
      <c r="U566" t="s">
        <v>9512</v>
      </c>
      <c r="V566" t="s">
        <v>393</v>
      </c>
      <c r="Y566" t="s">
        <v>9511</v>
      </c>
      <c r="Z566" t="str">
        <f>"07891760213"</f>
        <v>07891760213</v>
      </c>
      <c r="AA566" t="str">
        <f>"07891760213"</f>
        <v>07891760213</v>
      </c>
      <c r="AB566" t="s">
        <v>9510</v>
      </c>
      <c r="AC566" t="s">
        <v>9509</v>
      </c>
      <c r="AD566" t="s">
        <v>114</v>
      </c>
      <c r="AE566" s="63">
        <v>45265</v>
      </c>
      <c r="AF566" t="s">
        <v>156</v>
      </c>
      <c r="AG566" t="s">
        <v>112</v>
      </c>
      <c r="AH566" t="s">
        <v>112</v>
      </c>
      <c r="AI566" s="63">
        <v>45122</v>
      </c>
      <c r="AJ566" s="63">
        <v>45657</v>
      </c>
      <c r="AK566" t="s">
        <v>112</v>
      </c>
      <c r="AL566" t="s">
        <v>111</v>
      </c>
      <c r="AM566" t="s">
        <v>111</v>
      </c>
      <c r="AN566">
        <v>7108</v>
      </c>
      <c r="AO566" t="s">
        <v>122</v>
      </c>
      <c r="AP566" t="s">
        <v>122</v>
      </c>
    </row>
    <row r="567" spans="1:42" x14ac:dyDescent="0.25">
      <c r="A567" s="28" t="str">
        <f>"15587"</f>
        <v>15587</v>
      </c>
      <c r="B567">
        <v>15587</v>
      </c>
      <c r="C567" t="s">
        <v>2488</v>
      </c>
      <c r="D567" t="s">
        <v>121</v>
      </c>
      <c r="F567" t="s">
        <v>120</v>
      </c>
      <c r="G567" t="s">
        <v>9508</v>
      </c>
      <c r="I567" t="s">
        <v>9507</v>
      </c>
      <c r="J567" t="s">
        <v>7</v>
      </c>
      <c r="K567" s="63">
        <v>27803</v>
      </c>
      <c r="L567" s="28">
        <f>DATEDIF(K567,Zwift25!G$1,"Y")</f>
        <v>48</v>
      </c>
      <c r="M567" s="67">
        <f>IF(J567="m",VLOOKUP(L567,'All Solo Adjustments'!A:D,4,FALSE),VLOOKUP(L567,'All Solo Adjustments'!A:J,10,FALSE))</f>
        <v>8.3333333333333339E-4</v>
      </c>
      <c r="N567" s="63"/>
      <c r="O567" s="63"/>
      <c r="P567" s="63"/>
      <c r="Q567" s="63"/>
      <c r="R567" t="s">
        <v>184</v>
      </c>
      <c r="S567" t="s">
        <v>183</v>
      </c>
      <c r="T567" t="s">
        <v>292</v>
      </c>
      <c r="U567" t="s">
        <v>9506</v>
      </c>
      <c r="X567" t="s">
        <v>9505</v>
      </c>
      <c r="Y567" t="s">
        <v>9504</v>
      </c>
      <c r="Z567" t="str">
        <f>"07887661602"</f>
        <v>07887661602</v>
      </c>
      <c r="AA567" t="str">
        <f>""</f>
        <v/>
      </c>
      <c r="AB567" t="s">
        <v>232</v>
      </c>
      <c r="AC567" t="s">
        <v>9503</v>
      </c>
      <c r="AD567" t="s">
        <v>114</v>
      </c>
      <c r="AE567" s="63">
        <v>45262</v>
      </c>
      <c r="AF567" t="s">
        <v>113</v>
      </c>
      <c r="AG567" t="s">
        <v>112</v>
      </c>
      <c r="AH567" t="s">
        <v>112</v>
      </c>
      <c r="AI567" s="63">
        <v>44803</v>
      </c>
      <c r="AJ567" s="63">
        <v>45657</v>
      </c>
      <c r="AK567" t="s">
        <v>112</v>
      </c>
      <c r="AL567" t="s">
        <v>111</v>
      </c>
      <c r="AM567" t="s">
        <v>111</v>
      </c>
      <c r="AN567">
        <v>30101</v>
      </c>
      <c r="AO567" t="s">
        <v>110</v>
      </c>
      <c r="AP567" t="s">
        <v>109</v>
      </c>
    </row>
    <row r="568" spans="1:42" x14ac:dyDescent="0.25">
      <c r="A568" s="28" t="str">
        <f>"15218"</f>
        <v>15218</v>
      </c>
      <c r="B568">
        <v>15218</v>
      </c>
      <c r="C568" t="s">
        <v>2488</v>
      </c>
      <c r="D568" t="s">
        <v>121</v>
      </c>
      <c r="E568" t="s">
        <v>584</v>
      </c>
      <c r="F568" t="s">
        <v>120</v>
      </c>
      <c r="G568" t="s">
        <v>359</v>
      </c>
      <c r="H568" t="s">
        <v>1155</v>
      </c>
      <c r="I568" t="s">
        <v>9502</v>
      </c>
      <c r="J568" t="s">
        <v>7</v>
      </c>
      <c r="K568" s="63">
        <v>20000</v>
      </c>
      <c r="L568" s="28">
        <f>DATEDIF(K568,Zwift25!G$1,"Y")</f>
        <v>70</v>
      </c>
      <c r="M568" s="67">
        <f>IF(J568="m",VLOOKUP(L568,'All Solo Adjustments'!A:D,4,FALSE),VLOOKUP(L568,'All Solo Adjustments'!A:J,10,FALSE))</f>
        <v>6.3425925925925924E-3</v>
      </c>
      <c r="N568" s="63"/>
      <c r="O568" s="63"/>
      <c r="P568" s="63"/>
      <c r="Q568" s="63"/>
      <c r="R568" t="s">
        <v>198</v>
      </c>
      <c r="S568" t="s">
        <v>461</v>
      </c>
      <c r="T568" t="s">
        <v>292</v>
      </c>
      <c r="U568" t="s">
        <v>9501</v>
      </c>
      <c r="V568" t="s">
        <v>9500</v>
      </c>
      <c r="W568" t="s">
        <v>1039</v>
      </c>
      <c r="X568" t="s">
        <v>616</v>
      </c>
      <c r="Y568" t="s">
        <v>9499</v>
      </c>
      <c r="Z568" t="str">
        <f>"01617995328"</f>
        <v>01617995328</v>
      </c>
      <c r="AA568" t="str">
        <f>"07540869172"</f>
        <v>07540869172</v>
      </c>
      <c r="AB568" t="s">
        <v>9498</v>
      </c>
      <c r="AC568" t="s">
        <v>9497</v>
      </c>
      <c r="AD568" t="s">
        <v>114</v>
      </c>
      <c r="AE568" s="63">
        <v>45361</v>
      </c>
      <c r="AF568" t="s">
        <v>156</v>
      </c>
      <c r="AG568" t="s">
        <v>112</v>
      </c>
      <c r="AH568" t="s">
        <v>112</v>
      </c>
      <c r="AI568" s="63">
        <v>44427</v>
      </c>
      <c r="AJ568" s="63">
        <v>45657</v>
      </c>
      <c r="AK568" t="s">
        <v>112</v>
      </c>
      <c r="AL568" t="s">
        <v>111</v>
      </c>
      <c r="AM568" t="s">
        <v>111</v>
      </c>
      <c r="AN568" t="s">
        <v>105</v>
      </c>
      <c r="AO568" t="s">
        <v>110</v>
      </c>
      <c r="AP568" t="s">
        <v>109</v>
      </c>
    </row>
    <row r="569" spans="1:42" x14ac:dyDescent="0.25">
      <c r="A569" s="28" t="str">
        <f>"14656"</f>
        <v>14656</v>
      </c>
      <c r="B569">
        <v>14656</v>
      </c>
      <c r="C569" t="s">
        <v>2488</v>
      </c>
      <c r="D569" t="s">
        <v>121</v>
      </c>
      <c r="F569" t="s">
        <v>120</v>
      </c>
      <c r="G569" t="s">
        <v>489</v>
      </c>
      <c r="H569" t="s">
        <v>9496</v>
      </c>
      <c r="I569" t="s">
        <v>9495</v>
      </c>
      <c r="J569" t="s">
        <v>7</v>
      </c>
      <c r="K569" s="63">
        <v>29225</v>
      </c>
      <c r="L569" s="28">
        <f>DATEDIF(K569,Zwift25!G$1,"Y")</f>
        <v>44</v>
      </c>
      <c r="M569" s="67">
        <f>IF(J569="m",VLOOKUP(L569,'All Solo Adjustments'!A:D,4,FALSE),VLOOKUP(L569,'All Solo Adjustments'!A:J,10,FALSE))</f>
        <v>3.3564814814814818E-4</v>
      </c>
      <c r="N569" s="63"/>
      <c r="O569" s="63"/>
      <c r="P569" s="63"/>
      <c r="Q569" s="63"/>
      <c r="R569" t="s">
        <v>239</v>
      </c>
      <c r="S569" t="s">
        <v>274</v>
      </c>
      <c r="T569" t="s">
        <v>292</v>
      </c>
      <c r="U569" t="s">
        <v>9494</v>
      </c>
      <c r="V569" t="s">
        <v>1778</v>
      </c>
      <c r="W569" t="s">
        <v>1778</v>
      </c>
      <c r="X569" t="s">
        <v>9493</v>
      </c>
      <c r="Y569" t="s">
        <v>9492</v>
      </c>
      <c r="Z569" t="str">
        <f>"07411228954"</f>
        <v>07411228954</v>
      </c>
      <c r="AA569" t="str">
        <f>""</f>
        <v/>
      </c>
      <c r="AB569" t="s">
        <v>1599</v>
      </c>
      <c r="AC569" t="s">
        <v>9491</v>
      </c>
      <c r="AD569" t="s">
        <v>114</v>
      </c>
      <c r="AE569" s="63">
        <v>45292</v>
      </c>
      <c r="AF569" t="s">
        <v>156</v>
      </c>
      <c r="AG569" t="s">
        <v>112</v>
      </c>
      <c r="AH569" t="s">
        <v>112</v>
      </c>
      <c r="AI569" s="63">
        <v>44058</v>
      </c>
      <c r="AJ569" s="63">
        <v>45657</v>
      </c>
      <c r="AK569" t="s">
        <v>112</v>
      </c>
      <c r="AL569" t="s">
        <v>111</v>
      </c>
      <c r="AM569" t="s">
        <v>111</v>
      </c>
      <c r="AN569">
        <v>35077</v>
      </c>
      <c r="AO569" t="s">
        <v>110</v>
      </c>
      <c r="AP569" t="s">
        <v>109</v>
      </c>
    </row>
    <row r="570" spans="1:42" x14ac:dyDescent="0.25">
      <c r="A570" s="28" t="str">
        <f>"0764"</f>
        <v>0764</v>
      </c>
      <c r="B570">
        <v>764</v>
      </c>
      <c r="C570" t="s">
        <v>2488</v>
      </c>
      <c r="D570" t="s">
        <v>121</v>
      </c>
      <c r="F570" t="s">
        <v>120</v>
      </c>
      <c r="G570" t="s">
        <v>9490</v>
      </c>
      <c r="I570" t="s">
        <v>2022</v>
      </c>
      <c r="J570" t="s">
        <v>7</v>
      </c>
      <c r="K570" s="63">
        <v>14710</v>
      </c>
      <c r="L570" s="28">
        <f>DATEDIF(K570,Zwift25!G$1,"Y")</f>
        <v>84</v>
      </c>
      <c r="M570" s="67">
        <f>IF(J570="m",VLOOKUP(L570,'All Solo Adjustments'!A:D,4,FALSE),VLOOKUP(L570,'All Solo Adjustments'!A:J,10,FALSE))</f>
        <v>1.3530092592592592E-2</v>
      </c>
      <c r="N570" s="63"/>
      <c r="O570" s="63"/>
      <c r="P570" s="63"/>
      <c r="Q570" s="63"/>
      <c r="R570" t="s">
        <v>283</v>
      </c>
      <c r="S570" t="s">
        <v>2311</v>
      </c>
      <c r="T570" t="s">
        <v>292</v>
      </c>
      <c r="U570" t="s">
        <v>9489</v>
      </c>
      <c r="V570" t="s">
        <v>9488</v>
      </c>
      <c r="W570" t="s">
        <v>1871</v>
      </c>
      <c r="Y570" t="s">
        <v>9487</v>
      </c>
      <c r="Z570" t="str">
        <f>"01746 599015"</f>
        <v>01746 599015</v>
      </c>
      <c r="AA570" t="str">
        <f>"07913 574239"</f>
        <v>07913 574239</v>
      </c>
      <c r="AB570" t="s">
        <v>1389</v>
      </c>
      <c r="AC570" t="s">
        <v>9486</v>
      </c>
      <c r="AD570" t="s">
        <v>145</v>
      </c>
      <c r="AF570" t="s">
        <v>113</v>
      </c>
      <c r="AG570" t="s">
        <v>112</v>
      </c>
      <c r="AH570" t="s">
        <v>112</v>
      </c>
      <c r="AI570" s="63">
        <v>39580</v>
      </c>
      <c r="AK570" t="s">
        <v>111</v>
      </c>
      <c r="AL570" t="s">
        <v>111</v>
      </c>
      <c r="AM570" t="s">
        <v>111</v>
      </c>
      <c r="AN570">
        <v>5382</v>
      </c>
      <c r="AO570" t="s">
        <v>110</v>
      </c>
      <c r="AP570" t="s">
        <v>109</v>
      </c>
    </row>
    <row r="571" spans="1:42" x14ac:dyDescent="0.25">
      <c r="A571" s="28" t="str">
        <f>"16050"</f>
        <v>16050</v>
      </c>
      <c r="B571">
        <v>16050</v>
      </c>
      <c r="C571" t="s">
        <v>2488</v>
      </c>
      <c r="D571" t="s">
        <v>121</v>
      </c>
      <c r="E571" t="s">
        <v>584</v>
      </c>
      <c r="F571" t="s">
        <v>120</v>
      </c>
      <c r="G571" t="s">
        <v>165</v>
      </c>
      <c r="H571" t="s">
        <v>685</v>
      </c>
      <c r="I571" t="s">
        <v>2022</v>
      </c>
      <c r="J571" t="s">
        <v>7</v>
      </c>
      <c r="K571" s="63">
        <v>28090</v>
      </c>
      <c r="L571" s="28">
        <f>DATEDIF(K571,Zwift25!G$1,"Y")</f>
        <v>47</v>
      </c>
      <c r="M571" s="67">
        <f>IF(J571="m",VLOOKUP(L571,'All Solo Adjustments'!A:D,4,FALSE),VLOOKUP(L571,'All Solo Adjustments'!A:J,10,FALSE))</f>
        <v>6.9444444444444436E-4</v>
      </c>
      <c r="N571" s="63"/>
      <c r="O571" s="63"/>
      <c r="P571" s="63"/>
      <c r="Q571" s="63"/>
      <c r="R571" t="s">
        <v>213</v>
      </c>
      <c r="S571" t="s">
        <v>212</v>
      </c>
      <c r="T571" t="s">
        <v>292</v>
      </c>
      <c r="U571" t="s">
        <v>9485</v>
      </c>
      <c r="W571" t="s">
        <v>1407</v>
      </c>
      <c r="X571" t="s">
        <v>534</v>
      </c>
      <c r="Y571" t="s">
        <v>9484</v>
      </c>
      <c r="Z571" t="str">
        <f>"07980425458"</f>
        <v>07980425458</v>
      </c>
      <c r="AA571" t="str">
        <f>""</f>
        <v/>
      </c>
      <c r="AB571" t="s">
        <v>9483</v>
      </c>
      <c r="AC571" t="s">
        <v>9482</v>
      </c>
      <c r="AD571" t="s">
        <v>114</v>
      </c>
      <c r="AE571" s="63">
        <v>45354</v>
      </c>
      <c r="AF571" t="s">
        <v>156</v>
      </c>
      <c r="AG571" t="s">
        <v>112</v>
      </c>
      <c r="AH571" t="s">
        <v>112</v>
      </c>
      <c r="AI571" s="63">
        <v>45354</v>
      </c>
      <c r="AJ571" s="63">
        <v>45657</v>
      </c>
      <c r="AK571" t="s">
        <v>112</v>
      </c>
      <c r="AL571" t="s">
        <v>111</v>
      </c>
      <c r="AM571" t="s">
        <v>111</v>
      </c>
      <c r="AN571">
        <v>5967</v>
      </c>
      <c r="AO571" t="s">
        <v>110</v>
      </c>
      <c r="AP571" t="s">
        <v>109</v>
      </c>
    </row>
    <row r="572" spans="1:42" x14ac:dyDescent="0.25">
      <c r="A572" s="28" t="str">
        <f>"0770"</f>
        <v>0770</v>
      </c>
      <c r="B572">
        <v>770</v>
      </c>
      <c r="C572" t="s">
        <v>2488</v>
      </c>
      <c r="D572" t="s">
        <v>121</v>
      </c>
      <c r="E572" t="s">
        <v>584</v>
      </c>
      <c r="F572" t="s">
        <v>120</v>
      </c>
      <c r="G572" t="s">
        <v>744</v>
      </c>
      <c r="I572" t="s">
        <v>9481</v>
      </c>
      <c r="J572" t="s">
        <v>7</v>
      </c>
      <c r="K572" s="63">
        <v>16970</v>
      </c>
      <c r="L572" s="28">
        <f>DATEDIF(K572,Zwift25!G$1,"Y")</f>
        <v>78</v>
      </c>
      <c r="M572" s="67">
        <f>IF(J572="m",VLOOKUP(L572,'All Solo Adjustments'!A:D,4,FALSE),VLOOKUP(L572,'All Solo Adjustments'!A:J,10,FALSE))</f>
        <v>9.9189814814814817E-3</v>
      </c>
      <c r="N572" s="63"/>
      <c r="O572" s="63"/>
      <c r="P572" s="63"/>
      <c r="Q572" s="63"/>
      <c r="R572" t="s">
        <v>198</v>
      </c>
      <c r="S572" t="s">
        <v>461</v>
      </c>
      <c r="T572" t="s">
        <v>292</v>
      </c>
      <c r="U572" t="s">
        <v>9480</v>
      </c>
      <c r="V572" t="s">
        <v>1039</v>
      </c>
      <c r="Y572" t="s">
        <v>9479</v>
      </c>
      <c r="Z572" t="str">
        <f>"07773030100"</f>
        <v>07773030100</v>
      </c>
      <c r="AA572" t="str">
        <f>""</f>
        <v/>
      </c>
      <c r="AB572" t="s">
        <v>9478</v>
      </c>
      <c r="AC572" t="s">
        <v>9477</v>
      </c>
      <c r="AD572" t="s">
        <v>114</v>
      </c>
      <c r="AE572" s="63">
        <v>45368</v>
      </c>
      <c r="AF572" t="s">
        <v>156</v>
      </c>
      <c r="AG572" t="s">
        <v>112</v>
      </c>
      <c r="AH572" t="s">
        <v>112</v>
      </c>
      <c r="AI572" s="63">
        <v>32598</v>
      </c>
      <c r="AJ572" s="63">
        <v>45657</v>
      </c>
      <c r="AK572" t="s">
        <v>111</v>
      </c>
      <c r="AL572" t="s">
        <v>111</v>
      </c>
      <c r="AM572" t="s">
        <v>111</v>
      </c>
      <c r="AN572">
        <v>11426</v>
      </c>
      <c r="AO572" t="s">
        <v>110</v>
      </c>
      <c r="AP572" t="s">
        <v>109</v>
      </c>
    </row>
    <row r="573" spans="1:42" x14ac:dyDescent="0.25">
      <c r="A573" s="28" t="str">
        <f>"0771"</f>
        <v>0771</v>
      </c>
      <c r="B573">
        <v>771</v>
      </c>
      <c r="C573" t="s">
        <v>2488</v>
      </c>
      <c r="D573" t="s">
        <v>121</v>
      </c>
      <c r="F573" t="s">
        <v>120</v>
      </c>
      <c r="G573" t="s">
        <v>1037</v>
      </c>
      <c r="I573" t="s">
        <v>9476</v>
      </c>
      <c r="J573" t="s">
        <v>7</v>
      </c>
      <c r="K573" s="63">
        <v>16832</v>
      </c>
      <c r="L573" s="28">
        <f>DATEDIF(K573,Zwift25!G$1,"Y")</f>
        <v>78</v>
      </c>
      <c r="M573" s="67">
        <f>IF(J573="m",VLOOKUP(L573,'All Solo Adjustments'!A:D,4,FALSE),VLOOKUP(L573,'All Solo Adjustments'!A:J,10,FALSE))</f>
        <v>9.9189814814814817E-3</v>
      </c>
      <c r="N573" s="63"/>
      <c r="O573" s="63"/>
      <c r="P573" s="63"/>
      <c r="Q573" s="63"/>
      <c r="R573" t="s">
        <v>184</v>
      </c>
      <c r="S573" t="s">
        <v>183</v>
      </c>
      <c r="T573" t="s">
        <v>292</v>
      </c>
      <c r="U573" t="s">
        <v>9475</v>
      </c>
      <c r="V573" t="s">
        <v>9474</v>
      </c>
      <c r="W573" t="s">
        <v>9473</v>
      </c>
      <c r="X573" t="s">
        <v>9472</v>
      </c>
      <c r="Y573" t="s">
        <v>9471</v>
      </c>
      <c r="Z573" t="str">
        <f>"+441568760200"</f>
        <v>+441568760200</v>
      </c>
      <c r="AA573" t="str">
        <f>"+447962301103"</f>
        <v>+447962301103</v>
      </c>
      <c r="AB573" t="s">
        <v>9470</v>
      </c>
      <c r="AC573" t="s">
        <v>9469</v>
      </c>
      <c r="AD573" t="s">
        <v>114</v>
      </c>
      <c r="AE573" s="63">
        <v>45265</v>
      </c>
      <c r="AF573" t="s">
        <v>113</v>
      </c>
      <c r="AG573" t="s">
        <v>112</v>
      </c>
      <c r="AH573" t="s">
        <v>112</v>
      </c>
      <c r="AI573" s="63">
        <v>43503</v>
      </c>
      <c r="AJ573" s="63">
        <v>45657</v>
      </c>
      <c r="AK573" t="s">
        <v>111</v>
      </c>
      <c r="AL573" t="s">
        <v>111</v>
      </c>
      <c r="AM573" t="s">
        <v>111</v>
      </c>
      <c r="AN573" t="s">
        <v>105</v>
      </c>
      <c r="AO573" t="s">
        <v>110</v>
      </c>
      <c r="AP573" t="s">
        <v>109</v>
      </c>
    </row>
    <row r="574" spans="1:42" x14ac:dyDescent="0.25">
      <c r="A574" s="28" t="str">
        <f>"6512"</f>
        <v>6512</v>
      </c>
      <c r="B574">
        <v>6512</v>
      </c>
      <c r="C574" t="s">
        <v>2488</v>
      </c>
      <c r="D574" t="s">
        <v>121</v>
      </c>
      <c r="F574" t="s">
        <v>120</v>
      </c>
      <c r="G574" t="s">
        <v>300</v>
      </c>
      <c r="H574" t="s">
        <v>284</v>
      </c>
      <c r="I574" t="s">
        <v>9468</v>
      </c>
      <c r="J574" t="s">
        <v>7</v>
      </c>
      <c r="K574" s="63">
        <v>21957</v>
      </c>
      <c r="L574" s="28">
        <f>DATEDIF(K574,Zwift25!G$1,"Y")</f>
        <v>64</v>
      </c>
      <c r="M574" s="67">
        <f>IF(J574="m",VLOOKUP(L574,'All Solo Adjustments'!A:D,4,FALSE),VLOOKUP(L574,'All Solo Adjustments'!A:J,10,FALSE))</f>
        <v>4.31712962962963E-3</v>
      </c>
      <c r="N574" s="63"/>
      <c r="O574" s="63"/>
      <c r="P574" s="63"/>
      <c r="Q574" s="63"/>
      <c r="R574" t="s">
        <v>159</v>
      </c>
      <c r="S574" t="s">
        <v>162</v>
      </c>
      <c r="T574" t="s">
        <v>292</v>
      </c>
      <c r="U574" t="s">
        <v>9467</v>
      </c>
      <c r="V574" t="s">
        <v>787</v>
      </c>
      <c r="W574" t="s">
        <v>159</v>
      </c>
      <c r="Y574" t="s">
        <v>9466</v>
      </c>
      <c r="Z574" t="str">
        <f>"01304 367325"</f>
        <v>01304 367325</v>
      </c>
      <c r="AA574" t="str">
        <f>"07889 288844"</f>
        <v>07889 288844</v>
      </c>
      <c r="AB574" t="s">
        <v>9465</v>
      </c>
      <c r="AC574" t="s">
        <v>9464</v>
      </c>
      <c r="AD574" t="s">
        <v>114</v>
      </c>
      <c r="AE574" s="63">
        <v>45298</v>
      </c>
      <c r="AF574" t="s">
        <v>156</v>
      </c>
      <c r="AG574" t="s">
        <v>112</v>
      </c>
      <c r="AH574" t="s">
        <v>112</v>
      </c>
      <c r="AI574" s="63">
        <v>43475</v>
      </c>
      <c r="AJ574" s="63">
        <v>45657</v>
      </c>
      <c r="AK574" t="s">
        <v>111</v>
      </c>
      <c r="AL574" t="s">
        <v>111</v>
      </c>
      <c r="AM574" t="s">
        <v>111</v>
      </c>
      <c r="AN574">
        <v>36289</v>
      </c>
      <c r="AO574" t="s">
        <v>110</v>
      </c>
      <c r="AP574" t="s">
        <v>109</v>
      </c>
    </row>
    <row r="575" spans="1:42" x14ac:dyDescent="0.25">
      <c r="A575" s="28" t="str">
        <f>"0773"</f>
        <v>0773</v>
      </c>
      <c r="B575">
        <v>773</v>
      </c>
      <c r="C575" t="s">
        <v>2488</v>
      </c>
      <c r="D575" t="s">
        <v>121</v>
      </c>
      <c r="F575" t="s">
        <v>120</v>
      </c>
      <c r="G575" t="s">
        <v>195</v>
      </c>
      <c r="I575" t="s">
        <v>9463</v>
      </c>
      <c r="J575" t="s">
        <v>7</v>
      </c>
      <c r="K575" s="63">
        <v>16073</v>
      </c>
      <c r="L575" s="28">
        <f>DATEDIF(K575,Zwift25!G$1,"Y")</f>
        <v>80</v>
      </c>
      <c r="M575" s="67">
        <f>IF(J575="m",VLOOKUP(L575,'All Solo Adjustments'!A:D,4,FALSE),VLOOKUP(L575,'All Solo Adjustments'!A:J,10,FALSE))</f>
        <v>1.1018518518518518E-2</v>
      </c>
      <c r="N575" s="63"/>
      <c r="O575" s="63"/>
      <c r="P575" s="63"/>
      <c r="Q575" s="63"/>
      <c r="R575" t="s">
        <v>154</v>
      </c>
      <c r="S575" t="s">
        <v>153</v>
      </c>
      <c r="T575" t="s">
        <v>292</v>
      </c>
      <c r="U575" t="s">
        <v>9462</v>
      </c>
      <c r="V575" t="s">
        <v>9461</v>
      </c>
      <c r="W575" t="s">
        <v>9460</v>
      </c>
      <c r="X575" t="s">
        <v>9459</v>
      </c>
      <c r="Y575" t="s">
        <v>9458</v>
      </c>
      <c r="Z575" t="str">
        <f>"01993 822892"</f>
        <v>01993 822892</v>
      </c>
      <c r="AA575" t="str">
        <f>""</f>
        <v/>
      </c>
      <c r="AB575" t="s">
        <v>290</v>
      </c>
      <c r="AC575" t="s">
        <v>9457</v>
      </c>
      <c r="AD575" t="s">
        <v>114</v>
      </c>
      <c r="AE575" s="63">
        <v>45293</v>
      </c>
      <c r="AF575" t="s">
        <v>113</v>
      </c>
      <c r="AG575" t="s">
        <v>112</v>
      </c>
      <c r="AH575" t="s">
        <v>112</v>
      </c>
      <c r="AI575" s="63">
        <v>31413</v>
      </c>
      <c r="AJ575" s="63">
        <v>45657</v>
      </c>
      <c r="AK575" t="s">
        <v>111</v>
      </c>
      <c r="AL575" t="s">
        <v>111</v>
      </c>
      <c r="AM575" t="s">
        <v>111</v>
      </c>
      <c r="AN575" t="s">
        <v>105</v>
      </c>
      <c r="AO575" t="s">
        <v>110</v>
      </c>
      <c r="AP575" t="s">
        <v>109</v>
      </c>
    </row>
    <row r="576" spans="1:42" x14ac:dyDescent="0.25">
      <c r="A576" s="28" t="str">
        <f>"14773"</f>
        <v>14773</v>
      </c>
      <c r="B576">
        <v>14773</v>
      </c>
      <c r="C576" t="s">
        <v>2488</v>
      </c>
      <c r="D576" t="s">
        <v>121</v>
      </c>
      <c r="F576" t="s">
        <v>120</v>
      </c>
      <c r="G576" t="s">
        <v>6754</v>
      </c>
      <c r="H576" t="s">
        <v>234</v>
      </c>
      <c r="I576" t="s">
        <v>9456</v>
      </c>
      <c r="J576" t="s">
        <v>7</v>
      </c>
      <c r="K576" s="63">
        <v>25309</v>
      </c>
      <c r="L576" s="28">
        <f>DATEDIF(K576,Zwift25!G$1,"Y")</f>
        <v>55</v>
      </c>
      <c r="M576" s="67">
        <f>IF(J576="m",VLOOKUP(L576,'All Solo Adjustments'!A:D,4,FALSE),VLOOKUP(L576,'All Solo Adjustments'!A:J,10,FALSE))</f>
        <v>2.0601851851851853E-3</v>
      </c>
      <c r="N576" s="63"/>
      <c r="O576" s="63"/>
      <c r="P576" s="63"/>
      <c r="Q576" s="63"/>
      <c r="R576" t="s">
        <v>213</v>
      </c>
      <c r="S576" t="s">
        <v>212</v>
      </c>
      <c r="T576" t="s">
        <v>292</v>
      </c>
      <c r="U576" t="s">
        <v>9455</v>
      </c>
      <c r="V576" t="s">
        <v>9454</v>
      </c>
      <c r="W576" t="s">
        <v>213</v>
      </c>
      <c r="Y576" t="s">
        <v>9453</v>
      </c>
      <c r="Z576" t="str">
        <f>"07960578088"</f>
        <v>07960578088</v>
      </c>
      <c r="AA576" t="str">
        <f>""</f>
        <v/>
      </c>
      <c r="AB576" t="s">
        <v>9452</v>
      </c>
      <c r="AC576" t="s">
        <v>9451</v>
      </c>
      <c r="AD576" t="s">
        <v>114</v>
      </c>
      <c r="AE576" s="63">
        <v>45262</v>
      </c>
      <c r="AF576" t="s">
        <v>113</v>
      </c>
      <c r="AG576" t="s">
        <v>112</v>
      </c>
      <c r="AH576" t="s">
        <v>112</v>
      </c>
      <c r="AI576" s="63">
        <v>44123</v>
      </c>
      <c r="AJ576" s="63">
        <v>45657</v>
      </c>
      <c r="AK576" t="s">
        <v>112</v>
      </c>
      <c r="AL576" t="s">
        <v>111</v>
      </c>
      <c r="AM576" t="s">
        <v>111</v>
      </c>
      <c r="AN576">
        <v>35462</v>
      </c>
      <c r="AO576" t="s">
        <v>110</v>
      </c>
      <c r="AP576" t="s">
        <v>109</v>
      </c>
    </row>
    <row r="577" spans="1:42" x14ac:dyDescent="0.25">
      <c r="A577" s="28" t="str">
        <f>"15470"</f>
        <v>15470</v>
      </c>
      <c r="B577">
        <v>15470</v>
      </c>
      <c r="C577" t="s">
        <v>2488</v>
      </c>
      <c r="D577" t="s">
        <v>121</v>
      </c>
      <c r="F577" t="s">
        <v>120</v>
      </c>
      <c r="G577" t="s">
        <v>469</v>
      </c>
      <c r="H577" t="s">
        <v>241</v>
      </c>
      <c r="I577" t="s">
        <v>9450</v>
      </c>
      <c r="J577" t="s">
        <v>7</v>
      </c>
      <c r="K577" s="63">
        <v>20039</v>
      </c>
      <c r="L577" s="28">
        <f>DATEDIF(K577,Zwift25!G$1,"Y")</f>
        <v>69</v>
      </c>
      <c r="M577" s="67">
        <f>IF(J577="m",VLOOKUP(L577,'All Solo Adjustments'!A:D,4,FALSE),VLOOKUP(L577,'All Solo Adjustments'!A:J,10,FALSE))</f>
        <v>5.9722222222222225E-3</v>
      </c>
      <c r="N577" s="63"/>
      <c r="O577" s="63"/>
      <c r="P577" s="63"/>
      <c r="Q577" s="63"/>
      <c r="R577" t="s">
        <v>383</v>
      </c>
      <c r="S577" t="s">
        <v>382</v>
      </c>
      <c r="T577" t="s">
        <v>292</v>
      </c>
      <c r="U577" t="s">
        <v>9449</v>
      </c>
      <c r="V577" t="s">
        <v>9448</v>
      </c>
      <c r="W577" t="s">
        <v>1449</v>
      </c>
      <c r="X577" t="s">
        <v>9447</v>
      </c>
      <c r="Y577" t="s">
        <v>9446</v>
      </c>
      <c r="Z577" t="str">
        <f>"01633619726"</f>
        <v>01633619726</v>
      </c>
      <c r="AA577" t="str">
        <f>""</f>
        <v/>
      </c>
      <c r="AB577" t="s">
        <v>9445</v>
      </c>
      <c r="AC577" t="s">
        <v>9444</v>
      </c>
      <c r="AD577" t="s">
        <v>114</v>
      </c>
      <c r="AE577" s="63">
        <v>45306</v>
      </c>
      <c r="AF577" t="s">
        <v>156</v>
      </c>
      <c r="AG577" t="s">
        <v>112</v>
      </c>
      <c r="AH577" t="s">
        <v>112</v>
      </c>
      <c r="AI577" s="63">
        <v>44680</v>
      </c>
      <c r="AJ577" s="63">
        <v>45657</v>
      </c>
      <c r="AK577" t="s">
        <v>112</v>
      </c>
      <c r="AL577" t="s">
        <v>111</v>
      </c>
      <c r="AM577" t="s">
        <v>111</v>
      </c>
      <c r="AN577">
        <v>42586</v>
      </c>
      <c r="AO577" t="s">
        <v>110</v>
      </c>
      <c r="AP577" t="s">
        <v>109</v>
      </c>
    </row>
    <row r="578" spans="1:42" x14ac:dyDescent="0.25">
      <c r="A578" s="28" t="str">
        <f>"0778"</f>
        <v>0778</v>
      </c>
      <c r="B578">
        <v>778</v>
      </c>
      <c r="C578" t="s">
        <v>2488</v>
      </c>
      <c r="D578" t="s">
        <v>121</v>
      </c>
      <c r="F578" t="s">
        <v>120</v>
      </c>
      <c r="G578" t="s">
        <v>977</v>
      </c>
      <c r="I578" t="s">
        <v>9443</v>
      </c>
      <c r="J578" t="s">
        <v>7</v>
      </c>
      <c r="K578" s="63">
        <v>13628</v>
      </c>
      <c r="L578" s="28">
        <f>DATEDIF(K578,Zwift25!G$1,"Y")</f>
        <v>87</v>
      </c>
      <c r="M578" s="67">
        <f>IF(J578="m",VLOOKUP(L578,'All Solo Adjustments'!A:D,4,FALSE),VLOOKUP(L578,'All Solo Adjustments'!A:J,10,FALSE))</f>
        <v>1.576388888888889E-2</v>
      </c>
      <c r="N578" s="63"/>
      <c r="O578" s="63"/>
      <c r="P578" s="63"/>
      <c r="Q578" s="63"/>
      <c r="R578" t="s">
        <v>198</v>
      </c>
      <c r="S578" t="s">
        <v>9442</v>
      </c>
      <c r="T578" t="s">
        <v>292</v>
      </c>
      <c r="U578" t="s">
        <v>9441</v>
      </c>
      <c r="V578" t="s">
        <v>2480</v>
      </c>
      <c r="W578" t="s">
        <v>1510</v>
      </c>
      <c r="X578" t="s">
        <v>713</v>
      </c>
      <c r="Y578" t="s">
        <v>9440</v>
      </c>
      <c r="Z578" t="str">
        <f>"01942 790072"</f>
        <v>01942 790072</v>
      </c>
      <c r="AA578" t="str">
        <f>""</f>
        <v/>
      </c>
      <c r="AB578" t="s">
        <v>290</v>
      </c>
      <c r="AD578" t="s">
        <v>151</v>
      </c>
      <c r="AF578" t="s">
        <v>113</v>
      </c>
      <c r="AG578" t="s">
        <v>111</v>
      </c>
      <c r="AH578" t="s">
        <v>112</v>
      </c>
      <c r="AI578" s="63">
        <v>28337</v>
      </c>
      <c r="AK578" t="s">
        <v>111</v>
      </c>
      <c r="AL578" t="s">
        <v>111</v>
      </c>
      <c r="AM578" t="s">
        <v>111</v>
      </c>
      <c r="AN578" t="s">
        <v>105</v>
      </c>
      <c r="AO578" t="s">
        <v>110</v>
      </c>
      <c r="AP578" t="s">
        <v>109</v>
      </c>
    </row>
    <row r="579" spans="1:42" x14ac:dyDescent="0.25">
      <c r="A579" s="28" t="str">
        <f>"4467"</f>
        <v>4467</v>
      </c>
      <c r="B579">
        <v>4467</v>
      </c>
      <c r="C579" t="s">
        <v>2488</v>
      </c>
      <c r="D579" t="s">
        <v>121</v>
      </c>
      <c r="E579" t="s">
        <v>584</v>
      </c>
      <c r="F579" t="s">
        <v>120</v>
      </c>
      <c r="G579" t="s">
        <v>385</v>
      </c>
      <c r="H579" t="s">
        <v>941</v>
      </c>
      <c r="I579" t="s">
        <v>2020</v>
      </c>
      <c r="J579" t="s">
        <v>7</v>
      </c>
      <c r="K579" s="63">
        <v>20056</v>
      </c>
      <c r="L579" s="28">
        <f>DATEDIF(K579,Zwift25!G$1,"Y")</f>
        <v>69</v>
      </c>
      <c r="M579" s="67">
        <f>IF(J579="m",VLOOKUP(L579,'All Solo Adjustments'!A:D,4,FALSE),VLOOKUP(L579,'All Solo Adjustments'!A:J,10,FALSE))</f>
        <v>5.9722222222222225E-3</v>
      </c>
      <c r="N579" s="63"/>
      <c r="O579" s="63"/>
      <c r="P579" s="63"/>
      <c r="Q579" s="63"/>
      <c r="R579" t="s">
        <v>180</v>
      </c>
      <c r="S579" t="s">
        <v>179</v>
      </c>
      <c r="T579" t="s">
        <v>292</v>
      </c>
      <c r="U579" t="s">
        <v>9439</v>
      </c>
      <c r="V579" t="s">
        <v>7272</v>
      </c>
      <c r="W579" t="s">
        <v>968</v>
      </c>
      <c r="Y579" t="s">
        <v>9438</v>
      </c>
      <c r="Z579" t="str">
        <f>"01283 702124"</f>
        <v>01283 702124</v>
      </c>
      <c r="AA579" t="str">
        <f>""</f>
        <v/>
      </c>
      <c r="AB579" t="s">
        <v>1688</v>
      </c>
      <c r="AC579" t="s">
        <v>9437</v>
      </c>
      <c r="AD579" t="s">
        <v>114</v>
      </c>
      <c r="AE579" s="63">
        <v>45265</v>
      </c>
      <c r="AF579" t="s">
        <v>156</v>
      </c>
      <c r="AG579" t="s">
        <v>112</v>
      </c>
      <c r="AH579" t="s">
        <v>112</v>
      </c>
      <c r="AI579" s="63">
        <v>40983</v>
      </c>
      <c r="AJ579" s="63">
        <v>45657</v>
      </c>
      <c r="AK579" t="s">
        <v>111</v>
      </c>
      <c r="AL579" t="s">
        <v>111</v>
      </c>
      <c r="AM579" t="s">
        <v>111</v>
      </c>
      <c r="AN579">
        <v>26</v>
      </c>
      <c r="AO579" t="s">
        <v>110</v>
      </c>
      <c r="AP579" t="s">
        <v>109</v>
      </c>
    </row>
    <row r="580" spans="1:42" x14ac:dyDescent="0.25">
      <c r="A580" s="28" t="str">
        <f>"14677"</f>
        <v>14677</v>
      </c>
      <c r="B580">
        <v>14677</v>
      </c>
      <c r="C580" t="s">
        <v>2488</v>
      </c>
      <c r="D580" t="s">
        <v>121</v>
      </c>
      <c r="E580" t="s">
        <v>584</v>
      </c>
      <c r="F580" t="s">
        <v>120</v>
      </c>
      <c r="G580" t="s">
        <v>405</v>
      </c>
      <c r="H580" t="s">
        <v>284</v>
      </c>
      <c r="I580" t="s">
        <v>2020</v>
      </c>
      <c r="J580" t="s">
        <v>7</v>
      </c>
      <c r="K580" s="63">
        <v>26248</v>
      </c>
      <c r="L580" s="28">
        <f>DATEDIF(K580,Zwift25!G$1,"Y")</f>
        <v>52</v>
      </c>
      <c r="M580" s="67">
        <f>IF(J580="m",VLOOKUP(L580,'All Solo Adjustments'!A:D,4,FALSE),VLOOKUP(L580,'All Solo Adjustments'!A:J,10,FALSE))</f>
        <v>1.4814814814814816E-3</v>
      </c>
      <c r="N580" s="63"/>
      <c r="O580" s="63"/>
      <c r="P580" s="63"/>
      <c r="Q580" s="63"/>
      <c r="R580" t="s">
        <v>180</v>
      </c>
      <c r="S580" t="s">
        <v>179</v>
      </c>
      <c r="T580" t="s">
        <v>292</v>
      </c>
      <c r="U580" t="s">
        <v>9436</v>
      </c>
      <c r="V580" t="s">
        <v>992</v>
      </c>
      <c r="Y580" t="s">
        <v>9435</v>
      </c>
      <c r="Z580" t="str">
        <f>"01162857715"</f>
        <v>01162857715</v>
      </c>
      <c r="AA580" t="str">
        <f>"07463778740"</f>
        <v>07463778740</v>
      </c>
      <c r="AB580" t="s">
        <v>1081</v>
      </c>
      <c r="AC580" t="s">
        <v>9434</v>
      </c>
      <c r="AD580" t="s">
        <v>114</v>
      </c>
      <c r="AE580" s="63">
        <v>45356</v>
      </c>
      <c r="AF580" t="s">
        <v>156</v>
      </c>
      <c r="AG580" t="s">
        <v>112</v>
      </c>
      <c r="AH580" t="s">
        <v>112</v>
      </c>
      <c r="AI580" s="63">
        <v>44063</v>
      </c>
      <c r="AJ580" s="63">
        <v>45657</v>
      </c>
      <c r="AK580" t="s">
        <v>112</v>
      </c>
      <c r="AL580" t="s">
        <v>111</v>
      </c>
      <c r="AM580" t="s">
        <v>111</v>
      </c>
      <c r="AN580">
        <v>1262</v>
      </c>
      <c r="AO580" t="s">
        <v>110</v>
      </c>
      <c r="AP580" t="s">
        <v>109</v>
      </c>
    </row>
    <row r="581" spans="1:42" x14ac:dyDescent="0.25">
      <c r="A581" s="28" t="str">
        <f>"14469"</f>
        <v>14469</v>
      </c>
      <c r="B581">
        <v>14469</v>
      </c>
      <c r="C581" t="s">
        <v>2488</v>
      </c>
      <c r="D581" t="s">
        <v>121</v>
      </c>
      <c r="F581" t="s">
        <v>120</v>
      </c>
      <c r="G581" t="s">
        <v>506</v>
      </c>
      <c r="I581" t="s">
        <v>9433</v>
      </c>
      <c r="J581" t="s">
        <v>7</v>
      </c>
      <c r="K581" s="63">
        <v>17894</v>
      </c>
      <c r="L581" s="28">
        <f>DATEDIF(K581,Zwift25!G$1,"Y")</f>
        <v>75</v>
      </c>
      <c r="M581" s="67">
        <f>IF(J581="m",VLOOKUP(L581,'All Solo Adjustments'!A:D,4,FALSE),VLOOKUP(L581,'All Solo Adjustments'!A:J,10,FALSE))</f>
        <v>8.4374999999999988E-3</v>
      </c>
      <c r="N581" s="63"/>
      <c r="O581" s="63"/>
      <c r="P581" s="63"/>
      <c r="Q581" s="63"/>
      <c r="R581" t="s">
        <v>296</v>
      </c>
      <c r="S581" t="s">
        <v>295</v>
      </c>
      <c r="T581" t="s">
        <v>292</v>
      </c>
      <c r="U581" t="s">
        <v>9432</v>
      </c>
      <c r="V581" t="s">
        <v>9431</v>
      </c>
      <c r="W581" t="s">
        <v>9430</v>
      </c>
      <c r="X581" t="s">
        <v>2034</v>
      </c>
      <c r="Y581" t="s">
        <v>9429</v>
      </c>
      <c r="Z581" t="str">
        <f>"07742635361"</f>
        <v>07742635361</v>
      </c>
      <c r="AA581" t="str">
        <f>""</f>
        <v/>
      </c>
      <c r="AB581" t="s">
        <v>9428</v>
      </c>
      <c r="AC581" t="s">
        <v>9427</v>
      </c>
      <c r="AD581" t="s">
        <v>114</v>
      </c>
      <c r="AE581" s="63">
        <v>45283</v>
      </c>
      <c r="AF581" t="s">
        <v>156</v>
      </c>
      <c r="AG581" t="s">
        <v>112</v>
      </c>
      <c r="AH581" t="s">
        <v>112</v>
      </c>
      <c r="AI581" s="63">
        <v>43867</v>
      </c>
      <c r="AJ581" s="63">
        <v>45657</v>
      </c>
      <c r="AK581" t="s">
        <v>112</v>
      </c>
      <c r="AL581" t="s">
        <v>111</v>
      </c>
      <c r="AM581" t="s">
        <v>111</v>
      </c>
      <c r="AN581">
        <v>36782</v>
      </c>
      <c r="AO581" t="s">
        <v>110</v>
      </c>
      <c r="AP581" t="s">
        <v>109</v>
      </c>
    </row>
    <row r="582" spans="1:42" x14ac:dyDescent="0.25">
      <c r="A582" s="28" t="str">
        <f>"3284"</f>
        <v>3284</v>
      </c>
      <c r="B582">
        <v>3284</v>
      </c>
      <c r="C582" t="s">
        <v>2488</v>
      </c>
      <c r="D582" t="s">
        <v>132</v>
      </c>
      <c r="F582" t="s">
        <v>120</v>
      </c>
      <c r="G582" t="s">
        <v>773</v>
      </c>
      <c r="I582" t="s">
        <v>2019</v>
      </c>
      <c r="J582" t="s">
        <v>7</v>
      </c>
      <c r="K582" s="63">
        <v>15154</v>
      </c>
      <c r="L582" s="28">
        <f>DATEDIF(K582,Zwift25!G$1,"Y")</f>
        <v>83</v>
      </c>
      <c r="M582" s="67">
        <f>IF(J582="m",VLOOKUP(L582,'All Solo Adjustments'!A:D,4,FALSE),VLOOKUP(L582,'All Solo Adjustments'!A:J,10,FALSE))</f>
        <v>1.2858796296296297E-2</v>
      </c>
      <c r="N582" s="63"/>
      <c r="O582" s="63"/>
      <c r="P582" s="63"/>
      <c r="Q582" s="63"/>
      <c r="R582" t="s">
        <v>296</v>
      </c>
      <c r="S582" t="s">
        <v>2310</v>
      </c>
      <c r="T582" t="s">
        <v>292</v>
      </c>
      <c r="U582" t="s">
        <v>9426</v>
      </c>
      <c r="V582" t="s">
        <v>9425</v>
      </c>
      <c r="W582" t="s">
        <v>1647</v>
      </c>
      <c r="Y582" t="s">
        <v>9424</v>
      </c>
      <c r="Z582" t="str">
        <f>"01292 474001"</f>
        <v>01292 474001</v>
      </c>
      <c r="AA582" t="str">
        <f>""</f>
        <v/>
      </c>
      <c r="AB582" t="s">
        <v>1657</v>
      </c>
      <c r="AD582" t="s">
        <v>145</v>
      </c>
      <c r="AF582" t="s">
        <v>113</v>
      </c>
      <c r="AG582" t="s">
        <v>111</v>
      </c>
      <c r="AH582" t="s">
        <v>111</v>
      </c>
      <c r="AI582" s="63">
        <v>29960</v>
      </c>
      <c r="AK582" t="s">
        <v>111</v>
      </c>
      <c r="AL582" t="s">
        <v>111</v>
      </c>
      <c r="AM582" t="s">
        <v>111</v>
      </c>
      <c r="AN582" t="s">
        <v>105</v>
      </c>
      <c r="AO582" t="s">
        <v>110</v>
      </c>
      <c r="AP582" t="s">
        <v>109</v>
      </c>
    </row>
    <row r="583" spans="1:42" x14ac:dyDescent="0.25">
      <c r="A583" s="28" t="str">
        <f>"11251"</f>
        <v>11251</v>
      </c>
      <c r="B583">
        <v>11251</v>
      </c>
      <c r="C583" t="s">
        <v>2488</v>
      </c>
      <c r="D583" t="s">
        <v>130</v>
      </c>
      <c r="F583" t="s">
        <v>149</v>
      </c>
      <c r="G583" t="s">
        <v>339</v>
      </c>
      <c r="I583" t="s">
        <v>2019</v>
      </c>
      <c r="J583" t="s">
        <v>126</v>
      </c>
      <c r="L583" s="28">
        <f>DATEDIF(K583,Zwift25!G$1,"Y")</f>
        <v>124</v>
      </c>
      <c r="M583" s="67" t="e">
        <f>IF(J583="m",VLOOKUP(L583,'All Solo Adjustments'!A:D,4,FALSE),VLOOKUP(L583,'All Solo Adjustments'!A:J,10,FALSE))</f>
        <v>#N/A</v>
      </c>
      <c r="R583" t="s">
        <v>296</v>
      </c>
      <c r="S583" t="s">
        <v>6709</v>
      </c>
      <c r="T583" t="s">
        <v>292</v>
      </c>
      <c r="U583" t="s">
        <v>9426</v>
      </c>
      <c r="V583" t="s">
        <v>9425</v>
      </c>
      <c r="W583" t="s">
        <v>1647</v>
      </c>
      <c r="Y583" t="s">
        <v>9424</v>
      </c>
      <c r="Z583" t="str">
        <f>"01292 474001"</f>
        <v>01292 474001</v>
      </c>
      <c r="AA583" t="str">
        <f>""</f>
        <v/>
      </c>
      <c r="AB583" t="s">
        <v>1657</v>
      </c>
      <c r="AD583" t="s">
        <v>151</v>
      </c>
      <c r="AF583" t="s">
        <v>113</v>
      </c>
      <c r="AG583" t="s">
        <v>111</v>
      </c>
      <c r="AH583" t="s">
        <v>111</v>
      </c>
      <c r="AI583" s="63">
        <v>29960</v>
      </c>
      <c r="AK583" t="s">
        <v>111</v>
      </c>
      <c r="AL583" t="s">
        <v>111</v>
      </c>
      <c r="AM583" t="s">
        <v>111</v>
      </c>
      <c r="AN583" t="s">
        <v>105</v>
      </c>
      <c r="AO583" t="s">
        <v>122</v>
      </c>
      <c r="AP583" t="s">
        <v>122</v>
      </c>
    </row>
    <row r="584" spans="1:42" x14ac:dyDescent="0.25">
      <c r="A584" s="28" t="str">
        <f>"14534"</f>
        <v>14534</v>
      </c>
      <c r="B584">
        <v>14534</v>
      </c>
      <c r="C584" t="s">
        <v>2488</v>
      </c>
      <c r="D584" t="s">
        <v>121</v>
      </c>
      <c r="E584" t="s">
        <v>584</v>
      </c>
      <c r="F584" t="s">
        <v>149</v>
      </c>
      <c r="G584" t="s">
        <v>816</v>
      </c>
      <c r="I584" t="s">
        <v>814</v>
      </c>
      <c r="J584" t="s">
        <v>126</v>
      </c>
      <c r="K584" s="63">
        <v>23303</v>
      </c>
      <c r="L584" s="28">
        <f>DATEDIF(K584,Zwift25!G$1,"Y")</f>
        <v>60</v>
      </c>
      <c r="M584" s="67">
        <f>IF(J584="m",VLOOKUP(L584,'All Solo Adjustments'!A:D,4,FALSE),VLOOKUP(L584,'All Solo Adjustments'!A:J,10,FALSE))</f>
        <v>6.898148148148148E-3</v>
      </c>
      <c r="N584" s="63"/>
      <c r="O584" s="63"/>
      <c r="P584" s="63"/>
      <c r="Q584" s="63"/>
      <c r="R584" t="s">
        <v>328</v>
      </c>
      <c r="S584" t="s">
        <v>327</v>
      </c>
      <c r="T584" t="s">
        <v>292</v>
      </c>
      <c r="U584" t="s">
        <v>813</v>
      </c>
      <c r="V584" t="s">
        <v>812</v>
      </c>
      <c r="W584" t="s">
        <v>811</v>
      </c>
      <c r="X584" t="s">
        <v>810</v>
      </c>
      <c r="Y584" t="s">
        <v>9423</v>
      </c>
      <c r="Z584" t="str">
        <f>"07837658961"</f>
        <v>07837658961</v>
      </c>
      <c r="AA584" t="str">
        <f>""</f>
        <v/>
      </c>
      <c r="AB584" t="s">
        <v>809</v>
      </c>
      <c r="AC584" t="s">
        <v>815</v>
      </c>
      <c r="AD584" t="s">
        <v>114</v>
      </c>
      <c r="AE584" s="63">
        <v>45278</v>
      </c>
      <c r="AF584" t="s">
        <v>113</v>
      </c>
      <c r="AG584" t="s">
        <v>112</v>
      </c>
      <c r="AH584" t="s">
        <v>112</v>
      </c>
      <c r="AI584" s="63">
        <v>43965</v>
      </c>
      <c r="AJ584" s="63">
        <v>45657</v>
      </c>
      <c r="AK584" t="s">
        <v>112</v>
      </c>
      <c r="AL584" t="s">
        <v>111</v>
      </c>
      <c r="AM584" t="s">
        <v>111</v>
      </c>
      <c r="AN584">
        <v>14978</v>
      </c>
      <c r="AO584" t="s">
        <v>122</v>
      </c>
      <c r="AP584" t="s">
        <v>122</v>
      </c>
    </row>
    <row r="585" spans="1:42" x14ac:dyDescent="0.25">
      <c r="A585" s="28" t="str">
        <f>"15257"</f>
        <v>15257</v>
      </c>
      <c r="B585">
        <v>15257</v>
      </c>
      <c r="C585" t="s">
        <v>2488</v>
      </c>
      <c r="D585" t="s">
        <v>130</v>
      </c>
      <c r="F585" t="s">
        <v>139</v>
      </c>
      <c r="G585" t="s">
        <v>9422</v>
      </c>
      <c r="I585" t="s">
        <v>9421</v>
      </c>
      <c r="J585" t="s">
        <v>126</v>
      </c>
      <c r="K585" s="63">
        <v>19137</v>
      </c>
      <c r="L585" s="28">
        <f>DATEDIF(K585,Zwift25!G$1,"Y")</f>
        <v>72</v>
      </c>
      <c r="M585" s="67">
        <f>IF(J585="m",VLOOKUP(L585,'All Solo Adjustments'!A:D,4,FALSE),VLOOKUP(L585,'All Solo Adjustments'!A:J,10,FALSE))</f>
        <v>1.2453703703703705E-2</v>
      </c>
      <c r="N585" s="63"/>
      <c r="O585" s="63"/>
      <c r="P585" s="63"/>
      <c r="Q585" s="63"/>
      <c r="R585" t="s">
        <v>527</v>
      </c>
      <c r="S585" t="s">
        <v>888</v>
      </c>
      <c r="T585" t="s">
        <v>292</v>
      </c>
      <c r="U585" t="s">
        <v>9418</v>
      </c>
      <c r="V585" t="s">
        <v>9417</v>
      </c>
      <c r="W585" t="s">
        <v>753</v>
      </c>
      <c r="Y585" t="s">
        <v>9416</v>
      </c>
      <c r="Z585" t="str">
        <f>"07905193525"</f>
        <v>07905193525</v>
      </c>
      <c r="AA585" t="str">
        <f>""</f>
        <v/>
      </c>
      <c r="AB585" t="s">
        <v>9415</v>
      </c>
      <c r="AC585" t="s">
        <v>9420</v>
      </c>
      <c r="AD585" t="s">
        <v>114</v>
      </c>
      <c r="AE585" s="63">
        <v>45345</v>
      </c>
      <c r="AG585" t="s">
        <v>112</v>
      </c>
      <c r="AH585" t="s">
        <v>112</v>
      </c>
      <c r="AI585" s="63">
        <v>44469</v>
      </c>
      <c r="AJ585" s="63">
        <v>45657</v>
      </c>
      <c r="AK585" t="s">
        <v>112</v>
      </c>
      <c r="AL585" t="s">
        <v>111</v>
      </c>
      <c r="AM585" t="s">
        <v>111</v>
      </c>
      <c r="AN585" t="s">
        <v>105</v>
      </c>
      <c r="AO585" t="s">
        <v>122</v>
      </c>
      <c r="AP585" t="s">
        <v>122</v>
      </c>
    </row>
    <row r="586" spans="1:42" x14ac:dyDescent="0.25">
      <c r="A586" s="28" t="str">
        <f>"15256"</f>
        <v>15256</v>
      </c>
      <c r="B586">
        <v>15256</v>
      </c>
      <c r="C586" t="s">
        <v>2488</v>
      </c>
      <c r="D586" t="s">
        <v>132</v>
      </c>
      <c r="F586" t="s">
        <v>120</v>
      </c>
      <c r="G586" t="s">
        <v>300</v>
      </c>
      <c r="I586" t="s">
        <v>9419</v>
      </c>
      <c r="J586" t="s">
        <v>7</v>
      </c>
      <c r="K586" s="63">
        <v>18741</v>
      </c>
      <c r="L586" s="28">
        <f>DATEDIF(K586,Zwift25!G$1,"Y")</f>
        <v>73</v>
      </c>
      <c r="M586" s="67">
        <f>IF(J586="m",VLOOKUP(L586,'All Solo Adjustments'!A:D,4,FALSE),VLOOKUP(L586,'All Solo Adjustments'!A:J,10,FALSE))</f>
        <v>7.5462962962962966E-3</v>
      </c>
      <c r="N586" s="63"/>
      <c r="O586" s="63"/>
      <c r="P586" s="63"/>
      <c r="Q586" s="63"/>
      <c r="R586" t="s">
        <v>527</v>
      </c>
      <c r="S586" t="s">
        <v>888</v>
      </c>
      <c r="T586" t="s">
        <v>292</v>
      </c>
      <c r="U586" t="s">
        <v>9418</v>
      </c>
      <c r="V586" t="s">
        <v>9417</v>
      </c>
      <c r="W586" t="s">
        <v>753</v>
      </c>
      <c r="Y586" t="s">
        <v>9416</v>
      </c>
      <c r="Z586" t="str">
        <f>"07905193525"</f>
        <v>07905193525</v>
      </c>
      <c r="AA586" t="str">
        <f>""</f>
        <v/>
      </c>
      <c r="AB586" t="s">
        <v>9415</v>
      </c>
      <c r="AC586" t="s">
        <v>9414</v>
      </c>
      <c r="AD586" t="s">
        <v>114</v>
      </c>
      <c r="AE586" s="63">
        <v>45345</v>
      </c>
      <c r="AF586" t="s">
        <v>113</v>
      </c>
      <c r="AG586" t="s">
        <v>112</v>
      </c>
      <c r="AH586" t="s">
        <v>112</v>
      </c>
      <c r="AI586" s="63">
        <v>44469</v>
      </c>
      <c r="AJ586" s="63">
        <v>45657</v>
      </c>
      <c r="AK586" t="s">
        <v>112</v>
      </c>
      <c r="AL586" t="s">
        <v>111</v>
      </c>
      <c r="AM586" t="s">
        <v>111</v>
      </c>
      <c r="AN586">
        <v>18558</v>
      </c>
      <c r="AO586" t="s">
        <v>110</v>
      </c>
      <c r="AP586" t="s">
        <v>109</v>
      </c>
    </row>
    <row r="587" spans="1:42" x14ac:dyDescent="0.25">
      <c r="A587" s="28" t="str">
        <f>"13260"</f>
        <v>13260</v>
      </c>
      <c r="B587">
        <v>13260</v>
      </c>
      <c r="C587" t="s">
        <v>2488</v>
      </c>
      <c r="D587" t="s">
        <v>121</v>
      </c>
      <c r="F587" t="s">
        <v>139</v>
      </c>
      <c r="G587" t="s">
        <v>1433</v>
      </c>
      <c r="I587" t="s">
        <v>2014</v>
      </c>
      <c r="J587" t="s">
        <v>126</v>
      </c>
      <c r="K587" s="63">
        <v>21023</v>
      </c>
      <c r="L587" s="28">
        <f>DATEDIF(K587,Zwift25!G$1,"Y")</f>
        <v>67</v>
      </c>
      <c r="M587" s="67">
        <f>IF(J587="m",VLOOKUP(L587,'All Solo Adjustments'!A:D,4,FALSE),VLOOKUP(L587,'All Solo Adjustments'!A:J,10,FALSE))</f>
        <v>1.0081018518518519E-2</v>
      </c>
      <c r="N587" s="63"/>
      <c r="O587" s="63"/>
      <c r="P587" s="63"/>
      <c r="Q587" s="63"/>
      <c r="R587" t="s">
        <v>239</v>
      </c>
      <c r="S587" t="s">
        <v>274</v>
      </c>
      <c r="T587" t="s">
        <v>292</v>
      </c>
      <c r="U587" t="s">
        <v>9413</v>
      </c>
      <c r="V587" t="s">
        <v>9412</v>
      </c>
      <c r="W587" t="s">
        <v>1100</v>
      </c>
      <c r="X587" t="s">
        <v>985</v>
      </c>
      <c r="Y587" t="s">
        <v>9411</v>
      </c>
      <c r="Z587" t="str">
        <f>"07712435507"</f>
        <v>07712435507</v>
      </c>
      <c r="AA587" t="str">
        <f>""</f>
        <v/>
      </c>
      <c r="AB587" t="s">
        <v>626</v>
      </c>
      <c r="AC587" t="s">
        <v>9410</v>
      </c>
      <c r="AD587" t="s">
        <v>114</v>
      </c>
      <c r="AE587" s="63">
        <v>45262</v>
      </c>
      <c r="AF587" t="s">
        <v>156</v>
      </c>
      <c r="AG587" t="s">
        <v>112</v>
      </c>
      <c r="AH587" t="s">
        <v>112</v>
      </c>
      <c r="AI587" s="63">
        <v>43250</v>
      </c>
      <c r="AJ587" s="63">
        <v>45657</v>
      </c>
      <c r="AK587" t="s">
        <v>112</v>
      </c>
      <c r="AL587" t="s">
        <v>111</v>
      </c>
      <c r="AM587" t="s">
        <v>111</v>
      </c>
      <c r="AN587">
        <v>4513</v>
      </c>
      <c r="AO587" t="s">
        <v>122</v>
      </c>
      <c r="AP587" t="s">
        <v>122</v>
      </c>
    </row>
    <row r="588" spans="1:42" x14ac:dyDescent="0.25">
      <c r="A588" s="28" t="str">
        <f>"14255"</f>
        <v>14255</v>
      </c>
      <c r="B588">
        <v>14255</v>
      </c>
      <c r="C588" t="s">
        <v>2488</v>
      </c>
      <c r="D588" t="s">
        <v>121</v>
      </c>
      <c r="F588" t="s">
        <v>149</v>
      </c>
      <c r="G588" t="s">
        <v>9409</v>
      </c>
      <c r="I588" t="s">
        <v>2014</v>
      </c>
      <c r="J588" t="s">
        <v>126</v>
      </c>
      <c r="K588" s="63">
        <v>25277</v>
      </c>
      <c r="L588" s="28">
        <f>DATEDIF(K588,Zwift25!G$1,"Y")</f>
        <v>55</v>
      </c>
      <c r="M588" s="67">
        <f>IF(J588="m",VLOOKUP(L588,'All Solo Adjustments'!A:D,4,FALSE),VLOOKUP(L588,'All Solo Adjustments'!A:J,10,FALSE))</f>
        <v>5.6597222222222222E-3</v>
      </c>
      <c r="N588" s="63"/>
      <c r="O588" s="63"/>
      <c r="P588" s="63"/>
      <c r="Q588" s="63"/>
      <c r="R588" t="s">
        <v>296</v>
      </c>
      <c r="S588" t="s">
        <v>295</v>
      </c>
      <c r="T588" t="s">
        <v>292</v>
      </c>
      <c r="U588" t="s">
        <v>9408</v>
      </c>
      <c r="V588" t="s">
        <v>9407</v>
      </c>
      <c r="W588" t="s">
        <v>1649</v>
      </c>
      <c r="Y588" t="s">
        <v>9406</v>
      </c>
      <c r="Z588" t="str">
        <f>"07786 292607"</f>
        <v>07786 292607</v>
      </c>
      <c r="AA588" t="str">
        <f>""</f>
        <v/>
      </c>
      <c r="AB588" t="s">
        <v>1657</v>
      </c>
      <c r="AC588" t="s">
        <v>9405</v>
      </c>
      <c r="AD588" t="s">
        <v>114</v>
      </c>
      <c r="AE588" s="63">
        <v>45364</v>
      </c>
      <c r="AF588" t="s">
        <v>156</v>
      </c>
      <c r="AG588" t="s">
        <v>112</v>
      </c>
      <c r="AH588" t="s">
        <v>112</v>
      </c>
      <c r="AI588" s="63">
        <v>43616</v>
      </c>
      <c r="AJ588" s="63">
        <v>45657</v>
      </c>
      <c r="AK588" t="s">
        <v>112</v>
      </c>
      <c r="AL588" t="s">
        <v>111</v>
      </c>
      <c r="AM588" t="s">
        <v>111</v>
      </c>
      <c r="AN588">
        <v>25194</v>
      </c>
      <c r="AO588" t="s">
        <v>122</v>
      </c>
      <c r="AP588" t="s">
        <v>122</v>
      </c>
    </row>
    <row r="589" spans="1:42" x14ac:dyDescent="0.25">
      <c r="A589" s="28" t="str">
        <f>"15499"</f>
        <v>15499</v>
      </c>
      <c r="B589">
        <v>15499</v>
      </c>
      <c r="C589" t="s">
        <v>2488</v>
      </c>
      <c r="D589" t="s">
        <v>121</v>
      </c>
      <c r="F589" t="s">
        <v>120</v>
      </c>
      <c r="G589" t="s">
        <v>189</v>
      </c>
      <c r="I589" t="s">
        <v>2014</v>
      </c>
      <c r="J589" t="s">
        <v>7</v>
      </c>
      <c r="K589" s="63">
        <v>29020</v>
      </c>
      <c r="L589" s="28">
        <f>DATEDIF(K589,Zwift25!G$1,"Y")</f>
        <v>45</v>
      </c>
      <c r="M589" s="67">
        <f>IF(J589="m",VLOOKUP(L589,'All Solo Adjustments'!A:D,4,FALSE),VLOOKUP(L589,'All Solo Adjustments'!A:J,10,FALSE))</f>
        <v>4.5138888888888892E-4</v>
      </c>
      <c r="N589" s="63"/>
      <c r="O589" s="63"/>
      <c r="P589" s="63"/>
      <c r="Q589" s="63"/>
      <c r="R589" t="s">
        <v>180</v>
      </c>
      <c r="S589" t="s">
        <v>179</v>
      </c>
      <c r="T589" t="s">
        <v>292</v>
      </c>
      <c r="U589" t="s">
        <v>9404</v>
      </c>
      <c r="W589" t="s">
        <v>1825</v>
      </c>
      <c r="X589" t="s">
        <v>259</v>
      </c>
      <c r="Y589" t="s">
        <v>9403</v>
      </c>
      <c r="Z589" t="str">
        <f>"07825600004"</f>
        <v>07825600004</v>
      </c>
      <c r="AA589" t="str">
        <f>""</f>
        <v/>
      </c>
      <c r="AB589" t="s">
        <v>1138</v>
      </c>
      <c r="AC589" t="s">
        <v>9402</v>
      </c>
      <c r="AD589" t="s">
        <v>114</v>
      </c>
      <c r="AE589" s="63">
        <v>45264</v>
      </c>
      <c r="AF589" t="s">
        <v>113</v>
      </c>
      <c r="AG589" t="s">
        <v>112</v>
      </c>
      <c r="AH589" t="s">
        <v>112</v>
      </c>
      <c r="AI589" s="63">
        <v>44702</v>
      </c>
      <c r="AJ589" s="63">
        <v>45657</v>
      </c>
      <c r="AK589" t="s">
        <v>112</v>
      </c>
      <c r="AL589" t="s">
        <v>111</v>
      </c>
      <c r="AM589" t="s">
        <v>111</v>
      </c>
      <c r="AN589">
        <v>36618</v>
      </c>
      <c r="AO589" t="s">
        <v>110</v>
      </c>
      <c r="AP589" t="s">
        <v>109</v>
      </c>
    </row>
    <row r="590" spans="1:42" x14ac:dyDescent="0.25">
      <c r="A590" s="28" t="str">
        <f>"15529"</f>
        <v>15529</v>
      </c>
      <c r="B590">
        <v>15529</v>
      </c>
      <c r="C590" t="s">
        <v>2488</v>
      </c>
      <c r="D590" t="s">
        <v>121</v>
      </c>
      <c r="F590" t="s">
        <v>120</v>
      </c>
      <c r="G590" t="s">
        <v>884</v>
      </c>
      <c r="I590" t="s">
        <v>2014</v>
      </c>
      <c r="J590" t="s">
        <v>7</v>
      </c>
      <c r="K590" s="63">
        <v>30123</v>
      </c>
      <c r="L590" s="28">
        <f>DATEDIF(K590,Zwift25!G$1,"Y")</f>
        <v>42</v>
      </c>
      <c r="M590" s="67">
        <f>IF(J590="m",VLOOKUP(L590,'All Solo Adjustments'!A:D,4,FALSE),VLOOKUP(L590,'All Solo Adjustments'!A:J,10,FALSE))</f>
        <v>1.5046296296296295E-4</v>
      </c>
      <c r="N590" s="63"/>
      <c r="O590" s="63"/>
      <c r="P590" s="63"/>
      <c r="Q590" s="63"/>
      <c r="R590" t="s">
        <v>125</v>
      </c>
      <c r="S590" t="s">
        <v>170</v>
      </c>
      <c r="T590" t="s">
        <v>292</v>
      </c>
      <c r="U590" t="s">
        <v>9401</v>
      </c>
      <c r="W590" t="s">
        <v>9400</v>
      </c>
      <c r="X590" t="s">
        <v>1031</v>
      </c>
      <c r="Y590" t="s">
        <v>9399</v>
      </c>
      <c r="Z590" t="str">
        <f>"07809473565"</f>
        <v>07809473565</v>
      </c>
      <c r="AA590" t="str">
        <f>""</f>
        <v/>
      </c>
      <c r="AB590" t="s">
        <v>222</v>
      </c>
      <c r="AC590" t="s">
        <v>9398</v>
      </c>
      <c r="AD590" t="s">
        <v>114</v>
      </c>
      <c r="AE590" s="63">
        <v>45325</v>
      </c>
      <c r="AF590" t="s">
        <v>156</v>
      </c>
      <c r="AG590" t="s">
        <v>112</v>
      </c>
      <c r="AH590" t="s">
        <v>112</v>
      </c>
      <c r="AI590" s="63">
        <v>44735</v>
      </c>
      <c r="AJ590" s="63">
        <v>45657</v>
      </c>
      <c r="AK590" t="s">
        <v>112</v>
      </c>
      <c r="AL590" t="s">
        <v>111</v>
      </c>
      <c r="AM590" t="s">
        <v>111</v>
      </c>
      <c r="AN590">
        <v>19960</v>
      </c>
      <c r="AO590" t="s">
        <v>110</v>
      </c>
      <c r="AP590" t="s">
        <v>109</v>
      </c>
    </row>
    <row r="591" spans="1:42" x14ac:dyDescent="0.25">
      <c r="A591" s="28" t="str">
        <f>"6389"</f>
        <v>6389</v>
      </c>
      <c r="B591">
        <v>6389</v>
      </c>
      <c r="C591" t="s">
        <v>2488</v>
      </c>
      <c r="D591" t="s">
        <v>121</v>
      </c>
      <c r="F591" t="s">
        <v>120</v>
      </c>
      <c r="G591" t="s">
        <v>465</v>
      </c>
      <c r="H591" t="s">
        <v>195</v>
      </c>
      <c r="I591" t="s">
        <v>9397</v>
      </c>
      <c r="J591" t="s">
        <v>7</v>
      </c>
      <c r="K591" s="63">
        <v>26547</v>
      </c>
      <c r="L591" s="28">
        <f>DATEDIF(K591,Zwift25!G$1,"Y")</f>
        <v>52</v>
      </c>
      <c r="M591" s="67">
        <f>IF(J591="m",VLOOKUP(L591,'All Solo Adjustments'!A:D,4,FALSE),VLOOKUP(L591,'All Solo Adjustments'!A:J,10,FALSE))</f>
        <v>1.4814814814814816E-3</v>
      </c>
      <c r="N591" s="63"/>
      <c r="O591" s="63"/>
      <c r="P591" s="63"/>
      <c r="Q591" s="63"/>
      <c r="R591" t="s">
        <v>125</v>
      </c>
      <c r="S591" t="s">
        <v>170</v>
      </c>
      <c r="T591" t="s">
        <v>292</v>
      </c>
      <c r="U591" t="s">
        <v>9396</v>
      </c>
      <c r="V591" t="s">
        <v>9395</v>
      </c>
      <c r="X591" t="s">
        <v>201</v>
      </c>
      <c r="Y591" t="s">
        <v>9394</v>
      </c>
      <c r="Z591" t="str">
        <f>"07341 981627"</f>
        <v>07341 981627</v>
      </c>
      <c r="AA591" t="str">
        <f>""</f>
        <v/>
      </c>
      <c r="AB591" t="s">
        <v>826</v>
      </c>
      <c r="AC591" t="s">
        <v>9393</v>
      </c>
      <c r="AD591" t="s">
        <v>114</v>
      </c>
      <c r="AE591" s="63">
        <v>45292</v>
      </c>
      <c r="AF591" t="s">
        <v>113</v>
      </c>
      <c r="AG591" t="s">
        <v>112</v>
      </c>
      <c r="AH591" t="s">
        <v>112</v>
      </c>
      <c r="AI591" s="63">
        <v>43117</v>
      </c>
      <c r="AJ591" s="63">
        <v>45657</v>
      </c>
      <c r="AK591" t="s">
        <v>111</v>
      </c>
      <c r="AL591" t="s">
        <v>111</v>
      </c>
      <c r="AM591" t="s">
        <v>111</v>
      </c>
      <c r="AN591">
        <v>23666</v>
      </c>
      <c r="AO591" t="s">
        <v>110</v>
      </c>
      <c r="AP591" t="s">
        <v>109</v>
      </c>
    </row>
    <row r="592" spans="1:42" x14ac:dyDescent="0.25">
      <c r="A592" s="28" t="str">
        <f>"0784"</f>
        <v>0784</v>
      </c>
      <c r="B592">
        <v>784</v>
      </c>
      <c r="C592" t="s">
        <v>2488</v>
      </c>
      <c r="D592" t="s">
        <v>121</v>
      </c>
      <c r="F592" t="s">
        <v>120</v>
      </c>
      <c r="G592" t="s">
        <v>632</v>
      </c>
      <c r="I592" t="s">
        <v>9392</v>
      </c>
      <c r="J592" t="s">
        <v>7</v>
      </c>
      <c r="K592" s="63">
        <v>12526</v>
      </c>
      <c r="L592" s="28">
        <f>DATEDIF(K592,Zwift25!G$1,"Y")</f>
        <v>90</v>
      </c>
      <c r="M592" s="67">
        <f>IF(J592="m",VLOOKUP(L592,'All Solo Adjustments'!A:D,4,FALSE),VLOOKUP(L592,'All Solo Adjustments'!A:J,10,FALSE))</f>
        <v>1.8391203703703705E-2</v>
      </c>
      <c r="N592" s="63"/>
      <c r="O592" s="63"/>
      <c r="P592" s="63"/>
      <c r="Q592" s="63"/>
      <c r="R592" t="s">
        <v>328</v>
      </c>
      <c r="S592" t="s">
        <v>327</v>
      </c>
      <c r="T592" t="s">
        <v>292</v>
      </c>
      <c r="U592" t="s">
        <v>9391</v>
      </c>
      <c r="V592" t="s">
        <v>8310</v>
      </c>
      <c r="W592" t="s">
        <v>810</v>
      </c>
      <c r="Y592" t="s">
        <v>9390</v>
      </c>
      <c r="Z592" t="str">
        <f>"01229 826878"</f>
        <v>01229 826878</v>
      </c>
      <c r="AA592" t="str">
        <f>""</f>
        <v/>
      </c>
      <c r="AB592" t="s">
        <v>831</v>
      </c>
      <c r="AC592" t="s">
        <v>9389</v>
      </c>
      <c r="AD592" t="s">
        <v>145</v>
      </c>
      <c r="AE592" s="63">
        <v>45366</v>
      </c>
      <c r="AF592" t="s">
        <v>113</v>
      </c>
      <c r="AG592" t="s">
        <v>112</v>
      </c>
      <c r="AH592" t="s">
        <v>112</v>
      </c>
      <c r="AI592" s="63">
        <v>34335</v>
      </c>
      <c r="AJ592" s="63">
        <v>45657</v>
      </c>
      <c r="AK592" t="s">
        <v>111</v>
      </c>
      <c r="AL592" t="s">
        <v>111</v>
      </c>
      <c r="AM592" t="s">
        <v>111</v>
      </c>
      <c r="AN592" t="s">
        <v>105</v>
      </c>
      <c r="AO592" t="s">
        <v>110</v>
      </c>
      <c r="AP592" t="s">
        <v>109</v>
      </c>
    </row>
    <row r="593" spans="1:42" x14ac:dyDescent="0.25">
      <c r="A593" s="28" t="str">
        <f>"15295"</f>
        <v>15295</v>
      </c>
      <c r="B593">
        <v>15295</v>
      </c>
      <c r="C593" t="s">
        <v>2488</v>
      </c>
      <c r="D593" t="s">
        <v>132</v>
      </c>
      <c r="F593" t="s">
        <v>120</v>
      </c>
      <c r="G593" t="s">
        <v>485</v>
      </c>
      <c r="I593" t="s">
        <v>9388</v>
      </c>
      <c r="J593" t="s">
        <v>7</v>
      </c>
      <c r="K593" s="63">
        <v>22746</v>
      </c>
      <c r="L593" s="28">
        <f>DATEDIF(K593,Zwift25!G$1,"Y")</f>
        <v>62</v>
      </c>
      <c r="M593" s="67">
        <f>IF(J593="m",VLOOKUP(L593,'All Solo Adjustments'!A:D,4,FALSE),VLOOKUP(L593,'All Solo Adjustments'!A:J,10,FALSE))</f>
        <v>3.7384259259259259E-3</v>
      </c>
      <c r="N593" s="63"/>
      <c r="O593" s="63"/>
      <c r="P593" s="63"/>
      <c r="Q593" s="63"/>
      <c r="R593" t="s">
        <v>239</v>
      </c>
      <c r="S593" t="s">
        <v>238</v>
      </c>
      <c r="T593" t="s">
        <v>292</v>
      </c>
      <c r="U593" t="s">
        <v>9385</v>
      </c>
      <c r="V593" t="s">
        <v>9384</v>
      </c>
      <c r="W593" t="s">
        <v>9383</v>
      </c>
      <c r="X593" t="s">
        <v>9382</v>
      </c>
      <c r="Y593" t="s">
        <v>9381</v>
      </c>
      <c r="Z593" t="str">
        <f>"07505972845"</f>
        <v>07505972845</v>
      </c>
      <c r="AA593" t="str">
        <f>""</f>
        <v/>
      </c>
      <c r="AB593" t="s">
        <v>2423</v>
      </c>
      <c r="AC593" t="s">
        <v>9387</v>
      </c>
      <c r="AD593" t="s">
        <v>114</v>
      </c>
      <c r="AE593" s="63">
        <v>45216</v>
      </c>
      <c r="AF593" t="s">
        <v>113</v>
      </c>
      <c r="AG593" t="s">
        <v>112</v>
      </c>
      <c r="AH593" t="s">
        <v>112</v>
      </c>
      <c r="AI593" s="63">
        <v>44517</v>
      </c>
      <c r="AJ593" s="63">
        <v>45657</v>
      </c>
      <c r="AK593" t="s">
        <v>112</v>
      </c>
      <c r="AL593" t="s">
        <v>111</v>
      </c>
      <c r="AM593" t="s">
        <v>111</v>
      </c>
      <c r="AN593">
        <v>41479</v>
      </c>
      <c r="AO593" t="s">
        <v>110</v>
      </c>
      <c r="AP593" t="s">
        <v>109</v>
      </c>
    </row>
    <row r="594" spans="1:42" x14ac:dyDescent="0.25">
      <c r="A594" s="28" t="str">
        <f>"15296"</f>
        <v>15296</v>
      </c>
      <c r="B594">
        <v>15296</v>
      </c>
      <c r="C594" t="s">
        <v>2488</v>
      </c>
      <c r="D594" t="s">
        <v>130</v>
      </c>
      <c r="F594" t="s">
        <v>149</v>
      </c>
      <c r="G594" t="s">
        <v>907</v>
      </c>
      <c r="I594" t="s">
        <v>9386</v>
      </c>
      <c r="J594" t="s">
        <v>126</v>
      </c>
      <c r="K594" s="63">
        <v>25258</v>
      </c>
      <c r="L594" s="28">
        <f>DATEDIF(K594,Zwift25!G$1,"Y")</f>
        <v>55</v>
      </c>
      <c r="M594" s="67">
        <f>IF(J594="m",VLOOKUP(L594,'All Solo Adjustments'!A:D,4,FALSE),VLOOKUP(L594,'All Solo Adjustments'!A:J,10,FALSE))</f>
        <v>5.6597222222222222E-3</v>
      </c>
      <c r="N594" s="63"/>
      <c r="O594" s="63"/>
      <c r="P594" s="63"/>
      <c r="Q594" s="63"/>
      <c r="R594" t="s">
        <v>239</v>
      </c>
      <c r="S594" t="s">
        <v>238</v>
      </c>
      <c r="T594" t="s">
        <v>292</v>
      </c>
      <c r="U594" t="s">
        <v>9385</v>
      </c>
      <c r="V594" t="s">
        <v>9384</v>
      </c>
      <c r="W594" t="s">
        <v>9383</v>
      </c>
      <c r="X594" t="s">
        <v>9382</v>
      </c>
      <c r="Y594" t="s">
        <v>9381</v>
      </c>
      <c r="Z594" t="str">
        <f>"07505972845"</f>
        <v>07505972845</v>
      </c>
      <c r="AA594" t="str">
        <f>""</f>
        <v/>
      </c>
      <c r="AB594" t="s">
        <v>2423</v>
      </c>
      <c r="AC594" t="s">
        <v>9380</v>
      </c>
      <c r="AD594" t="s">
        <v>114</v>
      </c>
      <c r="AE594" s="63">
        <v>45216</v>
      </c>
      <c r="AF594" t="s">
        <v>113</v>
      </c>
      <c r="AG594" t="s">
        <v>112</v>
      </c>
      <c r="AH594" t="s">
        <v>112</v>
      </c>
      <c r="AI594" s="63">
        <v>44517</v>
      </c>
      <c r="AJ594" s="63">
        <v>45657</v>
      </c>
      <c r="AK594" t="s">
        <v>112</v>
      </c>
      <c r="AL594" t="s">
        <v>111</v>
      </c>
      <c r="AM594" t="s">
        <v>111</v>
      </c>
      <c r="AN594">
        <v>41489</v>
      </c>
      <c r="AO594" t="s">
        <v>122</v>
      </c>
      <c r="AP594" t="s">
        <v>122</v>
      </c>
    </row>
    <row r="595" spans="1:42" x14ac:dyDescent="0.25">
      <c r="A595" s="28" t="str">
        <f>"3513"</f>
        <v>3513</v>
      </c>
      <c r="B595">
        <v>3513</v>
      </c>
      <c r="C595" t="s">
        <v>2488</v>
      </c>
      <c r="D595" t="s">
        <v>121</v>
      </c>
      <c r="F595" t="s">
        <v>120</v>
      </c>
      <c r="G595" t="s">
        <v>389</v>
      </c>
      <c r="I595" t="s">
        <v>9379</v>
      </c>
      <c r="J595" t="s">
        <v>7</v>
      </c>
      <c r="K595" s="63">
        <v>14463</v>
      </c>
      <c r="L595" s="28">
        <f>DATEDIF(K595,Zwift25!G$1,"Y")</f>
        <v>85</v>
      </c>
      <c r="M595" s="67">
        <f>IF(J595="m",VLOOKUP(L595,'All Solo Adjustments'!A:D,4,FALSE),VLOOKUP(L595,'All Solo Adjustments'!A:J,10,FALSE))</f>
        <v>1.4236111111111111E-2</v>
      </c>
      <c r="N595" s="63"/>
      <c r="O595" s="63"/>
      <c r="P595" s="63"/>
      <c r="Q595" s="63"/>
      <c r="R595" t="s">
        <v>213</v>
      </c>
      <c r="S595" t="s">
        <v>2309</v>
      </c>
      <c r="T595" t="s">
        <v>292</v>
      </c>
      <c r="U595" t="s">
        <v>9378</v>
      </c>
      <c r="V595" t="s">
        <v>1072</v>
      </c>
      <c r="W595" t="s">
        <v>196</v>
      </c>
      <c r="Y595" t="s">
        <v>9377</v>
      </c>
      <c r="Z595" t="str">
        <f>"01606 559549"</f>
        <v>01606 559549</v>
      </c>
      <c r="AA595" t="str">
        <f>"07789 820553"</f>
        <v>07789 820553</v>
      </c>
      <c r="AB595" t="s">
        <v>2011</v>
      </c>
      <c r="AC595" t="s">
        <v>9376</v>
      </c>
      <c r="AD595" t="s">
        <v>145</v>
      </c>
      <c r="AF595" t="s">
        <v>113</v>
      </c>
      <c r="AG595" t="s">
        <v>112</v>
      </c>
      <c r="AH595" t="s">
        <v>112</v>
      </c>
      <c r="AI595" s="63">
        <v>33381</v>
      </c>
      <c r="AK595" t="s">
        <v>111</v>
      </c>
      <c r="AL595" t="s">
        <v>111</v>
      </c>
      <c r="AM595" t="s">
        <v>111</v>
      </c>
      <c r="AN595" t="s">
        <v>105</v>
      </c>
      <c r="AO595" t="s">
        <v>110</v>
      </c>
      <c r="AP595" t="s">
        <v>109</v>
      </c>
    </row>
    <row r="596" spans="1:42" x14ac:dyDescent="0.25">
      <c r="A596" s="28" t="str">
        <f>"0788"</f>
        <v>0788</v>
      </c>
      <c r="B596">
        <v>788</v>
      </c>
      <c r="C596" t="s">
        <v>2488</v>
      </c>
      <c r="D596" t="s">
        <v>121</v>
      </c>
      <c r="F596" t="s">
        <v>120</v>
      </c>
      <c r="G596" t="s">
        <v>185</v>
      </c>
      <c r="H596" t="s">
        <v>251</v>
      </c>
      <c r="I596" t="s">
        <v>9371</v>
      </c>
      <c r="J596" t="s">
        <v>7</v>
      </c>
      <c r="K596" s="63">
        <v>23896</v>
      </c>
      <c r="L596" s="28">
        <f>DATEDIF(K596,Zwift25!G$1,"Y")</f>
        <v>59</v>
      </c>
      <c r="M596" s="67">
        <f>IF(J596="m",VLOOKUP(L596,'All Solo Adjustments'!A:D,4,FALSE),VLOOKUP(L596,'All Solo Adjustments'!A:J,10,FALSE))</f>
        <v>2.9629629629629632E-3</v>
      </c>
      <c r="N596" s="63"/>
      <c r="O596" s="63"/>
      <c r="P596" s="63"/>
      <c r="Q596" s="63"/>
      <c r="R596" t="s">
        <v>328</v>
      </c>
      <c r="S596" t="s">
        <v>327</v>
      </c>
      <c r="T596" t="s">
        <v>292</v>
      </c>
      <c r="U596" t="s">
        <v>9375</v>
      </c>
      <c r="V596" t="s">
        <v>9374</v>
      </c>
      <c r="W596" t="s">
        <v>326</v>
      </c>
      <c r="X596" t="s">
        <v>325</v>
      </c>
      <c r="Y596" t="s">
        <v>9373</v>
      </c>
      <c r="Z596" t="str">
        <f>"01772 316366"</f>
        <v>01772 316366</v>
      </c>
      <c r="AA596" t="str">
        <f>"07435 955329"</f>
        <v>07435 955329</v>
      </c>
      <c r="AB596" t="s">
        <v>1704</v>
      </c>
      <c r="AC596" t="s">
        <v>9372</v>
      </c>
      <c r="AD596" t="s">
        <v>145</v>
      </c>
      <c r="AE596" s="63">
        <v>45207</v>
      </c>
      <c r="AF596" t="s">
        <v>113</v>
      </c>
      <c r="AG596" t="s">
        <v>112</v>
      </c>
      <c r="AH596" t="s">
        <v>112</v>
      </c>
      <c r="AI596" s="63">
        <v>43408</v>
      </c>
      <c r="AJ596" s="63">
        <v>45657</v>
      </c>
      <c r="AK596" t="s">
        <v>111</v>
      </c>
      <c r="AL596" t="s">
        <v>111</v>
      </c>
      <c r="AM596" t="s">
        <v>111</v>
      </c>
      <c r="AN596">
        <v>14107</v>
      </c>
      <c r="AO596" t="s">
        <v>110</v>
      </c>
      <c r="AP596" t="s">
        <v>109</v>
      </c>
    </row>
    <row r="597" spans="1:42" x14ac:dyDescent="0.25">
      <c r="A597" s="28" t="str">
        <f>"13863"</f>
        <v>13863</v>
      </c>
      <c r="B597">
        <v>13863</v>
      </c>
      <c r="C597" t="s">
        <v>2488</v>
      </c>
      <c r="D597" t="s">
        <v>121</v>
      </c>
      <c r="F597" t="s">
        <v>120</v>
      </c>
      <c r="G597" t="s">
        <v>251</v>
      </c>
      <c r="H597" t="s">
        <v>284</v>
      </c>
      <c r="I597" t="s">
        <v>9371</v>
      </c>
      <c r="J597" t="s">
        <v>7</v>
      </c>
      <c r="K597" s="63">
        <v>19040</v>
      </c>
      <c r="L597" s="28">
        <f>DATEDIF(K597,Zwift25!G$1,"Y")</f>
        <v>72</v>
      </c>
      <c r="M597" s="67">
        <f>IF(J597="m",VLOOKUP(L597,'All Solo Adjustments'!A:D,4,FALSE),VLOOKUP(L597,'All Solo Adjustments'!A:J,10,FALSE))</f>
        <v>7.129629629629629E-3</v>
      </c>
      <c r="N597" s="63"/>
      <c r="O597" s="63"/>
      <c r="P597" s="63"/>
      <c r="Q597" s="63"/>
      <c r="R597" t="s">
        <v>154</v>
      </c>
      <c r="S597" t="s">
        <v>153</v>
      </c>
      <c r="T597" t="s">
        <v>292</v>
      </c>
      <c r="U597" t="s">
        <v>9370</v>
      </c>
      <c r="V597" t="s">
        <v>1447</v>
      </c>
      <c r="W597" t="s">
        <v>363</v>
      </c>
      <c r="Y597" t="s">
        <v>9369</v>
      </c>
      <c r="Z597" t="str">
        <f>"07718735371"</f>
        <v>07718735371</v>
      </c>
      <c r="AA597" t="str">
        <f>""</f>
        <v/>
      </c>
      <c r="AB597" t="s">
        <v>1425</v>
      </c>
      <c r="AC597" t="s">
        <v>9368</v>
      </c>
      <c r="AD597" t="s">
        <v>114</v>
      </c>
      <c r="AE597" s="63">
        <v>45304</v>
      </c>
      <c r="AF597" t="s">
        <v>156</v>
      </c>
      <c r="AG597" t="s">
        <v>111</v>
      </c>
      <c r="AH597" t="s">
        <v>112</v>
      </c>
      <c r="AI597" s="63">
        <v>43402</v>
      </c>
      <c r="AJ597" s="63">
        <v>45657</v>
      </c>
      <c r="AK597" t="s">
        <v>112</v>
      </c>
      <c r="AL597" t="s">
        <v>111</v>
      </c>
      <c r="AM597" t="s">
        <v>111</v>
      </c>
      <c r="AN597">
        <v>4689</v>
      </c>
      <c r="AO597" t="s">
        <v>110</v>
      </c>
      <c r="AP597" t="s">
        <v>109</v>
      </c>
    </row>
    <row r="598" spans="1:42" x14ac:dyDescent="0.25">
      <c r="A598" s="28" t="str">
        <f>"14885"</f>
        <v>14885</v>
      </c>
      <c r="B598">
        <v>14885</v>
      </c>
      <c r="C598" t="s">
        <v>2488</v>
      </c>
      <c r="D598" t="s">
        <v>132</v>
      </c>
      <c r="E598" t="s">
        <v>3000</v>
      </c>
      <c r="F598" t="s">
        <v>139</v>
      </c>
      <c r="G598" t="s">
        <v>808</v>
      </c>
      <c r="I598" t="s">
        <v>807</v>
      </c>
      <c r="J598" t="s">
        <v>126</v>
      </c>
      <c r="K598" s="63">
        <v>22217</v>
      </c>
      <c r="L598" s="28">
        <f>DATEDIF(K598,Zwift25!G$1,"Y")</f>
        <v>63</v>
      </c>
      <c r="M598" s="67">
        <f>IF(J598="m",VLOOKUP(L598,'All Solo Adjustments'!A:D,4,FALSE),VLOOKUP(L598,'All Solo Adjustments'!A:J,10,FALSE))</f>
        <v>8.0092592592592594E-3</v>
      </c>
      <c r="N598" s="63"/>
      <c r="O598" s="63"/>
      <c r="P598" s="63"/>
      <c r="Q598" s="63"/>
      <c r="R598" t="s">
        <v>296</v>
      </c>
      <c r="S598" t="s">
        <v>701</v>
      </c>
      <c r="T598" t="s">
        <v>292</v>
      </c>
      <c r="U598" t="s">
        <v>9365</v>
      </c>
      <c r="V598" t="s">
        <v>9364</v>
      </c>
      <c r="W598" t="s">
        <v>794</v>
      </c>
      <c r="Y598" t="s">
        <v>9363</v>
      </c>
      <c r="Z598" t="str">
        <f>"01383871780"</f>
        <v>01383871780</v>
      </c>
      <c r="AA598" t="str">
        <f>"07580458426"</f>
        <v>07580458426</v>
      </c>
      <c r="AB598" t="s">
        <v>9367</v>
      </c>
      <c r="AC598" t="s">
        <v>806</v>
      </c>
      <c r="AD598" t="s">
        <v>145</v>
      </c>
      <c r="AE598" s="63">
        <v>45351</v>
      </c>
      <c r="AF598" t="s">
        <v>113</v>
      </c>
      <c r="AG598" t="s">
        <v>112</v>
      </c>
      <c r="AH598" t="s">
        <v>112</v>
      </c>
      <c r="AI598" s="63">
        <v>44260</v>
      </c>
      <c r="AJ598" s="63">
        <v>45657</v>
      </c>
      <c r="AK598" t="s">
        <v>112</v>
      </c>
      <c r="AL598" t="s">
        <v>111</v>
      </c>
      <c r="AM598" t="s">
        <v>111</v>
      </c>
      <c r="AN598">
        <v>7039</v>
      </c>
      <c r="AO598" t="s">
        <v>122</v>
      </c>
      <c r="AP598" t="s">
        <v>122</v>
      </c>
    </row>
    <row r="599" spans="1:42" x14ac:dyDescent="0.25">
      <c r="A599" s="28" t="str">
        <f>"14886"</f>
        <v>14886</v>
      </c>
      <c r="B599">
        <v>14886</v>
      </c>
      <c r="C599" t="s">
        <v>2488</v>
      </c>
      <c r="D599" t="s">
        <v>130</v>
      </c>
      <c r="E599" t="s">
        <v>3000</v>
      </c>
      <c r="F599" t="s">
        <v>120</v>
      </c>
      <c r="G599" t="s">
        <v>805</v>
      </c>
      <c r="H599" t="s">
        <v>410</v>
      </c>
      <c r="I599" t="s">
        <v>9366</v>
      </c>
      <c r="J599" t="s">
        <v>7</v>
      </c>
      <c r="K599" s="63">
        <v>23809</v>
      </c>
      <c r="L599" s="28">
        <f>DATEDIF(K599,Zwift25!G$1,"Y")</f>
        <v>59</v>
      </c>
      <c r="M599" s="67">
        <f>IF(J599="m",VLOOKUP(L599,'All Solo Adjustments'!A:D,4,FALSE),VLOOKUP(L599,'All Solo Adjustments'!A:J,10,FALSE))</f>
        <v>2.9629629629629632E-3</v>
      </c>
      <c r="N599" s="63"/>
      <c r="O599" s="63"/>
      <c r="P599" s="63"/>
      <c r="Q599" s="63"/>
      <c r="R599" t="s">
        <v>296</v>
      </c>
      <c r="S599" t="s">
        <v>701</v>
      </c>
      <c r="T599" t="s">
        <v>292</v>
      </c>
      <c r="U599" t="s">
        <v>9365</v>
      </c>
      <c r="V599" t="s">
        <v>9364</v>
      </c>
      <c r="W599" t="s">
        <v>794</v>
      </c>
      <c r="Y599" t="s">
        <v>9363</v>
      </c>
      <c r="Z599" t="str">
        <f>"01383871780"</f>
        <v>01383871780</v>
      </c>
      <c r="AA599" t="str">
        <f>"07580458426"</f>
        <v>07580458426</v>
      </c>
      <c r="AB599" t="s">
        <v>803</v>
      </c>
      <c r="AC599" t="s">
        <v>9362</v>
      </c>
      <c r="AD599" t="s">
        <v>145</v>
      </c>
      <c r="AE599" s="63">
        <v>45351</v>
      </c>
      <c r="AF599" t="s">
        <v>113</v>
      </c>
      <c r="AG599" t="s">
        <v>112</v>
      </c>
      <c r="AH599" t="s">
        <v>112</v>
      </c>
      <c r="AI599" s="63">
        <v>44260</v>
      </c>
      <c r="AJ599" s="63">
        <v>45657</v>
      </c>
      <c r="AK599" t="s">
        <v>112</v>
      </c>
      <c r="AL599" t="s">
        <v>111</v>
      </c>
      <c r="AM599" t="s">
        <v>111</v>
      </c>
      <c r="AN599">
        <v>9064</v>
      </c>
      <c r="AO599" t="s">
        <v>110</v>
      </c>
      <c r="AP599" t="s">
        <v>109</v>
      </c>
    </row>
    <row r="600" spans="1:42" x14ac:dyDescent="0.25">
      <c r="A600" s="28" t="str">
        <f>"0796"</f>
        <v>0796</v>
      </c>
      <c r="B600">
        <v>796</v>
      </c>
      <c r="C600" t="s">
        <v>2488</v>
      </c>
      <c r="D600" t="s">
        <v>121</v>
      </c>
      <c r="F600" t="s">
        <v>120</v>
      </c>
      <c r="G600" t="s">
        <v>506</v>
      </c>
      <c r="I600" t="s">
        <v>9361</v>
      </c>
      <c r="J600" t="s">
        <v>7</v>
      </c>
      <c r="K600" s="63">
        <v>15356</v>
      </c>
      <c r="L600" s="28">
        <f>DATEDIF(K600,Zwift25!G$1,"Y")</f>
        <v>82</v>
      </c>
      <c r="M600" s="67">
        <f>IF(J600="m",VLOOKUP(L600,'All Solo Adjustments'!A:D,4,FALSE),VLOOKUP(L600,'All Solo Adjustments'!A:J,10,FALSE))</f>
        <v>1.2210648148148148E-2</v>
      </c>
      <c r="N600" s="63"/>
      <c r="O600" s="63"/>
      <c r="P600" s="63"/>
      <c r="Q600" s="63"/>
      <c r="R600" t="s">
        <v>296</v>
      </c>
      <c r="S600" t="s">
        <v>2310</v>
      </c>
      <c r="T600" t="s">
        <v>292</v>
      </c>
      <c r="U600" t="s">
        <v>9360</v>
      </c>
      <c r="V600" t="s">
        <v>9359</v>
      </c>
      <c r="W600" t="s">
        <v>9358</v>
      </c>
      <c r="X600" t="s">
        <v>599</v>
      </c>
      <c r="Y600" t="s">
        <v>9357</v>
      </c>
      <c r="Z600" t="str">
        <f>"01250 870640"</f>
        <v>01250 870640</v>
      </c>
      <c r="AA600" t="str">
        <f>""</f>
        <v/>
      </c>
      <c r="AB600" t="s">
        <v>950</v>
      </c>
      <c r="AC600" t="s">
        <v>9356</v>
      </c>
      <c r="AD600" t="s">
        <v>145</v>
      </c>
      <c r="AF600" t="s">
        <v>113</v>
      </c>
      <c r="AG600" t="s">
        <v>112</v>
      </c>
      <c r="AH600" t="s">
        <v>112</v>
      </c>
      <c r="AI600" s="63">
        <v>31118</v>
      </c>
      <c r="AK600" t="s">
        <v>111</v>
      </c>
      <c r="AL600" t="s">
        <v>111</v>
      </c>
      <c r="AM600" t="s">
        <v>111</v>
      </c>
      <c r="AN600" t="s">
        <v>105</v>
      </c>
      <c r="AO600" t="s">
        <v>110</v>
      </c>
      <c r="AP600" t="s">
        <v>109</v>
      </c>
    </row>
    <row r="601" spans="1:42" x14ac:dyDescent="0.25">
      <c r="A601" s="28" t="str">
        <f>"0801"</f>
        <v>0801</v>
      </c>
      <c r="B601">
        <v>801</v>
      </c>
      <c r="C601" t="s">
        <v>2488</v>
      </c>
      <c r="D601" t="s">
        <v>121</v>
      </c>
      <c r="F601" t="s">
        <v>120</v>
      </c>
      <c r="G601" t="s">
        <v>1044</v>
      </c>
      <c r="H601" t="s">
        <v>436</v>
      </c>
      <c r="I601" t="s">
        <v>9355</v>
      </c>
      <c r="J601" t="s">
        <v>7</v>
      </c>
      <c r="K601" s="63">
        <v>16322</v>
      </c>
      <c r="L601" s="28">
        <f>DATEDIF(K601,Zwift25!G$1,"Y")</f>
        <v>80</v>
      </c>
      <c r="M601" s="67">
        <f>IF(J601="m",VLOOKUP(L601,'All Solo Adjustments'!A:D,4,FALSE),VLOOKUP(L601,'All Solo Adjustments'!A:J,10,FALSE))</f>
        <v>1.1018518518518518E-2</v>
      </c>
      <c r="N601" s="63"/>
      <c r="O601" s="63"/>
      <c r="P601" s="63"/>
      <c r="Q601" s="63"/>
      <c r="R601" t="s">
        <v>180</v>
      </c>
      <c r="S601" t="s">
        <v>179</v>
      </c>
      <c r="T601" t="s">
        <v>292</v>
      </c>
      <c r="U601" t="s">
        <v>9354</v>
      </c>
      <c r="V601" t="s">
        <v>9353</v>
      </c>
      <c r="W601" t="s">
        <v>1917</v>
      </c>
      <c r="X601" t="s">
        <v>259</v>
      </c>
      <c r="Y601" t="s">
        <v>9352</v>
      </c>
      <c r="Z601" t="str">
        <f>"07947011327"</f>
        <v>07947011327</v>
      </c>
      <c r="AA601" t="str">
        <f>"01949 729509"</f>
        <v>01949 729509</v>
      </c>
      <c r="AB601" t="s">
        <v>1665</v>
      </c>
      <c r="AC601" t="s">
        <v>9351</v>
      </c>
      <c r="AD601" t="s">
        <v>114</v>
      </c>
      <c r="AE601" s="63">
        <v>45262</v>
      </c>
      <c r="AF601" t="s">
        <v>113</v>
      </c>
      <c r="AG601" t="s">
        <v>112</v>
      </c>
      <c r="AH601" t="s">
        <v>112</v>
      </c>
      <c r="AI601" s="63">
        <v>43435</v>
      </c>
      <c r="AJ601" s="63">
        <v>45657</v>
      </c>
      <c r="AK601" t="s">
        <v>111</v>
      </c>
      <c r="AL601" t="s">
        <v>111</v>
      </c>
      <c r="AM601" t="s">
        <v>111</v>
      </c>
      <c r="AN601">
        <v>263</v>
      </c>
      <c r="AO601" t="s">
        <v>110</v>
      </c>
      <c r="AP601" t="s">
        <v>109</v>
      </c>
    </row>
    <row r="602" spans="1:42" x14ac:dyDescent="0.25">
      <c r="A602" s="28" t="str">
        <f>"5593"</f>
        <v>5593</v>
      </c>
      <c r="B602">
        <v>5593</v>
      </c>
      <c r="C602" t="s">
        <v>2488</v>
      </c>
      <c r="D602" t="s">
        <v>132</v>
      </c>
      <c r="F602" t="s">
        <v>120</v>
      </c>
      <c r="G602" t="s">
        <v>6821</v>
      </c>
      <c r="H602" t="s">
        <v>9350</v>
      </c>
      <c r="I602" t="s">
        <v>9349</v>
      </c>
      <c r="J602" t="s">
        <v>7</v>
      </c>
      <c r="K602" s="63">
        <v>21955</v>
      </c>
      <c r="L602" s="28">
        <f>DATEDIF(K602,Zwift25!G$1,"Y")</f>
        <v>64</v>
      </c>
      <c r="M602" s="67">
        <f>IF(J602="m",VLOOKUP(L602,'All Solo Adjustments'!A:D,4,FALSE),VLOOKUP(L602,'All Solo Adjustments'!A:J,10,FALSE))</f>
        <v>4.31712962962963E-3</v>
      </c>
      <c r="N602" s="63"/>
      <c r="O602" s="63"/>
      <c r="P602" s="63"/>
      <c r="Q602" s="63"/>
      <c r="R602" t="s">
        <v>184</v>
      </c>
      <c r="S602" t="s">
        <v>1390</v>
      </c>
      <c r="T602" t="s">
        <v>292</v>
      </c>
      <c r="U602" t="s">
        <v>9344</v>
      </c>
      <c r="V602" t="s">
        <v>1911</v>
      </c>
      <c r="W602" t="s">
        <v>1911</v>
      </c>
      <c r="X602" t="s">
        <v>735</v>
      </c>
      <c r="Y602" t="s">
        <v>9343</v>
      </c>
      <c r="Z602" t="str">
        <f>"+07939935137"</f>
        <v>+07939935137</v>
      </c>
      <c r="AA602" t="str">
        <f>""</f>
        <v/>
      </c>
      <c r="AB602" t="s">
        <v>9348</v>
      </c>
      <c r="AC602" t="s">
        <v>9347</v>
      </c>
      <c r="AD602" t="s">
        <v>114</v>
      </c>
      <c r="AE602" s="63">
        <v>45294</v>
      </c>
      <c r="AF602" t="s">
        <v>113</v>
      </c>
      <c r="AG602" t="s">
        <v>112</v>
      </c>
      <c r="AH602" t="s">
        <v>112</v>
      </c>
      <c r="AI602" s="63">
        <v>43349</v>
      </c>
      <c r="AJ602" s="63">
        <v>45657</v>
      </c>
      <c r="AK602" t="s">
        <v>112</v>
      </c>
      <c r="AL602" t="s">
        <v>111</v>
      </c>
      <c r="AM602" t="s">
        <v>111</v>
      </c>
      <c r="AN602">
        <v>910</v>
      </c>
      <c r="AO602" t="s">
        <v>110</v>
      </c>
      <c r="AP602" t="s">
        <v>109</v>
      </c>
    </row>
    <row r="603" spans="1:42" x14ac:dyDescent="0.25">
      <c r="A603" s="28" t="str">
        <f>"13812"</f>
        <v>13812</v>
      </c>
      <c r="B603">
        <v>13812</v>
      </c>
      <c r="C603" t="s">
        <v>2488</v>
      </c>
      <c r="D603" t="s">
        <v>130</v>
      </c>
      <c r="F603" t="s">
        <v>139</v>
      </c>
      <c r="G603" t="s">
        <v>9346</v>
      </c>
      <c r="I603" t="s">
        <v>9345</v>
      </c>
      <c r="J603" t="s">
        <v>126</v>
      </c>
      <c r="K603" s="63">
        <v>16408</v>
      </c>
      <c r="L603" s="28">
        <f>DATEDIF(K603,Zwift25!G$1,"Y")</f>
        <v>79</v>
      </c>
      <c r="M603" s="67">
        <f>IF(J603="m",VLOOKUP(L603,'All Solo Adjustments'!A:D,4,FALSE),VLOOKUP(L603,'All Solo Adjustments'!A:J,10,FALSE))</f>
        <v>1.6192129629629629E-2</v>
      </c>
      <c r="N603" s="63"/>
      <c r="O603" s="63"/>
      <c r="P603" s="63"/>
      <c r="Q603" s="63"/>
      <c r="R603" t="s">
        <v>184</v>
      </c>
      <c r="S603" t="s">
        <v>835</v>
      </c>
      <c r="T603" t="s">
        <v>292</v>
      </c>
      <c r="U603" t="s">
        <v>9344</v>
      </c>
      <c r="V603" t="s">
        <v>1911</v>
      </c>
      <c r="W603" t="s">
        <v>1911</v>
      </c>
      <c r="X603" t="s">
        <v>735</v>
      </c>
      <c r="Y603" t="s">
        <v>9343</v>
      </c>
      <c r="Z603" t="str">
        <f>"+07939935137"</f>
        <v>+07939935137</v>
      </c>
      <c r="AA603" t="str">
        <f>""</f>
        <v/>
      </c>
      <c r="AB603" t="s">
        <v>3495</v>
      </c>
      <c r="AC603" t="s">
        <v>9342</v>
      </c>
      <c r="AD603" t="s">
        <v>145</v>
      </c>
      <c r="AF603" t="s">
        <v>113</v>
      </c>
      <c r="AG603" t="s">
        <v>112</v>
      </c>
      <c r="AH603" t="s">
        <v>112</v>
      </c>
      <c r="AI603" s="63">
        <v>43349</v>
      </c>
      <c r="AK603" t="s">
        <v>112</v>
      </c>
      <c r="AL603" t="s">
        <v>111</v>
      </c>
      <c r="AM603" t="s">
        <v>111</v>
      </c>
      <c r="AN603">
        <v>7984</v>
      </c>
      <c r="AO603" t="s">
        <v>122</v>
      </c>
      <c r="AP603" t="s">
        <v>122</v>
      </c>
    </row>
    <row r="604" spans="1:42" x14ac:dyDescent="0.25">
      <c r="A604" s="28" t="str">
        <f>"15502"</f>
        <v>15502</v>
      </c>
      <c r="B604">
        <v>15502</v>
      </c>
      <c r="C604" t="s">
        <v>2488</v>
      </c>
      <c r="D604" t="s">
        <v>121</v>
      </c>
      <c r="E604" t="s">
        <v>584</v>
      </c>
      <c r="F604" t="s">
        <v>149</v>
      </c>
      <c r="G604" t="s">
        <v>9341</v>
      </c>
      <c r="H604" t="s">
        <v>128</v>
      </c>
      <c r="I604" t="s">
        <v>2010</v>
      </c>
      <c r="J604" t="s">
        <v>126</v>
      </c>
      <c r="K604" s="63">
        <v>22373</v>
      </c>
      <c r="L604" s="28">
        <f>DATEDIF(K604,Zwift25!G$1,"Y")</f>
        <v>63</v>
      </c>
      <c r="M604" s="67">
        <f>IF(J604="m",VLOOKUP(L604,'All Solo Adjustments'!A:D,4,FALSE),VLOOKUP(L604,'All Solo Adjustments'!A:J,10,FALSE))</f>
        <v>8.0092592592592594E-3</v>
      </c>
      <c r="N604" s="63"/>
      <c r="O604" s="63"/>
      <c r="P604" s="63"/>
      <c r="Q604" s="63"/>
      <c r="R604" t="s">
        <v>184</v>
      </c>
      <c r="S604" t="s">
        <v>183</v>
      </c>
      <c r="T604" t="s">
        <v>292</v>
      </c>
      <c r="U604" t="s">
        <v>9340</v>
      </c>
      <c r="W604" t="s">
        <v>1574</v>
      </c>
      <c r="X604" t="s">
        <v>167</v>
      </c>
      <c r="Y604" t="s">
        <v>9339</v>
      </c>
      <c r="Z604" t="str">
        <f>"07944 605147"</f>
        <v>07944 605147</v>
      </c>
      <c r="AA604" t="str">
        <f>""</f>
        <v/>
      </c>
      <c r="AB604" t="s">
        <v>777</v>
      </c>
      <c r="AC604" t="s">
        <v>9338</v>
      </c>
      <c r="AD604" t="s">
        <v>114</v>
      </c>
      <c r="AE604" s="63">
        <v>45217</v>
      </c>
      <c r="AF604" t="s">
        <v>156</v>
      </c>
      <c r="AG604" t="s">
        <v>112</v>
      </c>
      <c r="AH604" t="s">
        <v>112</v>
      </c>
      <c r="AI604" s="63">
        <v>44706</v>
      </c>
      <c r="AJ604" s="63">
        <v>45657</v>
      </c>
      <c r="AK604" t="s">
        <v>112</v>
      </c>
      <c r="AL604" t="s">
        <v>111</v>
      </c>
      <c r="AM604" t="s">
        <v>111</v>
      </c>
      <c r="AN604">
        <v>37584</v>
      </c>
      <c r="AO604" t="s">
        <v>122</v>
      </c>
      <c r="AP604" t="s">
        <v>122</v>
      </c>
    </row>
    <row r="605" spans="1:42" x14ac:dyDescent="0.25">
      <c r="A605" s="28" t="str">
        <f>"5724"</f>
        <v>5724</v>
      </c>
      <c r="B605">
        <v>5724</v>
      </c>
      <c r="C605" t="s">
        <v>2488</v>
      </c>
      <c r="D605" t="s">
        <v>121</v>
      </c>
      <c r="F605" t="s">
        <v>120</v>
      </c>
      <c r="G605" t="s">
        <v>366</v>
      </c>
      <c r="I605" t="s">
        <v>801</v>
      </c>
      <c r="J605" t="s">
        <v>7</v>
      </c>
      <c r="K605" s="63">
        <v>27732</v>
      </c>
      <c r="L605" s="28">
        <f>DATEDIF(K605,Zwift25!G$1,"Y")</f>
        <v>48</v>
      </c>
      <c r="M605" s="67">
        <f>IF(J605="m",VLOOKUP(L605,'All Solo Adjustments'!A:D,4,FALSE),VLOOKUP(L605,'All Solo Adjustments'!A:J,10,FALSE))</f>
        <v>8.3333333333333339E-4</v>
      </c>
      <c r="N605" s="63"/>
      <c r="O605" s="63"/>
      <c r="P605" s="63"/>
      <c r="Q605" s="63"/>
      <c r="R605" t="s">
        <v>184</v>
      </c>
      <c r="S605" t="s">
        <v>183</v>
      </c>
      <c r="T605" t="s">
        <v>292</v>
      </c>
      <c r="U605" t="s">
        <v>9337</v>
      </c>
      <c r="V605" t="s">
        <v>673</v>
      </c>
      <c r="Y605" t="s">
        <v>9336</v>
      </c>
      <c r="Z605" t="str">
        <f>"07010 709575"</f>
        <v>07010 709575</v>
      </c>
      <c r="AA605" t="str">
        <f>""</f>
        <v/>
      </c>
      <c r="AB605" t="s">
        <v>216</v>
      </c>
      <c r="AC605" t="s">
        <v>9335</v>
      </c>
      <c r="AD605" t="s">
        <v>114</v>
      </c>
      <c r="AE605" s="63">
        <v>45265</v>
      </c>
      <c r="AF605" t="s">
        <v>113</v>
      </c>
      <c r="AG605" t="s">
        <v>112</v>
      </c>
      <c r="AH605" t="s">
        <v>112</v>
      </c>
      <c r="AI605" s="63">
        <v>42417</v>
      </c>
      <c r="AJ605" s="63">
        <v>45657</v>
      </c>
      <c r="AK605" t="s">
        <v>111</v>
      </c>
      <c r="AL605" t="s">
        <v>111</v>
      </c>
      <c r="AM605" t="s">
        <v>111</v>
      </c>
      <c r="AN605" t="s">
        <v>105</v>
      </c>
      <c r="AO605" t="s">
        <v>110</v>
      </c>
      <c r="AP605" t="s">
        <v>109</v>
      </c>
    </row>
    <row r="606" spans="1:42" x14ac:dyDescent="0.25">
      <c r="A606" s="28" t="str">
        <f>"12628"</f>
        <v>12628</v>
      </c>
      <c r="B606">
        <v>12628</v>
      </c>
      <c r="C606" t="s">
        <v>2488</v>
      </c>
      <c r="D606" t="s">
        <v>132</v>
      </c>
      <c r="F606" t="s">
        <v>120</v>
      </c>
      <c r="G606" t="s">
        <v>231</v>
      </c>
      <c r="I606" t="s">
        <v>801</v>
      </c>
      <c r="J606" t="s">
        <v>7</v>
      </c>
      <c r="K606" s="63">
        <v>23001</v>
      </c>
      <c r="L606" s="28">
        <f>DATEDIF(K606,Zwift25!G$1,"Y")</f>
        <v>61</v>
      </c>
      <c r="M606" s="67">
        <f>IF(J606="m",VLOOKUP(L606,'All Solo Adjustments'!A:D,4,FALSE),VLOOKUP(L606,'All Solo Adjustments'!A:J,10,FALSE))</f>
        <v>3.4722222222222225E-3</v>
      </c>
      <c r="N606" s="63"/>
      <c r="O606" s="63"/>
      <c r="P606" s="63"/>
      <c r="Q606" s="63"/>
      <c r="R606" t="s">
        <v>184</v>
      </c>
      <c r="S606" t="s">
        <v>1390</v>
      </c>
      <c r="T606" t="s">
        <v>292</v>
      </c>
      <c r="U606" t="s">
        <v>3906</v>
      </c>
      <c r="V606" t="s">
        <v>9332</v>
      </c>
      <c r="W606" t="s">
        <v>9331</v>
      </c>
      <c r="X606" t="s">
        <v>9330</v>
      </c>
      <c r="Y606" t="s">
        <v>9329</v>
      </c>
      <c r="Z606" t="str">
        <f>"07710132399"</f>
        <v>07710132399</v>
      </c>
      <c r="AA606" t="str">
        <f>""</f>
        <v/>
      </c>
      <c r="AB606" t="s">
        <v>1491</v>
      </c>
      <c r="AC606" t="s">
        <v>9334</v>
      </c>
      <c r="AD606" t="s">
        <v>114</v>
      </c>
      <c r="AE606" s="63">
        <v>45283</v>
      </c>
      <c r="AF606" t="s">
        <v>156</v>
      </c>
      <c r="AG606" t="s">
        <v>112</v>
      </c>
      <c r="AH606" t="s">
        <v>112</v>
      </c>
      <c r="AI606" s="63">
        <v>43221</v>
      </c>
      <c r="AJ606" s="63">
        <v>45657</v>
      </c>
      <c r="AK606" t="s">
        <v>112</v>
      </c>
      <c r="AL606" t="s">
        <v>111</v>
      </c>
      <c r="AM606" t="s">
        <v>111</v>
      </c>
      <c r="AN606">
        <v>2157</v>
      </c>
      <c r="AO606" t="s">
        <v>110</v>
      </c>
      <c r="AP606" t="s">
        <v>109</v>
      </c>
    </row>
    <row r="607" spans="1:42" x14ac:dyDescent="0.25">
      <c r="A607" s="28" t="str">
        <f>"12629"</f>
        <v>12629</v>
      </c>
      <c r="B607">
        <v>12629</v>
      </c>
      <c r="C607" t="s">
        <v>2488</v>
      </c>
      <c r="D607" t="s">
        <v>130</v>
      </c>
      <c r="F607" t="s">
        <v>149</v>
      </c>
      <c r="G607" t="s">
        <v>9333</v>
      </c>
      <c r="H607" t="s">
        <v>1789</v>
      </c>
      <c r="I607" t="s">
        <v>801</v>
      </c>
      <c r="J607" t="s">
        <v>126</v>
      </c>
      <c r="K607" s="63">
        <v>24127</v>
      </c>
      <c r="L607" s="28">
        <f>DATEDIF(K607,Zwift25!G$1,"Y")</f>
        <v>58</v>
      </c>
      <c r="M607" s="67">
        <f>IF(J607="m",VLOOKUP(L607,'All Solo Adjustments'!A:D,4,FALSE),VLOOKUP(L607,'All Solo Adjustments'!A:J,10,FALSE))</f>
        <v>6.3194444444444444E-3</v>
      </c>
      <c r="N607" s="63"/>
      <c r="O607" s="63"/>
      <c r="P607" s="63"/>
      <c r="Q607" s="63"/>
      <c r="R607" t="s">
        <v>184</v>
      </c>
      <c r="S607" t="s">
        <v>1390</v>
      </c>
      <c r="T607" t="s">
        <v>292</v>
      </c>
      <c r="U607" t="s">
        <v>3906</v>
      </c>
      <c r="V607" t="s">
        <v>9332</v>
      </c>
      <c r="W607" t="s">
        <v>9331</v>
      </c>
      <c r="X607" t="s">
        <v>9330</v>
      </c>
      <c r="Y607" t="s">
        <v>9329</v>
      </c>
      <c r="Z607" t="str">
        <f>"07710132399"</f>
        <v>07710132399</v>
      </c>
      <c r="AA607" t="str">
        <f>""</f>
        <v/>
      </c>
      <c r="AB607" t="s">
        <v>1491</v>
      </c>
      <c r="AC607" t="s">
        <v>9328</v>
      </c>
      <c r="AD607" t="s">
        <v>114</v>
      </c>
      <c r="AE607" s="63">
        <v>45283</v>
      </c>
      <c r="AF607" t="s">
        <v>113</v>
      </c>
      <c r="AG607" t="s">
        <v>111</v>
      </c>
      <c r="AH607" t="s">
        <v>111</v>
      </c>
      <c r="AI607" s="63">
        <v>43221</v>
      </c>
      <c r="AJ607" s="63">
        <v>45657</v>
      </c>
      <c r="AK607" t="s">
        <v>112</v>
      </c>
      <c r="AL607" t="s">
        <v>111</v>
      </c>
      <c r="AM607" t="s">
        <v>111</v>
      </c>
      <c r="AN607">
        <v>2250</v>
      </c>
      <c r="AO607" t="s">
        <v>122</v>
      </c>
      <c r="AP607" t="s">
        <v>122</v>
      </c>
    </row>
    <row r="608" spans="1:42" x14ac:dyDescent="0.25">
      <c r="A608" s="28" t="str">
        <f>"0807"</f>
        <v>0807</v>
      </c>
      <c r="B608">
        <v>807</v>
      </c>
      <c r="C608" t="s">
        <v>2488</v>
      </c>
      <c r="D608" t="s">
        <v>121</v>
      </c>
      <c r="F608" t="s">
        <v>120</v>
      </c>
      <c r="G608" t="s">
        <v>649</v>
      </c>
      <c r="I608" t="s">
        <v>799</v>
      </c>
      <c r="J608" t="s">
        <v>7</v>
      </c>
      <c r="K608" s="63">
        <v>13423</v>
      </c>
      <c r="L608" s="28">
        <f>DATEDIF(K608,Zwift25!G$1,"Y")</f>
        <v>88</v>
      </c>
      <c r="M608" s="67">
        <f>IF(J608="m",VLOOKUP(L608,'All Solo Adjustments'!A:D,4,FALSE),VLOOKUP(L608,'All Solo Adjustments'!A:J,10,FALSE))</f>
        <v>1.6597222222222222E-2</v>
      </c>
      <c r="N608" s="63"/>
      <c r="O608" s="63"/>
      <c r="P608" s="63"/>
      <c r="Q608" s="63"/>
      <c r="R608" t="s">
        <v>125</v>
      </c>
      <c r="S608" t="s">
        <v>484</v>
      </c>
      <c r="T608" t="s">
        <v>292</v>
      </c>
      <c r="U608" t="s">
        <v>9327</v>
      </c>
      <c r="V608" t="s">
        <v>824</v>
      </c>
      <c r="W608" t="s">
        <v>193</v>
      </c>
      <c r="Y608" t="s">
        <v>9326</v>
      </c>
      <c r="Z608" t="str">
        <f>"07765 696174"</f>
        <v>07765 696174</v>
      </c>
      <c r="AA608" t="str">
        <f>""</f>
        <v/>
      </c>
      <c r="AB608" t="s">
        <v>302</v>
      </c>
      <c r="AD608" t="s">
        <v>151</v>
      </c>
      <c r="AF608" t="s">
        <v>113</v>
      </c>
      <c r="AG608" t="s">
        <v>112</v>
      </c>
      <c r="AH608" t="s">
        <v>112</v>
      </c>
      <c r="AI608" s="63">
        <v>28211</v>
      </c>
      <c r="AK608" t="s">
        <v>111</v>
      </c>
      <c r="AL608" t="s">
        <v>111</v>
      </c>
      <c r="AM608" t="s">
        <v>111</v>
      </c>
      <c r="AN608" t="s">
        <v>105</v>
      </c>
      <c r="AO608" t="s">
        <v>110</v>
      </c>
      <c r="AP608" t="s">
        <v>109</v>
      </c>
    </row>
    <row r="609" spans="1:42" x14ac:dyDescent="0.25">
      <c r="A609" s="28" t="str">
        <f>"0808"</f>
        <v>0808</v>
      </c>
      <c r="B609">
        <v>808</v>
      </c>
      <c r="C609" t="s">
        <v>2488</v>
      </c>
      <c r="D609" t="s">
        <v>121</v>
      </c>
      <c r="F609" t="s">
        <v>120</v>
      </c>
      <c r="G609" t="s">
        <v>219</v>
      </c>
      <c r="H609" t="s">
        <v>359</v>
      </c>
      <c r="I609" t="s">
        <v>799</v>
      </c>
      <c r="J609" t="s">
        <v>7</v>
      </c>
      <c r="K609" s="63">
        <v>18088</v>
      </c>
      <c r="L609" s="28">
        <f>DATEDIF(K609,Zwift25!G$1,"Y")</f>
        <v>75</v>
      </c>
      <c r="M609" s="67">
        <f>IF(J609="m",VLOOKUP(L609,'All Solo Adjustments'!A:D,4,FALSE),VLOOKUP(L609,'All Solo Adjustments'!A:J,10,FALSE))</f>
        <v>8.4374999999999988E-3</v>
      </c>
      <c r="N609" s="63"/>
      <c r="O609" s="63"/>
      <c r="P609" s="63"/>
      <c r="Q609" s="63"/>
      <c r="R609" t="s">
        <v>527</v>
      </c>
      <c r="S609" t="s">
        <v>526</v>
      </c>
      <c r="T609" t="s">
        <v>292</v>
      </c>
      <c r="U609" t="s">
        <v>9325</v>
      </c>
      <c r="V609" t="s">
        <v>9324</v>
      </c>
      <c r="W609" t="s">
        <v>354</v>
      </c>
      <c r="X609" t="s">
        <v>810</v>
      </c>
      <c r="Y609" t="s">
        <v>9323</v>
      </c>
      <c r="Z609" t="str">
        <f>"01228 576395"</f>
        <v>01228 576395</v>
      </c>
      <c r="AA609" t="str">
        <f>"07500 906644"</f>
        <v>07500 906644</v>
      </c>
      <c r="AB609" t="s">
        <v>1979</v>
      </c>
      <c r="AC609" t="s">
        <v>9322</v>
      </c>
      <c r="AD609" t="s">
        <v>114</v>
      </c>
      <c r="AE609" s="63">
        <v>45268</v>
      </c>
      <c r="AF609" t="s">
        <v>156</v>
      </c>
      <c r="AG609" t="s">
        <v>112</v>
      </c>
      <c r="AH609" t="s">
        <v>112</v>
      </c>
      <c r="AI609" s="63">
        <v>43138</v>
      </c>
      <c r="AJ609" s="63">
        <v>45657</v>
      </c>
      <c r="AK609" t="s">
        <v>111</v>
      </c>
      <c r="AL609" t="s">
        <v>111</v>
      </c>
      <c r="AM609" t="s">
        <v>111</v>
      </c>
      <c r="AN609">
        <v>7430</v>
      </c>
      <c r="AO609" t="s">
        <v>110</v>
      </c>
      <c r="AP609" t="s">
        <v>109</v>
      </c>
    </row>
    <row r="610" spans="1:42" x14ac:dyDescent="0.25">
      <c r="A610" s="28" t="str">
        <f>"14245"</f>
        <v>14245</v>
      </c>
      <c r="B610">
        <v>14245</v>
      </c>
      <c r="C610" t="s">
        <v>2488</v>
      </c>
      <c r="D610" t="s">
        <v>121</v>
      </c>
      <c r="E610" t="s">
        <v>584</v>
      </c>
      <c r="F610" t="s">
        <v>120</v>
      </c>
      <c r="G610" t="s">
        <v>895</v>
      </c>
      <c r="H610" t="s">
        <v>843</v>
      </c>
      <c r="I610" t="s">
        <v>799</v>
      </c>
      <c r="J610" t="s">
        <v>7</v>
      </c>
      <c r="K610" s="63">
        <v>22401</v>
      </c>
      <c r="L610" s="28">
        <f>DATEDIF(K610,Zwift25!G$1,"Y")</f>
        <v>63</v>
      </c>
      <c r="M610" s="67">
        <f>IF(J610="m",VLOOKUP(L610,'All Solo Adjustments'!A:D,4,FALSE),VLOOKUP(L610,'All Solo Adjustments'!A:J,10,FALSE))</f>
        <v>4.0277777777777777E-3</v>
      </c>
      <c r="N610" s="63"/>
      <c r="O610" s="63"/>
      <c r="P610" s="63"/>
      <c r="Q610" s="63"/>
      <c r="R610" t="s">
        <v>296</v>
      </c>
      <c r="S610" t="s">
        <v>295</v>
      </c>
      <c r="T610" t="s">
        <v>292</v>
      </c>
      <c r="U610" t="s">
        <v>9321</v>
      </c>
      <c r="V610" t="s">
        <v>1684</v>
      </c>
      <c r="Y610" t="s">
        <v>9320</v>
      </c>
      <c r="Z610" t="str">
        <f>"07934064914"</f>
        <v>07934064914</v>
      </c>
      <c r="AA610" t="str">
        <f>""</f>
        <v/>
      </c>
      <c r="AB610" t="s">
        <v>7059</v>
      </c>
      <c r="AC610" t="s">
        <v>9319</v>
      </c>
      <c r="AD610" t="s">
        <v>114</v>
      </c>
      <c r="AE610" s="63">
        <v>45318</v>
      </c>
      <c r="AF610" t="s">
        <v>156</v>
      </c>
      <c r="AG610" t="s">
        <v>112</v>
      </c>
      <c r="AH610" t="s">
        <v>112</v>
      </c>
      <c r="AI610" s="63">
        <v>43613</v>
      </c>
      <c r="AJ610" s="63">
        <v>45657</v>
      </c>
      <c r="AK610" t="s">
        <v>112</v>
      </c>
      <c r="AL610" t="s">
        <v>111</v>
      </c>
      <c r="AM610" t="s">
        <v>111</v>
      </c>
      <c r="AN610">
        <v>18014</v>
      </c>
      <c r="AO610" t="s">
        <v>110</v>
      </c>
      <c r="AP610" t="s">
        <v>109</v>
      </c>
    </row>
    <row r="611" spans="1:42" x14ac:dyDescent="0.25">
      <c r="A611" s="28" t="str">
        <f>"15584"</f>
        <v>15584</v>
      </c>
      <c r="B611">
        <v>15584</v>
      </c>
      <c r="C611" t="s">
        <v>2488</v>
      </c>
      <c r="D611" t="s">
        <v>121</v>
      </c>
      <c r="F611" t="s">
        <v>120</v>
      </c>
      <c r="G611" t="s">
        <v>300</v>
      </c>
      <c r="H611" t="s">
        <v>241</v>
      </c>
      <c r="I611" t="s">
        <v>799</v>
      </c>
      <c r="J611" t="s">
        <v>7</v>
      </c>
      <c r="K611" s="63">
        <v>24703</v>
      </c>
      <c r="L611" s="28">
        <f>DATEDIF(K611,Zwift25!G$1,"Y")</f>
        <v>57</v>
      </c>
      <c r="M611" s="67">
        <f>IF(J611="m",VLOOKUP(L611,'All Solo Adjustments'!A:D,4,FALSE),VLOOKUP(L611,'All Solo Adjustments'!A:J,10,FALSE))</f>
        <v>2.488425925925926E-3</v>
      </c>
      <c r="N611" s="63"/>
      <c r="O611" s="63"/>
      <c r="P611" s="63"/>
      <c r="Q611" s="63"/>
      <c r="R611" t="s">
        <v>283</v>
      </c>
      <c r="S611" t="s">
        <v>530</v>
      </c>
      <c r="T611" t="s">
        <v>292</v>
      </c>
      <c r="U611" t="s">
        <v>9318</v>
      </c>
      <c r="V611" t="s">
        <v>9317</v>
      </c>
      <c r="W611" t="s">
        <v>4512</v>
      </c>
      <c r="X611" t="s">
        <v>1253</v>
      </c>
      <c r="Y611" t="s">
        <v>9316</v>
      </c>
      <c r="Z611" t="str">
        <f>"07875747236"</f>
        <v>07875747236</v>
      </c>
      <c r="AA611" t="str">
        <f>"01543 452595"</f>
        <v>01543 452595</v>
      </c>
      <c r="AB611" t="s">
        <v>9315</v>
      </c>
      <c r="AC611" t="s">
        <v>9314</v>
      </c>
      <c r="AD611" t="s">
        <v>114</v>
      </c>
      <c r="AE611" s="63">
        <v>45290</v>
      </c>
      <c r="AF611" t="s">
        <v>113</v>
      </c>
      <c r="AG611" t="s">
        <v>112</v>
      </c>
      <c r="AH611" t="s">
        <v>112</v>
      </c>
      <c r="AI611" s="63">
        <v>44800</v>
      </c>
      <c r="AJ611" s="63">
        <v>45657</v>
      </c>
      <c r="AK611" t="s">
        <v>112</v>
      </c>
      <c r="AL611" t="s">
        <v>111</v>
      </c>
      <c r="AM611" t="s">
        <v>111</v>
      </c>
      <c r="AN611">
        <v>7240</v>
      </c>
      <c r="AO611" t="s">
        <v>110</v>
      </c>
      <c r="AP611" t="s">
        <v>109</v>
      </c>
    </row>
    <row r="612" spans="1:42" x14ac:dyDescent="0.25">
      <c r="A612" s="28" t="str">
        <f>"16082"</f>
        <v>16082</v>
      </c>
      <c r="B612">
        <v>16082</v>
      </c>
      <c r="C612" t="s">
        <v>2488</v>
      </c>
      <c r="D612" t="s">
        <v>121</v>
      </c>
      <c r="F612" t="s">
        <v>120</v>
      </c>
      <c r="G612" t="s">
        <v>389</v>
      </c>
      <c r="I612" t="s">
        <v>799</v>
      </c>
      <c r="J612" t="s">
        <v>7</v>
      </c>
      <c r="K612" s="63">
        <v>20931</v>
      </c>
      <c r="L612" s="28">
        <f>DATEDIF(K612,Zwift25!G$1,"Y")</f>
        <v>67</v>
      </c>
      <c r="M612" s="67">
        <f>IF(J612="m",VLOOKUP(L612,'All Solo Adjustments'!A:D,4,FALSE),VLOOKUP(L612,'All Solo Adjustments'!A:J,10,FALSE))</f>
        <v>5.2662037037037035E-3</v>
      </c>
      <c r="N612" s="63"/>
      <c r="O612" s="63"/>
      <c r="P612" s="63"/>
      <c r="Q612" s="63"/>
      <c r="R612" t="s">
        <v>283</v>
      </c>
      <c r="S612" t="s">
        <v>530</v>
      </c>
      <c r="T612" t="s">
        <v>292</v>
      </c>
      <c r="U612" t="s">
        <v>9313</v>
      </c>
      <c r="V612" t="s">
        <v>261</v>
      </c>
      <c r="W612" t="s">
        <v>261</v>
      </c>
      <c r="X612" t="s">
        <v>9312</v>
      </c>
      <c r="Y612" t="s">
        <v>9311</v>
      </c>
      <c r="Z612" t="str">
        <f>"07484147564"</f>
        <v>07484147564</v>
      </c>
      <c r="AA612" t="str">
        <f>""</f>
        <v/>
      </c>
      <c r="AB612" t="s">
        <v>9310</v>
      </c>
      <c r="AC612" t="s">
        <v>9309</v>
      </c>
      <c r="AD612" t="s">
        <v>114</v>
      </c>
      <c r="AE612" s="63">
        <v>45382</v>
      </c>
      <c r="AF612" t="s">
        <v>156</v>
      </c>
      <c r="AG612" t="s">
        <v>112</v>
      </c>
      <c r="AH612" t="s">
        <v>112</v>
      </c>
      <c r="AI612" s="63">
        <v>45382</v>
      </c>
      <c r="AJ612" s="63">
        <v>45657</v>
      </c>
      <c r="AK612" t="s">
        <v>112</v>
      </c>
      <c r="AL612" t="s">
        <v>111</v>
      </c>
      <c r="AM612" t="s">
        <v>111</v>
      </c>
      <c r="AN612">
        <v>50086</v>
      </c>
      <c r="AO612" t="s">
        <v>110</v>
      </c>
      <c r="AP612" t="s">
        <v>109</v>
      </c>
    </row>
    <row r="613" spans="1:42" x14ac:dyDescent="0.25">
      <c r="A613" s="28" t="str">
        <f>"14910"</f>
        <v>14910</v>
      </c>
      <c r="B613">
        <v>14910</v>
      </c>
      <c r="C613" t="s">
        <v>2488</v>
      </c>
      <c r="D613" t="s">
        <v>121</v>
      </c>
      <c r="F613" t="s">
        <v>144</v>
      </c>
      <c r="G613" t="s">
        <v>224</v>
      </c>
      <c r="I613" t="s">
        <v>9308</v>
      </c>
      <c r="J613" t="s">
        <v>126</v>
      </c>
      <c r="K613" s="63">
        <v>29606</v>
      </c>
      <c r="L613" s="28">
        <f>DATEDIF(K613,Zwift25!G$1,"Y")</f>
        <v>43</v>
      </c>
      <c r="M613" s="67">
        <f>IF(J613="m",VLOOKUP(L613,'All Solo Adjustments'!A:D,4,FALSE),VLOOKUP(L613,'All Solo Adjustments'!A:J,10,FALSE))</f>
        <v>4.5254629629629629E-3</v>
      </c>
      <c r="N613" s="63"/>
      <c r="O613" s="63"/>
      <c r="P613" s="63"/>
      <c r="Q613" s="63"/>
      <c r="R613" t="s">
        <v>527</v>
      </c>
      <c r="S613" t="s">
        <v>526</v>
      </c>
      <c r="T613" t="s">
        <v>292</v>
      </c>
      <c r="U613" t="s">
        <v>9307</v>
      </c>
      <c r="V613" t="s">
        <v>9306</v>
      </c>
      <c r="W613" t="s">
        <v>9305</v>
      </c>
      <c r="Y613" t="s">
        <v>9304</v>
      </c>
      <c r="Z613" t="str">
        <f>"07799141690"</f>
        <v>07799141690</v>
      </c>
      <c r="AA613" t="str">
        <f>""</f>
        <v/>
      </c>
      <c r="AB613" t="s">
        <v>9303</v>
      </c>
      <c r="AC613" t="s">
        <v>9302</v>
      </c>
      <c r="AD613" t="s">
        <v>114</v>
      </c>
      <c r="AE613" s="63">
        <v>45297</v>
      </c>
      <c r="AF613" t="s">
        <v>156</v>
      </c>
      <c r="AG613" t="s">
        <v>112</v>
      </c>
      <c r="AH613" t="s">
        <v>112</v>
      </c>
      <c r="AI613" s="63">
        <v>44269</v>
      </c>
      <c r="AJ613" s="63">
        <v>45657</v>
      </c>
      <c r="AK613" t="s">
        <v>112</v>
      </c>
      <c r="AL613" t="s">
        <v>111</v>
      </c>
      <c r="AM613" t="s">
        <v>111</v>
      </c>
      <c r="AN613">
        <v>22151</v>
      </c>
      <c r="AO613" t="s">
        <v>122</v>
      </c>
      <c r="AP613" t="s">
        <v>122</v>
      </c>
    </row>
    <row r="614" spans="1:42" x14ac:dyDescent="0.25">
      <c r="A614" s="28" t="str">
        <f>"0813"</f>
        <v>0813</v>
      </c>
      <c r="B614">
        <v>813</v>
      </c>
      <c r="C614" t="s">
        <v>2488</v>
      </c>
      <c r="D614" t="s">
        <v>121</v>
      </c>
      <c r="F614" t="s">
        <v>120</v>
      </c>
      <c r="G614" t="s">
        <v>195</v>
      </c>
      <c r="H614" t="s">
        <v>469</v>
      </c>
      <c r="I614" t="s">
        <v>9301</v>
      </c>
      <c r="J614" t="s">
        <v>7</v>
      </c>
      <c r="K614" s="63">
        <v>14906</v>
      </c>
      <c r="L614" s="28">
        <f>DATEDIF(K614,Zwift25!G$1,"Y")</f>
        <v>83</v>
      </c>
      <c r="M614" s="67">
        <f>IF(J614="m",VLOOKUP(L614,'All Solo Adjustments'!A:D,4,FALSE),VLOOKUP(L614,'All Solo Adjustments'!A:J,10,FALSE))</f>
        <v>1.2858796296296297E-2</v>
      </c>
      <c r="N614" s="63"/>
      <c r="O614" s="63"/>
      <c r="P614" s="63"/>
      <c r="Q614" s="63"/>
      <c r="R614" t="s">
        <v>154</v>
      </c>
      <c r="S614" t="s">
        <v>2404</v>
      </c>
      <c r="T614" t="s">
        <v>292</v>
      </c>
      <c r="U614" t="s">
        <v>9300</v>
      </c>
      <c r="V614" t="s">
        <v>1143</v>
      </c>
      <c r="W614" t="s">
        <v>1228</v>
      </c>
      <c r="Y614" t="s">
        <v>9299</v>
      </c>
      <c r="Z614" t="str">
        <f>"01235 813571"</f>
        <v>01235 813571</v>
      </c>
      <c r="AA614" t="str">
        <f>""</f>
        <v/>
      </c>
      <c r="AB614" t="s">
        <v>1142</v>
      </c>
      <c r="AC614" t="s">
        <v>9298</v>
      </c>
      <c r="AD614" t="s">
        <v>145</v>
      </c>
      <c r="AF614" t="s">
        <v>156</v>
      </c>
      <c r="AG614" t="s">
        <v>112</v>
      </c>
      <c r="AH614" t="s">
        <v>112</v>
      </c>
      <c r="AI614" s="63">
        <v>30682</v>
      </c>
      <c r="AK614" t="s">
        <v>111</v>
      </c>
      <c r="AL614" t="s">
        <v>111</v>
      </c>
      <c r="AM614" t="s">
        <v>111</v>
      </c>
      <c r="AN614" t="s">
        <v>105</v>
      </c>
      <c r="AO614" t="s">
        <v>110</v>
      </c>
      <c r="AP614" t="s">
        <v>109</v>
      </c>
    </row>
    <row r="615" spans="1:42" x14ac:dyDescent="0.25">
      <c r="A615" s="28" t="str">
        <f>"10930"</f>
        <v>10930</v>
      </c>
      <c r="B615">
        <v>10930</v>
      </c>
      <c r="C615" t="s">
        <v>2488</v>
      </c>
      <c r="D615" t="s">
        <v>121</v>
      </c>
      <c r="F615" t="s">
        <v>120</v>
      </c>
      <c r="G615" t="s">
        <v>5028</v>
      </c>
      <c r="I615" t="s">
        <v>9301</v>
      </c>
      <c r="J615" t="s">
        <v>126</v>
      </c>
      <c r="K615" s="63">
        <v>14694</v>
      </c>
      <c r="L615" s="28">
        <f>DATEDIF(K615,Zwift25!G$1,"Y")</f>
        <v>84</v>
      </c>
      <c r="M615" s="67">
        <f>IF(J615="m",VLOOKUP(L615,'All Solo Adjustments'!A:D,4,FALSE),VLOOKUP(L615,'All Solo Adjustments'!A:J,10,FALSE))</f>
        <v>1.966435185185185E-2</v>
      </c>
      <c r="N615" s="63"/>
      <c r="O615" s="63"/>
      <c r="P615" s="63"/>
      <c r="Q615" s="63"/>
      <c r="R615" t="s">
        <v>154</v>
      </c>
      <c r="S615" t="s">
        <v>2404</v>
      </c>
      <c r="T615" t="s">
        <v>292</v>
      </c>
      <c r="U615" t="s">
        <v>9300</v>
      </c>
      <c r="V615" t="s">
        <v>1143</v>
      </c>
      <c r="W615" t="s">
        <v>1228</v>
      </c>
      <c r="Y615" t="s">
        <v>9299</v>
      </c>
      <c r="Z615" t="str">
        <f>"01235 813571"</f>
        <v>01235 813571</v>
      </c>
      <c r="AA615" t="str">
        <f>""</f>
        <v/>
      </c>
      <c r="AB615" t="s">
        <v>1142</v>
      </c>
      <c r="AC615" t="s">
        <v>9298</v>
      </c>
      <c r="AD615" t="s">
        <v>145</v>
      </c>
      <c r="AF615" t="s">
        <v>113</v>
      </c>
      <c r="AG615" t="s">
        <v>111</v>
      </c>
      <c r="AH615" t="s">
        <v>111</v>
      </c>
      <c r="AI615" s="63">
        <v>29587</v>
      </c>
      <c r="AK615" t="s">
        <v>111</v>
      </c>
      <c r="AL615" t="s">
        <v>111</v>
      </c>
      <c r="AM615" t="s">
        <v>111</v>
      </c>
      <c r="AN615" t="s">
        <v>105</v>
      </c>
      <c r="AO615" t="s">
        <v>122</v>
      </c>
      <c r="AP615" t="s">
        <v>122</v>
      </c>
    </row>
    <row r="616" spans="1:42" x14ac:dyDescent="0.25">
      <c r="A616" s="28" t="str">
        <f>"16126"</f>
        <v>16126</v>
      </c>
      <c r="B616">
        <v>16126</v>
      </c>
      <c r="C616" t="s">
        <v>2488</v>
      </c>
      <c r="D616" t="s">
        <v>121</v>
      </c>
      <c r="F616" t="s">
        <v>120</v>
      </c>
      <c r="G616" t="s">
        <v>366</v>
      </c>
      <c r="H616" t="s">
        <v>359</v>
      </c>
      <c r="I616" t="s">
        <v>9297</v>
      </c>
      <c r="J616" t="s">
        <v>7</v>
      </c>
      <c r="K616" s="63">
        <v>23495</v>
      </c>
      <c r="L616" s="28">
        <f>DATEDIF(K616,Zwift25!G$1,"Y")</f>
        <v>60</v>
      </c>
      <c r="M616" s="67">
        <f>IF(J616="m",VLOOKUP(L616,'All Solo Adjustments'!A:D,4,FALSE),VLOOKUP(L616,'All Solo Adjustments'!A:J,10,FALSE))</f>
        <v>3.2060185185185186E-3</v>
      </c>
      <c r="N616" s="63"/>
      <c r="O616" s="63"/>
      <c r="P616" s="63"/>
      <c r="Q616" s="63"/>
      <c r="R616" t="s">
        <v>154</v>
      </c>
      <c r="S616" t="s">
        <v>153</v>
      </c>
      <c r="T616" t="s">
        <v>292</v>
      </c>
      <c r="U616" t="s">
        <v>9296</v>
      </c>
      <c r="Y616" t="s">
        <v>9295</v>
      </c>
      <c r="Z616" t="str">
        <f>"07733818385"</f>
        <v>07733818385</v>
      </c>
      <c r="AA616" t="str">
        <f>""</f>
        <v/>
      </c>
      <c r="AB616" t="s">
        <v>9294</v>
      </c>
      <c r="AC616" t="s">
        <v>9293</v>
      </c>
      <c r="AD616" t="s">
        <v>114</v>
      </c>
      <c r="AE616" s="63">
        <v>45417</v>
      </c>
      <c r="AF616" t="s">
        <v>156</v>
      </c>
      <c r="AG616" t="s">
        <v>112</v>
      </c>
      <c r="AH616" t="s">
        <v>112</v>
      </c>
      <c r="AI616" s="63">
        <v>45417</v>
      </c>
      <c r="AJ616" s="63">
        <v>45657</v>
      </c>
      <c r="AK616" t="s">
        <v>112</v>
      </c>
      <c r="AL616" t="s">
        <v>112</v>
      </c>
      <c r="AM616" t="s">
        <v>111</v>
      </c>
      <c r="AN616">
        <v>752</v>
      </c>
      <c r="AO616" t="s">
        <v>110</v>
      </c>
      <c r="AP616" t="s">
        <v>109</v>
      </c>
    </row>
    <row r="617" spans="1:42" x14ac:dyDescent="0.25">
      <c r="A617" s="28" t="str">
        <f>"5883"</f>
        <v>5883</v>
      </c>
      <c r="B617">
        <v>5883</v>
      </c>
      <c r="C617" t="s">
        <v>2488</v>
      </c>
      <c r="D617" t="s">
        <v>121</v>
      </c>
      <c r="E617" t="s">
        <v>584</v>
      </c>
      <c r="F617" t="s">
        <v>120</v>
      </c>
      <c r="G617" t="s">
        <v>9292</v>
      </c>
      <c r="H617" t="s">
        <v>174</v>
      </c>
      <c r="I617" t="s">
        <v>2004</v>
      </c>
      <c r="J617" t="s">
        <v>7</v>
      </c>
      <c r="K617" s="63">
        <v>23971</v>
      </c>
      <c r="L617" s="28">
        <f>DATEDIF(K617,Zwift25!G$1,"Y")</f>
        <v>59</v>
      </c>
      <c r="M617" s="67">
        <f>IF(J617="m",VLOOKUP(L617,'All Solo Adjustments'!A:D,4,FALSE),VLOOKUP(L617,'All Solo Adjustments'!A:J,10,FALSE))</f>
        <v>2.9629629629629632E-3</v>
      </c>
      <c r="N617" s="63"/>
      <c r="O617" s="63"/>
      <c r="P617" s="63"/>
      <c r="Q617" s="63"/>
      <c r="R617" t="s">
        <v>184</v>
      </c>
      <c r="S617" t="s">
        <v>183</v>
      </c>
      <c r="T617" t="s">
        <v>292</v>
      </c>
      <c r="U617" t="s">
        <v>9291</v>
      </c>
      <c r="V617" t="s">
        <v>9290</v>
      </c>
      <c r="W617" t="s">
        <v>182</v>
      </c>
      <c r="Y617" t="s">
        <v>9289</v>
      </c>
      <c r="Z617" t="str">
        <f>"01296 738923"</f>
        <v>01296 738923</v>
      </c>
      <c r="AA617" t="str">
        <f>"07784738800"</f>
        <v>07784738800</v>
      </c>
      <c r="AB617" t="s">
        <v>9288</v>
      </c>
      <c r="AC617" t="s">
        <v>9287</v>
      </c>
      <c r="AD617" t="s">
        <v>114</v>
      </c>
      <c r="AE617" s="63">
        <v>45264</v>
      </c>
      <c r="AF617" t="s">
        <v>156</v>
      </c>
      <c r="AG617" t="s">
        <v>112</v>
      </c>
      <c r="AH617" t="s">
        <v>112</v>
      </c>
      <c r="AI617" s="63">
        <v>42517</v>
      </c>
      <c r="AJ617" s="63">
        <v>45657</v>
      </c>
      <c r="AK617" t="s">
        <v>111</v>
      </c>
      <c r="AL617" t="s">
        <v>111</v>
      </c>
      <c r="AM617" t="s">
        <v>111</v>
      </c>
      <c r="AN617">
        <v>8716</v>
      </c>
      <c r="AO617" t="s">
        <v>110</v>
      </c>
      <c r="AP617" t="s">
        <v>109</v>
      </c>
    </row>
    <row r="618" spans="1:42" x14ac:dyDescent="0.25">
      <c r="A618" s="28" t="str">
        <f>"14346"</f>
        <v>14346</v>
      </c>
      <c r="B618">
        <v>14346</v>
      </c>
      <c r="C618" t="s">
        <v>2488</v>
      </c>
      <c r="D618" t="s">
        <v>121</v>
      </c>
      <c r="F618" t="s">
        <v>120</v>
      </c>
      <c r="G618" t="s">
        <v>1690</v>
      </c>
      <c r="H618" t="s">
        <v>2345</v>
      </c>
      <c r="I618" t="s">
        <v>2004</v>
      </c>
      <c r="J618" t="s">
        <v>7</v>
      </c>
      <c r="K618" s="63">
        <v>12526</v>
      </c>
      <c r="L618" s="28">
        <f>DATEDIF(K618,Zwift25!G$1,"Y")</f>
        <v>90</v>
      </c>
      <c r="M618" s="67">
        <f>IF(J618="m",VLOOKUP(L618,'All Solo Adjustments'!A:D,4,FALSE),VLOOKUP(L618,'All Solo Adjustments'!A:J,10,FALSE))</f>
        <v>1.8391203703703705E-2</v>
      </c>
      <c r="N618" s="63"/>
      <c r="O618" s="63"/>
      <c r="P618" s="63"/>
      <c r="Q618" s="63"/>
      <c r="R618" t="s">
        <v>283</v>
      </c>
      <c r="S618" t="s">
        <v>530</v>
      </c>
      <c r="T618" t="s">
        <v>292</v>
      </c>
      <c r="U618" t="s">
        <v>9286</v>
      </c>
      <c r="V618" t="s">
        <v>9285</v>
      </c>
      <c r="X618" t="s">
        <v>9284</v>
      </c>
      <c r="Y618" t="s">
        <v>9283</v>
      </c>
      <c r="Z618" t="str">
        <f>"01384872734"</f>
        <v>01384872734</v>
      </c>
      <c r="AA618" t="str">
        <f>""</f>
        <v/>
      </c>
      <c r="AB618" t="s">
        <v>9282</v>
      </c>
      <c r="AC618" t="s">
        <v>9281</v>
      </c>
      <c r="AD618" t="s">
        <v>114</v>
      </c>
      <c r="AE618" s="63">
        <v>45293</v>
      </c>
      <c r="AF618" t="s">
        <v>113</v>
      </c>
      <c r="AG618" t="s">
        <v>112</v>
      </c>
      <c r="AH618" t="s">
        <v>112</v>
      </c>
      <c r="AI618" s="63">
        <v>43694</v>
      </c>
      <c r="AJ618" s="63">
        <v>45657</v>
      </c>
      <c r="AK618" t="s">
        <v>112</v>
      </c>
      <c r="AL618" t="s">
        <v>111</v>
      </c>
      <c r="AM618" t="s">
        <v>111</v>
      </c>
      <c r="AN618" t="s">
        <v>105</v>
      </c>
      <c r="AO618" t="s">
        <v>110</v>
      </c>
      <c r="AP618" t="s">
        <v>109</v>
      </c>
    </row>
    <row r="619" spans="1:42" x14ac:dyDescent="0.25">
      <c r="A619" s="28" t="str">
        <f>"15352"</f>
        <v>15352</v>
      </c>
      <c r="B619">
        <v>15352</v>
      </c>
      <c r="C619" t="s">
        <v>2488</v>
      </c>
      <c r="D619" t="s">
        <v>121</v>
      </c>
      <c r="F619" t="s">
        <v>120</v>
      </c>
      <c r="G619" t="s">
        <v>9280</v>
      </c>
      <c r="H619" t="s">
        <v>9279</v>
      </c>
      <c r="I619" t="s">
        <v>2004</v>
      </c>
      <c r="J619" t="s">
        <v>7</v>
      </c>
      <c r="K619" s="63">
        <v>23201</v>
      </c>
      <c r="L619" s="28">
        <f>DATEDIF(K619,Zwift25!G$1,"Y")</f>
        <v>61</v>
      </c>
      <c r="M619" s="67">
        <f>IF(J619="m",VLOOKUP(L619,'All Solo Adjustments'!A:D,4,FALSE),VLOOKUP(L619,'All Solo Adjustments'!A:J,10,FALSE))</f>
        <v>3.4722222222222225E-3</v>
      </c>
      <c r="N619" s="63"/>
      <c r="O619" s="63"/>
      <c r="P619" s="63"/>
      <c r="Q619" s="63"/>
      <c r="R619" t="s">
        <v>154</v>
      </c>
      <c r="S619" t="s">
        <v>153</v>
      </c>
      <c r="T619" t="s">
        <v>292</v>
      </c>
      <c r="U619" t="s">
        <v>9278</v>
      </c>
      <c r="V619" t="s">
        <v>9277</v>
      </c>
      <c r="W619" t="s">
        <v>9276</v>
      </c>
      <c r="X619" t="s">
        <v>574</v>
      </c>
      <c r="Y619" t="s">
        <v>9275</v>
      </c>
      <c r="Z619" t="str">
        <f>"07584089611"</f>
        <v>07584089611</v>
      </c>
      <c r="AA619" t="str">
        <f>""</f>
        <v/>
      </c>
      <c r="AB619" t="s">
        <v>490</v>
      </c>
      <c r="AC619" t="s">
        <v>9274</v>
      </c>
      <c r="AD619" t="s">
        <v>114</v>
      </c>
      <c r="AE619" s="63">
        <v>45295</v>
      </c>
      <c r="AF619" t="s">
        <v>156</v>
      </c>
      <c r="AG619" t="s">
        <v>112</v>
      </c>
      <c r="AH619" t="s">
        <v>112</v>
      </c>
      <c r="AI619" s="63">
        <v>44588</v>
      </c>
      <c r="AJ619" s="63">
        <v>45657</v>
      </c>
      <c r="AK619" t="s">
        <v>112</v>
      </c>
      <c r="AL619" t="s">
        <v>111</v>
      </c>
      <c r="AM619" t="s">
        <v>111</v>
      </c>
      <c r="AN619">
        <v>42377</v>
      </c>
      <c r="AO619" t="s">
        <v>110</v>
      </c>
      <c r="AP619" t="s">
        <v>109</v>
      </c>
    </row>
    <row r="620" spans="1:42" x14ac:dyDescent="0.25">
      <c r="A620" s="28" t="str">
        <f>"14232"</f>
        <v>14232</v>
      </c>
      <c r="B620">
        <v>14232</v>
      </c>
      <c r="C620" t="s">
        <v>2488</v>
      </c>
      <c r="D620" t="s">
        <v>121</v>
      </c>
      <c r="E620" t="s">
        <v>584</v>
      </c>
      <c r="F620" t="s">
        <v>149</v>
      </c>
      <c r="G620" t="s">
        <v>732</v>
      </c>
      <c r="I620" t="s">
        <v>2002</v>
      </c>
      <c r="J620" t="s">
        <v>126</v>
      </c>
      <c r="K620" s="63">
        <v>24462</v>
      </c>
      <c r="L620" s="28">
        <f>DATEDIF(K620,Zwift25!G$1,"Y")</f>
        <v>57</v>
      </c>
      <c r="M620" s="67">
        <f>IF(J620="m",VLOOKUP(L620,'All Solo Adjustments'!A:D,4,FALSE),VLOOKUP(L620,'All Solo Adjustments'!A:J,10,FALSE))</f>
        <v>6.076388888888889E-3</v>
      </c>
      <c r="N620" s="63"/>
      <c r="O620" s="63"/>
      <c r="P620" s="63"/>
      <c r="Q620" s="63"/>
      <c r="R620" t="s">
        <v>125</v>
      </c>
      <c r="S620" t="s">
        <v>170</v>
      </c>
      <c r="T620" t="s">
        <v>292</v>
      </c>
      <c r="U620" t="s">
        <v>9273</v>
      </c>
      <c r="V620" t="s">
        <v>9272</v>
      </c>
      <c r="W620" t="s">
        <v>9271</v>
      </c>
      <c r="X620" t="s">
        <v>201</v>
      </c>
      <c r="Y620" t="s">
        <v>9270</v>
      </c>
      <c r="Z620" t="str">
        <f>"07522475530"</f>
        <v>07522475530</v>
      </c>
      <c r="AA620" t="str">
        <f>"01954230721"</f>
        <v>01954230721</v>
      </c>
      <c r="AB620" t="s">
        <v>434</v>
      </c>
      <c r="AC620" t="s">
        <v>9269</v>
      </c>
      <c r="AD620" t="s">
        <v>114</v>
      </c>
      <c r="AE620" s="63">
        <v>45262</v>
      </c>
      <c r="AF620" t="s">
        <v>156</v>
      </c>
      <c r="AG620" t="s">
        <v>112</v>
      </c>
      <c r="AH620" t="s">
        <v>112</v>
      </c>
      <c r="AI620" s="63">
        <v>43604</v>
      </c>
      <c r="AJ620" s="63">
        <v>45657</v>
      </c>
      <c r="AK620" t="s">
        <v>112</v>
      </c>
      <c r="AL620" t="s">
        <v>111</v>
      </c>
      <c r="AM620" t="s">
        <v>111</v>
      </c>
      <c r="AN620">
        <v>16747</v>
      </c>
      <c r="AO620" t="s">
        <v>122</v>
      </c>
      <c r="AP620" t="s">
        <v>122</v>
      </c>
    </row>
    <row r="621" spans="1:42" x14ac:dyDescent="0.25">
      <c r="A621" s="28" t="str">
        <f>"14849"</f>
        <v>14849</v>
      </c>
      <c r="B621">
        <v>14849</v>
      </c>
      <c r="C621" t="s">
        <v>2488</v>
      </c>
      <c r="D621" t="s">
        <v>121</v>
      </c>
      <c r="E621" t="s">
        <v>584</v>
      </c>
      <c r="F621" t="s">
        <v>120</v>
      </c>
      <c r="G621" t="s">
        <v>400</v>
      </c>
      <c r="I621" t="s">
        <v>2002</v>
      </c>
      <c r="J621" t="s">
        <v>7</v>
      </c>
      <c r="K621" s="63">
        <v>23961</v>
      </c>
      <c r="L621" s="28">
        <f>DATEDIF(K621,Zwift25!G$1,"Y")</f>
        <v>59</v>
      </c>
      <c r="M621" s="67">
        <f>IF(J621="m",VLOOKUP(L621,'All Solo Adjustments'!A:D,4,FALSE),VLOOKUP(L621,'All Solo Adjustments'!A:J,10,FALSE))</f>
        <v>2.9629629629629632E-3</v>
      </c>
      <c r="N621" s="63"/>
      <c r="O621" s="63"/>
      <c r="P621" s="63"/>
      <c r="Q621" s="63"/>
      <c r="R621" t="s">
        <v>213</v>
      </c>
      <c r="S621" t="s">
        <v>212</v>
      </c>
      <c r="T621" t="s">
        <v>292</v>
      </c>
      <c r="U621" t="s">
        <v>9268</v>
      </c>
      <c r="V621" t="s">
        <v>9267</v>
      </c>
      <c r="W621" t="s">
        <v>472</v>
      </c>
      <c r="X621" t="s">
        <v>196</v>
      </c>
      <c r="Y621" t="s">
        <v>9266</v>
      </c>
      <c r="Z621" t="str">
        <f>"07568720183"</f>
        <v>07568720183</v>
      </c>
      <c r="AA621" t="str">
        <f>""</f>
        <v/>
      </c>
      <c r="AB621" t="s">
        <v>670</v>
      </c>
      <c r="AC621" t="s">
        <v>9265</v>
      </c>
      <c r="AD621" t="s">
        <v>114</v>
      </c>
      <c r="AE621" s="63">
        <v>45263</v>
      </c>
      <c r="AF621" t="s">
        <v>156</v>
      </c>
      <c r="AG621" t="s">
        <v>112</v>
      </c>
      <c r="AH621" t="s">
        <v>112</v>
      </c>
      <c r="AI621" s="63">
        <v>44250</v>
      </c>
      <c r="AJ621" s="63">
        <v>45657</v>
      </c>
      <c r="AK621" t="s">
        <v>112</v>
      </c>
      <c r="AL621" t="s">
        <v>111</v>
      </c>
      <c r="AM621" t="s">
        <v>111</v>
      </c>
      <c r="AN621">
        <v>17687</v>
      </c>
      <c r="AO621" t="s">
        <v>110</v>
      </c>
      <c r="AP621" t="s">
        <v>109</v>
      </c>
    </row>
    <row r="622" spans="1:42" x14ac:dyDescent="0.25">
      <c r="A622" s="28" t="str">
        <f>"15689"</f>
        <v>15689</v>
      </c>
      <c r="B622">
        <v>15689</v>
      </c>
      <c r="C622" t="s">
        <v>2488</v>
      </c>
      <c r="D622" t="s">
        <v>121</v>
      </c>
      <c r="E622" t="s">
        <v>584</v>
      </c>
      <c r="F622" t="s">
        <v>120</v>
      </c>
      <c r="G622" t="s">
        <v>221</v>
      </c>
      <c r="H622" t="s">
        <v>230</v>
      </c>
      <c r="I622" t="s">
        <v>2002</v>
      </c>
      <c r="J622" t="s">
        <v>7</v>
      </c>
      <c r="K622" s="63">
        <v>26104</v>
      </c>
      <c r="L622" s="28">
        <f>DATEDIF(K622,Zwift25!G$1,"Y")</f>
        <v>53</v>
      </c>
      <c r="M622" s="67">
        <f>IF(J622="m",VLOOKUP(L622,'All Solo Adjustments'!A:D,4,FALSE),VLOOKUP(L622,'All Solo Adjustments'!A:J,10,FALSE))</f>
        <v>1.6666666666666668E-3</v>
      </c>
      <c r="N622" s="63"/>
      <c r="O622" s="63"/>
      <c r="P622" s="63"/>
      <c r="Q622" s="63"/>
      <c r="R622" t="s">
        <v>198</v>
      </c>
      <c r="S622" t="s">
        <v>461</v>
      </c>
      <c r="T622" t="s">
        <v>292</v>
      </c>
      <c r="U622" t="s">
        <v>9264</v>
      </c>
      <c r="V622" t="s">
        <v>9263</v>
      </c>
      <c r="W622" t="s">
        <v>9262</v>
      </c>
      <c r="X622" t="s">
        <v>998</v>
      </c>
      <c r="Y622" t="s">
        <v>9261</v>
      </c>
      <c r="Z622" t="str">
        <f>"07967151038"</f>
        <v>07967151038</v>
      </c>
      <c r="AA622" t="str">
        <f>""</f>
        <v/>
      </c>
      <c r="AB622" t="s">
        <v>1968</v>
      </c>
      <c r="AC622" t="s">
        <v>9260</v>
      </c>
      <c r="AD622" t="s">
        <v>114</v>
      </c>
      <c r="AE622" s="63">
        <v>45309</v>
      </c>
      <c r="AF622" t="s">
        <v>113</v>
      </c>
      <c r="AG622" t="s">
        <v>112</v>
      </c>
      <c r="AH622" t="s">
        <v>112</v>
      </c>
      <c r="AI622" s="63">
        <v>44973</v>
      </c>
      <c r="AJ622" s="63">
        <v>45657</v>
      </c>
      <c r="AK622" t="s">
        <v>112</v>
      </c>
      <c r="AL622" t="s">
        <v>111</v>
      </c>
      <c r="AM622" t="s">
        <v>111</v>
      </c>
      <c r="AN622">
        <v>33101</v>
      </c>
      <c r="AO622" t="s">
        <v>110</v>
      </c>
      <c r="AP622" t="s">
        <v>109</v>
      </c>
    </row>
    <row r="623" spans="1:42" x14ac:dyDescent="0.25">
      <c r="A623" s="28" t="str">
        <f>"15518"</f>
        <v>15518</v>
      </c>
      <c r="B623">
        <v>15518</v>
      </c>
      <c r="C623" t="s">
        <v>2488</v>
      </c>
      <c r="D623" t="s">
        <v>121</v>
      </c>
      <c r="E623" t="s">
        <v>584</v>
      </c>
      <c r="F623" t="s">
        <v>120</v>
      </c>
      <c r="G623" t="s">
        <v>219</v>
      </c>
      <c r="I623" t="s">
        <v>339</v>
      </c>
      <c r="J623" t="s">
        <v>7</v>
      </c>
      <c r="K623" s="63">
        <v>30101</v>
      </c>
      <c r="L623" s="28">
        <f>DATEDIF(K623,Zwift25!G$1,"Y")</f>
        <v>42</v>
      </c>
      <c r="M623" s="67">
        <f>IF(J623="m",VLOOKUP(L623,'All Solo Adjustments'!A:D,4,FALSE),VLOOKUP(L623,'All Solo Adjustments'!A:J,10,FALSE))</f>
        <v>1.5046296296296295E-4</v>
      </c>
      <c r="N623" s="63"/>
      <c r="O623" s="63"/>
      <c r="P623" s="63"/>
      <c r="Q623" s="63"/>
      <c r="R623" t="s">
        <v>154</v>
      </c>
      <c r="S623" t="s">
        <v>153</v>
      </c>
      <c r="T623" t="s">
        <v>292</v>
      </c>
      <c r="U623" t="s">
        <v>9259</v>
      </c>
      <c r="V623" t="s">
        <v>2403</v>
      </c>
      <c r="W623" t="s">
        <v>669</v>
      </c>
      <c r="X623" t="s">
        <v>411</v>
      </c>
      <c r="Y623" t="s">
        <v>9258</v>
      </c>
      <c r="Z623" t="str">
        <f>"07859826618"</f>
        <v>07859826618</v>
      </c>
      <c r="AA623" t="str">
        <f>""</f>
        <v/>
      </c>
      <c r="AB623" t="s">
        <v>1951</v>
      </c>
      <c r="AC623" t="s">
        <v>9257</v>
      </c>
      <c r="AD623" t="s">
        <v>114</v>
      </c>
      <c r="AE623" s="63">
        <v>45356</v>
      </c>
      <c r="AF623" t="s">
        <v>156</v>
      </c>
      <c r="AG623" t="s">
        <v>112</v>
      </c>
      <c r="AH623" t="s">
        <v>112</v>
      </c>
      <c r="AI623" s="63">
        <v>44719</v>
      </c>
      <c r="AJ623" s="63">
        <v>45657</v>
      </c>
      <c r="AK623" t="s">
        <v>112</v>
      </c>
      <c r="AL623" t="s">
        <v>111</v>
      </c>
      <c r="AM623" t="s">
        <v>111</v>
      </c>
      <c r="AN623">
        <v>7538</v>
      </c>
      <c r="AO623" t="s">
        <v>110</v>
      </c>
      <c r="AP623" t="s">
        <v>109</v>
      </c>
    </row>
    <row r="624" spans="1:42" x14ac:dyDescent="0.25">
      <c r="A624" s="28" t="str">
        <f>"6185"</f>
        <v>6185</v>
      </c>
      <c r="B624">
        <v>6185</v>
      </c>
      <c r="C624" t="s">
        <v>2488</v>
      </c>
      <c r="D624" t="s">
        <v>121</v>
      </c>
      <c r="E624" t="s">
        <v>584</v>
      </c>
      <c r="F624" t="s">
        <v>120</v>
      </c>
      <c r="G624" t="s">
        <v>185</v>
      </c>
      <c r="H624" t="s">
        <v>601</v>
      </c>
      <c r="I624" t="s">
        <v>1995</v>
      </c>
      <c r="J624" t="s">
        <v>7</v>
      </c>
      <c r="K624" s="63">
        <v>20883</v>
      </c>
      <c r="L624" s="28">
        <f>DATEDIF(K624,Zwift25!G$1,"Y")</f>
        <v>67</v>
      </c>
      <c r="M624" s="67">
        <f>IF(J624="m",VLOOKUP(L624,'All Solo Adjustments'!A:D,4,FALSE),VLOOKUP(L624,'All Solo Adjustments'!A:J,10,FALSE))</f>
        <v>5.2662037037037035E-3</v>
      </c>
      <c r="N624" s="63"/>
      <c r="O624" s="63"/>
      <c r="P624" s="63"/>
      <c r="Q624" s="63"/>
      <c r="R624" t="s">
        <v>154</v>
      </c>
      <c r="S624" t="s">
        <v>153</v>
      </c>
      <c r="T624" t="s">
        <v>292</v>
      </c>
      <c r="U624" t="s">
        <v>9256</v>
      </c>
      <c r="V624" t="s">
        <v>2180</v>
      </c>
      <c r="W624" t="s">
        <v>9255</v>
      </c>
      <c r="X624" t="s">
        <v>752</v>
      </c>
      <c r="Y624" t="s">
        <v>9254</v>
      </c>
      <c r="Z624" t="str">
        <f>"07802 950480"</f>
        <v>07802 950480</v>
      </c>
      <c r="AA624" t="str">
        <f>""</f>
        <v/>
      </c>
      <c r="AB624" t="s">
        <v>2618</v>
      </c>
      <c r="AC624" t="s">
        <v>9253</v>
      </c>
      <c r="AD624" t="s">
        <v>114</v>
      </c>
      <c r="AE624" s="63">
        <v>45278</v>
      </c>
      <c r="AF624" t="s">
        <v>156</v>
      </c>
      <c r="AG624" t="s">
        <v>112</v>
      </c>
      <c r="AH624" t="s">
        <v>112</v>
      </c>
      <c r="AI624" s="63">
        <v>42807</v>
      </c>
      <c r="AJ624" s="63">
        <v>45657</v>
      </c>
      <c r="AK624" t="s">
        <v>111</v>
      </c>
      <c r="AL624" t="s">
        <v>111</v>
      </c>
      <c r="AM624" t="s">
        <v>111</v>
      </c>
      <c r="AN624">
        <v>3753</v>
      </c>
      <c r="AO624" t="s">
        <v>110</v>
      </c>
      <c r="AP624" t="s">
        <v>109</v>
      </c>
    </row>
    <row r="625" spans="1:42" x14ac:dyDescent="0.25">
      <c r="A625" s="28" t="str">
        <f>"4778"</f>
        <v>4778</v>
      </c>
      <c r="B625">
        <v>4778</v>
      </c>
      <c r="C625" t="s">
        <v>2488</v>
      </c>
      <c r="D625" t="s">
        <v>121</v>
      </c>
      <c r="F625" t="s">
        <v>120</v>
      </c>
      <c r="G625" t="s">
        <v>2068</v>
      </c>
      <c r="I625" t="s">
        <v>9252</v>
      </c>
      <c r="J625" t="s">
        <v>7</v>
      </c>
      <c r="K625" s="63">
        <v>14680</v>
      </c>
      <c r="L625" s="28">
        <f>DATEDIF(K625,Zwift25!G$1,"Y")</f>
        <v>84</v>
      </c>
      <c r="M625" s="67">
        <f>IF(J625="m",VLOOKUP(L625,'All Solo Adjustments'!A:D,4,FALSE),VLOOKUP(L625,'All Solo Adjustments'!A:J,10,FALSE))</f>
        <v>1.3530092592592592E-2</v>
      </c>
      <c r="N625" s="63"/>
      <c r="O625" s="63"/>
      <c r="P625" s="63"/>
      <c r="Q625" s="63"/>
      <c r="R625" t="s">
        <v>125</v>
      </c>
      <c r="S625" t="s">
        <v>484</v>
      </c>
      <c r="T625" t="s">
        <v>292</v>
      </c>
      <c r="U625" t="s">
        <v>9251</v>
      </c>
      <c r="V625" t="s">
        <v>9250</v>
      </c>
      <c r="W625" t="s">
        <v>167</v>
      </c>
      <c r="Y625" t="s">
        <v>9249</v>
      </c>
      <c r="Z625" t="str">
        <f>"0208 340 9780"</f>
        <v>0208 340 9780</v>
      </c>
      <c r="AA625" t="str">
        <f>"07970 462554"</f>
        <v>07970 462554</v>
      </c>
      <c r="AB625" t="s">
        <v>923</v>
      </c>
      <c r="AC625" t="s">
        <v>9248</v>
      </c>
      <c r="AD625" t="s">
        <v>145</v>
      </c>
      <c r="AF625" t="s">
        <v>156</v>
      </c>
      <c r="AG625" t="s">
        <v>112</v>
      </c>
      <c r="AH625" t="s">
        <v>112</v>
      </c>
      <c r="AI625" s="63">
        <v>41424</v>
      </c>
      <c r="AK625" t="s">
        <v>111</v>
      </c>
      <c r="AL625" t="s">
        <v>111</v>
      </c>
      <c r="AM625" t="s">
        <v>111</v>
      </c>
      <c r="AN625">
        <v>589</v>
      </c>
      <c r="AO625" t="s">
        <v>110</v>
      </c>
      <c r="AP625" t="s">
        <v>109</v>
      </c>
    </row>
    <row r="626" spans="1:42" x14ac:dyDescent="0.25">
      <c r="A626" s="28" t="str">
        <f>"0825"</f>
        <v>0825</v>
      </c>
      <c r="B626">
        <v>825</v>
      </c>
      <c r="C626" t="s">
        <v>2488</v>
      </c>
      <c r="D626" t="s">
        <v>121</v>
      </c>
      <c r="F626" t="s">
        <v>120</v>
      </c>
      <c r="G626" t="s">
        <v>796</v>
      </c>
      <c r="H626" t="s">
        <v>2326</v>
      </c>
      <c r="I626" t="s">
        <v>2435</v>
      </c>
      <c r="J626" t="s">
        <v>7</v>
      </c>
      <c r="K626" s="63">
        <v>11157</v>
      </c>
      <c r="L626" s="28">
        <f>DATEDIF(K626,Zwift25!G$1,"Y")</f>
        <v>94</v>
      </c>
      <c r="M626" s="67">
        <f>IF(J626="m",VLOOKUP(L626,'All Solo Adjustments'!A:D,4,FALSE),VLOOKUP(L626,'All Solo Adjustments'!A:J,10,FALSE))</f>
        <v>2.2685185185185187E-2</v>
      </c>
      <c r="N626" s="63"/>
      <c r="O626" s="63"/>
      <c r="P626" s="63"/>
      <c r="Q626" s="63"/>
      <c r="R626" t="s">
        <v>328</v>
      </c>
      <c r="S626" t="s">
        <v>2290</v>
      </c>
      <c r="T626" t="s">
        <v>292</v>
      </c>
      <c r="U626" t="s">
        <v>9247</v>
      </c>
      <c r="V626" t="s">
        <v>9246</v>
      </c>
      <c r="W626" t="s">
        <v>9245</v>
      </c>
      <c r="X626" t="s">
        <v>325</v>
      </c>
      <c r="Y626" t="s">
        <v>9244</v>
      </c>
      <c r="Z626" t="str">
        <f>"01772 616111"</f>
        <v>01772 616111</v>
      </c>
      <c r="AA626" t="str">
        <f>""</f>
        <v/>
      </c>
      <c r="AB626" t="s">
        <v>1704</v>
      </c>
      <c r="AD626" t="s">
        <v>151</v>
      </c>
      <c r="AF626" t="s">
        <v>113</v>
      </c>
      <c r="AG626" t="s">
        <v>112</v>
      </c>
      <c r="AH626" t="s">
        <v>112</v>
      </c>
      <c r="AK626" t="s">
        <v>111</v>
      </c>
      <c r="AL626" t="s">
        <v>111</v>
      </c>
      <c r="AM626" t="s">
        <v>111</v>
      </c>
      <c r="AN626" t="s">
        <v>105</v>
      </c>
      <c r="AO626" t="s">
        <v>110</v>
      </c>
      <c r="AP626" t="s">
        <v>109</v>
      </c>
    </row>
    <row r="627" spans="1:42" x14ac:dyDescent="0.25">
      <c r="A627" s="28" t="str">
        <f>"14714"</f>
        <v>14714</v>
      </c>
      <c r="B627">
        <v>14714</v>
      </c>
      <c r="C627" t="s">
        <v>2488</v>
      </c>
      <c r="D627" t="s">
        <v>121</v>
      </c>
      <c r="F627" t="s">
        <v>149</v>
      </c>
      <c r="G627" t="s">
        <v>1339</v>
      </c>
      <c r="H627" t="s">
        <v>1157</v>
      </c>
      <c r="I627" t="s">
        <v>2435</v>
      </c>
      <c r="J627" t="s">
        <v>126</v>
      </c>
      <c r="K627" s="63">
        <v>23322</v>
      </c>
      <c r="L627" s="28">
        <f>DATEDIF(K627,Zwift25!G$1,"Y")</f>
        <v>60</v>
      </c>
      <c r="M627" s="67">
        <f>IF(J627="m",VLOOKUP(L627,'All Solo Adjustments'!A:D,4,FALSE),VLOOKUP(L627,'All Solo Adjustments'!A:J,10,FALSE))</f>
        <v>6.898148148148148E-3</v>
      </c>
      <c r="N627" s="63"/>
      <c r="O627" s="63"/>
      <c r="P627" s="63"/>
      <c r="Q627" s="63"/>
      <c r="R627" t="s">
        <v>125</v>
      </c>
      <c r="S627" t="s">
        <v>170</v>
      </c>
      <c r="T627" t="s">
        <v>292</v>
      </c>
      <c r="U627" t="s">
        <v>9243</v>
      </c>
      <c r="V627" t="s">
        <v>1600</v>
      </c>
      <c r="W627" t="s">
        <v>123</v>
      </c>
      <c r="Y627" t="s">
        <v>9242</v>
      </c>
      <c r="Z627" t="str">
        <f>"07966 142301"</f>
        <v>07966 142301</v>
      </c>
      <c r="AA627" t="str">
        <f>""</f>
        <v/>
      </c>
      <c r="AB627" t="s">
        <v>9153</v>
      </c>
      <c r="AC627" t="s">
        <v>9241</v>
      </c>
      <c r="AD627" t="s">
        <v>114</v>
      </c>
      <c r="AE627" s="63">
        <v>45292</v>
      </c>
      <c r="AF627" t="s">
        <v>113</v>
      </c>
      <c r="AG627" t="s">
        <v>112</v>
      </c>
      <c r="AH627" t="s">
        <v>112</v>
      </c>
      <c r="AI627" s="63">
        <v>44077</v>
      </c>
      <c r="AJ627" s="63">
        <v>45657</v>
      </c>
      <c r="AK627" t="s">
        <v>112</v>
      </c>
      <c r="AL627" t="s">
        <v>111</v>
      </c>
      <c r="AM627" t="s">
        <v>111</v>
      </c>
      <c r="AN627">
        <v>1191</v>
      </c>
      <c r="AO627" t="s">
        <v>122</v>
      </c>
      <c r="AP627" t="s">
        <v>122</v>
      </c>
    </row>
    <row r="628" spans="1:42" x14ac:dyDescent="0.25">
      <c r="A628" s="28" t="str">
        <f>"4314"</f>
        <v>4314</v>
      </c>
      <c r="B628">
        <v>4314</v>
      </c>
      <c r="C628" t="s">
        <v>2488</v>
      </c>
      <c r="D628" t="s">
        <v>121</v>
      </c>
      <c r="F628" t="s">
        <v>403</v>
      </c>
      <c r="G628" t="s">
        <v>695</v>
      </c>
      <c r="I628" t="s">
        <v>1992</v>
      </c>
      <c r="J628" t="s">
        <v>7</v>
      </c>
      <c r="K628" s="63">
        <v>26127</v>
      </c>
      <c r="L628" s="28">
        <f>DATEDIF(K628,Zwift25!G$1,"Y")</f>
        <v>53</v>
      </c>
      <c r="M628" s="67">
        <f>IF(J628="m",VLOOKUP(L628,'All Solo Adjustments'!A:D,4,FALSE),VLOOKUP(L628,'All Solo Adjustments'!A:J,10,FALSE))</f>
        <v>1.6666666666666668E-3</v>
      </c>
      <c r="N628" s="63"/>
      <c r="O628" s="63"/>
      <c r="P628" s="63"/>
      <c r="Q628" s="63"/>
      <c r="R628" t="s">
        <v>125</v>
      </c>
      <c r="S628" t="s">
        <v>170</v>
      </c>
      <c r="T628" t="s">
        <v>292</v>
      </c>
      <c r="U628" t="s">
        <v>9240</v>
      </c>
      <c r="V628" t="s">
        <v>9239</v>
      </c>
      <c r="W628" t="s">
        <v>1525</v>
      </c>
      <c r="X628" t="s">
        <v>193</v>
      </c>
      <c r="Y628" t="s">
        <v>9238</v>
      </c>
      <c r="Z628" t="str">
        <f>"07941 107262"</f>
        <v>07941 107262</v>
      </c>
      <c r="AA628" t="str">
        <f>"01362 680098"</f>
        <v>01362 680098</v>
      </c>
      <c r="AB628" t="s">
        <v>1386</v>
      </c>
      <c r="AC628" t="s">
        <v>9237</v>
      </c>
      <c r="AD628" t="s">
        <v>114</v>
      </c>
      <c r="AE628" s="63">
        <v>45356</v>
      </c>
      <c r="AF628" t="s">
        <v>156</v>
      </c>
      <c r="AG628" t="s">
        <v>112</v>
      </c>
      <c r="AH628" t="s">
        <v>112</v>
      </c>
      <c r="AI628" s="63">
        <v>40737</v>
      </c>
      <c r="AJ628" s="63">
        <v>45657</v>
      </c>
      <c r="AK628" t="s">
        <v>111</v>
      </c>
      <c r="AL628" t="s">
        <v>111</v>
      </c>
      <c r="AM628" t="s">
        <v>111</v>
      </c>
      <c r="AN628">
        <v>2219</v>
      </c>
      <c r="AO628" t="s">
        <v>110</v>
      </c>
      <c r="AP628" t="s">
        <v>109</v>
      </c>
    </row>
    <row r="629" spans="1:42" x14ac:dyDescent="0.25">
      <c r="A629" s="28" t="str">
        <f>"0832"</f>
        <v>0832</v>
      </c>
      <c r="B629">
        <v>832</v>
      </c>
      <c r="C629" t="s">
        <v>2488</v>
      </c>
      <c r="D629" t="s">
        <v>121</v>
      </c>
      <c r="F629" t="s">
        <v>120</v>
      </c>
      <c r="G629" t="s">
        <v>227</v>
      </c>
      <c r="I629" t="s">
        <v>9233</v>
      </c>
      <c r="J629" t="s">
        <v>7</v>
      </c>
      <c r="K629" s="63">
        <v>14464</v>
      </c>
      <c r="L629" s="28">
        <f>DATEDIF(K629,Zwift25!G$1,"Y")</f>
        <v>85</v>
      </c>
      <c r="M629" s="67">
        <f>IF(J629="m",VLOOKUP(L629,'All Solo Adjustments'!A:D,4,FALSE),VLOOKUP(L629,'All Solo Adjustments'!A:J,10,FALSE))</f>
        <v>1.4236111111111111E-2</v>
      </c>
      <c r="N629" s="63"/>
      <c r="O629" s="63"/>
      <c r="P629" s="63"/>
      <c r="Q629" s="63"/>
      <c r="R629" t="s">
        <v>154</v>
      </c>
      <c r="S629" t="s">
        <v>2404</v>
      </c>
      <c r="T629" t="s">
        <v>292</v>
      </c>
      <c r="U629" t="s">
        <v>9236</v>
      </c>
      <c r="V629" t="s">
        <v>922</v>
      </c>
      <c r="W629" t="s">
        <v>669</v>
      </c>
      <c r="Y629" t="s">
        <v>9235</v>
      </c>
      <c r="Z629" t="str">
        <f>"01172 791409"</f>
        <v>01172 791409</v>
      </c>
      <c r="AA629" t="str">
        <f>""</f>
        <v/>
      </c>
      <c r="AB629" t="s">
        <v>290</v>
      </c>
      <c r="AC629" t="s">
        <v>9234</v>
      </c>
      <c r="AD629" t="s">
        <v>145</v>
      </c>
      <c r="AF629" t="s">
        <v>113</v>
      </c>
      <c r="AG629" t="s">
        <v>112</v>
      </c>
      <c r="AH629" t="s">
        <v>112</v>
      </c>
      <c r="AI629" s="63">
        <v>28856</v>
      </c>
      <c r="AK629" t="s">
        <v>111</v>
      </c>
      <c r="AL629" t="s">
        <v>111</v>
      </c>
      <c r="AM629" t="s">
        <v>111</v>
      </c>
      <c r="AN629" t="s">
        <v>105</v>
      </c>
      <c r="AO629" t="s">
        <v>110</v>
      </c>
      <c r="AP629" t="s">
        <v>109</v>
      </c>
    </row>
    <row r="630" spans="1:42" x14ac:dyDescent="0.25">
      <c r="A630" s="28" t="str">
        <f>"3794"</f>
        <v>3794</v>
      </c>
      <c r="B630">
        <v>3794</v>
      </c>
      <c r="C630" t="s">
        <v>2488</v>
      </c>
      <c r="D630" t="s">
        <v>121</v>
      </c>
      <c r="F630" t="s">
        <v>120</v>
      </c>
      <c r="G630" t="s">
        <v>195</v>
      </c>
      <c r="H630" t="s">
        <v>1742</v>
      </c>
      <c r="I630" t="s">
        <v>9233</v>
      </c>
      <c r="J630" t="s">
        <v>7</v>
      </c>
      <c r="K630" s="63">
        <v>22249</v>
      </c>
      <c r="L630" s="28">
        <f>DATEDIF(K630,Zwift25!G$1,"Y")</f>
        <v>63</v>
      </c>
      <c r="M630" s="67">
        <f>IF(J630="m",VLOOKUP(L630,'All Solo Adjustments'!A:D,4,FALSE),VLOOKUP(L630,'All Solo Adjustments'!A:J,10,FALSE))</f>
        <v>4.0277777777777777E-3</v>
      </c>
      <c r="N630" s="63"/>
      <c r="O630" s="63"/>
      <c r="P630" s="63"/>
      <c r="Q630" s="63"/>
      <c r="R630" t="s">
        <v>125</v>
      </c>
      <c r="S630" t="s">
        <v>170</v>
      </c>
      <c r="T630" t="s">
        <v>292</v>
      </c>
      <c r="U630" t="s">
        <v>9232</v>
      </c>
      <c r="V630" t="s">
        <v>342</v>
      </c>
      <c r="W630" t="s">
        <v>169</v>
      </c>
      <c r="Y630" t="s">
        <v>9231</v>
      </c>
      <c r="Z630" t="str">
        <f>"01473 251933"</f>
        <v>01473 251933</v>
      </c>
      <c r="AA630" t="str">
        <f>"07768564849"</f>
        <v>07768564849</v>
      </c>
      <c r="AB630" t="s">
        <v>1680</v>
      </c>
      <c r="AC630" t="s">
        <v>9230</v>
      </c>
      <c r="AD630" t="s">
        <v>114</v>
      </c>
      <c r="AE630" s="63">
        <v>45278</v>
      </c>
      <c r="AF630" t="s">
        <v>156</v>
      </c>
      <c r="AG630" t="s">
        <v>112</v>
      </c>
      <c r="AH630" t="s">
        <v>112</v>
      </c>
      <c r="AI630" s="63">
        <v>40180</v>
      </c>
      <c r="AJ630" s="63">
        <v>45657</v>
      </c>
      <c r="AK630" t="s">
        <v>111</v>
      </c>
      <c r="AL630" t="s">
        <v>111</v>
      </c>
      <c r="AM630" t="s">
        <v>111</v>
      </c>
      <c r="AN630">
        <v>751</v>
      </c>
      <c r="AO630" t="s">
        <v>110</v>
      </c>
      <c r="AP630" t="s">
        <v>109</v>
      </c>
    </row>
    <row r="631" spans="1:42" x14ac:dyDescent="0.25">
      <c r="A631" s="28" t="str">
        <f>"3004"</f>
        <v>3004</v>
      </c>
      <c r="B631">
        <v>3004</v>
      </c>
      <c r="C631" t="s">
        <v>2488</v>
      </c>
      <c r="D631" t="s">
        <v>121</v>
      </c>
      <c r="F631" t="s">
        <v>120</v>
      </c>
      <c r="G631" t="s">
        <v>284</v>
      </c>
      <c r="H631" t="s">
        <v>356</v>
      </c>
      <c r="I631" t="s">
        <v>9229</v>
      </c>
      <c r="J631" t="s">
        <v>7</v>
      </c>
      <c r="K631" s="63">
        <v>16408</v>
      </c>
      <c r="L631" s="28">
        <f>DATEDIF(K631,Zwift25!G$1,"Y")</f>
        <v>79</v>
      </c>
      <c r="M631" s="67">
        <f>IF(J631="m",VLOOKUP(L631,'All Solo Adjustments'!A:D,4,FALSE),VLOOKUP(L631,'All Solo Adjustments'!A:J,10,FALSE))</f>
        <v>1.0451388888888889E-2</v>
      </c>
      <c r="N631" s="63"/>
      <c r="O631" s="63"/>
      <c r="P631" s="63"/>
      <c r="Q631" s="63"/>
      <c r="R631" t="s">
        <v>283</v>
      </c>
      <c r="S631" t="s">
        <v>530</v>
      </c>
      <c r="T631" t="s">
        <v>292</v>
      </c>
      <c r="U631" t="s">
        <v>1322</v>
      </c>
      <c r="V631" t="s">
        <v>1943</v>
      </c>
      <c r="W631" t="s">
        <v>280</v>
      </c>
      <c r="X631" t="s">
        <v>279</v>
      </c>
      <c r="Y631" t="s">
        <v>9228</v>
      </c>
      <c r="Z631" t="str">
        <f>"01926332332"</f>
        <v>01926332332</v>
      </c>
      <c r="AA631" t="str">
        <f>"07938060233"</f>
        <v>07938060233</v>
      </c>
      <c r="AB631" t="s">
        <v>278</v>
      </c>
      <c r="AC631" t="s">
        <v>9227</v>
      </c>
      <c r="AD631" t="s">
        <v>114</v>
      </c>
      <c r="AE631" s="63">
        <v>45348</v>
      </c>
      <c r="AF631" t="s">
        <v>113</v>
      </c>
      <c r="AG631" t="s">
        <v>112</v>
      </c>
      <c r="AH631" t="s">
        <v>112</v>
      </c>
      <c r="AI631" s="63">
        <v>39231</v>
      </c>
      <c r="AJ631" s="63">
        <v>45657</v>
      </c>
      <c r="AK631" t="s">
        <v>111</v>
      </c>
      <c r="AL631" t="s">
        <v>111</v>
      </c>
      <c r="AM631" t="s">
        <v>111</v>
      </c>
      <c r="AN631">
        <v>10624</v>
      </c>
      <c r="AO631" t="s">
        <v>110</v>
      </c>
      <c r="AP631" t="s">
        <v>109</v>
      </c>
    </row>
    <row r="632" spans="1:42" x14ac:dyDescent="0.25">
      <c r="A632" s="28" t="str">
        <f>"13975"</f>
        <v>13975</v>
      </c>
      <c r="B632">
        <v>13975</v>
      </c>
      <c r="C632" t="s">
        <v>2488</v>
      </c>
      <c r="D632" t="s">
        <v>121</v>
      </c>
      <c r="F632" t="s">
        <v>120</v>
      </c>
      <c r="G632" t="s">
        <v>245</v>
      </c>
      <c r="I632" t="s">
        <v>9226</v>
      </c>
      <c r="J632" t="s">
        <v>7</v>
      </c>
      <c r="K632" s="63">
        <v>22322</v>
      </c>
      <c r="L632" s="28">
        <f>DATEDIF(K632,Zwift25!G$1,"Y")</f>
        <v>63</v>
      </c>
      <c r="M632" s="67">
        <f>IF(J632="m",VLOOKUP(L632,'All Solo Adjustments'!A:D,4,FALSE),VLOOKUP(L632,'All Solo Adjustments'!A:J,10,FALSE))</f>
        <v>4.0277777777777777E-3</v>
      </c>
      <c r="N632" s="63"/>
      <c r="O632" s="63"/>
      <c r="P632" s="63"/>
      <c r="Q632" s="63"/>
      <c r="R632" t="s">
        <v>184</v>
      </c>
      <c r="S632" t="s">
        <v>183</v>
      </c>
      <c r="T632" t="s">
        <v>292</v>
      </c>
      <c r="U632" t="s">
        <v>9225</v>
      </c>
      <c r="V632" t="s">
        <v>9224</v>
      </c>
      <c r="Y632" t="s">
        <v>9223</v>
      </c>
      <c r="Z632" t="str">
        <f>"07428118545"</f>
        <v>07428118545</v>
      </c>
      <c r="AA632" t="str">
        <f>""</f>
        <v/>
      </c>
      <c r="AB632" t="s">
        <v>9222</v>
      </c>
      <c r="AC632" t="s">
        <v>9221</v>
      </c>
      <c r="AD632" t="s">
        <v>114</v>
      </c>
      <c r="AE632" s="63">
        <v>45363</v>
      </c>
      <c r="AF632" t="s">
        <v>156</v>
      </c>
      <c r="AG632" t="s">
        <v>112</v>
      </c>
      <c r="AH632" t="s">
        <v>112</v>
      </c>
      <c r="AI632" s="63">
        <v>43471</v>
      </c>
      <c r="AJ632" s="63">
        <v>45657</v>
      </c>
      <c r="AK632" t="s">
        <v>112</v>
      </c>
      <c r="AL632" t="s">
        <v>112</v>
      </c>
      <c r="AM632" t="s">
        <v>112</v>
      </c>
      <c r="AN632" t="s">
        <v>105</v>
      </c>
      <c r="AO632" t="s">
        <v>110</v>
      </c>
      <c r="AP632" t="s">
        <v>109</v>
      </c>
    </row>
    <row r="633" spans="1:42" x14ac:dyDescent="0.25">
      <c r="A633" s="28" t="str">
        <f>"0836"</f>
        <v>0836</v>
      </c>
      <c r="B633">
        <v>836</v>
      </c>
      <c r="C633" t="s">
        <v>2488</v>
      </c>
      <c r="D633" t="s">
        <v>121</v>
      </c>
      <c r="F633" t="s">
        <v>120</v>
      </c>
      <c r="G633" t="s">
        <v>1413</v>
      </c>
      <c r="I633" t="s">
        <v>2434</v>
      </c>
      <c r="J633" t="s">
        <v>7</v>
      </c>
      <c r="K633" s="63">
        <v>16290</v>
      </c>
      <c r="L633" s="28">
        <f>DATEDIF(K633,Zwift25!G$1,"Y")</f>
        <v>80</v>
      </c>
      <c r="M633" s="67">
        <f>IF(J633="m",VLOOKUP(L633,'All Solo Adjustments'!A:D,4,FALSE),VLOOKUP(L633,'All Solo Adjustments'!A:J,10,FALSE))</f>
        <v>1.1018518518518518E-2</v>
      </c>
      <c r="N633" s="63"/>
      <c r="O633" s="63"/>
      <c r="P633" s="63"/>
      <c r="Q633" s="63"/>
      <c r="R633" t="s">
        <v>527</v>
      </c>
      <c r="S633" t="s">
        <v>612</v>
      </c>
      <c r="T633" t="s">
        <v>292</v>
      </c>
      <c r="U633" t="s">
        <v>9220</v>
      </c>
      <c r="V633" t="s">
        <v>2027</v>
      </c>
      <c r="W633" t="s">
        <v>854</v>
      </c>
      <c r="Y633" t="s">
        <v>9219</v>
      </c>
      <c r="Z633" t="str">
        <f>"01670 530043"</f>
        <v>01670 530043</v>
      </c>
      <c r="AA633" t="str">
        <f>""</f>
        <v/>
      </c>
      <c r="AB633" t="s">
        <v>9218</v>
      </c>
      <c r="AC633" t="s">
        <v>9217</v>
      </c>
      <c r="AD633" t="s">
        <v>145</v>
      </c>
      <c r="AF633" t="s">
        <v>113</v>
      </c>
      <c r="AG633" t="s">
        <v>112</v>
      </c>
      <c r="AH633" t="s">
        <v>112</v>
      </c>
      <c r="AI633" s="63">
        <v>43420</v>
      </c>
      <c r="AK633" t="s">
        <v>111</v>
      </c>
      <c r="AL633" t="s">
        <v>111</v>
      </c>
      <c r="AM633" t="s">
        <v>111</v>
      </c>
      <c r="AN633" t="s">
        <v>105</v>
      </c>
      <c r="AO633" t="s">
        <v>110</v>
      </c>
      <c r="AP633" t="s">
        <v>109</v>
      </c>
    </row>
    <row r="634" spans="1:42" x14ac:dyDescent="0.25">
      <c r="A634" s="28" t="str">
        <f>"4161"</f>
        <v>4161</v>
      </c>
      <c r="B634">
        <v>4161</v>
      </c>
      <c r="C634" t="s">
        <v>2488</v>
      </c>
      <c r="D634" t="s">
        <v>121</v>
      </c>
      <c r="E634" t="s">
        <v>584</v>
      </c>
      <c r="F634" t="s">
        <v>120</v>
      </c>
      <c r="G634" t="s">
        <v>2253</v>
      </c>
      <c r="H634" t="s">
        <v>9216</v>
      </c>
      <c r="I634" t="s">
        <v>9215</v>
      </c>
      <c r="J634" t="s">
        <v>7</v>
      </c>
      <c r="K634" s="63">
        <v>24802</v>
      </c>
      <c r="L634" s="28">
        <f>DATEDIF(K634,Zwift25!G$1,"Y")</f>
        <v>56</v>
      </c>
      <c r="M634" s="67">
        <f>IF(J634="m",VLOOKUP(L634,'All Solo Adjustments'!A:D,4,FALSE),VLOOKUP(L634,'All Solo Adjustments'!A:J,10,FALSE))</f>
        <v>2.2685185185185182E-3</v>
      </c>
      <c r="N634" s="63"/>
      <c r="O634" s="63"/>
      <c r="P634" s="63"/>
      <c r="Q634" s="63"/>
      <c r="R634" t="s">
        <v>527</v>
      </c>
      <c r="S634" t="s">
        <v>526</v>
      </c>
      <c r="T634" t="s">
        <v>292</v>
      </c>
      <c r="U634" t="s">
        <v>9214</v>
      </c>
      <c r="V634" t="s">
        <v>1136</v>
      </c>
      <c r="Y634" t="s">
        <v>9213</v>
      </c>
      <c r="Z634" t="str">
        <f>"07527 671781"</f>
        <v>07527 671781</v>
      </c>
      <c r="AA634" t="str">
        <f>""</f>
        <v/>
      </c>
      <c r="AB634" t="s">
        <v>2754</v>
      </c>
      <c r="AC634" t="s">
        <v>9212</v>
      </c>
      <c r="AD634" t="s">
        <v>114</v>
      </c>
      <c r="AE634" s="63">
        <v>45266</v>
      </c>
      <c r="AF634" t="s">
        <v>156</v>
      </c>
      <c r="AG634" t="s">
        <v>112</v>
      </c>
      <c r="AH634" t="s">
        <v>112</v>
      </c>
      <c r="AI634" s="63">
        <v>40627</v>
      </c>
      <c r="AJ634" s="63">
        <v>45657</v>
      </c>
      <c r="AK634" t="s">
        <v>111</v>
      </c>
      <c r="AL634" t="s">
        <v>111</v>
      </c>
      <c r="AM634" t="s">
        <v>111</v>
      </c>
      <c r="AN634">
        <v>6754</v>
      </c>
      <c r="AO634" t="s">
        <v>110</v>
      </c>
      <c r="AP634" t="s">
        <v>109</v>
      </c>
    </row>
    <row r="635" spans="1:42" x14ac:dyDescent="0.25">
      <c r="A635" s="28" t="str">
        <f>"15981"</f>
        <v>15981</v>
      </c>
      <c r="B635">
        <v>15981</v>
      </c>
      <c r="C635" t="s">
        <v>2488</v>
      </c>
      <c r="D635" t="s">
        <v>121</v>
      </c>
      <c r="E635" t="s">
        <v>584</v>
      </c>
      <c r="F635" t="s">
        <v>120</v>
      </c>
      <c r="G635" t="s">
        <v>820</v>
      </c>
      <c r="I635" t="s">
        <v>9211</v>
      </c>
      <c r="J635" t="s">
        <v>7</v>
      </c>
      <c r="K635" s="63">
        <v>18439</v>
      </c>
      <c r="L635" s="28">
        <f>DATEDIF(K635,Zwift25!G$1,"Y")</f>
        <v>74</v>
      </c>
      <c r="M635" s="67">
        <f>IF(J635="m",VLOOKUP(L635,'All Solo Adjustments'!A:D,4,FALSE),VLOOKUP(L635,'All Solo Adjustments'!A:J,10,FALSE))</f>
        <v>7.9861111111111122E-3</v>
      </c>
      <c r="N635" s="63"/>
      <c r="O635" s="63"/>
      <c r="P635" s="63"/>
      <c r="Q635" s="63"/>
      <c r="R635" t="s">
        <v>296</v>
      </c>
      <c r="S635" t="s">
        <v>295</v>
      </c>
      <c r="T635" t="s">
        <v>292</v>
      </c>
      <c r="U635" t="s">
        <v>9210</v>
      </c>
      <c r="V635" t="s">
        <v>9209</v>
      </c>
      <c r="Y635" t="s">
        <v>9208</v>
      </c>
      <c r="Z635" t="str">
        <f>"00353868119966"</f>
        <v>00353868119966</v>
      </c>
      <c r="AA635" t="str">
        <f>""</f>
        <v/>
      </c>
      <c r="AB635" t="s">
        <v>9207</v>
      </c>
      <c r="AC635" t="s">
        <v>9206</v>
      </c>
      <c r="AD635" t="s">
        <v>114</v>
      </c>
      <c r="AE635" s="63">
        <v>45298</v>
      </c>
      <c r="AF635" t="s">
        <v>156</v>
      </c>
      <c r="AG635" t="s">
        <v>112</v>
      </c>
      <c r="AH635" t="s">
        <v>112</v>
      </c>
      <c r="AI635" s="63">
        <v>45298</v>
      </c>
      <c r="AJ635" s="63">
        <v>45657</v>
      </c>
      <c r="AK635" t="s">
        <v>112</v>
      </c>
      <c r="AL635" t="s">
        <v>111</v>
      </c>
      <c r="AM635" t="s">
        <v>111</v>
      </c>
      <c r="AN635">
        <v>21062</v>
      </c>
      <c r="AO635" t="s">
        <v>110</v>
      </c>
      <c r="AP635" t="s">
        <v>109</v>
      </c>
    </row>
    <row r="636" spans="1:42" x14ac:dyDescent="0.25">
      <c r="A636" s="28" t="str">
        <f>"14761"</f>
        <v>14761</v>
      </c>
      <c r="B636">
        <v>14761</v>
      </c>
      <c r="C636" t="s">
        <v>2488</v>
      </c>
      <c r="D636" t="s">
        <v>121</v>
      </c>
      <c r="F636" t="s">
        <v>120</v>
      </c>
      <c r="G636" t="s">
        <v>513</v>
      </c>
      <c r="I636" t="s">
        <v>9205</v>
      </c>
      <c r="J636" t="s">
        <v>7</v>
      </c>
      <c r="K636" s="63">
        <v>25997</v>
      </c>
      <c r="L636" s="28">
        <f>DATEDIF(K636,Zwift25!G$1,"Y")</f>
        <v>53</v>
      </c>
      <c r="M636" s="67">
        <f>IF(J636="m",VLOOKUP(L636,'All Solo Adjustments'!A:D,4,FALSE),VLOOKUP(L636,'All Solo Adjustments'!A:J,10,FALSE))</f>
        <v>1.6666666666666668E-3</v>
      </c>
      <c r="N636" s="63"/>
      <c r="O636" s="63"/>
      <c r="P636" s="63"/>
      <c r="Q636" s="63"/>
      <c r="R636" t="s">
        <v>239</v>
      </c>
      <c r="S636" t="s">
        <v>274</v>
      </c>
      <c r="T636" t="s">
        <v>292</v>
      </c>
      <c r="U636" t="s">
        <v>9204</v>
      </c>
      <c r="V636" t="s">
        <v>9203</v>
      </c>
      <c r="W636" t="s">
        <v>627</v>
      </c>
      <c r="Y636" t="s">
        <v>9202</v>
      </c>
      <c r="Z636" t="str">
        <f>"07833083567"</f>
        <v>07833083567</v>
      </c>
      <c r="AA636" t="str">
        <f>""</f>
        <v/>
      </c>
      <c r="AB636" t="s">
        <v>1805</v>
      </c>
      <c r="AC636" t="s">
        <v>9201</v>
      </c>
      <c r="AD636" t="s">
        <v>114</v>
      </c>
      <c r="AE636" s="63">
        <v>45274</v>
      </c>
      <c r="AF636" t="s">
        <v>156</v>
      </c>
      <c r="AG636" t="s">
        <v>112</v>
      </c>
      <c r="AH636" t="s">
        <v>112</v>
      </c>
      <c r="AI636" s="63">
        <v>44096</v>
      </c>
      <c r="AJ636" s="63">
        <v>45657</v>
      </c>
      <c r="AK636" t="s">
        <v>112</v>
      </c>
      <c r="AL636" t="s">
        <v>111</v>
      </c>
      <c r="AM636" t="s">
        <v>111</v>
      </c>
      <c r="AN636">
        <v>3431</v>
      </c>
      <c r="AO636" t="s">
        <v>110</v>
      </c>
      <c r="AP636" t="s">
        <v>109</v>
      </c>
    </row>
    <row r="637" spans="1:42" x14ac:dyDescent="0.25">
      <c r="A637" s="28" t="str">
        <f>"0839"</f>
        <v>0839</v>
      </c>
      <c r="B637">
        <v>839</v>
      </c>
      <c r="C637" t="s">
        <v>2488</v>
      </c>
      <c r="D637" t="s">
        <v>121</v>
      </c>
      <c r="F637" t="s">
        <v>120</v>
      </c>
      <c r="G637" t="s">
        <v>9200</v>
      </c>
      <c r="I637" t="s">
        <v>9199</v>
      </c>
      <c r="J637" t="s">
        <v>7</v>
      </c>
      <c r="K637" s="63">
        <v>13918</v>
      </c>
      <c r="L637" s="28">
        <f>DATEDIF(K637,Zwift25!G$1,"Y")</f>
        <v>86</v>
      </c>
      <c r="M637" s="67">
        <f>IF(J637="m",VLOOKUP(L637,'All Solo Adjustments'!A:D,4,FALSE),VLOOKUP(L637,'All Solo Adjustments'!A:J,10,FALSE))</f>
        <v>1.4988425925925926E-2</v>
      </c>
      <c r="N637" s="63"/>
      <c r="O637" s="63"/>
      <c r="P637" s="63"/>
      <c r="Q637" s="63"/>
      <c r="R637" t="s">
        <v>239</v>
      </c>
      <c r="S637" t="s">
        <v>437</v>
      </c>
      <c r="T637" t="s">
        <v>292</v>
      </c>
      <c r="U637" t="s">
        <v>9198</v>
      </c>
      <c r="V637" t="s">
        <v>9197</v>
      </c>
      <c r="W637" t="s">
        <v>422</v>
      </c>
      <c r="Y637" t="s">
        <v>9196</v>
      </c>
      <c r="Z637" t="str">
        <f>"01757 704119"</f>
        <v>01757 704119</v>
      </c>
      <c r="AA637" t="str">
        <f>""</f>
        <v/>
      </c>
      <c r="AB637" t="s">
        <v>421</v>
      </c>
      <c r="AC637" t="s">
        <v>9195</v>
      </c>
      <c r="AD637" t="s">
        <v>145</v>
      </c>
      <c r="AF637" t="s">
        <v>113</v>
      </c>
      <c r="AG637" t="s">
        <v>112</v>
      </c>
      <c r="AH637" t="s">
        <v>112</v>
      </c>
      <c r="AI637" s="63">
        <v>32519</v>
      </c>
      <c r="AK637" t="s">
        <v>111</v>
      </c>
      <c r="AL637" t="s">
        <v>111</v>
      </c>
      <c r="AM637" t="s">
        <v>111</v>
      </c>
      <c r="AN637" t="s">
        <v>105</v>
      </c>
      <c r="AO637" t="s">
        <v>110</v>
      </c>
      <c r="AP637" t="s">
        <v>109</v>
      </c>
    </row>
    <row r="638" spans="1:42" x14ac:dyDescent="0.25">
      <c r="A638" s="28" t="str">
        <f>"6095"</f>
        <v>6095</v>
      </c>
      <c r="B638">
        <v>6095</v>
      </c>
      <c r="C638" t="s">
        <v>2488</v>
      </c>
      <c r="D638" t="s">
        <v>121</v>
      </c>
      <c r="F638" t="s">
        <v>120</v>
      </c>
      <c r="G638" t="s">
        <v>284</v>
      </c>
      <c r="I638" t="s">
        <v>9194</v>
      </c>
      <c r="J638" t="s">
        <v>7</v>
      </c>
      <c r="K638" s="63">
        <v>23631</v>
      </c>
      <c r="L638" s="28">
        <f>DATEDIF(K638,Zwift25!G$1,"Y")</f>
        <v>60</v>
      </c>
      <c r="M638" s="67">
        <f>IF(J638="m",VLOOKUP(L638,'All Solo Adjustments'!A:D,4,FALSE),VLOOKUP(L638,'All Solo Adjustments'!A:J,10,FALSE))</f>
        <v>3.2060185185185186E-3</v>
      </c>
      <c r="N638" s="63"/>
      <c r="O638" s="63"/>
      <c r="P638" s="63"/>
      <c r="Q638" s="63"/>
      <c r="R638" t="s">
        <v>118</v>
      </c>
      <c r="S638" t="s">
        <v>117</v>
      </c>
      <c r="T638" t="s">
        <v>292</v>
      </c>
      <c r="U638" t="s">
        <v>9193</v>
      </c>
      <c r="V638" t="s">
        <v>2106</v>
      </c>
      <c r="W638" t="s">
        <v>9192</v>
      </c>
      <c r="Y638" t="s">
        <v>9191</v>
      </c>
      <c r="Z638" t="str">
        <f>"07983 450905"</f>
        <v>07983 450905</v>
      </c>
      <c r="AA638" t="str">
        <f>""</f>
        <v/>
      </c>
      <c r="AB638" t="s">
        <v>9190</v>
      </c>
      <c r="AC638" t="s">
        <v>9189</v>
      </c>
      <c r="AD638" t="s">
        <v>114</v>
      </c>
      <c r="AE638" s="63">
        <v>45425</v>
      </c>
      <c r="AF638" t="s">
        <v>156</v>
      </c>
      <c r="AG638" t="s">
        <v>112</v>
      </c>
      <c r="AH638" t="s">
        <v>112</v>
      </c>
      <c r="AI638" s="63">
        <v>42736</v>
      </c>
      <c r="AJ638" s="63">
        <v>45657</v>
      </c>
      <c r="AK638" t="s">
        <v>111</v>
      </c>
      <c r="AL638" t="s">
        <v>111</v>
      </c>
      <c r="AM638" t="s">
        <v>111</v>
      </c>
      <c r="AN638">
        <v>11362</v>
      </c>
      <c r="AO638" t="s">
        <v>110</v>
      </c>
      <c r="AP638" t="s">
        <v>109</v>
      </c>
    </row>
    <row r="639" spans="1:42" x14ac:dyDescent="0.25">
      <c r="A639" s="28" t="str">
        <f>"15127"</f>
        <v>15127</v>
      </c>
      <c r="B639">
        <v>15127</v>
      </c>
      <c r="C639" t="s">
        <v>2488</v>
      </c>
      <c r="D639" t="s">
        <v>121</v>
      </c>
      <c r="F639" t="s">
        <v>120</v>
      </c>
      <c r="G639" t="s">
        <v>952</v>
      </c>
      <c r="I639" t="s">
        <v>9188</v>
      </c>
      <c r="J639" t="s">
        <v>7</v>
      </c>
      <c r="K639" s="63">
        <v>24884</v>
      </c>
      <c r="L639" s="28">
        <f>DATEDIF(K639,Zwift25!G$1,"Y")</f>
        <v>56</v>
      </c>
      <c r="M639" s="67">
        <f>IF(J639="m",VLOOKUP(L639,'All Solo Adjustments'!A:D,4,FALSE),VLOOKUP(L639,'All Solo Adjustments'!A:J,10,FALSE))</f>
        <v>2.2685185185185182E-3</v>
      </c>
      <c r="N639" s="63"/>
      <c r="O639" s="63"/>
      <c r="P639" s="63"/>
      <c r="Q639" s="63"/>
      <c r="R639" t="s">
        <v>296</v>
      </c>
      <c r="S639" t="s">
        <v>295</v>
      </c>
      <c r="T639" t="s">
        <v>292</v>
      </c>
      <c r="U639" t="s">
        <v>9187</v>
      </c>
      <c r="V639" t="s">
        <v>9186</v>
      </c>
      <c r="W639" t="s">
        <v>1041</v>
      </c>
      <c r="Y639" t="s">
        <v>9185</v>
      </c>
      <c r="Z639" t="str">
        <f>"07921439759"</f>
        <v>07921439759</v>
      </c>
      <c r="AA639" t="str">
        <f>""</f>
        <v/>
      </c>
      <c r="AB639" t="s">
        <v>2921</v>
      </c>
      <c r="AC639" t="s">
        <v>9184</v>
      </c>
      <c r="AD639" t="s">
        <v>114</v>
      </c>
      <c r="AE639" s="63">
        <v>45264</v>
      </c>
      <c r="AF639" t="s">
        <v>156</v>
      </c>
      <c r="AG639" t="s">
        <v>112</v>
      </c>
      <c r="AH639" t="s">
        <v>112</v>
      </c>
      <c r="AI639" s="63">
        <v>44374</v>
      </c>
      <c r="AJ639" s="63">
        <v>45657</v>
      </c>
      <c r="AK639" t="s">
        <v>112</v>
      </c>
      <c r="AL639" t="s">
        <v>111</v>
      </c>
      <c r="AM639" t="s">
        <v>111</v>
      </c>
      <c r="AN639">
        <v>31669</v>
      </c>
      <c r="AO639" t="s">
        <v>110</v>
      </c>
      <c r="AP639" t="s">
        <v>109</v>
      </c>
    </row>
    <row r="640" spans="1:42" x14ac:dyDescent="0.25">
      <c r="A640" s="28" t="str">
        <f>"0846"</f>
        <v>0846</v>
      </c>
      <c r="B640">
        <v>846</v>
      </c>
      <c r="C640" t="s">
        <v>2488</v>
      </c>
      <c r="D640" t="s">
        <v>121</v>
      </c>
      <c r="F640" t="s">
        <v>120</v>
      </c>
      <c r="G640" t="s">
        <v>251</v>
      </c>
      <c r="I640" t="s">
        <v>9183</v>
      </c>
      <c r="J640" t="s">
        <v>7</v>
      </c>
      <c r="K640" s="63">
        <v>11383</v>
      </c>
      <c r="L640" s="28">
        <f>DATEDIF(K640,Zwift25!G$1,"Y")</f>
        <v>93</v>
      </c>
      <c r="M640" s="67">
        <f>IF(J640="m",VLOOKUP(L640,'All Solo Adjustments'!A:D,4,FALSE),VLOOKUP(L640,'All Solo Adjustments'!A:J,10,FALSE))</f>
        <v>2.1516203703703704E-2</v>
      </c>
      <c r="N640" s="63"/>
      <c r="O640" s="63"/>
      <c r="P640" s="63"/>
      <c r="Q640" s="63"/>
      <c r="R640" t="s">
        <v>154</v>
      </c>
      <c r="S640" t="s">
        <v>2404</v>
      </c>
      <c r="T640" t="s">
        <v>292</v>
      </c>
      <c r="U640" t="s">
        <v>9182</v>
      </c>
      <c r="V640" t="s">
        <v>7871</v>
      </c>
      <c r="W640" t="s">
        <v>669</v>
      </c>
      <c r="Y640" t="s">
        <v>9181</v>
      </c>
      <c r="Z640" t="str">
        <f>"01179604199"</f>
        <v>01179604199</v>
      </c>
      <c r="AA640" t="str">
        <f>""</f>
        <v/>
      </c>
      <c r="AB640" t="s">
        <v>668</v>
      </c>
      <c r="AC640" t="s">
        <v>9180</v>
      </c>
      <c r="AD640" t="s">
        <v>145</v>
      </c>
      <c r="AF640" t="s">
        <v>113</v>
      </c>
      <c r="AG640" t="s">
        <v>112</v>
      </c>
      <c r="AH640" t="s">
        <v>112</v>
      </c>
      <c r="AI640" s="63">
        <v>43512</v>
      </c>
      <c r="AK640" t="s">
        <v>111</v>
      </c>
      <c r="AL640" t="s">
        <v>111</v>
      </c>
      <c r="AM640" t="s">
        <v>111</v>
      </c>
      <c r="AN640" t="s">
        <v>105</v>
      </c>
      <c r="AO640" t="s">
        <v>110</v>
      </c>
      <c r="AP640" t="s">
        <v>109</v>
      </c>
    </row>
    <row r="641" spans="1:42" x14ac:dyDescent="0.25">
      <c r="A641" s="28" t="str">
        <f>"0848"</f>
        <v>0848</v>
      </c>
      <c r="B641">
        <v>848</v>
      </c>
      <c r="C641" t="s">
        <v>2488</v>
      </c>
      <c r="D641" t="s">
        <v>121</v>
      </c>
      <c r="F641" t="s">
        <v>120</v>
      </c>
      <c r="G641" t="s">
        <v>897</v>
      </c>
      <c r="I641" t="s">
        <v>9179</v>
      </c>
      <c r="J641" t="s">
        <v>7</v>
      </c>
      <c r="K641" s="63">
        <v>12088</v>
      </c>
      <c r="L641" s="28">
        <f>DATEDIF(K641,Zwift25!G$1,"Y")</f>
        <v>91</v>
      </c>
      <c r="M641" s="67">
        <f>IF(J641="m",VLOOKUP(L641,'All Solo Adjustments'!A:D,4,FALSE),VLOOKUP(L641,'All Solo Adjustments'!A:J,10,FALSE))</f>
        <v>1.9363425925925926E-2</v>
      </c>
      <c r="N641" s="63"/>
      <c r="O641" s="63"/>
      <c r="P641" s="63"/>
      <c r="Q641" s="63"/>
      <c r="R641" t="s">
        <v>180</v>
      </c>
      <c r="S641" t="s">
        <v>2288</v>
      </c>
      <c r="T641" t="s">
        <v>292</v>
      </c>
      <c r="U641" t="s">
        <v>9178</v>
      </c>
      <c r="V641" t="s">
        <v>992</v>
      </c>
      <c r="Y641" t="s">
        <v>9177</v>
      </c>
      <c r="Z641" t="str">
        <f>"0116 2543614"</f>
        <v>0116 2543614</v>
      </c>
      <c r="AA641" t="str">
        <f>""</f>
        <v/>
      </c>
      <c r="AB641" t="s">
        <v>362</v>
      </c>
      <c r="AD641" t="s">
        <v>151</v>
      </c>
      <c r="AF641" t="s">
        <v>113</v>
      </c>
      <c r="AG641" t="s">
        <v>112</v>
      </c>
      <c r="AH641" t="s">
        <v>112</v>
      </c>
      <c r="AK641" t="s">
        <v>111</v>
      </c>
      <c r="AL641" t="s">
        <v>111</v>
      </c>
      <c r="AM641" t="s">
        <v>111</v>
      </c>
      <c r="AN641" t="s">
        <v>105</v>
      </c>
      <c r="AO641" t="s">
        <v>110</v>
      </c>
      <c r="AP641" t="s">
        <v>109</v>
      </c>
    </row>
    <row r="642" spans="1:42" x14ac:dyDescent="0.25">
      <c r="A642" s="28" t="str">
        <f>"12514"</f>
        <v>12514</v>
      </c>
      <c r="B642">
        <v>12514</v>
      </c>
      <c r="C642" t="s">
        <v>2488</v>
      </c>
      <c r="D642" t="s">
        <v>132</v>
      </c>
      <c r="F642" t="s">
        <v>149</v>
      </c>
      <c r="G642" t="s">
        <v>9176</v>
      </c>
      <c r="H642" t="s">
        <v>1157</v>
      </c>
      <c r="I642" t="s">
        <v>9175</v>
      </c>
      <c r="J642" t="s">
        <v>126</v>
      </c>
      <c r="K642" s="63">
        <v>16251</v>
      </c>
      <c r="L642" s="28">
        <f>DATEDIF(K642,Zwift25!G$1,"Y")</f>
        <v>80</v>
      </c>
      <c r="M642" s="67">
        <f>IF(J642="m",VLOOKUP(L642,'All Solo Adjustments'!A:D,4,FALSE),VLOOKUP(L642,'All Solo Adjustments'!A:J,10,FALSE))</f>
        <v>1.6828703703703703E-2</v>
      </c>
      <c r="N642" s="63"/>
      <c r="O642" s="63"/>
      <c r="P642" s="63"/>
      <c r="Q642" s="63"/>
      <c r="R642" t="s">
        <v>159</v>
      </c>
      <c r="S642" t="s">
        <v>570</v>
      </c>
      <c r="T642" t="s">
        <v>292</v>
      </c>
      <c r="U642" t="s">
        <v>9172</v>
      </c>
      <c r="V642" t="s">
        <v>9171</v>
      </c>
      <c r="W642" t="s">
        <v>931</v>
      </c>
      <c r="X642" t="s">
        <v>159</v>
      </c>
      <c r="Y642" t="s">
        <v>9170</v>
      </c>
      <c r="Z642" t="str">
        <f>"01622 762837"</f>
        <v>01622 762837</v>
      </c>
      <c r="AA642" t="str">
        <f>"07413030010"</f>
        <v>07413030010</v>
      </c>
      <c r="AB642" t="s">
        <v>256</v>
      </c>
      <c r="AC642" t="s">
        <v>9174</v>
      </c>
      <c r="AD642" t="s">
        <v>145</v>
      </c>
      <c r="AF642" t="s">
        <v>113</v>
      </c>
      <c r="AG642" t="s">
        <v>112</v>
      </c>
      <c r="AH642" t="s">
        <v>112</v>
      </c>
      <c r="AI642" s="63">
        <v>43775</v>
      </c>
      <c r="AK642" t="s">
        <v>111</v>
      </c>
      <c r="AL642" t="s">
        <v>111</v>
      </c>
      <c r="AM642" t="s">
        <v>111</v>
      </c>
      <c r="AN642" t="s">
        <v>105</v>
      </c>
      <c r="AO642" t="s">
        <v>122</v>
      </c>
      <c r="AP642" t="s">
        <v>122</v>
      </c>
    </row>
    <row r="643" spans="1:42" x14ac:dyDescent="0.25">
      <c r="A643" s="28" t="str">
        <f>"1038"</f>
        <v>1038</v>
      </c>
      <c r="B643">
        <v>1038</v>
      </c>
      <c r="C643" t="s">
        <v>2488</v>
      </c>
      <c r="D643" t="s">
        <v>130</v>
      </c>
      <c r="F643" t="s">
        <v>120</v>
      </c>
      <c r="G643" t="s">
        <v>284</v>
      </c>
      <c r="I643" t="s">
        <v>9173</v>
      </c>
      <c r="J643" t="s">
        <v>7</v>
      </c>
      <c r="K643" s="63">
        <v>15390</v>
      </c>
      <c r="L643" s="28">
        <f>DATEDIF(K643,Zwift25!G$1,"Y")</f>
        <v>82</v>
      </c>
      <c r="M643" s="67">
        <f>IF(J643="m",VLOOKUP(L643,'All Solo Adjustments'!A:D,4,FALSE),VLOOKUP(L643,'All Solo Adjustments'!A:J,10,FALSE))</f>
        <v>1.2210648148148148E-2</v>
      </c>
      <c r="N643" s="63"/>
      <c r="O643" s="63"/>
      <c r="P643" s="63"/>
      <c r="Q643" s="63"/>
      <c r="R643" t="s">
        <v>159</v>
      </c>
      <c r="S643" t="s">
        <v>570</v>
      </c>
      <c r="T643" t="s">
        <v>292</v>
      </c>
      <c r="U643" t="s">
        <v>9172</v>
      </c>
      <c r="V643" t="s">
        <v>9171</v>
      </c>
      <c r="W643" t="s">
        <v>931</v>
      </c>
      <c r="X643" t="s">
        <v>159</v>
      </c>
      <c r="Y643" t="s">
        <v>9170</v>
      </c>
      <c r="Z643" t="str">
        <f>"01622 762837"</f>
        <v>01622 762837</v>
      </c>
      <c r="AA643" t="str">
        <f>"07413030010"</f>
        <v>07413030010</v>
      </c>
      <c r="AB643" t="s">
        <v>256</v>
      </c>
      <c r="AC643" t="s">
        <v>9169</v>
      </c>
      <c r="AD643" t="s">
        <v>145</v>
      </c>
      <c r="AF643" t="s">
        <v>113</v>
      </c>
      <c r="AG643" t="s">
        <v>112</v>
      </c>
      <c r="AH643" t="s">
        <v>112</v>
      </c>
      <c r="AI643" s="63">
        <v>43775</v>
      </c>
      <c r="AK643" t="s">
        <v>111</v>
      </c>
      <c r="AL643" t="s">
        <v>111</v>
      </c>
      <c r="AM643" t="s">
        <v>111</v>
      </c>
      <c r="AN643" t="s">
        <v>105</v>
      </c>
      <c r="AO643" t="s">
        <v>110</v>
      </c>
      <c r="AP643" t="s">
        <v>109</v>
      </c>
    </row>
    <row r="644" spans="1:42" x14ac:dyDescent="0.25">
      <c r="A644" s="28" t="str">
        <f>"4471"</f>
        <v>4471</v>
      </c>
      <c r="B644">
        <v>4471</v>
      </c>
      <c r="C644" t="s">
        <v>2488</v>
      </c>
      <c r="D644" t="s">
        <v>121</v>
      </c>
      <c r="F644" t="s">
        <v>120</v>
      </c>
      <c r="G644" t="s">
        <v>1088</v>
      </c>
      <c r="H644" t="s">
        <v>410</v>
      </c>
      <c r="I644" t="s">
        <v>1988</v>
      </c>
      <c r="J644" t="s">
        <v>7</v>
      </c>
      <c r="K644" s="63">
        <v>17182</v>
      </c>
      <c r="L644" s="28">
        <f>DATEDIF(K644,Zwift25!G$1,"Y")</f>
        <v>77</v>
      </c>
      <c r="M644" s="67">
        <f>IF(J644="m",VLOOKUP(L644,'All Solo Adjustments'!A:D,4,FALSE),VLOOKUP(L644,'All Solo Adjustments'!A:J,10,FALSE))</f>
        <v>9.3981481481481485E-3</v>
      </c>
      <c r="N644" s="63"/>
      <c r="O644" s="63"/>
      <c r="P644" s="63"/>
      <c r="Q644" s="63"/>
      <c r="R644" t="s">
        <v>184</v>
      </c>
      <c r="S644" t="s">
        <v>183</v>
      </c>
      <c r="T644" t="s">
        <v>292</v>
      </c>
      <c r="U644" t="s">
        <v>9168</v>
      </c>
      <c r="V644" t="s">
        <v>9167</v>
      </c>
      <c r="W644" t="s">
        <v>929</v>
      </c>
      <c r="Y644" t="s">
        <v>9166</v>
      </c>
      <c r="Z644" t="str">
        <f>"01491 833300"</f>
        <v>01491 833300</v>
      </c>
      <c r="AA644" t="str">
        <f>"07828717963"</f>
        <v>07828717963</v>
      </c>
      <c r="AB644" t="s">
        <v>1221</v>
      </c>
      <c r="AC644" t="s">
        <v>9165</v>
      </c>
      <c r="AD644" t="s">
        <v>114</v>
      </c>
      <c r="AE644" s="63">
        <v>45264</v>
      </c>
      <c r="AF644" t="s">
        <v>156</v>
      </c>
      <c r="AG644" t="s">
        <v>112</v>
      </c>
      <c r="AH644" t="s">
        <v>112</v>
      </c>
      <c r="AI644" s="63">
        <v>40987</v>
      </c>
      <c r="AJ644" s="63">
        <v>45657</v>
      </c>
      <c r="AK644" t="s">
        <v>111</v>
      </c>
      <c r="AL644" t="s">
        <v>111</v>
      </c>
      <c r="AM644" t="s">
        <v>111</v>
      </c>
      <c r="AN644">
        <v>4431</v>
      </c>
      <c r="AO644" t="s">
        <v>110</v>
      </c>
      <c r="AP644" t="s">
        <v>109</v>
      </c>
    </row>
    <row r="645" spans="1:42" x14ac:dyDescent="0.25">
      <c r="A645" s="28" t="str">
        <f>"14729"</f>
        <v>14729</v>
      </c>
      <c r="B645">
        <v>14729</v>
      </c>
      <c r="C645" t="s">
        <v>2488</v>
      </c>
      <c r="D645" t="s">
        <v>121</v>
      </c>
      <c r="E645" t="s">
        <v>584</v>
      </c>
      <c r="F645" t="s">
        <v>120</v>
      </c>
      <c r="G645" t="s">
        <v>402</v>
      </c>
      <c r="H645" t="s">
        <v>195</v>
      </c>
      <c r="I645" t="s">
        <v>1988</v>
      </c>
      <c r="J645" t="s">
        <v>7</v>
      </c>
      <c r="K645" s="63">
        <v>24720</v>
      </c>
      <c r="L645" s="28">
        <f>DATEDIF(K645,Zwift25!G$1,"Y")</f>
        <v>57</v>
      </c>
      <c r="M645" s="67">
        <f>IF(J645="m",VLOOKUP(L645,'All Solo Adjustments'!A:D,4,FALSE),VLOOKUP(L645,'All Solo Adjustments'!A:J,10,FALSE))</f>
        <v>2.488425925925926E-3</v>
      </c>
      <c r="N645" s="63"/>
      <c r="O645" s="63"/>
      <c r="P645" s="63"/>
      <c r="Q645" s="63"/>
      <c r="R645" t="s">
        <v>283</v>
      </c>
      <c r="S645" t="s">
        <v>530</v>
      </c>
      <c r="T645" t="s">
        <v>292</v>
      </c>
      <c r="U645" t="s">
        <v>9164</v>
      </c>
      <c r="V645" t="s">
        <v>9163</v>
      </c>
      <c r="W645" t="s">
        <v>535</v>
      </c>
      <c r="Y645" t="s">
        <v>9162</v>
      </c>
      <c r="Z645" t="str">
        <f>"07443419964"</f>
        <v>07443419964</v>
      </c>
      <c r="AA645" t="str">
        <f>""</f>
        <v/>
      </c>
      <c r="AB645" t="s">
        <v>533</v>
      </c>
      <c r="AC645" t="s">
        <v>9161</v>
      </c>
      <c r="AD645" t="s">
        <v>114</v>
      </c>
      <c r="AE645" s="63">
        <v>45229</v>
      </c>
      <c r="AF645" t="s">
        <v>156</v>
      </c>
      <c r="AG645" t="s">
        <v>112</v>
      </c>
      <c r="AH645" t="s">
        <v>112</v>
      </c>
      <c r="AI645" s="63">
        <v>44078</v>
      </c>
      <c r="AJ645" s="63">
        <v>45657</v>
      </c>
      <c r="AK645" t="s">
        <v>112</v>
      </c>
      <c r="AL645" t="s">
        <v>111</v>
      </c>
      <c r="AM645" t="s">
        <v>111</v>
      </c>
      <c r="AN645">
        <v>3909</v>
      </c>
      <c r="AO645" t="s">
        <v>110</v>
      </c>
      <c r="AP645" t="s">
        <v>109</v>
      </c>
    </row>
    <row r="646" spans="1:42" x14ac:dyDescent="0.25">
      <c r="A646" s="28" t="str">
        <f>"14253"</f>
        <v>14253</v>
      </c>
      <c r="B646">
        <v>14253</v>
      </c>
      <c r="C646" t="s">
        <v>2488</v>
      </c>
      <c r="D646" t="s">
        <v>121</v>
      </c>
      <c r="F646" t="s">
        <v>120</v>
      </c>
      <c r="G646" t="s">
        <v>189</v>
      </c>
      <c r="I646" t="s">
        <v>1987</v>
      </c>
      <c r="J646" t="s">
        <v>7</v>
      </c>
      <c r="K646" s="63">
        <v>26795</v>
      </c>
      <c r="L646" s="28">
        <f>DATEDIF(K646,Zwift25!G$1,"Y")</f>
        <v>51</v>
      </c>
      <c r="M646" s="67">
        <f>IF(J646="m",VLOOKUP(L646,'All Solo Adjustments'!A:D,4,FALSE),VLOOKUP(L646,'All Solo Adjustments'!A:J,10,FALSE))</f>
        <v>1.3078703703703703E-3</v>
      </c>
      <c r="N646" s="63"/>
      <c r="O646" s="63"/>
      <c r="P646" s="63"/>
      <c r="Q646" s="63"/>
      <c r="R646" t="s">
        <v>239</v>
      </c>
      <c r="S646" t="s">
        <v>274</v>
      </c>
      <c r="T646" t="s">
        <v>292</v>
      </c>
      <c r="U646" t="s">
        <v>9160</v>
      </c>
      <c r="V646" t="s">
        <v>3949</v>
      </c>
      <c r="W646" t="s">
        <v>555</v>
      </c>
      <c r="X646" t="s">
        <v>236</v>
      </c>
      <c r="Y646" t="s">
        <v>9159</v>
      </c>
      <c r="Z646" t="str">
        <f>"07947431542"</f>
        <v>07947431542</v>
      </c>
      <c r="AA646" t="str">
        <f>""</f>
        <v/>
      </c>
      <c r="AB646" t="s">
        <v>390</v>
      </c>
      <c r="AC646" t="s">
        <v>9158</v>
      </c>
      <c r="AD646" t="s">
        <v>114</v>
      </c>
      <c r="AE646" s="63">
        <v>45299</v>
      </c>
      <c r="AF646" t="s">
        <v>156</v>
      </c>
      <c r="AG646" t="s">
        <v>112</v>
      </c>
      <c r="AH646" t="s">
        <v>112</v>
      </c>
      <c r="AI646" s="63">
        <v>43616</v>
      </c>
      <c r="AJ646" s="63">
        <v>45657</v>
      </c>
      <c r="AK646" t="s">
        <v>112</v>
      </c>
      <c r="AL646" t="s">
        <v>111</v>
      </c>
      <c r="AM646" t="s">
        <v>111</v>
      </c>
      <c r="AN646">
        <v>4681</v>
      </c>
      <c r="AO646" t="s">
        <v>110</v>
      </c>
      <c r="AP646" t="s">
        <v>109</v>
      </c>
    </row>
    <row r="647" spans="1:42" x14ac:dyDescent="0.25">
      <c r="A647" s="28" t="str">
        <f>"14695"</f>
        <v>14695</v>
      </c>
      <c r="B647">
        <v>14695</v>
      </c>
      <c r="C647" t="s">
        <v>2488</v>
      </c>
      <c r="D647" t="s">
        <v>121</v>
      </c>
      <c r="F647" t="s">
        <v>120</v>
      </c>
      <c r="G647" t="s">
        <v>1847</v>
      </c>
      <c r="I647" t="s">
        <v>9157</v>
      </c>
      <c r="J647" t="s">
        <v>7</v>
      </c>
      <c r="K647" s="63">
        <v>25512</v>
      </c>
      <c r="L647" s="28">
        <f>DATEDIF(K647,Zwift25!G$1,"Y")</f>
        <v>54</v>
      </c>
      <c r="M647" s="67">
        <f>IF(J647="m",VLOOKUP(L647,'All Solo Adjustments'!A:D,4,FALSE),VLOOKUP(L647,'All Solo Adjustments'!A:J,10,FALSE))</f>
        <v>1.8518518518518517E-3</v>
      </c>
      <c r="N647" s="63"/>
      <c r="O647" s="63"/>
      <c r="P647" s="63"/>
      <c r="Q647" s="63"/>
      <c r="R647" t="s">
        <v>125</v>
      </c>
      <c r="S647" t="s">
        <v>170</v>
      </c>
      <c r="T647" t="s">
        <v>292</v>
      </c>
      <c r="U647" t="s">
        <v>9156</v>
      </c>
      <c r="V647" t="s">
        <v>9155</v>
      </c>
      <c r="W647" t="s">
        <v>123</v>
      </c>
      <c r="Y647" t="s">
        <v>9154</v>
      </c>
      <c r="Z647" t="str">
        <f>"07866959089"</f>
        <v>07866959089</v>
      </c>
      <c r="AA647" t="str">
        <f>""</f>
        <v/>
      </c>
      <c r="AB647" t="s">
        <v>9153</v>
      </c>
      <c r="AC647" t="s">
        <v>9152</v>
      </c>
      <c r="AD647" t="s">
        <v>114</v>
      </c>
      <c r="AE647" s="63">
        <v>45296</v>
      </c>
      <c r="AF647" t="s">
        <v>156</v>
      </c>
      <c r="AG647" t="s">
        <v>112</v>
      </c>
      <c r="AH647" t="s">
        <v>112</v>
      </c>
      <c r="AI647" s="63">
        <v>44071</v>
      </c>
      <c r="AJ647" s="63">
        <v>45657</v>
      </c>
      <c r="AK647" t="s">
        <v>112</v>
      </c>
      <c r="AL647" t="s">
        <v>111</v>
      </c>
      <c r="AM647" t="s">
        <v>111</v>
      </c>
      <c r="AN647">
        <v>4224</v>
      </c>
      <c r="AO647" t="s">
        <v>110</v>
      </c>
      <c r="AP647" t="s">
        <v>109</v>
      </c>
    </row>
    <row r="648" spans="1:42" x14ac:dyDescent="0.25">
      <c r="A648" s="28" t="str">
        <f>"15948"</f>
        <v>15948</v>
      </c>
      <c r="B648">
        <v>15948</v>
      </c>
      <c r="C648" t="s">
        <v>2488</v>
      </c>
      <c r="D648" t="s">
        <v>121</v>
      </c>
      <c r="F648" t="s">
        <v>120</v>
      </c>
      <c r="G648" t="s">
        <v>164</v>
      </c>
      <c r="H648" t="s">
        <v>284</v>
      </c>
      <c r="I648" t="s">
        <v>9151</v>
      </c>
      <c r="J648" t="s">
        <v>7</v>
      </c>
      <c r="K648" s="63">
        <v>25501</v>
      </c>
      <c r="L648" s="28">
        <f>DATEDIF(K648,Zwift25!G$1,"Y")</f>
        <v>54</v>
      </c>
      <c r="M648" s="67">
        <f>IF(J648="m",VLOOKUP(L648,'All Solo Adjustments'!A:D,4,FALSE),VLOOKUP(L648,'All Solo Adjustments'!A:J,10,FALSE))</f>
        <v>1.8518518518518517E-3</v>
      </c>
      <c r="N648" s="63"/>
      <c r="O648" s="63"/>
      <c r="P648" s="63"/>
      <c r="Q648" s="63"/>
      <c r="R648" t="s">
        <v>137</v>
      </c>
      <c r="S648" t="s">
        <v>136</v>
      </c>
      <c r="T648" t="s">
        <v>292</v>
      </c>
      <c r="U648" t="s">
        <v>9150</v>
      </c>
      <c r="V648" t="s">
        <v>375</v>
      </c>
      <c r="W648" t="s">
        <v>9149</v>
      </c>
      <c r="Y648" t="s">
        <v>9148</v>
      </c>
      <c r="Z648" t="str">
        <f>"07414960606"</f>
        <v>07414960606</v>
      </c>
      <c r="AA648" t="str">
        <f>""</f>
        <v/>
      </c>
      <c r="AB648" t="s">
        <v>349</v>
      </c>
      <c r="AC648" t="s">
        <v>9147</v>
      </c>
      <c r="AD648" t="s">
        <v>114</v>
      </c>
      <c r="AE648" s="63">
        <v>45270</v>
      </c>
      <c r="AF648" t="s">
        <v>156</v>
      </c>
      <c r="AG648" t="s">
        <v>112</v>
      </c>
      <c r="AH648" t="s">
        <v>112</v>
      </c>
      <c r="AI648" s="63">
        <v>45270</v>
      </c>
      <c r="AJ648" s="63">
        <v>45657</v>
      </c>
      <c r="AK648" t="s">
        <v>112</v>
      </c>
      <c r="AL648" t="s">
        <v>111</v>
      </c>
      <c r="AM648" t="s">
        <v>111</v>
      </c>
      <c r="AN648">
        <v>16203</v>
      </c>
      <c r="AO648" t="s">
        <v>110</v>
      </c>
      <c r="AP648" t="s">
        <v>109</v>
      </c>
    </row>
    <row r="649" spans="1:42" x14ac:dyDescent="0.25">
      <c r="A649" s="28" t="str">
        <f>"14139"</f>
        <v>14139</v>
      </c>
      <c r="B649">
        <v>14139</v>
      </c>
      <c r="C649" t="s">
        <v>2488</v>
      </c>
      <c r="D649" t="s">
        <v>121</v>
      </c>
      <c r="E649" t="s">
        <v>584</v>
      </c>
      <c r="F649" t="s">
        <v>120</v>
      </c>
      <c r="G649" t="s">
        <v>195</v>
      </c>
      <c r="I649" t="s">
        <v>1985</v>
      </c>
      <c r="J649" t="s">
        <v>7</v>
      </c>
      <c r="K649" s="63">
        <v>19686</v>
      </c>
      <c r="L649" s="28">
        <f>DATEDIF(K649,Zwift25!G$1,"Y")</f>
        <v>70</v>
      </c>
      <c r="M649" s="67">
        <f>IF(J649="m",VLOOKUP(L649,'All Solo Adjustments'!A:D,4,FALSE),VLOOKUP(L649,'All Solo Adjustments'!A:J,10,FALSE))</f>
        <v>6.3425925925925924E-3</v>
      </c>
      <c r="N649" s="63"/>
      <c r="O649" s="63"/>
      <c r="P649" s="63"/>
      <c r="Q649" s="63"/>
      <c r="R649" t="s">
        <v>137</v>
      </c>
      <c r="S649" t="s">
        <v>136</v>
      </c>
      <c r="T649" t="s">
        <v>292</v>
      </c>
      <c r="U649" t="s">
        <v>9146</v>
      </c>
      <c r="V649" t="s">
        <v>2135</v>
      </c>
      <c r="X649" t="s">
        <v>564</v>
      </c>
      <c r="Y649" t="s">
        <v>9145</v>
      </c>
      <c r="Z649" t="str">
        <f>"07770 873000"</f>
        <v>07770 873000</v>
      </c>
      <c r="AA649" t="str">
        <f>""</f>
        <v/>
      </c>
      <c r="AB649" t="s">
        <v>378</v>
      </c>
      <c r="AC649" t="s">
        <v>9144</v>
      </c>
      <c r="AD649" t="s">
        <v>114</v>
      </c>
      <c r="AE649" s="63">
        <v>45217</v>
      </c>
      <c r="AF649" t="s">
        <v>156</v>
      </c>
      <c r="AG649" t="s">
        <v>112</v>
      </c>
      <c r="AH649" t="s">
        <v>112</v>
      </c>
      <c r="AI649" s="63">
        <v>43558</v>
      </c>
      <c r="AJ649" s="63">
        <v>45657</v>
      </c>
      <c r="AK649" t="s">
        <v>112</v>
      </c>
      <c r="AL649" t="s">
        <v>111</v>
      </c>
      <c r="AM649" t="s">
        <v>111</v>
      </c>
      <c r="AN649">
        <v>14803</v>
      </c>
      <c r="AO649" t="s">
        <v>110</v>
      </c>
      <c r="AP649" t="s">
        <v>109</v>
      </c>
    </row>
    <row r="650" spans="1:42" x14ac:dyDescent="0.25">
      <c r="A650" s="28" t="str">
        <f>"14590"</f>
        <v>14590</v>
      </c>
      <c r="B650">
        <v>14590</v>
      </c>
      <c r="C650" t="s">
        <v>2488</v>
      </c>
      <c r="D650" t="s">
        <v>121</v>
      </c>
      <c r="E650" t="s">
        <v>584</v>
      </c>
      <c r="F650" t="s">
        <v>120</v>
      </c>
      <c r="G650" t="s">
        <v>1287</v>
      </c>
      <c r="I650" t="s">
        <v>1985</v>
      </c>
      <c r="J650" t="s">
        <v>7</v>
      </c>
      <c r="K650" s="63">
        <v>27614</v>
      </c>
      <c r="L650" s="28">
        <f>DATEDIF(K650,Zwift25!G$1,"Y")</f>
        <v>49</v>
      </c>
      <c r="M650" s="67">
        <f>IF(J650="m",VLOOKUP(L650,'All Solo Adjustments'!A:D,4,FALSE),VLOOKUP(L650,'All Solo Adjustments'!A:J,10,FALSE))</f>
        <v>9.837962962962962E-4</v>
      </c>
      <c r="N650" s="63"/>
      <c r="O650" s="63"/>
      <c r="P650" s="63"/>
      <c r="Q650" s="63"/>
      <c r="R650" t="s">
        <v>180</v>
      </c>
      <c r="S650" t="s">
        <v>179</v>
      </c>
      <c r="T650" t="s">
        <v>292</v>
      </c>
      <c r="U650" t="s">
        <v>9143</v>
      </c>
      <c r="V650" t="s">
        <v>2105</v>
      </c>
      <c r="Y650" t="s">
        <v>9142</v>
      </c>
      <c r="Z650" t="str">
        <f>"07515337524"</f>
        <v>07515337524</v>
      </c>
      <c r="AA650" t="str">
        <f>""</f>
        <v/>
      </c>
      <c r="AB650" t="s">
        <v>8050</v>
      </c>
      <c r="AC650" t="s">
        <v>9141</v>
      </c>
      <c r="AD650" t="s">
        <v>114</v>
      </c>
      <c r="AE650" s="63">
        <v>45446</v>
      </c>
      <c r="AF650" t="s">
        <v>156</v>
      </c>
      <c r="AG650" t="s">
        <v>112</v>
      </c>
      <c r="AH650" t="s">
        <v>112</v>
      </c>
      <c r="AI650" s="63">
        <v>44025</v>
      </c>
      <c r="AJ650" s="63">
        <v>45657</v>
      </c>
      <c r="AK650" t="s">
        <v>112</v>
      </c>
      <c r="AL650" t="s">
        <v>111</v>
      </c>
      <c r="AM650" t="s">
        <v>111</v>
      </c>
      <c r="AN650">
        <v>34444</v>
      </c>
      <c r="AO650" t="s">
        <v>110</v>
      </c>
      <c r="AP650" t="s">
        <v>109</v>
      </c>
    </row>
    <row r="651" spans="1:42" x14ac:dyDescent="0.25">
      <c r="A651" s="28" t="str">
        <f>"16035"</f>
        <v>16035</v>
      </c>
      <c r="B651">
        <v>16035</v>
      </c>
      <c r="C651" t="s">
        <v>2488</v>
      </c>
      <c r="D651" t="s">
        <v>121</v>
      </c>
      <c r="F651" t="s">
        <v>120</v>
      </c>
      <c r="G651" t="s">
        <v>304</v>
      </c>
      <c r="H651" t="s">
        <v>867</v>
      </c>
      <c r="I651" t="s">
        <v>9140</v>
      </c>
      <c r="J651" t="s">
        <v>7</v>
      </c>
      <c r="K651" s="63">
        <v>28915</v>
      </c>
      <c r="L651" s="28">
        <f>DATEDIF(K651,Zwift25!G$1,"Y")</f>
        <v>45</v>
      </c>
      <c r="M651" s="67">
        <f>IF(J651="m",VLOOKUP(L651,'All Solo Adjustments'!A:D,4,FALSE),VLOOKUP(L651,'All Solo Adjustments'!A:J,10,FALSE))</f>
        <v>4.5138888888888892E-4</v>
      </c>
      <c r="N651" s="63"/>
      <c r="O651" s="63"/>
      <c r="P651" s="63"/>
      <c r="Q651" s="63"/>
      <c r="R651" t="s">
        <v>283</v>
      </c>
      <c r="S651" t="s">
        <v>530</v>
      </c>
      <c r="T651" t="s">
        <v>292</v>
      </c>
      <c r="U651" t="s">
        <v>9139</v>
      </c>
      <c r="V651" t="s">
        <v>9138</v>
      </c>
      <c r="W651" t="s">
        <v>7619</v>
      </c>
      <c r="X651" t="s">
        <v>1253</v>
      </c>
      <c r="Y651" t="s">
        <v>9137</v>
      </c>
      <c r="Z651" t="str">
        <f>"07967134745"</f>
        <v>07967134745</v>
      </c>
      <c r="AA651" t="str">
        <f>""</f>
        <v/>
      </c>
      <c r="AB651" t="s">
        <v>9136</v>
      </c>
      <c r="AC651" t="s">
        <v>9135</v>
      </c>
      <c r="AD651" t="s">
        <v>114</v>
      </c>
      <c r="AE651" s="63">
        <v>45342</v>
      </c>
      <c r="AF651" t="s">
        <v>156</v>
      </c>
      <c r="AG651" t="s">
        <v>112</v>
      </c>
      <c r="AH651" t="s">
        <v>112</v>
      </c>
      <c r="AI651" s="63">
        <v>45342</v>
      </c>
      <c r="AJ651" s="63">
        <v>45657</v>
      </c>
      <c r="AK651" t="s">
        <v>112</v>
      </c>
      <c r="AL651" t="s">
        <v>111</v>
      </c>
      <c r="AM651" t="s">
        <v>111</v>
      </c>
      <c r="AN651">
        <v>41795</v>
      </c>
      <c r="AO651" t="s">
        <v>110</v>
      </c>
      <c r="AP651" t="s">
        <v>109</v>
      </c>
    </row>
    <row r="652" spans="1:42" x14ac:dyDescent="0.25">
      <c r="A652" s="28" t="str">
        <f>"15660"</f>
        <v>15660</v>
      </c>
      <c r="B652">
        <v>15660</v>
      </c>
      <c r="C652" t="s">
        <v>2488</v>
      </c>
      <c r="D652" t="s">
        <v>121</v>
      </c>
      <c r="E652" t="s">
        <v>584</v>
      </c>
      <c r="F652" t="s">
        <v>120</v>
      </c>
      <c r="G652" t="s">
        <v>9134</v>
      </c>
      <c r="I652" t="s">
        <v>9133</v>
      </c>
      <c r="J652" t="s">
        <v>7</v>
      </c>
      <c r="K652" s="63">
        <v>26084</v>
      </c>
      <c r="L652" s="28">
        <f>DATEDIF(K652,Zwift25!G$1,"Y")</f>
        <v>53</v>
      </c>
      <c r="M652" s="67">
        <f>IF(J652="m",VLOOKUP(L652,'All Solo Adjustments'!A:D,4,FALSE),VLOOKUP(L652,'All Solo Adjustments'!A:J,10,FALSE))</f>
        <v>1.6666666666666668E-3</v>
      </c>
      <c r="N652" s="63"/>
      <c r="O652" s="63"/>
      <c r="P652" s="63"/>
      <c r="Q652" s="63"/>
      <c r="R652" t="s">
        <v>213</v>
      </c>
      <c r="S652" t="s">
        <v>212</v>
      </c>
      <c r="T652" t="s">
        <v>292</v>
      </c>
      <c r="U652" t="s">
        <v>9132</v>
      </c>
      <c r="V652" t="s">
        <v>9131</v>
      </c>
      <c r="W652" t="s">
        <v>5490</v>
      </c>
      <c r="X652" t="s">
        <v>9130</v>
      </c>
      <c r="Y652" t="s">
        <v>9129</v>
      </c>
      <c r="Z652" t="str">
        <f>"07813849992"</f>
        <v>07813849992</v>
      </c>
      <c r="AA652" t="str">
        <f>""</f>
        <v/>
      </c>
      <c r="AB652" t="s">
        <v>8731</v>
      </c>
      <c r="AC652" t="s">
        <v>9128</v>
      </c>
      <c r="AD652" t="s">
        <v>114</v>
      </c>
      <c r="AE652" s="63">
        <v>45262</v>
      </c>
      <c r="AF652" t="s">
        <v>156</v>
      </c>
      <c r="AG652" t="s">
        <v>112</v>
      </c>
      <c r="AH652" t="s">
        <v>112</v>
      </c>
      <c r="AI652" s="63">
        <v>44942</v>
      </c>
      <c r="AJ652" s="63">
        <v>45657</v>
      </c>
      <c r="AK652" t="s">
        <v>112</v>
      </c>
      <c r="AL652" t="s">
        <v>111</v>
      </c>
      <c r="AM652" t="s">
        <v>111</v>
      </c>
      <c r="AN652">
        <v>27169</v>
      </c>
      <c r="AO652" t="s">
        <v>110</v>
      </c>
      <c r="AP652" t="s">
        <v>109</v>
      </c>
    </row>
    <row r="653" spans="1:42" x14ac:dyDescent="0.25">
      <c r="A653" s="28" t="str">
        <f>"5904"</f>
        <v>5904</v>
      </c>
      <c r="B653">
        <v>5904</v>
      </c>
      <c r="C653" t="s">
        <v>2488</v>
      </c>
      <c r="D653" t="s">
        <v>132</v>
      </c>
      <c r="F653" t="s">
        <v>120</v>
      </c>
      <c r="G653" t="s">
        <v>219</v>
      </c>
      <c r="I653" t="s">
        <v>9127</v>
      </c>
      <c r="J653" t="s">
        <v>7</v>
      </c>
      <c r="K653" s="63">
        <v>24983</v>
      </c>
      <c r="L653" s="28">
        <f>DATEDIF(K653,Zwift25!G$1,"Y")</f>
        <v>56</v>
      </c>
      <c r="M653" s="67">
        <f>IF(J653="m",VLOOKUP(L653,'All Solo Adjustments'!A:D,4,FALSE),VLOOKUP(L653,'All Solo Adjustments'!A:J,10,FALSE))</f>
        <v>2.2685185185185182E-3</v>
      </c>
      <c r="N653" s="63"/>
      <c r="O653" s="63"/>
      <c r="P653" s="63"/>
      <c r="Q653" s="63"/>
      <c r="R653" t="s">
        <v>125</v>
      </c>
      <c r="S653" t="s">
        <v>124</v>
      </c>
      <c r="T653" t="s">
        <v>292</v>
      </c>
      <c r="U653" t="s">
        <v>9124</v>
      </c>
      <c r="V653" t="s">
        <v>9123</v>
      </c>
      <c r="W653" t="s">
        <v>7997</v>
      </c>
      <c r="X653" t="s">
        <v>169</v>
      </c>
      <c r="Y653" t="s">
        <v>9122</v>
      </c>
      <c r="Z653" t="str">
        <f>"01502 675056"</f>
        <v>01502 675056</v>
      </c>
      <c r="AA653" t="str">
        <f>"07587129333"</f>
        <v>07587129333</v>
      </c>
      <c r="AB653" t="s">
        <v>501</v>
      </c>
      <c r="AC653" t="s">
        <v>9126</v>
      </c>
      <c r="AD653" t="s">
        <v>114</v>
      </c>
      <c r="AE653" s="63">
        <v>45338</v>
      </c>
      <c r="AF653" t="s">
        <v>156</v>
      </c>
      <c r="AG653" t="s">
        <v>112</v>
      </c>
      <c r="AH653" t="s">
        <v>112</v>
      </c>
      <c r="AI653" s="63">
        <v>42538</v>
      </c>
      <c r="AJ653" s="63">
        <v>45657</v>
      </c>
      <c r="AK653" t="s">
        <v>111</v>
      </c>
      <c r="AL653" t="s">
        <v>111</v>
      </c>
      <c r="AM653" t="s">
        <v>111</v>
      </c>
      <c r="AN653">
        <v>1358</v>
      </c>
      <c r="AO653" t="s">
        <v>110</v>
      </c>
      <c r="AP653" t="s">
        <v>109</v>
      </c>
    </row>
    <row r="654" spans="1:42" x14ac:dyDescent="0.25">
      <c r="A654" s="28" t="str">
        <f>"12220"</f>
        <v>12220</v>
      </c>
      <c r="B654">
        <v>12220</v>
      </c>
      <c r="C654" t="s">
        <v>2488</v>
      </c>
      <c r="D654" t="s">
        <v>130</v>
      </c>
      <c r="F654" t="s">
        <v>139</v>
      </c>
      <c r="G654" t="s">
        <v>6997</v>
      </c>
      <c r="I654" t="s">
        <v>9125</v>
      </c>
      <c r="J654" t="s">
        <v>126</v>
      </c>
      <c r="K654" s="63">
        <v>23779</v>
      </c>
      <c r="L654" s="28">
        <f>DATEDIF(K654,Zwift25!G$1,"Y")</f>
        <v>59</v>
      </c>
      <c r="M654" s="67">
        <f>IF(J654="m",VLOOKUP(L654,'All Solo Adjustments'!A:D,4,FALSE),VLOOKUP(L654,'All Solo Adjustments'!A:J,10,FALSE))</f>
        <v>6.5972222222222222E-3</v>
      </c>
      <c r="N654" s="63"/>
      <c r="O654" s="63"/>
      <c r="P654" s="63"/>
      <c r="Q654" s="63"/>
      <c r="R654" t="s">
        <v>125</v>
      </c>
      <c r="S654" t="s">
        <v>124</v>
      </c>
      <c r="T654" t="s">
        <v>292</v>
      </c>
      <c r="U654" t="s">
        <v>9124</v>
      </c>
      <c r="V654" t="s">
        <v>9123</v>
      </c>
      <c r="W654" t="s">
        <v>7997</v>
      </c>
      <c r="X654" t="s">
        <v>169</v>
      </c>
      <c r="Y654" t="s">
        <v>9122</v>
      </c>
      <c r="Z654" t="str">
        <f>"01502 675056"</f>
        <v>01502 675056</v>
      </c>
      <c r="AA654" t="str">
        <f>"07587129333"</f>
        <v>07587129333</v>
      </c>
      <c r="AB654" t="s">
        <v>501</v>
      </c>
      <c r="AC654" t="s">
        <v>9121</v>
      </c>
      <c r="AD654" t="s">
        <v>114</v>
      </c>
      <c r="AE654" s="63">
        <v>45338</v>
      </c>
      <c r="AF654" t="s">
        <v>156</v>
      </c>
      <c r="AG654" t="s">
        <v>112</v>
      </c>
      <c r="AH654" t="s">
        <v>112</v>
      </c>
      <c r="AI654" s="63">
        <v>42538</v>
      </c>
      <c r="AJ654" s="63">
        <v>45657</v>
      </c>
      <c r="AK654" t="s">
        <v>111</v>
      </c>
      <c r="AL654" t="s">
        <v>111</v>
      </c>
      <c r="AM654" t="s">
        <v>111</v>
      </c>
      <c r="AN654">
        <v>1355</v>
      </c>
      <c r="AO654" t="s">
        <v>122</v>
      </c>
      <c r="AP654" t="s">
        <v>122</v>
      </c>
    </row>
    <row r="655" spans="1:42" x14ac:dyDescent="0.25">
      <c r="A655" s="28" t="str">
        <f>"15666"</f>
        <v>15666</v>
      </c>
      <c r="B655">
        <v>15666</v>
      </c>
      <c r="C655" t="s">
        <v>2488</v>
      </c>
      <c r="D655" t="s">
        <v>121</v>
      </c>
      <c r="F655" t="s">
        <v>120</v>
      </c>
      <c r="G655" t="s">
        <v>155</v>
      </c>
      <c r="H655" t="s">
        <v>1958</v>
      </c>
      <c r="I655" t="s">
        <v>9120</v>
      </c>
      <c r="J655" t="s">
        <v>7</v>
      </c>
      <c r="K655" s="63">
        <v>30220</v>
      </c>
      <c r="L655" s="28">
        <f>DATEDIF(K655,Zwift25!G$1,"Y")</f>
        <v>42</v>
      </c>
      <c r="M655" s="67">
        <f>IF(J655="m",VLOOKUP(L655,'All Solo Adjustments'!A:D,4,FALSE),VLOOKUP(L655,'All Solo Adjustments'!A:J,10,FALSE))</f>
        <v>1.5046296296296295E-4</v>
      </c>
      <c r="N655" s="63"/>
      <c r="O655" s="63"/>
      <c r="P655" s="63"/>
      <c r="Q655" s="63"/>
      <c r="R655" t="s">
        <v>137</v>
      </c>
      <c r="S655" t="s">
        <v>136</v>
      </c>
      <c r="T655" t="s">
        <v>292</v>
      </c>
      <c r="U655" t="s">
        <v>9119</v>
      </c>
      <c r="V655" t="s">
        <v>9118</v>
      </c>
      <c r="W655" t="s">
        <v>1228</v>
      </c>
      <c r="Y655" t="s">
        <v>9117</v>
      </c>
      <c r="Z655" t="str">
        <f>"07737446223"</f>
        <v>07737446223</v>
      </c>
      <c r="AA655" t="str">
        <f>""</f>
        <v/>
      </c>
      <c r="AB655" t="s">
        <v>6674</v>
      </c>
      <c r="AC655" t="s">
        <v>9116</v>
      </c>
      <c r="AD655" t="s">
        <v>114</v>
      </c>
      <c r="AE655" s="63">
        <v>45348</v>
      </c>
      <c r="AF655" t="s">
        <v>156</v>
      </c>
      <c r="AG655" t="s">
        <v>112</v>
      </c>
      <c r="AH655" t="s">
        <v>112</v>
      </c>
      <c r="AI655" s="63">
        <v>44946</v>
      </c>
      <c r="AJ655" s="63">
        <v>45657</v>
      </c>
      <c r="AK655" t="s">
        <v>112</v>
      </c>
      <c r="AL655" t="s">
        <v>111</v>
      </c>
      <c r="AM655" t="s">
        <v>111</v>
      </c>
      <c r="AN655">
        <v>25128</v>
      </c>
      <c r="AO655" t="s">
        <v>110</v>
      </c>
      <c r="AP655" t="s">
        <v>109</v>
      </c>
    </row>
    <row r="656" spans="1:42" x14ac:dyDescent="0.25">
      <c r="A656" s="28" t="str">
        <f>"4996"</f>
        <v>4996</v>
      </c>
      <c r="B656">
        <v>4996</v>
      </c>
      <c r="C656" t="s">
        <v>2488</v>
      </c>
      <c r="D656" t="s">
        <v>121</v>
      </c>
      <c r="F656" t="s">
        <v>120</v>
      </c>
      <c r="G656" t="s">
        <v>195</v>
      </c>
      <c r="I656" t="s">
        <v>9115</v>
      </c>
      <c r="J656" t="s">
        <v>7</v>
      </c>
      <c r="K656" s="63">
        <v>24148</v>
      </c>
      <c r="L656" s="28">
        <f>DATEDIF(K656,Zwift25!G$1,"Y")</f>
        <v>58</v>
      </c>
      <c r="M656" s="67">
        <f>IF(J656="m",VLOOKUP(L656,'All Solo Adjustments'!A:D,4,FALSE),VLOOKUP(L656,'All Solo Adjustments'!A:J,10,FALSE))</f>
        <v>2.7199074074074074E-3</v>
      </c>
      <c r="N656" s="63"/>
      <c r="O656" s="63"/>
      <c r="P656" s="63"/>
      <c r="Q656" s="63"/>
      <c r="R656" t="s">
        <v>184</v>
      </c>
      <c r="S656" t="s">
        <v>183</v>
      </c>
      <c r="T656" t="s">
        <v>292</v>
      </c>
      <c r="U656" t="s">
        <v>9114</v>
      </c>
      <c r="V656" t="s">
        <v>9113</v>
      </c>
      <c r="X656" t="s">
        <v>929</v>
      </c>
      <c r="Y656" t="s">
        <v>9112</v>
      </c>
      <c r="Z656" t="str">
        <f>"07899790040"</f>
        <v>07899790040</v>
      </c>
      <c r="AA656" t="str">
        <f>""</f>
        <v/>
      </c>
      <c r="AB656" t="s">
        <v>1491</v>
      </c>
      <c r="AC656" t="s">
        <v>9111</v>
      </c>
      <c r="AD656" t="s">
        <v>114</v>
      </c>
      <c r="AE656" s="63">
        <v>45264</v>
      </c>
      <c r="AF656" t="s">
        <v>156</v>
      </c>
      <c r="AG656" t="s">
        <v>112</v>
      </c>
      <c r="AH656" t="s">
        <v>112</v>
      </c>
      <c r="AI656" s="63">
        <v>41740</v>
      </c>
      <c r="AJ656" s="63">
        <v>45657</v>
      </c>
      <c r="AK656" t="s">
        <v>111</v>
      </c>
      <c r="AL656" t="s">
        <v>111</v>
      </c>
      <c r="AM656" t="s">
        <v>111</v>
      </c>
      <c r="AN656">
        <v>16336</v>
      </c>
      <c r="AO656" t="s">
        <v>110</v>
      </c>
      <c r="AP656" t="s">
        <v>109</v>
      </c>
    </row>
    <row r="657" spans="1:42" x14ac:dyDescent="0.25">
      <c r="A657" s="28" t="str">
        <f>"15607"</f>
        <v>15607</v>
      </c>
      <c r="B657">
        <v>15607</v>
      </c>
      <c r="C657" t="s">
        <v>2488</v>
      </c>
      <c r="D657" t="s">
        <v>121</v>
      </c>
      <c r="F657" t="s">
        <v>120</v>
      </c>
      <c r="G657" t="s">
        <v>744</v>
      </c>
      <c r="I657" t="s">
        <v>9110</v>
      </c>
      <c r="J657" t="s">
        <v>7</v>
      </c>
      <c r="K657" s="63">
        <v>19217</v>
      </c>
      <c r="L657" s="28">
        <f>DATEDIF(K657,Zwift25!G$1,"Y")</f>
        <v>72</v>
      </c>
      <c r="M657" s="67">
        <f>IF(J657="m",VLOOKUP(L657,'All Solo Adjustments'!A:D,4,FALSE),VLOOKUP(L657,'All Solo Adjustments'!A:J,10,FALSE))</f>
        <v>7.129629629629629E-3</v>
      </c>
      <c r="N657" s="63"/>
      <c r="O657" s="63"/>
      <c r="P657" s="63"/>
      <c r="Q657" s="63"/>
      <c r="R657" t="s">
        <v>239</v>
      </c>
      <c r="S657" t="s">
        <v>274</v>
      </c>
      <c r="T657" t="s">
        <v>292</v>
      </c>
      <c r="U657" t="s">
        <v>9109</v>
      </c>
      <c r="V657" t="s">
        <v>9108</v>
      </c>
      <c r="W657" t="s">
        <v>9107</v>
      </c>
      <c r="Y657" t="s">
        <v>9106</v>
      </c>
      <c r="Z657" t="str">
        <f>"+447884431641"</f>
        <v>+447884431641</v>
      </c>
      <c r="AA657" t="str">
        <f>""</f>
        <v/>
      </c>
      <c r="AB657" t="s">
        <v>679</v>
      </c>
      <c r="AC657" t="s">
        <v>9105</v>
      </c>
      <c r="AD657" t="s">
        <v>114</v>
      </c>
      <c r="AE657" s="63">
        <v>45423</v>
      </c>
      <c r="AF657" t="s">
        <v>113</v>
      </c>
      <c r="AG657" t="s">
        <v>112</v>
      </c>
      <c r="AH657" t="s">
        <v>112</v>
      </c>
      <c r="AI657" s="63">
        <v>44848</v>
      </c>
      <c r="AJ657" s="63">
        <v>45657</v>
      </c>
      <c r="AK657" t="s">
        <v>112</v>
      </c>
      <c r="AL657" t="s">
        <v>111</v>
      </c>
      <c r="AM657" t="s">
        <v>111</v>
      </c>
      <c r="AN657">
        <v>28990</v>
      </c>
      <c r="AO657" t="s">
        <v>110</v>
      </c>
      <c r="AP657" t="s">
        <v>109</v>
      </c>
    </row>
    <row r="658" spans="1:42" x14ac:dyDescent="0.25">
      <c r="A658" s="28" t="str">
        <f>"14398"</f>
        <v>14398</v>
      </c>
      <c r="B658">
        <v>14398</v>
      </c>
      <c r="C658" t="s">
        <v>2488</v>
      </c>
      <c r="D658" t="s">
        <v>121</v>
      </c>
      <c r="F658" t="s">
        <v>120</v>
      </c>
      <c r="G658" t="s">
        <v>300</v>
      </c>
      <c r="I658" t="s">
        <v>9104</v>
      </c>
      <c r="J658" t="s">
        <v>7</v>
      </c>
      <c r="K658" s="63">
        <v>27515</v>
      </c>
      <c r="L658" s="28">
        <f>DATEDIF(K658,Zwift25!G$1,"Y")</f>
        <v>49</v>
      </c>
      <c r="M658" s="67">
        <f>IF(J658="m",VLOOKUP(L658,'All Solo Adjustments'!A:D,4,FALSE),VLOOKUP(L658,'All Solo Adjustments'!A:J,10,FALSE))</f>
        <v>9.837962962962962E-4</v>
      </c>
      <c r="N658" s="63"/>
      <c r="O658" s="63"/>
      <c r="P658" s="63"/>
      <c r="Q658" s="63"/>
      <c r="R658" t="s">
        <v>527</v>
      </c>
      <c r="S658" t="s">
        <v>526</v>
      </c>
      <c r="T658" t="s">
        <v>292</v>
      </c>
      <c r="U658" t="s">
        <v>9103</v>
      </c>
      <c r="W658" t="s">
        <v>1298</v>
      </c>
      <c r="X658" t="s">
        <v>753</v>
      </c>
      <c r="Y658" t="s">
        <v>9102</v>
      </c>
      <c r="Z658" t="str">
        <f>"07795268089"</f>
        <v>07795268089</v>
      </c>
      <c r="AA658" t="str">
        <f>""</f>
        <v/>
      </c>
      <c r="AB658" t="s">
        <v>4717</v>
      </c>
      <c r="AC658" t="s">
        <v>9101</v>
      </c>
      <c r="AD658" t="s">
        <v>114</v>
      </c>
      <c r="AE658" s="63">
        <v>45345</v>
      </c>
      <c r="AF658" t="s">
        <v>113</v>
      </c>
      <c r="AG658" t="s">
        <v>112</v>
      </c>
      <c r="AH658" t="s">
        <v>112</v>
      </c>
      <c r="AI658" s="63">
        <v>43792</v>
      </c>
      <c r="AJ658" s="63">
        <v>45657</v>
      </c>
      <c r="AK658" t="s">
        <v>112</v>
      </c>
      <c r="AL658" t="s">
        <v>111</v>
      </c>
      <c r="AM658" t="s">
        <v>111</v>
      </c>
      <c r="AN658">
        <v>27636</v>
      </c>
      <c r="AO658" t="s">
        <v>110</v>
      </c>
      <c r="AP658" t="s">
        <v>109</v>
      </c>
    </row>
    <row r="659" spans="1:42" x14ac:dyDescent="0.25">
      <c r="A659" s="28" t="str">
        <f>"0857"</f>
        <v>0857</v>
      </c>
      <c r="B659">
        <v>857</v>
      </c>
      <c r="C659" t="s">
        <v>2488</v>
      </c>
      <c r="D659" t="s">
        <v>132</v>
      </c>
      <c r="F659" t="s">
        <v>120</v>
      </c>
      <c r="G659" t="s">
        <v>492</v>
      </c>
      <c r="I659" t="s">
        <v>9100</v>
      </c>
      <c r="J659" t="s">
        <v>7</v>
      </c>
      <c r="K659" s="63">
        <v>17363</v>
      </c>
      <c r="L659" s="28">
        <f>DATEDIF(K659,Zwift25!G$1,"Y")</f>
        <v>77</v>
      </c>
      <c r="M659" s="67">
        <f>IF(J659="m",VLOOKUP(L659,'All Solo Adjustments'!A:D,4,FALSE),VLOOKUP(L659,'All Solo Adjustments'!A:J,10,FALSE))</f>
        <v>9.3981481481481485E-3</v>
      </c>
      <c r="N659" s="63"/>
      <c r="O659" s="63"/>
      <c r="P659" s="63"/>
      <c r="Q659" s="63"/>
      <c r="R659" t="s">
        <v>239</v>
      </c>
      <c r="S659" t="s">
        <v>238</v>
      </c>
      <c r="T659" t="s">
        <v>292</v>
      </c>
      <c r="U659" t="s">
        <v>9099</v>
      </c>
      <c r="V659" t="s">
        <v>9098</v>
      </c>
      <c r="W659" t="s">
        <v>9097</v>
      </c>
      <c r="X659" t="s">
        <v>1531</v>
      </c>
      <c r="Y659" t="s">
        <v>9096</v>
      </c>
      <c r="Z659" t="str">
        <f>"01652 327366"</f>
        <v>01652 327366</v>
      </c>
      <c r="AA659" t="str">
        <f>"07903376332"</f>
        <v>07903376332</v>
      </c>
      <c r="AB659" t="s">
        <v>765</v>
      </c>
      <c r="AC659" t="s">
        <v>9095</v>
      </c>
      <c r="AD659" t="s">
        <v>114</v>
      </c>
      <c r="AE659" s="63">
        <v>45284</v>
      </c>
      <c r="AF659" t="s">
        <v>113</v>
      </c>
      <c r="AG659" t="s">
        <v>112</v>
      </c>
      <c r="AH659" t="s">
        <v>112</v>
      </c>
      <c r="AI659" s="63">
        <v>37744</v>
      </c>
      <c r="AJ659" s="63">
        <v>45657</v>
      </c>
      <c r="AK659" t="s">
        <v>111</v>
      </c>
      <c r="AL659" t="s">
        <v>111</v>
      </c>
      <c r="AM659" t="s">
        <v>111</v>
      </c>
      <c r="AN659">
        <v>29782</v>
      </c>
      <c r="AO659" t="s">
        <v>110</v>
      </c>
      <c r="AP659" t="s">
        <v>109</v>
      </c>
    </row>
    <row r="660" spans="1:42" x14ac:dyDescent="0.25">
      <c r="A660" s="28" t="str">
        <f>"12993"</f>
        <v>12993</v>
      </c>
      <c r="B660">
        <v>12993</v>
      </c>
      <c r="C660" t="s">
        <v>2488</v>
      </c>
      <c r="D660" t="s">
        <v>130</v>
      </c>
      <c r="F660" t="s">
        <v>149</v>
      </c>
      <c r="G660" t="s">
        <v>2427</v>
      </c>
      <c r="I660" t="s">
        <v>9100</v>
      </c>
      <c r="J660" t="s">
        <v>126</v>
      </c>
      <c r="K660" s="63">
        <v>21397</v>
      </c>
      <c r="L660" s="28">
        <f>DATEDIF(K660,Zwift25!G$1,"Y")</f>
        <v>66</v>
      </c>
      <c r="M660" s="67">
        <f>IF(J660="m",VLOOKUP(L660,'All Solo Adjustments'!A:D,4,FALSE),VLOOKUP(L660,'All Solo Adjustments'!A:J,10,FALSE))</f>
        <v>9.4907407407407406E-3</v>
      </c>
      <c r="N660" s="63"/>
      <c r="O660" s="63"/>
      <c r="P660" s="63"/>
      <c r="Q660" s="63"/>
      <c r="R660" t="s">
        <v>239</v>
      </c>
      <c r="S660" t="s">
        <v>238</v>
      </c>
      <c r="T660" t="s">
        <v>292</v>
      </c>
      <c r="U660" t="s">
        <v>9099</v>
      </c>
      <c r="V660" t="s">
        <v>9098</v>
      </c>
      <c r="W660" t="s">
        <v>9097</v>
      </c>
      <c r="X660" t="s">
        <v>1531</v>
      </c>
      <c r="Y660" t="s">
        <v>9096</v>
      </c>
      <c r="Z660" t="str">
        <f>"01652 327366"</f>
        <v>01652 327366</v>
      </c>
      <c r="AA660" t="str">
        <f>"07903376332"</f>
        <v>07903376332</v>
      </c>
      <c r="AC660" t="s">
        <v>9095</v>
      </c>
      <c r="AD660" t="s">
        <v>114</v>
      </c>
      <c r="AE660" s="63">
        <v>45284</v>
      </c>
      <c r="AF660" t="s">
        <v>113</v>
      </c>
      <c r="AG660" t="s">
        <v>111</v>
      </c>
      <c r="AH660" t="s">
        <v>111</v>
      </c>
      <c r="AI660" s="63">
        <v>37744</v>
      </c>
      <c r="AJ660" s="63">
        <v>45657</v>
      </c>
      <c r="AK660" t="s">
        <v>111</v>
      </c>
      <c r="AL660" t="s">
        <v>111</v>
      </c>
      <c r="AM660" t="s">
        <v>111</v>
      </c>
      <c r="AN660" t="s">
        <v>105</v>
      </c>
      <c r="AO660" t="s">
        <v>122</v>
      </c>
      <c r="AP660" t="s">
        <v>122</v>
      </c>
    </row>
    <row r="661" spans="1:42" x14ac:dyDescent="0.25">
      <c r="A661" s="28" t="str">
        <f>"15855"</f>
        <v>15855</v>
      </c>
      <c r="B661">
        <v>15855</v>
      </c>
      <c r="C661" t="s">
        <v>2488</v>
      </c>
      <c r="D661" t="s">
        <v>121</v>
      </c>
      <c r="F661" t="s">
        <v>120</v>
      </c>
      <c r="G661" t="s">
        <v>1952</v>
      </c>
      <c r="I661" t="s">
        <v>9094</v>
      </c>
      <c r="J661" t="s">
        <v>7</v>
      </c>
      <c r="K661" s="63">
        <v>24360</v>
      </c>
      <c r="L661" s="28">
        <f>DATEDIF(K661,Zwift25!G$1,"Y")</f>
        <v>58</v>
      </c>
      <c r="M661" s="67">
        <f>IF(J661="m",VLOOKUP(L661,'All Solo Adjustments'!A:D,4,FALSE),VLOOKUP(L661,'All Solo Adjustments'!A:J,10,FALSE))</f>
        <v>2.7199074074074074E-3</v>
      </c>
      <c r="N661" s="63"/>
      <c r="O661" s="63"/>
      <c r="P661" s="63"/>
      <c r="Q661" s="63"/>
      <c r="R661" t="s">
        <v>184</v>
      </c>
      <c r="S661" t="s">
        <v>183</v>
      </c>
      <c r="T661" t="s">
        <v>292</v>
      </c>
      <c r="U661" t="s">
        <v>9093</v>
      </c>
      <c r="V661" t="s">
        <v>9092</v>
      </c>
      <c r="Y661" t="s">
        <v>9091</v>
      </c>
      <c r="Z661" t="str">
        <f>"07932793431"</f>
        <v>07932793431</v>
      </c>
      <c r="AA661" t="str">
        <f>""</f>
        <v/>
      </c>
      <c r="AB661" t="s">
        <v>9090</v>
      </c>
      <c r="AC661" t="s">
        <v>9089</v>
      </c>
      <c r="AD661" t="s">
        <v>114</v>
      </c>
      <c r="AE661" s="63">
        <v>45262</v>
      </c>
      <c r="AF661" t="s">
        <v>156</v>
      </c>
      <c r="AG661" t="s">
        <v>112</v>
      </c>
      <c r="AH661" t="s">
        <v>112</v>
      </c>
      <c r="AI661" s="63">
        <v>45096</v>
      </c>
      <c r="AJ661" s="63">
        <v>45657</v>
      </c>
      <c r="AK661" t="s">
        <v>112</v>
      </c>
      <c r="AL661" t="s">
        <v>111</v>
      </c>
      <c r="AM661" t="s">
        <v>111</v>
      </c>
      <c r="AN661">
        <v>643</v>
      </c>
      <c r="AO661" t="s">
        <v>110</v>
      </c>
      <c r="AP661" t="s">
        <v>109</v>
      </c>
    </row>
    <row r="662" spans="1:42" x14ac:dyDescent="0.25">
      <c r="A662" s="28" t="str">
        <f>"15115"</f>
        <v>15115</v>
      </c>
      <c r="B662">
        <v>15115</v>
      </c>
      <c r="C662" t="s">
        <v>2488</v>
      </c>
      <c r="D662" t="s">
        <v>121</v>
      </c>
      <c r="F662" t="s">
        <v>120</v>
      </c>
      <c r="G662" t="s">
        <v>9088</v>
      </c>
      <c r="H662" t="s">
        <v>632</v>
      </c>
      <c r="I662" t="s">
        <v>9087</v>
      </c>
      <c r="J662" t="s">
        <v>7</v>
      </c>
      <c r="K662" s="63">
        <v>26066</v>
      </c>
      <c r="L662" s="28">
        <f>DATEDIF(K662,Zwift25!G$1,"Y")</f>
        <v>53</v>
      </c>
      <c r="M662" s="67">
        <f>IF(J662="m",VLOOKUP(L662,'All Solo Adjustments'!A:D,4,FALSE),VLOOKUP(L662,'All Solo Adjustments'!A:J,10,FALSE))</f>
        <v>1.6666666666666668E-3</v>
      </c>
      <c r="N662" s="63"/>
      <c r="O662" s="63"/>
      <c r="P662" s="63"/>
      <c r="Q662" s="63"/>
      <c r="R662" t="s">
        <v>125</v>
      </c>
      <c r="S662" t="s">
        <v>170</v>
      </c>
      <c r="T662" t="s">
        <v>292</v>
      </c>
      <c r="U662" t="s">
        <v>9086</v>
      </c>
      <c r="V662" t="s">
        <v>9085</v>
      </c>
      <c r="W662" t="s">
        <v>420</v>
      </c>
      <c r="X662" t="s">
        <v>201</v>
      </c>
      <c r="Y662" t="s">
        <v>9084</v>
      </c>
      <c r="Z662" t="str">
        <f>"07940 008956"</f>
        <v>07940 008956</v>
      </c>
      <c r="AA662" t="str">
        <f>""</f>
        <v/>
      </c>
      <c r="AB662" t="s">
        <v>851</v>
      </c>
      <c r="AC662" t="s">
        <v>9083</v>
      </c>
      <c r="AD662" t="s">
        <v>114</v>
      </c>
      <c r="AE662" s="63">
        <v>45282</v>
      </c>
      <c r="AF662" t="s">
        <v>156</v>
      </c>
      <c r="AG662" t="s">
        <v>112</v>
      </c>
      <c r="AH662" t="s">
        <v>112</v>
      </c>
      <c r="AI662" s="63">
        <v>44361</v>
      </c>
      <c r="AJ662" s="63">
        <v>45657</v>
      </c>
      <c r="AK662" t="s">
        <v>112</v>
      </c>
      <c r="AL662" t="s">
        <v>111</v>
      </c>
      <c r="AM662" t="s">
        <v>111</v>
      </c>
      <c r="AN662">
        <v>37829</v>
      </c>
      <c r="AO662" t="s">
        <v>110</v>
      </c>
      <c r="AP662" t="s">
        <v>109</v>
      </c>
    </row>
    <row r="663" spans="1:42" x14ac:dyDescent="0.25">
      <c r="A663" s="28" t="str">
        <f>"15649"</f>
        <v>15649</v>
      </c>
      <c r="B663">
        <v>15649</v>
      </c>
      <c r="C663" t="s">
        <v>2488</v>
      </c>
      <c r="D663" t="s">
        <v>121</v>
      </c>
      <c r="E663" t="s">
        <v>584</v>
      </c>
      <c r="F663" t="s">
        <v>120</v>
      </c>
      <c r="G663" t="s">
        <v>9082</v>
      </c>
      <c r="I663" t="s">
        <v>9081</v>
      </c>
      <c r="J663" t="s">
        <v>7</v>
      </c>
      <c r="K663" s="63">
        <v>27456</v>
      </c>
      <c r="L663" s="28">
        <f>DATEDIF(K663,Zwift25!G$1,"Y")</f>
        <v>49</v>
      </c>
      <c r="M663" s="67">
        <f>IF(J663="m",VLOOKUP(L663,'All Solo Adjustments'!A:D,4,FALSE),VLOOKUP(L663,'All Solo Adjustments'!A:J,10,FALSE))</f>
        <v>9.837962962962962E-4</v>
      </c>
      <c r="N663" s="63"/>
      <c r="O663" s="63"/>
      <c r="P663" s="63"/>
      <c r="Q663" s="63"/>
      <c r="R663" t="s">
        <v>137</v>
      </c>
      <c r="S663" t="s">
        <v>136</v>
      </c>
      <c r="T663" t="s">
        <v>292</v>
      </c>
      <c r="U663" t="s">
        <v>9080</v>
      </c>
      <c r="V663" t="s">
        <v>1877</v>
      </c>
      <c r="W663" t="s">
        <v>564</v>
      </c>
      <c r="Y663" t="s">
        <v>9079</v>
      </c>
      <c r="Z663" t="str">
        <f>"07738712767"</f>
        <v>07738712767</v>
      </c>
      <c r="AA663" t="str">
        <f>"0126355531"</f>
        <v>0126355531</v>
      </c>
      <c r="AB663" t="s">
        <v>439</v>
      </c>
      <c r="AC663" t="s">
        <v>9078</v>
      </c>
      <c r="AD663" t="s">
        <v>114</v>
      </c>
      <c r="AE663" s="63">
        <v>45206</v>
      </c>
      <c r="AF663" t="s">
        <v>113</v>
      </c>
      <c r="AG663" t="s">
        <v>112</v>
      </c>
      <c r="AH663" t="s">
        <v>112</v>
      </c>
      <c r="AI663" s="63">
        <v>44934</v>
      </c>
      <c r="AJ663" s="63">
        <v>45657</v>
      </c>
      <c r="AK663" t="s">
        <v>112</v>
      </c>
      <c r="AL663" t="s">
        <v>111</v>
      </c>
      <c r="AM663" t="s">
        <v>111</v>
      </c>
      <c r="AN663">
        <v>35626</v>
      </c>
      <c r="AO663" t="s">
        <v>110</v>
      </c>
      <c r="AP663" t="s">
        <v>109</v>
      </c>
    </row>
    <row r="664" spans="1:42" x14ac:dyDescent="0.25">
      <c r="A664" s="28" t="str">
        <f>"13904"</f>
        <v>13904</v>
      </c>
      <c r="B664">
        <v>13904</v>
      </c>
      <c r="C664" t="s">
        <v>2488</v>
      </c>
      <c r="D664" t="s">
        <v>121</v>
      </c>
      <c r="F664" t="s">
        <v>120</v>
      </c>
      <c r="G664" t="s">
        <v>284</v>
      </c>
      <c r="H664" t="s">
        <v>9077</v>
      </c>
      <c r="I664" t="s">
        <v>9076</v>
      </c>
      <c r="J664" t="s">
        <v>7</v>
      </c>
      <c r="K664" s="63">
        <v>20734</v>
      </c>
      <c r="L664" s="28">
        <f>DATEDIF(K664,Zwift25!G$1,"Y")</f>
        <v>68</v>
      </c>
      <c r="M664" s="67">
        <f>IF(J664="m",VLOOKUP(L664,'All Solo Adjustments'!A:D,4,FALSE),VLOOKUP(L664,'All Solo Adjustments'!A:J,10,FALSE))</f>
        <v>5.6134259259259262E-3</v>
      </c>
      <c r="N664" s="63"/>
      <c r="O664" s="63"/>
      <c r="P664" s="63"/>
      <c r="Q664" s="63"/>
      <c r="R664" t="s">
        <v>296</v>
      </c>
      <c r="S664" t="s">
        <v>295</v>
      </c>
      <c r="T664" t="s">
        <v>292</v>
      </c>
      <c r="U664" t="s">
        <v>9075</v>
      </c>
      <c r="V664" t="s">
        <v>9074</v>
      </c>
      <c r="W664" t="s">
        <v>9073</v>
      </c>
      <c r="X664" t="s">
        <v>1683</v>
      </c>
      <c r="Y664" t="s">
        <v>9072</v>
      </c>
      <c r="Z664" t="str">
        <f>"01290 420595"</f>
        <v>01290 420595</v>
      </c>
      <c r="AA664" t="str">
        <f>"07768280026"</f>
        <v>07768280026</v>
      </c>
      <c r="AB664" t="s">
        <v>1657</v>
      </c>
      <c r="AC664" t="s">
        <v>9071</v>
      </c>
      <c r="AD664" t="s">
        <v>114</v>
      </c>
      <c r="AE664" s="63">
        <v>45349</v>
      </c>
      <c r="AF664" t="s">
        <v>156</v>
      </c>
      <c r="AG664" t="s">
        <v>112</v>
      </c>
      <c r="AH664" t="s">
        <v>112</v>
      </c>
      <c r="AI664" s="63">
        <v>43429</v>
      </c>
      <c r="AJ664" s="63">
        <v>45657</v>
      </c>
      <c r="AK664" t="s">
        <v>112</v>
      </c>
      <c r="AL664" t="s">
        <v>111</v>
      </c>
      <c r="AM664" t="s">
        <v>111</v>
      </c>
      <c r="AN664">
        <v>18834</v>
      </c>
      <c r="AO664" t="s">
        <v>110</v>
      </c>
      <c r="AP664" t="s">
        <v>109</v>
      </c>
    </row>
    <row r="665" spans="1:42" x14ac:dyDescent="0.25">
      <c r="A665" s="28" t="str">
        <f>"0863"</f>
        <v>0863</v>
      </c>
      <c r="B665">
        <v>863</v>
      </c>
      <c r="C665" t="s">
        <v>2488</v>
      </c>
      <c r="D665" t="s">
        <v>121</v>
      </c>
      <c r="F665" t="s">
        <v>120</v>
      </c>
      <c r="G665" t="s">
        <v>241</v>
      </c>
      <c r="H665" t="s">
        <v>413</v>
      </c>
      <c r="I665" t="s">
        <v>9070</v>
      </c>
      <c r="J665" t="s">
        <v>7</v>
      </c>
      <c r="K665" s="63">
        <v>16397</v>
      </c>
      <c r="L665" s="28">
        <f>DATEDIF(K665,Zwift25!G$1,"Y")</f>
        <v>79</v>
      </c>
      <c r="M665" s="67">
        <f>IF(J665="m",VLOOKUP(L665,'All Solo Adjustments'!A:D,4,FALSE),VLOOKUP(L665,'All Solo Adjustments'!A:J,10,FALSE))</f>
        <v>1.0451388888888889E-2</v>
      </c>
      <c r="N665" s="63"/>
      <c r="O665" s="63"/>
      <c r="P665" s="63"/>
      <c r="Q665" s="63"/>
      <c r="R665" t="s">
        <v>180</v>
      </c>
      <c r="S665" t="s">
        <v>179</v>
      </c>
      <c r="T665" t="s">
        <v>292</v>
      </c>
      <c r="U665" t="s">
        <v>9069</v>
      </c>
      <c r="V665" t="s">
        <v>993</v>
      </c>
      <c r="W665" t="s">
        <v>992</v>
      </c>
      <c r="X665" t="s">
        <v>259</v>
      </c>
      <c r="Y665" t="s">
        <v>9068</v>
      </c>
      <c r="Z665" t="str">
        <f>"07802541082"</f>
        <v>07802541082</v>
      </c>
      <c r="AA665" t="str">
        <f>""</f>
        <v/>
      </c>
      <c r="AB665" t="s">
        <v>1138</v>
      </c>
      <c r="AC665" t="s">
        <v>9067</v>
      </c>
      <c r="AD665" t="s">
        <v>145</v>
      </c>
      <c r="AE665" s="63">
        <v>45268</v>
      </c>
      <c r="AF665" t="s">
        <v>156</v>
      </c>
      <c r="AG665" t="s">
        <v>112</v>
      </c>
      <c r="AH665" t="s">
        <v>112</v>
      </c>
      <c r="AI665" s="63">
        <v>43163</v>
      </c>
      <c r="AJ665" s="63">
        <v>45657</v>
      </c>
      <c r="AK665" t="s">
        <v>111</v>
      </c>
      <c r="AL665" t="s">
        <v>111</v>
      </c>
      <c r="AM665" t="s">
        <v>111</v>
      </c>
      <c r="AN665">
        <v>3133</v>
      </c>
      <c r="AO665" t="s">
        <v>110</v>
      </c>
      <c r="AP665" t="s">
        <v>109</v>
      </c>
    </row>
    <row r="666" spans="1:42" x14ac:dyDescent="0.25">
      <c r="A666" s="28" t="str">
        <f>"15801"</f>
        <v>15801</v>
      </c>
      <c r="B666">
        <v>15801</v>
      </c>
      <c r="C666" t="s">
        <v>2488</v>
      </c>
      <c r="D666" t="s">
        <v>121</v>
      </c>
      <c r="E666" t="s">
        <v>6681</v>
      </c>
      <c r="F666" t="s">
        <v>149</v>
      </c>
      <c r="G666" t="s">
        <v>2052</v>
      </c>
      <c r="I666" t="s">
        <v>506</v>
      </c>
      <c r="J666" t="s">
        <v>126</v>
      </c>
      <c r="K666" s="63">
        <v>30415</v>
      </c>
      <c r="L666" s="28">
        <f>DATEDIF(K666,Zwift25!G$1,"Y")</f>
        <v>41</v>
      </c>
      <c r="M666" s="67">
        <f>IF(J666="m",VLOOKUP(L666,'All Solo Adjustments'!A:D,4,FALSE),VLOOKUP(L666,'All Solo Adjustments'!A:J,10,FALSE))</f>
        <v>4.456018518518518E-3</v>
      </c>
      <c r="N666" s="63"/>
      <c r="O666" s="63"/>
      <c r="P666" s="63"/>
      <c r="Q666" s="63"/>
      <c r="R666" t="s">
        <v>143</v>
      </c>
      <c r="S666" t="s">
        <v>142</v>
      </c>
      <c r="T666" t="s">
        <v>292</v>
      </c>
      <c r="U666" t="s">
        <v>9066</v>
      </c>
      <c r="W666" t="s">
        <v>167</v>
      </c>
      <c r="X666" t="s">
        <v>293</v>
      </c>
      <c r="Y666" t="s">
        <v>9065</v>
      </c>
      <c r="Z666" t="str">
        <f>"07917773881"</f>
        <v>07917773881</v>
      </c>
      <c r="AA666" t="str">
        <f>""</f>
        <v/>
      </c>
      <c r="AB666" t="s">
        <v>9064</v>
      </c>
      <c r="AC666" t="s">
        <v>9063</v>
      </c>
      <c r="AD666" t="s">
        <v>114</v>
      </c>
      <c r="AE666" s="63">
        <v>45280</v>
      </c>
      <c r="AF666" t="s">
        <v>156</v>
      </c>
      <c r="AG666" t="s">
        <v>112</v>
      </c>
      <c r="AH666" t="s">
        <v>112</v>
      </c>
      <c r="AI666" s="63">
        <v>45041</v>
      </c>
      <c r="AJ666" s="63">
        <v>45657</v>
      </c>
      <c r="AK666" t="s">
        <v>112</v>
      </c>
      <c r="AL666" t="s">
        <v>111</v>
      </c>
      <c r="AM666" t="s">
        <v>111</v>
      </c>
      <c r="AN666">
        <v>22777</v>
      </c>
      <c r="AO666" t="s">
        <v>122</v>
      </c>
      <c r="AP666" t="s">
        <v>122</v>
      </c>
    </row>
    <row r="667" spans="1:42" x14ac:dyDescent="0.25">
      <c r="A667" s="28" t="str">
        <f>"3122"</f>
        <v>3122</v>
      </c>
      <c r="B667">
        <v>3122</v>
      </c>
      <c r="C667" t="s">
        <v>2488</v>
      </c>
      <c r="D667" t="s">
        <v>121</v>
      </c>
      <c r="F667" t="s">
        <v>120</v>
      </c>
      <c r="G667" t="s">
        <v>400</v>
      </c>
      <c r="I667" t="s">
        <v>9062</v>
      </c>
      <c r="J667" t="s">
        <v>7</v>
      </c>
      <c r="K667" s="63">
        <v>24784</v>
      </c>
      <c r="L667" s="28">
        <f>DATEDIF(K667,Zwift25!G$1,"Y")</f>
        <v>56</v>
      </c>
      <c r="M667" s="67">
        <f>IF(J667="m",VLOOKUP(L667,'All Solo Adjustments'!A:D,4,FALSE),VLOOKUP(L667,'All Solo Adjustments'!A:J,10,FALSE))</f>
        <v>2.2685185185185182E-3</v>
      </c>
      <c r="N667" s="63"/>
      <c r="O667" s="63"/>
      <c r="P667" s="63"/>
      <c r="Q667" s="63"/>
      <c r="R667" t="s">
        <v>239</v>
      </c>
      <c r="S667" t="s">
        <v>274</v>
      </c>
      <c r="T667" t="s">
        <v>292</v>
      </c>
      <c r="U667" t="s">
        <v>553</v>
      </c>
      <c r="V667" t="s">
        <v>552</v>
      </c>
      <c r="W667" t="s">
        <v>551</v>
      </c>
      <c r="X667" t="s">
        <v>550</v>
      </c>
      <c r="Y667" t="s">
        <v>549</v>
      </c>
      <c r="Z667" t="str">
        <f>"01507 343179"</f>
        <v>01507 343179</v>
      </c>
      <c r="AA667" t="str">
        <f>"07908948965"</f>
        <v>07908948965</v>
      </c>
      <c r="AB667" t="s">
        <v>1440</v>
      </c>
      <c r="AC667" t="s">
        <v>9061</v>
      </c>
      <c r="AD667" t="s">
        <v>145</v>
      </c>
      <c r="AE667" s="63">
        <v>45301</v>
      </c>
      <c r="AF667" t="s">
        <v>156</v>
      </c>
      <c r="AG667" t="s">
        <v>112</v>
      </c>
      <c r="AH667" t="s">
        <v>112</v>
      </c>
      <c r="AI667" s="63">
        <v>39421</v>
      </c>
      <c r="AJ667" s="63">
        <v>45657</v>
      </c>
      <c r="AK667" t="s">
        <v>111</v>
      </c>
      <c r="AL667" t="s">
        <v>111</v>
      </c>
      <c r="AM667" t="s">
        <v>111</v>
      </c>
      <c r="AN667">
        <v>378</v>
      </c>
      <c r="AO667" t="s">
        <v>110</v>
      </c>
      <c r="AP667" t="s">
        <v>109</v>
      </c>
    </row>
    <row r="668" spans="1:42" x14ac:dyDescent="0.25">
      <c r="A668" s="28" t="str">
        <f>"15135"</f>
        <v>15135</v>
      </c>
      <c r="B668">
        <v>15135</v>
      </c>
      <c r="C668" t="s">
        <v>2488</v>
      </c>
      <c r="D668" t="s">
        <v>121</v>
      </c>
      <c r="F668" t="s">
        <v>120</v>
      </c>
      <c r="G668" t="s">
        <v>489</v>
      </c>
      <c r="H668" t="s">
        <v>251</v>
      </c>
      <c r="I668" t="s">
        <v>5320</v>
      </c>
      <c r="J668" t="s">
        <v>7</v>
      </c>
      <c r="K668" s="63">
        <v>29581</v>
      </c>
      <c r="L668" s="28">
        <f>DATEDIF(K668,Zwift25!G$1,"Y")</f>
        <v>43</v>
      </c>
      <c r="M668" s="67">
        <f>IF(J668="m",VLOOKUP(L668,'All Solo Adjustments'!A:D,4,FALSE),VLOOKUP(L668,'All Solo Adjustments'!A:J,10,FALSE))</f>
        <v>2.4305555555555555E-4</v>
      </c>
      <c r="N668" s="63"/>
      <c r="O668" s="63"/>
      <c r="P668" s="63"/>
      <c r="Q668" s="63"/>
      <c r="R668" t="s">
        <v>159</v>
      </c>
      <c r="S668" t="s">
        <v>162</v>
      </c>
      <c r="T668" t="s">
        <v>292</v>
      </c>
      <c r="U668" t="s">
        <v>9060</v>
      </c>
      <c r="V668" t="s">
        <v>9059</v>
      </c>
      <c r="W668" t="s">
        <v>1991</v>
      </c>
      <c r="Y668" t="s">
        <v>9058</v>
      </c>
      <c r="Z668" t="str">
        <f>"07921143391"</f>
        <v>07921143391</v>
      </c>
      <c r="AA668" t="str">
        <f>""</f>
        <v/>
      </c>
      <c r="AB668" t="s">
        <v>1810</v>
      </c>
      <c r="AC668" t="s">
        <v>9057</v>
      </c>
      <c r="AD668" t="s">
        <v>114</v>
      </c>
      <c r="AE668" s="63">
        <v>45292</v>
      </c>
      <c r="AF668" t="s">
        <v>156</v>
      </c>
      <c r="AG668" t="s">
        <v>112</v>
      </c>
      <c r="AH668" t="s">
        <v>112</v>
      </c>
      <c r="AI668" s="63">
        <v>44375</v>
      </c>
      <c r="AJ668" s="63">
        <v>45657</v>
      </c>
      <c r="AK668" t="s">
        <v>112</v>
      </c>
      <c r="AL668" t="s">
        <v>111</v>
      </c>
      <c r="AM668" t="s">
        <v>111</v>
      </c>
      <c r="AN668">
        <v>21059</v>
      </c>
      <c r="AO668" t="s">
        <v>110</v>
      </c>
      <c r="AP668" t="s">
        <v>109</v>
      </c>
    </row>
    <row r="669" spans="1:42" x14ac:dyDescent="0.25">
      <c r="A669" s="28" t="str">
        <f>"15395"</f>
        <v>15395</v>
      </c>
      <c r="B669">
        <v>15395</v>
      </c>
      <c r="C669" t="s">
        <v>2488</v>
      </c>
      <c r="D669" t="s">
        <v>121</v>
      </c>
      <c r="E669" t="s">
        <v>584</v>
      </c>
      <c r="F669" t="s">
        <v>120</v>
      </c>
      <c r="G669" t="s">
        <v>171</v>
      </c>
      <c r="H669" t="s">
        <v>402</v>
      </c>
      <c r="I669" t="s">
        <v>9056</v>
      </c>
      <c r="J669" t="s">
        <v>7</v>
      </c>
      <c r="K669" s="63">
        <v>29910</v>
      </c>
      <c r="L669" s="28">
        <f>DATEDIF(K669,Zwift25!G$1,"Y")</f>
        <v>42</v>
      </c>
      <c r="M669" s="67">
        <f>IF(J669="m",VLOOKUP(L669,'All Solo Adjustments'!A:D,4,FALSE),VLOOKUP(L669,'All Solo Adjustments'!A:J,10,FALSE))</f>
        <v>1.5046296296296295E-4</v>
      </c>
      <c r="N669" s="63"/>
      <c r="O669" s="63"/>
      <c r="P669" s="63"/>
      <c r="Q669" s="63"/>
      <c r="R669" t="s">
        <v>383</v>
      </c>
      <c r="S669" t="s">
        <v>382</v>
      </c>
      <c r="T669" t="s">
        <v>292</v>
      </c>
      <c r="U669" t="s">
        <v>9055</v>
      </c>
      <c r="V669" t="s">
        <v>2188</v>
      </c>
      <c r="W669" t="s">
        <v>381</v>
      </c>
      <c r="Y669" t="s">
        <v>9054</v>
      </c>
      <c r="Z669" t="str">
        <f>"07740165286"</f>
        <v>07740165286</v>
      </c>
      <c r="AA669" t="str">
        <f>""</f>
        <v/>
      </c>
      <c r="AB669" t="s">
        <v>1047</v>
      </c>
      <c r="AC669" t="s">
        <v>9053</v>
      </c>
      <c r="AD669" t="s">
        <v>114</v>
      </c>
      <c r="AE669" s="63">
        <v>45292</v>
      </c>
      <c r="AF669" t="s">
        <v>156</v>
      </c>
      <c r="AG669" t="s">
        <v>112</v>
      </c>
      <c r="AH669" t="s">
        <v>112</v>
      </c>
      <c r="AI669" s="63">
        <v>44627</v>
      </c>
      <c r="AJ669" s="63">
        <v>45657</v>
      </c>
      <c r="AK669" t="s">
        <v>112</v>
      </c>
      <c r="AL669" t="s">
        <v>111</v>
      </c>
      <c r="AM669" t="s">
        <v>111</v>
      </c>
      <c r="AN669">
        <v>198</v>
      </c>
      <c r="AO669" t="s">
        <v>110</v>
      </c>
      <c r="AP669" t="s">
        <v>109</v>
      </c>
    </row>
    <row r="670" spans="1:42" x14ac:dyDescent="0.25">
      <c r="A670" s="28" t="str">
        <f>"4277"</f>
        <v>4277</v>
      </c>
      <c r="B670">
        <v>4277</v>
      </c>
      <c r="C670" t="s">
        <v>2488</v>
      </c>
      <c r="D670" t="s">
        <v>121</v>
      </c>
      <c r="F670" t="s">
        <v>120</v>
      </c>
      <c r="G670" t="s">
        <v>520</v>
      </c>
      <c r="I670" t="s">
        <v>9052</v>
      </c>
      <c r="J670" t="s">
        <v>7</v>
      </c>
      <c r="K670" s="63">
        <v>19718</v>
      </c>
      <c r="L670" s="28">
        <f>DATEDIF(K670,Zwift25!G$1,"Y")</f>
        <v>70</v>
      </c>
      <c r="M670" s="67">
        <f>IF(J670="m",VLOOKUP(L670,'All Solo Adjustments'!A:D,4,FALSE),VLOOKUP(L670,'All Solo Adjustments'!A:J,10,FALSE))</f>
        <v>6.3425925925925924E-3</v>
      </c>
      <c r="N670" s="63"/>
      <c r="O670" s="63"/>
      <c r="P670" s="63"/>
      <c r="Q670" s="63"/>
      <c r="R670" t="s">
        <v>118</v>
      </c>
      <c r="S670" t="s">
        <v>117</v>
      </c>
      <c r="T670" t="s">
        <v>292</v>
      </c>
      <c r="U670" t="s">
        <v>9051</v>
      </c>
      <c r="V670" t="s">
        <v>1430</v>
      </c>
      <c r="W670" t="s">
        <v>1215</v>
      </c>
      <c r="Y670" t="s">
        <v>9050</v>
      </c>
      <c r="Z670" t="str">
        <f>"01709 561766"</f>
        <v>01709 561766</v>
      </c>
      <c r="AA670" t="str">
        <f>""</f>
        <v/>
      </c>
      <c r="AB670" t="s">
        <v>872</v>
      </c>
      <c r="AC670" t="s">
        <v>9049</v>
      </c>
      <c r="AD670" t="s">
        <v>114</v>
      </c>
      <c r="AE670" s="63">
        <v>45317</v>
      </c>
      <c r="AF670" t="s">
        <v>156</v>
      </c>
      <c r="AG670" t="s">
        <v>112</v>
      </c>
      <c r="AH670" t="s">
        <v>112</v>
      </c>
      <c r="AI670" s="63">
        <v>40572</v>
      </c>
      <c r="AJ670" s="63">
        <v>45657</v>
      </c>
      <c r="AK670" t="s">
        <v>111</v>
      </c>
      <c r="AL670" t="s">
        <v>111</v>
      </c>
      <c r="AM670" t="s">
        <v>111</v>
      </c>
      <c r="AN670">
        <v>6868</v>
      </c>
      <c r="AO670" t="s">
        <v>110</v>
      </c>
      <c r="AP670" t="s">
        <v>109</v>
      </c>
    </row>
    <row r="671" spans="1:42" x14ac:dyDescent="0.25">
      <c r="A671" s="28" t="str">
        <f>"0869"</f>
        <v>0869</v>
      </c>
      <c r="B671">
        <v>869</v>
      </c>
      <c r="C671" t="s">
        <v>2488</v>
      </c>
      <c r="D671" t="s">
        <v>121</v>
      </c>
      <c r="F671" t="s">
        <v>120</v>
      </c>
      <c r="G671" t="s">
        <v>761</v>
      </c>
      <c r="I671" t="s">
        <v>1980</v>
      </c>
      <c r="J671" t="s">
        <v>7</v>
      </c>
      <c r="K671" s="63">
        <v>15997</v>
      </c>
      <c r="L671" s="28">
        <f>DATEDIF(K671,Zwift25!G$1,"Y")</f>
        <v>80</v>
      </c>
      <c r="M671" s="67">
        <f>IF(J671="m",VLOOKUP(L671,'All Solo Adjustments'!A:D,4,FALSE),VLOOKUP(L671,'All Solo Adjustments'!A:J,10,FALSE))</f>
        <v>1.1018518518518518E-2</v>
      </c>
      <c r="N671" s="63"/>
      <c r="O671" s="63"/>
      <c r="P671" s="63"/>
      <c r="Q671" s="63"/>
      <c r="R671" t="s">
        <v>296</v>
      </c>
      <c r="S671" t="s">
        <v>2310</v>
      </c>
      <c r="T671" t="s">
        <v>292</v>
      </c>
      <c r="U671" t="s">
        <v>9048</v>
      </c>
      <c r="V671" t="s">
        <v>9047</v>
      </c>
      <c r="W671" t="s">
        <v>9046</v>
      </c>
      <c r="X671" t="s">
        <v>9046</v>
      </c>
      <c r="Y671" t="s">
        <v>9045</v>
      </c>
      <c r="Z671" t="str">
        <f>"07944527416"</f>
        <v>07944527416</v>
      </c>
      <c r="AA671" t="str">
        <f>"07944527416"</f>
        <v>07944527416</v>
      </c>
      <c r="AB671" t="s">
        <v>1660</v>
      </c>
      <c r="AC671" t="s">
        <v>9044</v>
      </c>
      <c r="AD671" t="s">
        <v>145</v>
      </c>
      <c r="AF671" t="s">
        <v>156</v>
      </c>
      <c r="AG671" t="s">
        <v>112</v>
      </c>
      <c r="AH671" t="s">
        <v>112</v>
      </c>
      <c r="AI671" s="63">
        <v>38723</v>
      </c>
      <c r="AK671" t="s">
        <v>111</v>
      </c>
      <c r="AL671" t="s">
        <v>111</v>
      </c>
      <c r="AM671" t="s">
        <v>111</v>
      </c>
      <c r="AN671" t="s">
        <v>105</v>
      </c>
      <c r="AO671" t="s">
        <v>110</v>
      </c>
      <c r="AP671" t="s">
        <v>109</v>
      </c>
    </row>
    <row r="672" spans="1:42" x14ac:dyDescent="0.25">
      <c r="A672" s="28" t="str">
        <f>"5732"</f>
        <v>5732</v>
      </c>
      <c r="B672">
        <v>5732</v>
      </c>
      <c r="C672" t="s">
        <v>2488</v>
      </c>
      <c r="D672" t="s">
        <v>121</v>
      </c>
      <c r="F672" t="s">
        <v>120</v>
      </c>
      <c r="G672" t="s">
        <v>2071</v>
      </c>
      <c r="H672" t="s">
        <v>489</v>
      </c>
      <c r="I672" t="s">
        <v>1980</v>
      </c>
      <c r="J672" t="s">
        <v>7</v>
      </c>
      <c r="K672" s="63">
        <v>25057</v>
      </c>
      <c r="L672" s="28">
        <f>DATEDIF(K672,Zwift25!G$1,"Y")</f>
        <v>56</v>
      </c>
      <c r="M672" s="67">
        <f>IF(J672="m",VLOOKUP(L672,'All Solo Adjustments'!A:D,4,FALSE),VLOOKUP(L672,'All Solo Adjustments'!A:J,10,FALSE))</f>
        <v>2.2685185185185182E-3</v>
      </c>
      <c r="N672" s="63"/>
      <c r="O672" s="63"/>
      <c r="P672" s="63"/>
      <c r="Q672" s="63"/>
      <c r="R672" t="s">
        <v>159</v>
      </c>
      <c r="S672" t="s">
        <v>162</v>
      </c>
      <c r="T672" t="s">
        <v>292</v>
      </c>
      <c r="U672" t="s">
        <v>9043</v>
      </c>
      <c r="V672" t="s">
        <v>9042</v>
      </c>
      <c r="W672" t="s">
        <v>1779</v>
      </c>
      <c r="X672" t="s">
        <v>159</v>
      </c>
      <c r="Y672" t="s">
        <v>9041</v>
      </c>
      <c r="Z672" t="str">
        <f>"0208 6660545"</f>
        <v>0208 6660545</v>
      </c>
      <c r="AA672" t="str">
        <f>""</f>
        <v/>
      </c>
      <c r="AB672" t="s">
        <v>2353</v>
      </c>
      <c r="AC672" t="s">
        <v>9040</v>
      </c>
      <c r="AD672" t="s">
        <v>114</v>
      </c>
      <c r="AE672" s="63">
        <v>45294</v>
      </c>
      <c r="AF672" t="s">
        <v>113</v>
      </c>
      <c r="AG672" t="s">
        <v>112</v>
      </c>
      <c r="AH672" t="s">
        <v>112</v>
      </c>
      <c r="AI672" s="63">
        <v>43229</v>
      </c>
      <c r="AJ672" s="63">
        <v>45657</v>
      </c>
      <c r="AK672" t="s">
        <v>111</v>
      </c>
      <c r="AL672" t="s">
        <v>111</v>
      </c>
      <c r="AM672" t="s">
        <v>111</v>
      </c>
      <c r="AN672">
        <v>4237</v>
      </c>
      <c r="AO672" t="s">
        <v>110</v>
      </c>
      <c r="AP672" t="s">
        <v>109</v>
      </c>
    </row>
    <row r="673" spans="1:42" x14ac:dyDescent="0.25">
      <c r="A673" s="28" t="str">
        <f>"14345"</f>
        <v>14345</v>
      </c>
      <c r="B673">
        <v>14345</v>
      </c>
      <c r="C673" t="s">
        <v>2488</v>
      </c>
      <c r="D673" t="s">
        <v>121</v>
      </c>
      <c r="F673" t="s">
        <v>120</v>
      </c>
      <c r="G673" t="s">
        <v>2139</v>
      </c>
      <c r="H673" t="s">
        <v>818</v>
      </c>
      <c r="I673" t="s">
        <v>9039</v>
      </c>
      <c r="J673" t="s">
        <v>7</v>
      </c>
      <c r="K673" s="63">
        <v>24339</v>
      </c>
      <c r="L673" s="28">
        <f>DATEDIF(K673,Zwift25!G$1,"Y")</f>
        <v>58</v>
      </c>
      <c r="M673" s="67">
        <f>IF(J673="m",VLOOKUP(L673,'All Solo Adjustments'!A:D,4,FALSE),VLOOKUP(L673,'All Solo Adjustments'!A:J,10,FALSE))</f>
        <v>2.7199074074074074E-3</v>
      </c>
      <c r="N673" s="63"/>
      <c r="O673" s="63"/>
      <c r="P673" s="63"/>
      <c r="Q673" s="63"/>
      <c r="R673" t="s">
        <v>118</v>
      </c>
      <c r="S673" t="s">
        <v>117</v>
      </c>
      <c r="T673" t="s">
        <v>292</v>
      </c>
      <c r="U673">
        <v>6</v>
      </c>
      <c r="V673" t="s">
        <v>9038</v>
      </c>
      <c r="X673" t="s">
        <v>547</v>
      </c>
      <c r="Y673" t="s">
        <v>1982</v>
      </c>
      <c r="Z673" t="str">
        <f>"0114 2309755"</f>
        <v>0114 2309755</v>
      </c>
      <c r="AA673" t="str">
        <f>"07966 365012"</f>
        <v>07966 365012</v>
      </c>
      <c r="AB673" t="s">
        <v>1589</v>
      </c>
      <c r="AC673" t="s">
        <v>9037</v>
      </c>
      <c r="AD673" t="s">
        <v>114</v>
      </c>
      <c r="AE673" s="63">
        <v>45264</v>
      </c>
      <c r="AF673" t="s">
        <v>156</v>
      </c>
      <c r="AG673" t="s">
        <v>112</v>
      </c>
      <c r="AH673" t="s">
        <v>112</v>
      </c>
      <c r="AI673" s="63">
        <v>43693</v>
      </c>
      <c r="AJ673" s="63">
        <v>45657</v>
      </c>
      <c r="AK673" t="s">
        <v>112</v>
      </c>
      <c r="AL673" t="s">
        <v>111</v>
      </c>
      <c r="AM673" t="s">
        <v>111</v>
      </c>
      <c r="AN673">
        <v>7338</v>
      </c>
      <c r="AO673" t="s">
        <v>110</v>
      </c>
      <c r="AP673" t="s">
        <v>109</v>
      </c>
    </row>
    <row r="674" spans="1:42" x14ac:dyDescent="0.25">
      <c r="A674" s="28" t="str">
        <f>"14420"</f>
        <v>14420</v>
      </c>
      <c r="B674">
        <v>14420</v>
      </c>
      <c r="C674" t="s">
        <v>2488</v>
      </c>
      <c r="D674" t="s">
        <v>121</v>
      </c>
      <c r="E674" t="s">
        <v>584</v>
      </c>
      <c r="F674" t="s">
        <v>120</v>
      </c>
      <c r="G674" t="s">
        <v>300</v>
      </c>
      <c r="I674" t="s">
        <v>9036</v>
      </c>
      <c r="J674" t="s">
        <v>7</v>
      </c>
      <c r="K674" s="63">
        <v>21994</v>
      </c>
      <c r="L674" s="28">
        <f>DATEDIF(K674,Zwift25!G$1,"Y")</f>
        <v>64</v>
      </c>
      <c r="M674" s="67">
        <f>IF(J674="m",VLOOKUP(L674,'All Solo Adjustments'!A:D,4,FALSE),VLOOKUP(L674,'All Solo Adjustments'!A:J,10,FALSE))</f>
        <v>4.31712962962963E-3</v>
      </c>
      <c r="N674" s="63"/>
      <c r="O674" s="63"/>
      <c r="P674" s="63"/>
      <c r="Q674" s="63"/>
      <c r="R674" t="s">
        <v>383</v>
      </c>
      <c r="S674" t="s">
        <v>382</v>
      </c>
      <c r="T674" t="s">
        <v>292</v>
      </c>
      <c r="U674" t="s">
        <v>9035</v>
      </c>
      <c r="V674" t="s">
        <v>9034</v>
      </c>
      <c r="W674" t="s">
        <v>9033</v>
      </c>
      <c r="X674" t="s">
        <v>9032</v>
      </c>
      <c r="Y674" t="s">
        <v>9031</v>
      </c>
      <c r="Z674" t="str">
        <f>"07484725550"</f>
        <v>07484725550</v>
      </c>
      <c r="AA674" t="str">
        <f>""</f>
        <v/>
      </c>
      <c r="AB674" t="s">
        <v>2015</v>
      </c>
      <c r="AC674" t="s">
        <v>9030</v>
      </c>
      <c r="AD674" t="s">
        <v>114</v>
      </c>
      <c r="AE674" s="63">
        <v>45298</v>
      </c>
      <c r="AF674" t="s">
        <v>156</v>
      </c>
      <c r="AG674" t="s">
        <v>112</v>
      </c>
      <c r="AH674" t="s">
        <v>112</v>
      </c>
      <c r="AI674" s="63">
        <v>43835</v>
      </c>
      <c r="AJ674" s="63">
        <v>45657</v>
      </c>
      <c r="AK674" t="s">
        <v>112</v>
      </c>
      <c r="AL674" t="s">
        <v>111</v>
      </c>
      <c r="AM674" t="s">
        <v>111</v>
      </c>
      <c r="AN674">
        <v>23170</v>
      </c>
      <c r="AO674" t="s">
        <v>110</v>
      </c>
      <c r="AP674" t="s">
        <v>109</v>
      </c>
    </row>
    <row r="675" spans="1:42" x14ac:dyDescent="0.25">
      <c r="A675" s="28" t="str">
        <f>"15264"</f>
        <v>15264</v>
      </c>
      <c r="B675">
        <v>15264</v>
      </c>
      <c r="C675" t="s">
        <v>2488</v>
      </c>
      <c r="D675" t="s">
        <v>121</v>
      </c>
      <c r="E675" t="s">
        <v>2500</v>
      </c>
      <c r="F675" t="s">
        <v>120</v>
      </c>
      <c r="G675" t="s">
        <v>1303</v>
      </c>
      <c r="I675" t="s">
        <v>9029</v>
      </c>
      <c r="J675" t="s">
        <v>7</v>
      </c>
      <c r="K675" s="63">
        <v>22801</v>
      </c>
      <c r="L675" s="28">
        <f>DATEDIF(K675,Zwift25!G$1,"Y")</f>
        <v>62</v>
      </c>
      <c r="M675" s="67">
        <f>IF(J675="m",VLOOKUP(L675,'All Solo Adjustments'!A:D,4,FALSE),VLOOKUP(L675,'All Solo Adjustments'!A:J,10,FALSE))</f>
        <v>3.7384259259259259E-3</v>
      </c>
      <c r="N675" s="63"/>
      <c r="O675" s="63"/>
      <c r="P675" s="63"/>
      <c r="Q675" s="63"/>
      <c r="R675" t="s">
        <v>198</v>
      </c>
      <c r="S675" t="s">
        <v>461</v>
      </c>
      <c r="T675" t="s">
        <v>292</v>
      </c>
      <c r="U675" t="s">
        <v>9028</v>
      </c>
      <c r="V675" t="s">
        <v>9027</v>
      </c>
      <c r="W675" t="s">
        <v>999</v>
      </c>
      <c r="X675" t="s">
        <v>196</v>
      </c>
      <c r="Y675" t="s">
        <v>9026</v>
      </c>
      <c r="Z675" t="str">
        <f>"07732670307"</f>
        <v>07732670307</v>
      </c>
      <c r="AA675" t="str">
        <f>""</f>
        <v/>
      </c>
      <c r="AB675" t="s">
        <v>2000</v>
      </c>
      <c r="AC675" t="s">
        <v>9025</v>
      </c>
      <c r="AD675" t="s">
        <v>114</v>
      </c>
      <c r="AE675" s="63">
        <v>45264</v>
      </c>
      <c r="AF675" t="s">
        <v>113</v>
      </c>
      <c r="AG675" t="s">
        <v>112</v>
      </c>
      <c r="AH675" t="s">
        <v>112</v>
      </c>
      <c r="AI675" s="63">
        <v>44480</v>
      </c>
      <c r="AJ675" s="63">
        <v>45657</v>
      </c>
      <c r="AK675" t="s">
        <v>112</v>
      </c>
      <c r="AL675" t="s">
        <v>112</v>
      </c>
      <c r="AM675" t="s">
        <v>111</v>
      </c>
      <c r="AN675">
        <v>24612</v>
      </c>
      <c r="AO675" t="s">
        <v>110</v>
      </c>
      <c r="AP675" t="s">
        <v>109</v>
      </c>
    </row>
    <row r="676" spans="1:42" x14ac:dyDescent="0.25">
      <c r="A676" s="28" t="str">
        <f>"15608"</f>
        <v>15608</v>
      </c>
      <c r="B676">
        <v>15608</v>
      </c>
      <c r="C676" t="s">
        <v>2488</v>
      </c>
      <c r="D676" t="s">
        <v>121</v>
      </c>
      <c r="F676" t="s">
        <v>120</v>
      </c>
      <c r="G676" t="s">
        <v>165</v>
      </c>
      <c r="H676" t="s">
        <v>230</v>
      </c>
      <c r="I676" t="s">
        <v>1978</v>
      </c>
      <c r="J676" t="s">
        <v>7</v>
      </c>
      <c r="K676" s="63">
        <v>22647</v>
      </c>
      <c r="L676" s="28">
        <f>DATEDIF(K676,Zwift25!G$1,"Y")</f>
        <v>62</v>
      </c>
      <c r="M676" s="67">
        <f>IF(J676="m",VLOOKUP(L676,'All Solo Adjustments'!A:D,4,FALSE),VLOOKUP(L676,'All Solo Adjustments'!A:J,10,FALSE))</f>
        <v>3.7384259259259259E-3</v>
      </c>
      <c r="N676" s="63"/>
      <c r="O676" s="63"/>
      <c r="P676" s="63"/>
      <c r="Q676" s="63"/>
      <c r="R676" t="s">
        <v>143</v>
      </c>
      <c r="S676" t="s">
        <v>142</v>
      </c>
      <c r="T676" t="s">
        <v>292</v>
      </c>
      <c r="U676" t="s">
        <v>1977</v>
      </c>
      <c r="V676" t="s">
        <v>1976</v>
      </c>
      <c r="W676" t="s">
        <v>159</v>
      </c>
      <c r="Y676" t="s">
        <v>1975</v>
      </c>
      <c r="Z676" t="str">
        <f>"01342851255"</f>
        <v>01342851255</v>
      </c>
      <c r="AA676" t="str">
        <f>""</f>
        <v/>
      </c>
      <c r="AB676" t="s">
        <v>1568</v>
      </c>
      <c r="AC676" t="s">
        <v>9024</v>
      </c>
      <c r="AD676" t="s">
        <v>114</v>
      </c>
      <c r="AE676" s="63">
        <v>45369</v>
      </c>
      <c r="AF676" t="s">
        <v>156</v>
      </c>
      <c r="AG676" t="s">
        <v>112</v>
      </c>
      <c r="AH676" t="s">
        <v>112</v>
      </c>
      <c r="AI676" s="63">
        <v>44850</v>
      </c>
      <c r="AJ676" s="63">
        <v>45657</v>
      </c>
      <c r="AK676" t="s">
        <v>112</v>
      </c>
      <c r="AL676" t="s">
        <v>111</v>
      </c>
      <c r="AM676" t="s">
        <v>111</v>
      </c>
      <c r="AN676">
        <v>39</v>
      </c>
      <c r="AO676" t="s">
        <v>110</v>
      </c>
      <c r="AP676" t="s">
        <v>109</v>
      </c>
    </row>
    <row r="677" spans="1:42" x14ac:dyDescent="0.25">
      <c r="A677" s="28" t="str">
        <f>"4358"</f>
        <v>4358</v>
      </c>
      <c r="B677">
        <v>4358</v>
      </c>
      <c r="C677" t="s">
        <v>2488</v>
      </c>
      <c r="D677" t="s">
        <v>121</v>
      </c>
      <c r="E677" t="s">
        <v>5803</v>
      </c>
      <c r="F677" t="s">
        <v>120</v>
      </c>
      <c r="G677" t="s">
        <v>164</v>
      </c>
      <c r="I677" t="s">
        <v>1781</v>
      </c>
      <c r="J677" t="s">
        <v>7</v>
      </c>
      <c r="K677" s="63">
        <v>23020</v>
      </c>
      <c r="L677" s="28">
        <f>DATEDIF(K677,Zwift25!G$1,"Y")</f>
        <v>61</v>
      </c>
      <c r="M677" s="67">
        <f>IF(J677="m",VLOOKUP(L677,'All Solo Adjustments'!A:D,4,FALSE),VLOOKUP(L677,'All Solo Adjustments'!A:J,10,FALSE))</f>
        <v>3.4722222222222225E-3</v>
      </c>
      <c r="N677" s="63"/>
      <c r="O677" s="63"/>
      <c r="P677" s="63"/>
      <c r="Q677" s="63"/>
      <c r="R677" t="s">
        <v>143</v>
      </c>
      <c r="S677" t="s">
        <v>142</v>
      </c>
      <c r="T677" t="s">
        <v>292</v>
      </c>
      <c r="U677" t="s">
        <v>9023</v>
      </c>
      <c r="V677" t="s">
        <v>9022</v>
      </c>
      <c r="W677" t="s">
        <v>9021</v>
      </c>
      <c r="X677" t="s">
        <v>486</v>
      </c>
      <c r="Y677" t="s">
        <v>9020</v>
      </c>
      <c r="Z677" t="str">
        <f>"01435 862876"</f>
        <v>01435 862876</v>
      </c>
      <c r="AA677" t="str">
        <f>"07515 504013"</f>
        <v>07515 504013</v>
      </c>
      <c r="AB677" t="s">
        <v>1655</v>
      </c>
      <c r="AC677" t="s">
        <v>9019</v>
      </c>
      <c r="AD677" t="s">
        <v>114</v>
      </c>
      <c r="AE677" s="63">
        <v>45308</v>
      </c>
      <c r="AF677" t="s">
        <v>113</v>
      </c>
      <c r="AG677" t="s">
        <v>112</v>
      </c>
      <c r="AH677" t="s">
        <v>112</v>
      </c>
      <c r="AI677" s="63">
        <v>40884</v>
      </c>
      <c r="AJ677" s="63">
        <v>45657</v>
      </c>
      <c r="AK677" t="s">
        <v>111</v>
      </c>
      <c r="AL677" t="s">
        <v>111</v>
      </c>
      <c r="AM677" t="s">
        <v>111</v>
      </c>
      <c r="AN677">
        <v>2650</v>
      </c>
      <c r="AO677" t="s">
        <v>110</v>
      </c>
      <c r="AP677" t="s">
        <v>109</v>
      </c>
    </row>
    <row r="678" spans="1:42" x14ac:dyDescent="0.25">
      <c r="A678" s="28" t="str">
        <f>"5792"</f>
        <v>5792</v>
      </c>
      <c r="B678">
        <v>5792</v>
      </c>
      <c r="C678" t="s">
        <v>2488</v>
      </c>
      <c r="D678" t="s">
        <v>121</v>
      </c>
      <c r="E678" t="s">
        <v>5372</v>
      </c>
      <c r="F678" t="s">
        <v>120</v>
      </c>
      <c r="G678" t="s">
        <v>1564</v>
      </c>
      <c r="I678" t="s">
        <v>1558</v>
      </c>
      <c r="J678" t="s">
        <v>7</v>
      </c>
      <c r="K678" s="63">
        <v>23919</v>
      </c>
      <c r="L678" s="28">
        <f>DATEDIF(K678,Zwift25!G$1,"Y")</f>
        <v>59</v>
      </c>
      <c r="M678" s="67">
        <f>IF(J678="m",VLOOKUP(L678,'All Solo Adjustments'!A:D,4,FALSE),VLOOKUP(L678,'All Solo Adjustments'!A:J,10,FALSE))</f>
        <v>2.9629629629629632E-3</v>
      </c>
      <c r="N678" s="63"/>
      <c r="O678" s="63"/>
      <c r="P678" s="63"/>
      <c r="Q678" s="63"/>
      <c r="R678" t="s">
        <v>296</v>
      </c>
      <c r="S678" t="s">
        <v>295</v>
      </c>
      <c r="T678" t="s">
        <v>292</v>
      </c>
      <c r="U678" t="s">
        <v>9018</v>
      </c>
      <c r="V678" t="s">
        <v>9017</v>
      </c>
      <c r="W678" t="s">
        <v>6473</v>
      </c>
      <c r="X678" t="s">
        <v>1242</v>
      </c>
      <c r="Y678" t="s">
        <v>9016</v>
      </c>
      <c r="Z678" t="str">
        <f>"01651 842877"</f>
        <v>01651 842877</v>
      </c>
      <c r="AA678" t="str">
        <f>""</f>
        <v/>
      </c>
      <c r="AB678" t="s">
        <v>822</v>
      </c>
      <c r="AC678" t="s">
        <v>9015</v>
      </c>
      <c r="AD678" t="s">
        <v>114</v>
      </c>
      <c r="AE678" s="63">
        <v>45278</v>
      </c>
      <c r="AF678" t="s">
        <v>113</v>
      </c>
      <c r="AG678" t="s">
        <v>112</v>
      </c>
      <c r="AH678" t="s">
        <v>112</v>
      </c>
      <c r="AI678" s="63">
        <v>42443</v>
      </c>
      <c r="AJ678" s="63">
        <v>45657</v>
      </c>
      <c r="AK678" t="s">
        <v>111</v>
      </c>
      <c r="AL678" t="s">
        <v>111</v>
      </c>
      <c r="AM678" t="s">
        <v>111</v>
      </c>
      <c r="AN678">
        <v>16531</v>
      </c>
      <c r="AO678" t="s">
        <v>110</v>
      </c>
      <c r="AP678" t="s">
        <v>109</v>
      </c>
    </row>
    <row r="679" spans="1:42" x14ac:dyDescent="0.25">
      <c r="A679" s="28" t="str">
        <f>"3752"</f>
        <v>3752</v>
      </c>
      <c r="B679">
        <v>3752</v>
      </c>
      <c r="C679" t="s">
        <v>2488</v>
      </c>
      <c r="D679" t="s">
        <v>121</v>
      </c>
      <c r="E679" t="s">
        <v>584</v>
      </c>
      <c r="F679" t="s">
        <v>120</v>
      </c>
      <c r="G679" t="s">
        <v>230</v>
      </c>
      <c r="I679" t="s">
        <v>1558</v>
      </c>
      <c r="J679" t="s">
        <v>7</v>
      </c>
      <c r="K679" s="63">
        <v>17238</v>
      </c>
      <c r="L679" s="28">
        <f>DATEDIF(K679,Zwift25!G$1,"Y")</f>
        <v>77</v>
      </c>
      <c r="M679" s="67">
        <f>IF(J679="m",VLOOKUP(L679,'All Solo Adjustments'!A:D,4,FALSE),VLOOKUP(L679,'All Solo Adjustments'!A:J,10,FALSE))</f>
        <v>9.3981481481481485E-3</v>
      </c>
      <c r="N679" s="63"/>
      <c r="O679" s="63"/>
      <c r="P679" s="63"/>
      <c r="Q679" s="63"/>
      <c r="R679" t="s">
        <v>159</v>
      </c>
      <c r="S679" t="s">
        <v>162</v>
      </c>
      <c r="T679" t="s">
        <v>292</v>
      </c>
      <c r="U679" t="s">
        <v>9014</v>
      </c>
      <c r="V679" t="s">
        <v>9013</v>
      </c>
      <c r="W679" t="s">
        <v>931</v>
      </c>
      <c r="X679" t="s">
        <v>159</v>
      </c>
      <c r="Y679" t="s">
        <v>9012</v>
      </c>
      <c r="Z679" t="str">
        <f>"07905 086613"</f>
        <v>07905 086613</v>
      </c>
      <c r="AA679" t="str">
        <f>""</f>
        <v/>
      </c>
      <c r="AB679" t="s">
        <v>1401</v>
      </c>
      <c r="AC679" t="s">
        <v>9011</v>
      </c>
      <c r="AD679" t="s">
        <v>114</v>
      </c>
      <c r="AE679" s="63">
        <v>45292</v>
      </c>
      <c r="AF679" t="s">
        <v>156</v>
      </c>
      <c r="AG679" t="s">
        <v>112</v>
      </c>
      <c r="AH679" t="s">
        <v>112</v>
      </c>
      <c r="AI679" s="63">
        <v>43420</v>
      </c>
      <c r="AJ679" s="63">
        <v>45657</v>
      </c>
      <c r="AK679" t="s">
        <v>111</v>
      </c>
      <c r="AL679" t="s">
        <v>111</v>
      </c>
      <c r="AM679" t="s">
        <v>111</v>
      </c>
      <c r="AN679">
        <v>4383</v>
      </c>
      <c r="AO679" t="s">
        <v>110</v>
      </c>
      <c r="AP679" t="s">
        <v>109</v>
      </c>
    </row>
    <row r="680" spans="1:42" x14ac:dyDescent="0.25">
      <c r="A680" s="28" t="str">
        <f>"14917"</f>
        <v>14917</v>
      </c>
      <c r="B680">
        <v>14917</v>
      </c>
      <c r="C680" t="s">
        <v>2488</v>
      </c>
      <c r="D680" t="s">
        <v>121</v>
      </c>
      <c r="F680" t="s">
        <v>120</v>
      </c>
      <c r="G680" t="s">
        <v>9010</v>
      </c>
      <c r="I680" t="s">
        <v>1558</v>
      </c>
      <c r="J680" t="s">
        <v>7</v>
      </c>
      <c r="K680" s="63">
        <v>16521</v>
      </c>
      <c r="L680" s="28">
        <f>DATEDIF(K680,Zwift25!G$1,"Y")</f>
        <v>79</v>
      </c>
      <c r="M680" s="67">
        <f>IF(J680="m",VLOOKUP(L680,'All Solo Adjustments'!A:D,4,FALSE),VLOOKUP(L680,'All Solo Adjustments'!A:J,10,FALSE))</f>
        <v>1.0451388888888889E-2</v>
      </c>
      <c r="N680" s="63"/>
      <c r="O680" s="63"/>
      <c r="P680" s="63"/>
      <c r="Q680" s="63"/>
      <c r="R680" t="s">
        <v>159</v>
      </c>
      <c r="S680" t="s">
        <v>162</v>
      </c>
      <c r="T680" t="s">
        <v>292</v>
      </c>
      <c r="U680" t="s">
        <v>9009</v>
      </c>
      <c r="V680" t="s">
        <v>9008</v>
      </c>
      <c r="W680" t="s">
        <v>1239</v>
      </c>
      <c r="Y680" t="s">
        <v>9007</v>
      </c>
      <c r="Z680" t="str">
        <f>"01227365248"</f>
        <v>01227365248</v>
      </c>
      <c r="AA680" t="str">
        <f>"07745975376"</f>
        <v>07745975376</v>
      </c>
      <c r="AB680" t="s">
        <v>415</v>
      </c>
      <c r="AC680" t="s">
        <v>9006</v>
      </c>
      <c r="AD680" t="s">
        <v>114</v>
      </c>
      <c r="AE680" s="63">
        <v>45325</v>
      </c>
      <c r="AF680" t="s">
        <v>113</v>
      </c>
      <c r="AG680" t="s">
        <v>112</v>
      </c>
      <c r="AH680" t="s">
        <v>112</v>
      </c>
      <c r="AI680" s="63">
        <v>44271</v>
      </c>
      <c r="AJ680" s="63">
        <v>45657</v>
      </c>
      <c r="AK680" t="s">
        <v>112</v>
      </c>
      <c r="AL680" t="s">
        <v>111</v>
      </c>
      <c r="AM680" t="s">
        <v>112</v>
      </c>
      <c r="AN680">
        <v>8646</v>
      </c>
      <c r="AO680" t="s">
        <v>110</v>
      </c>
      <c r="AP680" t="s">
        <v>109</v>
      </c>
    </row>
    <row r="681" spans="1:42" x14ac:dyDescent="0.25">
      <c r="A681" s="28" t="str">
        <f>"15481"</f>
        <v>15481</v>
      </c>
      <c r="B681">
        <v>15481</v>
      </c>
      <c r="C681" t="s">
        <v>2488</v>
      </c>
      <c r="D681" t="s">
        <v>121</v>
      </c>
      <c r="F681" t="s">
        <v>120</v>
      </c>
      <c r="G681" t="s">
        <v>334</v>
      </c>
      <c r="H681" t="s">
        <v>643</v>
      </c>
      <c r="I681" t="s">
        <v>1558</v>
      </c>
      <c r="J681" t="s">
        <v>7</v>
      </c>
      <c r="K681" s="63">
        <v>21550</v>
      </c>
      <c r="L681" s="28">
        <f>DATEDIF(K681,Zwift25!G$1,"Y")</f>
        <v>65</v>
      </c>
      <c r="M681" s="67">
        <f>IF(J681="m",VLOOKUP(L681,'All Solo Adjustments'!A:D,4,FALSE),VLOOKUP(L681,'All Solo Adjustments'!A:J,10,FALSE))</f>
        <v>4.6180555555555558E-3</v>
      </c>
      <c r="N681" s="63"/>
      <c r="O681" s="63"/>
      <c r="P681" s="63"/>
      <c r="Q681" s="63"/>
      <c r="R681" t="s">
        <v>213</v>
      </c>
      <c r="S681" t="s">
        <v>212</v>
      </c>
      <c r="T681" t="s">
        <v>292</v>
      </c>
      <c r="U681" t="s">
        <v>9005</v>
      </c>
      <c r="V681" t="s">
        <v>9004</v>
      </c>
      <c r="W681" t="s">
        <v>912</v>
      </c>
      <c r="X681" t="s">
        <v>5045</v>
      </c>
      <c r="Y681" t="s">
        <v>9003</v>
      </c>
      <c r="Z681" t="str">
        <f>"07739863749"</f>
        <v>07739863749</v>
      </c>
      <c r="AA681" t="str">
        <f>""</f>
        <v/>
      </c>
      <c r="AB681" t="s">
        <v>9002</v>
      </c>
      <c r="AC681" t="s">
        <v>9001</v>
      </c>
      <c r="AD681" t="s">
        <v>114</v>
      </c>
      <c r="AE681" s="63">
        <v>45345</v>
      </c>
      <c r="AF681" t="s">
        <v>113</v>
      </c>
      <c r="AG681" t="s">
        <v>112</v>
      </c>
      <c r="AH681" t="s">
        <v>112</v>
      </c>
      <c r="AI681" s="63">
        <v>44690</v>
      </c>
      <c r="AJ681" s="63">
        <v>45657</v>
      </c>
      <c r="AK681" t="s">
        <v>112</v>
      </c>
      <c r="AL681" t="s">
        <v>111</v>
      </c>
      <c r="AM681" t="s">
        <v>111</v>
      </c>
      <c r="AN681">
        <v>7370</v>
      </c>
      <c r="AO681" t="s">
        <v>110</v>
      </c>
      <c r="AP681" t="s">
        <v>109</v>
      </c>
    </row>
    <row r="682" spans="1:42" x14ac:dyDescent="0.25">
      <c r="A682" s="28" t="str">
        <f>"15772"</f>
        <v>15772</v>
      </c>
      <c r="B682">
        <v>15772</v>
      </c>
      <c r="C682" t="s">
        <v>2488</v>
      </c>
      <c r="D682" t="s">
        <v>121</v>
      </c>
      <c r="F682" t="s">
        <v>120</v>
      </c>
      <c r="G682" t="s">
        <v>9000</v>
      </c>
      <c r="I682" t="s">
        <v>1558</v>
      </c>
      <c r="J682" t="s">
        <v>7</v>
      </c>
      <c r="K682" s="63">
        <v>19593</v>
      </c>
      <c r="L682" s="28">
        <f>DATEDIF(K682,Zwift25!G$1,"Y")</f>
        <v>71</v>
      </c>
      <c r="M682" s="67">
        <f>IF(J682="m",VLOOKUP(L682,'All Solo Adjustments'!A:D,4,FALSE),VLOOKUP(L682,'All Solo Adjustments'!A:J,10,FALSE))</f>
        <v>6.7245370370370375E-3</v>
      </c>
      <c r="N682" s="63"/>
      <c r="O682" s="63"/>
      <c r="P682" s="63"/>
      <c r="Q682" s="63"/>
      <c r="R682" t="s">
        <v>213</v>
      </c>
      <c r="S682" t="s">
        <v>212</v>
      </c>
      <c r="T682" t="s">
        <v>292</v>
      </c>
      <c r="U682" t="s">
        <v>8999</v>
      </c>
      <c r="V682" t="s">
        <v>999</v>
      </c>
      <c r="X682" t="s">
        <v>196</v>
      </c>
      <c r="Y682" t="s">
        <v>8998</v>
      </c>
      <c r="Z682" t="str">
        <f>"07870401182"</f>
        <v>07870401182</v>
      </c>
      <c r="AA682" t="str">
        <f>""</f>
        <v/>
      </c>
      <c r="AB682" t="s">
        <v>8997</v>
      </c>
      <c r="AC682" t="s">
        <v>8996</v>
      </c>
      <c r="AD682" t="s">
        <v>114</v>
      </c>
      <c r="AE682" s="63">
        <v>45363</v>
      </c>
      <c r="AF682" t="s">
        <v>156</v>
      </c>
      <c r="AG682" t="s">
        <v>112</v>
      </c>
      <c r="AH682" t="s">
        <v>112</v>
      </c>
      <c r="AI682" s="63">
        <v>45026</v>
      </c>
      <c r="AJ682" s="63">
        <v>45657</v>
      </c>
      <c r="AK682" t="s">
        <v>112</v>
      </c>
      <c r="AL682" t="s">
        <v>112</v>
      </c>
      <c r="AM682" t="s">
        <v>111</v>
      </c>
      <c r="AN682">
        <v>33417</v>
      </c>
      <c r="AO682" t="s">
        <v>110</v>
      </c>
      <c r="AP682" t="s">
        <v>109</v>
      </c>
    </row>
    <row r="683" spans="1:42" x14ac:dyDescent="0.25">
      <c r="A683" s="28" t="str">
        <f>"15217"</f>
        <v>15217</v>
      </c>
      <c r="B683">
        <v>15217</v>
      </c>
      <c r="C683" t="s">
        <v>2488</v>
      </c>
      <c r="D683" t="s">
        <v>121</v>
      </c>
      <c r="E683" t="s">
        <v>4082</v>
      </c>
      <c r="F683" t="s">
        <v>120</v>
      </c>
      <c r="G683" t="s">
        <v>1369</v>
      </c>
      <c r="I683" t="s">
        <v>8995</v>
      </c>
      <c r="J683" t="s">
        <v>7</v>
      </c>
      <c r="K683" s="63">
        <v>24810</v>
      </c>
      <c r="L683" s="28">
        <f>DATEDIF(K683,Zwift25!G$1,"Y")</f>
        <v>56</v>
      </c>
      <c r="M683" s="67">
        <f>IF(J683="m",VLOOKUP(L683,'All Solo Adjustments'!A:D,4,FALSE),VLOOKUP(L683,'All Solo Adjustments'!A:J,10,FALSE))</f>
        <v>2.2685185185185182E-3</v>
      </c>
      <c r="N683" s="63"/>
      <c r="O683" s="63"/>
      <c r="P683" s="63"/>
      <c r="Q683" s="63"/>
      <c r="R683" t="s">
        <v>328</v>
      </c>
      <c r="S683" t="s">
        <v>327</v>
      </c>
      <c r="T683" t="s">
        <v>292</v>
      </c>
      <c r="U683" t="s">
        <v>8994</v>
      </c>
      <c r="V683" t="s">
        <v>8993</v>
      </c>
      <c r="W683" t="s">
        <v>810</v>
      </c>
      <c r="Y683" t="s">
        <v>8992</v>
      </c>
      <c r="Z683" t="str">
        <f>"07881 900127"</f>
        <v>07881 900127</v>
      </c>
      <c r="AA683" t="str">
        <f>"01768 890120"</f>
        <v>01768 890120</v>
      </c>
      <c r="AB683" t="s">
        <v>1706</v>
      </c>
      <c r="AC683" t="s">
        <v>8991</v>
      </c>
      <c r="AD683" t="s">
        <v>114</v>
      </c>
      <c r="AE683" s="63">
        <v>45226</v>
      </c>
      <c r="AF683" t="s">
        <v>156</v>
      </c>
      <c r="AG683" t="s">
        <v>112</v>
      </c>
      <c r="AH683" t="s">
        <v>112</v>
      </c>
      <c r="AI683" s="63">
        <v>44427</v>
      </c>
      <c r="AJ683" s="63">
        <v>45657</v>
      </c>
      <c r="AK683" t="s">
        <v>112</v>
      </c>
      <c r="AL683" t="s">
        <v>111</v>
      </c>
      <c r="AM683" t="s">
        <v>111</v>
      </c>
      <c r="AN683">
        <v>40475</v>
      </c>
      <c r="AO683" t="s">
        <v>110</v>
      </c>
      <c r="AP683" t="s">
        <v>109</v>
      </c>
    </row>
    <row r="684" spans="1:42" x14ac:dyDescent="0.25">
      <c r="A684" s="28" t="str">
        <f>"0880"</f>
        <v>0880</v>
      </c>
      <c r="B684">
        <v>880</v>
      </c>
      <c r="C684" t="s">
        <v>2488</v>
      </c>
      <c r="D684" t="s">
        <v>121</v>
      </c>
      <c r="F684" t="s">
        <v>120</v>
      </c>
      <c r="G684" t="s">
        <v>220</v>
      </c>
      <c r="I684" t="s">
        <v>8990</v>
      </c>
      <c r="J684" t="s">
        <v>7</v>
      </c>
      <c r="K684" s="63">
        <v>12749</v>
      </c>
      <c r="L684" s="28">
        <f>DATEDIF(K684,Zwift25!G$1,"Y")</f>
        <v>89</v>
      </c>
      <c r="M684" s="67">
        <f>IF(J684="m",VLOOKUP(L684,'All Solo Adjustments'!A:D,4,FALSE),VLOOKUP(L684,'All Solo Adjustments'!A:J,10,FALSE))</f>
        <v>1.7465277777777777E-2</v>
      </c>
      <c r="N684" s="63"/>
      <c r="O684" s="63"/>
      <c r="P684" s="63"/>
      <c r="Q684" s="63"/>
      <c r="R684" t="s">
        <v>283</v>
      </c>
      <c r="S684" t="s">
        <v>2311</v>
      </c>
      <c r="T684" t="s">
        <v>292</v>
      </c>
      <c r="U684" t="s">
        <v>8989</v>
      </c>
      <c r="W684" t="s">
        <v>1346</v>
      </c>
      <c r="Y684" t="s">
        <v>8988</v>
      </c>
      <c r="Z684" t="str">
        <f>"02476 410010"</f>
        <v>02476 410010</v>
      </c>
      <c r="AA684" t="str">
        <f>""</f>
        <v/>
      </c>
      <c r="AB684" t="s">
        <v>1345</v>
      </c>
      <c r="AC684" t="s">
        <v>8987</v>
      </c>
      <c r="AD684" t="s">
        <v>145</v>
      </c>
      <c r="AF684" t="s">
        <v>113</v>
      </c>
      <c r="AG684" t="s">
        <v>111</v>
      </c>
      <c r="AH684" t="s">
        <v>112</v>
      </c>
      <c r="AI684" s="63">
        <v>43923</v>
      </c>
      <c r="AK684" t="s">
        <v>111</v>
      </c>
      <c r="AL684" t="s">
        <v>111</v>
      </c>
      <c r="AM684" t="s">
        <v>111</v>
      </c>
      <c r="AN684" t="s">
        <v>105</v>
      </c>
      <c r="AO684" t="s">
        <v>110</v>
      </c>
      <c r="AP684" t="s">
        <v>109</v>
      </c>
    </row>
    <row r="685" spans="1:42" x14ac:dyDescent="0.25">
      <c r="A685" s="28" t="str">
        <f>"0881"</f>
        <v>0881</v>
      </c>
      <c r="B685">
        <v>881</v>
      </c>
      <c r="C685" t="s">
        <v>2488</v>
      </c>
      <c r="D685" t="s">
        <v>121</v>
      </c>
      <c r="F685" t="s">
        <v>120</v>
      </c>
      <c r="G685" t="s">
        <v>230</v>
      </c>
      <c r="I685" t="s">
        <v>1970</v>
      </c>
      <c r="J685" t="s">
        <v>7</v>
      </c>
      <c r="K685" s="63">
        <v>18824</v>
      </c>
      <c r="L685" s="28">
        <f>DATEDIF(K685,Zwift25!G$1,"Y")</f>
        <v>73</v>
      </c>
      <c r="M685" s="67">
        <f>IF(J685="m",VLOOKUP(L685,'All Solo Adjustments'!A:D,4,FALSE),VLOOKUP(L685,'All Solo Adjustments'!A:J,10,FALSE))</f>
        <v>7.5462962962962966E-3</v>
      </c>
      <c r="N685" s="63"/>
      <c r="O685" s="63"/>
      <c r="P685" s="63"/>
      <c r="Q685" s="63"/>
      <c r="R685" t="s">
        <v>184</v>
      </c>
      <c r="S685" t="s">
        <v>183</v>
      </c>
      <c r="T685" t="s">
        <v>292</v>
      </c>
      <c r="U685" t="s">
        <v>8986</v>
      </c>
      <c r="V685" t="s">
        <v>1423</v>
      </c>
      <c r="Y685" t="s">
        <v>8985</v>
      </c>
      <c r="Z685" t="str">
        <f>"07840935168"</f>
        <v>07840935168</v>
      </c>
      <c r="AA685" t="str">
        <f>""</f>
        <v/>
      </c>
      <c r="AB685" t="s">
        <v>2343</v>
      </c>
      <c r="AC685" t="s">
        <v>8984</v>
      </c>
      <c r="AD685" t="s">
        <v>114</v>
      </c>
      <c r="AE685" s="63">
        <v>45262</v>
      </c>
      <c r="AF685" t="s">
        <v>113</v>
      </c>
      <c r="AG685" t="s">
        <v>112</v>
      </c>
      <c r="AH685" t="s">
        <v>112</v>
      </c>
      <c r="AI685" s="63">
        <v>43457</v>
      </c>
      <c r="AJ685" s="63">
        <v>45657</v>
      </c>
      <c r="AK685" t="s">
        <v>111</v>
      </c>
      <c r="AL685" t="s">
        <v>111</v>
      </c>
      <c r="AM685" t="s">
        <v>111</v>
      </c>
      <c r="AN685">
        <v>1080</v>
      </c>
      <c r="AO685" t="s">
        <v>110</v>
      </c>
      <c r="AP685" t="s">
        <v>109</v>
      </c>
    </row>
    <row r="686" spans="1:42" x14ac:dyDescent="0.25">
      <c r="A686" s="28" t="str">
        <f>"16010"</f>
        <v>16010</v>
      </c>
      <c r="B686">
        <v>16010</v>
      </c>
      <c r="C686" t="s">
        <v>2488</v>
      </c>
      <c r="D686" t="s">
        <v>121</v>
      </c>
      <c r="F686" t="s">
        <v>120</v>
      </c>
      <c r="G686" t="s">
        <v>400</v>
      </c>
      <c r="H686" t="s">
        <v>284</v>
      </c>
      <c r="I686" t="s">
        <v>8983</v>
      </c>
      <c r="J686" t="s">
        <v>7</v>
      </c>
      <c r="K686" s="63">
        <v>24780</v>
      </c>
      <c r="L686" s="28">
        <f>DATEDIF(K686,Zwift25!G$1,"Y")</f>
        <v>56</v>
      </c>
      <c r="M686" s="67">
        <f>IF(J686="m",VLOOKUP(L686,'All Solo Adjustments'!A:D,4,FALSE),VLOOKUP(L686,'All Solo Adjustments'!A:J,10,FALSE))</f>
        <v>2.2685185185185182E-3</v>
      </c>
      <c r="N686" s="63"/>
      <c r="O686" s="63"/>
      <c r="P686" s="63"/>
      <c r="Q686" s="63"/>
      <c r="R686" t="s">
        <v>125</v>
      </c>
      <c r="S686" t="s">
        <v>170</v>
      </c>
      <c r="T686" t="s">
        <v>292</v>
      </c>
      <c r="U686" t="s">
        <v>8982</v>
      </c>
      <c r="V686" t="s">
        <v>8981</v>
      </c>
      <c r="W686" t="s">
        <v>146</v>
      </c>
      <c r="Y686" t="s">
        <v>8980</v>
      </c>
      <c r="Z686" t="str">
        <f>"07453484455"</f>
        <v>07453484455</v>
      </c>
      <c r="AA686" t="str">
        <f>""</f>
        <v/>
      </c>
      <c r="AB686" t="s">
        <v>505</v>
      </c>
      <c r="AC686" t="s">
        <v>8979</v>
      </c>
      <c r="AD686" t="s">
        <v>114</v>
      </c>
      <c r="AE686" s="63">
        <v>45323</v>
      </c>
      <c r="AF686" t="s">
        <v>156</v>
      </c>
      <c r="AG686" t="s">
        <v>112</v>
      </c>
      <c r="AH686" t="s">
        <v>112</v>
      </c>
      <c r="AI686" s="63">
        <v>45323</v>
      </c>
      <c r="AJ686" s="63">
        <v>45657</v>
      </c>
      <c r="AK686" t="s">
        <v>112</v>
      </c>
      <c r="AL686" t="s">
        <v>111</v>
      </c>
      <c r="AM686" t="s">
        <v>111</v>
      </c>
      <c r="AN686">
        <v>30628</v>
      </c>
      <c r="AO686" t="s">
        <v>110</v>
      </c>
      <c r="AP686" t="s">
        <v>109</v>
      </c>
    </row>
    <row r="687" spans="1:42" x14ac:dyDescent="0.25">
      <c r="A687" s="28" t="str">
        <f>"3311"</f>
        <v>3311</v>
      </c>
      <c r="B687">
        <v>3311</v>
      </c>
      <c r="C687" t="s">
        <v>2488</v>
      </c>
      <c r="D687" t="s">
        <v>121</v>
      </c>
      <c r="F687" t="s">
        <v>120</v>
      </c>
      <c r="G687" t="s">
        <v>410</v>
      </c>
      <c r="H687" t="s">
        <v>284</v>
      </c>
      <c r="I687" t="s">
        <v>8978</v>
      </c>
      <c r="J687" t="s">
        <v>7</v>
      </c>
      <c r="K687" s="63">
        <v>12899</v>
      </c>
      <c r="L687" s="28">
        <f>DATEDIF(K687,Zwift25!G$1,"Y")</f>
        <v>89</v>
      </c>
      <c r="M687" s="67">
        <f>IF(J687="m",VLOOKUP(L687,'All Solo Adjustments'!A:D,4,FALSE),VLOOKUP(L687,'All Solo Adjustments'!A:J,10,FALSE))</f>
        <v>1.7465277777777777E-2</v>
      </c>
      <c r="N687" s="63"/>
      <c r="O687" s="63"/>
      <c r="P687" s="63"/>
      <c r="Q687" s="63"/>
      <c r="R687" t="s">
        <v>184</v>
      </c>
      <c r="S687" t="s">
        <v>183</v>
      </c>
      <c r="T687" t="s">
        <v>292</v>
      </c>
      <c r="U687" t="s">
        <v>8977</v>
      </c>
      <c r="V687" t="s">
        <v>8976</v>
      </c>
      <c r="W687" t="s">
        <v>2236</v>
      </c>
      <c r="Y687" t="s">
        <v>8975</v>
      </c>
      <c r="Z687" t="str">
        <f>"020 8582 7815"</f>
        <v>020 8582 7815</v>
      </c>
      <c r="AA687" t="str">
        <f>""</f>
        <v/>
      </c>
      <c r="AB687" t="s">
        <v>3495</v>
      </c>
      <c r="AC687" t="s">
        <v>8974</v>
      </c>
      <c r="AD687" t="s">
        <v>114</v>
      </c>
      <c r="AE687" s="63">
        <v>45262</v>
      </c>
      <c r="AF687" t="s">
        <v>156</v>
      </c>
      <c r="AG687" t="s">
        <v>112</v>
      </c>
      <c r="AH687" t="s">
        <v>112</v>
      </c>
      <c r="AI687" s="63">
        <v>39550</v>
      </c>
      <c r="AJ687" s="63">
        <v>45657</v>
      </c>
      <c r="AK687" t="s">
        <v>111</v>
      </c>
      <c r="AL687" t="s">
        <v>111</v>
      </c>
      <c r="AM687" t="s">
        <v>111</v>
      </c>
      <c r="AN687" t="s">
        <v>105</v>
      </c>
      <c r="AO687" t="s">
        <v>110</v>
      </c>
      <c r="AP687" t="s">
        <v>109</v>
      </c>
    </row>
    <row r="688" spans="1:42" x14ac:dyDescent="0.25">
      <c r="A688" s="28" t="str">
        <f>"16011"</f>
        <v>16011</v>
      </c>
      <c r="B688">
        <v>16011</v>
      </c>
      <c r="C688" t="s">
        <v>2488</v>
      </c>
      <c r="D688" t="s">
        <v>121</v>
      </c>
      <c r="E688" t="s">
        <v>584</v>
      </c>
      <c r="F688" t="s">
        <v>120</v>
      </c>
      <c r="G688" t="s">
        <v>1016</v>
      </c>
      <c r="H688" t="s">
        <v>189</v>
      </c>
      <c r="I688" t="s">
        <v>8973</v>
      </c>
      <c r="J688" t="s">
        <v>7</v>
      </c>
      <c r="K688" s="63">
        <v>24383</v>
      </c>
      <c r="L688" s="28">
        <f>DATEDIF(K688,Zwift25!G$1,"Y")</f>
        <v>58</v>
      </c>
      <c r="M688" s="67">
        <f>IF(J688="m",VLOOKUP(L688,'All Solo Adjustments'!A:D,4,FALSE),VLOOKUP(L688,'All Solo Adjustments'!A:J,10,FALSE))</f>
        <v>2.7199074074074074E-3</v>
      </c>
      <c r="N688" s="63"/>
      <c r="O688" s="63"/>
      <c r="P688" s="63"/>
      <c r="Q688" s="63"/>
      <c r="R688" t="s">
        <v>184</v>
      </c>
      <c r="S688" t="s">
        <v>183</v>
      </c>
      <c r="T688" t="s">
        <v>292</v>
      </c>
      <c r="U688" t="s">
        <v>8972</v>
      </c>
      <c r="V688" t="s">
        <v>8971</v>
      </c>
      <c r="W688" t="s">
        <v>8970</v>
      </c>
      <c r="X688" t="s">
        <v>401</v>
      </c>
      <c r="Y688" t="s">
        <v>8969</v>
      </c>
      <c r="Z688" t="str">
        <f>"07770868688"</f>
        <v>07770868688</v>
      </c>
      <c r="AA688" t="str">
        <f>""</f>
        <v/>
      </c>
      <c r="AB688" t="s">
        <v>301</v>
      </c>
      <c r="AC688" t="s">
        <v>8968</v>
      </c>
      <c r="AD688" t="s">
        <v>114</v>
      </c>
      <c r="AE688" s="63">
        <v>45323</v>
      </c>
      <c r="AF688" t="s">
        <v>156</v>
      </c>
      <c r="AG688" t="s">
        <v>112</v>
      </c>
      <c r="AH688" t="s">
        <v>112</v>
      </c>
      <c r="AI688" s="63">
        <v>45323</v>
      </c>
      <c r="AJ688" s="63">
        <v>45657</v>
      </c>
      <c r="AK688" t="s">
        <v>112</v>
      </c>
      <c r="AL688" t="s">
        <v>111</v>
      </c>
      <c r="AM688" t="s">
        <v>111</v>
      </c>
      <c r="AN688">
        <v>3412</v>
      </c>
      <c r="AO688" t="s">
        <v>110</v>
      </c>
      <c r="AP688" t="s">
        <v>109</v>
      </c>
    </row>
    <row r="689" spans="1:42" x14ac:dyDescent="0.25">
      <c r="A689" s="28" t="str">
        <f>"13056"</f>
        <v>13056</v>
      </c>
      <c r="B689">
        <v>13056</v>
      </c>
      <c r="C689" t="s">
        <v>2488</v>
      </c>
      <c r="D689" t="s">
        <v>121</v>
      </c>
      <c r="E689" t="s">
        <v>584</v>
      </c>
      <c r="F689" t="s">
        <v>120</v>
      </c>
      <c r="G689" t="s">
        <v>284</v>
      </c>
      <c r="H689" t="s">
        <v>2037</v>
      </c>
      <c r="I689" t="s">
        <v>8967</v>
      </c>
      <c r="J689" t="s">
        <v>7</v>
      </c>
      <c r="K689" s="63">
        <v>28427</v>
      </c>
      <c r="L689" s="28">
        <f>DATEDIF(K689,Zwift25!G$1,"Y")</f>
        <v>46</v>
      </c>
      <c r="M689" s="67">
        <f>IF(J689="m",VLOOKUP(L689,'All Solo Adjustments'!A:D,4,FALSE),VLOOKUP(L689,'All Solo Adjustments'!A:J,10,FALSE))</f>
        <v>5.6712962962962956E-4</v>
      </c>
      <c r="N689" s="63"/>
      <c r="O689" s="63"/>
      <c r="P689" s="63"/>
      <c r="Q689" s="63"/>
      <c r="R689" t="s">
        <v>137</v>
      </c>
      <c r="S689" t="s">
        <v>136</v>
      </c>
      <c r="T689" t="s">
        <v>292</v>
      </c>
      <c r="U689" t="s">
        <v>8966</v>
      </c>
      <c r="V689" t="s">
        <v>8965</v>
      </c>
      <c r="W689" t="s">
        <v>723</v>
      </c>
      <c r="X689" t="s">
        <v>1429</v>
      </c>
      <c r="Y689" t="s">
        <v>8964</v>
      </c>
      <c r="Z689" t="str">
        <f>"07913406480"</f>
        <v>07913406480</v>
      </c>
      <c r="AA689" t="str">
        <f>""</f>
        <v/>
      </c>
      <c r="AB689" t="s">
        <v>378</v>
      </c>
      <c r="AC689" t="s">
        <v>8963</v>
      </c>
      <c r="AD689" t="s">
        <v>114</v>
      </c>
      <c r="AE689" s="63">
        <v>45332</v>
      </c>
      <c r="AF689" t="s">
        <v>113</v>
      </c>
      <c r="AG689" t="s">
        <v>112</v>
      </c>
      <c r="AH689" t="s">
        <v>112</v>
      </c>
      <c r="AI689" s="63">
        <v>43235</v>
      </c>
      <c r="AJ689" s="63">
        <v>45657</v>
      </c>
      <c r="AK689" t="s">
        <v>112</v>
      </c>
      <c r="AL689" t="s">
        <v>111</v>
      </c>
      <c r="AM689" t="s">
        <v>111</v>
      </c>
      <c r="AN689">
        <v>3709</v>
      </c>
      <c r="AO689" t="s">
        <v>110</v>
      </c>
      <c r="AP689" t="s">
        <v>109</v>
      </c>
    </row>
    <row r="690" spans="1:42" x14ac:dyDescent="0.25">
      <c r="A690" s="28" t="str">
        <f>"6356"</f>
        <v>6356</v>
      </c>
      <c r="B690">
        <v>6356</v>
      </c>
      <c r="C690" t="s">
        <v>2488</v>
      </c>
      <c r="D690" t="s">
        <v>121</v>
      </c>
      <c r="F690" t="s">
        <v>120</v>
      </c>
      <c r="G690" t="s">
        <v>377</v>
      </c>
      <c r="H690" t="s">
        <v>734</v>
      </c>
      <c r="I690" t="s">
        <v>8962</v>
      </c>
      <c r="J690" t="s">
        <v>7</v>
      </c>
      <c r="K690" s="63">
        <v>20522</v>
      </c>
      <c r="L690" s="28">
        <f>DATEDIF(K690,Zwift25!G$1,"Y")</f>
        <v>68</v>
      </c>
      <c r="M690" s="67">
        <f>IF(J690="m",VLOOKUP(L690,'All Solo Adjustments'!A:D,4,FALSE),VLOOKUP(L690,'All Solo Adjustments'!A:J,10,FALSE))</f>
        <v>5.6134259259259262E-3</v>
      </c>
      <c r="N690" s="63"/>
      <c r="O690" s="63"/>
      <c r="P690" s="63"/>
      <c r="Q690" s="63"/>
      <c r="R690" t="s">
        <v>213</v>
      </c>
      <c r="S690" t="s">
        <v>212</v>
      </c>
      <c r="T690" t="s">
        <v>292</v>
      </c>
      <c r="U690" t="s">
        <v>8961</v>
      </c>
      <c r="V690" t="s">
        <v>8960</v>
      </c>
      <c r="W690" t="s">
        <v>8959</v>
      </c>
      <c r="X690" t="s">
        <v>2415</v>
      </c>
      <c r="Y690" t="s">
        <v>8958</v>
      </c>
      <c r="Z690" t="str">
        <f>"035 3874 112500"</f>
        <v>035 3874 112500</v>
      </c>
      <c r="AA690" t="str">
        <f>""</f>
        <v/>
      </c>
      <c r="AB690" t="s">
        <v>8957</v>
      </c>
      <c r="AC690" t="s">
        <v>8956</v>
      </c>
      <c r="AD690" t="s">
        <v>114</v>
      </c>
      <c r="AE690" s="63">
        <v>45215</v>
      </c>
      <c r="AF690" t="s">
        <v>156</v>
      </c>
      <c r="AG690" t="s">
        <v>112</v>
      </c>
      <c r="AH690" t="s">
        <v>112</v>
      </c>
      <c r="AI690" s="63">
        <v>43040</v>
      </c>
      <c r="AJ690" s="63">
        <v>45657</v>
      </c>
      <c r="AK690" t="s">
        <v>111</v>
      </c>
      <c r="AL690" t="s">
        <v>111</v>
      </c>
      <c r="AM690" t="s">
        <v>111</v>
      </c>
      <c r="AN690">
        <v>22770</v>
      </c>
      <c r="AO690" t="s">
        <v>110</v>
      </c>
      <c r="AP690" t="s">
        <v>109</v>
      </c>
    </row>
    <row r="691" spans="1:42" x14ac:dyDescent="0.25">
      <c r="A691" s="28" t="str">
        <f>"0883"</f>
        <v>0883</v>
      </c>
      <c r="B691">
        <v>883</v>
      </c>
      <c r="C691" t="s">
        <v>2488</v>
      </c>
      <c r="D691" t="s">
        <v>121</v>
      </c>
      <c r="F691" t="s">
        <v>120</v>
      </c>
      <c r="G691" t="s">
        <v>300</v>
      </c>
      <c r="I691" t="s">
        <v>1769</v>
      </c>
      <c r="J691" t="s">
        <v>7</v>
      </c>
      <c r="K691" s="63">
        <v>13483</v>
      </c>
      <c r="L691" s="28">
        <f>DATEDIF(K691,Zwift25!G$1,"Y")</f>
        <v>87</v>
      </c>
      <c r="M691" s="67">
        <f>IF(J691="m",VLOOKUP(L691,'All Solo Adjustments'!A:D,4,FALSE),VLOOKUP(L691,'All Solo Adjustments'!A:J,10,FALSE))</f>
        <v>1.576388888888889E-2</v>
      </c>
      <c r="N691" s="63"/>
      <c r="O691" s="63"/>
      <c r="P691" s="63"/>
      <c r="Q691" s="63"/>
      <c r="R691" t="s">
        <v>296</v>
      </c>
      <c r="S691" t="s">
        <v>2310</v>
      </c>
      <c r="T691" t="s">
        <v>292</v>
      </c>
      <c r="U691" t="s">
        <v>8955</v>
      </c>
      <c r="V691" t="s">
        <v>4408</v>
      </c>
      <c r="Y691" t="s">
        <v>8954</v>
      </c>
      <c r="Z691" t="str">
        <f>"01324 471038"</f>
        <v>01324 471038</v>
      </c>
      <c r="AA691" t="str">
        <f>""</f>
        <v/>
      </c>
      <c r="AB691" t="s">
        <v>4406</v>
      </c>
      <c r="AC691" t="s">
        <v>8953</v>
      </c>
      <c r="AD691" t="s">
        <v>151</v>
      </c>
      <c r="AF691" t="s">
        <v>113</v>
      </c>
      <c r="AG691" t="s">
        <v>112</v>
      </c>
      <c r="AH691" t="s">
        <v>112</v>
      </c>
      <c r="AI691" s="63">
        <v>30023</v>
      </c>
      <c r="AK691" t="s">
        <v>111</v>
      </c>
      <c r="AL691" t="s">
        <v>111</v>
      </c>
      <c r="AM691" t="s">
        <v>111</v>
      </c>
      <c r="AN691" t="s">
        <v>105</v>
      </c>
      <c r="AO691" t="s">
        <v>110</v>
      </c>
      <c r="AP691" t="s">
        <v>109</v>
      </c>
    </row>
    <row r="692" spans="1:42" x14ac:dyDescent="0.25">
      <c r="A692" s="28" t="str">
        <f>"0884"</f>
        <v>0884</v>
      </c>
      <c r="B692">
        <v>884</v>
      </c>
      <c r="C692" t="s">
        <v>2488</v>
      </c>
      <c r="D692" t="s">
        <v>121</v>
      </c>
      <c r="E692" t="s">
        <v>2387</v>
      </c>
      <c r="F692" t="s">
        <v>120</v>
      </c>
      <c r="G692" t="s">
        <v>234</v>
      </c>
      <c r="I692" t="s">
        <v>8952</v>
      </c>
      <c r="J692" t="s">
        <v>7</v>
      </c>
      <c r="K692" s="63">
        <v>19702</v>
      </c>
      <c r="L692" s="28">
        <f>DATEDIF(K692,Zwift25!G$1,"Y")</f>
        <v>70</v>
      </c>
      <c r="M692" s="67">
        <f>IF(J692="m",VLOOKUP(L692,'All Solo Adjustments'!A:D,4,FALSE),VLOOKUP(L692,'All Solo Adjustments'!A:J,10,FALSE))</f>
        <v>6.3425925925925924E-3</v>
      </c>
      <c r="N692" s="63"/>
      <c r="O692" s="63"/>
      <c r="P692" s="63"/>
      <c r="Q692" s="63"/>
      <c r="R692" t="s">
        <v>296</v>
      </c>
      <c r="S692" t="s">
        <v>5271</v>
      </c>
      <c r="T692" t="s">
        <v>292</v>
      </c>
      <c r="U692" t="s">
        <v>8951</v>
      </c>
      <c r="V692" t="s">
        <v>8950</v>
      </c>
      <c r="W692" t="s">
        <v>1341</v>
      </c>
      <c r="X692" t="s">
        <v>2064</v>
      </c>
      <c r="Y692" t="s">
        <v>8949</v>
      </c>
      <c r="Z692" t="str">
        <f>"07806788969"</f>
        <v>07806788969</v>
      </c>
      <c r="AA692" t="str">
        <f>"07806788969"</f>
        <v>07806788969</v>
      </c>
      <c r="AB692" t="s">
        <v>290</v>
      </c>
      <c r="AC692" t="s">
        <v>8948</v>
      </c>
      <c r="AD692" t="s">
        <v>114</v>
      </c>
      <c r="AE692" s="63">
        <v>43150</v>
      </c>
      <c r="AF692" t="s">
        <v>113</v>
      </c>
      <c r="AG692" t="s">
        <v>112</v>
      </c>
      <c r="AH692" t="s">
        <v>112</v>
      </c>
      <c r="AI692" s="63">
        <v>34351</v>
      </c>
      <c r="AK692" t="s">
        <v>111</v>
      </c>
      <c r="AL692" t="s">
        <v>111</v>
      </c>
      <c r="AM692" t="s">
        <v>111</v>
      </c>
      <c r="AN692" t="s">
        <v>105</v>
      </c>
      <c r="AO692" t="s">
        <v>110</v>
      </c>
      <c r="AP692" t="s">
        <v>109</v>
      </c>
    </row>
    <row r="693" spans="1:42" x14ac:dyDescent="0.25">
      <c r="A693" s="28" t="str">
        <f>"15667"</f>
        <v>15667</v>
      </c>
      <c r="B693">
        <v>15667</v>
      </c>
      <c r="C693" t="s">
        <v>2488</v>
      </c>
      <c r="D693" t="s">
        <v>121</v>
      </c>
      <c r="E693" t="s">
        <v>584</v>
      </c>
      <c r="F693" t="s">
        <v>403</v>
      </c>
      <c r="G693" t="s">
        <v>164</v>
      </c>
      <c r="I693" t="s">
        <v>8947</v>
      </c>
      <c r="J693" t="s">
        <v>7</v>
      </c>
      <c r="K693" s="63">
        <v>27446</v>
      </c>
      <c r="L693" s="28">
        <f>DATEDIF(K693,Zwift25!G$1,"Y")</f>
        <v>49</v>
      </c>
      <c r="M693" s="67">
        <f>IF(J693="m",VLOOKUP(L693,'All Solo Adjustments'!A:D,4,FALSE),VLOOKUP(L693,'All Solo Adjustments'!A:J,10,FALSE))</f>
        <v>9.837962962962962E-4</v>
      </c>
      <c r="N693" s="63"/>
      <c r="O693" s="63"/>
      <c r="P693" s="63"/>
      <c r="Q693" s="63"/>
      <c r="R693" t="s">
        <v>527</v>
      </c>
      <c r="S693" t="s">
        <v>526</v>
      </c>
      <c r="T693" t="s">
        <v>292</v>
      </c>
      <c r="U693" t="s">
        <v>8946</v>
      </c>
      <c r="V693" t="s">
        <v>8622</v>
      </c>
      <c r="W693" t="s">
        <v>1459</v>
      </c>
      <c r="X693" t="s">
        <v>854</v>
      </c>
      <c r="Y693" t="s">
        <v>8945</v>
      </c>
      <c r="Z693" t="str">
        <f>"07970799371"</f>
        <v>07970799371</v>
      </c>
      <c r="AA693" t="str">
        <f>"01670789017"</f>
        <v>01670789017</v>
      </c>
      <c r="AB693" t="s">
        <v>6065</v>
      </c>
      <c r="AC693" t="s">
        <v>8944</v>
      </c>
      <c r="AD693" t="s">
        <v>114</v>
      </c>
      <c r="AE693" s="63">
        <v>45263</v>
      </c>
      <c r="AF693" t="s">
        <v>156</v>
      </c>
      <c r="AG693" t="s">
        <v>112</v>
      </c>
      <c r="AH693" t="s">
        <v>112</v>
      </c>
      <c r="AI693" s="63">
        <v>44947</v>
      </c>
      <c r="AJ693" s="63">
        <v>45657</v>
      </c>
      <c r="AK693" t="s">
        <v>112</v>
      </c>
      <c r="AL693" t="s">
        <v>111</v>
      </c>
      <c r="AM693" t="s">
        <v>111</v>
      </c>
      <c r="AN693">
        <v>29117</v>
      </c>
      <c r="AO693" t="s">
        <v>110</v>
      </c>
      <c r="AP693" t="s">
        <v>109</v>
      </c>
    </row>
    <row r="694" spans="1:42" x14ac:dyDescent="0.25">
      <c r="A694" s="28" t="str">
        <f>"0886"</f>
        <v>0886</v>
      </c>
      <c r="B694">
        <v>886</v>
      </c>
      <c r="C694" t="s">
        <v>2488</v>
      </c>
      <c r="D694" t="s">
        <v>121</v>
      </c>
      <c r="F694" t="s">
        <v>120</v>
      </c>
      <c r="G694" t="s">
        <v>245</v>
      </c>
      <c r="I694" t="s">
        <v>8943</v>
      </c>
      <c r="J694" t="s">
        <v>7</v>
      </c>
      <c r="K694" s="63">
        <v>23065</v>
      </c>
      <c r="L694" s="28">
        <f>DATEDIF(K694,Zwift25!G$1,"Y")</f>
        <v>61</v>
      </c>
      <c r="M694" s="67">
        <f>IF(J694="m",VLOOKUP(L694,'All Solo Adjustments'!A:D,4,FALSE),VLOOKUP(L694,'All Solo Adjustments'!A:J,10,FALSE))</f>
        <v>3.4722222222222225E-3</v>
      </c>
      <c r="N694" s="63"/>
      <c r="O694" s="63"/>
      <c r="P694" s="63"/>
      <c r="Q694" s="63"/>
      <c r="R694" t="s">
        <v>213</v>
      </c>
      <c r="S694" t="s">
        <v>212</v>
      </c>
      <c r="T694" t="s">
        <v>292</v>
      </c>
      <c r="U694" t="s">
        <v>8942</v>
      </c>
      <c r="W694" t="s">
        <v>431</v>
      </c>
      <c r="X694" t="s">
        <v>213</v>
      </c>
      <c r="Y694" t="s">
        <v>8941</v>
      </c>
      <c r="Z694" t="str">
        <f>"07958217159"</f>
        <v>07958217159</v>
      </c>
      <c r="AA694" t="str">
        <f>"07958217159"</f>
        <v>07958217159</v>
      </c>
      <c r="AB694" t="s">
        <v>8940</v>
      </c>
      <c r="AC694" t="s">
        <v>8939</v>
      </c>
      <c r="AD694" t="s">
        <v>114</v>
      </c>
      <c r="AE694" s="63">
        <v>45306</v>
      </c>
      <c r="AF694" t="s">
        <v>113</v>
      </c>
      <c r="AG694" t="s">
        <v>112</v>
      </c>
      <c r="AH694" t="s">
        <v>112</v>
      </c>
      <c r="AI694" s="63">
        <v>38748</v>
      </c>
      <c r="AJ694" s="63">
        <v>45657</v>
      </c>
      <c r="AK694" t="s">
        <v>111</v>
      </c>
      <c r="AL694" t="s">
        <v>111</v>
      </c>
      <c r="AM694" t="s">
        <v>111</v>
      </c>
      <c r="AN694">
        <v>3706</v>
      </c>
      <c r="AO694" t="s">
        <v>110</v>
      </c>
      <c r="AP694" t="s">
        <v>109</v>
      </c>
    </row>
    <row r="695" spans="1:42" x14ac:dyDescent="0.25">
      <c r="A695" s="28" t="str">
        <f>"15799"</f>
        <v>15799</v>
      </c>
      <c r="B695">
        <v>15799</v>
      </c>
      <c r="C695" t="s">
        <v>2488</v>
      </c>
      <c r="D695" t="s">
        <v>121</v>
      </c>
      <c r="E695" t="s">
        <v>584</v>
      </c>
      <c r="F695" t="s">
        <v>120</v>
      </c>
      <c r="G695" t="s">
        <v>8938</v>
      </c>
      <c r="H695" t="s">
        <v>1310</v>
      </c>
      <c r="I695" t="s">
        <v>8937</v>
      </c>
      <c r="J695" t="s">
        <v>7</v>
      </c>
      <c r="K695" s="63">
        <v>26747</v>
      </c>
      <c r="L695" s="28">
        <f>DATEDIF(K695,Zwift25!G$1,"Y")</f>
        <v>51</v>
      </c>
      <c r="M695" s="67">
        <f>IF(J695="m",VLOOKUP(L695,'All Solo Adjustments'!A:D,4,FALSE),VLOOKUP(L695,'All Solo Adjustments'!A:J,10,FALSE))</f>
        <v>1.3078703703703703E-3</v>
      </c>
      <c r="N695" s="63"/>
      <c r="O695" s="63"/>
      <c r="P695" s="63"/>
      <c r="Q695" s="63"/>
      <c r="R695" t="s">
        <v>184</v>
      </c>
      <c r="S695" t="s">
        <v>183</v>
      </c>
      <c r="T695" t="s">
        <v>292</v>
      </c>
      <c r="U695" t="s">
        <v>8936</v>
      </c>
      <c r="V695" t="s">
        <v>8935</v>
      </c>
      <c r="W695" t="s">
        <v>1284</v>
      </c>
      <c r="Y695" t="s">
        <v>8934</v>
      </c>
      <c r="Z695" t="str">
        <f>"01908260996"</f>
        <v>01908260996</v>
      </c>
      <c r="AA695" t="str">
        <f>""</f>
        <v/>
      </c>
      <c r="AB695" t="s">
        <v>8933</v>
      </c>
      <c r="AC695" t="s">
        <v>8932</v>
      </c>
      <c r="AD695" t="s">
        <v>114</v>
      </c>
      <c r="AE695" s="63">
        <v>45335</v>
      </c>
      <c r="AF695" t="s">
        <v>156</v>
      </c>
      <c r="AG695" t="s">
        <v>112</v>
      </c>
      <c r="AH695" t="s">
        <v>112</v>
      </c>
      <c r="AI695" s="63">
        <v>45039</v>
      </c>
      <c r="AJ695" s="63">
        <v>45657</v>
      </c>
      <c r="AK695" t="s">
        <v>112</v>
      </c>
      <c r="AL695" t="s">
        <v>111</v>
      </c>
      <c r="AM695" t="s">
        <v>111</v>
      </c>
      <c r="AN695">
        <v>37274</v>
      </c>
      <c r="AO695" t="s">
        <v>110</v>
      </c>
      <c r="AP695" t="s">
        <v>109</v>
      </c>
    </row>
    <row r="696" spans="1:42" x14ac:dyDescent="0.25">
      <c r="A696" s="28" t="str">
        <f>"3983"</f>
        <v>3983</v>
      </c>
      <c r="B696">
        <v>3983</v>
      </c>
      <c r="C696" t="s">
        <v>2488</v>
      </c>
      <c r="D696" t="s">
        <v>121</v>
      </c>
      <c r="E696" t="s">
        <v>2500</v>
      </c>
      <c r="F696" t="s">
        <v>120</v>
      </c>
      <c r="G696" t="s">
        <v>2044</v>
      </c>
      <c r="H696" t="s">
        <v>284</v>
      </c>
      <c r="I696" t="s">
        <v>8931</v>
      </c>
      <c r="J696" t="s">
        <v>7</v>
      </c>
      <c r="K696" s="63">
        <v>18745</v>
      </c>
      <c r="L696" s="28">
        <f>DATEDIF(K696,Zwift25!G$1,"Y")</f>
        <v>73</v>
      </c>
      <c r="M696" s="67">
        <f>IF(J696="m",VLOOKUP(L696,'All Solo Adjustments'!A:D,4,FALSE),VLOOKUP(L696,'All Solo Adjustments'!A:J,10,FALSE))</f>
        <v>7.5462962962962966E-3</v>
      </c>
      <c r="N696" s="63"/>
      <c r="O696" s="63"/>
      <c r="P696" s="63"/>
      <c r="Q696" s="63"/>
      <c r="R696" t="s">
        <v>328</v>
      </c>
      <c r="S696" t="s">
        <v>327</v>
      </c>
      <c r="T696" t="s">
        <v>292</v>
      </c>
      <c r="U696" t="s">
        <v>8930</v>
      </c>
      <c r="V696" t="s">
        <v>8929</v>
      </c>
      <c r="W696" t="s">
        <v>8928</v>
      </c>
      <c r="X696" t="s">
        <v>8927</v>
      </c>
      <c r="Y696" t="s">
        <v>8926</v>
      </c>
      <c r="Z696" t="str">
        <f>"01228560571"</f>
        <v>01228560571</v>
      </c>
      <c r="AA696" t="str">
        <f>""</f>
        <v/>
      </c>
      <c r="AB696" t="s">
        <v>362</v>
      </c>
      <c r="AC696" t="s">
        <v>8925</v>
      </c>
      <c r="AD696" t="s">
        <v>114</v>
      </c>
      <c r="AE696" s="63">
        <v>45572</v>
      </c>
      <c r="AF696" t="s">
        <v>113</v>
      </c>
      <c r="AG696" t="s">
        <v>112</v>
      </c>
      <c r="AH696" t="s">
        <v>112</v>
      </c>
      <c r="AI696" s="63">
        <v>40337</v>
      </c>
      <c r="AJ696" s="63">
        <v>46022</v>
      </c>
      <c r="AK696" t="s">
        <v>111</v>
      </c>
      <c r="AL696" t="s">
        <v>111</v>
      </c>
      <c r="AM696" t="s">
        <v>111</v>
      </c>
      <c r="AN696">
        <v>6144</v>
      </c>
      <c r="AO696" t="s">
        <v>110</v>
      </c>
      <c r="AP696" t="s">
        <v>109</v>
      </c>
    </row>
    <row r="697" spans="1:42" x14ac:dyDescent="0.25">
      <c r="A697" s="28" t="str">
        <f>"0890"</f>
        <v>0890</v>
      </c>
      <c r="B697">
        <v>890</v>
      </c>
      <c r="C697" t="s">
        <v>2488</v>
      </c>
      <c r="D697" t="s">
        <v>121</v>
      </c>
      <c r="F697" t="s">
        <v>120</v>
      </c>
      <c r="G697" t="s">
        <v>695</v>
      </c>
      <c r="H697" t="s">
        <v>604</v>
      </c>
      <c r="I697" t="s">
        <v>8924</v>
      </c>
      <c r="J697" t="s">
        <v>7</v>
      </c>
      <c r="K697" s="63">
        <v>12287</v>
      </c>
      <c r="L697" s="28">
        <f>DATEDIF(K697,Zwift25!G$1,"Y")</f>
        <v>91</v>
      </c>
      <c r="M697" s="67">
        <f>IF(J697="m",VLOOKUP(L697,'All Solo Adjustments'!A:D,4,FALSE),VLOOKUP(L697,'All Solo Adjustments'!A:J,10,FALSE))</f>
        <v>1.9363425925925926E-2</v>
      </c>
      <c r="N697" s="63"/>
      <c r="O697" s="63"/>
      <c r="P697" s="63"/>
      <c r="Q697" s="63"/>
      <c r="R697" t="s">
        <v>143</v>
      </c>
      <c r="S697" t="s">
        <v>487</v>
      </c>
      <c r="T697" t="s">
        <v>292</v>
      </c>
      <c r="U697" t="s">
        <v>8923</v>
      </c>
      <c r="V697" t="s">
        <v>723</v>
      </c>
      <c r="W697" t="s">
        <v>141</v>
      </c>
      <c r="Y697" t="s">
        <v>8922</v>
      </c>
      <c r="Z697" t="str">
        <f>"02086 433841"</f>
        <v>02086 433841</v>
      </c>
      <c r="AA697" t="str">
        <f>""</f>
        <v/>
      </c>
      <c r="AB697" t="s">
        <v>722</v>
      </c>
      <c r="AD697" t="s">
        <v>151</v>
      </c>
      <c r="AF697" t="s">
        <v>113</v>
      </c>
      <c r="AG697" t="s">
        <v>112</v>
      </c>
      <c r="AH697" t="s">
        <v>112</v>
      </c>
      <c r="AI697" s="63">
        <v>32143</v>
      </c>
      <c r="AK697" t="s">
        <v>111</v>
      </c>
      <c r="AL697" t="s">
        <v>111</v>
      </c>
      <c r="AM697" t="s">
        <v>111</v>
      </c>
      <c r="AN697" t="s">
        <v>105</v>
      </c>
      <c r="AO697" t="s">
        <v>110</v>
      </c>
      <c r="AP697" t="s">
        <v>109</v>
      </c>
    </row>
    <row r="698" spans="1:42" x14ac:dyDescent="0.25">
      <c r="A698" s="28" t="str">
        <f>"0892"</f>
        <v>0892</v>
      </c>
      <c r="B698">
        <v>892</v>
      </c>
      <c r="C698" t="s">
        <v>2488</v>
      </c>
      <c r="D698" t="s">
        <v>121</v>
      </c>
      <c r="F698" t="s">
        <v>120</v>
      </c>
      <c r="G698" t="s">
        <v>678</v>
      </c>
      <c r="H698" t="s">
        <v>410</v>
      </c>
      <c r="I698" t="s">
        <v>8921</v>
      </c>
      <c r="J698" t="s">
        <v>7</v>
      </c>
      <c r="K698" s="63">
        <v>11015</v>
      </c>
      <c r="L698" s="28">
        <f>DATEDIF(K698,Zwift25!G$1,"Y")</f>
        <v>94</v>
      </c>
      <c r="M698" s="67">
        <f>IF(J698="m",VLOOKUP(L698,'All Solo Adjustments'!A:D,4,FALSE),VLOOKUP(L698,'All Solo Adjustments'!A:J,10,FALSE))</f>
        <v>2.2685185185185187E-2</v>
      </c>
      <c r="N698" s="63"/>
      <c r="O698" s="63"/>
      <c r="P698" s="63"/>
      <c r="Q698" s="63"/>
      <c r="R698" t="s">
        <v>143</v>
      </c>
      <c r="S698" t="s">
        <v>487</v>
      </c>
      <c r="T698" t="s">
        <v>292</v>
      </c>
      <c r="U698" t="s">
        <v>8920</v>
      </c>
      <c r="V698" t="s">
        <v>3990</v>
      </c>
      <c r="W698" t="s">
        <v>159</v>
      </c>
      <c r="Y698" t="s">
        <v>8919</v>
      </c>
      <c r="Z698" t="str">
        <f>"02087 776142"</f>
        <v>02087 776142</v>
      </c>
      <c r="AA698" t="str">
        <f>""</f>
        <v/>
      </c>
      <c r="AB698" t="s">
        <v>8071</v>
      </c>
      <c r="AC698" t="s">
        <v>8918</v>
      </c>
      <c r="AD698" t="s">
        <v>151</v>
      </c>
      <c r="AF698" t="s">
        <v>113</v>
      </c>
      <c r="AG698" t="s">
        <v>112</v>
      </c>
      <c r="AH698" t="s">
        <v>112</v>
      </c>
      <c r="AI698" s="63">
        <v>29587</v>
      </c>
      <c r="AK698" t="s">
        <v>111</v>
      </c>
      <c r="AL698" t="s">
        <v>111</v>
      </c>
      <c r="AM698" t="s">
        <v>111</v>
      </c>
      <c r="AN698" t="s">
        <v>105</v>
      </c>
      <c r="AO698" t="s">
        <v>110</v>
      </c>
      <c r="AP698" t="s">
        <v>109</v>
      </c>
    </row>
    <row r="699" spans="1:42" x14ac:dyDescent="0.25">
      <c r="A699" s="28" t="str">
        <f>"14653"</f>
        <v>14653</v>
      </c>
      <c r="B699">
        <v>14653</v>
      </c>
      <c r="C699" t="s">
        <v>2488</v>
      </c>
      <c r="D699" t="s">
        <v>121</v>
      </c>
      <c r="F699" t="s">
        <v>139</v>
      </c>
      <c r="G699" t="s">
        <v>1579</v>
      </c>
      <c r="I699" t="s">
        <v>8917</v>
      </c>
      <c r="J699" t="s">
        <v>126</v>
      </c>
      <c r="K699" s="63">
        <v>29202</v>
      </c>
      <c r="L699" s="28">
        <f>DATEDIF(K699,Zwift25!G$1,"Y")</f>
        <v>44</v>
      </c>
      <c r="M699" s="67">
        <f>IF(J699="m",VLOOKUP(L699,'All Solo Adjustments'!A:D,4,FALSE),VLOOKUP(L699,'All Solo Adjustments'!A:J,10,FALSE))</f>
        <v>4.5717592592592598E-3</v>
      </c>
      <c r="N699" s="63"/>
      <c r="O699" s="63"/>
      <c r="P699" s="63"/>
      <c r="Q699" s="63"/>
      <c r="R699" t="s">
        <v>283</v>
      </c>
      <c r="S699" t="s">
        <v>530</v>
      </c>
      <c r="T699" t="s">
        <v>292</v>
      </c>
      <c r="U699" t="s">
        <v>8916</v>
      </c>
      <c r="V699" t="s">
        <v>8915</v>
      </c>
      <c r="W699" t="s">
        <v>926</v>
      </c>
      <c r="X699" t="s">
        <v>1031</v>
      </c>
      <c r="Y699" t="s">
        <v>8914</v>
      </c>
      <c r="Z699" t="str">
        <f>"+447506436255"</f>
        <v>+447506436255</v>
      </c>
      <c r="AA699" t="str">
        <f>""</f>
        <v/>
      </c>
      <c r="AB699" t="s">
        <v>8913</v>
      </c>
      <c r="AC699" t="s">
        <v>8912</v>
      </c>
      <c r="AD699" t="s">
        <v>114</v>
      </c>
      <c r="AE699" s="63">
        <v>45294</v>
      </c>
      <c r="AF699" t="s">
        <v>156</v>
      </c>
      <c r="AG699" t="s">
        <v>112</v>
      </c>
      <c r="AH699" t="s">
        <v>112</v>
      </c>
      <c r="AI699" s="63">
        <v>44056</v>
      </c>
      <c r="AJ699" s="63">
        <v>45657</v>
      </c>
      <c r="AK699" t="s">
        <v>112</v>
      </c>
      <c r="AL699" t="s">
        <v>111</v>
      </c>
      <c r="AM699" t="s">
        <v>111</v>
      </c>
      <c r="AN699">
        <v>26445</v>
      </c>
      <c r="AO699" t="s">
        <v>122</v>
      </c>
      <c r="AP699" t="s">
        <v>122</v>
      </c>
    </row>
    <row r="700" spans="1:42" x14ac:dyDescent="0.25">
      <c r="A700" s="28" t="str">
        <f>"0893"</f>
        <v>0893</v>
      </c>
      <c r="B700">
        <v>893</v>
      </c>
      <c r="C700" t="s">
        <v>2488</v>
      </c>
      <c r="D700" t="s">
        <v>132</v>
      </c>
      <c r="E700" t="s">
        <v>584</v>
      </c>
      <c r="F700" t="s">
        <v>120</v>
      </c>
      <c r="G700" t="s">
        <v>284</v>
      </c>
      <c r="I700" t="s">
        <v>8910</v>
      </c>
      <c r="J700" t="s">
        <v>7</v>
      </c>
      <c r="K700" s="63">
        <v>19516</v>
      </c>
      <c r="L700" s="28">
        <f>DATEDIF(K700,Zwift25!G$1,"Y")</f>
        <v>71</v>
      </c>
      <c r="M700" s="67">
        <f>IF(J700="m",VLOOKUP(L700,'All Solo Adjustments'!A:D,4,FALSE),VLOOKUP(L700,'All Solo Adjustments'!A:J,10,FALSE))</f>
        <v>6.7245370370370375E-3</v>
      </c>
      <c r="N700" s="63"/>
      <c r="O700" s="63"/>
      <c r="P700" s="63"/>
      <c r="Q700" s="63"/>
      <c r="R700" t="s">
        <v>125</v>
      </c>
      <c r="S700" t="s">
        <v>124</v>
      </c>
      <c r="T700" t="s">
        <v>292</v>
      </c>
      <c r="U700" t="s">
        <v>8909</v>
      </c>
      <c r="V700" t="s">
        <v>4508</v>
      </c>
      <c r="W700" t="s">
        <v>631</v>
      </c>
      <c r="X700" t="s">
        <v>169</v>
      </c>
      <c r="Y700" t="s">
        <v>8908</v>
      </c>
      <c r="Z700" t="str">
        <f>"07709 328113"</f>
        <v>07709 328113</v>
      </c>
      <c r="AA700" t="str">
        <f>"07850 468341"</f>
        <v>07850 468341</v>
      </c>
      <c r="AB700" t="s">
        <v>630</v>
      </c>
      <c r="AC700" t="s">
        <v>8911</v>
      </c>
      <c r="AD700" t="s">
        <v>114</v>
      </c>
      <c r="AE700" s="63">
        <v>45266</v>
      </c>
      <c r="AF700" t="s">
        <v>156</v>
      </c>
      <c r="AG700" t="s">
        <v>112</v>
      </c>
      <c r="AH700" t="s">
        <v>112</v>
      </c>
      <c r="AI700" s="63">
        <v>34126</v>
      </c>
      <c r="AJ700" s="63">
        <v>45657</v>
      </c>
      <c r="AK700" t="s">
        <v>111</v>
      </c>
      <c r="AL700" t="s">
        <v>111</v>
      </c>
      <c r="AM700" t="s">
        <v>111</v>
      </c>
      <c r="AN700">
        <v>160</v>
      </c>
      <c r="AO700" t="s">
        <v>110</v>
      </c>
      <c r="AP700" t="s">
        <v>109</v>
      </c>
    </row>
    <row r="701" spans="1:42" x14ac:dyDescent="0.25">
      <c r="A701" s="28" t="str">
        <f>"13886"</f>
        <v>13886</v>
      </c>
      <c r="B701">
        <v>13886</v>
      </c>
      <c r="C701" t="s">
        <v>2488</v>
      </c>
      <c r="D701" t="s">
        <v>130</v>
      </c>
      <c r="F701" t="s">
        <v>149</v>
      </c>
      <c r="G701" t="s">
        <v>231</v>
      </c>
      <c r="I701" t="s">
        <v>8910</v>
      </c>
      <c r="J701" t="s">
        <v>126</v>
      </c>
      <c r="K701" s="63">
        <v>21132</v>
      </c>
      <c r="L701" s="28">
        <f>DATEDIF(K701,Zwift25!G$1,"Y")</f>
        <v>66</v>
      </c>
      <c r="M701" s="67">
        <f>IF(J701="m",VLOOKUP(L701,'All Solo Adjustments'!A:D,4,FALSE),VLOOKUP(L701,'All Solo Adjustments'!A:J,10,FALSE))</f>
        <v>9.4907407407407406E-3</v>
      </c>
      <c r="N701" s="63"/>
      <c r="O701" s="63"/>
      <c r="P701" s="63"/>
      <c r="Q701" s="63"/>
      <c r="R701" t="s">
        <v>125</v>
      </c>
      <c r="S701" t="s">
        <v>124</v>
      </c>
      <c r="T701" t="s">
        <v>292</v>
      </c>
      <c r="U701" t="s">
        <v>8909</v>
      </c>
      <c r="V701" t="s">
        <v>4508</v>
      </c>
      <c r="W701" t="s">
        <v>631</v>
      </c>
      <c r="X701" t="s">
        <v>169</v>
      </c>
      <c r="Y701" t="s">
        <v>8908</v>
      </c>
      <c r="Z701" t="str">
        <f>"07709 328113"</f>
        <v>07709 328113</v>
      </c>
      <c r="AA701" t="str">
        <f>"07850 468341"</f>
        <v>07850 468341</v>
      </c>
      <c r="AB701" t="s">
        <v>508</v>
      </c>
      <c r="AC701" t="s">
        <v>8907</v>
      </c>
      <c r="AD701" t="s">
        <v>114</v>
      </c>
      <c r="AE701" s="63">
        <v>45266</v>
      </c>
      <c r="AF701" t="s">
        <v>156</v>
      </c>
      <c r="AG701" t="s">
        <v>112</v>
      </c>
      <c r="AH701" t="s">
        <v>112</v>
      </c>
      <c r="AI701" s="63">
        <v>43420</v>
      </c>
      <c r="AJ701" s="63">
        <v>45657</v>
      </c>
      <c r="AK701" t="s">
        <v>112</v>
      </c>
      <c r="AL701" t="s">
        <v>111</v>
      </c>
      <c r="AM701" t="s">
        <v>111</v>
      </c>
      <c r="AN701" t="s">
        <v>105</v>
      </c>
      <c r="AO701" t="s">
        <v>122</v>
      </c>
      <c r="AP701" t="s">
        <v>122</v>
      </c>
    </row>
    <row r="702" spans="1:42" x14ac:dyDescent="0.25">
      <c r="A702" s="28" t="str">
        <f>"15893"</f>
        <v>15893</v>
      </c>
      <c r="B702">
        <v>15893</v>
      </c>
      <c r="C702" t="s">
        <v>2488</v>
      </c>
      <c r="D702" t="s">
        <v>132</v>
      </c>
      <c r="F702" t="s">
        <v>120</v>
      </c>
      <c r="G702" t="s">
        <v>164</v>
      </c>
      <c r="I702" t="s">
        <v>1966</v>
      </c>
      <c r="J702" t="s">
        <v>7</v>
      </c>
      <c r="K702" s="63">
        <v>25223</v>
      </c>
      <c r="L702" s="28">
        <f>DATEDIF(K702,Zwift25!G$1,"Y")</f>
        <v>55</v>
      </c>
      <c r="M702" s="67">
        <f>IF(J702="m",VLOOKUP(L702,'All Solo Adjustments'!A:D,4,FALSE),VLOOKUP(L702,'All Solo Adjustments'!A:J,10,FALSE))</f>
        <v>2.0601851851851853E-3</v>
      </c>
      <c r="N702" s="63"/>
      <c r="O702" s="63"/>
      <c r="P702" s="63"/>
      <c r="Q702" s="63"/>
      <c r="R702" t="s">
        <v>180</v>
      </c>
      <c r="S702" t="s">
        <v>1741</v>
      </c>
      <c r="T702" t="s">
        <v>292</v>
      </c>
      <c r="U702" t="s">
        <v>8904</v>
      </c>
      <c r="V702" t="s">
        <v>8903</v>
      </c>
      <c r="W702" t="s">
        <v>1822</v>
      </c>
      <c r="X702" t="s">
        <v>968</v>
      </c>
      <c r="Y702" t="s">
        <v>8902</v>
      </c>
      <c r="Z702" t="str">
        <f>"+447791654648"</f>
        <v>+447791654648</v>
      </c>
      <c r="AA702" t="str">
        <f>""</f>
        <v/>
      </c>
      <c r="AB702" t="s">
        <v>8906</v>
      </c>
      <c r="AC702" t="s">
        <v>8905</v>
      </c>
      <c r="AD702" t="s">
        <v>114</v>
      </c>
      <c r="AE702" s="63">
        <v>45300</v>
      </c>
      <c r="AF702" t="s">
        <v>156</v>
      </c>
      <c r="AG702" t="s">
        <v>112</v>
      </c>
      <c r="AH702" t="s">
        <v>112</v>
      </c>
      <c r="AI702" s="63">
        <v>45129</v>
      </c>
      <c r="AJ702" s="63">
        <v>45657</v>
      </c>
      <c r="AK702" t="s">
        <v>112</v>
      </c>
      <c r="AL702" t="s">
        <v>111</v>
      </c>
      <c r="AM702" t="s">
        <v>111</v>
      </c>
      <c r="AN702">
        <v>5438</v>
      </c>
      <c r="AO702" t="s">
        <v>110</v>
      </c>
      <c r="AP702" t="s">
        <v>109</v>
      </c>
    </row>
    <row r="703" spans="1:42" x14ac:dyDescent="0.25">
      <c r="A703" s="28" t="str">
        <f>"15894"</f>
        <v>15894</v>
      </c>
      <c r="B703">
        <v>15894</v>
      </c>
      <c r="C703" t="s">
        <v>2488</v>
      </c>
      <c r="D703" t="s">
        <v>130</v>
      </c>
      <c r="F703" t="s">
        <v>120</v>
      </c>
      <c r="G703" t="s">
        <v>1415</v>
      </c>
      <c r="I703" t="s">
        <v>1619</v>
      </c>
      <c r="J703" t="s">
        <v>126</v>
      </c>
      <c r="K703" s="63">
        <v>30101</v>
      </c>
      <c r="L703" s="28">
        <f>DATEDIF(K703,Zwift25!G$1,"Y")</f>
        <v>42</v>
      </c>
      <c r="M703" s="67">
        <f>IF(J703="m",VLOOKUP(L703,'All Solo Adjustments'!A:D,4,FALSE),VLOOKUP(L703,'All Solo Adjustments'!A:J,10,FALSE))</f>
        <v>4.4907407407407405E-3</v>
      </c>
      <c r="N703" s="63"/>
      <c r="O703" s="63"/>
      <c r="P703" s="63"/>
      <c r="Q703" s="63"/>
      <c r="R703" t="s">
        <v>180</v>
      </c>
      <c r="S703" t="s">
        <v>1741</v>
      </c>
      <c r="T703" t="s">
        <v>292</v>
      </c>
      <c r="U703" t="s">
        <v>8904</v>
      </c>
      <c r="V703" t="s">
        <v>8903</v>
      </c>
      <c r="W703" t="s">
        <v>1822</v>
      </c>
      <c r="X703" t="s">
        <v>968</v>
      </c>
      <c r="Y703" t="s">
        <v>8902</v>
      </c>
      <c r="Z703" t="str">
        <f>"+447791654648"</f>
        <v>+447791654648</v>
      </c>
      <c r="AA703" t="str">
        <f>""</f>
        <v/>
      </c>
      <c r="AB703" t="s">
        <v>2045</v>
      </c>
      <c r="AC703" t="s">
        <v>8901</v>
      </c>
      <c r="AD703" t="s">
        <v>114</v>
      </c>
      <c r="AE703" s="63">
        <v>45300</v>
      </c>
      <c r="AF703" t="s">
        <v>156</v>
      </c>
      <c r="AG703" t="s">
        <v>112</v>
      </c>
      <c r="AH703" t="s">
        <v>112</v>
      </c>
      <c r="AI703" s="63">
        <v>45129</v>
      </c>
      <c r="AJ703" s="63">
        <v>45657</v>
      </c>
      <c r="AK703" t="s">
        <v>112</v>
      </c>
      <c r="AL703" t="s">
        <v>111</v>
      </c>
      <c r="AM703" t="s">
        <v>111</v>
      </c>
      <c r="AN703">
        <v>26885</v>
      </c>
      <c r="AO703" t="s">
        <v>122</v>
      </c>
      <c r="AP703" t="s">
        <v>122</v>
      </c>
    </row>
    <row r="704" spans="1:42" x14ac:dyDescent="0.25">
      <c r="A704" s="28" t="str">
        <f>"0896"</f>
        <v>0896</v>
      </c>
      <c r="B704">
        <v>896</v>
      </c>
      <c r="C704" t="s">
        <v>2488</v>
      </c>
      <c r="D704" t="s">
        <v>121</v>
      </c>
      <c r="E704" t="s">
        <v>3539</v>
      </c>
      <c r="F704" t="s">
        <v>120</v>
      </c>
      <c r="G704" t="s">
        <v>284</v>
      </c>
      <c r="H704" t="s">
        <v>231</v>
      </c>
      <c r="I704" t="s">
        <v>8900</v>
      </c>
      <c r="J704" t="s">
        <v>7</v>
      </c>
      <c r="K704" s="63">
        <v>24101</v>
      </c>
      <c r="L704" s="28">
        <f>DATEDIF(K704,Zwift25!G$1,"Y")</f>
        <v>58</v>
      </c>
      <c r="M704" s="67">
        <f>IF(J704="m",VLOOKUP(L704,'All Solo Adjustments'!A:D,4,FALSE),VLOOKUP(L704,'All Solo Adjustments'!A:J,10,FALSE))</f>
        <v>2.7199074074074074E-3</v>
      </c>
      <c r="N704" s="63"/>
      <c r="O704" s="63"/>
      <c r="P704" s="63"/>
      <c r="Q704" s="63"/>
      <c r="R704" t="s">
        <v>239</v>
      </c>
      <c r="S704" t="s">
        <v>274</v>
      </c>
      <c r="T704" t="s">
        <v>292</v>
      </c>
      <c r="U704" t="s">
        <v>8899</v>
      </c>
      <c r="V704" t="s">
        <v>1292</v>
      </c>
      <c r="W704" t="s">
        <v>869</v>
      </c>
      <c r="Y704" t="s">
        <v>8898</v>
      </c>
      <c r="Z704" t="str">
        <f>"01723 341050"</f>
        <v>01723 341050</v>
      </c>
      <c r="AA704" t="str">
        <f>"07884959432"</f>
        <v>07884959432</v>
      </c>
      <c r="AB704" t="s">
        <v>4397</v>
      </c>
      <c r="AC704" t="s">
        <v>8897</v>
      </c>
      <c r="AD704" t="s">
        <v>114</v>
      </c>
      <c r="AE704" s="63">
        <v>45317</v>
      </c>
      <c r="AF704" t="s">
        <v>113</v>
      </c>
      <c r="AG704" t="s">
        <v>112</v>
      </c>
      <c r="AH704" t="s">
        <v>112</v>
      </c>
      <c r="AI704" s="63">
        <v>38691</v>
      </c>
      <c r="AJ704" s="63">
        <v>45657</v>
      </c>
      <c r="AK704" t="s">
        <v>111</v>
      </c>
      <c r="AL704" t="s">
        <v>111</v>
      </c>
      <c r="AM704" t="s">
        <v>111</v>
      </c>
      <c r="AN704">
        <v>666</v>
      </c>
      <c r="AO704" t="s">
        <v>110</v>
      </c>
      <c r="AP704" t="s">
        <v>109</v>
      </c>
    </row>
    <row r="705" spans="1:42" x14ac:dyDescent="0.25">
      <c r="A705" s="28" t="str">
        <f>"16027"</f>
        <v>16027</v>
      </c>
      <c r="B705">
        <v>16027</v>
      </c>
      <c r="C705" t="s">
        <v>2488</v>
      </c>
      <c r="D705" t="s">
        <v>132</v>
      </c>
      <c r="E705" t="s">
        <v>6041</v>
      </c>
      <c r="F705" t="s">
        <v>120</v>
      </c>
      <c r="G705" t="s">
        <v>1085</v>
      </c>
      <c r="I705" t="s">
        <v>8895</v>
      </c>
      <c r="J705" t="s">
        <v>7</v>
      </c>
      <c r="K705" s="63">
        <v>24208</v>
      </c>
      <c r="L705" s="28">
        <f>DATEDIF(K705,Zwift25!G$1,"Y")</f>
        <v>58</v>
      </c>
      <c r="M705" s="67">
        <f>IF(J705="m",VLOOKUP(L705,'All Solo Adjustments'!A:D,4,FALSE),VLOOKUP(L705,'All Solo Adjustments'!A:J,10,FALSE))</f>
        <v>2.7199074074074074E-3</v>
      </c>
      <c r="N705" s="63"/>
      <c r="O705" s="63"/>
      <c r="P705" s="63"/>
      <c r="Q705" s="63"/>
      <c r="R705" t="s">
        <v>143</v>
      </c>
      <c r="S705" t="s">
        <v>168</v>
      </c>
      <c r="T705" t="s">
        <v>292</v>
      </c>
      <c r="U705" t="s">
        <v>8894</v>
      </c>
      <c r="V705" t="s">
        <v>7063</v>
      </c>
      <c r="W705" t="s">
        <v>167</v>
      </c>
      <c r="X705" t="s">
        <v>2354</v>
      </c>
      <c r="Y705" t="s">
        <v>8893</v>
      </c>
      <c r="Z705" t="str">
        <f>"07825055461"</f>
        <v>07825055461</v>
      </c>
      <c r="AA705" t="str">
        <f>""</f>
        <v/>
      </c>
      <c r="AB705" t="s">
        <v>8892</v>
      </c>
      <c r="AC705" t="s">
        <v>8896</v>
      </c>
      <c r="AD705" t="s">
        <v>114</v>
      </c>
      <c r="AE705" s="63">
        <v>45335</v>
      </c>
      <c r="AF705" t="s">
        <v>156</v>
      </c>
      <c r="AG705" t="s">
        <v>112</v>
      </c>
      <c r="AH705" t="s">
        <v>112</v>
      </c>
      <c r="AI705" s="63">
        <v>45335</v>
      </c>
      <c r="AJ705" s="63">
        <v>45657</v>
      </c>
      <c r="AK705" t="s">
        <v>112</v>
      </c>
      <c r="AL705" t="s">
        <v>111</v>
      </c>
      <c r="AM705" t="s">
        <v>111</v>
      </c>
      <c r="AN705" t="s">
        <v>105</v>
      </c>
      <c r="AO705" t="s">
        <v>110</v>
      </c>
      <c r="AP705" t="s">
        <v>109</v>
      </c>
    </row>
    <row r="706" spans="1:42" x14ac:dyDescent="0.25">
      <c r="A706" s="28" t="str">
        <f>"16028"</f>
        <v>16028</v>
      </c>
      <c r="B706">
        <v>16028</v>
      </c>
      <c r="C706" t="s">
        <v>2488</v>
      </c>
      <c r="D706" t="s">
        <v>130</v>
      </c>
      <c r="E706" t="s">
        <v>6041</v>
      </c>
      <c r="F706" t="s">
        <v>149</v>
      </c>
      <c r="G706" t="s">
        <v>637</v>
      </c>
      <c r="I706" t="s">
        <v>8895</v>
      </c>
      <c r="J706" t="s">
        <v>126</v>
      </c>
      <c r="K706" s="63">
        <v>20688</v>
      </c>
      <c r="L706" s="28">
        <f>DATEDIF(K706,Zwift25!G$1,"Y")</f>
        <v>68</v>
      </c>
      <c r="M706" s="67">
        <f>IF(J706="m",VLOOKUP(L706,'All Solo Adjustments'!A:D,4,FALSE),VLOOKUP(L706,'All Solo Adjustments'!A:J,10,FALSE))</f>
        <v>1.0729166666666668E-2</v>
      </c>
      <c r="N706" s="63"/>
      <c r="O706" s="63"/>
      <c r="P706" s="63"/>
      <c r="Q706" s="63"/>
      <c r="R706" t="s">
        <v>143</v>
      </c>
      <c r="S706" t="s">
        <v>168</v>
      </c>
      <c r="T706" t="s">
        <v>292</v>
      </c>
      <c r="U706" t="s">
        <v>8894</v>
      </c>
      <c r="V706" t="s">
        <v>7063</v>
      </c>
      <c r="W706" t="s">
        <v>167</v>
      </c>
      <c r="X706" t="s">
        <v>2354</v>
      </c>
      <c r="Y706" t="s">
        <v>8893</v>
      </c>
      <c r="Z706" t="str">
        <f>"07825055461"</f>
        <v>07825055461</v>
      </c>
      <c r="AA706" t="str">
        <f>""</f>
        <v/>
      </c>
      <c r="AB706" t="s">
        <v>8892</v>
      </c>
      <c r="AC706" t="s">
        <v>8891</v>
      </c>
      <c r="AD706" t="s">
        <v>114</v>
      </c>
      <c r="AE706" s="63">
        <v>45335</v>
      </c>
      <c r="AG706" t="s">
        <v>112</v>
      </c>
      <c r="AH706" t="s">
        <v>112</v>
      </c>
      <c r="AI706" s="63">
        <v>45335</v>
      </c>
      <c r="AJ706" s="63">
        <v>45657</v>
      </c>
      <c r="AK706" t="s">
        <v>112</v>
      </c>
      <c r="AL706" t="s">
        <v>111</v>
      </c>
      <c r="AM706" t="s">
        <v>111</v>
      </c>
      <c r="AN706" t="s">
        <v>105</v>
      </c>
      <c r="AO706" t="s">
        <v>122</v>
      </c>
      <c r="AP706" t="s">
        <v>122</v>
      </c>
    </row>
    <row r="707" spans="1:42" x14ac:dyDescent="0.25">
      <c r="A707" s="28" t="str">
        <f>"15468"</f>
        <v>15468</v>
      </c>
      <c r="B707">
        <v>15468</v>
      </c>
      <c r="C707" t="s">
        <v>2488</v>
      </c>
      <c r="D707" t="s">
        <v>121</v>
      </c>
      <c r="F707" t="s">
        <v>120</v>
      </c>
      <c r="G707" t="s">
        <v>632</v>
      </c>
      <c r="I707" t="s">
        <v>8890</v>
      </c>
      <c r="J707" t="s">
        <v>7</v>
      </c>
      <c r="K707" s="63">
        <v>23538</v>
      </c>
      <c r="L707" s="28">
        <f>DATEDIF(K707,Zwift25!G$1,"Y")</f>
        <v>60</v>
      </c>
      <c r="M707" s="67">
        <f>IF(J707="m",VLOOKUP(L707,'All Solo Adjustments'!A:D,4,FALSE),VLOOKUP(L707,'All Solo Adjustments'!A:J,10,FALSE))</f>
        <v>3.2060185185185186E-3</v>
      </c>
      <c r="N707" s="63"/>
      <c r="O707" s="63"/>
      <c r="P707" s="63"/>
      <c r="Q707" s="63"/>
      <c r="R707" t="s">
        <v>159</v>
      </c>
      <c r="S707" t="s">
        <v>162</v>
      </c>
      <c r="T707" t="s">
        <v>292</v>
      </c>
      <c r="U707" t="s">
        <v>8889</v>
      </c>
      <c r="V707" t="s">
        <v>8888</v>
      </c>
      <c r="W707" t="s">
        <v>8292</v>
      </c>
      <c r="X707" t="s">
        <v>486</v>
      </c>
      <c r="Y707" t="s">
        <v>8887</v>
      </c>
      <c r="Z707" t="str">
        <f>"07954735401"</f>
        <v>07954735401</v>
      </c>
      <c r="AA707" t="str">
        <f>""</f>
        <v/>
      </c>
      <c r="AB707" t="s">
        <v>788</v>
      </c>
      <c r="AC707" t="s">
        <v>8886</v>
      </c>
      <c r="AD707" t="s">
        <v>114</v>
      </c>
      <c r="AE707" s="63">
        <v>45319</v>
      </c>
      <c r="AF707" t="s">
        <v>113</v>
      </c>
      <c r="AG707" t="s">
        <v>112</v>
      </c>
      <c r="AH707" t="s">
        <v>112</v>
      </c>
      <c r="AI707" s="63">
        <v>44678</v>
      </c>
      <c r="AJ707" s="63">
        <v>45657</v>
      </c>
      <c r="AK707" t="s">
        <v>112</v>
      </c>
      <c r="AL707" t="s">
        <v>111</v>
      </c>
      <c r="AM707" t="s">
        <v>111</v>
      </c>
      <c r="AN707">
        <v>13737</v>
      </c>
      <c r="AO707" t="s">
        <v>110</v>
      </c>
      <c r="AP707" t="s">
        <v>109</v>
      </c>
    </row>
    <row r="708" spans="1:42" x14ac:dyDescent="0.25">
      <c r="A708" s="28" t="str">
        <f>"0898"</f>
        <v>0898</v>
      </c>
      <c r="B708">
        <v>898</v>
      </c>
      <c r="C708" t="s">
        <v>2488</v>
      </c>
      <c r="D708" t="s">
        <v>121</v>
      </c>
      <c r="F708" t="s">
        <v>120</v>
      </c>
      <c r="G708" t="s">
        <v>8885</v>
      </c>
      <c r="I708" t="s">
        <v>8884</v>
      </c>
      <c r="J708" t="s">
        <v>7</v>
      </c>
      <c r="K708" s="63">
        <v>20538</v>
      </c>
      <c r="L708" s="28">
        <f>DATEDIF(K708,Zwift25!G$1,"Y")</f>
        <v>68</v>
      </c>
      <c r="M708" s="67">
        <f>IF(J708="m",VLOOKUP(L708,'All Solo Adjustments'!A:D,4,FALSE),VLOOKUP(L708,'All Solo Adjustments'!A:J,10,FALSE))</f>
        <v>5.6134259259259262E-3</v>
      </c>
      <c r="N708" s="63"/>
      <c r="O708" s="63"/>
      <c r="P708" s="63"/>
      <c r="Q708" s="63"/>
      <c r="R708" t="s">
        <v>125</v>
      </c>
      <c r="S708" t="s">
        <v>170</v>
      </c>
      <c r="T708" t="s">
        <v>292</v>
      </c>
      <c r="U708" t="s">
        <v>8883</v>
      </c>
      <c r="V708" t="s">
        <v>1663</v>
      </c>
      <c r="W708" t="s">
        <v>2236</v>
      </c>
      <c r="Y708" t="s">
        <v>8882</v>
      </c>
      <c r="Z708" t="str">
        <f>"0208 372 1730"</f>
        <v>0208 372 1730</v>
      </c>
      <c r="AA708" t="str">
        <f>""</f>
        <v/>
      </c>
      <c r="AB708" t="s">
        <v>8881</v>
      </c>
      <c r="AC708" t="s">
        <v>8880</v>
      </c>
      <c r="AD708" t="s">
        <v>145</v>
      </c>
      <c r="AE708" s="63">
        <v>45302</v>
      </c>
      <c r="AF708" t="s">
        <v>156</v>
      </c>
      <c r="AG708" t="s">
        <v>112</v>
      </c>
      <c r="AH708" t="s">
        <v>112</v>
      </c>
      <c r="AI708" s="63">
        <v>40561</v>
      </c>
      <c r="AJ708" s="63">
        <v>45657</v>
      </c>
      <c r="AK708" t="s">
        <v>111</v>
      </c>
      <c r="AL708" t="s">
        <v>111</v>
      </c>
      <c r="AM708" t="s">
        <v>111</v>
      </c>
      <c r="AN708" t="s">
        <v>105</v>
      </c>
      <c r="AO708" t="s">
        <v>110</v>
      </c>
      <c r="AP708" t="s">
        <v>109</v>
      </c>
    </row>
    <row r="709" spans="1:42" x14ac:dyDescent="0.25">
      <c r="A709" s="28" t="str">
        <f>"0901"</f>
        <v>0901</v>
      </c>
      <c r="B709">
        <v>901</v>
      </c>
      <c r="C709" t="s">
        <v>2488</v>
      </c>
      <c r="D709" t="s">
        <v>121</v>
      </c>
      <c r="F709" t="s">
        <v>120</v>
      </c>
      <c r="G709" t="s">
        <v>343</v>
      </c>
      <c r="I709" t="s">
        <v>1964</v>
      </c>
      <c r="J709" t="s">
        <v>7</v>
      </c>
      <c r="K709" s="63">
        <v>11839</v>
      </c>
      <c r="L709" s="28">
        <f>DATEDIF(K709,Zwift25!G$1,"Y")</f>
        <v>92</v>
      </c>
      <c r="M709" s="67">
        <f>IF(J709="m",VLOOKUP(L709,'All Solo Adjustments'!A:D,4,FALSE),VLOOKUP(L709,'All Solo Adjustments'!A:J,10,FALSE))</f>
        <v>2.0405092592592593E-2</v>
      </c>
      <c r="N709" s="63"/>
      <c r="O709" s="63"/>
      <c r="P709" s="63"/>
      <c r="Q709" s="63"/>
      <c r="R709" t="s">
        <v>180</v>
      </c>
      <c r="S709" t="s">
        <v>2288</v>
      </c>
      <c r="T709" t="s">
        <v>292</v>
      </c>
      <c r="U709" t="s">
        <v>2432</v>
      </c>
      <c r="V709" t="s">
        <v>2031</v>
      </c>
      <c r="W709" t="s">
        <v>547</v>
      </c>
      <c r="Y709" t="s">
        <v>2431</v>
      </c>
      <c r="Z709" t="str">
        <f>"01246 434595"</f>
        <v>01246 434595</v>
      </c>
      <c r="AA709" t="str">
        <f>""</f>
        <v/>
      </c>
      <c r="AB709" t="s">
        <v>2291</v>
      </c>
      <c r="AD709" t="s">
        <v>151</v>
      </c>
      <c r="AF709" t="s">
        <v>113</v>
      </c>
      <c r="AG709" t="s">
        <v>112</v>
      </c>
      <c r="AH709" t="s">
        <v>112</v>
      </c>
      <c r="AK709" t="s">
        <v>111</v>
      </c>
      <c r="AL709" t="s">
        <v>111</v>
      </c>
      <c r="AM709" t="s">
        <v>111</v>
      </c>
      <c r="AN709" t="s">
        <v>105</v>
      </c>
      <c r="AO709" t="s">
        <v>110</v>
      </c>
      <c r="AP709" t="s">
        <v>109</v>
      </c>
    </row>
    <row r="710" spans="1:42" x14ac:dyDescent="0.25">
      <c r="A710" s="28" t="str">
        <f>"16059"</f>
        <v>16059</v>
      </c>
      <c r="B710">
        <v>16059</v>
      </c>
      <c r="C710" t="s">
        <v>2488</v>
      </c>
      <c r="D710" t="s">
        <v>121</v>
      </c>
      <c r="E710" t="s">
        <v>584</v>
      </c>
      <c r="F710" t="s">
        <v>120</v>
      </c>
      <c r="G710" t="s">
        <v>405</v>
      </c>
      <c r="I710" t="s">
        <v>1964</v>
      </c>
      <c r="J710" t="s">
        <v>7</v>
      </c>
      <c r="K710" s="63">
        <v>30748</v>
      </c>
      <c r="L710" s="28">
        <f>DATEDIF(K710,Zwift25!G$1,"Y")</f>
        <v>40</v>
      </c>
      <c r="M710" s="67">
        <f>IF(J710="m",VLOOKUP(L710,'All Solo Adjustments'!A:D,4,FALSE),VLOOKUP(L710,'All Solo Adjustments'!A:J,10,FALSE))</f>
        <v>0</v>
      </c>
      <c r="N710" s="63"/>
      <c r="O710" s="63"/>
      <c r="P710" s="63"/>
      <c r="Q710" s="63"/>
      <c r="R710" t="s">
        <v>118</v>
      </c>
      <c r="S710" t="s">
        <v>117</v>
      </c>
      <c r="T710" t="s">
        <v>292</v>
      </c>
      <c r="U710" t="s">
        <v>8879</v>
      </c>
      <c r="V710" t="s">
        <v>8878</v>
      </c>
      <c r="W710" t="s">
        <v>8877</v>
      </c>
      <c r="X710" t="s">
        <v>368</v>
      </c>
      <c r="Y710" t="s">
        <v>8876</v>
      </c>
      <c r="Z710" t="str">
        <f>"07725656983"</f>
        <v>07725656983</v>
      </c>
      <c r="AA710" t="str">
        <f>""</f>
        <v/>
      </c>
      <c r="AB710" t="s">
        <v>8875</v>
      </c>
      <c r="AC710" t="s">
        <v>8874</v>
      </c>
      <c r="AD710" t="s">
        <v>114</v>
      </c>
      <c r="AE710" s="63">
        <v>45359</v>
      </c>
      <c r="AF710" t="s">
        <v>156</v>
      </c>
      <c r="AG710" t="s">
        <v>112</v>
      </c>
      <c r="AH710" t="s">
        <v>112</v>
      </c>
      <c r="AI710" s="63">
        <v>45359</v>
      </c>
      <c r="AJ710" s="63">
        <v>45657</v>
      </c>
      <c r="AK710" t="s">
        <v>112</v>
      </c>
      <c r="AL710" t="s">
        <v>111</v>
      </c>
      <c r="AM710" t="s">
        <v>111</v>
      </c>
      <c r="AN710">
        <v>47306</v>
      </c>
      <c r="AO710" t="s">
        <v>110</v>
      </c>
      <c r="AP710" t="s">
        <v>109</v>
      </c>
    </row>
    <row r="711" spans="1:42" x14ac:dyDescent="0.25">
      <c r="A711" s="28" t="str">
        <f>"15931"</f>
        <v>15931</v>
      </c>
      <c r="B711">
        <v>15931</v>
      </c>
      <c r="C711" t="s">
        <v>2488</v>
      </c>
      <c r="D711" t="s">
        <v>121</v>
      </c>
      <c r="F711" t="s">
        <v>120</v>
      </c>
      <c r="G711" t="s">
        <v>685</v>
      </c>
      <c r="I711" t="s">
        <v>8873</v>
      </c>
      <c r="J711" t="s">
        <v>7</v>
      </c>
      <c r="K711" s="63">
        <v>19920</v>
      </c>
      <c r="L711" s="28">
        <f>DATEDIF(K711,Zwift25!G$1,"Y")</f>
        <v>70</v>
      </c>
      <c r="M711" s="67">
        <f>IF(J711="m",VLOOKUP(L711,'All Solo Adjustments'!A:D,4,FALSE),VLOOKUP(L711,'All Solo Adjustments'!A:J,10,FALSE))</f>
        <v>6.3425925925925924E-3</v>
      </c>
      <c r="N711" s="63"/>
      <c r="O711" s="63"/>
      <c r="P711" s="63"/>
      <c r="Q711" s="63"/>
      <c r="R711" t="s">
        <v>143</v>
      </c>
      <c r="S711" t="s">
        <v>142</v>
      </c>
      <c r="T711" t="s">
        <v>292</v>
      </c>
      <c r="U711" t="s">
        <v>8872</v>
      </c>
      <c r="W711" t="s">
        <v>264</v>
      </c>
      <c r="Y711" t="s">
        <v>8871</v>
      </c>
      <c r="Z711" t="str">
        <f>"07787515588"</f>
        <v>07787515588</v>
      </c>
      <c r="AA711" t="str">
        <f>"01932 351041"</f>
        <v>01932 351041</v>
      </c>
      <c r="AB711" t="s">
        <v>733</v>
      </c>
      <c r="AC711" t="s">
        <v>8870</v>
      </c>
      <c r="AD711" t="s">
        <v>145</v>
      </c>
      <c r="AE711" s="63">
        <v>45205</v>
      </c>
      <c r="AF711" t="s">
        <v>156</v>
      </c>
      <c r="AG711" t="s">
        <v>112</v>
      </c>
      <c r="AH711" t="s">
        <v>112</v>
      </c>
      <c r="AI711" s="63">
        <v>45200</v>
      </c>
      <c r="AJ711" s="63">
        <v>45657</v>
      </c>
      <c r="AK711" t="s">
        <v>112</v>
      </c>
      <c r="AL711" t="s">
        <v>111</v>
      </c>
      <c r="AM711" t="s">
        <v>111</v>
      </c>
      <c r="AN711">
        <v>15507</v>
      </c>
      <c r="AO711" t="s">
        <v>110</v>
      </c>
      <c r="AP711" t="s">
        <v>109</v>
      </c>
    </row>
    <row r="712" spans="1:42" x14ac:dyDescent="0.25">
      <c r="A712" s="28" t="str">
        <f>"14133"</f>
        <v>14133</v>
      </c>
      <c r="B712">
        <v>14133</v>
      </c>
      <c r="C712" t="s">
        <v>2488</v>
      </c>
      <c r="D712" t="s">
        <v>121</v>
      </c>
      <c r="F712" t="s">
        <v>120</v>
      </c>
      <c r="G712" t="s">
        <v>221</v>
      </c>
      <c r="I712" t="s">
        <v>1960</v>
      </c>
      <c r="J712" t="s">
        <v>7</v>
      </c>
      <c r="K712" s="63">
        <v>23127</v>
      </c>
      <c r="L712" s="28">
        <f>DATEDIF(K712,Zwift25!G$1,"Y")</f>
        <v>61</v>
      </c>
      <c r="M712" s="67">
        <f>IF(J712="m",VLOOKUP(L712,'All Solo Adjustments'!A:D,4,FALSE),VLOOKUP(L712,'All Solo Adjustments'!A:J,10,FALSE))</f>
        <v>3.4722222222222225E-3</v>
      </c>
      <c r="N712" s="63"/>
      <c r="O712" s="63"/>
      <c r="P712" s="63"/>
      <c r="Q712" s="63"/>
      <c r="R712" t="s">
        <v>125</v>
      </c>
      <c r="S712" t="s">
        <v>170</v>
      </c>
      <c r="T712" t="s">
        <v>292</v>
      </c>
      <c r="U712" t="s">
        <v>8869</v>
      </c>
      <c r="V712" t="s">
        <v>8868</v>
      </c>
      <c r="W712" t="s">
        <v>8867</v>
      </c>
      <c r="X712" t="s">
        <v>8866</v>
      </c>
      <c r="Y712" t="s">
        <v>8865</v>
      </c>
      <c r="Z712" t="str">
        <f>"7764617016"</f>
        <v>7764617016</v>
      </c>
      <c r="AA712" t="str">
        <f>""</f>
        <v/>
      </c>
      <c r="AB712" t="s">
        <v>308</v>
      </c>
      <c r="AC712" t="s">
        <v>8864</v>
      </c>
      <c r="AD712" t="s">
        <v>114</v>
      </c>
      <c r="AE712" s="63">
        <v>45296</v>
      </c>
      <c r="AF712" t="s">
        <v>156</v>
      </c>
      <c r="AG712" t="s">
        <v>112</v>
      </c>
      <c r="AH712" t="s">
        <v>112</v>
      </c>
      <c r="AI712" s="63">
        <v>43555</v>
      </c>
      <c r="AJ712" s="63">
        <v>45657</v>
      </c>
      <c r="AK712" t="s">
        <v>112</v>
      </c>
      <c r="AL712" t="s">
        <v>111</v>
      </c>
      <c r="AM712" t="s">
        <v>111</v>
      </c>
      <c r="AN712">
        <v>25792</v>
      </c>
      <c r="AO712" t="s">
        <v>110</v>
      </c>
      <c r="AP712" t="s">
        <v>109</v>
      </c>
    </row>
    <row r="713" spans="1:42" x14ac:dyDescent="0.25">
      <c r="A713" s="28" t="str">
        <f>"0910"</f>
        <v>0910</v>
      </c>
      <c r="B713">
        <v>910</v>
      </c>
      <c r="C713" t="s">
        <v>2488</v>
      </c>
      <c r="D713" t="s">
        <v>121</v>
      </c>
      <c r="F713" t="s">
        <v>120</v>
      </c>
      <c r="G713" t="s">
        <v>339</v>
      </c>
      <c r="H713" t="s">
        <v>469</v>
      </c>
      <c r="I713" t="s">
        <v>781</v>
      </c>
      <c r="J713" t="s">
        <v>7</v>
      </c>
      <c r="K713" s="63">
        <v>16113</v>
      </c>
      <c r="L713" s="28">
        <f>DATEDIF(K713,Zwift25!G$1,"Y")</f>
        <v>80</v>
      </c>
      <c r="M713" s="67">
        <f>IF(J713="m",VLOOKUP(L713,'All Solo Adjustments'!A:D,4,FALSE),VLOOKUP(L713,'All Solo Adjustments'!A:J,10,FALSE))</f>
        <v>1.1018518518518518E-2</v>
      </c>
      <c r="N713" s="63"/>
      <c r="O713" s="63"/>
      <c r="P713" s="63"/>
      <c r="Q713" s="63"/>
      <c r="R713" t="s">
        <v>283</v>
      </c>
      <c r="S713" t="s">
        <v>530</v>
      </c>
      <c r="T713" t="s">
        <v>292</v>
      </c>
      <c r="U713" t="s">
        <v>8863</v>
      </c>
      <c r="V713" t="s">
        <v>2339</v>
      </c>
      <c r="W713" t="s">
        <v>1800</v>
      </c>
      <c r="Y713" t="s">
        <v>8862</v>
      </c>
      <c r="Z713" t="str">
        <f>"01827 281619"</f>
        <v>01827 281619</v>
      </c>
      <c r="AA713" t="str">
        <f>""</f>
        <v/>
      </c>
      <c r="AB713" t="s">
        <v>8861</v>
      </c>
      <c r="AC713" t="s">
        <v>8860</v>
      </c>
      <c r="AD713" t="s">
        <v>114</v>
      </c>
      <c r="AE713" s="63">
        <v>45296</v>
      </c>
      <c r="AF713" t="s">
        <v>113</v>
      </c>
      <c r="AG713" t="s">
        <v>112</v>
      </c>
      <c r="AH713" t="s">
        <v>112</v>
      </c>
      <c r="AI713" s="63">
        <v>43538</v>
      </c>
      <c r="AJ713" s="63">
        <v>45657</v>
      </c>
      <c r="AK713" t="s">
        <v>111</v>
      </c>
      <c r="AL713" t="s">
        <v>111</v>
      </c>
      <c r="AM713" t="s">
        <v>111</v>
      </c>
      <c r="AN713" t="s">
        <v>105</v>
      </c>
      <c r="AO713" t="s">
        <v>110</v>
      </c>
      <c r="AP713" t="s">
        <v>109</v>
      </c>
    </row>
    <row r="714" spans="1:42" x14ac:dyDescent="0.25">
      <c r="A714" s="28" t="str">
        <f>"5525"</f>
        <v>5525</v>
      </c>
      <c r="B714">
        <v>5525</v>
      </c>
      <c r="C714" t="s">
        <v>2488</v>
      </c>
      <c r="D714" t="s">
        <v>121</v>
      </c>
      <c r="F714" t="s">
        <v>120</v>
      </c>
      <c r="G714" t="s">
        <v>952</v>
      </c>
      <c r="I714" t="s">
        <v>262</v>
      </c>
      <c r="J714" t="s">
        <v>7</v>
      </c>
      <c r="K714" s="63">
        <v>19478</v>
      </c>
      <c r="L714" s="28">
        <f>DATEDIF(K714,Zwift25!G$1,"Y")</f>
        <v>71</v>
      </c>
      <c r="M714" s="67">
        <f>IF(J714="m",VLOOKUP(L714,'All Solo Adjustments'!A:D,4,FALSE),VLOOKUP(L714,'All Solo Adjustments'!A:J,10,FALSE))</f>
        <v>6.7245370370370375E-3</v>
      </c>
      <c r="N714" s="63"/>
      <c r="O714" s="63"/>
      <c r="P714" s="63"/>
      <c r="Q714" s="63"/>
      <c r="R714" t="s">
        <v>125</v>
      </c>
      <c r="S714" t="s">
        <v>170</v>
      </c>
      <c r="T714" t="s">
        <v>292</v>
      </c>
      <c r="U714" t="s">
        <v>8859</v>
      </c>
      <c r="V714" t="s">
        <v>8858</v>
      </c>
      <c r="W714" t="s">
        <v>223</v>
      </c>
      <c r="Y714" t="s">
        <v>8857</v>
      </c>
      <c r="Z714" t="str">
        <f>"01638741433"</f>
        <v>01638741433</v>
      </c>
      <c r="AA714" t="str">
        <f>"07931357078"</f>
        <v>07931357078</v>
      </c>
      <c r="AB714" t="s">
        <v>222</v>
      </c>
      <c r="AC714" t="s">
        <v>8856</v>
      </c>
      <c r="AD714" t="s">
        <v>114</v>
      </c>
      <c r="AE714" s="63">
        <v>45293</v>
      </c>
      <c r="AF714" t="s">
        <v>113</v>
      </c>
      <c r="AG714" t="s">
        <v>112</v>
      </c>
      <c r="AH714" t="s">
        <v>112</v>
      </c>
      <c r="AI714" s="63">
        <v>42171</v>
      </c>
      <c r="AJ714" s="63">
        <v>45657</v>
      </c>
      <c r="AK714" t="s">
        <v>111</v>
      </c>
      <c r="AL714" t="s">
        <v>111</v>
      </c>
      <c r="AM714" t="s">
        <v>111</v>
      </c>
      <c r="AN714">
        <v>76</v>
      </c>
      <c r="AO714" t="s">
        <v>110</v>
      </c>
      <c r="AP714" t="s">
        <v>109</v>
      </c>
    </row>
    <row r="715" spans="1:42" x14ac:dyDescent="0.25">
      <c r="A715" s="28" t="str">
        <f>"0913"</f>
        <v>0913</v>
      </c>
      <c r="B715">
        <v>913</v>
      </c>
      <c r="C715" t="s">
        <v>2488</v>
      </c>
      <c r="D715" t="s">
        <v>121</v>
      </c>
      <c r="E715" t="s">
        <v>584</v>
      </c>
      <c r="F715" t="s">
        <v>120</v>
      </c>
      <c r="G715" t="s">
        <v>251</v>
      </c>
      <c r="H715" t="s">
        <v>195</v>
      </c>
      <c r="I715" t="s">
        <v>262</v>
      </c>
      <c r="J715" t="s">
        <v>7</v>
      </c>
      <c r="K715" s="63">
        <v>18244</v>
      </c>
      <c r="L715" s="28">
        <f>DATEDIF(K715,Zwift25!G$1,"Y")</f>
        <v>74</v>
      </c>
      <c r="M715" s="67">
        <f>IF(J715="m",VLOOKUP(L715,'All Solo Adjustments'!A:D,4,FALSE),VLOOKUP(L715,'All Solo Adjustments'!A:J,10,FALSE))</f>
        <v>7.9861111111111122E-3</v>
      </c>
      <c r="N715" s="63"/>
      <c r="O715" s="63"/>
      <c r="P715" s="63"/>
      <c r="Q715" s="63"/>
      <c r="R715" t="s">
        <v>328</v>
      </c>
      <c r="S715" t="s">
        <v>327</v>
      </c>
      <c r="T715" t="s">
        <v>292</v>
      </c>
      <c r="U715" t="s">
        <v>8855</v>
      </c>
      <c r="V715" t="s">
        <v>1895</v>
      </c>
      <c r="W715" t="s">
        <v>1894</v>
      </c>
      <c r="X715" t="s">
        <v>236</v>
      </c>
      <c r="Y715" t="s">
        <v>8854</v>
      </c>
      <c r="Z715" t="str">
        <f>"01422 882638"</f>
        <v>01422 882638</v>
      </c>
      <c r="AA715" t="str">
        <f>""</f>
        <v/>
      </c>
      <c r="AB715" t="s">
        <v>1961</v>
      </c>
      <c r="AC715" t="s">
        <v>8853</v>
      </c>
      <c r="AD715" t="s">
        <v>114</v>
      </c>
      <c r="AE715" s="63">
        <v>45221</v>
      </c>
      <c r="AF715" t="s">
        <v>113</v>
      </c>
      <c r="AG715" t="s">
        <v>112</v>
      </c>
      <c r="AH715" t="s">
        <v>112</v>
      </c>
      <c r="AI715" s="63">
        <v>43391</v>
      </c>
      <c r="AJ715" s="63">
        <v>45657</v>
      </c>
      <c r="AK715" t="s">
        <v>111</v>
      </c>
      <c r="AL715" t="s">
        <v>111</v>
      </c>
      <c r="AM715" t="s">
        <v>111</v>
      </c>
      <c r="AN715">
        <v>13836</v>
      </c>
      <c r="AO715" t="s">
        <v>110</v>
      </c>
      <c r="AP715" t="s">
        <v>109</v>
      </c>
    </row>
    <row r="716" spans="1:42" x14ac:dyDescent="0.25">
      <c r="A716" s="28" t="str">
        <f>"0916"</f>
        <v>0916</v>
      </c>
      <c r="B716">
        <v>916</v>
      </c>
      <c r="C716" t="s">
        <v>2488</v>
      </c>
      <c r="D716" t="s">
        <v>121</v>
      </c>
      <c r="E716" t="s">
        <v>584</v>
      </c>
      <c r="F716" t="s">
        <v>120</v>
      </c>
      <c r="G716" t="s">
        <v>8852</v>
      </c>
      <c r="I716" t="s">
        <v>262</v>
      </c>
      <c r="J716" t="s">
        <v>7</v>
      </c>
      <c r="K716" s="63">
        <v>23929</v>
      </c>
      <c r="L716" s="28">
        <f>DATEDIF(K716,Zwift25!G$1,"Y")</f>
        <v>59</v>
      </c>
      <c r="M716" s="67">
        <f>IF(J716="m",VLOOKUP(L716,'All Solo Adjustments'!A:D,4,FALSE),VLOOKUP(L716,'All Solo Adjustments'!A:J,10,FALSE))</f>
        <v>2.9629629629629632E-3</v>
      </c>
      <c r="N716" s="63"/>
      <c r="O716" s="63"/>
      <c r="P716" s="63"/>
      <c r="Q716" s="63"/>
      <c r="R716" t="s">
        <v>527</v>
      </c>
      <c r="S716" t="s">
        <v>526</v>
      </c>
      <c r="T716" t="s">
        <v>292</v>
      </c>
      <c r="U716" t="s">
        <v>8851</v>
      </c>
      <c r="V716" t="s">
        <v>1666</v>
      </c>
      <c r="W716" t="s">
        <v>1050</v>
      </c>
      <c r="Y716" t="s">
        <v>8850</v>
      </c>
      <c r="Z716" t="str">
        <f>"07921 185701"</f>
        <v>07921 185701</v>
      </c>
      <c r="AA716" t="str">
        <f>""</f>
        <v/>
      </c>
      <c r="AB716" t="s">
        <v>1049</v>
      </c>
      <c r="AC716" t="s">
        <v>8849</v>
      </c>
      <c r="AD716" t="s">
        <v>114</v>
      </c>
      <c r="AE716" s="63">
        <v>45363</v>
      </c>
      <c r="AF716" t="s">
        <v>156</v>
      </c>
      <c r="AG716" t="s">
        <v>112</v>
      </c>
      <c r="AH716" t="s">
        <v>112</v>
      </c>
      <c r="AI716" s="63">
        <v>43204</v>
      </c>
      <c r="AJ716" s="63">
        <v>45657</v>
      </c>
      <c r="AK716" t="s">
        <v>111</v>
      </c>
      <c r="AL716" t="s">
        <v>111</v>
      </c>
      <c r="AM716" t="s">
        <v>111</v>
      </c>
      <c r="AN716">
        <v>1060</v>
      </c>
      <c r="AO716" t="s">
        <v>110</v>
      </c>
      <c r="AP716" t="s">
        <v>109</v>
      </c>
    </row>
    <row r="717" spans="1:42" x14ac:dyDescent="0.25">
      <c r="A717" s="28" t="str">
        <f>"14125"</f>
        <v>14125</v>
      </c>
      <c r="B717">
        <v>14125</v>
      </c>
      <c r="C717" t="s">
        <v>2488</v>
      </c>
      <c r="D717" t="s">
        <v>121</v>
      </c>
      <c r="F717" t="s">
        <v>120</v>
      </c>
      <c r="G717" t="s">
        <v>427</v>
      </c>
      <c r="H717" t="s">
        <v>944</v>
      </c>
      <c r="I717" t="s">
        <v>262</v>
      </c>
      <c r="J717" t="s">
        <v>7</v>
      </c>
      <c r="K717" s="63">
        <v>21493</v>
      </c>
      <c r="L717" s="28">
        <f>DATEDIF(K717,Zwift25!G$1,"Y")</f>
        <v>65</v>
      </c>
      <c r="M717" s="67">
        <f>IF(J717="m",VLOOKUP(L717,'All Solo Adjustments'!A:D,4,FALSE),VLOOKUP(L717,'All Solo Adjustments'!A:J,10,FALSE))</f>
        <v>4.6180555555555558E-3</v>
      </c>
      <c r="N717" s="63"/>
      <c r="O717" s="63"/>
      <c r="P717" s="63"/>
      <c r="Q717" s="63"/>
      <c r="R717" t="s">
        <v>125</v>
      </c>
      <c r="S717" t="s">
        <v>170</v>
      </c>
      <c r="T717" t="s">
        <v>292</v>
      </c>
      <c r="U717" t="s">
        <v>8848</v>
      </c>
      <c r="V717" t="s">
        <v>8847</v>
      </c>
      <c r="W717" t="s">
        <v>8846</v>
      </c>
      <c r="X717" t="s">
        <v>123</v>
      </c>
      <c r="Y717" t="s">
        <v>8845</v>
      </c>
      <c r="Z717" t="str">
        <f>"07711318205"</f>
        <v>07711318205</v>
      </c>
      <c r="AA717" t="str">
        <f>""</f>
        <v/>
      </c>
      <c r="AB717" t="s">
        <v>508</v>
      </c>
      <c r="AC717" t="s">
        <v>8844</v>
      </c>
      <c r="AD717" t="s">
        <v>114</v>
      </c>
      <c r="AE717" s="63">
        <v>45330</v>
      </c>
      <c r="AF717" t="s">
        <v>113</v>
      </c>
      <c r="AG717" t="s">
        <v>112</v>
      </c>
      <c r="AH717" t="s">
        <v>112</v>
      </c>
      <c r="AI717" s="63">
        <v>43550</v>
      </c>
      <c r="AJ717" s="63">
        <v>45657</v>
      </c>
      <c r="AK717" t="s">
        <v>112</v>
      </c>
      <c r="AL717" t="s">
        <v>111</v>
      </c>
      <c r="AM717" t="s">
        <v>111</v>
      </c>
      <c r="AN717">
        <v>22927</v>
      </c>
      <c r="AO717" t="s">
        <v>110</v>
      </c>
      <c r="AP717" t="s">
        <v>109</v>
      </c>
    </row>
    <row r="718" spans="1:42" x14ac:dyDescent="0.25">
      <c r="A718" s="28" t="str">
        <f>"14713"</f>
        <v>14713</v>
      </c>
      <c r="B718">
        <v>14713</v>
      </c>
      <c r="C718" t="s">
        <v>2488</v>
      </c>
      <c r="D718" t="s">
        <v>121</v>
      </c>
      <c r="E718" t="s">
        <v>584</v>
      </c>
      <c r="F718" t="s">
        <v>120</v>
      </c>
      <c r="G718" t="s">
        <v>492</v>
      </c>
      <c r="H718" t="s">
        <v>1643</v>
      </c>
      <c r="I718" t="s">
        <v>262</v>
      </c>
      <c r="J718" t="s">
        <v>7</v>
      </c>
      <c r="K718" s="63">
        <v>24638</v>
      </c>
      <c r="L718" s="28">
        <f>DATEDIF(K718,Zwift25!G$1,"Y")</f>
        <v>57</v>
      </c>
      <c r="M718" s="67">
        <f>IF(J718="m",VLOOKUP(L718,'All Solo Adjustments'!A:D,4,FALSE),VLOOKUP(L718,'All Solo Adjustments'!A:J,10,FALSE))</f>
        <v>2.488425925925926E-3</v>
      </c>
      <c r="N718" s="63"/>
      <c r="O718" s="63"/>
      <c r="P718" s="63"/>
      <c r="Q718" s="63"/>
      <c r="R718" t="s">
        <v>184</v>
      </c>
      <c r="S718" t="s">
        <v>183</v>
      </c>
      <c r="T718" t="s">
        <v>292</v>
      </c>
      <c r="U718" t="s">
        <v>8843</v>
      </c>
      <c r="V718" t="s">
        <v>8842</v>
      </c>
      <c r="W718" t="s">
        <v>167</v>
      </c>
      <c r="Y718" t="s">
        <v>8841</v>
      </c>
      <c r="Z718" t="str">
        <f>"07310 435047"</f>
        <v>07310 435047</v>
      </c>
      <c r="AA718" t="str">
        <f>""</f>
        <v/>
      </c>
      <c r="AB718" t="s">
        <v>733</v>
      </c>
      <c r="AC718" t="s">
        <v>8840</v>
      </c>
      <c r="AD718" t="s">
        <v>114</v>
      </c>
      <c r="AE718" s="63">
        <v>45363</v>
      </c>
      <c r="AF718" t="s">
        <v>156</v>
      </c>
      <c r="AG718" t="s">
        <v>112</v>
      </c>
      <c r="AH718" t="s">
        <v>112</v>
      </c>
      <c r="AI718" s="63">
        <v>44076</v>
      </c>
      <c r="AJ718" s="63">
        <v>45657</v>
      </c>
      <c r="AK718" t="s">
        <v>112</v>
      </c>
      <c r="AL718" t="s">
        <v>111</v>
      </c>
      <c r="AM718" t="s">
        <v>111</v>
      </c>
      <c r="AN718">
        <v>34720</v>
      </c>
      <c r="AO718" t="s">
        <v>110</v>
      </c>
      <c r="AP718" t="s">
        <v>109</v>
      </c>
    </row>
    <row r="719" spans="1:42" x14ac:dyDescent="0.25">
      <c r="A719" s="28" t="str">
        <f>"15161"</f>
        <v>15161</v>
      </c>
      <c r="B719">
        <v>15161</v>
      </c>
      <c r="C719" t="s">
        <v>2488</v>
      </c>
      <c r="D719" t="s">
        <v>121</v>
      </c>
      <c r="E719" t="s">
        <v>584</v>
      </c>
      <c r="F719" t="s">
        <v>120</v>
      </c>
      <c r="G719" t="s">
        <v>783</v>
      </c>
      <c r="I719" t="s">
        <v>262</v>
      </c>
      <c r="J719" t="s">
        <v>7</v>
      </c>
      <c r="K719" s="63">
        <v>26935</v>
      </c>
      <c r="L719" s="28">
        <f>DATEDIF(K719,Zwift25!G$1,"Y")</f>
        <v>51</v>
      </c>
      <c r="M719" s="67">
        <f>IF(J719="m",VLOOKUP(L719,'All Solo Adjustments'!A:D,4,FALSE),VLOOKUP(L719,'All Solo Adjustments'!A:J,10,FALSE))</f>
        <v>1.3078703703703703E-3</v>
      </c>
      <c r="N719" s="63"/>
      <c r="O719" s="63"/>
      <c r="P719" s="63"/>
      <c r="Q719" s="63"/>
      <c r="R719" t="s">
        <v>296</v>
      </c>
      <c r="S719" t="s">
        <v>295</v>
      </c>
      <c r="T719" t="s">
        <v>292</v>
      </c>
      <c r="U719" t="s">
        <v>8839</v>
      </c>
      <c r="V719" t="s">
        <v>1200</v>
      </c>
      <c r="Y719" t="s">
        <v>8838</v>
      </c>
      <c r="Z719" t="str">
        <f>"07758073772"</f>
        <v>07758073772</v>
      </c>
      <c r="AA719" t="str">
        <f>""</f>
        <v/>
      </c>
      <c r="AB719" t="s">
        <v>8837</v>
      </c>
      <c r="AC719" t="s">
        <v>8836</v>
      </c>
      <c r="AD719" t="s">
        <v>114</v>
      </c>
      <c r="AE719" s="63">
        <v>45253</v>
      </c>
      <c r="AF719" t="s">
        <v>156</v>
      </c>
      <c r="AG719" t="s">
        <v>112</v>
      </c>
      <c r="AH719" t="s">
        <v>112</v>
      </c>
      <c r="AI719" s="63">
        <v>44382</v>
      </c>
      <c r="AJ719" s="63">
        <v>45657</v>
      </c>
      <c r="AK719" t="s">
        <v>112</v>
      </c>
      <c r="AL719" t="s">
        <v>111</v>
      </c>
      <c r="AM719" t="s">
        <v>111</v>
      </c>
      <c r="AN719">
        <v>40367</v>
      </c>
      <c r="AO719" t="s">
        <v>110</v>
      </c>
      <c r="AP719" t="s">
        <v>109</v>
      </c>
    </row>
    <row r="720" spans="1:42" x14ac:dyDescent="0.25">
      <c r="A720" s="28" t="str">
        <f>"15934"</f>
        <v>15934</v>
      </c>
      <c r="B720">
        <v>15934</v>
      </c>
      <c r="C720" t="s">
        <v>2488</v>
      </c>
      <c r="D720" t="s">
        <v>121</v>
      </c>
      <c r="F720" t="s">
        <v>120</v>
      </c>
      <c r="G720" t="s">
        <v>231</v>
      </c>
      <c r="I720" t="s">
        <v>8835</v>
      </c>
      <c r="J720" t="s">
        <v>7</v>
      </c>
      <c r="K720" s="63">
        <v>27012</v>
      </c>
      <c r="L720" s="28">
        <f>DATEDIF(K720,Zwift25!G$1,"Y")</f>
        <v>50</v>
      </c>
      <c r="M720" s="67">
        <f>IF(J720="m",VLOOKUP(L720,'All Solo Adjustments'!A:D,4,FALSE),VLOOKUP(L720,'All Solo Adjustments'!A:J,10,FALSE))</f>
        <v>1.1342592592592591E-3</v>
      </c>
      <c r="N720" s="63"/>
      <c r="O720" s="63"/>
      <c r="P720" s="63"/>
      <c r="Q720" s="63"/>
      <c r="R720" t="s">
        <v>118</v>
      </c>
      <c r="S720" t="s">
        <v>117</v>
      </c>
      <c r="T720" t="s">
        <v>292</v>
      </c>
      <c r="U720" t="s">
        <v>8834</v>
      </c>
      <c r="V720" t="s">
        <v>2270</v>
      </c>
      <c r="W720" t="s">
        <v>968</v>
      </c>
      <c r="Y720" t="s">
        <v>8833</v>
      </c>
      <c r="Z720" t="str">
        <f>"07926 005453"</f>
        <v>07926 005453</v>
      </c>
      <c r="AA720" t="str">
        <f>""</f>
        <v/>
      </c>
      <c r="AB720" t="s">
        <v>8832</v>
      </c>
      <c r="AC720" t="s">
        <v>8831</v>
      </c>
      <c r="AD720" t="s">
        <v>145</v>
      </c>
      <c r="AE720" s="63">
        <v>45205</v>
      </c>
      <c r="AF720" t="s">
        <v>156</v>
      </c>
      <c r="AG720" t="s">
        <v>112</v>
      </c>
      <c r="AH720" t="s">
        <v>112</v>
      </c>
      <c r="AI720" s="63">
        <v>45205</v>
      </c>
      <c r="AJ720" s="63">
        <v>45657</v>
      </c>
      <c r="AK720" t="s">
        <v>112</v>
      </c>
      <c r="AL720" t="s">
        <v>111</v>
      </c>
      <c r="AM720" t="s">
        <v>111</v>
      </c>
      <c r="AN720">
        <v>42795</v>
      </c>
      <c r="AO720" t="s">
        <v>110</v>
      </c>
      <c r="AP720" t="s">
        <v>109</v>
      </c>
    </row>
    <row r="721" spans="1:42" x14ac:dyDescent="0.25">
      <c r="A721" s="28" t="str">
        <f>"6160"</f>
        <v>6160</v>
      </c>
      <c r="B721">
        <v>6160</v>
      </c>
      <c r="C721" t="s">
        <v>2488</v>
      </c>
      <c r="D721" t="s">
        <v>121</v>
      </c>
      <c r="F721" t="s">
        <v>120</v>
      </c>
      <c r="G721" t="s">
        <v>366</v>
      </c>
      <c r="I721" t="s">
        <v>8830</v>
      </c>
      <c r="J721" t="s">
        <v>7</v>
      </c>
      <c r="K721" s="63">
        <v>23640</v>
      </c>
      <c r="L721" s="28">
        <f>DATEDIF(K721,Zwift25!G$1,"Y")</f>
        <v>60</v>
      </c>
      <c r="M721" s="67">
        <f>IF(J721="m",VLOOKUP(L721,'All Solo Adjustments'!A:D,4,FALSE),VLOOKUP(L721,'All Solo Adjustments'!A:J,10,FALSE))</f>
        <v>3.2060185185185186E-3</v>
      </c>
      <c r="N721" s="63"/>
      <c r="O721" s="63"/>
      <c r="P721" s="63"/>
      <c r="Q721" s="63"/>
      <c r="R721" t="s">
        <v>159</v>
      </c>
      <c r="S721" t="s">
        <v>162</v>
      </c>
      <c r="T721" t="s">
        <v>292</v>
      </c>
      <c r="U721" t="s">
        <v>8829</v>
      </c>
      <c r="V721" t="s">
        <v>521</v>
      </c>
      <c r="W721" t="s">
        <v>159</v>
      </c>
      <c r="Y721" t="s">
        <v>8828</v>
      </c>
      <c r="Z721" t="str">
        <f>"01322 273760"</f>
        <v>01322 273760</v>
      </c>
      <c r="AA721" t="str">
        <f>"07507179744"</f>
        <v>07507179744</v>
      </c>
      <c r="AB721" t="s">
        <v>1305</v>
      </c>
      <c r="AC721" t="s">
        <v>8827</v>
      </c>
      <c r="AD721" t="s">
        <v>114</v>
      </c>
      <c r="AE721" s="63">
        <v>45342</v>
      </c>
      <c r="AF721" t="s">
        <v>113</v>
      </c>
      <c r="AG721" t="s">
        <v>112</v>
      </c>
      <c r="AH721" t="s">
        <v>112</v>
      </c>
      <c r="AI721" s="63">
        <v>43471</v>
      </c>
      <c r="AJ721" s="63">
        <v>45657</v>
      </c>
      <c r="AK721" t="s">
        <v>111</v>
      </c>
      <c r="AL721" t="s">
        <v>111</v>
      </c>
      <c r="AM721" t="s">
        <v>111</v>
      </c>
      <c r="AN721">
        <v>5140</v>
      </c>
      <c r="AO721" t="s">
        <v>110</v>
      </c>
      <c r="AP721" t="s">
        <v>109</v>
      </c>
    </row>
    <row r="722" spans="1:42" x14ac:dyDescent="0.25">
      <c r="A722" s="28" t="str">
        <f>"0925"</f>
        <v>0925</v>
      </c>
      <c r="B722">
        <v>925</v>
      </c>
      <c r="C722" t="s">
        <v>2488</v>
      </c>
      <c r="D722" t="s">
        <v>121</v>
      </c>
      <c r="F722" t="s">
        <v>120</v>
      </c>
      <c r="G722" t="s">
        <v>442</v>
      </c>
      <c r="I722" t="s">
        <v>775</v>
      </c>
      <c r="J722" t="s">
        <v>7</v>
      </c>
      <c r="K722" s="63">
        <v>15632</v>
      </c>
      <c r="L722" s="28">
        <f>DATEDIF(K722,Zwift25!G$1,"Y")</f>
        <v>81</v>
      </c>
      <c r="M722" s="67">
        <f>IF(J722="m",VLOOKUP(L722,'All Solo Adjustments'!A:D,4,FALSE),VLOOKUP(L722,'All Solo Adjustments'!A:J,10,FALSE))</f>
        <v>1.1597222222222222E-2</v>
      </c>
      <c r="N722" s="63"/>
      <c r="O722" s="63"/>
      <c r="P722" s="63"/>
      <c r="Q722" s="63"/>
      <c r="R722" t="s">
        <v>180</v>
      </c>
      <c r="S722" t="s">
        <v>2288</v>
      </c>
      <c r="T722" t="s">
        <v>292</v>
      </c>
      <c r="U722" t="s">
        <v>8826</v>
      </c>
      <c r="V722" t="s">
        <v>8825</v>
      </c>
      <c r="W722" t="s">
        <v>1474</v>
      </c>
      <c r="X722" t="s">
        <v>259</v>
      </c>
      <c r="Y722" t="s">
        <v>8824</v>
      </c>
      <c r="Z722" t="str">
        <f>""</f>
        <v/>
      </c>
      <c r="AA722" t="str">
        <f>"07517672029"</f>
        <v>07517672029</v>
      </c>
      <c r="AB722" t="s">
        <v>216</v>
      </c>
      <c r="AC722" t="s">
        <v>8823</v>
      </c>
      <c r="AD722" t="s">
        <v>145</v>
      </c>
      <c r="AF722" t="s">
        <v>113</v>
      </c>
      <c r="AG722" t="s">
        <v>112</v>
      </c>
      <c r="AH722" t="s">
        <v>112</v>
      </c>
      <c r="AI722" s="63">
        <v>43423</v>
      </c>
      <c r="AK722" t="s">
        <v>111</v>
      </c>
      <c r="AL722" t="s">
        <v>111</v>
      </c>
      <c r="AM722" t="s">
        <v>111</v>
      </c>
      <c r="AN722">
        <v>82</v>
      </c>
      <c r="AO722" t="s">
        <v>110</v>
      </c>
      <c r="AP722" t="s">
        <v>109</v>
      </c>
    </row>
    <row r="723" spans="1:42" x14ac:dyDescent="0.25">
      <c r="A723" s="28" t="str">
        <f>"0926"</f>
        <v>0926</v>
      </c>
      <c r="B723">
        <v>926</v>
      </c>
      <c r="C723" t="s">
        <v>2488</v>
      </c>
      <c r="D723" t="s">
        <v>132</v>
      </c>
      <c r="F723" t="s">
        <v>149</v>
      </c>
      <c r="G723" t="s">
        <v>352</v>
      </c>
      <c r="I723" t="s">
        <v>775</v>
      </c>
      <c r="J723" t="s">
        <v>126</v>
      </c>
      <c r="K723" s="63">
        <v>13675</v>
      </c>
      <c r="L723" s="28">
        <f>DATEDIF(K723,Zwift25!G$1,"Y")</f>
        <v>87</v>
      </c>
      <c r="M723" s="67">
        <f>IF(J723="m",VLOOKUP(L723,'All Solo Adjustments'!A:D,4,FALSE),VLOOKUP(L723,'All Solo Adjustments'!A:J,10,FALSE))</f>
        <v>2.2187500000000002E-2</v>
      </c>
      <c r="N723" s="63"/>
      <c r="O723" s="63"/>
      <c r="P723" s="63"/>
      <c r="Q723" s="63"/>
      <c r="R723" t="s">
        <v>154</v>
      </c>
      <c r="S723" t="s">
        <v>412</v>
      </c>
      <c r="T723" t="s">
        <v>292</v>
      </c>
      <c r="U723" t="s">
        <v>8822</v>
      </c>
      <c r="V723" t="s">
        <v>8821</v>
      </c>
      <c r="W723" t="s">
        <v>591</v>
      </c>
      <c r="Y723" t="s">
        <v>8820</v>
      </c>
      <c r="Z723" t="str">
        <f>""</f>
        <v/>
      </c>
      <c r="AA723" t="str">
        <f>""</f>
        <v/>
      </c>
      <c r="AB723" t="s">
        <v>290</v>
      </c>
      <c r="AC723" t="s">
        <v>8819</v>
      </c>
      <c r="AD723" t="s">
        <v>145</v>
      </c>
      <c r="AE723" s="63">
        <v>45290</v>
      </c>
      <c r="AF723" t="s">
        <v>113</v>
      </c>
      <c r="AG723" t="s">
        <v>112</v>
      </c>
      <c r="AH723" t="s">
        <v>112</v>
      </c>
      <c r="AI723" s="63">
        <v>35065</v>
      </c>
      <c r="AJ723" s="63">
        <v>45657</v>
      </c>
      <c r="AK723" t="s">
        <v>111</v>
      </c>
      <c r="AL723" t="s">
        <v>111</v>
      </c>
      <c r="AM723" t="s">
        <v>111</v>
      </c>
      <c r="AN723" t="s">
        <v>105</v>
      </c>
      <c r="AO723" t="s">
        <v>122</v>
      </c>
      <c r="AP723" t="s">
        <v>122</v>
      </c>
    </row>
    <row r="724" spans="1:42" x14ac:dyDescent="0.25">
      <c r="A724" s="28" t="str">
        <f>"10948"</f>
        <v>10948</v>
      </c>
      <c r="B724">
        <v>10948</v>
      </c>
      <c r="C724" t="s">
        <v>2488</v>
      </c>
      <c r="D724" t="s">
        <v>130</v>
      </c>
      <c r="F724" t="s">
        <v>120</v>
      </c>
      <c r="G724" t="s">
        <v>738</v>
      </c>
      <c r="I724" t="s">
        <v>775</v>
      </c>
      <c r="J724" t="s">
        <v>7</v>
      </c>
      <c r="K724" s="63">
        <v>13570</v>
      </c>
      <c r="L724" s="28">
        <f>DATEDIF(K724,Zwift25!G$1,"Y")</f>
        <v>87</v>
      </c>
      <c r="M724" s="67">
        <f>IF(J724="m",VLOOKUP(L724,'All Solo Adjustments'!A:D,4,FALSE),VLOOKUP(L724,'All Solo Adjustments'!A:J,10,FALSE))</f>
        <v>1.576388888888889E-2</v>
      </c>
      <c r="N724" s="63"/>
      <c r="O724" s="63"/>
      <c r="P724" s="63"/>
      <c r="Q724" s="63"/>
      <c r="R724" t="s">
        <v>154</v>
      </c>
      <c r="S724" t="s">
        <v>412</v>
      </c>
      <c r="T724" t="s">
        <v>292</v>
      </c>
      <c r="U724" t="s">
        <v>8822</v>
      </c>
      <c r="V724" t="s">
        <v>8821</v>
      </c>
      <c r="W724" t="s">
        <v>591</v>
      </c>
      <c r="Y724" t="s">
        <v>8820</v>
      </c>
      <c r="Z724" t="str">
        <f>""</f>
        <v/>
      </c>
      <c r="AA724" t="str">
        <f>""</f>
        <v/>
      </c>
      <c r="AB724" t="s">
        <v>290</v>
      </c>
      <c r="AC724" t="s">
        <v>8819</v>
      </c>
      <c r="AD724" t="s">
        <v>145</v>
      </c>
      <c r="AE724" s="63">
        <v>45290</v>
      </c>
      <c r="AF724" t="s">
        <v>113</v>
      </c>
      <c r="AG724" t="s">
        <v>112</v>
      </c>
      <c r="AH724" t="s">
        <v>112</v>
      </c>
      <c r="AI724" s="63">
        <v>32509</v>
      </c>
      <c r="AJ724" s="63">
        <v>45657</v>
      </c>
      <c r="AK724" t="s">
        <v>111</v>
      </c>
      <c r="AL724" t="s">
        <v>111</v>
      </c>
      <c r="AM724" t="s">
        <v>111</v>
      </c>
      <c r="AN724" t="s">
        <v>105</v>
      </c>
      <c r="AO724" t="s">
        <v>110</v>
      </c>
      <c r="AP724" t="s">
        <v>109</v>
      </c>
    </row>
    <row r="725" spans="1:42" x14ac:dyDescent="0.25">
      <c r="A725" s="28" t="str">
        <f>"0927"</f>
        <v>0927</v>
      </c>
      <c r="B725">
        <v>927</v>
      </c>
      <c r="C725" t="s">
        <v>2488</v>
      </c>
      <c r="D725" t="s">
        <v>121</v>
      </c>
      <c r="F725" t="s">
        <v>120</v>
      </c>
      <c r="G725" t="s">
        <v>2286</v>
      </c>
      <c r="I725" t="s">
        <v>775</v>
      </c>
      <c r="J725" t="s">
        <v>7</v>
      </c>
      <c r="K725" s="63">
        <v>11740</v>
      </c>
      <c r="L725" s="28">
        <f>DATEDIF(K725,Zwift25!G$1,"Y")</f>
        <v>92</v>
      </c>
      <c r="M725" s="67">
        <f>IF(J725="m",VLOOKUP(L725,'All Solo Adjustments'!A:D,4,FALSE),VLOOKUP(L725,'All Solo Adjustments'!A:J,10,FALSE))</f>
        <v>2.0405092592592593E-2</v>
      </c>
      <c r="N725" s="63"/>
      <c r="O725" s="63"/>
      <c r="P725" s="63"/>
      <c r="Q725" s="63"/>
      <c r="R725" t="s">
        <v>137</v>
      </c>
      <c r="S725" t="s">
        <v>2312</v>
      </c>
      <c r="T725" t="s">
        <v>292</v>
      </c>
      <c r="U725" t="s">
        <v>8818</v>
      </c>
      <c r="V725" t="s">
        <v>8817</v>
      </c>
      <c r="W725" t="s">
        <v>141</v>
      </c>
      <c r="Y725" t="s">
        <v>8816</v>
      </c>
      <c r="Z725" t="str">
        <f>"01483 472434"</f>
        <v>01483 472434</v>
      </c>
      <c r="AA725" t="str">
        <f>""</f>
        <v/>
      </c>
      <c r="AB725" t="s">
        <v>2196</v>
      </c>
      <c r="AC725" t="s">
        <v>8815</v>
      </c>
      <c r="AD725" t="s">
        <v>151</v>
      </c>
      <c r="AF725" t="s">
        <v>113</v>
      </c>
      <c r="AG725" t="s">
        <v>112</v>
      </c>
      <c r="AH725" t="s">
        <v>112</v>
      </c>
      <c r="AI725" s="63">
        <v>27819</v>
      </c>
      <c r="AK725" t="s">
        <v>111</v>
      </c>
      <c r="AL725" t="s">
        <v>111</v>
      </c>
      <c r="AM725" t="s">
        <v>111</v>
      </c>
      <c r="AN725" t="s">
        <v>105</v>
      </c>
      <c r="AO725" t="s">
        <v>110</v>
      </c>
      <c r="AP725" t="s">
        <v>109</v>
      </c>
    </row>
    <row r="726" spans="1:42" x14ac:dyDescent="0.25">
      <c r="A726" s="28" t="str">
        <f>"3502"</f>
        <v>3502</v>
      </c>
      <c r="B726">
        <v>3502</v>
      </c>
      <c r="C726" t="s">
        <v>2488</v>
      </c>
      <c r="D726" t="s">
        <v>121</v>
      </c>
      <c r="F726" t="s">
        <v>120</v>
      </c>
      <c r="G726" t="s">
        <v>181</v>
      </c>
      <c r="I726" t="s">
        <v>775</v>
      </c>
      <c r="J726" t="s">
        <v>7</v>
      </c>
      <c r="K726" s="63">
        <v>23457</v>
      </c>
      <c r="L726" s="28">
        <f>DATEDIF(K726,Zwift25!G$1,"Y")</f>
        <v>60</v>
      </c>
      <c r="M726" s="67">
        <f>IF(J726="m",VLOOKUP(L726,'All Solo Adjustments'!A:D,4,FALSE),VLOOKUP(L726,'All Solo Adjustments'!A:J,10,FALSE))</f>
        <v>3.2060185185185186E-3</v>
      </c>
      <c r="N726" s="63"/>
      <c r="O726" s="63"/>
      <c r="P726" s="63"/>
      <c r="Q726" s="63"/>
      <c r="R726" t="s">
        <v>125</v>
      </c>
      <c r="S726" t="s">
        <v>170</v>
      </c>
      <c r="T726" t="s">
        <v>292</v>
      </c>
      <c r="U726" t="s">
        <v>8814</v>
      </c>
      <c r="V726" t="s">
        <v>194</v>
      </c>
      <c r="W726" t="s">
        <v>193</v>
      </c>
      <c r="Y726" t="s">
        <v>8813</v>
      </c>
      <c r="Z726" t="str">
        <f>"01842 761526"</f>
        <v>01842 761526</v>
      </c>
      <c r="AA726" t="str">
        <f>""</f>
        <v/>
      </c>
      <c r="AB726" t="s">
        <v>192</v>
      </c>
      <c r="AC726" t="s">
        <v>8812</v>
      </c>
      <c r="AD726" t="s">
        <v>114</v>
      </c>
      <c r="AE726" s="63">
        <v>45300</v>
      </c>
      <c r="AF726" t="s">
        <v>156</v>
      </c>
      <c r="AG726" t="s">
        <v>112</v>
      </c>
      <c r="AH726" t="s">
        <v>112</v>
      </c>
      <c r="AI726" s="63">
        <v>39828</v>
      </c>
      <c r="AJ726" s="63">
        <v>45657</v>
      </c>
      <c r="AK726" t="s">
        <v>111</v>
      </c>
      <c r="AL726" t="s">
        <v>111</v>
      </c>
      <c r="AM726" t="s">
        <v>111</v>
      </c>
      <c r="AN726">
        <v>242</v>
      </c>
      <c r="AO726" t="s">
        <v>110</v>
      </c>
      <c r="AP726" t="s">
        <v>109</v>
      </c>
    </row>
    <row r="727" spans="1:42" x14ac:dyDescent="0.25">
      <c r="A727" s="28" t="str">
        <f>"13964"</f>
        <v>13964</v>
      </c>
      <c r="B727">
        <v>13964</v>
      </c>
      <c r="C727" t="s">
        <v>2488</v>
      </c>
      <c r="D727" t="s">
        <v>121</v>
      </c>
      <c r="F727" t="s">
        <v>120</v>
      </c>
      <c r="G727" t="s">
        <v>171</v>
      </c>
      <c r="I727" t="s">
        <v>775</v>
      </c>
      <c r="J727" t="s">
        <v>7</v>
      </c>
      <c r="K727" s="63">
        <v>21773</v>
      </c>
      <c r="L727" s="28">
        <f>DATEDIF(K727,Zwift25!G$1,"Y")</f>
        <v>65</v>
      </c>
      <c r="M727" s="67">
        <f>IF(J727="m",VLOOKUP(L727,'All Solo Adjustments'!A:D,4,FALSE),VLOOKUP(L727,'All Solo Adjustments'!A:J,10,FALSE))</f>
        <v>4.6180555555555558E-3</v>
      </c>
      <c r="N727" s="63"/>
      <c r="O727" s="63"/>
      <c r="P727" s="63"/>
      <c r="Q727" s="63"/>
      <c r="R727" t="s">
        <v>239</v>
      </c>
      <c r="S727" t="s">
        <v>274</v>
      </c>
      <c r="T727" t="s">
        <v>292</v>
      </c>
      <c r="U727" t="s">
        <v>8811</v>
      </c>
      <c r="V727" t="s">
        <v>1635</v>
      </c>
      <c r="W727" t="s">
        <v>1634</v>
      </c>
      <c r="X727" t="s">
        <v>2273</v>
      </c>
      <c r="Y727" t="s">
        <v>8810</v>
      </c>
      <c r="Z727" t="str">
        <f>"07426057933"</f>
        <v>07426057933</v>
      </c>
      <c r="AA727" t="str">
        <f>"01132509318"</f>
        <v>01132509318</v>
      </c>
      <c r="AB727" t="s">
        <v>1445</v>
      </c>
      <c r="AC727" t="s">
        <v>8809</v>
      </c>
      <c r="AD727" t="s">
        <v>114</v>
      </c>
      <c r="AE727" s="63">
        <v>45263</v>
      </c>
      <c r="AF727" t="s">
        <v>113</v>
      </c>
      <c r="AG727" t="s">
        <v>112</v>
      </c>
      <c r="AH727" t="s">
        <v>112</v>
      </c>
      <c r="AI727" s="63">
        <v>43468</v>
      </c>
      <c r="AJ727" s="63">
        <v>45657</v>
      </c>
      <c r="AK727" t="s">
        <v>112</v>
      </c>
      <c r="AL727" t="s">
        <v>112</v>
      </c>
      <c r="AM727" t="s">
        <v>111</v>
      </c>
      <c r="AN727">
        <v>26830</v>
      </c>
      <c r="AO727" t="s">
        <v>110</v>
      </c>
      <c r="AP727" t="s">
        <v>109</v>
      </c>
    </row>
    <row r="728" spans="1:42" x14ac:dyDescent="0.25">
      <c r="A728" s="28" t="str">
        <f>"15095"</f>
        <v>15095</v>
      </c>
      <c r="B728">
        <v>15095</v>
      </c>
      <c r="C728" t="s">
        <v>2488</v>
      </c>
      <c r="D728" t="s">
        <v>121</v>
      </c>
      <c r="F728" t="s">
        <v>139</v>
      </c>
      <c r="G728" t="s">
        <v>586</v>
      </c>
      <c r="I728" t="s">
        <v>775</v>
      </c>
      <c r="J728" t="s">
        <v>126</v>
      </c>
      <c r="K728" s="63">
        <v>22551</v>
      </c>
      <c r="L728" s="28">
        <f>DATEDIF(K728,Zwift25!G$1,"Y")</f>
        <v>63</v>
      </c>
      <c r="M728" s="67">
        <f>IF(J728="m",VLOOKUP(L728,'All Solo Adjustments'!A:D,4,FALSE),VLOOKUP(L728,'All Solo Adjustments'!A:J,10,FALSE))</f>
        <v>8.0092592592592594E-3</v>
      </c>
      <c r="N728" s="63"/>
      <c r="O728" s="63"/>
      <c r="P728" s="63"/>
      <c r="Q728" s="63"/>
      <c r="R728" t="s">
        <v>154</v>
      </c>
      <c r="S728" t="s">
        <v>153</v>
      </c>
      <c r="T728" t="s">
        <v>292</v>
      </c>
      <c r="U728" t="s">
        <v>8808</v>
      </c>
      <c r="V728" t="s">
        <v>8807</v>
      </c>
      <c r="W728" t="s">
        <v>673</v>
      </c>
      <c r="Y728" t="s">
        <v>8806</v>
      </c>
      <c r="Z728" t="str">
        <f>"+447880557194"</f>
        <v>+447880557194</v>
      </c>
      <c r="AA728" t="str">
        <f>""</f>
        <v/>
      </c>
      <c r="AB728" t="s">
        <v>1553</v>
      </c>
      <c r="AC728" t="s">
        <v>8805</v>
      </c>
      <c r="AD728" t="s">
        <v>114</v>
      </c>
      <c r="AE728" s="63">
        <v>45292</v>
      </c>
      <c r="AF728" t="s">
        <v>113</v>
      </c>
      <c r="AG728" t="s">
        <v>112</v>
      </c>
      <c r="AH728" t="s">
        <v>112</v>
      </c>
      <c r="AI728" s="63">
        <v>44346</v>
      </c>
      <c r="AJ728" s="63">
        <v>45657</v>
      </c>
      <c r="AK728" t="s">
        <v>112</v>
      </c>
      <c r="AL728" t="s">
        <v>111</v>
      </c>
      <c r="AM728" t="s">
        <v>111</v>
      </c>
      <c r="AN728">
        <v>7955</v>
      </c>
      <c r="AO728" t="s">
        <v>122</v>
      </c>
      <c r="AP728" t="s">
        <v>122</v>
      </c>
    </row>
    <row r="729" spans="1:42" x14ac:dyDescent="0.25">
      <c r="A729" s="28" t="str">
        <f>"16137"</f>
        <v>16137</v>
      </c>
      <c r="B729">
        <v>16137</v>
      </c>
      <c r="C729" t="s">
        <v>2488</v>
      </c>
      <c r="D729" t="s">
        <v>121</v>
      </c>
      <c r="E729" t="s">
        <v>584</v>
      </c>
      <c r="F729" t="s">
        <v>120</v>
      </c>
      <c r="G729" t="s">
        <v>1000</v>
      </c>
      <c r="H729" t="s">
        <v>409</v>
      </c>
      <c r="I729" t="s">
        <v>775</v>
      </c>
      <c r="J729" t="s">
        <v>7</v>
      </c>
      <c r="K729" s="63">
        <v>30817</v>
      </c>
      <c r="L729" s="28">
        <f>DATEDIF(K729,Zwift25!G$1,"Y")</f>
        <v>40</v>
      </c>
      <c r="M729" s="67">
        <f>IF(J729="m",VLOOKUP(L729,'All Solo Adjustments'!A:D,4,FALSE),VLOOKUP(L729,'All Solo Adjustments'!A:J,10,FALSE))</f>
        <v>0</v>
      </c>
      <c r="N729" s="63"/>
      <c r="O729" s="63"/>
      <c r="P729" s="63"/>
      <c r="Q729" s="63"/>
      <c r="R729" t="s">
        <v>154</v>
      </c>
      <c r="S729" t="s">
        <v>153</v>
      </c>
      <c r="T729" t="s">
        <v>292</v>
      </c>
      <c r="U729" t="s">
        <v>8804</v>
      </c>
      <c r="V729" t="s">
        <v>8803</v>
      </c>
      <c r="W729" t="s">
        <v>1017</v>
      </c>
      <c r="Y729" t="s">
        <v>8802</v>
      </c>
      <c r="Z729" t="str">
        <f>"07712566815"</f>
        <v>07712566815</v>
      </c>
      <c r="AA729" t="str">
        <f>""</f>
        <v/>
      </c>
      <c r="AB729" t="s">
        <v>6646</v>
      </c>
      <c r="AC729" t="s">
        <v>8801</v>
      </c>
      <c r="AD729" t="s">
        <v>114</v>
      </c>
      <c r="AE729" s="63">
        <v>45430</v>
      </c>
      <c r="AF729" t="s">
        <v>156</v>
      </c>
      <c r="AG729" t="s">
        <v>112</v>
      </c>
      <c r="AH729" t="s">
        <v>112</v>
      </c>
      <c r="AI729" s="63">
        <v>45430</v>
      </c>
      <c r="AJ729" s="63">
        <v>45657</v>
      </c>
      <c r="AK729" t="s">
        <v>112</v>
      </c>
      <c r="AL729" t="s">
        <v>111</v>
      </c>
      <c r="AM729" t="s">
        <v>111</v>
      </c>
      <c r="AN729">
        <v>7</v>
      </c>
      <c r="AO729" t="s">
        <v>110</v>
      </c>
      <c r="AP729" t="s">
        <v>109</v>
      </c>
    </row>
    <row r="730" spans="1:42" x14ac:dyDescent="0.25">
      <c r="A730" s="28" t="str">
        <f>"15810"</f>
        <v>15810</v>
      </c>
      <c r="B730">
        <v>15810</v>
      </c>
      <c r="C730" t="s">
        <v>2488</v>
      </c>
      <c r="D730" t="s">
        <v>121</v>
      </c>
      <c r="F730" t="s">
        <v>120</v>
      </c>
      <c r="G730" t="s">
        <v>377</v>
      </c>
      <c r="I730" t="s">
        <v>1209</v>
      </c>
      <c r="J730" t="s">
        <v>7</v>
      </c>
      <c r="K730" s="63">
        <v>22915</v>
      </c>
      <c r="L730" s="28">
        <f>DATEDIF(K730,Zwift25!G$1,"Y")</f>
        <v>62</v>
      </c>
      <c r="M730" s="67">
        <f>IF(J730="m",VLOOKUP(L730,'All Solo Adjustments'!A:D,4,FALSE),VLOOKUP(L730,'All Solo Adjustments'!A:J,10,FALSE))</f>
        <v>3.7384259259259259E-3</v>
      </c>
      <c r="N730" s="63"/>
      <c r="O730" s="63"/>
      <c r="P730" s="63"/>
      <c r="Q730" s="63"/>
      <c r="R730" t="s">
        <v>137</v>
      </c>
      <c r="S730" t="s">
        <v>136</v>
      </c>
      <c r="T730" t="s">
        <v>292</v>
      </c>
      <c r="U730">
        <v>152</v>
      </c>
      <c r="V730" t="s">
        <v>8800</v>
      </c>
      <c r="W730" t="s">
        <v>8799</v>
      </c>
      <c r="X730" t="s">
        <v>2084</v>
      </c>
      <c r="Y730">
        <v>74500</v>
      </c>
      <c r="Z730" t="str">
        <f>"07795255110"</f>
        <v>07795255110</v>
      </c>
      <c r="AA730" t="str">
        <f>""</f>
        <v/>
      </c>
      <c r="AB730" t="s">
        <v>8798</v>
      </c>
      <c r="AC730" t="s">
        <v>8797</v>
      </c>
      <c r="AD730" t="s">
        <v>114</v>
      </c>
      <c r="AE730" s="63">
        <v>45333</v>
      </c>
      <c r="AF730" t="s">
        <v>156</v>
      </c>
      <c r="AG730" t="s">
        <v>112</v>
      </c>
      <c r="AH730" t="s">
        <v>112</v>
      </c>
      <c r="AI730" s="63">
        <v>45050</v>
      </c>
      <c r="AJ730" s="63">
        <v>45657</v>
      </c>
      <c r="AK730" t="s">
        <v>112</v>
      </c>
      <c r="AL730" t="s">
        <v>111</v>
      </c>
      <c r="AM730" t="s">
        <v>111</v>
      </c>
      <c r="AN730">
        <v>38996</v>
      </c>
      <c r="AO730" t="s">
        <v>110</v>
      </c>
      <c r="AP730" t="s">
        <v>109</v>
      </c>
    </row>
    <row r="731" spans="1:42" x14ac:dyDescent="0.25">
      <c r="A731" s="28" t="str">
        <f>"0931"</f>
        <v>0931</v>
      </c>
      <c r="B731">
        <v>931</v>
      </c>
      <c r="C731" t="s">
        <v>2488</v>
      </c>
      <c r="D731" t="s">
        <v>121</v>
      </c>
      <c r="E731" t="s">
        <v>6041</v>
      </c>
      <c r="F731" t="s">
        <v>120</v>
      </c>
      <c r="G731" t="s">
        <v>300</v>
      </c>
      <c r="I731" t="s">
        <v>8796</v>
      </c>
      <c r="J731" t="s">
        <v>7</v>
      </c>
      <c r="K731" s="63">
        <v>23344</v>
      </c>
      <c r="L731" s="28">
        <f>DATEDIF(K731,Zwift25!G$1,"Y")</f>
        <v>60</v>
      </c>
      <c r="M731" s="67">
        <f>IF(J731="m",VLOOKUP(L731,'All Solo Adjustments'!A:D,4,FALSE),VLOOKUP(L731,'All Solo Adjustments'!A:J,10,FALSE))</f>
        <v>3.2060185185185186E-3</v>
      </c>
      <c r="N731" s="63"/>
      <c r="O731" s="63"/>
      <c r="P731" s="63"/>
      <c r="Q731" s="63"/>
      <c r="R731" t="s">
        <v>184</v>
      </c>
      <c r="S731" t="s">
        <v>183</v>
      </c>
      <c r="T731" t="s">
        <v>292</v>
      </c>
      <c r="U731" t="s">
        <v>8795</v>
      </c>
      <c r="V731" t="s">
        <v>8794</v>
      </c>
      <c r="W731" t="s">
        <v>8793</v>
      </c>
      <c r="X731" t="s">
        <v>834</v>
      </c>
      <c r="Y731" t="s">
        <v>8792</v>
      </c>
      <c r="Z731" t="str">
        <f>"07980301321"</f>
        <v>07980301321</v>
      </c>
      <c r="AA731" t="str">
        <f>""</f>
        <v/>
      </c>
      <c r="AB731" t="s">
        <v>8791</v>
      </c>
      <c r="AC731" t="s">
        <v>8790</v>
      </c>
      <c r="AD731" t="s">
        <v>114</v>
      </c>
      <c r="AE731" s="63">
        <v>45292</v>
      </c>
      <c r="AF731" t="s">
        <v>113</v>
      </c>
      <c r="AG731" t="s">
        <v>112</v>
      </c>
      <c r="AH731" t="s">
        <v>112</v>
      </c>
      <c r="AI731" s="63">
        <v>38000</v>
      </c>
      <c r="AJ731" s="63">
        <v>45657</v>
      </c>
      <c r="AK731" t="s">
        <v>111</v>
      </c>
      <c r="AL731" t="s">
        <v>111</v>
      </c>
      <c r="AM731" t="s">
        <v>111</v>
      </c>
      <c r="AN731">
        <v>644</v>
      </c>
      <c r="AO731" t="s">
        <v>110</v>
      </c>
      <c r="AP731" t="s">
        <v>109</v>
      </c>
    </row>
    <row r="732" spans="1:42" x14ac:dyDescent="0.25">
      <c r="A732" s="28" t="str">
        <f>"4739"</f>
        <v>4739</v>
      </c>
      <c r="B732">
        <v>4739</v>
      </c>
      <c r="C732" t="s">
        <v>2488</v>
      </c>
      <c r="D732" t="s">
        <v>121</v>
      </c>
      <c r="F732" t="s">
        <v>120</v>
      </c>
      <c r="G732" t="s">
        <v>359</v>
      </c>
      <c r="I732" t="s">
        <v>8784</v>
      </c>
      <c r="J732" t="s">
        <v>7</v>
      </c>
      <c r="K732" s="63">
        <v>21292</v>
      </c>
      <c r="L732" s="28">
        <f>DATEDIF(K732,Zwift25!G$1,"Y")</f>
        <v>66</v>
      </c>
      <c r="M732" s="67">
        <f>IF(J732="m",VLOOKUP(L732,'All Solo Adjustments'!A:D,4,FALSE),VLOOKUP(L732,'All Solo Adjustments'!A:J,10,FALSE))</f>
        <v>4.9421296296296297E-3</v>
      </c>
      <c r="N732" s="63"/>
      <c r="O732" s="63"/>
      <c r="P732" s="63"/>
      <c r="Q732" s="63"/>
      <c r="R732" t="s">
        <v>125</v>
      </c>
      <c r="S732" t="s">
        <v>170</v>
      </c>
      <c r="T732" t="s">
        <v>292</v>
      </c>
      <c r="U732" t="s">
        <v>8789</v>
      </c>
      <c r="V732" t="s">
        <v>507</v>
      </c>
      <c r="W732" t="s">
        <v>191</v>
      </c>
      <c r="X732" t="s">
        <v>169</v>
      </c>
      <c r="Y732" t="s">
        <v>8788</v>
      </c>
      <c r="Z732" t="str">
        <f>"0777 5747823"</f>
        <v>0777 5747823</v>
      </c>
      <c r="AA732" t="str">
        <f>"0777 5747823"</f>
        <v>0777 5747823</v>
      </c>
      <c r="AB732" t="s">
        <v>190</v>
      </c>
      <c r="AC732" t="s">
        <v>8787</v>
      </c>
      <c r="AD732" t="s">
        <v>114</v>
      </c>
      <c r="AE732" s="63">
        <v>45320</v>
      </c>
      <c r="AF732" t="s">
        <v>156</v>
      </c>
      <c r="AG732" t="s">
        <v>112</v>
      </c>
      <c r="AH732" t="s">
        <v>112</v>
      </c>
      <c r="AI732" s="63">
        <v>41376</v>
      </c>
      <c r="AJ732" s="63">
        <v>45657</v>
      </c>
      <c r="AK732" t="s">
        <v>111</v>
      </c>
      <c r="AL732" t="s">
        <v>111</v>
      </c>
      <c r="AM732" t="s">
        <v>111</v>
      </c>
      <c r="AN732">
        <v>614</v>
      </c>
      <c r="AO732" t="s">
        <v>110</v>
      </c>
      <c r="AP732" t="s">
        <v>109</v>
      </c>
    </row>
    <row r="733" spans="1:42" x14ac:dyDescent="0.25">
      <c r="A733" s="28" t="str">
        <f>"5611"</f>
        <v>5611</v>
      </c>
      <c r="B733">
        <v>5611</v>
      </c>
      <c r="C733" t="s">
        <v>2488</v>
      </c>
      <c r="D733" t="s">
        <v>121</v>
      </c>
      <c r="F733" t="s">
        <v>120</v>
      </c>
      <c r="G733" t="s">
        <v>995</v>
      </c>
      <c r="I733" t="s">
        <v>8784</v>
      </c>
      <c r="J733" t="s">
        <v>7</v>
      </c>
      <c r="K733" s="63">
        <v>23820</v>
      </c>
      <c r="L733" s="28">
        <f>DATEDIF(K733,Zwift25!G$1,"Y")</f>
        <v>59</v>
      </c>
      <c r="M733" s="67">
        <f>IF(J733="m",VLOOKUP(L733,'All Solo Adjustments'!A:D,4,FALSE),VLOOKUP(L733,'All Solo Adjustments'!A:J,10,FALSE))</f>
        <v>2.9629629629629632E-3</v>
      </c>
      <c r="N733" s="63"/>
      <c r="O733" s="63"/>
      <c r="P733" s="63"/>
      <c r="Q733" s="63"/>
      <c r="R733" t="s">
        <v>159</v>
      </c>
      <c r="S733" t="s">
        <v>162</v>
      </c>
      <c r="T733" t="s">
        <v>292</v>
      </c>
      <c r="U733" t="s">
        <v>8786</v>
      </c>
      <c r="V733" t="s">
        <v>160</v>
      </c>
      <c r="W733" t="s">
        <v>159</v>
      </c>
      <c r="Y733" t="s">
        <v>158</v>
      </c>
      <c r="Z733" t="str">
        <f>"07786 013037"</f>
        <v>07786 013037</v>
      </c>
      <c r="AA733" t="str">
        <f>""</f>
        <v/>
      </c>
      <c r="AB733" t="s">
        <v>2847</v>
      </c>
      <c r="AC733" t="s">
        <v>8785</v>
      </c>
      <c r="AD733" t="s">
        <v>114</v>
      </c>
      <c r="AE733" s="63">
        <v>45293</v>
      </c>
      <c r="AF733" t="s">
        <v>156</v>
      </c>
      <c r="AG733" t="s">
        <v>112</v>
      </c>
      <c r="AH733" t="s">
        <v>112</v>
      </c>
      <c r="AI733" s="63">
        <v>43469</v>
      </c>
      <c r="AJ733" s="63">
        <v>45657</v>
      </c>
      <c r="AK733" t="s">
        <v>111</v>
      </c>
      <c r="AL733" t="s">
        <v>111</v>
      </c>
      <c r="AM733" t="s">
        <v>111</v>
      </c>
      <c r="AN733">
        <v>27</v>
      </c>
      <c r="AO733" t="s">
        <v>110</v>
      </c>
      <c r="AP733" t="s">
        <v>109</v>
      </c>
    </row>
    <row r="734" spans="1:42" x14ac:dyDescent="0.25">
      <c r="A734" s="28" t="str">
        <f>"0933"</f>
        <v>0933</v>
      </c>
      <c r="B734">
        <v>933</v>
      </c>
      <c r="C734" t="s">
        <v>2488</v>
      </c>
      <c r="D734" t="s">
        <v>121</v>
      </c>
      <c r="F734" t="s">
        <v>120</v>
      </c>
      <c r="G734" t="s">
        <v>481</v>
      </c>
      <c r="H734" t="s">
        <v>1645</v>
      </c>
      <c r="I734" t="s">
        <v>8784</v>
      </c>
      <c r="J734" t="s">
        <v>7</v>
      </c>
      <c r="K734" s="63">
        <v>18919</v>
      </c>
      <c r="L734" s="28">
        <f>DATEDIF(K734,Zwift25!G$1,"Y")</f>
        <v>72</v>
      </c>
      <c r="M734" s="67">
        <f>IF(J734="m",VLOOKUP(L734,'All Solo Adjustments'!A:D,4,FALSE),VLOOKUP(L734,'All Solo Adjustments'!A:J,10,FALSE))</f>
        <v>7.129629629629629E-3</v>
      </c>
      <c r="N734" s="63"/>
      <c r="O734" s="63"/>
      <c r="P734" s="63"/>
      <c r="Q734" s="63"/>
      <c r="R734" t="s">
        <v>328</v>
      </c>
      <c r="S734" t="s">
        <v>327</v>
      </c>
      <c r="T734" t="s">
        <v>292</v>
      </c>
      <c r="U734" t="s">
        <v>8783</v>
      </c>
      <c r="V734" t="s">
        <v>1223</v>
      </c>
      <c r="W734" t="s">
        <v>325</v>
      </c>
      <c r="Y734" t="s">
        <v>8782</v>
      </c>
      <c r="Z734" t="str">
        <f>"01282 429654"</f>
        <v>01282 429654</v>
      </c>
      <c r="AA734" t="str">
        <f>""</f>
        <v/>
      </c>
      <c r="AB734" t="s">
        <v>1222</v>
      </c>
      <c r="AC734" t="s">
        <v>8781</v>
      </c>
      <c r="AD734" t="s">
        <v>114</v>
      </c>
      <c r="AE734" s="63">
        <v>45251</v>
      </c>
      <c r="AF734" t="s">
        <v>156</v>
      </c>
      <c r="AG734" t="s">
        <v>112</v>
      </c>
      <c r="AH734" t="s">
        <v>112</v>
      </c>
      <c r="AI734" s="63">
        <v>43421</v>
      </c>
      <c r="AJ734" s="63">
        <v>45657</v>
      </c>
      <c r="AK734" t="s">
        <v>111</v>
      </c>
      <c r="AL734" t="s">
        <v>111</v>
      </c>
      <c r="AM734" t="s">
        <v>111</v>
      </c>
      <c r="AN734">
        <v>1161</v>
      </c>
      <c r="AO734" t="s">
        <v>110</v>
      </c>
      <c r="AP734" t="s">
        <v>109</v>
      </c>
    </row>
    <row r="735" spans="1:42" x14ac:dyDescent="0.25">
      <c r="A735" s="28" t="str">
        <f>"5517"</f>
        <v>5517</v>
      </c>
      <c r="B735">
        <v>5517</v>
      </c>
      <c r="C735" t="s">
        <v>2488</v>
      </c>
      <c r="D735" t="s">
        <v>132</v>
      </c>
      <c r="F735" t="s">
        <v>139</v>
      </c>
      <c r="G735" t="s">
        <v>8780</v>
      </c>
      <c r="I735" t="s">
        <v>8779</v>
      </c>
      <c r="J735" t="s">
        <v>126</v>
      </c>
      <c r="K735" s="63">
        <v>21475</v>
      </c>
      <c r="L735" s="28">
        <f>DATEDIF(K735,Zwift25!G$1,"Y")</f>
        <v>65</v>
      </c>
      <c r="M735" s="67">
        <f>IF(J735="m",VLOOKUP(L735,'All Solo Adjustments'!A:D,4,FALSE),VLOOKUP(L735,'All Solo Adjustments'!A:J,10,FALSE))</f>
        <v>8.9467592592592585E-3</v>
      </c>
      <c r="N735" s="63"/>
      <c r="O735" s="63"/>
      <c r="P735" s="63"/>
      <c r="Q735" s="63"/>
      <c r="R735" t="s">
        <v>383</v>
      </c>
      <c r="S735" t="s">
        <v>690</v>
      </c>
      <c r="T735" t="s">
        <v>292</v>
      </c>
      <c r="U735" t="s">
        <v>8776</v>
      </c>
      <c r="V735" t="s">
        <v>8775</v>
      </c>
      <c r="W735" t="s">
        <v>8774</v>
      </c>
      <c r="X735" t="s">
        <v>8773</v>
      </c>
      <c r="Y735" t="s">
        <v>8772</v>
      </c>
      <c r="Z735" t="str">
        <f>"029 2070 6881"</f>
        <v>029 2070 6881</v>
      </c>
      <c r="AA735" t="str">
        <f>"07849177633"</f>
        <v>07849177633</v>
      </c>
      <c r="AB735" t="s">
        <v>8771</v>
      </c>
      <c r="AC735" t="s">
        <v>8778</v>
      </c>
      <c r="AD735" t="s">
        <v>114</v>
      </c>
      <c r="AE735" s="63">
        <v>45321</v>
      </c>
      <c r="AF735" t="s">
        <v>113</v>
      </c>
      <c r="AG735" t="s">
        <v>112</v>
      </c>
      <c r="AH735" t="s">
        <v>112</v>
      </c>
      <c r="AI735" s="63">
        <v>42161</v>
      </c>
      <c r="AJ735" s="63">
        <v>45657</v>
      </c>
      <c r="AK735" t="s">
        <v>111</v>
      </c>
      <c r="AL735" t="s">
        <v>111</v>
      </c>
      <c r="AM735" t="s">
        <v>111</v>
      </c>
      <c r="AN735">
        <v>5713</v>
      </c>
      <c r="AO735" t="s">
        <v>122</v>
      </c>
      <c r="AP735" t="s">
        <v>122</v>
      </c>
    </row>
    <row r="736" spans="1:42" x14ac:dyDescent="0.25">
      <c r="A736" s="28" t="str">
        <f>"13284"</f>
        <v>13284</v>
      </c>
      <c r="B736">
        <v>13284</v>
      </c>
      <c r="C736" t="s">
        <v>2488</v>
      </c>
      <c r="D736" t="s">
        <v>130</v>
      </c>
      <c r="F736" t="s">
        <v>139</v>
      </c>
      <c r="G736" t="s">
        <v>1475</v>
      </c>
      <c r="I736" t="s">
        <v>8777</v>
      </c>
      <c r="J736" t="s">
        <v>126</v>
      </c>
      <c r="K736" s="63">
        <v>21124</v>
      </c>
      <c r="L736" s="28">
        <f>DATEDIF(K736,Zwift25!G$1,"Y")</f>
        <v>66</v>
      </c>
      <c r="M736" s="67">
        <f>IF(J736="m",VLOOKUP(L736,'All Solo Adjustments'!A:D,4,FALSE),VLOOKUP(L736,'All Solo Adjustments'!A:J,10,FALSE))</f>
        <v>9.4907407407407406E-3</v>
      </c>
      <c r="N736" s="63"/>
      <c r="O736" s="63"/>
      <c r="P736" s="63"/>
      <c r="Q736" s="63"/>
      <c r="R736" t="s">
        <v>383</v>
      </c>
      <c r="S736" t="s">
        <v>690</v>
      </c>
      <c r="T736" t="s">
        <v>292</v>
      </c>
      <c r="U736" t="s">
        <v>8776</v>
      </c>
      <c r="V736" t="s">
        <v>8775</v>
      </c>
      <c r="W736" t="s">
        <v>8774</v>
      </c>
      <c r="X736" t="s">
        <v>8773</v>
      </c>
      <c r="Y736" t="s">
        <v>8772</v>
      </c>
      <c r="Z736" t="str">
        <f>"029 2070 6881"</f>
        <v>029 2070 6881</v>
      </c>
      <c r="AA736" t="str">
        <f>"07849177633"</f>
        <v>07849177633</v>
      </c>
      <c r="AB736" t="s">
        <v>8771</v>
      </c>
      <c r="AC736" t="s">
        <v>8770</v>
      </c>
      <c r="AD736" t="s">
        <v>114</v>
      </c>
      <c r="AE736" s="63">
        <v>45321</v>
      </c>
      <c r="AF736" t="s">
        <v>113</v>
      </c>
      <c r="AG736" t="s">
        <v>111</v>
      </c>
      <c r="AH736" t="s">
        <v>111</v>
      </c>
      <c r="AI736" s="63">
        <v>42161</v>
      </c>
      <c r="AJ736" s="63">
        <v>45657</v>
      </c>
      <c r="AK736" t="s">
        <v>111</v>
      </c>
      <c r="AL736" t="s">
        <v>111</v>
      </c>
      <c r="AM736" t="s">
        <v>112</v>
      </c>
      <c r="AN736">
        <v>5720</v>
      </c>
      <c r="AO736" t="s">
        <v>122</v>
      </c>
      <c r="AP736" t="s">
        <v>122</v>
      </c>
    </row>
    <row r="737" spans="1:42" x14ac:dyDescent="0.25">
      <c r="A737" s="28" t="str">
        <f>"3769"</f>
        <v>3769</v>
      </c>
      <c r="B737">
        <v>3769</v>
      </c>
      <c r="C737" t="s">
        <v>2488</v>
      </c>
      <c r="D737" t="s">
        <v>121</v>
      </c>
      <c r="F737" t="s">
        <v>120</v>
      </c>
      <c r="G737" t="s">
        <v>792</v>
      </c>
      <c r="I737" t="s">
        <v>1037</v>
      </c>
      <c r="J737" t="s">
        <v>7</v>
      </c>
      <c r="K737" s="63">
        <v>18015</v>
      </c>
      <c r="L737" s="28">
        <f>DATEDIF(K737,Zwift25!G$1,"Y")</f>
        <v>75</v>
      </c>
      <c r="M737" s="67">
        <f>IF(J737="m",VLOOKUP(L737,'All Solo Adjustments'!A:D,4,FALSE),VLOOKUP(L737,'All Solo Adjustments'!A:J,10,FALSE))</f>
        <v>8.4374999999999988E-3</v>
      </c>
      <c r="N737" s="63"/>
      <c r="O737" s="63"/>
      <c r="P737" s="63"/>
      <c r="Q737" s="63"/>
      <c r="R737" t="s">
        <v>239</v>
      </c>
      <c r="S737" t="s">
        <v>274</v>
      </c>
      <c r="T737" t="s">
        <v>292</v>
      </c>
      <c r="U737" t="s">
        <v>8769</v>
      </c>
      <c r="V737" t="s">
        <v>8768</v>
      </c>
      <c r="W737" t="s">
        <v>8767</v>
      </c>
      <c r="X737" t="s">
        <v>473</v>
      </c>
      <c r="Y737" t="s">
        <v>8766</v>
      </c>
      <c r="Z737" t="str">
        <f>"01751 473818"</f>
        <v>01751 473818</v>
      </c>
      <c r="AA737" t="str">
        <f>""</f>
        <v/>
      </c>
      <c r="AC737" t="s">
        <v>8765</v>
      </c>
      <c r="AD737" t="s">
        <v>114</v>
      </c>
      <c r="AE737" s="63">
        <v>45265</v>
      </c>
      <c r="AF737" t="s">
        <v>156</v>
      </c>
      <c r="AG737" t="s">
        <v>112</v>
      </c>
      <c r="AH737" t="s">
        <v>112</v>
      </c>
      <c r="AI737" s="63">
        <v>40072</v>
      </c>
      <c r="AJ737" s="63">
        <v>45657</v>
      </c>
      <c r="AK737" t="s">
        <v>111</v>
      </c>
      <c r="AL737" t="s">
        <v>111</v>
      </c>
      <c r="AM737" t="s">
        <v>111</v>
      </c>
      <c r="AN737" t="s">
        <v>105</v>
      </c>
      <c r="AO737" t="s">
        <v>110</v>
      </c>
      <c r="AP737" t="s">
        <v>109</v>
      </c>
    </row>
    <row r="738" spans="1:42" x14ac:dyDescent="0.25">
      <c r="A738" s="28" t="str">
        <f>"15072"</f>
        <v>15072</v>
      </c>
      <c r="B738">
        <v>15072</v>
      </c>
      <c r="C738" t="s">
        <v>2488</v>
      </c>
      <c r="D738" t="s">
        <v>121</v>
      </c>
      <c r="E738" t="s">
        <v>584</v>
      </c>
      <c r="F738" t="s">
        <v>149</v>
      </c>
      <c r="G738" t="s">
        <v>1416</v>
      </c>
      <c r="I738" t="s">
        <v>1037</v>
      </c>
      <c r="J738" t="s">
        <v>126</v>
      </c>
      <c r="K738" s="63">
        <v>23861</v>
      </c>
      <c r="L738" s="28">
        <f>DATEDIF(K738,Zwift25!G$1,"Y")</f>
        <v>59</v>
      </c>
      <c r="M738" s="67">
        <f>IF(J738="m",VLOOKUP(L738,'All Solo Adjustments'!A:D,4,FALSE),VLOOKUP(L738,'All Solo Adjustments'!A:J,10,FALSE))</f>
        <v>6.5972222222222222E-3</v>
      </c>
      <c r="N738" s="63"/>
      <c r="O738" s="63"/>
      <c r="P738" s="63"/>
      <c r="Q738" s="63"/>
      <c r="R738" t="s">
        <v>118</v>
      </c>
      <c r="S738" t="s">
        <v>117</v>
      </c>
      <c r="T738" t="s">
        <v>292</v>
      </c>
      <c r="U738" t="s">
        <v>8764</v>
      </c>
      <c r="V738" t="s">
        <v>8763</v>
      </c>
      <c r="W738" t="s">
        <v>969</v>
      </c>
      <c r="X738" t="s">
        <v>968</v>
      </c>
      <c r="Y738" t="s">
        <v>8762</v>
      </c>
      <c r="Z738" t="str">
        <f>"07730937995"</f>
        <v>07730937995</v>
      </c>
      <c r="AA738" t="str">
        <f>""</f>
        <v/>
      </c>
      <c r="AB738" t="s">
        <v>1167</v>
      </c>
      <c r="AC738" t="s">
        <v>8761</v>
      </c>
      <c r="AD738" t="s">
        <v>114</v>
      </c>
      <c r="AE738" s="63">
        <v>45262</v>
      </c>
      <c r="AF738" t="s">
        <v>113</v>
      </c>
      <c r="AG738" t="s">
        <v>112</v>
      </c>
      <c r="AH738" t="s">
        <v>112</v>
      </c>
      <c r="AI738" s="63">
        <v>44330</v>
      </c>
      <c r="AJ738" s="63">
        <v>45657</v>
      </c>
      <c r="AK738" t="s">
        <v>112</v>
      </c>
      <c r="AL738" t="s">
        <v>111</v>
      </c>
      <c r="AM738" t="s">
        <v>111</v>
      </c>
      <c r="AN738">
        <v>37335</v>
      </c>
      <c r="AO738" t="s">
        <v>122</v>
      </c>
      <c r="AP738" t="s">
        <v>122</v>
      </c>
    </row>
    <row r="739" spans="1:42" x14ac:dyDescent="0.25">
      <c r="A739" s="28" t="str">
        <f>"15750"</f>
        <v>15750</v>
      </c>
      <c r="B739">
        <v>15750</v>
      </c>
      <c r="C739" t="s">
        <v>2488</v>
      </c>
      <c r="D739" t="s">
        <v>121</v>
      </c>
      <c r="E739" t="s">
        <v>4495</v>
      </c>
      <c r="F739" t="s">
        <v>120</v>
      </c>
      <c r="G739" t="s">
        <v>489</v>
      </c>
      <c r="I739" t="s">
        <v>1037</v>
      </c>
      <c r="J739" t="s">
        <v>7</v>
      </c>
      <c r="K739" s="63">
        <v>24300</v>
      </c>
      <c r="L739" s="28">
        <f>DATEDIF(K739,Zwift25!G$1,"Y")</f>
        <v>58</v>
      </c>
      <c r="M739" s="67">
        <f>IF(J739="m",VLOOKUP(L739,'All Solo Adjustments'!A:D,4,FALSE),VLOOKUP(L739,'All Solo Adjustments'!A:J,10,FALSE))</f>
        <v>2.7199074074074074E-3</v>
      </c>
      <c r="N739" s="63"/>
      <c r="O739" s="63"/>
      <c r="P739" s="63"/>
      <c r="Q739" s="63"/>
      <c r="R739" t="s">
        <v>383</v>
      </c>
      <c r="S739" t="s">
        <v>382</v>
      </c>
      <c r="T739" t="s">
        <v>292</v>
      </c>
      <c r="U739" t="s">
        <v>8760</v>
      </c>
      <c r="V739" t="s">
        <v>8759</v>
      </c>
      <c r="W739" t="s">
        <v>381</v>
      </c>
      <c r="X739" t="s">
        <v>1211</v>
      </c>
      <c r="Y739" t="s">
        <v>8758</v>
      </c>
      <c r="Z739" t="str">
        <f>"07967320564"</f>
        <v>07967320564</v>
      </c>
      <c r="AA739" t="str">
        <f>""</f>
        <v/>
      </c>
      <c r="AB739" t="s">
        <v>380</v>
      </c>
      <c r="AC739" t="s">
        <v>8757</v>
      </c>
      <c r="AD739" t="s">
        <v>114</v>
      </c>
      <c r="AE739" s="63">
        <v>45483</v>
      </c>
      <c r="AF739" t="s">
        <v>156</v>
      </c>
      <c r="AG739" t="s">
        <v>112</v>
      </c>
      <c r="AH739" t="s">
        <v>112</v>
      </c>
      <c r="AI739" s="63">
        <v>45013</v>
      </c>
      <c r="AJ739" s="63">
        <v>45657</v>
      </c>
      <c r="AK739" t="s">
        <v>112</v>
      </c>
      <c r="AL739" t="s">
        <v>111</v>
      </c>
      <c r="AM739" t="s">
        <v>111</v>
      </c>
      <c r="AN739">
        <v>8175</v>
      </c>
      <c r="AO739" t="s">
        <v>110</v>
      </c>
      <c r="AP739" t="s">
        <v>109</v>
      </c>
    </row>
    <row r="740" spans="1:42" x14ac:dyDescent="0.25">
      <c r="A740" s="28" t="str">
        <f>"14986"</f>
        <v>14986</v>
      </c>
      <c r="B740">
        <v>14986</v>
      </c>
      <c r="C740" t="s">
        <v>2488</v>
      </c>
      <c r="D740" t="s">
        <v>121</v>
      </c>
      <c r="F740" t="s">
        <v>120</v>
      </c>
      <c r="G740" t="s">
        <v>241</v>
      </c>
      <c r="H740" t="s">
        <v>952</v>
      </c>
      <c r="I740" t="s">
        <v>770</v>
      </c>
      <c r="J740" t="s">
        <v>7</v>
      </c>
      <c r="K740" s="63">
        <v>23798</v>
      </c>
      <c r="L740" s="28">
        <f>DATEDIF(K740,Zwift25!G$1,"Y")</f>
        <v>59</v>
      </c>
      <c r="M740" s="67">
        <f>IF(J740="m",VLOOKUP(L740,'All Solo Adjustments'!A:D,4,FALSE),VLOOKUP(L740,'All Solo Adjustments'!A:J,10,FALSE))</f>
        <v>2.9629629629629632E-3</v>
      </c>
      <c r="N740" s="63"/>
      <c r="O740" s="63"/>
      <c r="P740" s="63"/>
      <c r="Q740" s="63"/>
      <c r="R740" t="s">
        <v>184</v>
      </c>
      <c r="S740" t="s">
        <v>183</v>
      </c>
      <c r="T740" t="s">
        <v>292</v>
      </c>
      <c r="U740" t="s">
        <v>8756</v>
      </c>
      <c r="V740" t="s">
        <v>1971</v>
      </c>
      <c r="W740" t="s">
        <v>8755</v>
      </c>
      <c r="Y740" t="s">
        <v>8754</v>
      </c>
      <c r="Z740" t="str">
        <f>"07866635187"</f>
        <v>07866635187</v>
      </c>
      <c r="AA740" t="str">
        <f>""</f>
        <v/>
      </c>
      <c r="AB740" t="s">
        <v>1045</v>
      </c>
      <c r="AC740" t="s">
        <v>8753</v>
      </c>
      <c r="AD740" t="s">
        <v>114</v>
      </c>
      <c r="AE740" s="63">
        <v>45299</v>
      </c>
      <c r="AF740" t="s">
        <v>113</v>
      </c>
      <c r="AG740" t="s">
        <v>112</v>
      </c>
      <c r="AH740" t="s">
        <v>112</v>
      </c>
      <c r="AI740" s="63">
        <v>44295</v>
      </c>
      <c r="AJ740" s="63">
        <v>45657</v>
      </c>
      <c r="AK740" t="s">
        <v>112</v>
      </c>
      <c r="AL740" t="s">
        <v>111</v>
      </c>
      <c r="AM740" t="s">
        <v>111</v>
      </c>
      <c r="AN740">
        <v>557</v>
      </c>
      <c r="AO740" t="s">
        <v>110</v>
      </c>
      <c r="AP740" t="s">
        <v>109</v>
      </c>
    </row>
    <row r="741" spans="1:42" x14ac:dyDescent="0.25">
      <c r="A741" s="28" t="str">
        <f>"0946"</f>
        <v>0946</v>
      </c>
      <c r="B741">
        <v>946</v>
      </c>
      <c r="C741" t="s">
        <v>2488</v>
      </c>
      <c r="D741" t="s">
        <v>121</v>
      </c>
      <c r="F741" t="s">
        <v>120</v>
      </c>
      <c r="G741" t="s">
        <v>436</v>
      </c>
      <c r="H741" t="s">
        <v>174</v>
      </c>
      <c r="I741" t="s">
        <v>1947</v>
      </c>
      <c r="J741" t="s">
        <v>7</v>
      </c>
      <c r="K741" s="63">
        <v>15515</v>
      </c>
      <c r="L741" s="28">
        <f>DATEDIF(K741,Zwift25!G$1,"Y")</f>
        <v>82</v>
      </c>
      <c r="M741" s="67">
        <f>IF(J741="m",VLOOKUP(L741,'All Solo Adjustments'!A:D,4,FALSE),VLOOKUP(L741,'All Solo Adjustments'!A:J,10,FALSE))</f>
        <v>1.2210648148148148E-2</v>
      </c>
      <c r="N741" s="63"/>
      <c r="O741" s="63"/>
      <c r="P741" s="63"/>
      <c r="Q741" s="63"/>
      <c r="R741" t="s">
        <v>143</v>
      </c>
      <c r="S741" t="s">
        <v>142</v>
      </c>
      <c r="T741" t="s">
        <v>292</v>
      </c>
      <c r="U741" t="s">
        <v>8752</v>
      </c>
      <c r="V741" t="s">
        <v>8751</v>
      </c>
      <c r="W741" t="s">
        <v>141</v>
      </c>
      <c r="Y741" t="s">
        <v>8750</v>
      </c>
      <c r="Z741" t="str">
        <f>"02085 492499"</f>
        <v>02085 492499</v>
      </c>
      <c r="AA741" t="str">
        <f>"07792 286290"</f>
        <v>07792 286290</v>
      </c>
      <c r="AB741" t="s">
        <v>1620</v>
      </c>
      <c r="AC741" t="s">
        <v>8749</v>
      </c>
      <c r="AD741" t="s">
        <v>114</v>
      </c>
      <c r="AE741" s="63">
        <v>45355</v>
      </c>
      <c r="AF741" t="s">
        <v>156</v>
      </c>
      <c r="AG741" t="s">
        <v>112</v>
      </c>
      <c r="AH741" t="s">
        <v>112</v>
      </c>
      <c r="AI741" s="63">
        <v>36892</v>
      </c>
      <c r="AJ741" s="63">
        <v>45657</v>
      </c>
      <c r="AK741" t="s">
        <v>111</v>
      </c>
      <c r="AL741" t="s">
        <v>111</v>
      </c>
      <c r="AM741" t="s">
        <v>111</v>
      </c>
      <c r="AN741" t="s">
        <v>105</v>
      </c>
      <c r="AO741" t="s">
        <v>110</v>
      </c>
      <c r="AP741" t="s">
        <v>109</v>
      </c>
    </row>
    <row r="742" spans="1:42" x14ac:dyDescent="0.25">
      <c r="A742" s="28" t="str">
        <f>"0944"</f>
        <v>0944</v>
      </c>
      <c r="B742">
        <v>944</v>
      </c>
      <c r="C742" t="s">
        <v>2488</v>
      </c>
      <c r="D742" t="s">
        <v>121</v>
      </c>
      <c r="F742" t="s">
        <v>120</v>
      </c>
      <c r="G742" t="s">
        <v>649</v>
      </c>
      <c r="I742" t="s">
        <v>1947</v>
      </c>
      <c r="J742" t="s">
        <v>7</v>
      </c>
      <c r="K742" s="63">
        <v>14416</v>
      </c>
      <c r="L742" s="28">
        <f>DATEDIF(K742,Zwift25!G$1,"Y")</f>
        <v>85</v>
      </c>
      <c r="M742" s="67">
        <f>IF(J742="m",VLOOKUP(L742,'All Solo Adjustments'!A:D,4,FALSE),VLOOKUP(L742,'All Solo Adjustments'!A:J,10,FALSE))</f>
        <v>1.4236111111111111E-2</v>
      </c>
      <c r="N742" s="63"/>
      <c r="O742" s="63"/>
      <c r="P742" s="63"/>
      <c r="Q742" s="63"/>
      <c r="R742" t="s">
        <v>154</v>
      </c>
      <c r="S742" t="s">
        <v>153</v>
      </c>
      <c r="T742" t="s">
        <v>292</v>
      </c>
      <c r="U742" t="s">
        <v>8748</v>
      </c>
      <c r="V742" t="s">
        <v>8747</v>
      </c>
      <c r="W742" t="s">
        <v>669</v>
      </c>
      <c r="Y742" t="s">
        <v>8746</v>
      </c>
      <c r="Z742" t="str">
        <f>""</f>
        <v/>
      </c>
      <c r="AA742" t="str">
        <f>""</f>
        <v/>
      </c>
      <c r="AB742" t="s">
        <v>290</v>
      </c>
      <c r="AC742" t="s">
        <v>8745</v>
      </c>
      <c r="AD742" t="s">
        <v>145</v>
      </c>
      <c r="AE742" s="63">
        <v>45310</v>
      </c>
      <c r="AF742" t="s">
        <v>113</v>
      </c>
      <c r="AG742" t="s">
        <v>112</v>
      </c>
      <c r="AH742" t="s">
        <v>112</v>
      </c>
      <c r="AI742" s="63">
        <v>32509</v>
      </c>
      <c r="AJ742" s="63">
        <v>45657</v>
      </c>
      <c r="AK742" t="s">
        <v>111</v>
      </c>
      <c r="AL742" t="s">
        <v>111</v>
      </c>
      <c r="AM742" t="s">
        <v>111</v>
      </c>
      <c r="AN742" t="s">
        <v>105</v>
      </c>
      <c r="AO742" t="s">
        <v>110</v>
      </c>
      <c r="AP742" t="s">
        <v>109</v>
      </c>
    </row>
    <row r="743" spans="1:42" x14ac:dyDescent="0.25">
      <c r="A743" s="28" t="str">
        <f>"15150"</f>
        <v>15150</v>
      </c>
      <c r="B743">
        <v>15150</v>
      </c>
      <c r="C743" t="s">
        <v>2488</v>
      </c>
      <c r="D743" t="s">
        <v>121</v>
      </c>
      <c r="F743" t="s">
        <v>120</v>
      </c>
      <c r="G743" t="s">
        <v>1569</v>
      </c>
      <c r="H743" t="s">
        <v>300</v>
      </c>
      <c r="I743" t="s">
        <v>8744</v>
      </c>
      <c r="J743" t="s">
        <v>7</v>
      </c>
      <c r="K743" s="63">
        <v>22523</v>
      </c>
      <c r="L743" s="28">
        <f>DATEDIF(K743,Zwift25!G$1,"Y")</f>
        <v>63</v>
      </c>
      <c r="M743" s="67">
        <f>IF(J743="m",VLOOKUP(L743,'All Solo Adjustments'!A:D,4,FALSE),VLOOKUP(L743,'All Solo Adjustments'!A:J,10,FALSE))</f>
        <v>4.0277777777777777E-3</v>
      </c>
      <c r="N743" s="63"/>
      <c r="O743" s="63"/>
      <c r="P743" s="63"/>
      <c r="Q743" s="63"/>
      <c r="R743" t="s">
        <v>213</v>
      </c>
      <c r="S743" t="s">
        <v>212</v>
      </c>
      <c r="T743" t="s">
        <v>292</v>
      </c>
      <c r="U743" t="s">
        <v>8743</v>
      </c>
      <c r="V743" t="s">
        <v>8742</v>
      </c>
      <c r="W743" t="s">
        <v>8741</v>
      </c>
      <c r="Y743" t="s">
        <v>8740</v>
      </c>
      <c r="Z743" t="str">
        <f>"07512214825"</f>
        <v>07512214825</v>
      </c>
      <c r="AA743" t="str">
        <f>""</f>
        <v/>
      </c>
      <c r="AB743" t="s">
        <v>8739</v>
      </c>
      <c r="AC743" t="s">
        <v>8738</v>
      </c>
      <c r="AD743" t="s">
        <v>114</v>
      </c>
      <c r="AE743" s="63">
        <v>45295</v>
      </c>
      <c r="AF743" t="s">
        <v>113</v>
      </c>
      <c r="AG743" t="s">
        <v>112</v>
      </c>
      <c r="AH743" t="s">
        <v>112</v>
      </c>
      <c r="AI743" s="63">
        <v>44376</v>
      </c>
      <c r="AJ743" s="63">
        <v>45657</v>
      </c>
      <c r="AK743" t="s">
        <v>112</v>
      </c>
      <c r="AL743" t="s">
        <v>111</v>
      </c>
      <c r="AM743" t="s">
        <v>111</v>
      </c>
      <c r="AN743">
        <v>6079</v>
      </c>
      <c r="AO743" t="s">
        <v>110</v>
      </c>
      <c r="AP743" t="s">
        <v>109</v>
      </c>
    </row>
    <row r="744" spans="1:42" x14ac:dyDescent="0.25">
      <c r="A744" s="28" t="str">
        <f>"15422"</f>
        <v>15422</v>
      </c>
      <c r="B744">
        <v>15422</v>
      </c>
      <c r="C744" t="s">
        <v>2488</v>
      </c>
      <c r="D744" t="s">
        <v>121</v>
      </c>
      <c r="E744" t="s">
        <v>584</v>
      </c>
      <c r="F744" t="s">
        <v>120</v>
      </c>
      <c r="G744" t="s">
        <v>251</v>
      </c>
      <c r="H744" t="s">
        <v>8737</v>
      </c>
      <c r="I744" t="s">
        <v>1947</v>
      </c>
      <c r="J744" t="s">
        <v>7</v>
      </c>
      <c r="K744" s="63">
        <v>15623</v>
      </c>
      <c r="L744" s="28">
        <f>DATEDIF(K744,Zwift25!G$1,"Y")</f>
        <v>82</v>
      </c>
      <c r="M744" s="67">
        <f>IF(J744="m",VLOOKUP(L744,'All Solo Adjustments'!A:D,4,FALSE),VLOOKUP(L744,'All Solo Adjustments'!A:J,10,FALSE))</f>
        <v>1.2210648148148148E-2</v>
      </c>
      <c r="N744" s="63"/>
      <c r="O744" s="63"/>
      <c r="P744" s="63"/>
      <c r="Q744" s="63"/>
      <c r="R744" t="s">
        <v>198</v>
      </c>
      <c r="S744" t="s">
        <v>461</v>
      </c>
      <c r="T744" t="s">
        <v>292</v>
      </c>
      <c r="U744" t="s">
        <v>8736</v>
      </c>
      <c r="V744" t="s">
        <v>2123</v>
      </c>
      <c r="W744" t="s">
        <v>1270</v>
      </c>
      <c r="X744" t="s">
        <v>196</v>
      </c>
      <c r="Y744" t="s">
        <v>8735</v>
      </c>
      <c r="Z744" t="str">
        <f>"07842253522"</f>
        <v>07842253522</v>
      </c>
      <c r="AA744" t="str">
        <f>"01270 664251"</f>
        <v>01270 664251</v>
      </c>
      <c r="AB744" t="s">
        <v>1269</v>
      </c>
      <c r="AC744" t="s">
        <v>8734</v>
      </c>
      <c r="AD744" t="s">
        <v>114</v>
      </c>
      <c r="AE744" s="63">
        <v>45276</v>
      </c>
      <c r="AF744" t="s">
        <v>113</v>
      </c>
      <c r="AG744" t="s">
        <v>112</v>
      </c>
      <c r="AH744" t="s">
        <v>112</v>
      </c>
      <c r="AI744" s="63">
        <v>44649</v>
      </c>
      <c r="AJ744" s="63">
        <v>45657</v>
      </c>
      <c r="AK744" t="s">
        <v>112</v>
      </c>
      <c r="AL744" t="s">
        <v>111</v>
      </c>
      <c r="AM744" t="s">
        <v>111</v>
      </c>
      <c r="AN744">
        <v>14315</v>
      </c>
      <c r="AO744" t="s">
        <v>110</v>
      </c>
      <c r="AP744" t="s">
        <v>109</v>
      </c>
    </row>
    <row r="745" spans="1:42" x14ac:dyDescent="0.25">
      <c r="A745" s="28" t="str">
        <f>"15665"</f>
        <v>15665</v>
      </c>
      <c r="B745">
        <v>15665</v>
      </c>
      <c r="C745" t="s">
        <v>2488</v>
      </c>
      <c r="D745" t="s">
        <v>121</v>
      </c>
      <c r="E745" t="s">
        <v>584</v>
      </c>
      <c r="F745" t="s">
        <v>120</v>
      </c>
      <c r="G745" t="s">
        <v>359</v>
      </c>
      <c r="H745" t="s">
        <v>251</v>
      </c>
      <c r="I745" t="s">
        <v>1947</v>
      </c>
      <c r="J745" t="s">
        <v>7</v>
      </c>
      <c r="K745" s="63">
        <v>27591</v>
      </c>
      <c r="L745" s="28">
        <f>DATEDIF(K745,Zwift25!G$1,"Y")</f>
        <v>49</v>
      </c>
      <c r="M745" s="67">
        <f>IF(J745="m",VLOOKUP(L745,'All Solo Adjustments'!A:D,4,FALSE),VLOOKUP(L745,'All Solo Adjustments'!A:J,10,FALSE))</f>
        <v>9.837962962962962E-4</v>
      </c>
      <c r="N745" s="63"/>
      <c r="O745" s="63"/>
      <c r="P745" s="63"/>
      <c r="Q745" s="63"/>
      <c r="R745" t="s">
        <v>213</v>
      </c>
      <c r="S745" t="s">
        <v>212</v>
      </c>
      <c r="T745" t="s">
        <v>292</v>
      </c>
      <c r="U745" t="s">
        <v>8733</v>
      </c>
      <c r="W745" t="s">
        <v>503</v>
      </c>
      <c r="X745" t="s">
        <v>213</v>
      </c>
      <c r="Y745" t="s">
        <v>8732</v>
      </c>
      <c r="Z745" t="str">
        <f>"07449812514"</f>
        <v>07449812514</v>
      </c>
      <c r="AA745" t="str">
        <f>""</f>
        <v/>
      </c>
      <c r="AB745" t="s">
        <v>8731</v>
      </c>
      <c r="AC745" t="s">
        <v>8730</v>
      </c>
      <c r="AD745" t="s">
        <v>114</v>
      </c>
      <c r="AE745" s="63">
        <v>45293</v>
      </c>
      <c r="AF745" t="s">
        <v>156</v>
      </c>
      <c r="AG745" t="s">
        <v>112</v>
      </c>
      <c r="AH745" t="s">
        <v>112</v>
      </c>
      <c r="AI745" s="63">
        <v>44945</v>
      </c>
      <c r="AJ745" s="63">
        <v>45657</v>
      </c>
      <c r="AK745" t="s">
        <v>112</v>
      </c>
      <c r="AL745" t="s">
        <v>111</v>
      </c>
      <c r="AM745" t="s">
        <v>111</v>
      </c>
      <c r="AN745">
        <v>37830</v>
      </c>
      <c r="AO745" t="s">
        <v>110</v>
      </c>
      <c r="AP745" t="s">
        <v>109</v>
      </c>
    </row>
    <row r="746" spans="1:42" x14ac:dyDescent="0.25">
      <c r="A746" s="28" t="str">
        <f>"15968"</f>
        <v>15968</v>
      </c>
      <c r="B746">
        <v>15968</v>
      </c>
      <c r="C746" t="s">
        <v>2488</v>
      </c>
      <c r="D746" t="s">
        <v>121</v>
      </c>
      <c r="F746" t="s">
        <v>120</v>
      </c>
      <c r="G746" t="s">
        <v>231</v>
      </c>
      <c r="H746" t="s">
        <v>155</v>
      </c>
      <c r="I746" t="s">
        <v>8729</v>
      </c>
      <c r="J746" t="s">
        <v>7</v>
      </c>
      <c r="K746" s="63">
        <v>26963</v>
      </c>
      <c r="L746" s="28">
        <f>DATEDIF(K746,Zwift25!G$1,"Y")</f>
        <v>50</v>
      </c>
      <c r="M746" s="67">
        <f>IF(J746="m",VLOOKUP(L746,'All Solo Adjustments'!A:D,4,FALSE),VLOOKUP(L746,'All Solo Adjustments'!A:J,10,FALSE))</f>
        <v>1.1342592592592591E-3</v>
      </c>
      <c r="N746" s="63"/>
      <c r="O746" s="63"/>
      <c r="P746" s="63"/>
      <c r="Q746" s="63"/>
      <c r="R746" t="s">
        <v>184</v>
      </c>
      <c r="S746" t="s">
        <v>183</v>
      </c>
      <c r="T746" t="s">
        <v>292</v>
      </c>
      <c r="U746" t="s">
        <v>8728</v>
      </c>
      <c r="V746" t="s">
        <v>1046</v>
      </c>
      <c r="Y746" t="s">
        <v>8727</v>
      </c>
      <c r="Z746" t="str">
        <f>"07764678066"</f>
        <v>07764678066</v>
      </c>
      <c r="AA746" t="str">
        <f>""</f>
        <v/>
      </c>
      <c r="AB746" t="s">
        <v>5907</v>
      </c>
      <c r="AC746" t="s">
        <v>8726</v>
      </c>
      <c r="AD746" t="s">
        <v>114</v>
      </c>
      <c r="AE746" s="63">
        <v>45293</v>
      </c>
      <c r="AF746" t="s">
        <v>156</v>
      </c>
      <c r="AG746" t="s">
        <v>112</v>
      </c>
      <c r="AH746" t="s">
        <v>112</v>
      </c>
      <c r="AI746" s="63">
        <v>45293</v>
      </c>
      <c r="AJ746" s="63">
        <v>45657</v>
      </c>
      <c r="AK746" t="s">
        <v>112</v>
      </c>
      <c r="AL746" t="s">
        <v>112</v>
      </c>
      <c r="AM746" t="s">
        <v>111</v>
      </c>
      <c r="AN746">
        <v>8943</v>
      </c>
      <c r="AO746" t="s">
        <v>110</v>
      </c>
      <c r="AP746" t="s">
        <v>109</v>
      </c>
    </row>
    <row r="747" spans="1:42" x14ac:dyDescent="0.25">
      <c r="A747" s="28" t="str">
        <f>"0948"</f>
        <v>0948</v>
      </c>
      <c r="B747">
        <v>948</v>
      </c>
      <c r="C747" t="s">
        <v>2488</v>
      </c>
      <c r="D747" t="s">
        <v>121</v>
      </c>
      <c r="F747" t="s">
        <v>120</v>
      </c>
      <c r="G747" t="s">
        <v>234</v>
      </c>
      <c r="I747" t="s">
        <v>8725</v>
      </c>
      <c r="J747" t="s">
        <v>7</v>
      </c>
      <c r="K747" s="63">
        <v>12268</v>
      </c>
      <c r="L747" s="28">
        <f>DATEDIF(K747,Zwift25!G$1,"Y")</f>
        <v>91</v>
      </c>
      <c r="M747" s="67">
        <f>IF(J747="m",VLOOKUP(L747,'All Solo Adjustments'!A:D,4,FALSE),VLOOKUP(L747,'All Solo Adjustments'!A:J,10,FALSE))</f>
        <v>1.9363425925925926E-2</v>
      </c>
      <c r="N747" s="63"/>
      <c r="O747" s="63"/>
      <c r="P747" s="63"/>
      <c r="Q747" s="63"/>
      <c r="R747" t="s">
        <v>328</v>
      </c>
      <c r="S747" t="s">
        <v>2290</v>
      </c>
      <c r="T747" t="s">
        <v>292</v>
      </c>
      <c r="U747" t="s">
        <v>8724</v>
      </c>
      <c r="V747" t="s">
        <v>1912</v>
      </c>
      <c r="W747" t="s">
        <v>1510</v>
      </c>
      <c r="X747" t="s">
        <v>325</v>
      </c>
      <c r="Y747" t="s">
        <v>2370</v>
      </c>
      <c r="Z747" t="str">
        <f>""</f>
        <v/>
      </c>
      <c r="AA747" t="str">
        <f>""</f>
        <v/>
      </c>
      <c r="AB747" t="s">
        <v>1563</v>
      </c>
      <c r="AD747" t="s">
        <v>151</v>
      </c>
      <c r="AF747" t="s">
        <v>113</v>
      </c>
      <c r="AG747" t="s">
        <v>112</v>
      </c>
      <c r="AH747" t="s">
        <v>112</v>
      </c>
      <c r="AK747" t="s">
        <v>111</v>
      </c>
      <c r="AL747" t="s">
        <v>111</v>
      </c>
      <c r="AM747" t="s">
        <v>111</v>
      </c>
      <c r="AN747" t="s">
        <v>105</v>
      </c>
      <c r="AO747" t="s">
        <v>110</v>
      </c>
      <c r="AP747" t="s">
        <v>109</v>
      </c>
    </row>
    <row r="748" spans="1:42" x14ac:dyDescent="0.25">
      <c r="A748" s="28" t="str">
        <f>"14504"</f>
        <v>14504</v>
      </c>
      <c r="B748">
        <v>14504</v>
      </c>
      <c r="C748" t="s">
        <v>2488</v>
      </c>
      <c r="D748" t="s">
        <v>121</v>
      </c>
      <c r="F748" t="s">
        <v>120</v>
      </c>
      <c r="G748" t="s">
        <v>185</v>
      </c>
      <c r="I748" t="s">
        <v>8723</v>
      </c>
      <c r="J748" t="s">
        <v>7</v>
      </c>
      <c r="K748" s="63">
        <v>22999</v>
      </c>
      <c r="L748" s="28">
        <f>DATEDIF(K748,Zwift25!G$1,"Y")</f>
        <v>61</v>
      </c>
      <c r="M748" s="67">
        <f>IF(J748="m",VLOOKUP(L748,'All Solo Adjustments'!A:D,4,FALSE),VLOOKUP(L748,'All Solo Adjustments'!A:J,10,FALSE))</f>
        <v>3.4722222222222225E-3</v>
      </c>
      <c r="N748" s="63"/>
      <c r="O748" s="63"/>
      <c r="P748" s="63"/>
      <c r="Q748" s="63"/>
      <c r="R748" t="s">
        <v>213</v>
      </c>
      <c r="S748" t="s">
        <v>212</v>
      </c>
      <c r="T748" t="s">
        <v>292</v>
      </c>
      <c r="U748" t="s">
        <v>8722</v>
      </c>
      <c r="V748" t="s">
        <v>8721</v>
      </c>
      <c r="W748" t="s">
        <v>998</v>
      </c>
      <c r="X748" t="s">
        <v>196</v>
      </c>
      <c r="Y748" t="s">
        <v>8720</v>
      </c>
      <c r="Z748" t="str">
        <f>"07543652107"</f>
        <v>07543652107</v>
      </c>
      <c r="AA748" t="str">
        <f>""</f>
        <v/>
      </c>
      <c r="AB748" t="s">
        <v>1133</v>
      </c>
      <c r="AC748" t="s">
        <v>8719</v>
      </c>
      <c r="AD748" t="s">
        <v>114</v>
      </c>
      <c r="AE748" s="63">
        <v>45262</v>
      </c>
      <c r="AF748" t="s">
        <v>156</v>
      </c>
      <c r="AG748" t="s">
        <v>112</v>
      </c>
      <c r="AH748" t="s">
        <v>112</v>
      </c>
      <c r="AI748" s="63">
        <v>44077</v>
      </c>
      <c r="AJ748" s="63">
        <v>45657</v>
      </c>
      <c r="AK748" t="s">
        <v>112</v>
      </c>
      <c r="AL748" t="s">
        <v>111</v>
      </c>
      <c r="AM748" t="s">
        <v>111</v>
      </c>
      <c r="AN748">
        <v>916</v>
      </c>
      <c r="AO748" t="s">
        <v>110</v>
      </c>
      <c r="AP748" t="s">
        <v>109</v>
      </c>
    </row>
    <row r="749" spans="1:42" x14ac:dyDescent="0.25">
      <c r="A749" s="28" t="str">
        <f>"6025"</f>
        <v>6025</v>
      </c>
      <c r="B749">
        <v>6025</v>
      </c>
      <c r="C749" t="s">
        <v>2488</v>
      </c>
      <c r="D749" t="s">
        <v>121</v>
      </c>
      <c r="E749" t="s">
        <v>584</v>
      </c>
      <c r="F749" t="s">
        <v>120</v>
      </c>
      <c r="G749" t="s">
        <v>721</v>
      </c>
      <c r="I749" t="s">
        <v>8718</v>
      </c>
      <c r="J749" t="s">
        <v>7</v>
      </c>
      <c r="K749" s="63">
        <v>22757</v>
      </c>
      <c r="L749" s="28">
        <f>DATEDIF(K749,Zwift25!G$1,"Y")</f>
        <v>62</v>
      </c>
      <c r="M749" s="67">
        <f>IF(J749="m",VLOOKUP(L749,'All Solo Adjustments'!A:D,4,FALSE),VLOOKUP(L749,'All Solo Adjustments'!A:J,10,FALSE))</f>
        <v>3.7384259259259259E-3</v>
      </c>
      <c r="N749" s="63"/>
      <c r="O749" s="63"/>
      <c r="P749" s="63"/>
      <c r="Q749" s="63"/>
      <c r="R749" t="s">
        <v>296</v>
      </c>
      <c r="S749" t="s">
        <v>295</v>
      </c>
      <c r="T749" t="s">
        <v>292</v>
      </c>
      <c r="U749" t="s">
        <v>8717</v>
      </c>
      <c r="V749" t="s">
        <v>2439</v>
      </c>
      <c r="Y749" t="s">
        <v>2249</v>
      </c>
      <c r="Z749" t="str">
        <f>"0131 531 9160"</f>
        <v>0131 531 9160</v>
      </c>
      <c r="AA749" t="str">
        <f>"07729805766"</f>
        <v>07729805766</v>
      </c>
      <c r="AB749" t="s">
        <v>2183</v>
      </c>
      <c r="AC749" t="s">
        <v>8716</v>
      </c>
      <c r="AD749" t="s">
        <v>114</v>
      </c>
      <c r="AE749" s="63">
        <v>45265</v>
      </c>
      <c r="AF749" t="s">
        <v>156</v>
      </c>
      <c r="AG749" t="s">
        <v>112</v>
      </c>
      <c r="AH749" t="s">
        <v>112</v>
      </c>
      <c r="AI749" s="63">
        <v>42747</v>
      </c>
      <c r="AJ749" s="63">
        <v>45657</v>
      </c>
      <c r="AK749" t="s">
        <v>111</v>
      </c>
      <c r="AL749" t="s">
        <v>111</v>
      </c>
      <c r="AM749" t="s">
        <v>111</v>
      </c>
      <c r="AN749">
        <v>13672</v>
      </c>
      <c r="AO749" t="s">
        <v>110</v>
      </c>
      <c r="AP749" t="s">
        <v>109</v>
      </c>
    </row>
    <row r="750" spans="1:42" x14ac:dyDescent="0.25">
      <c r="A750" s="28" t="str">
        <f>"5258"</f>
        <v>5258</v>
      </c>
      <c r="B750">
        <v>5258</v>
      </c>
      <c r="C750" t="s">
        <v>2488</v>
      </c>
      <c r="D750" t="s">
        <v>121</v>
      </c>
      <c r="F750" t="s">
        <v>120</v>
      </c>
      <c r="G750" t="s">
        <v>300</v>
      </c>
      <c r="H750" t="s">
        <v>359</v>
      </c>
      <c r="I750" t="s">
        <v>8715</v>
      </c>
      <c r="J750" t="s">
        <v>7</v>
      </c>
      <c r="K750" s="63">
        <v>24677</v>
      </c>
      <c r="L750" s="28">
        <f>DATEDIF(K750,Zwift25!G$1,"Y")</f>
        <v>57</v>
      </c>
      <c r="M750" s="67">
        <f>IF(J750="m",VLOOKUP(L750,'All Solo Adjustments'!A:D,4,FALSE),VLOOKUP(L750,'All Solo Adjustments'!A:J,10,FALSE))</f>
        <v>2.488425925925926E-3</v>
      </c>
      <c r="N750" s="63"/>
      <c r="O750" s="63"/>
      <c r="P750" s="63"/>
      <c r="Q750" s="63"/>
      <c r="R750" t="s">
        <v>180</v>
      </c>
      <c r="S750" t="s">
        <v>179</v>
      </c>
      <c r="T750" t="s">
        <v>292</v>
      </c>
      <c r="U750" t="s">
        <v>8714</v>
      </c>
      <c r="V750" t="s">
        <v>8713</v>
      </c>
      <c r="W750" t="s">
        <v>983</v>
      </c>
      <c r="Y750" t="s">
        <v>8712</v>
      </c>
      <c r="Z750" t="str">
        <f>"07831 442172"</f>
        <v>07831 442172</v>
      </c>
      <c r="AA750" t="str">
        <f>""</f>
        <v/>
      </c>
      <c r="AB750" t="s">
        <v>982</v>
      </c>
      <c r="AC750" t="s">
        <v>8711</v>
      </c>
      <c r="AD750" t="s">
        <v>114</v>
      </c>
      <c r="AE750" s="63">
        <v>45264</v>
      </c>
      <c r="AF750" t="s">
        <v>113</v>
      </c>
      <c r="AG750" t="s">
        <v>112</v>
      </c>
      <c r="AH750" t="s">
        <v>112</v>
      </c>
      <c r="AI750" s="63">
        <v>42025</v>
      </c>
      <c r="AJ750" s="63">
        <v>45657</v>
      </c>
      <c r="AK750" t="s">
        <v>111</v>
      </c>
      <c r="AL750" t="s">
        <v>111</v>
      </c>
      <c r="AM750" t="s">
        <v>111</v>
      </c>
      <c r="AN750">
        <v>783</v>
      </c>
      <c r="AO750" t="s">
        <v>110</v>
      </c>
      <c r="AP750" t="s">
        <v>109</v>
      </c>
    </row>
    <row r="751" spans="1:42" x14ac:dyDescent="0.25">
      <c r="A751" s="28" t="str">
        <f>"5111"</f>
        <v>5111</v>
      </c>
      <c r="B751">
        <v>5111</v>
      </c>
      <c r="C751" t="s">
        <v>2488</v>
      </c>
      <c r="D751" t="s">
        <v>121</v>
      </c>
      <c r="F751" t="s">
        <v>120</v>
      </c>
      <c r="G751" t="s">
        <v>251</v>
      </c>
      <c r="I751" t="s">
        <v>1123</v>
      </c>
      <c r="J751" t="s">
        <v>7</v>
      </c>
      <c r="K751" s="63">
        <v>16615</v>
      </c>
      <c r="L751" s="28">
        <f>DATEDIF(K751,Zwift25!G$1,"Y")</f>
        <v>79</v>
      </c>
      <c r="M751" s="67">
        <f>IF(J751="m",VLOOKUP(L751,'All Solo Adjustments'!A:D,4,FALSE),VLOOKUP(L751,'All Solo Adjustments'!A:J,10,FALSE))</f>
        <v>1.0451388888888889E-2</v>
      </c>
      <c r="N751" s="63"/>
      <c r="O751" s="63"/>
      <c r="P751" s="63"/>
      <c r="Q751" s="63"/>
      <c r="R751" t="s">
        <v>184</v>
      </c>
      <c r="S751" t="s">
        <v>183</v>
      </c>
      <c r="T751" t="s">
        <v>292</v>
      </c>
      <c r="U751" t="s">
        <v>8710</v>
      </c>
      <c r="V751" t="s">
        <v>8709</v>
      </c>
      <c r="W751" t="s">
        <v>1231</v>
      </c>
      <c r="X751" t="s">
        <v>159</v>
      </c>
      <c r="Y751" t="s">
        <v>8708</v>
      </c>
      <c r="Z751" t="str">
        <f>"07711 697900"</f>
        <v>07711 697900</v>
      </c>
      <c r="AA751" t="str">
        <f>"02074215315"</f>
        <v>02074215315</v>
      </c>
      <c r="AB751" t="s">
        <v>8707</v>
      </c>
      <c r="AC751" t="s">
        <v>8706</v>
      </c>
      <c r="AD751" t="s">
        <v>114</v>
      </c>
      <c r="AE751" s="63">
        <v>45281</v>
      </c>
      <c r="AF751" t="s">
        <v>113</v>
      </c>
      <c r="AG751" t="s">
        <v>112</v>
      </c>
      <c r="AH751" t="s">
        <v>112</v>
      </c>
      <c r="AI751" s="63">
        <v>41818</v>
      </c>
      <c r="AJ751" s="63">
        <v>45657</v>
      </c>
      <c r="AK751" t="s">
        <v>111</v>
      </c>
      <c r="AL751" t="s">
        <v>111</v>
      </c>
      <c r="AM751" t="s">
        <v>111</v>
      </c>
      <c r="AN751">
        <v>1412</v>
      </c>
      <c r="AO751" t="s">
        <v>110</v>
      </c>
      <c r="AP751" t="s">
        <v>109</v>
      </c>
    </row>
    <row r="752" spans="1:42" x14ac:dyDescent="0.25">
      <c r="A752" s="28" t="str">
        <f>"0955"</f>
        <v>0955</v>
      </c>
      <c r="B752">
        <v>955</v>
      </c>
      <c r="C752" t="s">
        <v>2488</v>
      </c>
      <c r="D752" t="s">
        <v>121</v>
      </c>
      <c r="E752" t="s">
        <v>584</v>
      </c>
      <c r="F752" t="s">
        <v>120</v>
      </c>
      <c r="G752" t="s">
        <v>738</v>
      </c>
      <c r="I752" t="s">
        <v>1123</v>
      </c>
      <c r="J752" t="s">
        <v>7</v>
      </c>
      <c r="K752" s="63">
        <v>17699</v>
      </c>
      <c r="L752" s="28">
        <f>DATEDIF(K752,Zwift25!G$1,"Y")</f>
        <v>76</v>
      </c>
      <c r="M752" s="67">
        <f>IF(J752="m",VLOOKUP(L752,'All Solo Adjustments'!A:D,4,FALSE),VLOOKUP(L752,'All Solo Adjustments'!A:J,10,FALSE))</f>
        <v>8.912037037037036E-3</v>
      </c>
      <c r="N752" s="63"/>
      <c r="O752" s="63"/>
      <c r="P752" s="63"/>
      <c r="Q752" s="63"/>
      <c r="R752" t="s">
        <v>213</v>
      </c>
      <c r="S752" t="s">
        <v>212</v>
      </c>
      <c r="T752" t="s">
        <v>292</v>
      </c>
      <c r="U752" t="s">
        <v>8705</v>
      </c>
      <c r="V752" t="s">
        <v>8704</v>
      </c>
      <c r="W752" t="s">
        <v>535</v>
      </c>
      <c r="X752" t="s">
        <v>105</v>
      </c>
      <c r="Y752" t="s">
        <v>8703</v>
      </c>
      <c r="Z752" t="str">
        <f>"01939 210569"</f>
        <v>01939 210569</v>
      </c>
      <c r="AA752" t="str">
        <f>"07970 047734"</f>
        <v>07970 047734</v>
      </c>
      <c r="AB752" t="s">
        <v>1052</v>
      </c>
      <c r="AC752" t="s">
        <v>8702</v>
      </c>
      <c r="AD752" t="s">
        <v>114</v>
      </c>
      <c r="AE752" s="63">
        <v>45270</v>
      </c>
      <c r="AF752" t="s">
        <v>113</v>
      </c>
      <c r="AG752" t="s">
        <v>112</v>
      </c>
      <c r="AH752" t="s">
        <v>112</v>
      </c>
      <c r="AI752" s="63">
        <v>33404</v>
      </c>
      <c r="AJ752" s="63">
        <v>45657</v>
      </c>
      <c r="AK752" t="s">
        <v>111</v>
      </c>
      <c r="AL752" t="s">
        <v>111</v>
      </c>
      <c r="AM752" t="s">
        <v>111</v>
      </c>
      <c r="AN752">
        <v>1253</v>
      </c>
      <c r="AO752" t="s">
        <v>110</v>
      </c>
      <c r="AP752" t="s">
        <v>109</v>
      </c>
    </row>
    <row r="753" spans="1:42" x14ac:dyDescent="0.25">
      <c r="A753" s="28" t="str">
        <f>"15765"</f>
        <v>15765</v>
      </c>
      <c r="B753">
        <v>15765</v>
      </c>
      <c r="C753" t="s">
        <v>2488</v>
      </c>
      <c r="D753" t="s">
        <v>121</v>
      </c>
      <c r="E753" t="s">
        <v>584</v>
      </c>
      <c r="F753" t="s">
        <v>120</v>
      </c>
      <c r="G753" t="s">
        <v>790</v>
      </c>
      <c r="I753" t="s">
        <v>1123</v>
      </c>
      <c r="J753" t="s">
        <v>7</v>
      </c>
      <c r="K753" s="63">
        <v>20418</v>
      </c>
      <c r="L753" s="28">
        <f>DATEDIF(K753,Zwift25!G$1,"Y")</f>
        <v>68</v>
      </c>
      <c r="M753" s="67">
        <f>IF(J753="m",VLOOKUP(L753,'All Solo Adjustments'!A:D,4,FALSE),VLOOKUP(L753,'All Solo Adjustments'!A:J,10,FALSE))</f>
        <v>5.6134259259259262E-3</v>
      </c>
      <c r="N753" s="63"/>
      <c r="O753" s="63"/>
      <c r="P753" s="63"/>
      <c r="Q753" s="63"/>
      <c r="R753" t="s">
        <v>527</v>
      </c>
      <c r="S753" t="s">
        <v>526</v>
      </c>
      <c r="T753" t="s">
        <v>292</v>
      </c>
      <c r="U753" t="s">
        <v>8701</v>
      </c>
      <c r="V753" t="s">
        <v>8700</v>
      </c>
      <c r="W753" t="s">
        <v>1235</v>
      </c>
      <c r="X753" t="s">
        <v>1234</v>
      </c>
      <c r="Y753" t="s">
        <v>8699</v>
      </c>
      <c r="Z753" t="str">
        <f>"07722562009"</f>
        <v>07722562009</v>
      </c>
      <c r="AA753" t="str">
        <f>""</f>
        <v/>
      </c>
      <c r="AB753" t="s">
        <v>8698</v>
      </c>
      <c r="AC753" t="s">
        <v>8697</v>
      </c>
      <c r="AD753" t="s">
        <v>114</v>
      </c>
      <c r="AE753" s="63">
        <v>45274</v>
      </c>
      <c r="AF753" t="s">
        <v>156</v>
      </c>
      <c r="AG753" t="s">
        <v>112</v>
      </c>
      <c r="AH753" t="s">
        <v>112</v>
      </c>
      <c r="AI753" s="63">
        <v>45022</v>
      </c>
      <c r="AJ753" s="63">
        <v>45657</v>
      </c>
      <c r="AK753" t="s">
        <v>112</v>
      </c>
      <c r="AL753" t="s">
        <v>111</v>
      </c>
      <c r="AM753" t="s">
        <v>111</v>
      </c>
      <c r="AN753">
        <v>1711</v>
      </c>
      <c r="AO753" t="s">
        <v>110</v>
      </c>
      <c r="AP753" t="s">
        <v>109</v>
      </c>
    </row>
    <row r="754" spans="1:42" x14ac:dyDescent="0.25">
      <c r="A754" s="28" t="str">
        <f>"15496"</f>
        <v>15496</v>
      </c>
      <c r="B754">
        <v>15496</v>
      </c>
      <c r="C754" t="s">
        <v>2488</v>
      </c>
      <c r="D754" t="s">
        <v>121</v>
      </c>
      <c r="E754" t="s">
        <v>584</v>
      </c>
      <c r="F754" t="s">
        <v>120</v>
      </c>
      <c r="G754" t="s">
        <v>300</v>
      </c>
      <c r="I754" t="s">
        <v>8696</v>
      </c>
      <c r="J754" t="s">
        <v>7</v>
      </c>
      <c r="K754" s="63">
        <v>28650</v>
      </c>
      <c r="L754" s="28">
        <f>DATEDIF(K754,Zwift25!G$1,"Y")</f>
        <v>46</v>
      </c>
      <c r="M754" s="67">
        <f>IF(J754="m",VLOOKUP(L754,'All Solo Adjustments'!A:D,4,FALSE),VLOOKUP(L754,'All Solo Adjustments'!A:J,10,FALSE))</f>
        <v>5.6712962962962956E-4</v>
      </c>
      <c r="N754" s="63"/>
      <c r="O754" s="63"/>
      <c r="P754" s="63"/>
      <c r="Q754" s="63"/>
      <c r="R754" t="s">
        <v>198</v>
      </c>
      <c r="S754" t="s">
        <v>461</v>
      </c>
      <c r="T754" t="s">
        <v>292</v>
      </c>
      <c r="U754" t="s">
        <v>8695</v>
      </c>
      <c r="W754" t="s">
        <v>8694</v>
      </c>
      <c r="Y754" t="s">
        <v>8693</v>
      </c>
      <c r="Z754" t="str">
        <f>"07951290448"</f>
        <v>07951290448</v>
      </c>
      <c r="AA754" t="str">
        <f>""</f>
        <v/>
      </c>
      <c r="AB754" t="s">
        <v>2000</v>
      </c>
      <c r="AC754" t="s">
        <v>8692</v>
      </c>
      <c r="AD754" t="s">
        <v>114</v>
      </c>
      <c r="AE754" s="63">
        <v>45341</v>
      </c>
      <c r="AF754" t="s">
        <v>156</v>
      </c>
      <c r="AG754" t="s">
        <v>112</v>
      </c>
      <c r="AH754" t="s">
        <v>112</v>
      </c>
      <c r="AI754" s="63">
        <v>44698</v>
      </c>
      <c r="AJ754" s="63">
        <v>45657</v>
      </c>
      <c r="AK754" t="s">
        <v>112</v>
      </c>
      <c r="AL754" t="s">
        <v>111</v>
      </c>
      <c r="AM754" t="s">
        <v>111</v>
      </c>
      <c r="AN754">
        <v>336</v>
      </c>
      <c r="AO754" t="s">
        <v>110</v>
      </c>
      <c r="AP754" t="s">
        <v>109</v>
      </c>
    </row>
    <row r="755" spans="1:42" x14ac:dyDescent="0.25">
      <c r="A755" s="28" t="str">
        <f>"3285"</f>
        <v>3285</v>
      </c>
      <c r="B755">
        <v>3285</v>
      </c>
      <c r="C755" t="s">
        <v>2488</v>
      </c>
      <c r="D755" t="s">
        <v>121</v>
      </c>
      <c r="F755" t="s">
        <v>120</v>
      </c>
      <c r="G755" t="s">
        <v>410</v>
      </c>
      <c r="I755" t="s">
        <v>5002</v>
      </c>
      <c r="J755" t="s">
        <v>7</v>
      </c>
      <c r="K755" s="63">
        <v>11338</v>
      </c>
      <c r="L755" s="28">
        <f>DATEDIF(K755,Zwift25!G$1,"Y")</f>
        <v>93</v>
      </c>
      <c r="M755" s="67">
        <f>IF(J755="m",VLOOKUP(L755,'All Solo Adjustments'!A:D,4,FALSE),VLOOKUP(L755,'All Solo Adjustments'!A:J,10,FALSE))</f>
        <v>2.1516203703703704E-2</v>
      </c>
      <c r="N755" s="63"/>
      <c r="O755" s="63"/>
      <c r="P755" s="63"/>
      <c r="Q755" s="63"/>
      <c r="R755" t="s">
        <v>296</v>
      </c>
      <c r="S755" t="s">
        <v>2310</v>
      </c>
      <c r="T755" t="s">
        <v>292</v>
      </c>
      <c r="U755" t="s">
        <v>8691</v>
      </c>
      <c r="V755" t="s">
        <v>8690</v>
      </c>
      <c r="W755" t="s">
        <v>1638</v>
      </c>
      <c r="Y755" t="s">
        <v>8689</v>
      </c>
      <c r="Z755" t="str">
        <f>"01501 820857"</f>
        <v>01501 820857</v>
      </c>
      <c r="AA755" t="str">
        <f>""</f>
        <v/>
      </c>
      <c r="AB755" t="s">
        <v>1780</v>
      </c>
      <c r="AD755" t="s">
        <v>151</v>
      </c>
      <c r="AF755" t="s">
        <v>113</v>
      </c>
      <c r="AG755" t="s">
        <v>112</v>
      </c>
      <c r="AH755" t="s">
        <v>112</v>
      </c>
      <c r="AI755" s="63">
        <v>27689</v>
      </c>
      <c r="AK755" t="s">
        <v>111</v>
      </c>
      <c r="AL755" t="s">
        <v>111</v>
      </c>
      <c r="AM755" t="s">
        <v>111</v>
      </c>
      <c r="AN755" t="s">
        <v>105</v>
      </c>
      <c r="AO755" t="s">
        <v>110</v>
      </c>
      <c r="AP755" t="s">
        <v>109</v>
      </c>
    </row>
    <row r="756" spans="1:42" x14ac:dyDescent="0.25">
      <c r="A756" s="28" t="str">
        <f>"0959"</f>
        <v>0959</v>
      </c>
      <c r="B756">
        <v>959</v>
      </c>
      <c r="C756" t="s">
        <v>2488</v>
      </c>
      <c r="D756" t="s">
        <v>121</v>
      </c>
      <c r="F756" t="s">
        <v>120</v>
      </c>
      <c r="G756" t="s">
        <v>1377</v>
      </c>
      <c r="I756" t="s">
        <v>8688</v>
      </c>
      <c r="J756" t="s">
        <v>7</v>
      </c>
      <c r="K756" s="63">
        <v>14530</v>
      </c>
      <c r="L756" s="28">
        <f>DATEDIF(K756,Zwift25!G$1,"Y")</f>
        <v>85</v>
      </c>
      <c r="M756" s="67">
        <f>IF(J756="m",VLOOKUP(L756,'All Solo Adjustments'!A:D,4,FALSE),VLOOKUP(L756,'All Solo Adjustments'!A:J,10,FALSE))</f>
        <v>1.4236111111111111E-2</v>
      </c>
      <c r="N756" s="63"/>
      <c r="O756" s="63"/>
      <c r="P756" s="63"/>
      <c r="Q756" s="63"/>
      <c r="R756" t="s">
        <v>118</v>
      </c>
      <c r="S756" t="s">
        <v>873</v>
      </c>
      <c r="T756" t="s">
        <v>292</v>
      </c>
      <c r="U756" t="s">
        <v>8687</v>
      </c>
      <c r="V756" t="s">
        <v>875</v>
      </c>
      <c r="W756" t="s">
        <v>2459</v>
      </c>
      <c r="Y756" t="s">
        <v>8686</v>
      </c>
      <c r="Z756" t="str">
        <f>"0114 2369121"</f>
        <v>0114 2369121</v>
      </c>
      <c r="AA756" t="str">
        <f>"07799253763"</f>
        <v>07799253763</v>
      </c>
      <c r="AB756" t="s">
        <v>1745</v>
      </c>
      <c r="AC756" t="s">
        <v>8685</v>
      </c>
      <c r="AD756" t="s">
        <v>145</v>
      </c>
      <c r="AF756" t="s">
        <v>113</v>
      </c>
      <c r="AG756" t="s">
        <v>112</v>
      </c>
      <c r="AH756" t="s">
        <v>112</v>
      </c>
      <c r="AI756" s="63">
        <v>35431</v>
      </c>
      <c r="AK756" t="s">
        <v>111</v>
      </c>
      <c r="AL756" t="s">
        <v>111</v>
      </c>
      <c r="AM756" t="s">
        <v>111</v>
      </c>
      <c r="AN756">
        <v>6479</v>
      </c>
      <c r="AO756" t="s">
        <v>110</v>
      </c>
      <c r="AP756" t="s">
        <v>109</v>
      </c>
    </row>
    <row r="757" spans="1:42" x14ac:dyDescent="0.25">
      <c r="A757" s="28" t="str">
        <f>"0961"</f>
        <v>0961</v>
      </c>
      <c r="B757">
        <v>961</v>
      </c>
      <c r="C757" t="s">
        <v>2488</v>
      </c>
      <c r="D757" t="s">
        <v>121</v>
      </c>
      <c r="F757" t="s">
        <v>120</v>
      </c>
      <c r="G757" t="s">
        <v>1722</v>
      </c>
      <c r="I757" t="s">
        <v>8684</v>
      </c>
      <c r="J757" t="s">
        <v>7</v>
      </c>
      <c r="K757" s="63">
        <v>19604</v>
      </c>
      <c r="L757" s="28">
        <f>DATEDIF(K757,Zwift25!G$1,"Y")</f>
        <v>71</v>
      </c>
      <c r="M757" s="67">
        <f>IF(J757="m",VLOOKUP(L757,'All Solo Adjustments'!A:D,4,FALSE),VLOOKUP(L757,'All Solo Adjustments'!A:J,10,FALSE))</f>
        <v>6.7245370370370375E-3</v>
      </c>
      <c r="N757" s="63"/>
      <c r="O757" s="63"/>
      <c r="P757" s="63"/>
      <c r="Q757" s="63"/>
      <c r="R757" t="s">
        <v>328</v>
      </c>
      <c r="S757" t="s">
        <v>327</v>
      </c>
      <c r="T757" t="s">
        <v>292</v>
      </c>
      <c r="U757" t="s">
        <v>8683</v>
      </c>
      <c r="V757" t="s">
        <v>8682</v>
      </c>
      <c r="W757" t="s">
        <v>325</v>
      </c>
      <c r="Y757" t="s">
        <v>8681</v>
      </c>
      <c r="Z757" t="str">
        <f>"01282 869315"</f>
        <v>01282 869315</v>
      </c>
      <c r="AA757" t="str">
        <f>""</f>
        <v/>
      </c>
      <c r="AB757" t="s">
        <v>8680</v>
      </c>
      <c r="AC757" t="s">
        <v>8679</v>
      </c>
      <c r="AD757" t="s">
        <v>114</v>
      </c>
      <c r="AE757" s="63">
        <v>45573</v>
      </c>
      <c r="AF757" t="s">
        <v>113</v>
      </c>
      <c r="AG757" t="s">
        <v>112</v>
      </c>
      <c r="AH757" t="s">
        <v>112</v>
      </c>
      <c r="AI757" s="63">
        <v>42478</v>
      </c>
      <c r="AJ757" s="63">
        <v>46022</v>
      </c>
      <c r="AK757" t="s">
        <v>111</v>
      </c>
      <c r="AL757" t="s">
        <v>111</v>
      </c>
      <c r="AM757" t="s">
        <v>111</v>
      </c>
      <c r="AN757">
        <v>19596</v>
      </c>
      <c r="AO757" t="s">
        <v>110</v>
      </c>
      <c r="AP757" t="s">
        <v>109</v>
      </c>
    </row>
    <row r="758" spans="1:42" x14ac:dyDescent="0.25">
      <c r="A758" s="28" t="str">
        <f>"14696"</f>
        <v>14696</v>
      </c>
      <c r="B758">
        <v>14696</v>
      </c>
      <c r="C758" t="s">
        <v>2488</v>
      </c>
      <c r="D758" t="s">
        <v>121</v>
      </c>
      <c r="E758" t="s">
        <v>584</v>
      </c>
      <c r="F758" t="s">
        <v>120</v>
      </c>
      <c r="G758" t="s">
        <v>189</v>
      </c>
      <c r="I758" t="s">
        <v>8678</v>
      </c>
      <c r="J758" t="s">
        <v>7</v>
      </c>
      <c r="K758" s="63">
        <v>25064</v>
      </c>
      <c r="L758" s="28">
        <f>DATEDIF(K758,Zwift25!G$1,"Y")</f>
        <v>56</v>
      </c>
      <c r="M758" s="67">
        <f>IF(J758="m",VLOOKUP(L758,'All Solo Adjustments'!A:D,4,FALSE),VLOOKUP(L758,'All Solo Adjustments'!A:J,10,FALSE))</f>
        <v>2.2685185185185182E-3</v>
      </c>
      <c r="N758" s="63"/>
      <c r="O758" s="63"/>
      <c r="P758" s="63"/>
      <c r="Q758" s="63"/>
      <c r="R758" t="s">
        <v>239</v>
      </c>
      <c r="S758" t="s">
        <v>274</v>
      </c>
      <c r="T758" t="s">
        <v>292</v>
      </c>
      <c r="U758" t="s">
        <v>8677</v>
      </c>
      <c r="V758" t="s">
        <v>8676</v>
      </c>
      <c r="W758" t="s">
        <v>8675</v>
      </c>
      <c r="X758" t="s">
        <v>8674</v>
      </c>
      <c r="Y758" t="s">
        <v>8673</v>
      </c>
      <c r="Z758" t="str">
        <f>"07771778423"</f>
        <v>07771778423</v>
      </c>
      <c r="AA758" t="str">
        <f>""</f>
        <v/>
      </c>
      <c r="AB758" t="s">
        <v>8672</v>
      </c>
      <c r="AC758" t="s">
        <v>8671</v>
      </c>
      <c r="AD758" t="s">
        <v>114</v>
      </c>
      <c r="AE758" s="63">
        <v>45270</v>
      </c>
      <c r="AF758" t="s">
        <v>113</v>
      </c>
      <c r="AG758" t="s">
        <v>112</v>
      </c>
      <c r="AH758" t="s">
        <v>112</v>
      </c>
      <c r="AI758" s="63">
        <v>44071</v>
      </c>
      <c r="AJ758" s="63">
        <v>45657</v>
      </c>
      <c r="AK758" t="s">
        <v>112</v>
      </c>
      <c r="AL758" t="s">
        <v>111</v>
      </c>
      <c r="AM758" t="s">
        <v>111</v>
      </c>
      <c r="AN758">
        <v>32933</v>
      </c>
      <c r="AO758" t="s">
        <v>110</v>
      </c>
      <c r="AP758" t="s">
        <v>109</v>
      </c>
    </row>
    <row r="759" spans="1:42" x14ac:dyDescent="0.25">
      <c r="A759" s="28" t="str">
        <f>"13720"</f>
        <v>13720</v>
      </c>
      <c r="B759">
        <v>13720</v>
      </c>
      <c r="C759" t="s">
        <v>2488</v>
      </c>
      <c r="D759" t="s">
        <v>121</v>
      </c>
      <c r="F759" t="s">
        <v>149</v>
      </c>
      <c r="G759" t="s">
        <v>681</v>
      </c>
      <c r="H759" t="s">
        <v>329</v>
      </c>
      <c r="I759" t="s">
        <v>768</v>
      </c>
      <c r="J759" t="s">
        <v>126</v>
      </c>
      <c r="K759" s="63">
        <v>26984</v>
      </c>
      <c r="L759" s="28">
        <f>DATEDIF(K759,Zwift25!G$1,"Y")</f>
        <v>50</v>
      </c>
      <c r="M759" s="67">
        <f>IF(J759="m",VLOOKUP(L759,'All Solo Adjustments'!A:D,4,FALSE),VLOOKUP(L759,'All Solo Adjustments'!A:J,10,FALSE))</f>
        <v>4.9768518518518521E-3</v>
      </c>
      <c r="N759" s="63"/>
      <c r="O759" s="63"/>
      <c r="P759" s="63"/>
      <c r="Q759" s="63"/>
      <c r="R759" t="s">
        <v>125</v>
      </c>
      <c r="S759" t="s">
        <v>124</v>
      </c>
      <c r="T759" t="s">
        <v>292</v>
      </c>
      <c r="U759" t="s">
        <v>4131</v>
      </c>
      <c r="V759" t="s">
        <v>4130</v>
      </c>
      <c r="W759" t="s">
        <v>123</v>
      </c>
      <c r="X759" t="s">
        <v>1791</v>
      </c>
      <c r="Y759" t="s">
        <v>4129</v>
      </c>
      <c r="Z759" t="str">
        <f>"7825307480"</f>
        <v>7825307480</v>
      </c>
      <c r="AA759" t="str">
        <f>""</f>
        <v/>
      </c>
      <c r="AB759" t="s">
        <v>4133</v>
      </c>
      <c r="AC759" t="s">
        <v>8670</v>
      </c>
      <c r="AD759" t="s">
        <v>145</v>
      </c>
      <c r="AE759" s="63">
        <v>45299</v>
      </c>
      <c r="AF759" t="s">
        <v>113</v>
      </c>
      <c r="AG759" t="s">
        <v>111</v>
      </c>
      <c r="AH759" t="s">
        <v>111</v>
      </c>
      <c r="AI759" s="63">
        <v>43298</v>
      </c>
      <c r="AJ759" s="63">
        <v>45657</v>
      </c>
      <c r="AK759" t="s">
        <v>112</v>
      </c>
      <c r="AL759" t="s">
        <v>111</v>
      </c>
      <c r="AM759" t="s">
        <v>111</v>
      </c>
      <c r="AN759">
        <v>26222</v>
      </c>
      <c r="AO759" t="s">
        <v>122</v>
      </c>
      <c r="AP759" t="s">
        <v>122</v>
      </c>
    </row>
    <row r="760" spans="1:42" x14ac:dyDescent="0.25">
      <c r="A760" s="28" t="str">
        <f>"15016"</f>
        <v>15016</v>
      </c>
      <c r="B760">
        <v>15016</v>
      </c>
      <c r="C760" t="s">
        <v>2488</v>
      </c>
      <c r="D760" t="s">
        <v>121</v>
      </c>
      <c r="E760" t="s">
        <v>3000</v>
      </c>
      <c r="F760" t="s">
        <v>120</v>
      </c>
      <c r="G760" t="s">
        <v>400</v>
      </c>
      <c r="H760" t="s">
        <v>284</v>
      </c>
      <c r="I760" t="s">
        <v>768</v>
      </c>
      <c r="J760" t="s">
        <v>7</v>
      </c>
      <c r="K760" s="63">
        <v>25519</v>
      </c>
      <c r="L760" s="28">
        <f>DATEDIF(K760,Zwift25!G$1,"Y")</f>
        <v>54</v>
      </c>
      <c r="M760" s="67">
        <f>IF(J760="m",VLOOKUP(L760,'All Solo Adjustments'!A:D,4,FALSE),VLOOKUP(L760,'All Solo Adjustments'!A:J,10,FALSE))</f>
        <v>1.8518518518518517E-3</v>
      </c>
      <c r="N760" s="63"/>
      <c r="O760" s="63"/>
      <c r="P760" s="63"/>
      <c r="Q760" s="63"/>
      <c r="R760" t="s">
        <v>137</v>
      </c>
      <c r="S760" t="s">
        <v>136</v>
      </c>
      <c r="T760" t="s">
        <v>292</v>
      </c>
      <c r="U760" t="s">
        <v>8669</v>
      </c>
      <c r="V760" t="s">
        <v>8668</v>
      </c>
      <c r="W760" t="s">
        <v>1098</v>
      </c>
      <c r="X760" t="s">
        <v>564</v>
      </c>
      <c r="Y760" t="s">
        <v>8667</v>
      </c>
      <c r="Z760" t="str">
        <f>"+447470686460"</f>
        <v>+447470686460</v>
      </c>
      <c r="AA760" t="str">
        <f>""</f>
        <v/>
      </c>
      <c r="AB760" t="s">
        <v>2428</v>
      </c>
      <c r="AC760" t="s">
        <v>8666</v>
      </c>
      <c r="AD760" t="s">
        <v>114</v>
      </c>
      <c r="AE760" s="63">
        <v>45292</v>
      </c>
      <c r="AF760" t="s">
        <v>156</v>
      </c>
      <c r="AG760" t="s">
        <v>112</v>
      </c>
      <c r="AH760" t="s">
        <v>112</v>
      </c>
      <c r="AI760" s="63">
        <v>44312</v>
      </c>
      <c r="AJ760" s="63">
        <v>45657</v>
      </c>
      <c r="AK760" t="s">
        <v>112</v>
      </c>
      <c r="AL760" t="s">
        <v>111</v>
      </c>
      <c r="AM760" t="s">
        <v>111</v>
      </c>
      <c r="AN760">
        <v>5058</v>
      </c>
      <c r="AO760" t="s">
        <v>110</v>
      </c>
      <c r="AP760" t="s">
        <v>109</v>
      </c>
    </row>
    <row r="761" spans="1:42" x14ac:dyDescent="0.25">
      <c r="A761" s="28" t="str">
        <f>"15041"</f>
        <v>15041</v>
      </c>
      <c r="B761">
        <v>15041</v>
      </c>
      <c r="C761" t="s">
        <v>2488</v>
      </c>
      <c r="D761" t="s">
        <v>121</v>
      </c>
      <c r="E761" t="s">
        <v>584</v>
      </c>
      <c r="F761" t="s">
        <v>120</v>
      </c>
      <c r="G761" t="s">
        <v>513</v>
      </c>
      <c r="I761" t="s">
        <v>768</v>
      </c>
      <c r="J761" t="s">
        <v>7</v>
      </c>
      <c r="K761" s="63">
        <v>25134</v>
      </c>
      <c r="L761" s="28">
        <f>DATEDIF(K761,Zwift25!G$1,"Y")</f>
        <v>55</v>
      </c>
      <c r="M761" s="67">
        <f>IF(J761="m",VLOOKUP(L761,'All Solo Adjustments'!A:D,4,FALSE),VLOOKUP(L761,'All Solo Adjustments'!A:J,10,FALSE))</f>
        <v>2.0601851851851853E-3</v>
      </c>
      <c r="N761" s="63"/>
      <c r="O761" s="63"/>
      <c r="P761" s="63"/>
      <c r="Q761" s="63"/>
      <c r="R761" t="s">
        <v>383</v>
      </c>
      <c r="S761" t="s">
        <v>382</v>
      </c>
      <c r="T761" t="s">
        <v>292</v>
      </c>
      <c r="U761" t="s">
        <v>8665</v>
      </c>
      <c r="W761" t="s">
        <v>8664</v>
      </c>
      <c r="X761" t="s">
        <v>1278</v>
      </c>
      <c r="Y761" t="s">
        <v>8663</v>
      </c>
      <c r="Z761" t="str">
        <f>"07912345582"</f>
        <v>07912345582</v>
      </c>
      <c r="AA761" t="str">
        <f>""</f>
        <v/>
      </c>
      <c r="AB761" t="s">
        <v>380</v>
      </c>
      <c r="AC761" t="s">
        <v>8662</v>
      </c>
      <c r="AD761" t="s">
        <v>114</v>
      </c>
      <c r="AE761" s="63">
        <v>45292</v>
      </c>
      <c r="AF761" t="s">
        <v>156</v>
      </c>
      <c r="AG761" t="s">
        <v>112</v>
      </c>
      <c r="AH761" t="s">
        <v>112</v>
      </c>
      <c r="AI761" s="63">
        <v>44316</v>
      </c>
      <c r="AJ761" s="63">
        <v>45657</v>
      </c>
      <c r="AK761" t="s">
        <v>112</v>
      </c>
      <c r="AL761" t="s">
        <v>111</v>
      </c>
      <c r="AM761" t="s">
        <v>111</v>
      </c>
      <c r="AN761">
        <v>17610</v>
      </c>
      <c r="AO761" t="s">
        <v>110</v>
      </c>
      <c r="AP761" t="s">
        <v>109</v>
      </c>
    </row>
    <row r="762" spans="1:42" x14ac:dyDescent="0.25">
      <c r="A762" s="28" t="str">
        <f>"15305"</f>
        <v>15305</v>
      </c>
      <c r="B762">
        <v>15305</v>
      </c>
      <c r="C762" t="s">
        <v>2488</v>
      </c>
      <c r="D762" t="s">
        <v>130</v>
      </c>
      <c r="F762" t="s">
        <v>120</v>
      </c>
      <c r="G762" t="s">
        <v>738</v>
      </c>
      <c r="I762" t="s">
        <v>768</v>
      </c>
      <c r="J762" t="s">
        <v>7</v>
      </c>
      <c r="K762" s="63">
        <v>27052</v>
      </c>
      <c r="L762" s="28">
        <f>DATEDIF(K762,Zwift25!G$1,"Y")</f>
        <v>50</v>
      </c>
      <c r="M762" s="67">
        <f>IF(J762="m",VLOOKUP(L762,'All Solo Adjustments'!A:D,4,FALSE),VLOOKUP(L762,'All Solo Adjustments'!A:J,10,FALSE))</f>
        <v>1.1342592592592591E-3</v>
      </c>
      <c r="N762" s="63"/>
      <c r="O762" s="63"/>
      <c r="P762" s="63"/>
      <c r="Q762" s="63"/>
      <c r="R762" t="s">
        <v>527</v>
      </c>
      <c r="S762" t="s">
        <v>888</v>
      </c>
      <c r="T762" t="s">
        <v>292</v>
      </c>
      <c r="U762" t="s">
        <v>8660</v>
      </c>
      <c r="V762" t="s">
        <v>525</v>
      </c>
      <c r="W762" t="s">
        <v>854</v>
      </c>
      <c r="Y762" t="s">
        <v>8659</v>
      </c>
      <c r="Z762" t="str">
        <f>"07711 848025"</f>
        <v>07711 848025</v>
      </c>
      <c r="AA762" t="str">
        <f>"07725 071072"</f>
        <v>07725 071072</v>
      </c>
      <c r="AB762" t="s">
        <v>1679</v>
      </c>
      <c r="AC762" t="s">
        <v>8661</v>
      </c>
      <c r="AD762" t="s">
        <v>114</v>
      </c>
      <c r="AE762" s="63">
        <v>45292</v>
      </c>
      <c r="AF762" t="s">
        <v>156</v>
      </c>
      <c r="AG762" t="s">
        <v>112</v>
      </c>
      <c r="AH762" t="s">
        <v>112</v>
      </c>
      <c r="AI762" s="63">
        <v>44539</v>
      </c>
      <c r="AJ762" s="63">
        <v>45657</v>
      </c>
      <c r="AK762" t="s">
        <v>112</v>
      </c>
      <c r="AL762" t="s">
        <v>111</v>
      </c>
      <c r="AM762" t="s">
        <v>111</v>
      </c>
      <c r="AN762">
        <v>317</v>
      </c>
      <c r="AO762" t="s">
        <v>110</v>
      </c>
      <c r="AP762" t="s">
        <v>109</v>
      </c>
    </row>
    <row r="763" spans="1:42" x14ac:dyDescent="0.25">
      <c r="A763" s="28" t="str">
        <f>"15304"</f>
        <v>15304</v>
      </c>
      <c r="B763">
        <v>15304</v>
      </c>
      <c r="C763" t="s">
        <v>2488</v>
      </c>
      <c r="D763" t="s">
        <v>132</v>
      </c>
      <c r="F763" t="s">
        <v>403</v>
      </c>
      <c r="G763" t="s">
        <v>529</v>
      </c>
      <c r="H763" t="s">
        <v>528</v>
      </c>
      <c r="I763" t="s">
        <v>522</v>
      </c>
      <c r="J763" t="s">
        <v>126</v>
      </c>
      <c r="K763" s="63">
        <v>25994</v>
      </c>
      <c r="L763" s="28">
        <f>DATEDIF(K763,Zwift25!G$1,"Y")</f>
        <v>53</v>
      </c>
      <c r="M763" s="67">
        <f>IF(J763="m",VLOOKUP(L763,'All Solo Adjustments'!A:D,4,FALSE),VLOOKUP(L763,'All Solo Adjustments'!A:J,10,FALSE))</f>
        <v>5.3356481481481475E-3</v>
      </c>
      <c r="N763" s="63"/>
      <c r="O763" s="63"/>
      <c r="P763" s="63"/>
      <c r="Q763" s="63"/>
      <c r="R763" t="s">
        <v>527</v>
      </c>
      <c r="S763" t="s">
        <v>888</v>
      </c>
      <c r="T763" t="s">
        <v>292</v>
      </c>
      <c r="U763" t="s">
        <v>8660</v>
      </c>
      <c r="V763" t="s">
        <v>525</v>
      </c>
      <c r="W763" t="s">
        <v>854</v>
      </c>
      <c r="Y763" t="s">
        <v>8659</v>
      </c>
      <c r="Z763" t="str">
        <f>"07711 848025"</f>
        <v>07711 848025</v>
      </c>
      <c r="AA763" t="str">
        <f>"07725 071072"</f>
        <v>07725 071072</v>
      </c>
      <c r="AB763" t="s">
        <v>1679</v>
      </c>
      <c r="AC763" t="s">
        <v>524</v>
      </c>
      <c r="AD763" t="s">
        <v>114</v>
      </c>
      <c r="AE763" s="63">
        <v>45292</v>
      </c>
      <c r="AF763" t="s">
        <v>156</v>
      </c>
      <c r="AG763" t="s">
        <v>112</v>
      </c>
      <c r="AH763" t="s">
        <v>112</v>
      </c>
      <c r="AI763" s="63">
        <v>44539</v>
      </c>
      <c r="AJ763" s="63">
        <v>45657</v>
      </c>
      <c r="AK763" t="s">
        <v>112</v>
      </c>
      <c r="AL763" t="s">
        <v>111</v>
      </c>
      <c r="AM763" t="s">
        <v>111</v>
      </c>
      <c r="AN763">
        <v>2846</v>
      </c>
      <c r="AO763" t="s">
        <v>122</v>
      </c>
      <c r="AP763" t="s">
        <v>122</v>
      </c>
    </row>
    <row r="764" spans="1:42" x14ac:dyDescent="0.25">
      <c r="A764" s="28" t="str">
        <f>"15557"</f>
        <v>15557</v>
      </c>
      <c r="B764">
        <v>15557</v>
      </c>
      <c r="C764" t="s">
        <v>2488</v>
      </c>
      <c r="D764" t="s">
        <v>121</v>
      </c>
      <c r="E764" t="s">
        <v>584</v>
      </c>
      <c r="F764" t="s">
        <v>120</v>
      </c>
      <c r="G764" t="s">
        <v>706</v>
      </c>
      <c r="H764" t="s">
        <v>284</v>
      </c>
      <c r="I764" t="s">
        <v>768</v>
      </c>
      <c r="J764" t="s">
        <v>7</v>
      </c>
      <c r="K764" s="63">
        <v>22278</v>
      </c>
      <c r="L764" s="28">
        <f>DATEDIF(K764,Zwift25!G$1,"Y")</f>
        <v>63</v>
      </c>
      <c r="M764" s="67">
        <f>IF(J764="m",VLOOKUP(L764,'All Solo Adjustments'!A:D,4,FALSE),VLOOKUP(L764,'All Solo Adjustments'!A:J,10,FALSE))</f>
        <v>4.0277777777777777E-3</v>
      </c>
      <c r="N764" s="63"/>
      <c r="O764" s="63"/>
      <c r="P764" s="63"/>
      <c r="Q764" s="63"/>
      <c r="R764" t="s">
        <v>527</v>
      </c>
      <c r="S764" t="s">
        <v>526</v>
      </c>
      <c r="T764" t="s">
        <v>292</v>
      </c>
      <c r="U764" t="s">
        <v>8658</v>
      </c>
      <c r="V764" t="s">
        <v>8657</v>
      </c>
      <c r="W764" t="s">
        <v>8656</v>
      </c>
      <c r="X764" t="s">
        <v>1897</v>
      </c>
      <c r="Y764" t="s">
        <v>8655</v>
      </c>
      <c r="Z764" t="str">
        <f>"07944439675"</f>
        <v>07944439675</v>
      </c>
      <c r="AA764" t="str">
        <f>""</f>
        <v/>
      </c>
      <c r="AB764" t="s">
        <v>8654</v>
      </c>
      <c r="AC764" t="s">
        <v>8653</v>
      </c>
      <c r="AD764" t="s">
        <v>114</v>
      </c>
      <c r="AE764" s="63">
        <v>45264</v>
      </c>
      <c r="AF764" t="s">
        <v>156</v>
      </c>
      <c r="AG764" t="s">
        <v>112</v>
      </c>
      <c r="AH764" t="s">
        <v>112</v>
      </c>
      <c r="AI764" s="63">
        <v>44748</v>
      </c>
      <c r="AJ764" s="63">
        <v>45657</v>
      </c>
      <c r="AK764" t="s">
        <v>112</v>
      </c>
      <c r="AL764" t="s">
        <v>111</v>
      </c>
      <c r="AM764" t="s">
        <v>111</v>
      </c>
      <c r="AN764">
        <v>37716</v>
      </c>
      <c r="AO764" t="s">
        <v>110</v>
      </c>
      <c r="AP764" t="s">
        <v>109</v>
      </c>
    </row>
    <row r="765" spans="1:42" x14ac:dyDescent="0.25">
      <c r="A765" s="28" t="str">
        <f>"15755"</f>
        <v>15755</v>
      </c>
      <c r="B765">
        <v>15755</v>
      </c>
      <c r="C765" t="s">
        <v>2488</v>
      </c>
      <c r="D765" t="s">
        <v>121</v>
      </c>
      <c r="F765" t="s">
        <v>120</v>
      </c>
      <c r="G765" t="s">
        <v>8652</v>
      </c>
      <c r="I765" t="s">
        <v>768</v>
      </c>
      <c r="J765" t="s">
        <v>7</v>
      </c>
      <c r="K765" s="63">
        <v>23258</v>
      </c>
      <c r="L765" s="28">
        <f>DATEDIF(K765,Zwift25!G$1,"Y")</f>
        <v>61</v>
      </c>
      <c r="M765" s="67">
        <f>IF(J765="m",VLOOKUP(L765,'All Solo Adjustments'!A:D,4,FALSE),VLOOKUP(L765,'All Solo Adjustments'!A:J,10,FALSE))</f>
        <v>3.4722222222222225E-3</v>
      </c>
      <c r="N765" s="63"/>
      <c r="O765" s="63"/>
      <c r="P765" s="63"/>
      <c r="Q765" s="63"/>
      <c r="R765" t="s">
        <v>328</v>
      </c>
      <c r="S765" t="s">
        <v>327</v>
      </c>
      <c r="T765" t="s">
        <v>292</v>
      </c>
      <c r="U765" t="s">
        <v>8651</v>
      </c>
      <c r="V765" t="s">
        <v>8650</v>
      </c>
      <c r="Y765" t="s">
        <v>8649</v>
      </c>
      <c r="Z765" t="str">
        <f>"07802238694"</f>
        <v>07802238694</v>
      </c>
      <c r="AA765" t="str">
        <f>""</f>
        <v/>
      </c>
      <c r="AB765" t="s">
        <v>8648</v>
      </c>
      <c r="AC765" t="s">
        <v>8647</v>
      </c>
      <c r="AD765" t="s">
        <v>114</v>
      </c>
      <c r="AE765" s="63">
        <v>45263</v>
      </c>
      <c r="AF765" t="s">
        <v>156</v>
      </c>
      <c r="AG765" t="s">
        <v>112</v>
      </c>
      <c r="AH765" t="s">
        <v>112</v>
      </c>
      <c r="AI765" s="63">
        <v>45017</v>
      </c>
      <c r="AJ765" s="63">
        <v>45657</v>
      </c>
      <c r="AK765" t="s">
        <v>112</v>
      </c>
      <c r="AL765" t="s">
        <v>111</v>
      </c>
      <c r="AM765" t="s">
        <v>111</v>
      </c>
      <c r="AN765">
        <v>5748</v>
      </c>
      <c r="AO765" t="s">
        <v>110</v>
      </c>
      <c r="AP765" t="s">
        <v>109</v>
      </c>
    </row>
    <row r="766" spans="1:42" x14ac:dyDescent="0.25">
      <c r="A766" s="28" t="str">
        <f>"12239"</f>
        <v>12239</v>
      </c>
      <c r="B766">
        <v>12239</v>
      </c>
      <c r="C766" t="s">
        <v>2488</v>
      </c>
      <c r="D766" t="s">
        <v>132</v>
      </c>
      <c r="F766" t="s">
        <v>149</v>
      </c>
      <c r="G766" t="s">
        <v>8646</v>
      </c>
      <c r="H766" t="s">
        <v>1929</v>
      </c>
      <c r="I766" t="s">
        <v>8644</v>
      </c>
      <c r="J766" t="s">
        <v>126</v>
      </c>
      <c r="K766" s="63">
        <v>20014</v>
      </c>
      <c r="L766" s="28">
        <f>DATEDIF(K766,Zwift25!G$1,"Y")</f>
        <v>69</v>
      </c>
      <c r="M766" s="67">
        <f>IF(J766="m",VLOOKUP(L766,'All Solo Adjustments'!A:D,4,FALSE),VLOOKUP(L766,'All Solo Adjustments'!A:J,10,FALSE))</f>
        <v>1.1145833333333332E-2</v>
      </c>
      <c r="N766" s="63"/>
      <c r="O766" s="63"/>
      <c r="P766" s="63"/>
      <c r="Q766" s="63"/>
      <c r="R766" t="s">
        <v>125</v>
      </c>
      <c r="S766" t="s">
        <v>170</v>
      </c>
      <c r="T766" t="s">
        <v>292</v>
      </c>
      <c r="U766" t="s">
        <v>8643</v>
      </c>
      <c r="W766" t="s">
        <v>202</v>
      </c>
      <c r="X766" t="s">
        <v>201</v>
      </c>
      <c r="Y766" t="s">
        <v>8642</v>
      </c>
      <c r="Z766" t="str">
        <f>"01945583842"</f>
        <v>01945583842</v>
      </c>
      <c r="AA766" t="str">
        <f>""</f>
        <v/>
      </c>
      <c r="AB766" t="s">
        <v>335</v>
      </c>
      <c r="AC766" t="s">
        <v>8645</v>
      </c>
      <c r="AD766" t="s">
        <v>114</v>
      </c>
      <c r="AE766" s="63">
        <v>45267</v>
      </c>
      <c r="AF766" t="s">
        <v>113</v>
      </c>
      <c r="AG766" t="s">
        <v>112</v>
      </c>
      <c r="AH766" t="s">
        <v>112</v>
      </c>
      <c r="AI766" s="63">
        <v>40599</v>
      </c>
      <c r="AJ766" s="63">
        <v>45657</v>
      </c>
      <c r="AK766" t="s">
        <v>111</v>
      </c>
      <c r="AL766" t="s">
        <v>111</v>
      </c>
      <c r="AM766" t="s">
        <v>111</v>
      </c>
      <c r="AN766">
        <v>805</v>
      </c>
      <c r="AO766" t="s">
        <v>122</v>
      </c>
      <c r="AP766" t="s">
        <v>122</v>
      </c>
    </row>
    <row r="767" spans="1:42" x14ac:dyDescent="0.25">
      <c r="A767" s="28" t="str">
        <f>"0975"</f>
        <v>0975</v>
      </c>
      <c r="B767">
        <v>975</v>
      </c>
      <c r="C767" t="s">
        <v>2488</v>
      </c>
      <c r="D767" t="s">
        <v>121</v>
      </c>
      <c r="F767" t="s">
        <v>120</v>
      </c>
      <c r="G767" t="s">
        <v>613</v>
      </c>
      <c r="I767" t="s">
        <v>1937</v>
      </c>
      <c r="J767" t="s">
        <v>7</v>
      </c>
      <c r="K767" s="63">
        <v>11207</v>
      </c>
      <c r="L767" s="28">
        <f>DATEDIF(K767,Zwift25!G$1,"Y")</f>
        <v>94</v>
      </c>
      <c r="M767" s="67">
        <f>IF(J767="m",VLOOKUP(L767,'All Solo Adjustments'!A:D,4,FALSE),VLOOKUP(L767,'All Solo Adjustments'!A:J,10,FALSE))</f>
        <v>2.2685185185185187E-2</v>
      </c>
      <c r="N767" s="63"/>
      <c r="O767" s="63"/>
      <c r="P767" s="63"/>
      <c r="Q767" s="63"/>
      <c r="R767" t="s">
        <v>180</v>
      </c>
      <c r="S767" t="s">
        <v>2288</v>
      </c>
      <c r="T767" t="s">
        <v>292</v>
      </c>
      <c r="U767" t="s">
        <v>2025</v>
      </c>
      <c r="V767" t="s">
        <v>8641</v>
      </c>
      <c r="W767" t="s">
        <v>968</v>
      </c>
      <c r="Y767" t="s">
        <v>8640</v>
      </c>
      <c r="Z767" t="str">
        <f>"01773 717985"</f>
        <v>01773 717985</v>
      </c>
      <c r="AA767" t="str">
        <f>""</f>
        <v/>
      </c>
      <c r="AB767" t="s">
        <v>2023</v>
      </c>
      <c r="AC767" t="s">
        <v>8639</v>
      </c>
      <c r="AD767" t="s">
        <v>151</v>
      </c>
      <c r="AF767" t="s">
        <v>113</v>
      </c>
      <c r="AG767" t="s">
        <v>112</v>
      </c>
      <c r="AH767" t="s">
        <v>112</v>
      </c>
      <c r="AK767" t="s">
        <v>111</v>
      </c>
      <c r="AL767" t="s">
        <v>111</v>
      </c>
      <c r="AM767" t="s">
        <v>111</v>
      </c>
      <c r="AN767">
        <v>5201</v>
      </c>
      <c r="AO767" t="s">
        <v>110</v>
      </c>
      <c r="AP767" t="s">
        <v>109</v>
      </c>
    </row>
    <row r="768" spans="1:42" x14ac:dyDescent="0.25">
      <c r="A768" s="28" t="str">
        <f>"7532"</f>
        <v>7532</v>
      </c>
      <c r="B768">
        <v>7532</v>
      </c>
      <c r="C768" t="s">
        <v>2488</v>
      </c>
      <c r="D768" t="s">
        <v>121</v>
      </c>
      <c r="F768" t="s">
        <v>149</v>
      </c>
      <c r="G768" t="s">
        <v>2420</v>
      </c>
      <c r="I768" t="s">
        <v>1937</v>
      </c>
      <c r="J768" t="s">
        <v>126</v>
      </c>
      <c r="K768" s="63">
        <v>13730</v>
      </c>
      <c r="L768" s="28">
        <f>DATEDIF(K768,Zwift25!G$1,"Y")</f>
        <v>87</v>
      </c>
      <c r="M768" s="67">
        <f>IF(J768="m",VLOOKUP(L768,'All Solo Adjustments'!A:D,4,FALSE),VLOOKUP(L768,'All Solo Adjustments'!A:J,10,FALSE))</f>
        <v>2.2187500000000002E-2</v>
      </c>
      <c r="N768" s="63"/>
      <c r="O768" s="63"/>
      <c r="P768" s="63"/>
      <c r="Q768" s="63"/>
      <c r="R768" t="s">
        <v>180</v>
      </c>
      <c r="S768" t="s">
        <v>2288</v>
      </c>
      <c r="T768" t="s">
        <v>292</v>
      </c>
      <c r="U768" t="s">
        <v>2025</v>
      </c>
      <c r="V768" t="s">
        <v>8641</v>
      </c>
      <c r="W768" t="s">
        <v>968</v>
      </c>
      <c r="Y768" t="s">
        <v>8640</v>
      </c>
      <c r="Z768" t="str">
        <f>"01773 717985"</f>
        <v>01773 717985</v>
      </c>
      <c r="AA768" t="str">
        <f>""</f>
        <v/>
      </c>
      <c r="AB768" t="s">
        <v>2023</v>
      </c>
      <c r="AC768" t="s">
        <v>8639</v>
      </c>
      <c r="AD768" t="s">
        <v>151</v>
      </c>
      <c r="AF768" t="s">
        <v>113</v>
      </c>
      <c r="AG768" t="s">
        <v>111</v>
      </c>
      <c r="AH768" t="s">
        <v>111</v>
      </c>
      <c r="AK768" t="s">
        <v>111</v>
      </c>
      <c r="AL768" t="s">
        <v>111</v>
      </c>
      <c r="AM768" t="s">
        <v>111</v>
      </c>
      <c r="AN768" t="s">
        <v>105</v>
      </c>
      <c r="AO768" t="s">
        <v>122</v>
      </c>
      <c r="AP768" t="s">
        <v>122</v>
      </c>
    </row>
    <row r="769" spans="1:42" x14ac:dyDescent="0.25">
      <c r="A769" s="28" t="str">
        <f>"0976"</f>
        <v>0976</v>
      </c>
      <c r="B769">
        <v>976</v>
      </c>
      <c r="C769" t="s">
        <v>2488</v>
      </c>
      <c r="D769" t="s">
        <v>121</v>
      </c>
      <c r="F769" t="s">
        <v>120</v>
      </c>
      <c r="G769" t="s">
        <v>245</v>
      </c>
      <c r="I769" t="s">
        <v>1937</v>
      </c>
      <c r="J769" t="s">
        <v>7</v>
      </c>
      <c r="K769" s="63">
        <v>17808</v>
      </c>
      <c r="L769" s="28">
        <f>DATEDIF(K769,Zwift25!G$1,"Y")</f>
        <v>76</v>
      </c>
      <c r="M769" s="67">
        <f>IF(J769="m",VLOOKUP(L769,'All Solo Adjustments'!A:D,4,FALSE),VLOOKUP(L769,'All Solo Adjustments'!A:J,10,FALSE))</f>
        <v>8.912037037037036E-3</v>
      </c>
      <c r="N769" s="63"/>
      <c r="O769" s="63"/>
      <c r="P769" s="63"/>
      <c r="Q769" s="63"/>
      <c r="R769" t="s">
        <v>239</v>
      </c>
      <c r="S769" t="s">
        <v>170</v>
      </c>
      <c r="T769" t="s">
        <v>292</v>
      </c>
      <c r="U769" t="s">
        <v>8638</v>
      </c>
      <c r="V769" t="s">
        <v>8637</v>
      </c>
      <c r="W769" t="s">
        <v>236</v>
      </c>
      <c r="Y769" t="s">
        <v>8636</v>
      </c>
      <c r="Z769" t="str">
        <f>"00000000000"</f>
        <v>00000000000</v>
      </c>
      <c r="AA769" t="str">
        <f>"00000000000"</f>
        <v>00000000000</v>
      </c>
      <c r="AB769" t="s">
        <v>8635</v>
      </c>
      <c r="AD769" t="s">
        <v>151</v>
      </c>
      <c r="AF769" t="s">
        <v>113</v>
      </c>
      <c r="AG769" t="s">
        <v>112</v>
      </c>
      <c r="AH769" t="s">
        <v>112</v>
      </c>
      <c r="AI769" s="63">
        <v>32971</v>
      </c>
      <c r="AK769" t="s">
        <v>111</v>
      </c>
      <c r="AL769" t="s">
        <v>111</v>
      </c>
      <c r="AM769" t="s">
        <v>111</v>
      </c>
      <c r="AN769" t="s">
        <v>105</v>
      </c>
      <c r="AO769" t="s">
        <v>110</v>
      </c>
      <c r="AP769" t="s">
        <v>109</v>
      </c>
    </row>
    <row r="770" spans="1:42" x14ac:dyDescent="0.25">
      <c r="A770" s="28" t="str">
        <f>"4503"</f>
        <v>4503</v>
      </c>
      <c r="B770">
        <v>4503</v>
      </c>
      <c r="C770" t="s">
        <v>2488</v>
      </c>
      <c r="D770" t="s">
        <v>121</v>
      </c>
      <c r="E770" t="s">
        <v>584</v>
      </c>
      <c r="F770" t="s">
        <v>120</v>
      </c>
      <c r="G770" t="s">
        <v>952</v>
      </c>
      <c r="H770" t="s">
        <v>8634</v>
      </c>
      <c r="I770" t="s">
        <v>1935</v>
      </c>
      <c r="J770" t="s">
        <v>7</v>
      </c>
      <c r="K770" s="63">
        <v>26295</v>
      </c>
      <c r="L770" s="28">
        <f>DATEDIF(K770,Zwift25!G$1,"Y")</f>
        <v>52</v>
      </c>
      <c r="M770" s="67">
        <f>IF(J770="m",VLOOKUP(L770,'All Solo Adjustments'!A:D,4,FALSE),VLOOKUP(L770,'All Solo Adjustments'!A:J,10,FALSE))</f>
        <v>1.4814814814814816E-3</v>
      </c>
      <c r="N770" s="63"/>
      <c r="O770" s="63"/>
      <c r="P770" s="63"/>
      <c r="Q770" s="63"/>
      <c r="R770" t="s">
        <v>184</v>
      </c>
      <c r="S770" t="s">
        <v>183</v>
      </c>
      <c r="T770" t="s">
        <v>292</v>
      </c>
      <c r="U770" t="s">
        <v>8633</v>
      </c>
      <c r="V770" t="s">
        <v>1094</v>
      </c>
      <c r="W770" t="s">
        <v>1153</v>
      </c>
      <c r="Y770" t="s">
        <v>8632</v>
      </c>
      <c r="Z770" t="str">
        <f>"07973 506362"</f>
        <v>07973 506362</v>
      </c>
      <c r="AA770" t="str">
        <f>""</f>
        <v/>
      </c>
      <c r="AB770" t="s">
        <v>1617</v>
      </c>
      <c r="AC770" t="s">
        <v>8631</v>
      </c>
      <c r="AD770" t="s">
        <v>114</v>
      </c>
      <c r="AE770" s="63">
        <v>45263</v>
      </c>
      <c r="AF770" t="s">
        <v>156</v>
      </c>
      <c r="AG770" t="s">
        <v>112</v>
      </c>
      <c r="AH770" t="s">
        <v>112</v>
      </c>
      <c r="AI770" s="63">
        <v>41003</v>
      </c>
      <c r="AJ770" s="63">
        <v>45657</v>
      </c>
      <c r="AK770" t="s">
        <v>111</v>
      </c>
      <c r="AL770" t="s">
        <v>111</v>
      </c>
      <c r="AM770" t="s">
        <v>111</v>
      </c>
      <c r="AN770">
        <v>2733</v>
      </c>
      <c r="AO770" t="s">
        <v>110</v>
      </c>
      <c r="AP770" t="s">
        <v>109</v>
      </c>
    </row>
    <row r="771" spans="1:42" x14ac:dyDescent="0.25">
      <c r="A771" s="28" t="str">
        <f>"16040"</f>
        <v>16040</v>
      </c>
      <c r="B771">
        <v>16040</v>
      </c>
      <c r="C771" t="s">
        <v>2488</v>
      </c>
      <c r="D771" t="s">
        <v>121</v>
      </c>
      <c r="F771" t="s">
        <v>120</v>
      </c>
      <c r="G771" t="s">
        <v>251</v>
      </c>
      <c r="H771" t="s">
        <v>4</v>
      </c>
      <c r="I771" t="s">
        <v>1935</v>
      </c>
      <c r="J771" t="s">
        <v>7</v>
      </c>
      <c r="K771" s="63">
        <v>30734</v>
      </c>
      <c r="L771" s="28">
        <f>DATEDIF(K771,Zwift25!G$1,"Y")</f>
        <v>40</v>
      </c>
      <c r="M771" s="67">
        <f>IF(J771="m",VLOOKUP(L771,'All Solo Adjustments'!A:D,4,FALSE),VLOOKUP(L771,'All Solo Adjustments'!A:J,10,FALSE))</f>
        <v>0</v>
      </c>
      <c r="N771" s="63"/>
      <c r="O771" s="63"/>
      <c r="P771" s="63"/>
      <c r="Q771" s="63"/>
      <c r="R771" t="s">
        <v>125</v>
      </c>
      <c r="S771" t="s">
        <v>170</v>
      </c>
      <c r="T771" t="s">
        <v>292</v>
      </c>
      <c r="U771" t="s">
        <v>8630</v>
      </c>
      <c r="V771" t="s">
        <v>8629</v>
      </c>
      <c r="W771" t="s">
        <v>223</v>
      </c>
      <c r="X771" t="s">
        <v>419</v>
      </c>
      <c r="Y771" t="s">
        <v>8628</v>
      </c>
      <c r="Z771" t="str">
        <f>"07739838133"</f>
        <v>07739838133</v>
      </c>
      <c r="AA771" t="str">
        <f>""</f>
        <v/>
      </c>
      <c r="AB771" t="s">
        <v>216</v>
      </c>
      <c r="AC771" t="s">
        <v>8627</v>
      </c>
      <c r="AD771" t="s">
        <v>114</v>
      </c>
      <c r="AE771" s="63">
        <v>45347</v>
      </c>
      <c r="AF771" t="s">
        <v>156</v>
      </c>
      <c r="AG771" t="s">
        <v>112</v>
      </c>
      <c r="AH771" t="s">
        <v>112</v>
      </c>
      <c r="AI771" s="63">
        <v>45347</v>
      </c>
      <c r="AJ771" s="63">
        <v>45657</v>
      </c>
      <c r="AK771" t="s">
        <v>112</v>
      </c>
      <c r="AL771" t="s">
        <v>111</v>
      </c>
      <c r="AM771" t="s">
        <v>111</v>
      </c>
      <c r="AN771">
        <v>22255</v>
      </c>
      <c r="AO771" t="s">
        <v>110</v>
      </c>
      <c r="AP771" t="s">
        <v>109</v>
      </c>
    </row>
    <row r="772" spans="1:42" x14ac:dyDescent="0.25">
      <c r="A772" s="28" t="str">
        <f>"13974"</f>
        <v>13974</v>
      </c>
      <c r="B772">
        <v>13974</v>
      </c>
      <c r="C772" t="s">
        <v>2488</v>
      </c>
      <c r="D772" t="s">
        <v>121</v>
      </c>
      <c r="F772" t="s">
        <v>120</v>
      </c>
      <c r="G772" t="s">
        <v>165</v>
      </c>
      <c r="I772" t="s">
        <v>1934</v>
      </c>
      <c r="J772" t="s">
        <v>7</v>
      </c>
      <c r="K772" s="63">
        <v>27387</v>
      </c>
      <c r="L772" s="28">
        <f>DATEDIF(K772,Zwift25!G$1,"Y")</f>
        <v>49</v>
      </c>
      <c r="M772" s="67">
        <f>IF(J772="m",VLOOKUP(L772,'All Solo Adjustments'!A:D,4,FALSE),VLOOKUP(L772,'All Solo Adjustments'!A:J,10,FALSE))</f>
        <v>9.837962962962962E-4</v>
      </c>
      <c r="N772" s="63"/>
      <c r="O772" s="63"/>
      <c r="P772" s="63"/>
      <c r="Q772" s="63"/>
      <c r="R772" t="s">
        <v>283</v>
      </c>
      <c r="S772" t="s">
        <v>530</v>
      </c>
      <c r="T772" t="s">
        <v>292</v>
      </c>
      <c r="U772" t="s">
        <v>8626</v>
      </c>
      <c r="V772" t="s">
        <v>7029</v>
      </c>
      <c r="Y772" t="s">
        <v>8625</v>
      </c>
      <c r="Z772" t="str">
        <f>"07979 646191"</f>
        <v>07979 646191</v>
      </c>
      <c r="AA772" t="str">
        <f>""</f>
        <v/>
      </c>
      <c r="AB772" t="s">
        <v>2687</v>
      </c>
      <c r="AC772" t="s">
        <v>8624</v>
      </c>
      <c r="AD772" t="s">
        <v>114</v>
      </c>
      <c r="AE772" s="63">
        <v>45287</v>
      </c>
      <c r="AF772" t="s">
        <v>156</v>
      </c>
      <c r="AG772" t="s">
        <v>112</v>
      </c>
      <c r="AH772" t="s">
        <v>112</v>
      </c>
      <c r="AI772" s="63">
        <v>43471</v>
      </c>
      <c r="AJ772" s="63">
        <v>45657</v>
      </c>
      <c r="AK772" t="s">
        <v>112</v>
      </c>
      <c r="AL772" t="s">
        <v>111</v>
      </c>
      <c r="AM772" t="s">
        <v>111</v>
      </c>
      <c r="AN772">
        <v>19128</v>
      </c>
      <c r="AO772" t="s">
        <v>110</v>
      </c>
      <c r="AP772" t="s">
        <v>109</v>
      </c>
    </row>
    <row r="773" spans="1:42" x14ac:dyDescent="0.25">
      <c r="A773" s="28" t="str">
        <f>"0981"</f>
        <v>0981</v>
      </c>
      <c r="B773">
        <v>981</v>
      </c>
      <c r="C773" t="s">
        <v>2488</v>
      </c>
      <c r="D773" t="s">
        <v>121</v>
      </c>
      <c r="E773" t="s">
        <v>2500</v>
      </c>
      <c r="F773" t="s">
        <v>120</v>
      </c>
      <c r="G773" t="s">
        <v>718</v>
      </c>
      <c r="I773" t="s">
        <v>188</v>
      </c>
      <c r="J773" t="s">
        <v>7</v>
      </c>
      <c r="K773" s="63">
        <v>17011</v>
      </c>
      <c r="L773" s="28">
        <f>DATEDIF(K773,Zwift25!G$1,"Y")</f>
        <v>78</v>
      </c>
      <c r="M773" s="67">
        <f>IF(J773="m",VLOOKUP(L773,'All Solo Adjustments'!A:D,4,FALSE),VLOOKUP(L773,'All Solo Adjustments'!A:J,10,FALSE))</f>
        <v>9.9189814814814817E-3</v>
      </c>
      <c r="N773" s="63"/>
      <c r="O773" s="63"/>
      <c r="P773" s="63"/>
      <c r="Q773" s="63"/>
      <c r="R773" t="s">
        <v>118</v>
      </c>
      <c r="S773" t="s">
        <v>117</v>
      </c>
      <c r="T773" t="s">
        <v>292</v>
      </c>
      <c r="U773" t="s">
        <v>8623</v>
      </c>
      <c r="V773" t="s">
        <v>875</v>
      </c>
      <c r="W773" t="s">
        <v>8622</v>
      </c>
      <c r="X773" t="s">
        <v>985</v>
      </c>
      <c r="Y773" t="s">
        <v>8621</v>
      </c>
      <c r="Z773" t="str">
        <f>"07423171732"</f>
        <v>07423171732</v>
      </c>
      <c r="AA773" t="str">
        <f>""</f>
        <v/>
      </c>
      <c r="AB773" t="s">
        <v>1745</v>
      </c>
      <c r="AC773" t="s">
        <v>8620</v>
      </c>
      <c r="AD773" t="s">
        <v>114</v>
      </c>
      <c r="AE773" s="63">
        <v>45207</v>
      </c>
      <c r="AF773" t="s">
        <v>156</v>
      </c>
      <c r="AG773" t="s">
        <v>111</v>
      </c>
      <c r="AH773" t="s">
        <v>111</v>
      </c>
      <c r="AI773" s="63">
        <v>41137</v>
      </c>
      <c r="AJ773" s="63">
        <v>45657</v>
      </c>
      <c r="AK773" t="s">
        <v>111</v>
      </c>
      <c r="AL773" t="s">
        <v>111</v>
      </c>
      <c r="AM773" t="s">
        <v>111</v>
      </c>
      <c r="AN773">
        <v>3129</v>
      </c>
      <c r="AO773" t="s">
        <v>110</v>
      </c>
      <c r="AP773" t="s">
        <v>109</v>
      </c>
    </row>
    <row r="774" spans="1:42" x14ac:dyDescent="0.25">
      <c r="A774" s="28" t="str">
        <f>"6234"</f>
        <v>6234</v>
      </c>
      <c r="B774">
        <v>6234</v>
      </c>
      <c r="C774" t="s">
        <v>2488</v>
      </c>
      <c r="D774" t="s">
        <v>121</v>
      </c>
      <c r="F774" t="s">
        <v>149</v>
      </c>
      <c r="G774" t="s">
        <v>819</v>
      </c>
      <c r="I774" t="s">
        <v>188</v>
      </c>
      <c r="J774" t="s">
        <v>126</v>
      </c>
      <c r="K774" s="63">
        <v>25697</v>
      </c>
      <c r="L774" s="28">
        <f>DATEDIF(K774,Zwift25!G$1,"Y")</f>
        <v>54</v>
      </c>
      <c r="M774" s="67">
        <f>IF(J774="m",VLOOKUP(L774,'All Solo Adjustments'!A:D,4,FALSE),VLOOKUP(L774,'All Solo Adjustments'!A:J,10,FALSE))</f>
        <v>5.4861111111111109E-3</v>
      </c>
      <c r="N774" s="63"/>
      <c r="O774" s="63"/>
      <c r="P774" s="63"/>
      <c r="Q774" s="63"/>
      <c r="R774" t="s">
        <v>527</v>
      </c>
      <c r="S774" t="s">
        <v>526</v>
      </c>
      <c r="T774" t="s">
        <v>292</v>
      </c>
      <c r="U774" t="s">
        <v>8619</v>
      </c>
      <c r="V774" t="s">
        <v>8618</v>
      </c>
      <c r="W774" t="s">
        <v>1897</v>
      </c>
      <c r="Y774" t="s">
        <v>8617</v>
      </c>
      <c r="Z774" t="str">
        <f>"01833 690076"</f>
        <v>01833 690076</v>
      </c>
      <c r="AA774" t="str">
        <f>"07523666973"</f>
        <v>07523666973</v>
      </c>
      <c r="AB774" t="s">
        <v>4717</v>
      </c>
      <c r="AC774" t="s">
        <v>8616</v>
      </c>
      <c r="AD774" t="s">
        <v>114</v>
      </c>
      <c r="AE774" s="63">
        <v>45449</v>
      </c>
      <c r="AF774" t="s">
        <v>156</v>
      </c>
      <c r="AG774" t="s">
        <v>112</v>
      </c>
      <c r="AH774" t="s">
        <v>112</v>
      </c>
      <c r="AI774" s="63">
        <v>42874</v>
      </c>
      <c r="AJ774" s="63">
        <v>45657</v>
      </c>
      <c r="AK774" t="s">
        <v>111</v>
      </c>
      <c r="AL774" t="s">
        <v>111</v>
      </c>
      <c r="AM774" t="s">
        <v>111</v>
      </c>
      <c r="AN774">
        <v>6721</v>
      </c>
      <c r="AO774" t="s">
        <v>122</v>
      </c>
      <c r="AP774" t="s">
        <v>122</v>
      </c>
    </row>
    <row r="775" spans="1:42" x14ac:dyDescent="0.25">
      <c r="A775" s="28" t="str">
        <f>"0984"</f>
        <v>0984</v>
      </c>
      <c r="B775">
        <v>984</v>
      </c>
      <c r="C775" t="s">
        <v>2488</v>
      </c>
      <c r="D775" t="s">
        <v>121</v>
      </c>
      <c r="F775" t="s">
        <v>139</v>
      </c>
      <c r="G775" t="s">
        <v>478</v>
      </c>
      <c r="I775" t="s">
        <v>8615</v>
      </c>
      <c r="J775" t="s">
        <v>126</v>
      </c>
      <c r="K775" s="63">
        <v>15460</v>
      </c>
      <c r="L775" s="28">
        <f>DATEDIF(K775,Zwift25!G$1,"Y")</f>
        <v>82</v>
      </c>
      <c r="M775" s="67">
        <f>IF(J775="m",VLOOKUP(L775,'All Solo Adjustments'!A:D,4,FALSE),VLOOKUP(L775,'All Solo Adjustments'!A:J,10,FALSE))</f>
        <v>1.818287037037037E-2</v>
      </c>
      <c r="N775" s="63"/>
      <c r="O775" s="63"/>
      <c r="P775" s="63"/>
      <c r="Q775" s="63"/>
      <c r="R775" t="s">
        <v>125</v>
      </c>
      <c r="S775" t="s">
        <v>170</v>
      </c>
      <c r="T775" t="s">
        <v>292</v>
      </c>
      <c r="U775" t="s">
        <v>8614</v>
      </c>
      <c r="V775" t="s">
        <v>8613</v>
      </c>
      <c r="W775" t="s">
        <v>194</v>
      </c>
      <c r="X775" t="s">
        <v>193</v>
      </c>
      <c r="Y775" t="s">
        <v>8612</v>
      </c>
      <c r="Z775" t="str">
        <f>"01953 883631"</f>
        <v>01953 883631</v>
      </c>
      <c r="AA775" t="str">
        <f>""</f>
        <v/>
      </c>
      <c r="AB775" t="s">
        <v>482</v>
      </c>
      <c r="AC775" t="s">
        <v>8611</v>
      </c>
      <c r="AD775" t="s">
        <v>114</v>
      </c>
      <c r="AE775" s="63">
        <v>45294</v>
      </c>
      <c r="AF775" t="s">
        <v>113</v>
      </c>
      <c r="AG775" t="s">
        <v>112</v>
      </c>
      <c r="AH775" t="s">
        <v>112</v>
      </c>
      <c r="AI775" s="63">
        <v>37687</v>
      </c>
      <c r="AJ775" s="63">
        <v>45657</v>
      </c>
      <c r="AK775" t="s">
        <v>111</v>
      </c>
      <c r="AL775" t="s">
        <v>111</v>
      </c>
      <c r="AM775" t="s">
        <v>111</v>
      </c>
      <c r="AN775" t="s">
        <v>105</v>
      </c>
      <c r="AO775" t="s">
        <v>122</v>
      </c>
      <c r="AP775" t="s">
        <v>122</v>
      </c>
    </row>
    <row r="776" spans="1:42" x14ac:dyDescent="0.25">
      <c r="A776" s="28" t="str">
        <f>"15166"</f>
        <v>15166</v>
      </c>
      <c r="B776">
        <v>15166</v>
      </c>
      <c r="C776" t="s">
        <v>2488</v>
      </c>
      <c r="D776" t="s">
        <v>121</v>
      </c>
      <c r="F776" t="s">
        <v>120</v>
      </c>
      <c r="G776" t="s">
        <v>300</v>
      </c>
      <c r="H776" t="s">
        <v>185</v>
      </c>
      <c r="I776" t="s">
        <v>1308</v>
      </c>
      <c r="J776" t="s">
        <v>7</v>
      </c>
      <c r="K776" s="63">
        <v>19807</v>
      </c>
      <c r="L776" s="28">
        <f>DATEDIF(K776,Zwift25!G$1,"Y")</f>
        <v>70</v>
      </c>
      <c r="M776" s="67">
        <f>IF(J776="m",VLOOKUP(L776,'All Solo Adjustments'!A:D,4,FALSE),VLOOKUP(L776,'All Solo Adjustments'!A:J,10,FALSE))</f>
        <v>6.3425925925925924E-3</v>
      </c>
      <c r="N776" s="63"/>
      <c r="O776" s="63"/>
      <c r="P776" s="63"/>
      <c r="Q776" s="63"/>
      <c r="R776" t="s">
        <v>239</v>
      </c>
      <c r="S776" t="s">
        <v>274</v>
      </c>
      <c r="T776" t="s">
        <v>292</v>
      </c>
      <c r="U776" t="s">
        <v>8610</v>
      </c>
      <c r="V776" t="s">
        <v>4310</v>
      </c>
      <c r="W776" t="s">
        <v>127</v>
      </c>
      <c r="Y776" t="s">
        <v>8609</v>
      </c>
      <c r="Z776" t="str">
        <f>"07546851802"</f>
        <v>07546851802</v>
      </c>
      <c r="AA776" t="str">
        <f>""</f>
        <v/>
      </c>
      <c r="AB776" t="s">
        <v>3980</v>
      </c>
      <c r="AC776" t="s">
        <v>8608</v>
      </c>
      <c r="AD776" t="s">
        <v>114</v>
      </c>
      <c r="AE776" s="63">
        <v>45272</v>
      </c>
      <c r="AF776" t="s">
        <v>156</v>
      </c>
      <c r="AG776" t="s">
        <v>112</v>
      </c>
      <c r="AH776" t="s">
        <v>112</v>
      </c>
      <c r="AI776" s="63">
        <v>44385</v>
      </c>
      <c r="AJ776" s="63">
        <v>45657</v>
      </c>
      <c r="AK776" t="s">
        <v>112</v>
      </c>
      <c r="AL776" t="s">
        <v>111</v>
      </c>
      <c r="AM776" t="s">
        <v>111</v>
      </c>
      <c r="AN776">
        <v>40329</v>
      </c>
      <c r="AO776" t="s">
        <v>110</v>
      </c>
      <c r="AP776" t="s">
        <v>109</v>
      </c>
    </row>
    <row r="777" spans="1:42" x14ac:dyDescent="0.25">
      <c r="A777" s="28" t="str">
        <f>"14384"</f>
        <v>14384</v>
      </c>
      <c r="B777">
        <v>14384</v>
      </c>
      <c r="C777" t="s">
        <v>2488</v>
      </c>
      <c r="D777" t="s">
        <v>132</v>
      </c>
      <c r="F777" t="s">
        <v>149</v>
      </c>
      <c r="G777" t="s">
        <v>1739</v>
      </c>
      <c r="I777" t="s">
        <v>764</v>
      </c>
      <c r="J777" t="s">
        <v>126</v>
      </c>
      <c r="K777" s="63">
        <v>14783</v>
      </c>
      <c r="L777" s="28">
        <f>DATEDIF(K777,Zwift25!G$1,"Y")</f>
        <v>84</v>
      </c>
      <c r="M777" s="67">
        <f>IF(J777="m",VLOOKUP(L777,'All Solo Adjustments'!A:D,4,FALSE),VLOOKUP(L777,'All Solo Adjustments'!A:J,10,FALSE))</f>
        <v>1.966435185185185E-2</v>
      </c>
      <c r="N777" s="63"/>
      <c r="O777" s="63"/>
      <c r="P777" s="63"/>
      <c r="Q777" s="63"/>
      <c r="R777" t="s">
        <v>125</v>
      </c>
      <c r="S777" t="s">
        <v>124</v>
      </c>
      <c r="T777" t="s">
        <v>292</v>
      </c>
      <c r="U777" t="s">
        <v>8606</v>
      </c>
      <c r="V777" t="s">
        <v>8607</v>
      </c>
      <c r="W777" t="s">
        <v>8604</v>
      </c>
      <c r="X777" t="s">
        <v>763</v>
      </c>
      <c r="Y777">
        <v>3170</v>
      </c>
      <c r="Z777" t="str">
        <f>"0034 865757303"</f>
        <v>0034 865757303</v>
      </c>
      <c r="AA777" t="str">
        <f>""</f>
        <v/>
      </c>
      <c r="AB777" t="s">
        <v>505</v>
      </c>
      <c r="AC777" t="s">
        <v>762</v>
      </c>
      <c r="AD777" t="s">
        <v>145</v>
      </c>
      <c r="AE777" s="63">
        <v>45269</v>
      </c>
      <c r="AF777" t="s">
        <v>113</v>
      </c>
      <c r="AG777" t="s">
        <v>112</v>
      </c>
      <c r="AH777" t="s">
        <v>112</v>
      </c>
      <c r="AI777" s="63">
        <v>43762</v>
      </c>
      <c r="AJ777" s="63">
        <v>45657</v>
      </c>
      <c r="AK777" t="s">
        <v>112</v>
      </c>
      <c r="AL777" t="s">
        <v>112</v>
      </c>
      <c r="AM777" t="s">
        <v>112</v>
      </c>
      <c r="AN777" t="s">
        <v>105</v>
      </c>
      <c r="AO777" t="s">
        <v>122</v>
      </c>
      <c r="AP777" t="s">
        <v>122</v>
      </c>
    </row>
    <row r="778" spans="1:42" x14ac:dyDescent="0.25">
      <c r="A778" s="28" t="str">
        <f>"14385"</f>
        <v>14385</v>
      </c>
      <c r="B778">
        <v>14385</v>
      </c>
      <c r="C778" t="s">
        <v>2488</v>
      </c>
      <c r="D778" t="s">
        <v>130</v>
      </c>
      <c r="F778" t="s">
        <v>120</v>
      </c>
      <c r="G778" t="s">
        <v>389</v>
      </c>
      <c r="I778" t="s">
        <v>764</v>
      </c>
      <c r="J778" t="s">
        <v>7</v>
      </c>
      <c r="K778" s="63">
        <v>15359</v>
      </c>
      <c r="L778" s="28">
        <f>DATEDIF(K778,Zwift25!G$1,"Y")</f>
        <v>82</v>
      </c>
      <c r="M778" s="67">
        <f>IF(J778="m",VLOOKUP(L778,'All Solo Adjustments'!A:D,4,FALSE),VLOOKUP(L778,'All Solo Adjustments'!A:J,10,FALSE))</f>
        <v>1.2210648148148148E-2</v>
      </c>
      <c r="N778" s="63"/>
      <c r="O778" s="63"/>
      <c r="P778" s="63"/>
      <c r="Q778" s="63"/>
      <c r="R778" t="s">
        <v>125</v>
      </c>
      <c r="S778" t="s">
        <v>124</v>
      </c>
      <c r="T778" t="s">
        <v>292</v>
      </c>
      <c r="U778" t="s">
        <v>8606</v>
      </c>
      <c r="V778" t="s">
        <v>8605</v>
      </c>
      <c r="W778" t="s">
        <v>8604</v>
      </c>
      <c r="X778" t="s">
        <v>8603</v>
      </c>
      <c r="Y778">
        <v>3170</v>
      </c>
      <c r="Z778" t="str">
        <f>"0034 865757303"</f>
        <v>0034 865757303</v>
      </c>
      <c r="AA778" t="str">
        <f>""</f>
        <v/>
      </c>
      <c r="AB778" t="s">
        <v>505</v>
      </c>
      <c r="AC778" t="s">
        <v>762</v>
      </c>
      <c r="AD778" t="s">
        <v>145</v>
      </c>
      <c r="AE778" s="63">
        <v>45269</v>
      </c>
      <c r="AF778" t="s">
        <v>113</v>
      </c>
      <c r="AG778" t="s">
        <v>112</v>
      </c>
      <c r="AH778" t="s">
        <v>112</v>
      </c>
      <c r="AI778" s="63">
        <v>43762</v>
      </c>
      <c r="AJ778" s="63">
        <v>45657</v>
      </c>
      <c r="AK778" t="s">
        <v>112</v>
      </c>
      <c r="AL778" t="s">
        <v>112</v>
      </c>
      <c r="AM778" t="s">
        <v>112</v>
      </c>
      <c r="AN778" t="s">
        <v>105</v>
      </c>
      <c r="AO778" t="s">
        <v>110</v>
      </c>
      <c r="AP778" t="s">
        <v>109</v>
      </c>
    </row>
    <row r="779" spans="1:42" x14ac:dyDescent="0.25">
      <c r="A779" s="28" t="str">
        <f>"0990"</f>
        <v>0990</v>
      </c>
      <c r="B779">
        <v>990</v>
      </c>
      <c r="C779" t="s">
        <v>2488</v>
      </c>
      <c r="D779" t="s">
        <v>121</v>
      </c>
      <c r="F779" t="s">
        <v>120</v>
      </c>
      <c r="G779" t="s">
        <v>721</v>
      </c>
      <c r="I779" t="s">
        <v>1928</v>
      </c>
      <c r="J779" t="s">
        <v>7</v>
      </c>
      <c r="K779" s="63">
        <v>11769</v>
      </c>
      <c r="L779" s="28">
        <f>DATEDIF(K779,Zwift25!G$1,"Y")</f>
        <v>92</v>
      </c>
      <c r="M779" s="67">
        <f>IF(J779="m",VLOOKUP(L779,'All Solo Adjustments'!A:D,4,FALSE),VLOOKUP(L779,'All Solo Adjustments'!A:J,10,FALSE))</f>
        <v>2.0405092592592593E-2</v>
      </c>
      <c r="N779" s="63"/>
      <c r="O779" s="63"/>
      <c r="P779" s="63"/>
      <c r="Q779" s="63"/>
      <c r="R779" t="s">
        <v>213</v>
      </c>
      <c r="S779" t="s">
        <v>2309</v>
      </c>
      <c r="T779" t="s">
        <v>292</v>
      </c>
      <c r="U779" t="s">
        <v>8602</v>
      </c>
      <c r="V779" t="s">
        <v>7021</v>
      </c>
      <c r="W779" t="s">
        <v>2204</v>
      </c>
      <c r="X779" t="s">
        <v>196</v>
      </c>
      <c r="Y779" t="s">
        <v>8601</v>
      </c>
      <c r="Z779" t="str">
        <f>"01513 395881"</f>
        <v>01513 395881</v>
      </c>
      <c r="AA779" t="str">
        <f>""</f>
        <v/>
      </c>
      <c r="AB779" t="s">
        <v>2397</v>
      </c>
      <c r="AC779" t="s">
        <v>8600</v>
      </c>
      <c r="AD779" t="s">
        <v>151</v>
      </c>
      <c r="AF779" t="s">
        <v>113</v>
      </c>
      <c r="AG779" t="s">
        <v>112</v>
      </c>
      <c r="AH779" t="s">
        <v>112</v>
      </c>
      <c r="AI779" s="63">
        <v>28572</v>
      </c>
      <c r="AK779" t="s">
        <v>111</v>
      </c>
      <c r="AL779" t="s">
        <v>111</v>
      </c>
      <c r="AM779" t="s">
        <v>111</v>
      </c>
      <c r="AN779" t="s">
        <v>105</v>
      </c>
      <c r="AO779" t="s">
        <v>110</v>
      </c>
      <c r="AP779" t="s">
        <v>109</v>
      </c>
    </row>
    <row r="780" spans="1:42" x14ac:dyDescent="0.25">
      <c r="A780" s="28" t="str">
        <f>"4954"</f>
        <v>4954</v>
      </c>
      <c r="B780">
        <v>4954</v>
      </c>
      <c r="C780" t="s">
        <v>2488</v>
      </c>
      <c r="D780" t="s">
        <v>121</v>
      </c>
      <c r="F780" t="s">
        <v>120</v>
      </c>
      <c r="G780" t="s">
        <v>334</v>
      </c>
      <c r="I780" t="s">
        <v>1928</v>
      </c>
      <c r="J780" t="s">
        <v>7</v>
      </c>
      <c r="K780" s="63">
        <v>23990</v>
      </c>
      <c r="L780" s="28">
        <f>DATEDIF(K780,Zwift25!G$1,"Y")</f>
        <v>59</v>
      </c>
      <c r="M780" s="67">
        <f>IF(J780="m",VLOOKUP(L780,'All Solo Adjustments'!A:D,4,FALSE),VLOOKUP(L780,'All Solo Adjustments'!A:J,10,FALSE))</f>
        <v>2.9629629629629632E-3</v>
      </c>
      <c r="N780" s="63"/>
      <c r="O780" s="63"/>
      <c r="P780" s="63"/>
      <c r="Q780" s="63"/>
      <c r="R780" t="s">
        <v>239</v>
      </c>
      <c r="S780" t="s">
        <v>274</v>
      </c>
      <c r="T780" t="s">
        <v>292</v>
      </c>
      <c r="U780" t="s">
        <v>2426</v>
      </c>
      <c r="V780" t="s">
        <v>2425</v>
      </c>
      <c r="W780" t="s">
        <v>517</v>
      </c>
      <c r="X780" t="s">
        <v>236</v>
      </c>
      <c r="Y780" t="s">
        <v>2424</v>
      </c>
      <c r="Z780" t="str">
        <f>"	01924 824948"</f>
        <v xml:space="preserve">	01924 824948</v>
      </c>
      <c r="AA780" t="str">
        <f>""</f>
        <v/>
      </c>
      <c r="AB780" t="s">
        <v>2423</v>
      </c>
      <c r="AC780" t="s">
        <v>2422</v>
      </c>
      <c r="AD780" t="s">
        <v>114</v>
      </c>
      <c r="AE780" s="63">
        <v>45234</v>
      </c>
      <c r="AF780" t="s">
        <v>113</v>
      </c>
      <c r="AG780" t="s">
        <v>112</v>
      </c>
      <c r="AH780" t="s">
        <v>112</v>
      </c>
      <c r="AI780" s="63">
        <v>45234</v>
      </c>
      <c r="AJ780" s="63">
        <v>45657</v>
      </c>
      <c r="AK780" t="s">
        <v>112</v>
      </c>
      <c r="AL780" t="s">
        <v>111</v>
      </c>
      <c r="AM780" t="s">
        <v>111</v>
      </c>
      <c r="AN780" t="s">
        <v>105</v>
      </c>
      <c r="AO780" t="s">
        <v>110</v>
      </c>
      <c r="AP780" t="s">
        <v>109</v>
      </c>
    </row>
    <row r="781" spans="1:42" x14ac:dyDescent="0.25">
      <c r="A781" s="28" t="str">
        <f>"15709"</f>
        <v>15709</v>
      </c>
      <c r="B781">
        <v>15709</v>
      </c>
      <c r="C781" t="s">
        <v>2488</v>
      </c>
      <c r="D781" t="s">
        <v>121</v>
      </c>
      <c r="F781" t="s">
        <v>120</v>
      </c>
      <c r="G781" t="s">
        <v>251</v>
      </c>
      <c r="H781" t="s">
        <v>601</v>
      </c>
      <c r="I781" t="s">
        <v>1928</v>
      </c>
      <c r="J781" t="s">
        <v>7</v>
      </c>
      <c r="K781" s="63">
        <v>18653</v>
      </c>
      <c r="L781" s="28">
        <f>DATEDIF(K781,Zwift25!G$1,"Y")</f>
        <v>73</v>
      </c>
      <c r="M781" s="67">
        <f>IF(J781="m",VLOOKUP(L781,'All Solo Adjustments'!A:D,4,FALSE),VLOOKUP(L781,'All Solo Adjustments'!A:J,10,FALSE))</f>
        <v>7.5462962962962966E-3</v>
      </c>
      <c r="N781" s="63"/>
      <c r="O781" s="63"/>
      <c r="P781" s="63"/>
      <c r="Q781" s="63"/>
      <c r="R781" t="s">
        <v>184</v>
      </c>
      <c r="S781" t="s">
        <v>183</v>
      </c>
      <c r="T781" t="s">
        <v>292</v>
      </c>
      <c r="U781" t="s">
        <v>8599</v>
      </c>
      <c r="W781" t="s">
        <v>4884</v>
      </c>
      <c r="X781" t="s">
        <v>1228</v>
      </c>
      <c r="Y781" t="s">
        <v>8598</v>
      </c>
      <c r="Z781" t="str">
        <f>"07809575807"</f>
        <v>07809575807</v>
      </c>
      <c r="AA781" t="str">
        <f>"01993 832368"</f>
        <v>01993 832368</v>
      </c>
      <c r="AB781" t="s">
        <v>8597</v>
      </c>
      <c r="AC781" t="s">
        <v>8596</v>
      </c>
      <c r="AD781" t="s">
        <v>114</v>
      </c>
      <c r="AE781" s="63">
        <v>45267</v>
      </c>
      <c r="AF781" t="s">
        <v>156</v>
      </c>
      <c r="AG781" t="s">
        <v>112</v>
      </c>
      <c r="AH781" t="s">
        <v>112</v>
      </c>
      <c r="AI781" s="63">
        <v>44982</v>
      </c>
      <c r="AJ781" s="63">
        <v>45657</v>
      </c>
      <c r="AK781" t="s">
        <v>112</v>
      </c>
      <c r="AL781" t="s">
        <v>111</v>
      </c>
      <c r="AM781" t="s">
        <v>111</v>
      </c>
      <c r="AN781">
        <v>7469</v>
      </c>
      <c r="AO781" t="s">
        <v>110</v>
      </c>
      <c r="AP781" t="s">
        <v>109</v>
      </c>
    </row>
    <row r="782" spans="1:42" x14ac:dyDescent="0.25">
      <c r="A782" s="28" t="str">
        <f>"14206"</f>
        <v>14206</v>
      </c>
      <c r="B782">
        <v>14206</v>
      </c>
      <c r="C782" t="s">
        <v>2488</v>
      </c>
      <c r="D782" t="s">
        <v>121</v>
      </c>
      <c r="F782" t="s">
        <v>120</v>
      </c>
      <c r="G782" t="s">
        <v>230</v>
      </c>
      <c r="H782" t="s">
        <v>300</v>
      </c>
      <c r="I782" t="s">
        <v>8595</v>
      </c>
      <c r="J782" t="s">
        <v>7</v>
      </c>
      <c r="K782" s="63">
        <v>23178</v>
      </c>
      <c r="L782" s="28">
        <f>DATEDIF(K782,Zwift25!G$1,"Y")</f>
        <v>61</v>
      </c>
      <c r="M782" s="67">
        <f>IF(J782="m",VLOOKUP(L782,'All Solo Adjustments'!A:D,4,FALSE),VLOOKUP(L782,'All Solo Adjustments'!A:J,10,FALSE))</f>
        <v>3.4722222222222225E-3</v>
      </c>
      <c r="N782" s="63"/>
      <c r="O782" s="63"/>
      <c r="P782" s="63"/>
      <c r="Q782" s="63"/>
      <c r="R782" t="s">
        <v>198</v>
      </c>
      <c r="S782" t="s">
        <v>461</v>
      </c>
      <c r="T782" t="s">
        <v>292</v>
      </c>
      <c r="U782" t="s">
        <v>8594</v>
      </c>
      <c r="V782" t="s">
        <v>836</v>
      </c>
      <c r="W782" t="s">
        <v>1039</v>
      </c>
      <c r="Y782" t="s">
        <v>8593</v>
      </c>
      <c r="Z782" t="str">
        <f>"01617879085"</f>
        <v>01617879085</v>
      </c>
      <c r="AA782" t="str">
        <f>""</f>
        <v/>
      </c>
      <c r="AB782" t="s">
        <v>3602</v>
      </c>
      <c r="AC782" t="s">
        <v>8592</v>
      </c>
      <c r="AD782" t="s">
        <v>114</v>
      </c>
      <c r="AE782" s="63">
        <v>45292</v>
      </c>
      <c r="AF782" t="s">
        <v>156</v>
      </c>
      <c r="AG782" t="s">
        <v>112</v>
      </c>
      <c r="AH782" t="s">
        <v>112</v>
      </c>
      <c r="AI782" s="63">
        <v>43591</v>
      </c>
      <c r="AJ782" s="63">
        <v>45657</v>
      </c>
      <c r="AK782" t="s">
        <v>112</v>
      </c>
      <c r="AL782" t="s">
        <v>111</v>
      </c>
      <c r="AM782" t="s">
        <v>111</v>
      </c>
      <c r="AN782">
        <v>316</v>
      </c>
      <c r="AO782" t="s">
        <v>110</v>
      </c>
      <c r="AP782" t="s">
        <v>109</v>
      </c>
    </row>
    <row r="783" spans="1:42" x14ac:dyDescent="0.25">
      <c r="A783" s="28" t="str">
        <f>"14858"</f>
        <v>14858</v>
      </c>
      <c r="B783">
        <v>14858</v>
      </c>
      <c r="C783" t="s">
        <v>2488</v>
      </c>
      <c r="D783" t="s">
        <v>121</v>
      </c>
      <c r="F783" t="s">
        <v>120</v>
      </c>
      <c r="G783" t="s">
        <v>884</v>
      </c>
      <c r="H783" t="s">
        <v>284</v>
      </c>
      <c r="I783" t="s">
        <v>1925</v>
      </c>
      <c r="J783" t="s">
        <v>7</v>
      </c>
      <c r="K783" s="63">
        <v>29243</v>
      </c>
      <c r="L783" s="28">
        <f>DATEDIF(K783,Zwift25!G$1,"Y")</f>
        <v>44</v>
      </c>
      <c r="M783" s="67">
        <f>IF(J783="m",VLOOKUP(L783,'All Solo Adjustments'!A:D,4,FALSE),VLOOKUP(L783,'All Solo Adjustments'!A:J,10,FALSE))</f>
        <v>3.3564814814814818E-4</v>
      </c>
      <c r="N783" s="63"/>
      <c r="O783" s="63"/>
      <c r="P783" s="63"/>
      <c r="Q783" s="63"/>
      <c r="R783" t="s">
        <v>125</v>
      </c>
      <c r="S783" t="s">
        <v>170</v>
      </c>
      <c r="T783" t="s">
        <v>292</v>
      </c>
      <c r="U783" t="s">
        <v>8591</v>
      </c>
      <c r="V783" t="s">
        <v>964</v>
      </c>
      <c r="W783" t="s">
        <v>123</v>
      </c>
      <c r="Y783" t="s">
        <v>8590</v>
      </c>
      <c r="Z783" t="str">
        <f>""</f>
        <v/>
      </c>
      <c r="AA783" t="str">
        <f>"07979442249"</f>
        <v>07979442249</v>
      </c>
      <c r="AB783" t="s">
        <v>1782</v>
      </c>
      <c r="AC783" t="s">
        <v>8589</v>
      </c>
      <c r="AD783" t="s">
        <v>114</v>
      </c>
      <c r="AE783" s="63">
        <v>45262</v>
      </c>
      <c r="AF783" t="s">
        <v>156</v>
      </c>
      <c r="AG783" t="s">
        <v>112</v>
      </c>
      <c r="AH783" t="s">
        <v>112</v>
      </c>
      <c r="AI783" s="63">
        <v>44251</v>
      </c>
      <c r="AJ783" s="63">
        <v>45657</v>
      </c>
      <c r="AK783" t="s">
        <v>112</v>
      </c>
      <c r="AL783" t="s">
        <v>111</v>
      </c>
      <c r="AM783" t="s">
        <v>111</v>
      </c>
      <c r="AN783">
        <v>3099</v>
      </c>
      <c r="AO783" t="s">
        <v>110</v>
      </c>
      <c r="AP783" t="s">
        <v>109</v>
      </c>
    </row>
    <row r="784" spans="1:42" x14ac:dyDescent="0.25">
      <c r="A784" s="28" t="str">
        <f>"16091"</f>
        <v>16091</v>
      </c>
      <c r="B784">
        <v>16091</v>
      </c>
      <c r="C784" t="s">
        <v>2488</v>
      </c>
      <c r="D784" t="s">
        <v>121</v>
      </c>
      <c r="E784" t="s">
        <v>584</v>
      </c>
      <c r="F784" t="s">
        <v>120</v>
      </c>
      <c r="G784" t="s">
        <v>284</v>
      </c>
      <c r="I784" t="s">
        <v>1923</v>
      </c>
      <c r="J784" t="s">
        <v>7</v>
      </c>
      <c r="K784" s="63">
        <v>23005</v>
      </c>
      <c r="L784" s="28">
        <f>DATEDIF(K784,Zwift25!G$1,"Y")</f>
        <v>61</v>
      </c>
      <c r="M784" s="67">
        <f>IF(J784="m",VLOOKUP(L784,'All Solo Adjustments'!A:D,4,FALSE),VLOOKUP(L784,'All Solo Adjustments'!A:J,10,FALSE))</f>
        <v>3.4722222222222225E-3</v>
      </c>
      <c r="N784" s="63"/>
      <c r="O784" s="63"/>
      <c r="P784" s="63"/>
      <c r="Q784" s="63"/>
      <c r="R784" t="s">
        <v>137</v>
      </c>
      <c r="S784" t="s">
        <v>136</v>
      </c>
      <c r="T784" t="s">
        <v>292</v>
      </c>
      <c r="U784" t="s">
        <v>8588</v>
      </c>
      <c r="X784" t="s">
        <v>591</v>
      </c>
      <c r="Y784" t="s">
        <v>8587</v>
      </c>
      <c r="Z784" t="str">
        <f>"07504544666"</f>
        <v>07504544666</v>
      </c>
      <c r="AA784" t="str">
        <f>""</f>
        <v/>
      </c>
      <c r="AB784" t="s">
        <v>751</v>
      </c>
      <c r="AC784" t="s">
        <v>8586</v>
      </c>
      <c r="AD784" t="s">
        <v>114</v>
      </c>
      <c r="AE784" s="63">
        <v>45388</v>
      </c>
      <c r="AF784" t="s">
        <v>156</v>
      </c>
      <c r="AG784" t="s">
        <v>112</v>
      </c>
      <c r="AH784" t="s">
        <v>112</v>
      </c>
      <c r="AI784" s="63">
        <v>45388</v>
      </c>
      <c r="AJ784" s="63">
        <v>45657</v>
      </c>
      <c r="AK784" t="s">
        <v>112</v>
      </c>
      <c r="AL784" t="s">
        <v>111</v>
      </c>
      <c r="AM784" t="s">
        <v>111</v>
      </c>
      <c r="AN784">
        <v>50140</v>
      </c>
      <c r="AO784" t="s">
        <v>110</v>
      </c>
      <c r="AP784" t="s">
        <v>109</v>
      </c>
    </row>
    <row r="785" spans="1:42" x14ac:dyDescent="0.25">
      <c r="A785" s="28" t="str">
        <f>"4210"</f>
        <v>4210</v>
      </c>
      <c r="B785">
        <v>4210</v>
      </c>
      <c r="C785" t="s">
        <v>2488</v>
      </c>
      <c r="D785" t="s">
        <v>121</v>
      </c>
      <c r="F785" t="s">
        <v>120</v>
      </c>
      <c r="G785" t="s">
        <v>1267</v>
      </c>
      <c r="H785" t="s">
        <v>8585</v>
      </c>
      <c r="I785" t="s">
        <v>8584</v>
      </c>
      <c r="J785" t="s">
        <v>7</v>
      </c>
      <c r="K785" s="63">
        <v>16131</v>
      </c>
      <c r="L785" s="28">
        <f>DATEDIF(K785,Zwift25!G$1,"Y")</f>
        <v>80</v>
      </c>
      <c r="M785" s="67">
        <f>IF(J785="m",VLOOKUP(L785,'All Solo Adjustments'!A:D,4,FALSE),VLOOKUP(L785,'All Solo Adjustments'!A:J,10,FALSE))</f>
        <v>1.1018518518518518E-2</v>
      </c>
      <c r="N785" s="63"/>
      <c r="O785" s="63"/>
      <c r="P785" s="63"/>
      <c r="Q785" s="63"/>
      <c r="R785" t="s">
        <v>154</v>
      </c>
      <c r="S785" t="s">
        <v>153</v>
      </c>
      <c r="T785" t="s">
        <v>292</v>
      </c>
      <c r="U785" t="s">
        <v>8583</v>
      </c>
      <c r="V785" t="s">
        <v>1018</v>
      </c>
      <c r="X785" t="s">
        <v>1017</v>
      </c>
      <c r="Y785" t="s">
        <v>8582</v>
      </c>
      <c r="Z785" t="str">
        <f>"01637871953"</f>
        <v>01637871953</v>
      </c>
      <c r="AA785" t="str">
        <f>"07484347475"</f>
        <v>07484347475</v>
      </c>
      <c r="AB785" t="s">
        <v>290</v>
      </c>
      <c r="AC785" t="s">
        <v>8581</v>
      </c>
      <c r="AD785" t="s">
        <v>114</v>
      </c>
      <c r="AE785" s="63">
        <v>45315</v>
      </c>
      <c r="AF785" t="s">
        <v>156</v>
      </c>
      <c r="AG785" t="s">
        <v>112</v>
      </c>
      <c r="AH785" t="s">
        <v>112</v>
      </c>
      <c r="AI785" s="63">
        <v>40667</v>
      </c>
      <c r="AJ785" s="63">
        <v>45657</v>
      </c>
      <c r="AK785" t="s">
        <v>111</v>
      </c>
      <c r="AL785" t="s">
        <v>111</v>
      </c>
      <c r="AM785" t="s">
        <v>111</v>
      </c>
      <c r="AN785" t="s">
        <v>105</v>
      </c>
      <c r="AO785" t="s">
        <v>110</v>
      </c>
      <c r="AP785" t="s">
        <v>109</v>
      </c>
    </row>
    <row r="786" spans="1:42" x14ac:dyDescent="0.25">
      <c r="A786" s="28" t="str">
        <f>"6345"</f>
        <v>6345</v>
      </c>
      <c r="B786">
        <v>6345</v>
      </c>
      <c r="C786" t="s">
        <v>2488</v>
      </c>
      <c r="D786" t="s">
        <v>121</v>
      </c>
      <c r="F786" t="s">
        <v>120</v>
      </c>
      <c r="G786" t="s">
        <v>442</v>
      </c>
      <c r="I786" t="s">
        <v>8580</v>
      </c>
      <c r="J786" t="s">
        <v>7</v>
      </c>
      <c r="K786" s="63">
        <v>25845</v>
      </c>
      <c r="L786" s="28">
        <f>DATEDIF(K786,Zwift25!G$1,"Y")</f>
        <v>54</v>
      </c>
      <c r="M786" s="67">
        <f>IF(J786="m",VLOOKUP(L786,'All Solo Adjustments'!A:D,4,FALSE),VLOOKUP(L786,'All Solo Adjustments'!A:J,10,FALSE))</f>
        <v>1.8518518518518517E-3</v>
      </c>
      <c r="N786" s="63"/>
      <c r="O786" s="63"/>
      <c r="P786" s="63"/>
      <c r="Q786" s="63"/>
      <c r="R786" t="s">
        <v>137</v>
      </c>
      <c r="S786" t="s">
        <v>136</v>
      </c>
      <c r="T786" t="s">
        <v>292</v>
      </c>
      <c r="U786" t="s">
        <v>8579</v>
      </c>
      <c r="V786" t="s">
        <v>8578</v>
      </c>
      <c r="W786" t="s">
        <v>333</v>
      </c>
      <c r="X786" t="s">
        <v>208</v>
      </c>
      <c r="Y786" t="s">
        <v>8577</v>
      </c>
      <c r="Z786" t="str">
        <f>"07769 347843"</f>
        <v>07769 347843</v>
      </c>
      <c r="AA786" t="str">
        <f>""</f>
        <v/>
      </c>
      <c r="AB786" t="s">
        <v>996</v>
      </c>
      <c r="AC786" t="s">
        <v>8576</v>
      </c>
      <c r="AD786" t="s">
        <v>114</v>
      </c>
      <c r="AE786" s="63">
        <v>45358</v>
      </c>
      <c r="AF786" t="s">
        <v>156</v>
      </c>
      <c r="AG786" t="s">
        <v>112</v>
      </c>
      <c r="AH786" t="s">
        <v>112</v>
      </c>
      <c r="AI786" s="63">
        <v>42977</v>
      </c>
      <c r="AJ786" s="63">
        <v>45657</v>
      </c>
      <c r="AK786" t="s">
        <v>111</v>
      </c>
      <c r="AL786" t="s">
        <v>111</v>
      </c>
      <c r="AM786" t="s">
        <v>111</v>
      </c>
      <c r="AN786">
        <v>14634</v>
      </c>
      <c r="AO786" t="s">
        <v>110</v>
      </c>
      <c r="AP786" t="s">
        <v>109</v>
      </c>
    </row>
    <row r="787" spans="1:42" x14ac:dyDescent="0.25">
      <c r="A787" s="28" t="str">
        <f>"5236"</f>
        <v>5236</v>
      </c>
      <c r="B787">
        <v>5236</v>
      </c>
      <c r="C787" t="s">
        <v>2488</v>
      </c>
      <c r="D787" t="s">
        <v>121</v>
      </c>
      <c r="F787" t="s">
        <v>120</v>
      </c>
      <c r="G787" t="s">
        <v>1612</v>
      </c>
      <c r="I787" t="s">
        <v>8575</v>
      </c>
      <c r="J787" t="s">
        <v>7</v>
      </c>
      <c r="K787" s="63">
        <v>16918</v>
      </c>
      <c r="L787" s="28">
        <f>DATEDIF(K787,Zwift25!G$1,"Y")</f>
        <v>78</v>
      </c>
      <c r="M787" s="67">
        <f>IF(J787="m",VLOOKUP(L787,'All Solo Adjustments'!A:D,4,FALSE),VLOOKUP(L787,'All Solo Adjustments'!A:J,10,FALSE))</f>
        <v>9.9189814814814817E-3</v>
      </c>
      <c r="N787" s="63"/>
      <c r="O787" s="63"/>
      <c r="P787" s="63"/>
      <c r="Q787" s="63"/>
      <c r="R787" t="s">
        <v>283</v>
      </c>
      <c r="S787" t="s">
        <v>530</v>
      </c>
      <c r="T787" t="s">
        <v>292</v>
      </c>
      <c r="U787" t="s">
        <v>8574</v>
      </c>
      <c r="V787" t="s">
        <v>8573</v>
      </c>
      <c r="Y787" t="s">
        <v>8572</v>
      </c>
      <c r="Z787" t="str">
        <f>"01527 854752"</f>
        <v>01527 854752</v>
      </c>
      <c r="AA787" t="str">
        <f>"07901905164"</f>
        <v>07901905164</v>
      </c>
      <c r="AB787" t="s">
        <v>1321</v>
      </c>
      <c r="AC787" t="s">
        <v>8571</v>
      </c>
      <c r="AD787" t="s">
        <v>114</v>
      </c>
      <c r="AE787" s="63">
        <v>45292</v>
      </c>
      <c r="AF787" t="s">
        <v>156</v>
      </c>
      <c r="AG787" t="s">
        <v>112</v>
      </c>
      <c r="AH787" t="s">
        <v>112</v>
      </c>
      <c r="AI787" s="63">
        <v>42028</v>
      </c>
      <c r="AJ787" s="63">
        <v>45657</v>
      </c>
      <c r="AK787" t="s">
        <v>111</v>
      </c>
      <c r="AL787" t="s">
        <v>111</v>
      </c>
      <c r="AM787" t="s">
        <v>111</v>
      </c>
      <c r="AN787">
        <v>5699</v>
      </c>
      <c r="AO787" t="s">
        <v>110</v>
      </c>
      <c r="AP787" t="s">
        <v>109</v>
      </c>
    </row>
    <row r="788" spans="1:42" x14ac:dyDescent="0.25">
      <c r="A788" s="28" t="str">
        <f>"14681"</f>
        <v>14681</v>
      </c>
      <c r="B788">
        <v>14681</v>
      </c>
      <c r="C788" t="s">
        <v>2488</v>
      </c>
      <c r="D788" t="s">
        <v>121</v>
      </c>
      <c r="F788" t="s">
        <v>120</v>
      </c>
      <c r="G788" t="s">
        <v>1369</v>
      </c>
      <c r="I788" t="s">
        <v>1920</v>
      </c>
      <c r="J788" t="s">
        <v>7</v>
      </c>
      <c r="K788" s="63">
        <v>24640</v>
      </c>
      <c r="L788" s="28">
        <f>DATEDIF(K788,Zwift25!G$1,"Y")</f>
        <v>57</v>
      </c>
      <c r="M788" s="67">
        <f>IF(J788="m",VLOOKUP(L788,'All Solo Adjustments'!A:D,4,FALSE),VLOOKUP(L788,'All Solo Adjustments'!A:J,10,FALSE))</f>
        <v>2.488425925925926E-3</v>
      </c>
      <c r="N788" s="63"/>
      <c r="O788" s="63"/>
      <c r="P788" s="63"/>
      <c r="Q788" s="63"/>
      <c r="R788" t="s">
        <v>143</v>
      </c>
      <c r="S788" t="s">
        <v>142</v>
      </c>
      <c r="T788" t="s">
        <v>292</v>
      </c>
      <c r="U788" t="s">
        <v>8570</v>
      </c>
      <c r="V788" t="s">
        <v>8569</v>
      </c>
      <c r="W788" t="s">
        <v>167</v>
      </c>
      <c r="Y788" t="s">
        <v>8568</v>
      </c>
      <c r="Z788" t="str">
        <f>"07801342020"</f>
        <v>07801342020</v>
      </c>
      <c r="AA788" t="str">
        <f>""</f>
        <v/>
      </c>
      <c r="AB788" t="s">
        <v>166</v>
      </c>
      <c r="AC788" t="s">
        <v>8567</v>
      </c>
      <c r="AD788" t="s">
        <v>114</v>
      </c>
      <c r="AE788" s="63">
        <v>45301</v>
      </c>
      <c r="AF788" t="s">
        <v>156</v>
      </c>
      <c r="AG788" t="s">
        <v>112</v>
      </c>
      <c r="AH788" t="s">
        <v>112</v>
      </c>
      <c r="AI788" s="63">
        <v>44066</v>
      </c>
      <c r="AJ788" s="63">
        <v>45657</v>
      </c>
      <c r="AK788" t="s">
        <v>112</v>
      </c>
      <c r="AL788" t="s">
        <v>111</v>
      </c>
      <c r="AM788" t="s">
        <v>111</v>
      </c>
      <c r="AN788">
        <v>4434</v>
      </c>
      <c r="AO788" t="s">
        <v>110</v>
      </c>
      <c r="AP788" t="s">
        <v>109</v>
      </c>
    </row>
    <row r="789" spans="1:42" x14ac:dyDescent="0.25">
      <c r="A789" s="28" t="str">
        <f>"15815"</f>
        <v>15815</v>
      </c>
      <c r="B789">
        <v>15815</v>
      </c>
      <c r="C789" t="s">
        <v>2488</v>
      </c>
      <c r="D789" t="s">
        <v>121</v>
      </c>
      <c r="F789" t="s">
        <v>120</v>
      </c>
      <c r="G789" t="s">
        <v>359</v>
      </c>
      <c r="I789" t="s">
        <v>1920</v>
      </c>
      <c r="J789" t="s">
        <v>7</v>
      </c>
      <c r="K789" s="63">
        <v>28859</v>
      </c>
      <c r="L789" s="28">
        <f>DATEDIF(K789,Zwift25!G$1,"Y")</f>
        <v>45</v>
      </c>
      <c r="M789" s="67">
        <f>IF(J789="m",VLOOKUP(L789,'All Solo Adjustments'!A:D,4,FALSE),VLOOKUP(L789,'All Solo Adjustments'!A:J,10,FALSE))</f>
        <v>4.5138888888888892E-4</v>
      </c>
      <c r="N789" s="63"/>
      <c r="O789" s="63"/>
      <c r="P789" s="63"/>
      <c r="Q789" s="63"/>
      <c r="R789" t="s">
        <v>184</v>
      </c>
      <c r="S789" t="s">
        <v>183</v>
      </c>
      <c r="T789" t="s">
        <v>292</v>
      </c>
      <c r="U789" t="s">
        <v>8566</v>
      </c>
      <c r="V789" t="s">
        <v>8565</v>
      </c>
      <c r="X789" t="s">
        <v>1972</v>
      </c>
      <c r="Y789" t="s">
        <v>8564</v>
      </c>
      <c r="Z789" t="str">
        <f>"07710179522"</f>
        <v>07710179522</v>
      </c>
      <c r="AA789" t="str">
        <f>""</f>
        <v/>
      </c>
      <c r="AB789" t="s">
        <v>8563</v>
      </c>
      <c r="AC789" t="s">
        <v>8562</v>
      </c>
      <c r="AD789" t="s">
        <v>114</v>
      </c>
      <c r="AE789" s="63">
        <v>45293</v>
      </c>
      <c r="AF789" t="s">
        <v>156</v>
      </c>
      <c r="AG789" t="s">
        <v>112</v>
      </c>
      <c r="AH789" t="s">
        <v>112</v>
      </c>
      <c r="AI789" s="63">
        <v>45055</v>
      </c>
      <c r="AJ789" s="63">
        <v>45657</v>
      </c>
      <c r="AK789" t="s">
        <v>112</v>
      </c>
      <c r="AL789" t="s">
        <v>111</v>
      </c>
      <c r="AM789" t="s">
        <v>111</v>
      </c>
      <c r="AN789">
        <v>34887</v>
      </c>
      <c r="AO789" t="s">
        <v>110</v>
      </c>
      <c r="AP789" t="s">
        <v>109</v>
      </c>
    </row>
    <row r="790" spans="1:42" x14ac:dyDescent="0.25">
      <c r="A790" s="28" t="str">
        <f>"15862"</f>
        <v>15862</v>
      </c>
      <c r="B790">
        <v>15862</v>
      </c>
      <c r="C790" t="s">
        <v>2488</v>
      </c>
      <c r="D790" t="s">
        <v>121</v>
      </c>
      <c r="F790" t="s">
        <v>120</v>
      </c>
      <c r="G790" t="s">
        <v>150</v>
      </c>
      <c r="I790" t="s">
        <v>1920</v>
      </c>
      <c r="J790" t="s">
        <v>7</v>
      </c>
      <c r="K790" s="63">
        <v>20626</v>
      </c>
      <c r="L790" s="28">
        <f>DATEDIF(K790,Zwift25!G$1,"Y")</f>
        <v>68</v>
      </c>
      <c r="M790" s="67">
        <f>IF(J790="m",VLOOKUP(L790,'All Solo Adjustments'!A:D,4,FALSE),VLOOKUP(L790,'All Solo Adjustments'!A:J,10,FALSE))</f>
        <v>5.6134259259259262E-3</v>
      </c>
      <c r="N790" s="63"/>
      <c r="O790" s="63"/>
      <c r="P790" s="63"/>
      <c r="Q790" s="63"/>
      <c r="R790" t="s">
        <v>527</v>
      </c>
      <c r="S790" t="s">
        <v>526</v>
      </c>
      <c r="T790" t="s">
        <v>292</v>
      </c>
      <c r="U790" t="s">
        <v>8561</v>
      </c>
      <c r="W790" t="s">
        <v>1248</v>
      </c>
      <c r="X790" t="s">
        <v>1650</v>
      </c>
      <c r="Y790" t="s">
        <v>8560</v>
      </c>
      <c r="Z790" t="str">
        <f>"07960 481392"</f>
        <v>07960 481392</v>
      </c>
      <c r="AA790" t="str">
        <f>""</f>
        <v/>
      </c>
      <c r="AB790" t="s">
        <v>408</v>
      </c>
      <c r="AC790" t="s">
        <v>8559</v>
      </c>
      <c r="AD790" t="s">
        <v>114</v>
      </c>
      <c r="AE790" s="63">
        <v>45264</v>
      </c>
      <c r="AF790" t="s">
        <v>113</v>
      </c>
      <c r="AG790" t="s">
        <v>112</v>
      </c>
      <c r="AH790" t="s">
        <v>112</v>
      </c>
      <c r="AI790" s="63">
        <v>45099</v>
      </c>
      <c r="AJ790" s="63">
        <v>45657</v>
      </c>
      <c r="AK790" t="s">
        <v>112</v>
      </c>
      <c r="AL790" t="s">
        <v>111</v>
      </c>
      <c r="AM790" t="s">
        <v>111</v>
      </c>
      <c r="AN790">
        <v>15024</v>
      </c>
      <c r="AO790" t="s">
        <v>110</v>
      </c>
      <c r="AP790" t="s">
        <v>109</v>
      </c>
    </row>
    <row r="791" spans="1:42" x14ac:dyDescent="0.25">
      <c r="A791" s="28" t="str">
        <f>"15933"</f>
        <v>15933</v>
      </c>
      <c r="B791">
        <v>15933</v>
      </c>
      <c r="C791" t="s">
        <v>2488</v>
      </c>
      <c r="D791" t="s">
        <v>121</v>
      </c>
      <c r="F791" t="s">
        <v>144</v>
      </c>
      <c r="G791" t="s">
        <v>519</v>
      </c>
      <c r="H791" t="s">
        <v>8558</v>
      </c>
      <c r="I791" t="s">
        <v>1920</v>
      </c>
      <c r="J791" t="s">
        <v>126</v>
      </c>
      <c r="K791" s="63">
        <v>22618</v>
      </c>
      <c r="L791" s="28">
        <f>DATEDIF(K791,Zwift25!G$1,"Y")</f>
        <v>62</v>
      </c>
      <c r="M791" s="67">
        <f>IF(J791="m",VLOOKUP(L791,'All Solo Adjustments'!A:D,4,FALSE),VLOOKUP(L791,'All Solo Adjustments'!A:J,10,FALSE))</f>
        <v>7.6041666666666662E-3</v>
      </c>
      <c r="N791" s="63"/>
      <c r="O791" s="63"/>
      <c r="P791" s="63"/>
      <c r="Q791" s="63"/>
      <c r="R791" t="s">
        <v>137</v>
      </c>
      <c r="S791" t="s">
        <v>136</v>
      </c>
      <c r="T791" t="s">
        <v>292</v>
      </c>
      <c r="U791" t="s">
        <v>8557</v>
      </c>
      <c r="V791" t="s">
        <v>8556</v>
      </c>
      <c r="W791" t="s">
        <v>8555</v>
      </c>
      <c r="X791" t="s">
        <v>1027</v>
      </c>
      <c r="Y791" t="s">
        <v>8554</v>
      </c>
      <c r="Z791" t="str">
        <f>"07797784683"</f>
        <v>07797784683</v>
      </c>
      <c r="AA791" t="str">
        <f>""</f>
        <v/>
      </c>
      <c r="AB791" t="s">
        <v>8553</v>
      </c>
      <c r="AC791" t="s">
        <v>8552</v>
      </c>
      <c r="AD791" t="s">
        <v>145</v>
      </c>
      <c r="AE791" s="63">
        <v>45234</v>
      </c>
      <c r="AF791" t="s">
        <v>156</v>
      </c>
      <c r="AG791" t="s">
        <v>112</v>
      </c>
      <c r="AH791" t="s">
        <v>112</v>
      </c>
      <c r="AI791" s="63">
        <v>45205</v>
      </c>
      <c r="AJ791" s="63">
        <v>45657</v>
      </c>
      <c r="AK791" t="s">
        <v>112</v>
      </c>
      <c r="AL791" t="s">
        <v>111</v>
      </c>
      <c r="AM791" t="s">
        <v>111</v>
      </c>
      <c r="AN791">
        <v>16541</v>
      </c>
      <c r="AO791" t="s">
        <v>122</v>
      </c>
      <c r="AP791" t="s">
        <v>122</v>
      </c>
    </row>
    <row r="792" spans="1:42" x14ac:dyDescent="0.25">
      <c r="A792" s="28" t="str">
        <f>"6236"</f>
        <v>6236</v>
      </c>
      <c r="B792">
        <v>6236</v>
      </c>
      <c r="C792" t="s">
        <v>2488</v>
      </c>
      <c r="D792" t="s">
        <v>121</v>
      </c>
      <c r="F792" t="s">
        <v>120</v>
      </c>
      <c r="G792" t="s">
        <v>8551</v>
      </c>
      <c r="H792" t="s">
        <v>1615</v>
      </c>
      <c r="I792" t="s">
        <v>8550</v>
      </c>
      <c r="J792" t="s">
        <v>7</v>
      </c>
      <c r="K792" s="63">
        <v>19748</v>
      </c>
      <c r="L792" s="28">
        <f>DATEDIF(K792,Zwift25!G$1,"Y")</f>
        <v>70</v>
      </c>
      <c r="M792" s="67">
        <f>IF(J792="m",VLOOKUP(L792,'All Solo Adjustments'!A:D,4,FALSE),VLOOKUP(L792,'All Solo Adjustments'!A:J,10,FALSE))</f>
        <v>6.3425925925925924E-3</v>
      </c>
      <c r="N792" s="63"/>
      <c r="O792" s="63"/>
      <c r="P792" s="63"/>
      <c r="Q792" s="63"/>
      <c r="R792" t="s">
        <v>296</v>
      </c>
      <c r="S792" t="s">
        <v>295</v>
      </c>
      <c r="T792" t="s">
        <v>292</v>
      </c>
      <c r="U792" t="s">
        <v>8549</v>
      </c>
      <c r="V792" t="s">
        <v>8548</v>
      </c>
      <c r="W792" t="s">
        <v>8547</v>
      </c>
      <c r="X792" t="s">
        <v>8546</v>
      </c>
      <c r="Y792" t="s">
        <v>8545</v>
      </c>
      <c r="Z792" t="str">
        <f>"07544249772"</f>
        <v>07544249772</v>
      </c>
      <c r="AA792" t="str">
        <f>"07544249772"</f>
        <v>07544249772</v>
      </c>
      <c r="AB792" t="s">
        <v>308</v>
      </c>
      <c r="AC792" t="s">
        <v>8544</v>
      </c>
      <c r="AD792" t="s">
        <v>114</v>
      </c>
      <c r="AE792" s="63">
        <v>45287</v>
      </c>
      <c r="AF792" t="s">
        <v>156</v>
      </c>
      <c r="AG792" t="s">
        <v>112</v>
      </c>
      <c r="AH792" t="s">
        <v>112</v>
      </c>
      <c r="AI792" s="63">
        <v>42854</v>
      </c>
      <c r="AJ792" s="63">
        <v>45657</v>
      </c>
      <c r="AK792" t="s">
        <v>111</v>
      </c>
      <c r="AL792" t="s">
        <v>111</v>
      </c>
      <c r="AM792" t="s">
        <v>111</v>
      </c>
      <c r="AN792">
        <v>781</v>
      </c>
      <c r="AO792" t="s">
        <v>110</v>
      </c>
      <c r="AP792" t="s">
        <v>109</v>
      </c>
    </row>
    <row r="793" spans="1:42" x14ac:dyDescent="0.25">
      <c r="A793" s="28" t="str">
        <f>"1011"</f>
        <v>1011</v>
      </c>
      <c r="B793">
        <v>1011</v>
      </c>
      <c r="C793" t="s">
        <v>2488</v>
      </c>
      <c r="D793" t="s">
        <v>121</v>
      </c>
      <c r="F793" t="s">
        <v>120</v>
      </c>
      <c r="G793" t="s">
        <v>481</v>
      </c>
      <c r="H793" t="s">
        <v>8543</v>
      </c>
      <c r="I793" t="s">
        <v>1919</v>
      </c>
      <c r="J793" t="s">
        <v>7</v>
      </c>
      <c r="K793" s="63">
        <v>17946</v>
      </c>
      <c r="L793" s="28">
        <f>DATEDIF(K793,Zwift25!G$1,"Y")</f>
        <v>75</v>
      </c>
      <c r="M793" s="67">
        <f>IF(J793="m",VLOOKUP(L793,'All Solo Adjustments'!A:D,4,FALSE),VLOOKUP(L793,'All Solo Adjustments'!A:J,10,FALSE))</f>
        <v>8.4374999999999988E-3</v>
      </c>
      <c r="N793" s="63"/>
      <c r="O793" s="63"/>
      <c r="P793" s="63"/>
      <c r="Q793" s="63"/>
      <c r="R793" t="s">
        <v>118</v>
      </c>
      <c r="S793" t="s">
        <v>117</v>
      </c>
      <c r="T793" t="s">
        <v>292</v>
      </c>
      <c r="U793" t="s">
        <v>8542</v>
      </c>
      <c r="V793" t="s">
        <v>3373</v>
      </c>
      <c r="W793" t="s">
        <v>875</v>
      </c>
      <c r="Y793" t="s">
        <v>8541</v>
      </c>
      <c r="Z793" t="str">
        <f>"0114 2351519"</f>
        <v>0114 2351519</v>
      </c>
      <c r="AA793" t="str">
        <f>""</f>
        <v/>
      </c>
      <c r="AB793" t="s">
        <v>1086</v>
      </c>
      <c r="AC793" t="s">
        <v>8540</v>
      </c>
      <c r="AD793" t="s">
        <v>114</v>
      </c>
      <c r="AE793" s="63">
        <v>45284</v>
      </c>
      <c r="AF793" t="s">
        <v>113</v>
      </c>
      <c r="AG793" t="s">
        <v>112</v>
      </c>
      <c r="AH793" t="s">
        <v>112</v>
      </c>
      <c r="AI793" s="63">
        <v>36192</v>
      </c>
      <c r="AJ793" s="63">
        <v>45657</v>
      </c>
      <c r="AK793" t="s">
        <v>111</v>
      </c>
      <c r="AL793" t="s">
        <v>111</v>
      </c>
      <c r="AM793" t="s">
        <v>111</v>
      </c>
      <c r="AN793" t="s">
        <v>105</v>
      </c>
      <c r="AO793" t="s">
        <v>110</v>
      </c>
      <c r="AP793" t="s">
        <v>109</v>
      </c>
    </row>
    <row r="794" spans="1:42" x14ac:dyDescent="0.25">
      <c r="A794" s="28" t="str">
        <f>"13470"</f>
        <v>13470</v>
      </c>
      <c r="B794">
        <v>13470</v>
      </c>
      <c r="C794" t="s">
        <v>2488</v>
      </c>
      <c r="D794" t="s">
        <v>121</v>
      </c>
      <c r="F794" t="s">
        <v>149</v>
      </c>
      <c r="G794" t="s">
        <v>681</v>
      </c>
      <c r="H794" t="s">
        <v>424</v>
      </c>
      <c r="I794" t="s">
        <v>1919</v>
      </c>
      <c r="J794" t="s">
        <v>126</v>
      </c>
      <c r="K794" s="63">
        <v>27102</v>
      </c>
      <c r="L794" s="28">
        <f>DATEDIF(K794,Zwift25!G$1,"Y")</f>
        <v>50</v>
      </c>
      <c r="M794" s="67">
        <f>IF(J794="m",VLOOKUP(L794,'All Solo Adjustments'!A:D,4,FALSE),VLOOKUP(L794,'All Solo Adjustments'!A:J,10,FALSE))</f>
        <v>4.9768518518518521E-3</v>
      </c>
      <c r="N794" s="63"/>
      <c r="O794" s="63"/>
      <c r="P794" s="63"/>
      <c r="Q794" s="63"/>
      <c r="R794" t="s">
        <v>198</v>
      </c>
      <c r="S794" t="s">
        <v>461</v>
      </c>
      <c r="T794" t="s">
        <v>292</v>
      </c>
      <c r="U794" t="s">
        <v>8539</v>
      </c>
      <c r="V794" t="s">
        <v>2314</v>
      </c>
      <c r="W794" t="s">
        <v>8538</v>
      </c>
      <c r="Y794" t="s">
        <v>8537</v>
      </c>
      <c r="Z794" t="str">
        <f>"01782 512974"</f>
        <v>01782 512974</v>
      </c>
      <c r="AA794" t="str">
        <f>"07970973931"</f>
        <v>07970973931</v>
      </c>
      <c r="AB794" t="s">
        <v>3337</v>
      </c>
      <c r="AC794" t="s">
        <v>8536</v>
      </c>
      <c r="AD794" t="s">
        <v>114</v>
      </c>
      <c r="AE794" s="63">
        <v>45454</v>
      </c>
      <c r="AF794" t="s">
        <v>113</v>
      </c>
      <c r="AG794" t="s">
        <v>112</v>
      </c>
      <c r="AH794" t="s">
        <v>112</v>
      </c>
      <c r="AI794" s="63">
        <v>42783</v>
      </c>
      <c r="AJ794" s="63">
        <v>45657</v>
      </c>
      <c r="AK794" t="s">
        <v>111</v>
      </c>
      <c r="AL794" t="s">
        <v>111</v>
      </c>
      <c r="AM794" t="s">
        <v>111</v>
      </c>
      <c r="AN794">
        <v>7121</v>
      </c>
      <c r="AO794" t="s">
        <v>122</v>
      </c>
      <c r="AP794" t="s">
        <v>122</v>
      </c>
    </row>
    <row r="795" spans="1:42" x14ac:dyDescent="0.25">
      <c r="A795" s="28" t="str">
        <f>"14004"</f>
        <v>14004</v>
      </c>
      <c r="B795">
        <v>14004</v>
      </c>
      <c r="C795" t="s">
        <v>2488</v>
      </c>
      <c r="D795" t="s">
        <v>121</v>
      </c>
      <c r="F795" t="s">
        <v>120</v>
      </c>
      <c r="G795" t="s">
        <v>164</v>
      </c>
      <c r="I795" t="s">
        <v>1919</v>
      </c>
      <c r="J795" t="s">
        <v>7</v>
      </c>
      <c r="K795" s="63">
        <v>28343</v>
      </c>
      <c r="L795" s="28">
        <f>DATEDIF(K795,Zwift25!G$1,"Y")</f>
        <v>47</v>
      </c>
      <c r="M795" s="67">
        <f>IF(J795="m",VLOOKUP(L795,'All Solo Adjustments'!A:D,4,FALSE),VLOOKUP(L795,'All Solo Adjustments'!A:J,10,FALSE))</f>
        <v>6.9444444444444436E-4</v>
      </c>
      <c r="N795" s="63"/>
      <c r="O795" s="63"/>
      <c r="P795" s="63"/>
      <c r="Q795" s="63"/>
      <c r="R795" t="s">
        <v>125</v>
      </c>
      <c r="S795" t="s">
        <v>170</v>
      </c>
      <c r="T795" t="s">
        <v>292</v>
      </c>
      <c r="U795" t="s">
        <v>8535</v>
      </c>
      <c r="V795" t="s">
        <v>8534</v>
      </c>
      <c r="W795" t="s">
        <v>8533</v>
      </c>
      <c r="X795" t="s">
        <v>929</v>
      </c>
      <c r="Y795" t="s">
        <v>8532</v>
      </c>
      <c r="Z795" t="str">
        <f>"07764585113"</f>
        <v>07764585113</v>
      </c>
      <c r="AA795" t="str">
        <f>""</f>
        <v/>
      </c>
      <c r="AB795" t="s">
        <v>1359</v>
      </c>
      <c r="AC795" t="s">
        <v>8531</v>
      </c>
      <c r="AD795" t="s">
        <v>114</v>
      </c>
      <c r="AE795" s="63">
        <v>45278</v>
      </c>
      <c r="AF795" t="s">
        <v>113</v>
      </c>
      <c r="AG795" t="s">
        <v>112</v>
      </c>
      <c r="AH795" t="s">
        <v>112</v>
      </c>
      <c r="AI795" s="63">
        <v>43487</v>
      </c>
      <c r="AJ795" s="63">
        <v>45657</v>
      </c>
      <c r="AK795" t="s">
        <v>112</v>
      </c>
      <c r="AL795" t="s">
        <v>111</v>
      </c>
      <c r="AM795" t="s">
        <v>111</v>
      </c>
      <c r="AN795">
        <v>4062</v>
      </c>
      <c r="AO795" t="s">
        <v>110</v>
      </c>
      <c r="AP795" t="s">
        <v>109</v>
      </c>
    </row>
    <row r="796" spans="1:42" x14ac:dyDescent="0.25">
      <c r="A796" s="28" t="str">
        <f>"14082"</f>
        <v>14082</v>
      </c>
      <c r="B796">
        <v>14082</v>
      </c>
      <c r="C796" t="s">
        <v>2488</v>
      </c>
      <c r="D796" t="s">
        <v>121</v>
      </c>
      <c r="F796" t="s">
        <v>120</v>
      </c>
      <c r="G796" t="s">
        <v>594</v>
      </c>
      <c r="H796" t="s">
        <v>241</v>
      </c>
      <c r="I796" t="s">
        <v>1919</v>
      </c>
      <c r="J796" t="s">
        <v>7</v>
      </c>
      <c r="K796" s="63">
        <v>23767</v>
      </c>
      <c r="L796" s="28">
        <f>DATEDIF(K796,Zwift25!G$1,"Y")</f>
        <v>59</v>
      </c>
      <c r="M796" s="67">
        <f>IF(J796="m",VLOOKUP(L796,'All Solo Adjustments'!A:D,4,FALSE),VLOOKUP(L796,'All Solo Adjustments'!A:J,10,FALSE))</f>
        <v>2.9629629629629632E-3</v>
      </c>
      <c r="N796" s="63"/>
      <c r="O796" s="63"/>
      <c r="P796" s="63"/>
      <c r="Q796" s="63"/>
      <c r="R796" t="s">
        <v>125</v>
      </c>
      <c r="S796" t="s">
        <v>170</v>
      </c>
      <c r="T796" t="s">
        <v>292</v>
      </c>
      <c r="U796" t="s">
        <v>8530</v>
      </c>
      <c r="V796" t="s">
        <v>8529</v>
      </c>
      <c r="W796" t="s">
        <v>8528</v>
      </c>
      <c r="X796" t="s">
        <v>1356</v>
      </c>
      <c r="Y796" t="s">
        <v>8527</v>
      </c>
      <c r="Z796" t="str">
        <f>"07875546397"</f>
        <v>07875546397</v>
      </c>
      <c r="AA796" t="str">
        <f>""</f>
        <v/>
      </c>
      <c r="AB796" t="s">
        <v>716</v>
      </c>
      <c r="AC796" t="s">
        <v>8526</v>
      </c>
      <c r="AD796" t="s">
        <v>114</v>
      </c>
      <c r="AE796" s="63">
        <v>45384</v>
      </c>
      <c r="AF796" t="s">
        <v>156</v>
      </c>
      <c r="AG796" t="s">
        <v>112</v>
      </c>
      <c r="AH796" t="s">
        <v>112</v>
      </c>
      <c r="AI796" s="63">
        <v>43523</v>
      </c>
      <c r="AJ796" s="63">
        <v>45657</v>
      </c>
      <c r="AK796" t="s">
        <v>112</v>
      </c>
      <c r="AL796" t="s">
        <v>111</v>
      </c>
      <c r="AM796" t="s">
        <v>111</v>
      </c>
      <c r="AN796">
        <v>19852</v>
      </c>
      <c r="AO796" t="s">
        <v>110</v>
      </c>
      <c r="AP796" t="s">
        <v>109</v>
      </c>
    </row>
    <row r="797" spans="1:42" x14ac:dyDescent="0.25">
      <c r="A797" s="28" t="str">
        <f>"14756"</f>
        <v>14756</v>
      </c>
      <c r="B797">
        <v>14756</v>
      </c>
      <c r="C797" t="s">
        <v>2488</v>
      </c>
      <c r="D797" t="s">
        <v>121</v>
      </c>
      <c r="E797" t="s">
        <v>584</v>
      </c>
      <c r="F797" t="s">
        <v>139</v>
      </c>
      <c r="G797" t="s">
        <v>224</v>
      </c>
      <c r="I797" t="s">
        <v>1919</v>
      </c>
      <c r="J797" t="s">
        <v>126</v>
      </c>
      <c r="K797" s="63">
        <v>26935</v>
      </c>
      <c r="L797" s="28">
        <f>DATEDIF(K797,Zwift25!G$1,"Y")</f>
        <v>51</v>
      </c>
      <c r="M797" s="67">
        <f>IF(J797="m",VLOOKUP(L797,'All Solo Adjustments'!A:D,4,FALSE),VLOOKUP(L797,'All Solo Adjustments'!A:J,10,FALSE))</f>
        <v>5.0810185185185186E-3</v>
      </c>
      <c r="N797" s="63"/>
      <c r="O797" s="63"/>
      <c r="P797" s="63"/>
      <c r="Q797" s="63"/>
      <c r="R797" t="s">
        <v>118</v>
      </c>
      <c r="S797" t="s">
        <v>117</v>
      </c>
      <c r="T797" t="s">
        <v>292</v>
      </c>
      <c r="U797" t="s">
        <v>8525</v>
      </c>
      <c r="V797" t="s">
        <v>547</v>
      </c>
      <c r="Y797" t="s">
        <v>8524</v>
      </c>
      <c r="Z797" t="str">
        <f>"07411096996"</f>
        <v>07411096996</v>
      </c>
      <c r="AA797" t="str">
        <f>""</f>
        <v/>
      </c>
      <c r="AB797" t="s">
        <v>4560</v>
      </c>
      <c r="AC797" t="s">
        <v>8523</v>
      </c>
      <c r="AD797" t="s">
        <v>114</v>
      </c>
      <c r="AE797" s="63">
        <v>45293</v>
      </c>
      <c r="AF797" t="s">
        <v>156</v>
      </c>
      <c r="AG797" t="s">
        <v>112</v>
      </c>
      <c r="AH797" t="s">
        <v>112</v>
      </c>
      <c r="AI797" s="63">
        <v>44092</v>
      </c>
      <c r="AJ797" s="63">
        <v>45657</v>
      </c>
      <c r="AK797" t="s">
        <v>112</v>
      </c>
      <c r="AL797" t="s">
        <v>111</v>
      </c>
      <c r="AM797" t="s">
        <v>111</v>
      </c>
      <c r="AN797">
        <v>4759</v>
      </c>
      <c r="AO797" t="s">
        <v>122</v>
      </c>
      <c r="AP797" t="s">
        <v>122</v>
      </c>
    </row>
    <row r="798" spans="1:42" x14ac:dyDescent="0.25">
      <c r="A798" s="28" t="str">
        <f>"15482"</f>
        <v>15482</v>
      </c>
      <c r="B798">
        <v>15482</v>
      </c>
      <c r="C798" t="s">
        <v>2488</v>
      </c>
      <c r="D798" t="s">
        <v>121</v>
      </c>
      <c r="F798" t="s">
        <v>120</v>
      </c>
      <c r="G798" t="s">
        <v>643</v>
      </c>
      <c r="H798" t="s">
        <v>311</v>
      </c>
      <c r="I798" t="s">
        <v>1919</v>
      </c>
      <c r="J798" t="s">
        <v>7</v>
      </c>
      <c r="K798" s="63">
        <v>24350</v>
      </c>
      <c r="L798" s="28">
        <f>DATEDIF(K798,Zwift25!G$1,"Y")</f>
        <v>58</v>
      </c>
      <c r="M798" s="67">
        <f>IF(J798="m",VLOOKUP(L798,'All Solo Adjustments'!A:D,4,FALSE),VLOOKUP(L798,'All Solo Adjustments'!A:J,10,FALSE))</f>
        <v>2.7199074074074074E-3</v>
      </c>
      <c r="N798" s="63"/>
      <c r="O798" s="63"/>
      <c r="P798" s="63"/>
      <c r="Q798" s="63"/>
      <c r="R798" t="s">
        <v>125</v>
      </c>
      <c r="S798" t="s">
        <v>170</v>
      </c>
      <c r="T798" t="s">
        <v>292</v>
      </c>
      <c r="U798" t="s">
        <v>8522</v>
      </c>
      <c r="V798" t="s">
        <v>8521</v>
      </c>
      <c r="W798" t="s">
        <v>193</v>
      </c>
      <c r="Y798" t="s">
        <v>8520</v>
      </c>
      <c r="Z798" t="str">
        <f>"07954442810"</f>
        <v>07954442810</v>
      </c>
      <c r="AA798" t="str">
        <f>""</f>
        <v/>
      </c>
      <c r="AB798" t="s">
        <v>541</v>
      </c>
      <c r="AC798" t="s">
        <v>8519</v>
      </c>
      <c r="AD798" t="s">
        <v>114</v>
      </c>
      <c r="AE798" s="63">
        <v>45292</v>
      </c>
      <c r="AF798" t="s">
        <v>156</v>
      </c>
      <c r="AG798" t="s">
        <v>112</v>
      </c>
      <c r="AH798" t="s">
        <v>112</v>
      </c>
      <c r="AI798" s="63">
        <v>44690</v>
      </c>
      <c r="AJ798" s="63">
        <v>45657</v>
      </c>
      <c r="AK798" t="s">
        <v>112</v>
      </c>
      <c r="AL798" t="s">
        <v>111</v>
      </c>
      <c r="AM798" t="s">
        <v>111</v>
      </c>
      <c r="AN798">
        <v>42482</v>
      </c>
      <c r="AO798" t="s">
        <v>110</v>
      </c>
      <c r="AP798" t="s">
        <v>109</v>
      </c>
    </row>
    <row r="799" spans="1:42" x14ac:dyDescent="0.25">
      <c r="A799" s="28" t="str">
        <f>"15821"</f>
        <v>15821</v>
      </c>
      <c r="B799">
        <v>15821</v>
      </c>
      <c r="C799" t="s">
        <v>2488</v>
      </c>
      <c r="D799" t="s">
        <v>121</v>
      </c>
      <c r="E799" t="s">
        <v>584</v>
      </c>
      <c r="F799" t="s">
        <v>120</v>
      </c>
      <c r="G799" t="s">
        <v>884</v>
      </c>
      <c r="I799" t="s">
        <v>1919</v>
      </c>
      <c r="J799" t="s">
        <v>7</v>
      </c>
      <c r="K799" s="63">
        <v>29822</v>
      </c>
      <c r="L799" s="28">
        <f>DATEDIF(K799,Zwift25!G$1,"Y")</f>
        <v>43</v>
      </c>
      <c r="M799" s="67">
        <f>IF(J799="m",VLOOKUP(L799,'All Solo Adjustments'!A:D,4,FALSE),VLOOKUP(L799,'All Solo Adjustments'!A:J,10,FALSE))</f>
        <v>2.4305555555555555E-4</v>
      </c>
      <c r="N799" s="63"/>
      <c r="O799" s="63"/>
      <c r="P799" s="63"/>
      <c r="Q799" s="63"/>
      <c r="R799" t="s">
        <v>527</v>
      </c>
      <c r="S799" t="s">
        <v>526</v>
      </c>
      <c r="T799" t="s">
        <v>292</v>
      </c>
      <c r="U799" t="s">
        <v>8518</v>
      </c>
      <c r="V799" t="s">
        <v>8517</v>
      </c>
      <c r="W799" t="s">
        <v>8516</v>
      </c>
      <c r="Y799" t="s">
        <v>8515</v>
      </c>
      <c r="Z799" t="str">
        <f>"07590042549"</f>
        <v>07590042549</v>
      </c>
      <c r="AA799" t="str">
        <f>""</f>
        <v/>
      </c>
      <c r="AB799" t="s">
        <v>8514</v>
      </c>
      <c r="AC799" t="s">
        <v>8513</v>
      </c>
      <c r="AD799" t="s">
        <v>114</v>
      </c>
      <c r="AE799" s="63">
        <v>45308</v>
      </c>
      <c r="AF799" t="s">
        <v>156</v>
      </c>
      <c r="AG799" t="s">
        <v>112</v>
      </c>
      <c r="AH799" t="s">
        <v>112</v>
      </c>
      <c r="AI799" s="63">
        <v>45061</v>
      </c>
      <c r="AJ799" s="63">
        <v>45657</v>
      </c>
      <c r="AK799" t="s">
        <v>112</v>
      </c>
      <c r="AL799" t="s">
        <v>111</v>
      </c>
      <c r="AM799" t="s">
        <v>111</v>
      </c>
      <c r="AN799">
        <v>23093</v>
      </c>
      <c r="AO799" t="s">
        <v>110</v>
      </c>
      <c r="AP799" t="s">
        <v>109</v>
      </c>
    </row>
    <row r="800" spans="1:42" x14ac:dyDescent="0.25">
      <c r="A800" s="28" t="str">
        <f>"1015"</f>
        <v>1015</v>
      </c>
      <c r="B800">
        <v>1015</v>
      </c>
      <c r="C800" t="s">
        <v>2488</v>
      </c>
      <c r="D800" t="s">
        <v>121</v>
      </c>
      <c r="F800" t="s">
        <v>120</v>
      </c>
      <c r="G800" t="s">
        <v>513</v>
      </c>
      <c r="I800" t="s">
        <v>8512</v>
      </c>
      <c r="J800" t="s">
        <v>7</v>
      </c>
      <c r="K800" s="63">
        <v>12883</v>
      </c>
      <c r="L800" s="28">
        <f>DATEDIF(K800,Zwift25!G$1,"Y")</f>
        <v>89</v>
      </c>
      <c r="M800" s="67">
        <f>IF(J800="m",VLOOKUP(L800,'All Solo Adjustments'!A:D,4,FALSE),VLOOKUP(L800,'All Solo Adjustments'!A:J,10,FALSE))</f>
        <v>1.7465277777777777E-2</v>
      </c>
      <c r="N800" s="63"/>
      <c r="O800" s="63"/>
      <c r="P800" s="63"/>
      <c r="Q800" s="63"/>
      <c r="R800" t="s">
        <v>283</v>
      </c>
      <c r="S800" t="s">
        <v>2311</v>
      </c>
      <c r="T800" t="s">
        <v>292</v>
      </c>
      <c r="U800" t="s">
        <v>8511</v>
      </c>
      <c r="V800" t="s">
        <v>8510</v>
      </c>
      <c r="W800" t="s">
        <v>1253</v>
      </c>
      <c r="Y800" t="s">
        <v>8509</v>
      </c>
      <c r="Z800" t="str">
        <f>"0121 3087591"</f>
        <v>0121 3087591</v>
      </c>
      <c r="AA800" t="str">
        <f>""</f>
        <v/>
      </c>
      <c r="AB800" t="s">
        <v>8508</v>
      </c>
      <c r="AC800" t="s">
        <v>8507</v>
      </c>
      <c r="AD800" t="s">
        <v>151</v>
      </c>
      <c r="AF800" t="s">
        <v>113</v>
      </c>
      <c r="AG800" t="s">
        <v>111</v>
      </c>
      <c r="AH800" t="s">
        <v>112</v>
      </c>
      <c r="AI800" s="63">
        <v>27395</v>
      </c>
      <c r="AK800" t="s">
        <v>111</v>
      </c>
      <c r="AL800" t="s">
        <v>111</v>
      </c>
      <c r="AM800" t="s">
        <v>111</v>
      </c>
      <c r="AN800" t="s">
        <v>105</v>
      </c>
      <c r="AO800" t="s">
        <v>110</v>
      </c>
      <c r="AP800" t="s">
        <v>109</v>
      </c>
    </row>
    <row r="801" spans="1:42" x14ac:dyDescent="0.25">
      <c r="A801" s="28" t="str">
        <f>"4054"</f>
        <v>4054</v>
      </c>
      <c r="B801">
        <v>4054</v>
      </c>
      <c r="C801" t="s">
        <v>2488</v>
      </c>
      <c r="D801" t="s">
        <v>121</v>
      </c>
      <c r="F801" t="s">
        <v>120</v>
      </c>
      <c r="G801" t="s">
        <v>2320</v>
      </c>
      <c r="I801" t="s">
        <v>4062</v>
      </c>
      <c r="J801" t="s">
        <v>7</v>
      </c>
      <c r="K801" s="63">
        <v>16141</v>
      </c>
      <c r="L801" s="28">
        <f>DATEDIF(K801,Zwift25!G$1,"Y")</f>
        <v>80</v>
      </c>
      <c r="M801" s="67">
        <f>IF(J801="m",VLOOKUP(L801,'All Solo Adjustments'!A:D,4,FALSE),VLOOKUP(L801,'All Solo Adjustments'!A:J,10,FALSE))</f>
        <v>1.1018518518518518E-2</v>
      </c>
      <c r="N801" s="63"/>
      <c r="O801" s="63"/>
      <c r="P801" s="63"/>
      <c r="Q801" s="63"/>
      <c r="R801" t="s">
        <v>159</v>
      </c>
      <c r="S801" t="s">
        <v>570</v>
      </c>
      <c r="T801" t="s">
        <v>292</v>
      </c>
      <c r="U801" t="s">
        <v>8506</v>
      </c>
      <c r="V801" t="s">
        <v>8292</v>
      </c>
      <c r="W801" t="s">
        <v>486</v>
      </c>
      <c r="Y801" t="s">
        <v>8505</v>
      </c>
      <c r="Z801" t="str">
        <f>"01797 222322"</f>
        <v>01797 222322</v>
      </c>
      <c r="AA801" t="str">
        <f>""</f>
        <v/>
      </c>
      <c r="AB801" t="s">
        <v>2847</v>
      </c>
      <c r="AC801" t="s">
        <v>8504</v>
      </c>
      <c r="AD801" t="s">
        <v>145</v>
      </c>
      <c r="AF801" t="s">
        <v>113</v>
      </c>
      <c r="AG801" t="s">
        <v>112</v>
      </c>
      <c r="AH801" t="s">
        <v>112</v>
      </c>
      <c r="AI801" s="63">
        <v>43445</v>
      </c>
      <c r="AK801" t="s">
        <v>111</v>
      </c>
      <c r="AL801" t="s">
        <v>111</v>
      </c>
      <c r="AM801" t="s">
        <v>111</v>
      </c>
      <c r="AN801" t="s">
        <v>105</v>
      </c>
      <c r="AO801" t="s">
        <v>110</v>
      </c>
      <c r="AP801" t="s">
        <v>109</v>
      </c>
    </row>
    <row r="802" spans="1:42" x14ac:dyDescent="0.25">
      <c r="A802" s="28" t="str">
        <f>"6322"</f>
        <v>6322</v>
      </c>
      <c r="B802">
        <v>6322</v>
      </c>
      <c r="C802" t="s">
        <v>2488</v>
      </c>
      <c r="D802" t="s">
        <v>121</v>
      </c>
      <c r="F802" t="s">
        <v>120</v>
      </c>
      <c r="G802" t="s">
        <v>150</v>
      </c>
      <c r="I802" t="s">
        <v>1914</v>
      </c>
      <c r="J802" t="s">
        <v>7</v>
      </c>
      <c r="K802" s="63">
        <v>26591</v>
      </c>
      <c r="L802" s="28">
        <f>DATEDIF(K802,Zwift25!G$1,"Y")</f>
        <v>51</v>
      </c>
      <c r="M802" s="67">
        <f>IF(J802="m",VLOOKUP(L802,'All Solo Adjustments'!A:D,4,FALSE),VLOOKUP(L802,'All Solo Adjustments'!A:J,10,FALSE))</f>
        <v>1.3078703703703703E-3</v>
      </c>
      <c r="N802" s="63"/>
      <c r="O802" s="63"/>
      <c r="P802" s="63"/>
      <c r="Q802" s="63"/>
      <c r="R802" t="s">
        <v>239</v>
      </c>
      <c r="S802" t="s">
        <v>274</v>
      </c>
      <c r="T802" t="s">
        <v>292</v>
      </c>
      <c r="U802" t="s">
        <v>8503</v>
      </c>
      <c r="V802" t="s">
        <v>6011</v>
      </c>
      <c r="Y802" t="s">
        <v>8502</v>
      </c>
      <c r="Z802" t="str">
        <f>"07806 764645"</f>
        <v>07806 764645</v>
      </c>
      <c r="AA802" t="str">
        <f>""</f>
        <v/>
      </c>
      <c r="AB802" t="s">
        <v>568</v>
      </c>
      <c r="AC802" t="s">
        <v>8501</v>
      </c>
      <c r="AD802" t="s">
        <v>114</v>
      </c>
      <c r="AE802" s="63">
        <v>45292</v>
      </c>
      <c r="AF802" t="s">
        <v>113</v>
      </c>
      <c r="AG802" t="s">
        <v>112</v>
      </c>
      <c r="AH802" t="s">
        <v>112</v>
      </c>
      <c r="AI802" s="63">
        <v>42937</v>
      </c>
      <c r="AJ802" s="63">
        <v>45657</v>
      </c>
      <c r="AK802" t="s">
        <v>111</v>
      </c>
      <c r="AL802" t="s">
        <v>111</v>
      </c>
      <c r="AM802" t="s">
        <v>111</v>
      </c>
      <c r="AN802">
        <v>597</v>
      </c>
      <c r="AO802" t="s">
        <v>110</v>
      </c>
      <c r="AP802" t="s">
        <v>109</v>
      </c>
    </row>
    <row r="803" spans="1:42" x14ac:dyDescent="0.25">
      <c r="A803" s="28" t="str">
        <f>"15138"</f>
        <v>15138</v>
      </c>
      <c r="B803">
        <v>15138</v>
      </c>
      <c r="C803" t="s">
        <v>2488</v>
      </c>
      <c r="D803" t="s">
        <v>121</v>
      </c>
      <c r="F803" t="s">
        <v>120</v>
      </c>
      <c r="G803" t="s">
        <v>185</v>
      </c>
      <c r="I803" t="s">
        <v>8500</v>
      </c>
      <c r="J803" t="s">
        <v>7</v>
      </c>
      <c r="K803" s="63">
        <v>23435</v>
      </c>
      <c r="L803" s="28">
        <f>DATEDIF(K803,Zwift25!G$1,"Y")</f>
        <v>60</v>
      </c>
      <c r="M803" s="67">
        <f>IF(J803="m",VLOOKUP(L803,'All Solo Adjustments'!A:D,4,FALSE),VLOOKUP(L803,'All Solo Adjustments'!A:J,10,FALSE))</f>
        <v>3.2060185185185186E-3</v>
      </c>
      <c r="N803" s="63"/>
      <c r="O803" s="63"/>
      <c r="P803" s="63"/>
      <c r="Q803" s="63"/>
      <c r="R803" t="s">
        <v>184</v>
      </c>
      <c r="S803" t="s">
        <v>183</v>
      </c>
      <c r="T803" t="s">
        <v>292</v>
      </c>
      <c r="U803" t="s">
        <v>8499</v>
      </c>
      <c r="V803" t="s">
        <v>8498</v>
      </c>
      <c r="W803" t="s">
        <v>8497</v>
      </c>
      <c r="Y803" t="s">
        <v>8496</v>
      </c>
      <c r="Z803" t="str">
        <f>"07836751205"</f>
        <v>07836751205</v>
      </c>
      <c r="AA803" t="str">
        <f>""</f>
        <v/>
      </c>
      <c r="AB803" t="s">
        <v>1152</v>
      </c>
      <c r="AC803" t="s">
        <v>8495</v>
      </c>
      <c r="AD803" t="s">
        <v>114</v>
      </c>
      <c r="AE803" s="63">
        <v>45264</v>
      </c>
      <c r="AF803" t="s">
        <v>113</v>
      </c>
      <c r="AG803" t="s">
        <v>112</v>
      </c>
      <c r="AH803" t="s">
        <v>112</v>
      </c>
      <c r="AI803" s="63">
        <v>44375</v>
      </c>
      <c r="AJ803" s="63">
        <v>45657</v>
      </c>
      <c r="AK803" t="s">
        <v>112</v>
      </c>
      <c r="AL803" t="s">
        <v>111</v>
      </c>
      <c r="AM803" t="s">
        <v>111</v>
      </c>
      <c r="AN803">
        <v>22832</v>
      </c>
      <c r="AO803" t="s">
        <v>110</v>
      </c>
      <c r="AP803" t="s">
        <v>109</v>
      </c>
    </row>
    <row r="804" spans="1:42" x14ac:dyDescent="0.25">
      <c r="A804" s="28" t="str">
        <f>"1024"</f>
        <v>1024</v>
      </c>
      <c r="B804">
        <v>1024</v>
      </c>
      <c r="C804" t="s">
        <v>2488</v>
      </c>
      <c r="D804" t="s">
        <v>121</v>
      </c>
      <c r="F804" t="s">
        <v>120</v>
      </c>
      <c r="G804" t="s">
        <v>522</v>
      </c>
      <c r="I804" t="s">
        <v>1913</v>
      </c>
      <c r="J804" t="s">
        <v>7</v>
      </c>
      <c r="K804" s="63">
        <v>12055</v>
      </c>
      <c r="L804" s="28">
        <f>DATEDIF(K804,Zwift25!G$1,"Y")</f>
        <v>91</v>
      </c>
      <c r="M804" s="67">
        <f>IF(J804="m",VLOOKUP(L804,'All Solo Adjustments'!A:D,4,FALSE),VLOOKUP(L804,'All Solo Adjustments'!A:J,10,FALSE))</f>
        <v>1.9363425925925926E-2</v>
      </c>
      <c r="N804" s="63"/>
      <c r="O804" s="63"/>
      <c r="P804" s="63"/>
      <c r="Q804" s="63"/>
      <c r="R804" t="s">
        <v>137</v>
      </c>
      <c r="S804" t="s">
        <v>8494</v>
      </c>
      <c r="T804" t="s">
        <v>292</v>
      </c>
      <c r="U804" t="s">
        <v>8493</v>
      </c>
      <c r="V804" t="s">
        <v>1098</v>
      </c>
      <c r="W804" t="s">
        <v>208</v>
      </c>
      <c r="Y804" t="s">
        <v>8492</v>
      </c>
      <c r="Z804" t="str">
        <f>"023 8086 3048"</f>
        <v>023 8086 3048</v>
      </c>
      <c r="AA804" t="str">
        <f>"07464931941"</f>
        <v>07464931941</v>
      </c>
      <c r="AB804" t="s">
        <v>996</v>
      </c>
      <c r="AC804" t="s">
        <v>8491</v>
      </c>
      <c r="AD804" t="s">
        <v>145</v>
      </c>
      <c r="AF804" t="s">
        <v>113</v>
      </c>
      <c r="AG804" t="s">
        <v>112</v>
      </c>
      <c r="AH804" t="s">
        <v>112</v>
      </c>
      <c r="AI804" s="63">
        <v>30850</v>
      </c>
      <c r="AK804" t="s">
        <v>111</v>
      </c>
      <c r="AL804" t="s">
        <v>111</v>
      </c>
      <c r="AM804" t="s">
        <v>111</v>
      </c>
      <c r="AN804">
        <v>2087</v>
      </c>
      <c r="AO804" t="s">
        <v>110</v>
      </c>
      <c r="AP804" t="s">
        <v>109</v>
      </c>
    </row>
    <row r="805" spans="1:42" x14ac:dyDescent="0.25">
      <c r="A805" s="28" t="str">
        <f>"1022"</f>
        <v>1022</v>
      </c>
      <c r="B805">
        <v>1022</v>
      </c>
      <c r="C805" t="s">
        <v>2488</v>
      </c>
      <c r="D805" t="s">
        <v>121</v>
      </c>
      <c r="F805" t="s">
        <v>120</v>
      </c>
      <c r="G805" t="s">
        <v>241</v>
      </c>
      <c r="I805" t="s">
        <v>1913</v>
      </c>
      <c r="J805" t="s">
        <v>7</v>
      </c>
      <c r="K805" s="63">
        <v>16474</v>
      </c>
      <c r="L805" s="28">
        <f>DATEDIF(K805,Zwift25!G$1,"Y")</f>
        <v>79</v>
      </c>
      <c r="M805" s="67">
        <f>IF(J805="m",VLOOKUP(L805,'All Solo Adjustments'!A:D,4,FALSE),VLOOKUP(L805,'All Solo Adjustments'!A:J,10,FALSE))</f>
        <v>1.0451388888888889E-2</v>
      </c>
      <c r="N805" s="63"/>
      <c r="O805" s="63"/>
      <c r="P805" s="63"/>
      <c r="Q805" s="63"/>
      <c r="R805" t="s">
        <v>118</v>
      </c>
      <c r="S805" t="s">
        <v>117</v>
      </c>
      <c r="T805" t="s">
        <v>292</v>
      </c>
      <c r="U805" t="s">
        <v>8490</v>
      </c>
      <c r="V805" t="s">
        <v>1431</v>
      </c>
      <c r="W805" t="s">
        <v>1430</v>
      </c>
      <c r="Y805" t="s">
        <v>8489</v>
      </c>
      <c r="Z805" t="str">
        <f>"01709 890553"</f>
        <v>01709 890553</v>
      </c>
      <c r="AA805" t="str">
        <f>""</f>
        <v/>
      </c>
      <c r="AB805" t="s">
        <v>1214</v>
      </c>
      <c r="AD805" t="s">
        <v>145</v>
      </c>
      <c r="AE805" s="63">
        <v>45351</v>
      </c>
      <c r="AF805" t="s">
        <v>113</v>
      </c>
      <c r="AG805" t="s">
        <v>112</v>
      </c>
      <c r="AH805" t="s">
        <v>112</v>
      </c>
      <c r="AI805" s="63">
        <v>35431</v>
      </c>
      <c r="AJ805" s="63">
        <v>45657</v>
      </c>
      <c r="AK805" t="s">
        <v>111</v>
      </c>
      <c r="AL805" t="s">
        <v>112</v>
      </c>
      <c r="AM805" t="s">
        <v>112</v>
      </c>
      <c r="AN805" t="s">
        <v>105</v>
      </c>
      <c r="AO805" t="s">
        <v>110</v>
      </c>
      <c r="AP805" t="s">
        <v>109</v>
      </c>
    </row>
    <row r="806" spans="1:42" x14ac:dyDescent="0.25">
      <c r="A806" s="28" t="str">
        <f>"15938"</f>
        <v>15938</v>
      </c>
      <c r="B806">
        <v>15938</v>
      </c>
      <c r="C806" t="s">
        <v>2488</v>
      </c>
      <c r="D806" t="s">
        <v>121</v>
      </c>
      <c r="F806" t="s">
        <v>144</v>
      </c>
      <c r="G806" t="s">
        <v>8488</v>
      </c>
      <c r="I806" t="s">
        <v>1913</v>
      </c>
      <c r="J806" t="s">
        <v>126</v>
      </c>
      <c r="K806" s="63">
        <v>23875</v>
      </c>
      <c r="L806" s="28">
        <f>DATEDIF(K806,Zwift25!G$1,"Y")</f>
        <v>59</v>
      </c>
      <c r="M806" s="67">
        <f>IF(J806="m",VLOOKUP(L806,'All Solo Adjustments'!A:D,4,FALSE),VLOOKUP(L806,'All Solo Adjustments'!A:J,10,FALSE))</f>
        <v>6.5972222222222222E-3</v>
      </c>
      <c r="N806" s="63"/>
      <c r="O806" s="63"/>
      <c r="P806" s="63"/>
      <c r="Q806" s="63"/>
      <c r="R806" t="s">
        <v>137</v>
      </c>
      <c r="S806" t="s">
        <v>136</v>
      </c>
      <c r="T806" t="s">
        <v>292</v>
      </c>
      <c r="U806" t="s">
        <v>8487</v>
      </c>
      <c r="V806" t="s">
        <v>7986</v>
      </c>
      <c r="Y806" t="s">
        <v>8486</v>
      </c>
      <c r="Z806" t="str">
        <f>"07511934851"</f>
        <v>07511934851</v>
      </c>
      <c r="AA806" t="str">
        <f>""</f>
        <v/>
      </c>
      <c r="AB806" t="s">
        <v>378</v>
      </c>
      <c r="AC806" t="s">
        <v>8485</v>
      </c>
      <c r="AD806" t="s">
        <v>114</v>
      </c>
      <c r="AE806" s="63">
        <v>45220</v>
      </c>
      <c r="AF806" t="s">
        <v>156</v>
      </c>
      <c r="AG806" t="s">
        <v>112</v>
      </c>
      <c r="AH806" t="s">
        <v>112</v>
      </c>
      <c r="AI806" s="63">
        <v>45220</v>
      </c>
      <c r="AJ806" s="63">
        <v>45657</v>
      </c>
      <c r="AK806" t="s">
        <v>112</v>
      </c>
      <c r="AL806" t="s">
        <v>111</v>
      </c>
      <c r="AM806" t="s">
        <v>111</v>
      </c>
      <c r="AN806">
        <v>22628</v>
      </c>
      <c r="AO806" t="s">
        <v>122</v>
      </c>
      <c r="AP806" t="s">
        <v>122</v>
      </c>
    </row>
    <row r="807" spans="1:42" x14ac:dyDescent="0.25">
      <c r="A807" s="28" t="str">
        <f>"1026"</f>
        <v>1026</v>
      </c>
      <c r="B807">
        <v>1026</v>
      </c>
      <c r="C807" t="s">
        <v>2488</v>
      </c>
      <c r="D807" t="s">
        <v>121</v>
      </c>
      <c r="F807" t="s">
        <v>120</v>
      </c>
      <c r="G807" t="s">
        <v>1202</v>
      </c>
      <c r="I807" t="s">
        <v>8484</v>
      </c>
      <c r="J807" t="s">
        <v>7</v>
      </c>
      <c r="K807" s="63">
        <v>15359</v>
      </c>
      <c r="L807" s="28">
        <f>DATEDIF(K807,Zwift25!G$1,"Y")</f>
        <v>82</v>
      </c>
      <c r="M807" s="67">
        <f>IF(J807="m",VLOOKUP(L807,'All Solo Adjustments'!A:D,4,FALSE),VLOOKUP(L807,'All Solo Adjustments'!A:J,10,FALSE))</f>
        <v>1.2210648148148148E-2</v>
      </c>
      <c r="N807" s="63"/>
      <c r="O807" s="63"/>
      <c r="P807" s="63"/>
      <c r="Q807" s="63"/>
      <c r="R807" t="s">
        <v>328</v>
      </c>
      <c r="S807" t="s">
        <v>2290</v>
      </c>
      <c r="T807" t="s">
        <v>292</v>
      </c>
      <c r="U807" t="s">
        <v>8483</v>
      </c>
      <c r="V807" t="s">
        <v>8482</v>
      </c>
      <c r="W807" t="s">
        <v>1331</v>
      </c>
      <c r="X807" t="s">
        <v>8481</v>
      </c>
      <c r="Y807" t="s">
        <v>8480</v>
      </c>
      <c r="Z807" t="str">
        <f>"01254 885611"</f>
        <v>01254 885611</v>
      </c>
      <c r="AA807" t="str">
        <f>""</f>
        <v/>
      </c>
      <c r="AB807" t="s">
        <v>1146</v>
      </c>
      <c r="AC807" t="s">
        <v>8479</v>
      </c>
      <c r="AD807" t="s">
        <v>145</v>
      </c>
      <c r="AF807" t="s">
        <v>156</v>
      </c>
      <c r="AG807" t="s">
        <v>112</v>
      </c>
      <c r="AH807" t="s">
        <v>112</v>
      </c>
      <c r="AI807" s="63">
        <v>43408</v>
      </c>
      <c r="AK807" t="s">
        <v>111</v>
      </c>
      <c r="AL807" t="s">
        <v>111</v>
      </c>
      <c r="AM807" t="s">
        <v>111</v>
      </c>
      <c r="AN807" t="s">
        <v>105</v>
      </c>
      <c r="AO807" t="s">
        <v>110</v>
      </c>
      <c r="AP807" t="s">
        <v>109</v>
      </c>
    </row>
    <row r="808" spans="1:42" x14ac:dyDescent="0.25">
      <c r="A808" s="28" t="str">
        <f>"14663"</f>
        <v>14663</v>
      </c>
      <c r="B808">
        <v>14663</v>
      </c>
      <c r="C808" t="s">
        <v>2488</v>
      </c>
      <c r="D808" t="s">
        <v>121</v>
      </c>
      <c r="E808" t="s">
        <v>584</v>
      </c>
      <c r="F808" t="s">
        <v>120</v>
      </c>
      <c r="G808" t="s">
        <v>572</v>
      </c>
      <c r="H808" t="s">
        <v>185</v>
      </c>
      <c r="I808" t="s">
        <v>8475</v>
      </c>
      <c r="J808" t="s">
        <v>7</v>
      </c>
      <c r="K808" s="63">
        <v>21472</v>
      </c>
      <c r="L808" s="28">
        <f>DATEDIF(K808,Zwift25!G$1,"Y")</f>
        <v>65</v>
      </c>
      <c r="M808" s="67">
        <f>IF(J808="m",VLOOKUP(L808,'All Solo Adjustments'!A:D,4,FALSE),VLOOKUP(L808,'All Solo Adjustments'!A:J,10,FALSE))</f>
        <v>4.6180555555555558E-3</v>
      </c>
      <c r="N808" s="63"/>
      <c r="O808" s="63"/>
      <c r="P808" s="63"/>
      <c r="Q808" s="63"/>
      <c r="R808" t="s">
        <v>118</v>
      </c>
      <c r="S808" t="s">
        <v>117</v>
      </c>
      <c r="T808" t="s">
        <v>292</v>
      </c>
      <c r="U808" t="s">
        <v>8478</v>
      </c>
      <c r="V808" t="s">
        <v>8477</v>
      </c>
      <c r="W808" t="s">
        <v>1859</v>
      </c>
      <c r="X808" t="s">
        <v>968</v>
      </c>
      <c r="Y808" t="s">
        <v>8473</v>
      </c>
      <c r="Z808" t="str">
        <f>"07801357410"</f>
        <v>07801357410</v>
      </c>
      <c r="AA808" t="str">
        <f>""</f>
        <v/>
      </c>
      <c r="AB808" t="s">
        <v>1167</v>
      </c>
      <c r="AC808" t="s">
        <v>8476</v>
      </c>
      <c r="AD808" t="s">
        <v>114</v>
      </c>
      <c r="AE808" s="63">
        <v>45265</v>
      </c>
      <c r="AF808" t="s">
        <v>156</v>
      </c>
      <c r="AG808" t="s">
        <v>112</v>
      </c>
      <c r="AH808" t="s">
        <v>112</v>
      </c>
      <c r="AI808" s="63">
        <v>44060</v>
      </c>
      <c r="AJ808" s="63">
        <v>45657</v>
      </c>
      <c r="AK808" t="s">
        <v>112</v>
      </c>
      <c r="AL808" t="s">
        <v>111</v>
      </c>
      <c r="AM808" t="s">
        <v>111</v>
      </c>
      <c r="AN808">
        <v>25226</v>
      </c>
      <c r="AO808" t="s">
        <v>110</v>
      </c>
      <c r="AP808" t="s">
        <v>109</v>
      </c>
    </row>
    <row r="809" spans="1:42" x14ac:dyDescent="0.25">
      <c r="A809" s="28" t="str">
        <f>"15346"</f>
        <v>15346</v>
      </c>
      <c r="B809">
        <v>15346</v>
      </c>
      <c r="C809" t="s">
        <v>2488</v>
      </c>
      <c r="D809" t="s">
        <v>121</v>
      </c>
      <c r="F809" t="s">
        <v>149</v>
      </c>
      <c r="G809" t="s">
        <v>455</v>
      </c>
      <c r="I809" t="s">
        <v>8475</v>
      </c>
      <c r="J809" t="s">
        <v>126</v>
      </c>
      <c r="K809" s="63">
        <v>23028</v>
      </c>
      <c r="L809" s="28">
        <f>DATEDIF(K809,Zwift25!G$1,"Y")</f>
        <v>61</v>
      </c>
      <c r="M809" s="67">
        <f>IF(J809="m",VLOOKUP(L809,'All Solo Adjustments'!A:D,4,FALSE),VLOOKUP(L809,'All Solo Adjustments'!A:J,10,FALSE))</f>
        <v>7.2337962962962963E-3</v>
      </c>
      <c r="N809" s="63"/>
      <c r="O809" s="63"/>
      <c r="P809" s="63"/>
      <c r="Q809" s="63"/>
      <c r="R809" t="s">
        <v>118</v>
      </c>
      <c r="S809" t="s">
        <v>117</v>
      </c>
      <c r="T809" t="s">
        <v>292</v>
      </c>
      <c r="U809" t="s">
        <v>8474</v>
      </c>
      <c r="W809" t="s">
        <v>969</v>
      </c>
      <c r="X809" t="s">
        <v>968</v>
      </c>
      <c r="Y809" t="s">
        <v>8473</v>
      </c>
      <c r="Z809" t="str">
        <f>"07920250255"</f>
        <v>07920250255</v>
      </c>
      <c r="AA809" t="str">
        <f>""</f>
        <v/>
      </c>
      <c r="AB809" t="s">
        <v>1107</v>
      </c>
      <c r="AC809" t="s">
        <v>8472</v>
      </c>
      <c r="AD809" t="s">
        <v>114</v>
      </c>
      <c r="AE809" s="63">
        <v>45266</v>
      </c>
      <c r="AF809" t="s">
        <v>156</v>
      </c>
      <c r="AG809" t="s">
        <v>111</v>
      </c>
      <c r="AH809" t="s">
        <v>111</v>
      </c>
      <c r="AI809" s="63">
        <v>44578</v>
      </c>
      <c r="AJ809" s="63">
        <v>45657</v>
      </c>
      <c r="AK809" t="s">
        <v>112</v>
      </c>
      <c r="AL809" t="s">
        <v>111</v>
      </c>
      <c r="AM809" t="s">
        <v>111</v>
      </c>
      <c r="AN809">
        <v>25231</v>
      </c>
      <c r="AO809" t="s">
        <v>122</v>
      </c>
      <c r="AP809" t="s">
        <v>122</v>
      </c>
    </row>
    <row r="810" spans="1:42" x14ac:dyDescent="0.25">
      <c r="A810" s="28" t="str">
        <f>"4687"</f>
        <v>4687</v>
      </c>
      <c r="B810">
        <v>4687</v>
      </c>
      <c r="C810" t="s">
        <v>2488</v>
      </c>
      <c r="D810" t="s">
        <v>132</v>
      </c>
      <c r="F810" t="s">
        <v>120</v>
      </c>
      <c r="G810" t="s">
        <v>944</v>
      </c>
      <c r="I810" t="s">
        <v>8471</v>
      </c>
      <c r="J810" t="s">
        <v>7</v>
      </c>
      <c r="K810" s="63">
        <v>17882</v>
      </c>
      <c r="L810" s="28">
        <f>DATEDIF(K810,Zwift25!G$1,"Y")</f>
        <v>75</v>
      </c>
      <c r="M810" s="67">
        <f>IF(J810="m",VLOOKUP(L810,'All Solo Adjustments'!A:D,4,FALSE),VLOOKUP(L810,'All Solo Adjustments'!A:J,10,FALSE))</f>
        <v>8.4374999999999988E-3</v>
      </c>
      <c r="N810" s="63"/>
      <c r="O810" s="63"/>
      <c r="P810" s="63"/>
      <c r="Q810" s="63"/>
      <c r="R810" t="s">
        <v>125</v>
      </c>
      <c r="S810" t="s">
        <v>124</v>
      </c>
      <c r="T810" t="s">
        <v>292</v>
      </c>
      <c r="U810" t="s">
        <v>8470</v>
      </c>
      <c r="V810" t="s">
        <v>217</v>
      </c>
      <c r="W810" t="s">
        <v>123</v>
      </c>
      <c r="Y810" t="s">
        <v>8469</v>
      </c>
      <c r="Z810" t="str">
        <f>"01245 443613"</f>
        <v>01245 443613</v>
      </c>
      <c r="AA810" t="str">
        <f>""</f>
        <v/>
      </c>
      <c r="AB810" t="s">
        <v>508</v>
      </c>
      <c r="AC810" t="s">
        <v>8468</v>
      </c>
      <c r="AD810" t="s">
        <v>145</v>
      </c>
      <c r="AE810" s="63">
        <v>45289</v>
      </c>
      <c r="AF810" t="s">
        <v>113</v>
      </c>
      <c r="AG810" t="s">
        <v>112</v>
      </c>
      <c r="AH810" t="s">
        <v>112</v>
      </c>
      <c r="AI810" s="63">
        <v>41335</v>
      </c>
      <c r="AJ810" s="63">
        <v>45657</v>
      </c>
      <c r="AK810" t="s">
        <v>111</v>
      </c>
      <c r="AL810" t="s">
        <v>111</v>
      </c>
      <c r="AM810" t="s">
        <v>111</v>
      </c>
      <c r="AN810" t="s">
        <v>105</v>
      </c>
      <c r="AO810" t="s">
        <v>110</v>
      </c>
      <c r="AP810" t="s">
        <v>109</v>
      </c>
    </row>
    <row r="811" spans="1:42" x14ac:dyDescent="0.25">
      <c r="A811" s="28" t="str">
        <f>"12247"</f>
        <v>12247</v>
      </c>
      <c r="B811">
        <v>12247</v>
      </c>
      <c r="C811" t="s">
        <v>2488</v>
      </c>
      <c r="D811" t="s">
        <v>130</v>
      </c>
      <c r="F811" t="s">
        <v>149</v>
      </c>
      <c r="G811" t="s">
        <v>659</v>
      </c>
      <c r="I811" t="s">
        <v>8471</v>
      </c>
      <c r="J811" t="s">
        <v>126</v>
      </c>
      <c r="K811" s="63">
        <v>18705</v>
      </c>
      <c r="L811" s="28">
        <f>DATEDIF(K811,Zwift25!G$1,"Y")</f>
        <v>73</v>
      </c>
      <c r="M811" s="67">
        <f>IF(J811="m",VLOOKUP(L811,'All Solo Adjustments'!A:D,4,FALSE),VLOOKUP(L811,'All Solo Adjustments'!A:J,10,FALSE))</f>
        <v>1.2928240740740742E-2</v>
      </c>
      <c r="N811" s="63"/>
      <c r="O811" s="63"/>
      <c r="P811" s="63"/>
      <c r="Q811" s="63"/>
      <c r="R811" t="s">
        <v>125</v>
      </c>
      <c r="S811" t="s">
        <v>124</v>
      </c>
      <c r="T811" t="s">
        <v>292</v>
      </c>
      <c r="U811" t="s">
        <v>8470</v>
      </c>
      <c r="V811" t="s">
        <v>217</v>
      </c>
      <c r="W811" t="s">
        <v>123</v>
      </c>
      <c r="Y811" t="s">
        <v>8469</v>
      </c>
      <c r="Z811" t="str">
        <f>"01245 443613"</f>
        <v>01245 443613</v>
      </c>
      <c r="AA811" t="str">
        <f>""</f>
        <v/>
      </c>
      <c r="AB811" t="s">
        <v>508</v>
      </c>
      <c r="AC811" t="s">
        <v>8468</v>
      </c>
      <c r="AD811" t="s">
        <v>145</v>
      </c>
      <c r="AE811" s="63">
        <v>45289</v>
      </c>
      <c r="AF811" t="s">
        <v>113</v>
      </c>
      <c r="AG811" t="s">
        <v>111</v>
      </c>
      <c r="AH811" t="s">
        <v>111</v>
      </c>
      <c r="AI811" s="63">
        <v>41335</v>
      </c>
      <c r="AJ811" s="63">
        <v>45657</v>
      </c>
      <c r="AK811" t="s">
        <v>111</v>
      </c>
      <c r="AL811" t="s">
        <v>111</v>
      </c>
      <c r="AM811" t="s">
        <v>111</v>
      </c>
      <c r="AN811" t="s">
        <v>105</v>
      </c>
      <c r="AO811" t="s">
        <v>122</v>
      </c>
      <c r="AP811" t="s">
        <v>122</v>
      </c>
    </row>
    <row r="812" spans="1:42" x14ac:dyDescent="0.25">
      <c r="A812" s="28" t="str">
        <f>"6035"</f>
        <v>6035</v>
      </c>
      <c r="B812">
        <v>6035</v>
      </c>
      <c r="C812" t="s">
        <v>2488</v>
      </c>
      <c r="D812" t="s">
        <v>121</v>
      </c>
      <c r="E812" t="s">
        <v>584</v>
      </c>
      <c r="F812" t="s">
        <v>120</v>
      </c>
      <c r="G812" t="s">
        <v>300</v>
      </c>
      <c r="H812" t="s">
        <v>284</v>
      </c>
      <c r="I812" t="s">
        <v>8467</v>
      </c>
      <c r="J812" t="s">
        <v>7</v>
      </c>
      <c r="K812" s="63">
        <v>23454</v>
      </c>
      <c r="L812" s="28">
        <f>DATEDIF(K812,Zwift25!G$1,"Y")</f>
        <v>60</v>
      </c>
      <c r="M812" s="67">
        <f>IF(J812="m",VLOOKUP(L812,'All Solo Adjustments'!A:D,4,FALSE),VLOOKUP(L812,'All Solo Adjustments'!A:J,10,FALSE))</f>
        <v>3.2060185185185186E-3</v>
      </c>
      <c r="N812" s="63"/>
      <c r="O812" s="63"/>
      <c r="P812" s="63"/>
      <c r="Q812" s="63"/>
      <c r="R812" t="s">
        <v>137</v>
      </c>
      <c r="S812" t="s">
        <v>136</v>
      </c>
      <c r="T812" t="s">
        <v>292</v>
      </c>
      <c r="U812" t="s">
        <v>8466</v>
      </c>
      <c r="V812" t="s">
        <v>8465</v>
      </c>
      <c r="W812" t="s">
        <v>480</v>
      </c>
      <c r="X812" t="s">
        <v>134</v>
      </c>
      <c r="Y812" t="s">
        <v>8464</v>
      </c>
      <c r="Z812" t="str">
        <f>"01425 278139"</f>
        <v>01425 278139</v>
      </c>
      <c r="AA812" t="str">
        <f>"07554118722"</f>
        <v>07554118722</v>
      </c>
      <c r="AB812" t="s">
        <v>1008</v>
      </c>
      <c r="AC812" t="s">
        <v>8463</v>
      </c>
      <c r="AD812" t="s">
        <v>114</v>
      </c>
      <c r="AE812" s="63">
        <v>45355</v>
      </c>
      <c r="AF812" t="s">
        <v>113</v>
      </c>
      <c r="AG812" t="s">
        <v>112</v>
      </c>
      <c r="AH812" t="s">
        <v>112</v>
      </c>
      <c r="AI812" s="63">
        <v>42751</v>
      </c>
      <c r="AJ812" s="63">
        <v>45657</v>
      </c>
      <c r="AK812" t="s">
        <v>111</v>
      </c>
      <c r="AL812" t="s">
        <v>111</v>
      </c>
      <c r="AM812" t="s">
        <v>111</v>
      </c>
      <c r="AN812">
        <v>8051</v>
      </c>
      <c r="AO812" t="s">
        <v>110</v>
      </c>
      <c r="AP812" t="s">
        <v>109</v>
      </c>
    </row>
    <row r="813" spans="1:42" x14ac:dyDescent="0.25">
      <c r="A813" s="28" t="str">
        <f>"15684"</f>
        <v>15684</v>
      </c>
      <c r="B813">
        <v>15684</v>
      </c>
      <c r="C813" t="s">
        <v>2488</v>
      </c>
      <c r="D813" t="s">
        <v>121</v>
      </c>
      <c r="F813" t="s">
        <v>120</v>
      </c>
      <c r="G813" t="s">
        <v>410</v>
      </c>
      <c r="H813" t="s">
        <v>195</v>
      </c>
      <c r="I813" t="s">
        <v>1932</v>
      </c>
      <c r="J813" t="s">
        <v>7</v>
      </c>
      <c r="K813" s="63">
        <v>28112</v>
      </c>
      <c r="L813" s="28">
        <f>DATEDIF(K813,Zwift25!G$1,"Y")</f>
        <v>47</v>
      </c>
      <c r="M813" s="67">
        <f>IF(J813="m",VLOOKUP(L813,'All Solo Adjustments'!A:D,4,FALSE),VLOOKUP(L813,'All Solo Adjustments'!A:J,10,FALSE))</f>
        <v>6.9444444444444436E-4</v>
      </c>
      <c r="N813" s="63"/>
      <c r="O813" s="63"/>
      <c r="P813" s="63"/>
      <c r="Q813" s="63"/>
      <c r="R813" t="s">
        <v>180</v>
      </c>
      <c r="S813" t="s">
        <v>179</v>
      </c>
      <c r="T813" t="s">
        <v>292</v>
      </c>
      <c r="U813" t="s">
        <v>8462</v>
      </c>
      <c r="V813" t="s">
        <v>1837</v>
      </c>
      <c r="W813" t="s">
        <v>983</v>
      </c>
      <c r="Y813" t="s">
        <v>8461</v>
      </c>
      <c r="Z813" t="str">
        <f>"07970506590"</f>
        <v>07970506590</v>
      </c>
      <c r="AA813" t="str">
        <f>""</f>
        <v/>
      </c>
      <c r="AB813" t="s">
        <v>2955</v>
      </c>
      <c r="AC813" t="s">
        <v>8460</v>
      </c>
      <c r="AD813" t="s">
        <v>114</v>
      </c>
      <c r="AE813" s="63">
        <v>45262</v>
      </c>
      <c r="AF813" t="s">
        <v>156</v>
      </c>
      <c r="AG813" t="s">
        <v>112</v>
      </c>
      <c r="AH813" t="s">
        <v>112</v>
      </c>
      <c r="AI813" s="63">
        <v>44970</v>
      </c>
      <c r="AJ813" s="63">
        <v>45657</v>
      </c>
      <c r="AK813" t="s">
        <v>112</v>
      </c>
      <c r="AL813" t="s">
        <v>111</v>
      </c>
      <c r="AM813" t="s">
        <v>111</v>
      </c>
      <c r="AN813">
        <v>30665</v>
      </c>
      <c r="AO813" t="s">
        <v>110</v>
      </c>
      <c r="AP813" t="s">
        <v>109</v>
      </c>
    </row>
    <row r="814" spans="1:42" x14ac:dyDescent="0.25">
      <c r="A814" s="28" t="str">
        <f>"16032"</f>
        <v>16032</v>
      </c>
      <c r="B814">
        <v>16032</v>
      </c>
      <c r="C814" t="s">
        <v>2488</v>
      </c>
      <c r="D814" t="s">
        <v>121</v>
      </c>
      <c r="F814" t="s">
        <v>120</v>
      </c>
      <c r="G814" t="s">
        <v>594</v>
      </c>
      <c r="I814" t="s">
        <v>1932</v>
      </c>
      <c r="J814" t="s">
        <v>7</v>
      </c>
      <c r="K814" s="63">
        <v>25321</v>
      </c>
      <c r="L814" s="28">
        <f>DATEDIF(K814,Zwift25!G$1,"Y")</f>
        <v>55</v>
      </c>
      <c r="M814" s="67">
        <f>IF(J814="m",VLOOKUP(L814,'All Solo Adjustments'!A:D,4,FALSE),VLOOKUP(L814,'All Solo Adjustments'!A:J,10,FALSE))</f>
        <v>2.0601851851851853E-3</v>
      </c>
      <c r="N814" s="63"/>
      <c r="O814" s="63"/>
      <c r="P814" s="63"/>
      <c r="Q814" s="63"/>
      <c r="R814" t="s">
        <v>213</v>
      </c>
      <c r="S814" t="s">
        <v>212</v>
      </c>
      <c r="T814" t="s">
        <v>292</v>
      </c>
      <c r="U814" t="s">
        <v>8459</v>
      </c>
      <c r="W814" t="s">
        <v>1485</v>
      </c>
      <c r="X814" t="s">
        <v>325</v>
      </c>
      <c r="Y814" t="s">
        <v>8458</v>
      </c>
      <c r="Z814" t="str">
        <f>"01942749174"</f>
        <v>01942749174</v>
      </c>
      <c r="AA814" t="str">
        <f>"07584409008"</f>
        <v>07584409008</v>
      </c>
      <c r="AB814" t="s">
        <v>1133</v>
      </c>
      <c r="AC814" t="s">
        <v>8457</v>
      </c>
      <c r="AD814" t="s">
        <v>114</v>
      </c>
      <c r="AE814" s="63">
        <v>45340</v>
      </c>
      <c r="AF814" t="s">
        <v>156</v>
      </c>
      <c r="AG814" t="s">
        <v>112</v>
      </c>
      <c r="AH814" t="s">
        <v>112</v>
      </c>
      <c r="AI814" s="63">
        <v>45340</v>
      </c>
      <c r="AJ814" s="63">
        <v>45657</v>
      </c>
      <c r="AK814" t="s">
        <v>112</v>
      </c>
      <c r="AL814" t="s">
        <v>111</v>
      </c>
      <c r="AM814" t="s">
        <v>111</v>
      </c>
      <c r="AN814">
        <v>5986</v>
      </c>
      <c r="AO814" t="s">
        <v>110</v>
      </c>
      <c r="AP814" t="s">
        <v>109</v>
      </c>
    </row>
    <row r="815" spans="1:42" x14ac:dyDescent="0.25">
      <c r="A815" s="28" t="str">
        <f>"1043"</f>
        <v>1043</v>
      </c>
      <c r="B815">
        <v>1043</v>
      </c>
      <c r="C815" t="s">
        <v>2488</v>
      </c>
      <c r="D815" t="s">
        <v>121</v>
      </c>
      <c r="F815" t="s">
        <v>120</v>
      </c>
      <c r="G815" t="s">
        <v>540</v>
      </c>
      <c r="I815" t="s">
        <v>8456</v>
      </c>
      <c r="J815" t="s">
        <v>7</v>
      </c>
      <c r="K815" s="63">
        <v>12092</v>
      </c>
      <c r="L815" s="28">
        <f>DATEDIF(K815,Zwift25!G$1,"Y")</f>
        <v>91</v>
      </c>
      <c r="M815" s="67">
        <f>IF(J815="m",VLOOKUP(L815,'All Solo Adjustments'!A:D,4,FALSE),VLOOKUP(L815,'All Solo Adjustments'!A:J,10,FALSE))</f>
        <v>1.9363425925925926E-2</v>
      </c>
      <c r="N815" s="63"/>
      <c r="O815" s="63"/>
      <c r="P815" s="63"/>
      <c r="Q815" s="63"/>
      <c r="R815" t="s">
        <v>159</v>
      </c>
      <c r="S815" t="s">
        <v>570</v>
      </c>
      <c r="T815" t="s">
        <v>292</v>
      </c>
      <c r="U815" t="s">
        <v>8455</v>
      </c>
      <c r="V815" t="s">
        <v>693</v>
      </c>
      <c r="W815" t="s">
        <v>159</v>
      </c>
      <c r="Y815" t="s">
        <v>8454</v>
      </c>
      <c r="Z815" t="str">
        <f>"01892 532073"</f>
        <v>01892 532073</v>
      </c>
      <c r="AA815" t="str">
        <f>""</f>
        <v/>
      </c>
      <c r="AB815" t="s">
        <v>298</v>
      </c>
      <c r="AC815" t="s">
        <v>8453</v>
      </c>
      <c r="AD815" t="s">
        <v>151</v>
      </c>
      <c r="AF815" t="s">
        <v>113</v>
      </c>
      <c r="AG815" t="s">
        <v>112</v>
      </c>
      <c r="AH815" t="s">
        <v>112</v>
      </c>
      <c r="AK815" t="s">
        <v>111</v>
      </c>
      <c r="AL815" t="s">
        <v>111</v>
      </c>
      <c r="AM815" t="s">
        <v>111</v>
      </c>
      <c r="AN815" t="s">
        <v>105</v>
      </c>
      <c r="AO815" t="s">
        <v>110</v>
      </c>
      <c r="AP815" t="s">
        <v>109</v>
      </c>
    </row>
    <row r="816" spans="1:42" x14ac:dyDescent="0.25">
      <c r="A816" s="28" t="str">
        <f>"5228"</f>
        <v>5228</v>
      </c>
      <c r="B816">
        <v>5228</v>
      </c>
      <c r="C816" t="s">
        <v>2488</v>
      </c>
      <c r="D816" t="s">
        <v>121</v>
      </c>
      <c r="F816" t="s">
        <v>120</v>
      </c>
      <c r="G816" t="s">
        <v>2146</v>
      </c>
      <c r="I816" t="s">
        <v>8452</v>
      </c>
      <c r="J816" t="s">
        <v>7</v>
      </c>
      <c r="K816" s="63">
        <v>26347</v>
      </c>
      <c r="L816" s="28">
        <f>DATEDIF(K816,Zwift25!G$1,"Y")</f>
        <v>52</v>
      </c>
      <c r="M816" s="67">
        <f>IF(J816="m",VLOOKUP(L816,'All Solo Adjustments'!A:D,4,FALSE),VLOOKUP(L816,'All Solo Adjustments'!A:J,10,FALSE))</f>
        <v>1.4814814814814816E-3</v>
      </c>
      <c r="N816" s="63"/>
      <c r="O816" s="63"/>
      <c r="P816" s="63"/>
      <c r="Q816" s="63"/>
      <c r="R816" t="s">
        <v>383</v>
      </c>
      <c r="S816" t="s">
        <v>382</v>
      </c>
      <c r="T816" t="s">
        <v>292</v>
      </c>
      <c r="U816" t="s">
        <v>8451</v>
      </c>
      <c r="V816" t="s">
        <v>8450</v>
      </c>
      <c r="W816" t="s">
        <v>8449</v>
      </c>
      <c r="X816" t="s">
        <v>1796</v>
      </c>
      <c r="Y816" t="s">
        <v>8448</v>
      </c>
      <c r="Z816" t="str">
        <f>"07515 685439"</f>
        <v>07515 685439</v>
      </c>
      <c r="AA816" t="str">
        <f>""</f>
        <v/>
      </c>
      <c r="AB816" t="s">
        <v>8447</v>
      </c>
      <c r="AC816" t="s">
        <v>8446</v>
      </c>
      <c r="AD816" t="s">
        <v>114</v>
      </c>
      <c r="AE816" s="63">
        <v>45398</v>
      </c>
      <c r="AF816" t="s">
        <v>156</v>
      </c>
      <c r="AG816" t="s">
        <v>112</v>
      </c>
      <c r="AH816" t="s">
        <v>112</v>
      </c>
      <c r="AI816" s="63">
        <v>42026</v>
      </c>
      <c r="AJ816" s="63">
        <v>45657</v>
      </c>
      <c r="AK816" t="s">
        <v>111</v>
      </c>
      <c r="AL816" t="s">
        <v>111</v>
      </c>
      <c r="AM816" t="s">
        <v>111</v>
      </c>
      <c r="AN816">
        <v>4760</v>
      </c>
      <c r="AO816" t="s">
        <v>110</v>
      </c>
      <c r="AP816" t="s">
        <v>109</v>
      </c>
    </row>
    <row r="817" spans="1:42" x14ac:dyDescent="0.25">
      <c r="A817" s="28" t="str">
        <f>"15069"</f>
        <v>15069</v>
      </c>
      <c r="B817">
        <v>15069</v>
      </c>
      <c r="C817" t="s">
        <v>2488</v>
      </c>
      <c r="D817" t="s">
        <v>121</v>
      </c>
      <c r="E817" t="s">
        <v>584</v>
      </c>
      <c r="F817" t="s">
        <v>120</v>
      </c>
      <c r="G817" t="s">
        <v>251</v>
      </c>
      <c r="I817" t="s">
        <v>747</v>
      </c>
      <c r="J817" t="s">
        <v>7</v>
      </c>
      <c r="K817" s="63">
        <v>16490</v>
      </c>
      <c r="L817" s="28">
        <f>DATEDIF(K817,Zwift25!G$1,"Y")</f>
        <v>79</v>
      </c>
      <c r="M817" s="67">
        <f>IF(J817="m",VLOOKUP(L817,'All Solo Adjustments'!A:D,4,FALSE),VLOOKUP(L817,'All Solo Adjustments'!A:J,10,FALSE))</f>
        <v>1.0451388888888889E-2</v>
      </c>
      <c r="N817" s="63"/>
      <c r="O817" s="63"/>
      <c r="P817" s="63"/>
      <c r="Q817" s="63"/>
      <c r="R817" t="s">
        <v>118</v>
      </c>
      <c r="S817" t="s">
        <v>117</v>
      </c>
      <c r="T817" t="s">
        <v>292</v>
      </c>
      <c r="U817" t="s">
        <v>8445</v>
      </c>
      <c r="V817" t="s">
        <v>8444</v>
      </c>
      <c r="W817" t="s">
        <v>968</v>
      </c>
      <c r="X817" t="s">
        <v>968</v>
      </c>
      <c r="Y817" t="s">
        <v>8443</v>
      </c>
      <c r="Z817" t="str">
        <f>"0162955519"</f>
        <v>0162955519</v>
      </c>
      <c r="AA817" t="str">
        <f>"07538932120"</f>
        <v>07538932120</v>
      </c>
      <c r="AB817" t="s">
        <v>1019</v>
      </c>
      <c r="AC817" t="s">
        <v>8442</v>
      </c>
      <c r="AD817" t="s">
        <v>114</v>
      </c>
      <c r="AE817" s="63">
        <v>45262</v>
      </c>
      <c r="AF817" t="s">
        <v>156</v>
      </c>
      <c r="AG817" t="s">
        <v>112</v>
      </c>
      <c r="AH817" t="s">
        <v>112</v>
      </c>
      <c r="AI817" s="63">
        <v>44327</v>
      </c>
      <c r="AJ817" s="63">
        <v>45657</v>
      </c>
      <c r="AK817" t="s">
        <v>112</v>
      </c>
      <c r="AL817" t="s">
        <v>111</v>
      </c>
      <c r="AM817" t="s">
        <v>111</v>
      </c>
      <c r="AN817">
        <v>39227</v>
      </c>
      <c r="AO817" t="s">
        <v>110</v>
      </c>
      <c r="AP817" t="s">
        <v>109</v>
      </c>
    </row>
    <row r="818" spans="1:42" x14ac:dyDescent="0.25">
      <c r="A818" s="28" t="str">
        <f>"15417"</f>
        <v>15417</v>
      </c>
      <c r="B818">
        <v>15417</v>
      </c>
      <c r="C818" t="s">
        <v>2488</v>
      </c>
      <c r="D818" t="s">
        <v>121</v>
      </c>
      <c r="F818" t="s">
        <v>120</v>
      </c>
      <c r="G818" t="s">
        <v>685</v>
      </c>
      <c r="H818" t="s">
        <v>492</v>
      </c>
      <c r="I818" t="s">
        <v>8441</v>
      </c>
      <c r="J818" t="s">
        <v>7</v>
      </c>
      <c r="K818" s="63">
        <v>24247</v>
      </c>
      <c r="L818" s="28">
        <f>DATEDIF(K818,Zwift25!G$1,"Y")</f>
        <v>58</v>
      </c>
      <c r="M818" s="67">
        <f>IF(J818="m",VLOOKUP(L818,'All Solo Adjustments'!A:D,4,FALSE),VLOOKUP(L818,'All Solo Adjustments'!A:J,10,FALSE))</f>
        <v>2.7199074074074074E-3</v>
      </c>
      <c r="N818" s="63"/>
      <c r="O818" s="63"/>
      <c r="P818" s="63"/>
      <c r="Q818" s="63"/>
      <c r="R818" t="s">
        <v>198</v>
      </c>
      <c r="S818" t="s">
        <v>461</v>
      </c>
      <c r="T818" t="s">
        <v>292</v>
      </c>
      <c r="U818" t="s">
        <v>8440</v>
      </c>
      <c r="V818" t="s">
        <v>2065</v>
      </c>
      <c r="W818" t="s">
        <v>1145</v>
      </c>
      <c r="X818" t="s">
        <v>495</v>
      </c>
      <c r="Y818" t="s">
        <v>8439</v>
      </c>
      <c r="Z818" t="str">
        <f>"01785761438"</f>
        <v>01785761438</v>
      </c>
      <c r="AA818" t="str">
        <f>"07910751920"</f>
        <v>07910751920</v>
      </c>
      <c r="AB818" t="s">
        <v>1144</v>
      </c>
      <c r="AC818" t="s">
        <v>8438</v>
      </c>
      <c r="AD818" t="s">
        <v>114</v>
      </c>
      <c r="AE818" s="63">
        <v>45349</v>
      </c>
      <c r="AF818" t="s">
        <v>113</v>
      </c>
      <c r="AG818" t="s">
        <v>112</v>
      </c>
      <c r="AH818" t="s">
        <v>112</v>
      </c>
      <c r="AI818" s="63">
        <v>44649</v>
      </c>
      <c r="AJ818" s="63">
        <v>45657</v>
      </c>
      <c r="AK818" t="s">
        <v>112</v>
      </c>
      <c r="AL818" t="s">
        <v>111</v>
      </c>
      <c r="AM818" t="s">
        <v>111</v>
      </c>
      <c r="AN818">
        <v>7897</v>
      </c>
      <c r="AO818" t="s">
        <v>110</v>
      </c>
      <c r="AP818" t="s">
        <v>109</v>
      </c>
    </row>
    <row r="819" spans="1:42" x14ac:dyDescent="0.25">
      <c r="A819" s="28" t="str">
        <f>"14764"</f>
        <v>14764</v>
      </c>
      <c r="B819">
        <v>14764</v>
      </c>
      <c r="C819" t="s">
        <v>2488</v>
      </c>
      <c r="D819" t="s">
        <v>121</v>
      </c>
      <c r="E819" t="s">
        <v>2500</v>
      </c>
      <c r="F819" t="s">
        <v>120</v>
      </c>
      <c r="G819" t="s">
        <v>520</v>
      </c>
      <c r="H819" t="s">
        <v>2077</v>
      </c>
      <c r="I819" t="s">
        <v>8437</v>
      </c>
      <c r="J819" t="s">
        <v>7</v>
      </c>
      <c r="K819" s="63">
        <v>24552</v>
      </c>
      <c r="L819" s="28">
        <f>DATEDIF(K819,Zwift25!G$1,"Y")</f>
        <v>57</v>
      </c>
      <c r="M819" s="67">
        <f>IF(J819="m",VLOOKUP(L819,'All Solo Adjustments'!A:D,4,FALSE),VLOOKUP(L819,'All Solo Adjustments'!A:J,10,FALSE))</f>
        <v>2.488425925925926E-3</v>
      </c>
      <c r="N819" s="63"/>
      <c r="O819" s="63"/>
      <c r="P819" s="63"/>
      <c r="Q819" s="63"/>
      <c r="R819" t="s">
        <v>198</v>
      </c>
      <c r="S819" t="s">
        <v>461</v>
      </c>
      <c r="T819" t="s">
        <v>292</v>
      </c>
      <c r="U819">
        <v>16</v>
      </c>
      <c r="V819" t="s">
        <v>8436</v>
      </c>
      <c r="W819" t="s">
        <v>969</v>
      </c>
      <c r="X819" t="s">
        <v>968</v>
      </c>
      <c r="Y819" t="s">
        <v>8435</v>
      </c>
      <c r="Z819" t="str">
        <f>"07434937728"</f>
        <v>07434937728</v>
      </c>
      <c r="AA819" t="str">
        <f>"07434937728"</f>
        <v>07434937728</v>
      </c>
      <c r="AB819" t="s">
        <v>1167</v>
      </c>
      <c r="AC819" t="s">
        <v>8434</v>
      </c>
      <c r="AD819" t="s">
        <v>114</v>
      </c>
      <c r="AE819" s="63">
        <v>45252</v>
      </c>
      <c r="AF819" t="s">
        <v>156</v>
      </c>
      <c r="AG819" t="s">
        <v>112</v>
      </c>
      <c r="AH819" t="s">
        <v>112</v>
      </c>
      <c r="AI819" s="63">
        <v>44113</v>
      </c>
      <c r="AJ819" s="63">
        <v>45657</v>
      </c>
      <c r="AK819" t="s">
        <v>112</v>
      </c>
      <c r="AL819" t="s">
        <v>111</v>
      </c>
      <c r="AM819" t="s">
        <v>111</v>
      </c>
      <c r="AN819">
        <v>36469</v>
      </c>
      <c r="AO819" t="s">
        <v>110</v>
      </c>
      <c r="AP819" t="s">
        <v>109</v>
      </c>
    </row>
    <row r="820" spans="1:42" x14ac:dyDescent="0.25">
      <c r="A820" s="28" t="str">
        <f>"1052"</f>
        <v>1052</v>
      </c>
      <c r="B820">
        <v>1052</v>
      </c>
      <c r="C820" t="s">
        <v>2488</v>
      </c>
      <c r="D820" t="s">
        <v>121</v>
      </c>
      <c r="F820" t="s">
        <v>120</v>
      </c>
      <c r="G820" t="s">
        <v>1743</v>
      </c>
      <c r="H820" t="s">
        <v>779</v>
      </c>
      <c r="I820" t="s">
        <v>1455</v>
      </c>
      <c r="J820" t="s">
        <v>7</v>
      </c>
      <c r="K820" s="63">
        <v>11501</v>
      </c>
      <c r="L820" s="28">
        <f>DATEDIF(K820,Zwift25!G$1,"Y")</f>
        <v>93</v>
      </c>
      <c r="M820" s="67">
        <f>IF(J820="m",VLOOKUP(L820,'All Solo Adjustments'!A:D,4,FALSE),VLOOKUP(L820,'All Solo Adjustments'!A:J,10,FALSE))</f>
        <v>2.1516203703703704E-2</v>
      </c>
      <c r="N820" s="63"/>
      <c r="O820" s="63"/>
      <c r="P820" s="63"/>
      <c r="Q820" s="63"/>
      <c r="R820" t="s">
        <v>296</v>
      </c>
      <c r="S820" t="s">
        <v>2310</v>
      </c>
      <c r="T820" t="s">
        <v>292</v>
      </c>
      <c r="U820" t="s">
        <v>8433</v>
      </c>
      <c r="V820" t="s">
        <v>8432</v>
      </c>
      <c r="W820" t="s">
        <v>2447</v>
      </c>
      <c r="Y820" t="s">
        <v>8431</v>
      </c>
      <c r="Z820" t="str">
        <f>"01738 827088"</f>
        <v>01738 827088</v>
      </c>
      <c r="AA820" t="str">
        <f>""</f>
        <v/>
      </c>
      <c r="AB820" t="s">
        <v>4528</v>
      </c>
      <c r="AC820" t="s">
        <v>8430</v>
      </c>
      <c r="AD820" t="s">
        <v>151</v>
      </c>
      <c r="AE820" s="63">
        <v>43110</v>
      </c>
      <c r="AF820" t="s">
        <v>113</v>
      </c>
      <c r="AG820" t="s">
        <v>112</v>
      </c>
      <c r="AH820" t="s">
        <v>112</v>
      </c>
      <c r="AI820" s="63">
        <v>30343</v>
      </c>
      <c r="AK820" t="s">
        <v>111</v>
      </c>
      <c r="AL820" t="s">
        <v>111</v>
      </c>
      <c r="AM820" t="s">
        <v>111</v>
      </c>
      <c r="AN820" t="s">
        <v>105</v>
      </c>
      <c r="AO820" t="s">
        <v>110</v>
      </c>
      <c r="AP820" t="s">
        <v>109</v>
      </c>
    </row>
    <row r="821" spans="1:42" x14ac:dyDescent="0.25">
      <c r="A821" s="28" t="str">
        <f>"14774"</f>
        <v>14774</v>
      </c>
      <c r="B821">
        <v>14774</v>
      </c>
      <c r="C821" t="s">
        <v>2488</v>
      </c>
      <c r="D821" t="s">
        <v>121</v>
      </c>
      <c r="F821" t="s">
        <v>120</v>
      </c>
      <c r="G821" t="s">
        <v>442</v>
      </c>
      <c r="I821" t="s">
        <v>8429</v>
      </c>
      <c r="J821" t="s">
        <v>7</v>
      </c>
      <c r="K821" s="63">
        <v>24510</v>
      </c>
      <c r="L821" s="28">
        <f>DATEDIF(K821,Zwift25!G$1,"Y")</f>
        <v>57</v>
      </c>
      <c r="M821" s="67">
        <f>IF(J821="m",VLOOKUP(L821,'All Solo Adjustments'!A:D,4,FALSE),VLOOKUP(L821,'All Solo Adjustments'!A:J,10,FALSE))</f>
        <v>2.488425925925926E-3</v>
      </c>
      <c r="N821" s="63"/>
      <c r="O821" s="63"/>
      <c r="P821" s="63"/>
      <c r="Q821" s="63"/>
      <c r="R821" t="s">
        <v>239</v>
      </c>
      <c r="S821" t="s">
        <v>274</v>
      </c>
      <c r="T821" t="s">
        <v>292</v>
      </c>
      <c r="U821" t="s">
        <v>8428</v>
      </c>
      <c r="V821" t="s">
        <v>8427</v>
      </c>
      <c r="W821" t="s">
        <v>1427</v>
      </c>
      <c r="Y821" t="s">
        <v>8426</v>
      </c>
      <c r="Z821" t="str">
        <f>"01482 709951"</f>
        <v>01482 709951</v>
      </c>
      <c r="AA821" t="str">
        <f>"07541 131822"</f>
        <v>07541 131822</v>
      </c>
      <c r="AB821" t="s">
        <v>1412</v>
      </c>
      <c r="AC821" t="s">
        <v>8425</v>
      </c>
      <c r="AD821" t="s">
        <v>114</v>
      </c>
      <c r="AE821" s="63">
        <v>45269</v>
      </c>
      <c r="AF821" t="s">
        <v>113</v>
      </c>
      <c r="AG821" t="s">
        <v>112</v>
      </c>
      <c r="AH821" t="s">
        <v>112</v>
      </c>
      <c r="AI821" s="63">
        <v>44125</v>
      </c>
      <c r="AJ821" s="63">
        <v>45657</v>
      </c>
      <c r="AK821" t="s">
        <v>112</v>
      </c>
      <c r="AL821" t="s">
        <v>111</v>
      </c>
      <c r="AM821" t="s">
        <v>111</v>
      </c>
      <c r="AN821">
        <v>18887</v>
      </c>
      <c r="AO821" t="s">
        <v>110</v>
      </c>
      <c r="AP821" t="s">
        <v>109</v>
      </c>
    </row>
    <row r="822" spans="1:42" x14ac:dyDescent="0.25">
      <c r="A822" s="28" t="str">
        <f>"5704"</f>
        <v>5704</v>
      </c>
      <c r="B822">
        <v>5704</v>
      </c>
      <c r="C822" t="s">
        <v>2488</v>
      </c>
      <c r="D822" t="s">
        <v>121</v>
      </c>
      <c r="F822" t="s">
        <v>120</v>
      </c>
      <c r="G822" t="s">
        <v>663</v>
      </c>
      <c r="I822" t="s">
        <v>8424</v>
      </c>
      <c r="J822" t="s">
        <v>7</v>
      </c>
      <c r="K822" s="63">
        <v>12277</v>
      </c>
      <c r="L822" s="28">
        <f>DATEDIF(K822,Zwift25!G$1,"Y")</f>
        <v>91</v>
      </c>
      <c r="M822" s="67">
        <f>IF(J822="m",VLOOKUP(L822,'All Solo Adjustments'!A:D,4,FALSE),VLOOKUP(L822,'All Solo Adjustments'!A:J,10,FALSE))</f>
        <v>1.9363425925925926E-2</v>
      </c>
      <c r="N822" s="63"/>
      <c r="O822" s="63"/>
      <c r="P822" s="63"/>
      <c r="Q822" s="63"/>
      <c r="R822" t="s">
        <v>154</v>
      </c>
      <c r="S822" t="s">
        <v>153</v>
      </c>
      <c r="T822" t="s">
        <v>292</v>
      </c>
      <c r="U822" t="s">
        <v>8423</v>
      </c>
      <c r="V822" t="s">
        <v>8422</v>
      </c>
      <c r="W822" t="s">
        <v>591</v>
      </c>
      <c r="Y822" t="s">
        <v>8421</v>
      </c>
      <c r="Z822" t="str">
        <f>"01793 612662"</f>
        <v>01793 612662</v>
      </c>
      <c r="AA822" t="str">
        <f>"07473 740529"</f>
        <v>07473 740529</v>
      </c>
      <c r="AB822" t="s">
        <v>8420</v>
      </c>
      <c r="AC822" t="s">
        <v>8419</v>
      </c>
      <c r="AD822" t="s">
        <v>145</v>
      </c>
      <c r="AE822" s="63">
        <v>45333</v>
      </c>
      <c r="AF822" t="s">
        <v>156</v>
      </c>
      <c r="AG822" t="s">
        <v>112</v>
      </c>
      <c r="AH822" t="s">
        <v>112</v>
      </c>
      <c r="AI822" s="63">
        <v>42239</v>
      </c>
      <c r="AJ822" s="63">
        <v>45657</v>
      </c>
      <c r="AK822" t="s">
        <v>111</v>
      </c>
      <c r="AL822" t="s">
        <v>111</v>
      </c>
      <c r="AM822" t="s">
        <v>111</v>
      </c>
      <c r="AN822" t="s">
        <v>105</v>
      </c>
      <c r="AO822" t="s">
        <v>110</v>
      </c>
      <c r="AP822" t="s">
        <v>109</v>
      </c>
    </row>
    <row r="823" spans="1:42" x14ac:dyDescent="0.25">
      <c r="A823" s="28" t="str">
        <f>"15575"</f>
        <v>15575</v>
      </c>
      <c r="B823">
        <v>15575</v>
      </c>
      <c r="C823" t="s">
        <v>2488</v>
      </c>
      <c r="D823" t="s">
        <v>121</v>
      </c>
      <c r="F823" t="s">
        <v>120</v>
      </c>
      <c r="G823" t="s">
        <v>164</v>
      </c>
      <c r="I823" t="s">
        <v>8418</v>
      </c>
      <c r="J823" t="s">
        <v>7</v>
      </c>
      <c r="K823" s="63">
        <v>28732</v>
      </c>
      <c r="L823" s="28">
        <f>DATEDIF(K823,Zwift25!G$1,"Y")</f>
        <v>46</v>
      </c>
      <c r="M823" s="67">
        <f>IF(J823="m",VLOOKUP(L823,'All Solo Adjustments'!A:D,4,FALSE),VLOOKUP(L823,'All Solo Adjustments'!A:J,10,FALSE))</f>
        <v>5.6712962962962956E-4</v>
      </c>
      <c r="N823" s="63"/>
      <c r="O823" s="63"/>
      <c r="P823" s="63"/>
      <c r="Q823" s="63"/>
      <c r="R823" t="s">
        <v>328</v>
      </c>
      <c r="S823" t="s">
        <v>327</v>
      </c>
      <c r="T823" t="s">
        <v>292</v>
      </c>
      <c r="U823" t="s">
        <v>8417</v>
      </c>
      <c r="V823" t="s">
        <v>8416</v>
      </c>
      <c r="Y823" t="s">
        <v>8415</v>
      </c>
      <c r="Z823" t="str">
        <f>"07917122552"</f>
        <v>07917122552</v>
      </c>
      <c r="AA823" t="str">
        <f>""</f>
        <v/>
      </c>
      <c r="AB823" t="s">
        <v>831</v>
      </c>
      <c r="AC823" t="s">
        <v>8414</v>
      </c>
      <c r="AD823" t="s">
        <v>114</v>
      </c>
      <c r="AE823" s="63">
        <v>45278</v>
      </c>
      <c r="AF823" t="s">
        <v>156</v>
      </c>
      <c r="AG823" t="s">
        <v>112</v>
      </c>
      <c r="AH823" t="s">
        <v>112</v>
      </c>
      <c r="AI823" s="63">
        <v>44788</v>
      </c>
      <c r="AJ823" s="63">
        <v>45657</v>
      </c>
      <c r="AK823" t="s">
        <v>112</v>
      </c>
      <c r="AL823" t="s">
        <v>111</v>
      </c>
      <c r="AM823" t="s">
        <v>111</v>
      </c>
      <c r="AN823">
        <v>15414</v>
      </c>
      <c r="AO823" t="s">
        <v>110</v>
      </c>
      <c r="AP823" t="s">
        <v>109</v>
      </c>
    </row>
    <row r="824" spans="1:42" x14ac:dyDescent="0.25">
      <c r="A824" s="28" t="str">
        <f>"3852"</f>
        <v>3852</v>
      </c>
      <c r="B824">
        <v>3852</v>
      </c>
      <c r="C824" t="s">
        <v>2488</v>
      </c>
      <c r="D824" t="s">
        <v>121</v>
      </c>
      <c r="E824" t="s">
        <v>584</v>
      </c>
      <c r="F824" t="s">
        <v>120</v>
      </c>
      <c r="G824" t="s">
        <v>400</v>
      </c>
      <c r="H824" t="s">
        <v>165</v>
      </c>
      <c r="I824" t="s">
        <v>889</v>
      </c>
      <c r="J824" t="s">
        <v>7</v>
      </c>
      <c r="K824" s="63">
        <v>22979</v>
      </c>
      <c r="L824" s="28">
        <f>DATEDIF(K824,Zwift25!G$1,"Y")</f>
        <v>61</v>
      </c>
      <c r="M824" s="67">
        <f>IF(J824="m",VLOOKUP(L824,'All Solo Adjustments'!A:D,4,FALSE),VLOOKUP(L824,'All Solo Adjustments'!A:J,10,FALSE))</f>
        <v>3.4722222222222225E-3</v>
      </c>
      <c r="N824" s="63"/>
      <c r="O824" s="63"/>
      <c r="P824" s="63"/>
      <c r="Q824" s="63"/>
      <c r="R824" t="s">
        <v>159</v>
      </c>
      <c r="S824" t="s">
        <v>162</v>
      </c>
      <c r="T824" t="s">
        <v>292</v>
      </c>
      <c r="U824" t="s">
        <v>8413</v>
      </c>
      <c r="V824" t="s">
        <v>416</v>
      </c>
      <c r="W824" t="s">
        <v>159</v>
      </c>
      <c r="Y824" t="s">
        <v>8412</v>
      </c>
      <c r="Z824" t="str">
        <f>"07813085640"</f>
        <v>07813085640</v>
      </c>
      <c r="AA824" t="str">
        <f>""</f>
        <v/>
      </c>
      <c r="AB824" t="s">
        <v>415</v>
      </c>
      <c r="AC824" t="s">
        <v>8411</v>
      </c>
      <c r="AD824" t="s">
        <v>114</v>
      </c>
      <c r="AE824" s="63">
        <v>45291</v>
      </c>
      <c r="AF824" t="s">
        <v>156</v>
      </c>
      <c r="AG824" t="s">
        <v>112</v>
      </c>
      <c r="AH824" t="s">
        <v>112</v>
      </c>
      <c r="AI824" s="63">
        <v>43462</v>
      </c>
      <c r="AJ824" s="63">
        <v>45657</v>
      </c>
      <c r="AK824" t="s">
        <v>111</v>
      </c>
      <c r="AL824" t="s">
        <v>111</v>
      </c>
      <c r="AM824" t="s">
        <v>111</v>
      </c>
      <c r="AN824">
        <v>1138</v>
      </c>
      <c r="AO824" t="s">
        <v>110</v>
      </c>
      <c r="AP824" t="s">
        <v>109</v>
      </c>
    </row>
    <row r="825" spans="1:42" x14ac:dyDescent="0.25">
      <c r="A825" s="28" t="str">
        <f>"14337"</f>
        <v>14337</v>
      </c>
      <c r="B825">
        <v>14337</v>
      </c>
      <c r="C825" t="s">
        <v>2488</v>
      </c>
      <c r="D825" t="s">
        <v>121</v>
      </c>
      <c r="E825" t="s">
        <v>584</v>
      </c>
      <c r="F825" t="s">
        <v>120</v>
      </c>
      <c r="G825" t="s">
        <v>251</v>
      </c>
      <c r="H825" t="s">
        <v>4527</v>
      </c>
      <c r="I825" t="s">
        <v>889</v>
      </c>
      <c r="J825" t="s">
        <v>7</v>
      </c>
      <c r="K825" s="63">
        <v>25452</v>
      </c>
      <c r="L825" s="28">
        <f>DATEDIF(K825,Zwift25!G$1,"Y")</f>
        <v>55</v>
      </c>
      <c r="M825" s="67">
        <f>IF(J825="m",VLOOKUP(L825,'All Solo Adjustments'!A:D,4,FALSE),VLOOKUP(L825,'All Solo Adjustments'!A:J,10,FALSE))</f>
        <v>2.0601851851851853E-3</v>
      </c>
      <c r="N825" s="63"/>
      <c r="O825" s="63"/>
      <c r="P825" s="63"/>
      <c r="Q825" s="63"/>
      <c r="R825" t="s">
        <v>296</v>
      </c>
      <c r="S825" t="s">
        <v>295</v>
      </c>
      <c r="T825" t="s">
        <v>292</v>
      </c>
      <c r="U825" t="s">
        <v>8410</v>
      </c>
      <c r="W825" t="s">
        <v>1041</v>
      </c>
      <c r="X825" t="s">
        <v>296</v>
      </c>
      <c r="Y825" t="s">
        <v>8409</v>
      </c>
      <c r="Z825" t="str">
        <f>"+447834570212"</f>
        <v>+447834570212</v>
      </c>
      <c r="AA825" t="str">
        <f>""</f>
        <v/>
      </c>
      <c r="AB825" t="s">
        <v>2183</v>
      </c>
      <c r="AC825" t="s">
        <v>8408</v>
      </c>
      <c r="AD825" t="s">
        <v>114</v>
      </c>
      <c r="AE825" s="63">
        <v>45265</v>
      </c>
      <c r="AF825" t="s">
        <v>156</v>
      </c>
      <c r="AG825" t="s">
        <v>112</v>
      </c>
      <c r="AH825" t="s">
        <v>112</v>
      </c>
      <c r="AI825" s="63">
        <v>43684</v>
      </c>
      <c r="AJ825" s="63">
        <v>45657</v>
      </c>
      <c r="AK825" t="s">
        <v>112</v>
      </c>
      <c r="AL825" t="s">
        <v>111</v>
      </c>
      <c r="AM825" t="s">
        <v>111</v>
      </c>
      <c r="AN825">
        <v>31900</v>
      </c>
      <c r="AO825" t="s">
        <v>110</v>
      </c>
      <c r="AP825" t="s">
        <v>109</v>
      </c>
    </row>
    <row r="826" spans="1:42" x14ac:dyDescent="0.25">
      <c r="A826" s="28" t="str">
        <f>"15045"</f>
        <v>15045</v>
      </c>
      <c r="B826">
        <v>15045</v>
      </c>
      <c r="C826" t="s">
        <v>2488</v>
      </c>
      <c r="D826" t="s">
        <v>121</v>
      </c>
      <c r="E826" t="s">
        <v>584</v>
      </c>
      <c r="F826" t="s">
        <v>120</v>
      </c>
      <c r="G826" t="s">
        <v>601</v>
      </c>
      <c r="I826" t="s">
        <v>889</v>
      </c>
      <c r="J826" t="s">
        <v>7</v>
      </c>
      <c r="K826" s="63">
        <v>27608</v>
      </c>
      <c r="L826" s="28">
        <f>DATEDIF(K826,Zwift25!G$1,"Y")</f>
        <v>49</v>
      </c>
      <c r="M826" s="67">
        <f>IF(J826="m",VLOOKUP(L826,'All Solo Adjustments'!A:D,4,FALSE),VLOOKUP(L826,'All Solo Adjustments'!A:J,10,FALSE))</f>
        <v>9.837962962962962E-4</v>
      </c>
      <c r="N826" s="63"/>
      <c r="O826" s="63"/>
      <c r="P826" s="63"/>
      <c r="Q826" s="63"/>
      <c r="R826" t="s">
        <v>239</v>
      </c>
      <c r="S826" t="s">
        <v>274</v>
      </c>
      <c r="T826" t="s">
        <v>292</v>
      </c>
      <c r="U826" t="s">
        <v>8407</v>
      </c>
      <c r="V826" t="s">
        <v>422</v>
      </c>
      <c r="W826" t="s">
        <v>869</v>
      </c>
      <c r="Y826" t="s">
        <v>8406</v>
      </c>
      <c r="Z826" t="str">
        <f>"07976120091"</f>
        <v>07976120091</v>
      </c>
      <c r="AA826" t="str">
        <f>""</f>
        <v/>
      </c>
      <c r="AB826" t="s">
        <v>2536</v>
      </c>
      <c r="AC826" t="s">
        <v>8405</v>
      </c>
      <c r="AD826" t="s">
        <v>114</v>
      </c>
      <c r="AE826" s="63">
        <v>45244</v>
      </c>
      <c r="AF826" t="s">
        <v>156</v>
      </c>
      <c r="AG826" t="s">
        <v>112</v>
      </c>
      <c r="AH826" t="s">
        <v>112</v>
      </c>
      <c r="AI826" s="63">
        <v>44318</v>
      </c>
      <c r="AJ826" s="63">
        <v>45657</v>
      </c>
      <c r="AK826" t="s">
        <v>112</v>
      </c>
      <c r="AL826" t="s">
        <v>111</v>
      </c>
      <c r="AM826" t="s">
        <v>111</v>
      </c>
      <c r="AN826">
        <v>38973</v>
      </c>
      <c r="AO826" t="s">
        <v>110</v>
      </c>
      <c r="AP826" t="s">
        <v>109</v>
      </c>
    </row>
    <row r="827" spans="1:42" x14ac:dyDescent="0.25">
      <c r="A827" s="28" t="str">
        <f>"15925"</f>
        <v>15925</v>
      </c>
      <c r="B827">
        <v>15925</v>
      </c>
      <c r="C827" t="s">
        <v>2488</v>
      </c>
      <c r="D827" t="s">
        <v>121</v>
      </c>
      <c r="E827" t="s">
        <v>584</v>
      </c>
      <c r="F827" t="s">
        <v>120</v>
      </c>
      <c r="G827" t="s">
        <v>399</v>
      </c>
      <c r="H827" t="s">
        <v>8404</v>
      </c>
      <c r="I827" t="s">
        <v>889</v>
      </c>
      <c r="J827" t="s">
        <v>7</v>
      </c>
      <c r="K827" s="63">
        <v>24411</v>
      </c>
      <c r="L827" s="28">
        <f>DATEDIF(K827,Zwift25!G$1,"Y")</f>
        <v>57</v>
      </c>
      <c r="M827" s="67">
        <f>IF(J827="m",VLOOKUP(L827,'All Solo Adjustments'!A:D,4,FALSE),VLOOKUP(L827,'All Solo Adjustments'!A:J,10,FALSE))</f>
        <v>2.488425925925926E-3</v>
      </c>
      <c r="N827" s="63"/>
      <c r="O827" s="63"/>
      <c r="P827" s="63"/>
      <c r="Q827" s="63"/>
      <c r="R827" t="s">
        <v>239</v>
      </c>
      <c r="S827" t="s">
        <v>274</v>
      </c>
      <c r="T827" t="s">
        <v>292</v>
      </c>
      <c r="U827" t="s">
        <v>1896</v>
      </c>
      <c r="V827" t="s">
        <v>1895</v>
      </c>
      <c r="W827" t="s">
        <v>1894</v>
      </c>
      <c r="X827" t="s">
        <v>236</v>
      </c>
      <c r="Y827" t="s">
        <v>1893</v>
      </c>
      <c r="Z827" t="str">
        <f>"07867311131"</f>
        <v>07867311131</v>
      </c>
      <c r="AA827" t="str">
        <f>""</f>
        <v/>
      </c>
      <c r="AB827" t="s">
        <v>1440</v>
      </c>
      <c r="AC827" t="s">
        <v>8403</v>
      </c>
      <c r="AD827" t="s">
        <v>114</v>
      </c>
      <c r="AE827" s="63">
        <v>45364</v>
      </c>
      <c r="AF827" t="s">
        <v>156</v>
      </c>
      <c r="AG827" t="s">
        <v>112</v>
      </c>
      <c r="AH827" t="s">
        <v>112</v>
      </c>
      <c r="AI827" s="63">
        <v>45176</v>
      </c>
      <c r="AJ827" s="63">
        <v>45657</v>
      </c>
      <c r="AK827" t="s">
        <v>112</v>
      </c>
      <c r="AL827" t="s">
        <v>111</v>
      </c>
      <c r="AM827" t="s">
        <v>111</v>
      </c>
      <c r="AN827">
        <v>46973</v>
      </c>
      <c r="AO827" t="s">
        <v>110</v>
      </c>
      <c r="AP827" t="s">
        <v>109</v>
      </c>
    </row>
    <row r="828" spans="1:42" x14ac:dyDescent="0.25">
      <c r="A828" s="28" t="str">
        <f>"5147"</f>
        <v>5147</v>
      </c>
      <c r="B828">
        <v>5147</v>
      </c>
      <c r="C828" t="s">
        <v>2488</v>
      </c>
      <c r="D828" t="s">
        <v>121</v>
      </c>
      <c r="F828" t="s">
        <v>120</v>
      </c>
      <c r="G828" t="s">
        <v>8402</v>
      </c>
      <c r="I828" t="s">
        <v>8401</v>
      </c>
      <c r="J828" t="s">
        <v>7</v>
      </c>
      <c r="K828" s="63">
        <v>26745</v>
      </c>
      <c r="L828" s="28">
        <f>DATEDIF(K828,Zwift25!G$1,"Y")</f>
        <v>51</v>
      </c>
      <c r="M828" s="67">
        <f>IF(J828="m",VLOOKUP(L828,'All Solo Adjustments'!A:D,4,FALSE),VLOOKUP(L828,'All Solo Adjustments'!A:J,10,FALSE))</f>
        <v>1.3078703703703703E-3</v>
      </c>
      <c r="N828" s="63"/>
      <c r="O828" s="63"/>
      <c r="P828" s="63"/>
      <c r="Q828" s="63"/>
      <c r="R828" t="s">
        <v>125</v>
      </c>
      <c r="S828" t="s">
        <v>170</v>
      </c>
      <c r="T828" t="s">
        <v>292</v>
      </c>
      <c r="U828" t="s">
        <v>8400</v>
      </c>
      <c r="V828" t="s">
        <v>597</v>
      </c>
      <c r="W828" t="s">
        <v>123</v>
      </c>
      <c r="Y828" t="s">
        <v>8399</v>
      </c>
      <c r="Z828" t="str">
        <f>"07902 641742"</f>
        <v>07902 641742</v>
      </c>
      <c r="AA828" t="str">
        <f>""</f>
        <v/>
      </c>
      <c r="AB828" t="s">
        <v>596</v>
      </c>
      <c r="AC828" t="s">
        <v>8398</v>
      </c>
      <c r="AD828" t="s">
        <v>114</v>
      </c>
      <c r="AE828" s="63">
        <v>45303</v>
      </c>
      <c r="AF828" t="s">
        <v>113</v>
      </c>
      <c r="AG828" t="s">
        <v>112</v>
      </c>
      <c r="AH828" t="s">
        <v>112</v>
      </c>
      <c r="AI828" s="63">
        <v>41875</v>
      </c>
      <c r="AJ828" s="63">
        <v>45657</v>
      </c>
      <c r="AK828" t="s">
        <v>111</v>
      </c>
      <c r="AL828" t="s">
        <v>111</v>
      </c>
      <c r="AM828" t="s">
        <v>111</v>
      </c>
      <c r="AN828">
        <v>1189</v>
      </c>
      <c r="AO828" t="s">
        <v>110</v>
      </c>
      <c r="AP828" t="s">
        <v>109</v>
      </c>
    </row>
    <row r="829" spans="1:42" x14ac:dyDescent="0.25">
      <c r="A829" s="28" t="str">
        <f>"1062"</f>
        <v>1062</v>
      </c>
      <c r="B829">
        <v>1062</v>
      </c>
      <c r="C829" t="s">
        <v>2488</v>
      </c>
      <c r="D829" t="s">
        <v>121</v>
      </c>
      <c r="F829" t="s">
        <v>120</v>
      </c>
      <c r="G829" t="s">
        <v>195</v>
      </c>
      <c r="I829" t="s">
        <v>8397</v>
      </c>
      <c r="J829" t="s">
        <v>7</v>
      </c>
      <c r="K829" s="63">
        <v>15002</v>
      </c>
      <c r="L829" s="28">
        <f>DATEDIF(K829,Zwift25!G$1,"Y")</f>
        <v>83</v>
      </c>
      <c r="M829" s="67">
        <f>IF(J829="m",VLOOKUP(L829,'All Solo Adjustments'!A:D,4,FALSE),VLOOKUP(L829,'All Solo Adjustments'!A:J,10,FALSE))</f>
        <v>1.2858796296296297E-2</v>
      </c>
      <c r="N829" s="63"/>
      <c r="O829" s="63"/>
      <c r="P829" s="63"/>
      <c r="Q829" s="63"/>
      <c r="R829" t="s">
        <v>125</v>
      </c>
      <c r="S829" t="s">
        <v>170</v>
      </c>
      <c r="T829" t="s">
        <v>292</v>
      </c>
      <c r="U829" t="s">
        <v>8396</v>
      </c>
      <c r="V829" t="s">
        <v>1414</v>
      </c>
      <c r="W829" t="s">
        <v>123</v>
      </c>
      <c r="Y829" t="s">
        <v>8395</v>
      </c>
      <c r="Z829" t="str">
        <f>"01268 566000"</f>
        <v>01268 566000</v>
      </c>
      <c r="AA829" t="str">
        <f>"07776446600"</f>
        <v>07776446600</v>
      </c>
      <c r="AB829" t="s">
        <v>1547</v>
      </c>
      <c r="AC829" t="s">
        <v>8394</v>
      </c>
      <c r="AD829" t="s">
        <v>114</v>
      </c>
      <c r="AE829" s="63">
        <v>45262</v>
      </c>
      <c r="AF829" t="s">
        <v>113</v>
      </c>
      <c r="AG829" t="s">
        <v>112</v>
      </c>
      <c r="AH829" t="s">
        <v>112</v>
      </c>
      <c r="AI829" s="63">
        <v>38846</v>
      </c>
      <c r="AJ829" s="63">
        <v>45657</v>
      </c>
      <c r="AK829" t="s">
        <v>111</v>
      </c>
      <c r="AL829" t="s">
        <v>111</v>
      </c>
      <c r="AM829" t="s">
        <v>111</v>
      </c>
      <c r="AN829">
        <v>6909</v>
      </c>
      <c r="AO829" t="s">
        <v>110</v>
      </c>
      <c r="AP829" t="s">
        <v>109</v>
      </c>
    </row>
    <row r="830" spans="1:42" x14ac:dyDescent="0.25">
      <c r="A830" s="28" t="str">
        <f>"1063"</f>
        <v>1063</v>
      </c>
      <c r="B830">
        <v>1063</v>
      </c>
      <c r="C830" t="s">
        <v>2488</v>
      </c>
      <c r="D830" t="s">
        <v>121</v>
      </c>
      <c r="F830" t="s">
        <v>149</v>
      </c>
      <c r="G830" t="s">
        <v>1529</v>
      </c>
      <c r="I830" t="s">
        <v>8393</v>
      </c>
      <c r="J830" t="s">
        <v>126</v>
      </c>
      <c r="K830" s="63">
        <v>12414</v>
      </c>
      <c r="L830" s="28">
        <f>DATEDIF(K830,Zwift25!G$1,"Y")</f>
        <v>90</v>
      </c>
      <c r="M830" s="67">
        <f>IF(J830="m",VLOOKUP(L830,'All Solo Adjustments'!A:D,4,FALSE),VLOOKUP(L830,'All Solo Adjustments'!A:J,10,FALSE))</f>
        <v>2.5138888888888888E-2</v>
      </c>
      <c r="N830" s="63"/>
      <c r="O830" s="63"/>
      <c r="P830" s="63"/>
      <c r="Q830" s="63"/>
      <c r="R830" t="s">
        <v>180</v>
      </c>
      <c r="S830" t="s">
        <v>2288</v>
      </c>
      <c r="T830" t="s">
        <v>292</v>
      </c>
      <c r="U830" t="s">
        <v>8392</v>
      </c>
      <c r="V830" t="s">
        <v>8391</v>
      </c>
      <c r="W830" t="s">
        <v>8390</v>
      </c>
      <c r="X830" t="s">
        <v>968</v>
      </c>
      <c r="Y830" t="s">
        <v>8389</v>
      </c>
      <c r="Z830" t="str">
        <f>""</f>
        <v/>
      </c>
      <c r="AA830" t="str">
        <f>""</f>
        <v/>
      </c>
      <c r="AB830" t="s">
        <v>2955</v>
      </c>
      <c r="AD830" t="s">
        <v>151</v>
      </c>
      <c r="AF830" t="s">
        <v>113</v>
      </c>
      <c r="AG830" t="s">
        <v>112</v>
      </c>
      <c r="AH830" t="s">
        <v>112</v>
      </c>
      <c r="AK830" t="s">
        <v>111</v>
      </c>
      <c r="AL830" t="s">
        <v>111</v>
      </c>
      <c r="AM830" t="s">
        <v>111</v>
      </c>
      <c r="AN830" t="s">
        <v>105</v>
      </c>
      <c r="AO830" t="s">
        <v>122</v>
      </c>
      <c r="AP830" t="s">
        <v>122</v>
      </c>
    </row>
    <row r="831" spans="1:42" x14ac:dyDescent="0.25">
      <c r="A831" s="28" t="str">
        <f>"14609"</f>
        <v>14609</v>
      </c>
      <c r="B831">
        <v>14609</v>
      </c>
      <c r="C831" t="s">
        <v>2488</v>
      </c>
      <c r="D831" t="s">
        <v>121</v>
      </c>
      <c r="F831" t="s">
        <v>120</v>
      </c>
      <c r="G831" t="s">
        <v>304</v>
      </c>
      <c r="H831" t="s">
        <v>165</v>
      </c>
      <c r="I831" t="s">
        <v>8388</v>
      </c>
      <c r="J831" t="s">
        <v>7</v>
      </c>
      <c r="K831" s="63">
        <v>26147</v>
      </c>
      <c r="L831" s="28">
        <f>DATEDIF(K831,Zwift25!G$1,"Y")</f>
        <v>53</v>
      </c>
      <c r="M831" s="67">
        <f>IF(J831="m",VLOOKUP(L831,'All Solo Adjustments'!A:D,4,FALSE),VLOOKUP(L831,'All Solo Adjustments'!A:J,10,FALSE))</f>
        <v>1.6666666666666668E-3</v>
      </c>
      <c r="N831" s="63"/>
      <c r="O831" s="63"/>
      <c r="P831" s="63"/>
      <c r="Q831" s="63"/>
      <c r="R831" t="s">
        <v>198</v>
      </c>
      <c r="S831" t="s">
        <v>461</v>
      </c>
      <c r="T831" t="s">
        <v>292</v>
      </c>
      <c r="U831" t="s">
        <v>8387</v>
      </c>
      <c r="V831" t="s">
        <v>8386</v>
      </c>
      <c r="W831" t="s">
        <v>8385</v>
      </c>
      <c r="X831" t="s">
        <v>869</v>
      </c>
      <c r="Y831" t="s">
        <v>8384</v>
      </c>
      <c r="Z831" t="str">
        <f>"07957137312"</f>
        <v>07957137312</v>
      </c>
      <c r="AA831" t="str">
        <f>""</f>
        <v/>
      </c>
      <c r="AB831" t="s">
        <v>216</v>
      </c>
      <c r="AC831" t="s">
        <v>8383</v>
      </c>
      <c r="AD831" t="s">
        <v>114</v>
      </c>
      <c r="AE831" s="63">
        <v>45347</v>
      </c>
      <c r="AF831" t="s">
        <v>156</v>
      </c>
      <c r="AG831" t="s">
        <v>112</v>
      </c>
      <c r="AH831" t="s">
        <v>112</v>
      </c>
      <c r="AI831" s="63">
        <v>44033</v>
      </c>
      <c r="AJ831" s="63">
        <v>45657</v>
      </c>
      <c r="AK831" t="s">
        <v>112</v>
      </c>
      <c r="AL831" t="s">
        <v>111</v>
      </c>
      <c r="AM831" t="s">
        <v>111</v>
      </c>
      <c r="AN831">
        <v>34571</v>
      </c>
      <c r="AO831" t="s">
        <v>110</v>
      </c>
      <c r="AP831" t="s">
        <v>109</v>
      </c>
    </row>
    <row r="832" spans="1:42" x14ac:dyDescent="0.25">
      <c r="A832" s="28" t="str">
        <f>"1064"</f>
        <v>1064</v>
      </c>
      <c r="B832">
        <v>1064</v>
      </c>
      <c r="C832" t="s">
        <v>2488</v>
      </c>
      <c r="D832" t="s">
        <v>121</v>
      </c>
      <c r="F832" t="s">
        <v>120</v>
      </c>
      <c r="G832" t="s">
        <v>181</v>
      </c>
      <c r="I832" t="s">
        <v>1526</v>
      </c>
      <c r="J832" t="s">
        <v>7</v>
      </c>
      <c r="K832" s="63">
        <v>16446</v>
      </c>
      <c r="L832" s="28">
        <f>DATEDIF(K832,Zwift25!G$1,"Y")</f>
        <v>79</v>
      </c>
      <c r="M832" s="67">
        <f>IF(J832="m",VLOOKUP(L832,'All Solo Adjustments'!A:D,4,FALSE),VLOOKUP(L832,'All Solo Adjustments'!A:J,10,FALSE))</f>
        <v>1.0451388888888889E-2</v>
      </c>
      <c r="N832" s="63"/>
      <c r="O832" s="63"/>
      <c r="P832" s="63"/>
      <c r="Q832" s="63"/>
      <c r="R832" t="s">
        <v>527</v>
      </c>
      <c r="S832" t="s">
        <v>526</v>
      </c>
      <c r="T832" t="s">
        <v>292</v>
      </c>
      <c r="U832" t="s">
        <v>8382</v>
      </c>
      <c r="V832" t="s">
        <v>8381</v>
      </c>
      <c r="W832" t="s">
        <v>3985</v>
      </c>
      <c r="Y832" t="s">
        <v>8380</v>
      </c>
      <c r="Z832" t="str">
        <f>"01740 644053"</f>
        <v>01740 644053</v>
      </c>
      <c r="AA832" t="str">
        <f>""</f>
        <v/>
      </c>
      <c r="AB832" t="s">
        <v>1049</v>
      </c>
      <c r="AC832" t="s">
        <v>8379</v>
      </c>
      <c r="AD832" t="s">
        <v>145</v>
      </c>
      <c r="AE832" s="63">
        <v>45299</v>
      </c>
      <c r="AF832" t="s">
        <v>113</v>
      </c>
      <c r="AG832" t="s">
        <v>112</v>
      </c>
      <c r="AH832" t="s">
        <v>112</v>
      </c>
      <c r="AI832" s="63">
        <v>43471</v>
      </c>
      <c r="AJ832" s="63">
        <v>45657</v>
      </c>
      <c r="AK832" t="s">
        <v>111</v>
      </c>
      <c r="AL832" t="s">
        <v>111</v>
      </c>
      <c r="AM832" t="s">
        <v>111</v>
      </c>
      <c r="AN832" t="s">
        <v>105</v>
      </c>
      <c r="AO832" t="s">
        <v>110</v>
      </c>
      <c r="AP832" t="s">
        <v>109</v>
      </c>
    </row>
    <row r="833" spans="1:42" x14ac:dyDescent="0.25">
      <c r="A833" s="28" t="str">
        <f>"1066"</f>
        <v>1066</v>
      </c>
      <c r="B833">
        <v>1066</v>
      </c>
      <c r="C833" t="s">
        <v>2488</v>
      </c>
      <c r="D833" t="s">
        <v>121</v>
      </c>
      <c r="F833" t="s">
        <v>120</v>
      </c>
      <c r="G833" t="s">
        <v>251</v>
      </c>
      <c r="H833" t="s">
        <v>952</v>
      </c>
      <c r="I833" t="s">
        <v>8378</v>
      </c>
      <c r="J833" t="s">
        <v>7</v>
      </c>
      <c r="K833" s="63">
        <v>17552</v>
      </c>
      <c r="L833" s="28">
        <f>DATEDIF(K833,Zwift25!G$1,"Y")</f>
        <v>76</v>
      </c>
      <c r="M833" s="67">
        <f>IF(J833="m",VLOOKUP(L833,'All Solo Adjustments'!A:D,4,FALSE),VLOOKUP(L833,'All Solo Adjustments'!A:J,10,FALSE))</f>
        <v>8.912037037037036E-3</v>
      </c>
      <c r="N833" s="63"/>
      <c r="O833" s="63"/>
      <c r="P833" s="63"/>
      <c r="Q833" s="63"/>
      <c r="R833" t="s">
        <v>180</v>
      </c>
      <c r="S833" t="s">
        <v>179</v>
      </c>
      <c r="T833" t="s">
        <v>292</v>
      </c>
      <c r="U833" t="s">
        <v>8377</v>
      </c>
      <c r="V833" t="s">
        <v>8376</v>
      </c>
      <c r="W833" t="s">
        <v>784</v>
      </c>
      <c r="X833" t="s">
        <v>177</v>
      </c>
      <c r="Y833" t="s">
        <v>8375</v>
      </c>
      <c r="Z833" t="str">
        <f>"01400 281116"</f>
        <v>01400 281116</v>
      </c>
      <c r="AA833" t="str">
        <f>"0781 3286252"</f>
        <v>0781 3286252</v>
      </c>
      <c r="AB833" t="s">
        <v>367</v>
      </c>
      <c r="AC833" t="s">
        <v>8374</v>
      </c>
      <c r="AD833" t="s">
        <v>114</v>
      </c>
      <c r="AE833" s="63">
        <v>45290</v>
      </c>
      <c r="AF833" t="s">
        <v>113</v>
      </c>
      <c r="AG833" t="s">
        <v>112</v>
      </c>
      <c r="AH833" t="s">
        <v>112</v>
      </c>
      <c r="AI833" s="63">
        <v>43432</v>
      </c>
      <c r="AJ833" s="63">
        <v>45657</v>
      </c>
      <c r="AK833" t="s">
        <v>111</v>
      </c>
      <c r="AL833" t="s">
        <v>111</v>
      </c>
      <c r="AM833" t="s">
        <v>111</v>
      </c>
      <c r="AN833" t="s">
        <v>105</v>
      </c>
      <c r="AO833" t="s">
        <v>110</v>
      </c>
      <c r="AP833" t="s">
        <v>109</v>
      </c>
    </row>
    <row r="834" spans="1:42" x14ac:dyDescent="0.25">
      <c r="A834" s="28" t="str">
        <f>"16086"</f>
        <v>16086</v>
      </c>
      <c r="B834">
        <v>16086</v>
      </c>
      <c r="C834" t="s">
        <v>2488</v>
      </c>
      <c r="D834" t="s">
        <v>121</v>
      </c>
      <c r="F834" t="s">
        <v>120</v>
      </c>
      <c r="G834" t="s">
        <v>405</v>
      </c>
      <c r="I834" t="s">
        <v>8373</v>
      </c>
      <c r="J834" t="s">
        <v>7</v>
      </c>
      <c r="K834" s="63">
        <v>29259</v>
      </c>
      <c r="L834" s="28">
        <f>DATEDIF(K834,Zwift25!G$1,"Y")</f>
        <v>44</v>
      </c>
      <c r="M834" s="67">
        <f>IF(J834="m",VLOOKUP(L834,'All Solo Adjustments'!A:D,4,FALSE),VLOOKUP(L834,'All Solo Adjustments'!A:J,10,FALSE))</f>
        <v>3.3564814814814818E-4</v>
      </c>
      <c r="N834" s="63"/>
      <c r="O834" s="63"/>
      <c r="P834" s="63"/>
      <c r="Q834" s="63"/>
      <c r="R834" t="s">
        <v>239</v>
      </c>
      <c r="S834" t="s">
        <v>274</v>
      </c>
      <c r="T834" t="s">
        <v>292</v>
      </c>
      <c r="U834" t="s">
        <v>8372</v>
      </c>
      <c r="V834" t="s">
        <v>8371</v>
      </c>
      <c r="W834" t="s">
        <v>127</v>
      </c>
      <c r="X834" t="s">
        <v>869</v>
      </c>
      <c r="Y834" t="s">
        <v>8370</v>
      </c>
      <c r="Z834" t="str">
        <f>"07703726042"</f>
        <v>07703726042</v>
      </c>
      <c r="AA834" t="str">
        <f>""</f>
        <v/>
      </c>
      <c r="AB834" t="s">
        <v>2171</v>
      </c>
      <c r="AC834" t="s">
        <v>8369</v>
      </c>
      <c r="AD834" t="s">
        <v>114</v>
      </c>
      <c r="AE834" s="63">
        <v>45451</v>
      </c>
      <c r="AF834" t="s">
        <v>156</v>
      </c>
      <c r="AG834" t="s">
        <v>112</v>
      </c>
      <c r="AH834" t="s">
        <v>112</v>
      </c>
      <c r="AI834" s="63">
        <v>45451</v>
      </c>
      <c r="AJ834" s="63">
        <v>45657</v>
      </c>
      <c r="AK834" t="s">
        <v>112</v>
      </c>
      <c r="AL834" t="s">
        <v>111</v>
      </c>
      <c r="AM834" t="s">
        <v>111</v>
      </c>
      <c r="AN834">
        <v>49961</v>
      </c>
      <c r="AO834" t="s">
        <v>110</v>
      </c>
      <c r="AP834" t="s">
        <v>109</v>
      </c>
    </row>
    <row r="835" spans="1:42" x14ac:dyDescent="0.25">
      <c r="A835" s="28" t="str">
        <f>"15527"</f>
        <v>15527</v>
      </c>
      <c r="B835">
        <v>15527</v>
      </c>
      <c r="C835" t="s">
        <v>2488</v>
      </c>
      <c r="D835" t="s">
        <v>121</v>
      </c>
      <c r="F835" t="s">
        <v>120</v>
      </c>
      <c r="G835" t="s">
        <v>7704</v>
      </c>
      <c r="I835" t="s">
        <v>1892</v>
      </c>
      <c r="J835" t="s">
        <v>7</v>
      </c>
      <c r="K835" s="63">
        <v>26263</v>
      </c>
      <c r="L835" s="28">
        <f>DATEDIF(K835,Zwift25!G$1,"Y")</f>
        <v>52</v>
      </c>
      <c r="M835" s="67">
        <f>IF(J835="m",VLOOKUP(L835,'All Solo Adjustments'!A:D,4,FALSE),VLOOKUP(L835,'All Solo Adjustments'!A:J,10,FALSE))</f>
        <v>1.4814814814814816E-3</v>
      </c>
      <c r="N835" s="63"/>
      <c r="O835" s="63"/>
      <c r="P835" s="63"/>
      <c r="Q835" s="63"/>
      <c r="R835" t="s">
        <v>143</v>
      </c>
      <c r="S835" t="s">
        <v>142</v>
      </c>
      <c r="T835" t="s">
        <v>292</v>
      </c>
      <c r="U835" t="s">
        <v>8368</v>
      </c>
      <c r="V835" t="s">
        <v>8367</v>
      </c>
      <c r="W835" t="s">
        <v>8366</v>
      </c>
      <c r="Y835" t="s">
        <v>8365</v>
      </c>
      <c r="Z835" t="str">
        <f>"07780600790"</f>
        <v>07780600790</v>
      </c>
      <c r="AA835" t="str">
        <f>""</f>
        <v/>
      </c>
      <c r="AB835" t="s">
        <v>290</v>
      </c>
      <c r="AC835" t="s">
        <v>8364</v>
      </c>
      <c r="AD835" t="s">
        <v>114</v>
      </c>
      <c r="AE835" s="63">
        <v>45397</v>
      </c>
      <c r="AF835" t="s">
        <v>156</v>
      </c>
      <c r="AG835" t="s">
        <v>112</v>
      </c>
      <c r="AH835" t="s">
        <v>112</v>
      </c>
      <c r="AI835" s="63">
        <v>44733</v>
      </c>
      <c r="AJ835" s="63">
        <v>45657</v>
      </c>
      <c r="AK835" t="s">
        <v>112</v>
      </c>
      <c r="AL835" t="s">
        <v>111</v>
      </c>
      <c r="AM835" t="s">
        <v>111</v>
      </c>
      <c r="AN835">
        <v>2269</v>
      </c>
      <c r="AO835" t="s">
        <v>110</v>
      </c>
      <c r="AP835" t="s">
        <v>109</v>
      </c>
    </row>
    <row r="836" spans="1:42" x14ac:dyDescent="0.25">
      <c r="A836" s="28" t="str">
        <f>"6507"</f>
        <v>6507</v>
      </c>
      <c r="B836">
        <v>6507</v>
      </c>
      <c r="C836" t="s">
        <v>2488</v>
      </c>
      <c r="D836" t="s">
        <v>121</v>
      </c>
      <c r="F836" t="s">
        <v>120</v>
      </c>
      <c r="G836" t="s">
        <v>366</v>
      </c>
      <c r="I836" t="s">
        <v>1890</v>
      </c>
      <c r="J836" t="s">
        <v>7</v>
      </c>
      <c r="K836" s="63">
        <v>24482</v>
      </c>
      <c r="L836" s="28">
        <f>DATEDIF(K836,Zwift25!G$1,"Y")</f>
        <v>57</v>
      </c>
      <c r="M836" s="67">
        <f>IF(J836="m",VLOOKUP(L836,'All Solo Adjustments'!A:D,4,FALSE),VLOOKUP(L836,'All Solo Adjustments'!A:J,10,FALSE))</f>
        <v>2.488425925925926E-3</v>
      </c>
      <c r="N836" s="63"/>
      <c r="O836" s="63"/>
      <c r="P836" s="63"/>
      <c r="Q836" s="63"/>
      <c r="R836" t="s">
        <v>118</v>
      </c>
      <c r="S836" t="s">
        <v>117</v>
      </c>
      <c r="T836" t="s">
        <v>292</v>
      </c>
      <c r="U836" t="s">
        <v>1889</v>
      </c>
      <c r="V836" t="s">
        <v>1888</v>
      </c>
      <c r="W836" t="s">
        <v>1289</v>
      </c>
      <c r="Y836" t="s">
        <v>1887</v>
      </c>
      <c r="Z836" t="str">
        <f>"07368318143"</f>
        <v>07368318143</v>
      </c>
      <c r="AA836" t="str">
        <f>""</f>
        <v/>
      </c>
      <c r="AB836" t="s">
        <v>1886</v>
      </c>
      <c r="AC836" t="s">
        <v>8363</v>
      </c>
      <c r="AD836" t="s">
        <v>114</v>
      </c>
      <c r="AE836" s="63">
        <v>45341</v>
      </c>
      <c r="AF836" t="s">
        <v>156</v>
      </c>
      <c r="AG836" t="s">
        <v>112</v>
      </c>
      <c r="AH836" t="s">
        <v>112</v>
      </c>
      <c r="AI836" s="63">
        <v>43101</v>
      </c>
      <c r="AJ836" s="63">
        <v>45657</v>
      </c>
      <c r="AK836" t="s">
        <v>111</v>
      </c>
      <c r="AL836" t="s">
        <v>111</v>
      </c>
      <c r="AM836" t="s">
        <v>111</v>
      </c>
      <c r="AN836">
        <v>19441</v>
      </c>
      <c r="AO836" t="s">
        <v>110</v>
      </c>
      <c r="AP836" t="s">
        <v>109</v>
      </c>
    </row>
    <row r="837" spans="1:42" x14ac:dyDescent="0.25">
      <c r="A837" s="28" t="str">
        <f>"4250"</f>
        <v>4250</v>
      </c>
      <c r="B837">
        <v>4250</v>
      </c>
      <c r="C837" t="s">
        <v>2488</v>
      </c>
      <c r="D837" t="s">
        <v>121</v>
      </c>
      <c r="F837" t="s">
        <v>120</v>
      </c>
      <c r="G837" t="s">
        <v>695</v>
      </c>
      <c r="I837" t="s">
        <v>8362</v>
      </c>
      <c r="J837" t="s">
        <v>7</v>
      </c>
      <c r="K837" s="63">
        <v>12214</v>
      </c>
      <c r="L837" s="28">
        <f>DATEDIF(K837,Zwift25!G$1,"Y")</f>
        <v>91</v>
      </c>
      <c r="M837" s="67">
        <f>IF(J837="m",VLOOKUP(L837,'All Solo Adjustments'!A:D,4,FALSE),VLOOKUP(L837,'All Solo Adjustments'!A:J,10,FALSE))</f>
        <v>1.9363425925925926E-2</v>
      </c>
      <c r="N837" s="63"/>
      <c r="O837" s="63"/>
      <c r="P837" s="63"/>
      <c r="Q837" s="63"/>
      <c r="R837" t="s">
        <v>239</v>
      </c>
      <c r="S837" t="s">
        <v>437</v>
      </c>
      <c r="T837" t="s">
        <v>292</v>
      </c>
      <c r="U837" t="s">
        <v>8361</v>
      </c>
      <c r="V837" t="s">
        <v>237</v>
      </c>
      <c r="Y837" t="s">
        <v>8360</v>
      </c>
      <c r="Z837" t="str">
        <f>"01943 467493"</f>
        <v>01943 467493</v>
      </c>
      <c r="AA837" t="str">
        <f>""</f>
        <v/>
      </c>
      <c r="AB837" t="s">
        <v>679</v>
      </c>
      <c r="AD837" t="s">
        <v>151</v>
      </c>
      <c r="AF837" t="s">
        <v>113</v>
      </c>
      <c r="AG837" t="s">
        <v>112</v>
      </c>
      <c r="AH837" t="s">
        <v>112</v>
      </c>
      <c r="AI837" s="63">
        <v>32601</v>
      </c>
      <c r="AK837" t="s">
        <v>111</v>
      </c>
      <c r="AL837" t="s">
        <v>111</v>
      </c>
      <c r="AM837" t="s">
        <v>111</v>
      </c>
      <c r="AN837" t="s">
        <v>105</v>
      </c>
      <c r="AO837" t="s">
        <v>110</v>
      </c>
      <c r="AP837" t="s">
        <v>109</v>
      </c>
    </row>
    <row r="838" spans="1:42" x14ac:dyDescent="0.25">
      <c r="A838" s="28" t="str">
        <f>"6510"</f>
        <v>6510</v>
      </c>
      <c r="B838">
        <v>6510</v>
      </c>
      <c r="C838" t="s">
        <v>2488</v>
      </c>
      <c r="D838" t="s">
        <v>121</v>
      </c>
      <c r="F838" t="s">
        <v>120</v>
      </c>
      <c r="G838" t="s">
        <v>952</v>
      </c>
      <c r="I838" t="s">
        <v>8359</v>
      </c>
      <c r="J838" t="s">
        <v>7</v>
      </c>
      <c r="K838" s="63">
        <v>24044</v>
      </c>
      <c r="L838" s="28">
        <f>DATEDIF(K838,Zwift25!G$1,"Y")</f>
        <v>58</v>
      </c>
      <c r="M838" s="67">
        <f>IF(J838="m",VLOOKUP(L838,'All Solo Adjustments'!A:D,4,FALSE),VLOOKUP(L838,'All Solo Adjustments'!A:J,10,FALSE))</f>
        <v>2.7199074074074074E-3</v>
      </c>
      <c r="N838" s="63"/>
      <c r="O838" s="63"/>
      <c r="P838" s="63"/>
      <c r="Q838" s="63"/>
      <c r="R838" t="s">
        <v>118</v>
      </c>
      <c r="S838" t="s">
        <v>117</v>
      </c>
      <c r="T838" t="s">
        <v>292</v>
      </c>
      <c r="U838" t="s">
        <v>8358</v>
      </c>
      <c r="V838" t="s">
        <v>8357</v>
      </c>
      <c r="W838" t="s">
        <v>1289</v>
      </c>
      <c r="Y838" t="s">
        <v>8356</v>
      </c>
      <c r="Z838" t="str">
        <f>"07855 055825"</f>
        <v>07855 055825</v>
      </c>
      <c r="AA838" t="str">
        <f>""</f>
        <v/>
      </c>
      <c r="AB838" t="s">
        <v>1589</v>
      </c>
      <c r="AC838" t="s">
        <v>8355</v>
      </c>
      <c r="AD838" t="s">
        <v>114</v>
      </c>
      <c r="AE838" s="63">
        <v>45265</v>
      </c>
      <c r="AF838" t="s">
        <v>156</v>
      </c>
      <c r="AG838" t="s">
        <v>112</v>
      </c>
      <c r="AH838" t="s">
        <v>112</v>
      </c>
      <c r="AI838" s="63">
        <v>43101</v>
      </c>
      <c r="AJ838" s="63">
        <v>45657</v>
      </c>
      <c r="AK838" t="s">
        <v>111</v>
      </c>
      <c r="AL838" t="s">
        <v>111</v>
      </c>
      <c r="AM838" t="s">
        <v>111</v>
      </c>
      <c r="AN838">
        <v>143</v>
      </c>
      <c r="AO838" t="s">
        <v>110</v>
      </c>
      <c r="AP838" t="s">
        <v>109</v>
      </c>
    </row>
    <row r="839" spans="1:42" x14ac:dyDescent="0.25">
      <c r="A839" s="28" t="str">
        <f>"5508"</f>
        <v>5508</v>
      </c>
      <c r="B839">
        <v>5508</v>
      </c>
      <c r="C839" t="s">
        <v>2488</v>
      </c>
      <c r="D839" t="s">
        <v>121</v>
      </c>
      <c r="F839" t="s">
        <v>120</v>
      </c>
      <c r="G839" t="s">
        <v>334</v>
      </c>
      <c r="I839" t="s">
        <v>1885</v>
      </c>
      <c r="J839" t="s">
        <v>7</v>
      </c>
      <c r="K839" s="63">
        <v>24527</v>
      </c>
      <c r="L839" s="28">
        <f>DATEDIF(K839,Zwift25!G$1,"Y")</f>
        <v>57</v>
      </c>
      <c r="M839" s="67">
        <f>IF(J839="m",VLOOKUP(L839,'All Solo Adjustments'!A:D,4,FALSE),VLOOKUP(L839,'All Solo Adjustments'!A:J,10,FALSE))</f>
        <v>2.488425925925926E-3</v>
      </c>
      <c r="N839" s="63"/>
      <c r="O839" s="63"/>
      <c r="P839" s="63"/>
      <c r="Q839" s="63"/>
      <c r="R839" t="s">
        <v>125</v>
      </c>
      <c r="S839" t="s">
        <v>170</v>
      </c>
      <c r="T839" t="s">
        <v>292</v>
      </c>
      <c r="U839" t="s">
        <v>8354</v>
      </c>
      <c r="V839" t="s">
        <v>2604</v>
      </c>
      <c r="W839" t="s">
        <v>683</v>
      </c>
      <c r="Y839" t="s">
        <v>2603</v>
      </c>
      <c r="Z839" t="str">
        <f>"07763656251"</f>
        <v>07763656251</v>
      </c>
      <c r="AA839" t="str">
        <f>""</f>
        <v/>
      </c>
      <c r="AB839" t="s">
        <v>8353</v>
      </c>
      <c r="AC839" t="s">
        <v>8352</v>
      </c>
      <c r="AD839" t="s">
        <v>114</v>
      </c>
      <c r="AE839" s="63">
        <v>45262</v>
      </c>
      <c r="AF839" t="s">
        <v>156</v>
      </c>
      <c r="AG839" t="s">
        <v>112</v>
      </c>
      <c r="AH839" t="s">
        <v>112</v>
      </c>
      <c r="AI839" s="63">
        <v>42155</v>
      </c>
      <c r="AJ839" s="63">
        <v>45657</v>
      </c>
      <c r="AK839" t="s">
        <v>111</v>
      </c>
      <c r="AL839" t="s">
        <v>111</v>
      </c>
      <c r="AM839" t="s">
        <v>111</v>
      </c>
      <c r="AN839">
        <v>196</v>
      </c>
      <c r="AO839" t="s">
        <v>110</v>
      </c>
      <c r="AP839" t="s">
        <v>109</v>
      </c>
    </row>
    <row r="840" spans="1:42" x14ac:dyDescent="0.25">
      <c r="A840" s="28" t="str">
        <f>"1081"</f>
        <v>1081</v>
      </c>
      <c r="B840">
        <v>1081</v>
      </c>
      <c r="C840" t="s">
        <v>2488</v>
      </c>
      <c r="D840" t="s">
        <v>121</v>
      </c>
      <c r="F840" t="s">
        <v>120</v>
      </c>
      <c r="G840" t="s">
        <v>492</v>
      </c>
      <c r="I840" t="s">
        <v>8351</v>
      </c>
      <c r="J840" t="s">
        <v>7</v>
      </c>
      <c r="K840" s="63">
        <v>12170</v>
      </c>
      <c r="L840" s="28">
        <f>DATEDIF(K840,Zwift25!G$1,"Y")</f>
        <v>91</v>
      </c>
      <c r="M840" s="67">
        <f>IF(J840="m",VLOOKUP(L840,'All Solo Adjustments'!A:D,4,FALSE),VLOOKUP(L840,'All Solo Adjustments'!A:J,10,FALSE))</f>
        <v>1.9363425925925926E-2</v>
      </c>
      <c r="N840" s="63"/>
      <c r="O840" s="63"/>
      <c r="P840" s="63"/>
      <c r="Q840" s="63"/>
      <c r="R840" t="s">
        <v>137</v>
      </c>
      <c r="S840" t="s">
        <v>2312</v>
      </c>
      <c r="T840" t="s">
        <v>292</v>
      </c>
      <c r="U840" t="s">
        <v>8350</v>
      </c>
      <c r="V840" t="s">
        <v>440</v>
      </c>
      <c r="W840" t="s">
        <v>208</v>
      </c>
      <c r="Y840" t="s">
        <v>8349</v>
      </c>
      <c r="Z840" t="str">
        <f>"01264 353314"</f>
        <v>01264 353314</v>
      </c>
      <c r="AA840" t="str">
        <f>""</f>
        <v/>
      </c>
      <c r="AB840" t="s">
        <v>290</v>
      </c>
      <c r="AD840" t="s">
        <v>151</v>
      </c>
      <c r="AF840" t="s">
        <v>113</v>
      </c>
      <c r="AG840" t="s">
        <v>112</v>
      </c>
      <c r="AH840" t="s">
        <v>112</v>
      </c>
      <c r="AI840" s="63">
        <v>30910</v>
      </c>
      <c r="AK840" t="s">
        <v>111</v>
      </c>
      <c r="AL840" t="s">
        <v>111</v>
      </c>
      <c r="AM840" t="s">
        <v>111</v>
      </c>
      <c r="AN840" t="s">
        <v>105</v>
      </c>
      <c r="AO840" t="s">
        <v>110</v>
      </c>
      <c r="AP840" t="s">
        <v>109</v>
      </c>
    </row>
    <row r="841" spans="1:42" x14ac:dyDescent="0.25">
      <c r="A841" s="28" t="str">
        <f>"14008"</f>
        <v>14008</v>
      </c>
      <c r="B841">
        <v>14008</v>
      </c>
      <c r="C841" t="s">
        <v>2488</v>
      </c>
      <c r="D841" t="s">
        <v>121</v>
      </c>
      <c r="F841" t="s">
        <v>139</v>
      </c>
      <c r="G841" t="s">
        <v>424</v>
      </c>
      <c r="I841" t="s">
        <v>8348</v>
      </c>
      <c r="J841" t="s">
        <v>126</v>
      </c>
      <c r="K841" s="63">
        <v>24107</v>
      </c>
      <c r="L841" s="28">
        <f>DATEDIF(K841,Zwift25!G$1,"Y")</f>
        <v>58</v>
      </c>
      <c r="M841" s="67">
        <f>IF(J841="m",VLOOKUP(L841,'All Solo Adjustments'!A:D,4,FALSE),VLOOKUP(L841,'All Solo Adjustments'!A:J,10,FALSE))</f>
        <v>6.3194444444444444E-3</v>
      </c>
      <c r="N841" s="63"/>
      <c r="O841" s="63"/>
      <c r="P841" s="63"/>
      <c r="Q841" s="63"/>
      <c r="R841" t="s">
        <v>296</v>
      </c>
      <c r="S841" t="s">
        <v>295</v>
      </c>
      <c r="T841" t="s">
        <v>292</v>
      </c>
      <c r="U841" t="s">
        <v>8347</v>
      </c>
      <c r="V841" t="s">
        <v>8346</v>
      </c>
      <c r="W841" t="s">
        <v>8345</v>
      </c>
      <c r="X841" t="s">
        <v>1381</v>
      </c>
      <c r="Y841" t="s">
        <v>8344</v>
      </c>
      <c r="Z841" t="str">
        <f>"07990686370"</f>
        <v>07990686370</v>
      </c>
      <c r="AA841" t="str">
        <f>""</f>
        <v/>
      </c>
      <c r="AB841" t="s">
        <v>8343</v>
      </c>
      <c r="AC841" t="s">
        <v>8342</v>
      </c>
      <c r="AD841" t="s">
        <v>114</v>
      </c>
      <c r="AE841" s="63">
        <v>45293</v>
      </c>
      <c r="AF841" t="s">
        <v>156</v>
      </c>
      <c r="AG841" t="s">
        <v>112</v>
      </c>
      <c r="AH841" t="s">
        <v>112</v>
      </c>
      <c r="AI841" s="63">
        <v>43491</v>
      </c>
      <c r="AJ841" s="63">
        <v>45657</v>
      </c>
      <c r="AK841" t="s">
        <v>112</v>
      </c>
      <c r="AL841" t="s">
        <v>111</v>
      </c>
      <c r="AM841" t="s">
        <v>111</v>
      </c>
      <c r="AN841">
        <v>18682</v>
      </c>
      <c r="AO841" t="s">
        <v>122</v>
      </c>
      <c r="AP841" t="s">
        <v>122</v>
      </c>
    </row>
    <row r="842" spans="1:42" x14ac:dyDescent="0.25">
      <c r="A842" s="28" t="str">
        <f>"6015"</f>
        <v>6015</v>
      </c>
      <c r="B842">
        <v>6015</v>
      </c>
      <c r="C842" t="s">
        <v>2488</v>
      </c>
      <c r="D842" t="s">
        <v>121</v>
      </c>
      <c r="F842" t="s">
        <v>120</v>
      </c>
      <c r="G842" t="s">
        <v>251</v>
      </c>
      <c r="H842" t="s">
        <v>2100</v>
      </c>
      <c r="I842" t="s">
        <v>8341</v>
      </c>
      <c r="J842" t="s">
        <v>7</v>
      </c>
      <c r="K842" s="63">
        <v>19279</v>
      </c>
      <c r="L842" s="28">
        <f>DATEDIF(K842,Zwift25!G$1,"Y")</f>
        <v>72</v>
      </c>
      <c r="M842" s="67">
        <f>IF(J842="m",VLOOKUP(L842,'All Solo Adjustments'!A:D,4,FALSE),VLOOKUP(L842,'All Solo Adjustments'!A:J,10,FALSE))</f>
        <v>7.129629629629629E-3</v>
      </c>
      <c r="N842" s="63"/>
      <c r="O842" s="63"/>
      <c r="P842" s="63"/>
      <c r="Q842" s="63"/>
      <c r="R842" t="s">
        <v>328</v>
      </c>
      <c r="S842" t="s">
        <v>327</v>
      </c>
      <c r="T842" t="s">
        <v>292</v>
      </c>
      <c r="U842" t="s">
        <v>8340</v>
      </c>
      <c r="W842" t="s">
        <v>2389</v>
      </c>
      <c r="X842" t="s">
        <v>325</v>
      </c>
      <c r="Y842" t="s">
        <v>8339</v>
      </c>
      <c r="Z842" t="str">
        <f>"07899841573"</f>
        <v>07899841573</v>
      </c>
      <c r="AA842" t="str">
        <f>""</f>
        <v/>
      </c>
      <c r="AB842" t="s">
        <v>1501</v>
      </c>
      <c r="AC842" t="s">
        <v>8338</v>
      </c>
      <c r="AD842" t="s">
        <v>114</v>
      </c>
      <c r="AE842" s="63">
        <v>45263</v>
      </c>
      <c r="AF842" t="s">
        <v>156</v>
      </c>
      <c r="AG842" t="s">
        <v>112</v>
      </c>
      <c r="AH842" t="s">
        <v>112</v>
      </c>
      <c r="AI842" s="63">
        <v>42739</v>
      </c>
      <c r="AJ842" s="63">
        <v>45657</v>
      </c>
      <c r="AK842" t="s">
        <v>111</v>
      </c>
      <c r="AL842" t="s">
        <v>111</v>
      </c>
      <c r="AM842" t="s">
        <v>111</v>
      </c>
      <c r="AN842">
        <v>2233</v>
      </c>
      <c r="AO842" t="s">
        <v>110</v>
      </c>
      <c r="AP842" t="s">
        <v>109</v>
      </c>
    </row>
    <row r="843" spans="1:42" x14ac:dyDescent="0.25">
      <c r="A843" s="28" t="str">
        <f>"1088"</f>
        <v>1088</v>
      </c>
      <c r="B843">
        <v>1088</v>
      </c>
      <c r="C843" t="s">
        <v>2488</v>
      </c>
      <c r="D843" t="s">
        <v>121</v>
      </c>
      <c r="F843" t="s">
        <v>120</v>
      </c>
      <c r="G843" t="s">
        <v>649</v>
      </c>
      <c r="H843" t="s">
        <v>370</v>
      </c>
      <c r="I843" t="s">
        <v>1881</v>
      </c>
      <c r="J843" t="s">
        <v>7</v>
      </c>
      <c r="K843" s="63">
        <v>15878</v>
      </c>
      <c r="L843" s="28">
        <f>DATEDIF(K843,Zwift25!G$1,"Y")</f>
        <v>81</v>
      </c>
      <c r="M843" s="67">
        <f>IF(J843="m",VLOOKUP(L843,'All Solo Adjustments'!A:D,4,FALSE),VLOOKUP(L843,'All Solo Adjustments'!A:J,10,FALSE))</f>
        <v>1.1597222222222222E-2</v>
      </c>
      <c r="N843" s="63"/>
      <c r="O843" s="63"/>
      <c r="P843" s="63"/>
      <c r="Q843" s="63"/>
      <c r="R843" t="s">
        <v>143</v>
      </c>
      <c r="S843" t="s">
        <v>142</v>
      </c>
      <c r="T843" t="s">
        <v>292</v>
      </c>
      <c r="U843" t="s">
        <v>8337</v>
      </c>
      <c r="V843" t="s">
        <v>1903</v>
      </c>
      <c r="W843" t="s">
        <v>1021</v>
      </c>
      <c r="X843" t="s">
        <v>141</v>
      </c>
      <c r="Y843" t="s">
        <v>8336</v>
      </c>
      <c r="Z843" t="str">
        <f>"01372 376507"</f>
        <v>01372 376507</v>
      </c>
      <c r="AA843" t="str">
        <f>"07817 024878"</f>
        <v>07817 024878</v>
      </c>
      <c r="AB843" t="s">
        <v>316</v>
      </c>
      <c r="AC843" t="s">
        <v>8335</v>
      </c>
      <c r="AD843" t="s">
        <v>114</v>
      </c>
      <c r="AE843" s="63">
        <v>45292</v>
      </c>
      <c r="AF843" t="s">
        <v>113</v>
      </c>
      <c r="AG843" t="s">
        <v>112</v>
      </c>
      <c r="AH843" t="s">
        <v>112</v>
      </c>
      <c r="AI843" s="63">
        <v>30317</v>
      </c>
      <c r="AJ843" s="63">
        <v>45657</v>
      </c>
      <c r="AK843" t="s">
        <v>111</v>
      </c>
      <c r="AL843" t="s">
        <v>111</v>
      </c>
      <c r="AM843" t="s">
        <v>111</v>
      </c>
      <c r="AN843">
        <v>10881</v>
      </c>
      <c r="AO843" t="s">
        <v>110</v>
      </c>
      <c r="AP843" t="s">
        <v>109</v>
      </c>
    </row>
    <row r="844" spans="1:42" x14ac:dyDescent="0.25">
      <c r="A844" s="28" t="str">
        <f>"5864"</f>
        <v>5864</v>
      </c>
      <c r="B844">
        <v>5864</v>
      </c>
      <c r="C844" t="s">
        <v>2488</v>
      </c>
      <c r="D844" t="s">
        <v>121</v>
      </c>
      <c r="F844" t="s">
        <v>120</v>
      </c>
      <c r="G844" t="s">
        <v>165</v>
      </c>
      <c r="H844" t="s">
        <v>884</v>
      </c>
      <c r="I844" t="s">
        <v>1881</v>
      </c>
      <c r="J844" t="s">
        <v>7</v>
      </c>
      <c r="K844" s="63">
        <v>24671</v>
      </c>
      <c r="L844" s="28">
        <f>DATEDIF(K844,Zwift25!G$1,"Y")</f>
        <v>57</v>
      </c>
      <c r="M844" s="67">
        <f>IF(J844="m",VLOOKUP(L844,'All Solo Adjustments'!A:D,4,FALSE),VLOOKUP(L844,'All Solo Adjustments'!A:J,10,FALSE))</f>
        <v>2.488425925925926E-3</v>
      </c>
      <c r="N844" s="63"/>
      <c r="O844" s="63"/>
      <c r="P844" s="63"/>
      <c r="Q844" s="63"/>
      <c r="R844" t="s">
        <v>159</v>
      </c>
      <c r="S844" t="s">
        <v>162</v>
      </c>
      <c r="T844" t="s">
        <v>292</v>
      </c>
      <c r="U844" t="s">
        <v>8334</v>
      </c>
      <c r="V844" t="s">
        <v>458</v>
      </c>
      <c r="W844" t="s">
        <v>159</v>
      </c>
      <c r="Y844" t="s">
        <v>8333</v>
      </c>
      <c r="Z844" t="str">
        <f>"07795 244216"</f>
        <v>07795 244216</v>
      </c>
      <c r="AA844" t="str">
        <f>""</f>
        <v/>
      </c>
      <c r="AB844" t="s">
        <v>3442</v>
      </c>
      <c r="AC844" t="s">
        <v>8332</v>
      </c>
      <c r="AD844" t="s">
        <v>114</v>
      </c>
      <c r="AE844" s="63">
        <v>45316</v>
      </c>
      <c r="AF844" t="s">
        <v>156</v>
      </c>
      <c r="AG844" t="s">
        <v>112</v>
      </c>
      <c r="AH844" t="s">
        <v>112</v>
      </c>
      <c r="AI844" s="63">
        <v>43461</v>
      </c>
      <c r="AJ844" s="63">
        <v>45657</v>
      </c>
      <c r="AK844" t="s">
        <v>111</v>
      </c>
      <c r="AL844" t="s">
        <v>111</v>
      </c>
      <c r="AM844" t="s">
        <v>111</v>
      </c>
      <c r="AN844">
        <v>5792</v>
      </c>
      <c r="AO844" t="s">
        <v>110</v>
      </c>
      <c r="AP844" t="s">
        <v>109</v>
      </c>
    </row>
    <row r="845" spans="1:42" x14ac:dyDescent="0.25">
      <c r="A845" s="28" t="str">
        <f>"1086"</f>
        <v>1086</v>
      </c>
      <c r="B845">
        <v>1086</v>
      </c>
      <c r="C845" t="s">
        <v>2488</v>
      </c>
      <c r="D845" t="s">
        <v>121</v>
      </c>
      <c r="F845" t="s">
        <v>120</v>
      </c>
      <c r="G845" t="s">
        <v>706</v>
      </c>
      <c r="I845" t="s">
        <v>1881</v>
      </c>
      <c r="J845" t="s">
        <v>7</v>
      </c>
      <c r="K845" s="63">
        <v>12056</v>
      </c>
      <c r="L845" s="28">
        <f>DATEDIF(K845,Zwift25!G$1,"Y")</f>
        <v>91</v>
      </c>
      <c r="M845" s="67">
        <f>IF(J845="m",VLOOKUP(L845,'All Solo Adjustments'!A:D,4,FALSE),VLOOKUP(L845,'All Solo Adjustments'!A:J,10,FALSE))</f>
        <v>1.9363425925925926E-2</v>
      </c>
      <c r="N845" s="63"/>
      <c r="O845" s="63"/>
      <c r="P845" s="63"/>
      <c r="Q845" s="63"/>
      <c r="R845" t="s">
        <v>198</v>
      </c>
      <c r="S845" t="s">
        <v>461</v>
      </c>
      <c r="T845" t="s">
        <v>292</v>
      </c>
      <c r="U845" t="s">
        <v>8331</v>
      </c>
      <c r="V845" t="s">
        <v>8330</v>
      </c>
      <c r="W845" t="s">
        <v>893</v>
      </c>
      <c r="X845" t="s">
        <v>495</v>
      </c>
      <c r="Y845" t="s">
        <v>8329</v>
      </c>
      <c r="Z845" t="str">
        <f>"01782 680779"</f>
        <v>01782 680779</v>
      </c>
      <c r="AA845" t="str">
        <f>""</f>
        <v/>
      </c>
      <c r="AB845" t="s">
        <v>1232</v>
      </c>
      <c r="AD845" t="s">
        <v>145</v>
      </c>
      <c r="AE845" s="63">
        <v>45350</v>
      </c>
      <c r="AF845" t="s">
        <v>113</v>
      </c>
      <c r="AG845" t="s">
        <v>112</v>
      </c>
      <c r="AH845" t="s">
        <v>112</v>
      </c>
      <c r="AI845" s="63">
        <v>38357</v>
      </c>
      <c r="AJ845" s="63">
        <v>45657</v>
      </c>
      <c r="AK845" t="s">
        <v>111</v>
      </c>
      <c r="AL845" t="s">
        <v>111</v>
      </c>
      <c r="AM845" t="s">
        <v>111</v>
      </c>
      <c r="AN845" t="s">
        <v>105</v>
      </c>
      <c r="AO845" t="s">
        <v>110</v>
      </c>
      <c r="AP845" t="s">
        <v>109</v>
      </c>
    </row>
    <row r="846" spans="1:42" x14ac:dyDescent="0.25">
      <c r="A846" s="28" t="str">
        <f>"14002"</f>
        <v>14002</v>
      </c>
      <c r="B846">
        <v>14002</v>
      </c>
      <c r="C846" t="s">
        <v>2488</v>
      </c>
      <c r="D846" t="s">
        <v>121</v>
      </c>
      <c r="E846" t="s">
        <v>584</v>
      </c>
      <c r="F846" t="s">
        <v>120</v>
      </c>
      <c r="G846" t="s">
        <v>738</v>
      </c>
      <c r="I846" t="s">
        <v>1881</v>
      </c>
      <c r="J846" t="s">
        <v>7</v>
      </c>
      <c r="K846" s="63">
        <v>23259</v>
      </c>
      <c r="L846" s="28">
        <f>DATEDIF(K846,Zwift25!G$1,"Y")</f>
        <v>61</v>
      </c>
      <c r="M846" s="67">
        <f>IF(J846="m",VLOOKUP(L846,'All Solo Adjustments'!A:D,4,FALSE),VLOOKUP(L846,'All Solo Adjustments'!A:J,10,FALSE))</f>
        <v>3.4722222222222225E-3</v>
      </c>
      <c r="N846" s="63"/>
      <c r="O846" s="63"/>
      <c r="P846" s="63"/>
      <c r="Q846" s="63"/>
      <c r="R846" t="s">
        <v>213</v>
      </c>
      <c r="S846" t="s">
        <v>212</v>
      </c>
      <c r="T846" t="s">
        <v>292</v>
      </c>
      <c r="U846" t="s">
        <v>8328</v>
      </c>
      <c r="V846" t="s">
        <v>8327</v>
      </c>
      <c r="W846" t="s">
        <v>8326</v>
      </c>
      <c r="X846" t="s">
        <v>211</v>
      </c>
      <c r="Y846" t="s">
        <v>8325</v>
      </c>
      <c r="Z846" t="str">
        <f>"07979864532"</f>
        <v>07979864532</v>
      </c>
      <c r="AA846" t="str">
        <f>""</f>
        <v/>
      </c>
      <c r="AB846" t="s">
        <v>579</v>
      </c>
      <c r="AC846" t="s">
        <v>8324</v>
      </c>
      <c r="AD846" t="s">
        <v>114</v>
      </c>
      <c r="AE846" s="63">
        <v>45280</v>
      </c>
      <c r="AF846" t="s">
        <v>156</v>
      </c>
      <c r="AG846" t="s">
        <v>112</v>
      </c>
      <c r="AH846" t="s">
        <v>112</v>
      </c>
      <c r="AI846" s="63">
        <v>43485</v>
      </c>
      <c r="AJ846" s="63">
        <v>45657</v>
      </c>
      <c r="AK846" t="s">
        <v>112</v>
      </c>
      <c r="AL846" t="s">
        <v>111</v>
      </c>
      <c r="AM846" t="s">
        <v>111</v>
      </c>
      <c r="AN846">
        <v>19047</v>
      </c>
      <c r="AO846" t="s">
        <v>110</v>
      </c>
      <c r="AP846" t="s">
        <v>109</v>
      </c>
    </row>
    <row r="847" spans="1:42" x14ac:dyDescent="0.25">
      <c r="A847" s="28" t="str">
        <f>"14856"</f>
        <v>14856</v>
      </c>
      <c r="B847">
        <v>14856</v>
      </c>
      <c r="C847" t="s">
        <v>2488</v>
      </c>
      <c r="D847" t="s">
        <v>121</v>
      </c>
      <c r="E847" t="s">
        <v>584</v>
      </c>
      <c r="F847" t="s">
        <v>120</v>
      </c>
      <c r="G847" t="s">
        <v>1245</v>
      </c>
      <c r="I847" t="s">
        <v>1881</v>
      </c>
      <c r="J847" t="s">
        <v>7</v>
      </c>
      <c r="K847" s="63">
        <v>24418</v>
      </c>
      <c r="L847" s="28">
        <f>DATEDIF(K847,Zwift25!G$1,"Y")</f>
        <v>57</v>
      </c>
      <c r="M847" s="67">
        <f>IF(J847="m",VLOOKUP(L847,'All Solo Adjustments'!A:D,4,FALSE),VLOOKUP(L847,'All Solo Adjustments'!A:J,10,FALSE))</f>
        <v>2.488425925925926E-3</v>
      </c>
      <c r="N847" s="63"/>
      <c r="O847" s="63"/>
      <c r="P847" s="63"/>
      <c r="Q847" s="63"/>
      <c r="R847" t="s">
        <v>125</v>
      </c>
      <c r="S847" t="s">
        <v>170</v>
      </c>
      <c r="T847" t="s">
        <v>292</v>
      </c>
      <c r="U847" t="s">
        <v>8323</v>
      </c>
      <c r="V847" t="s">
        <v>8322</v>
      </c>
      <c r="W847" t="s">
        <v>420</v>
      </c>
      <c r="X847" t="s">
        <v>8321</v>
      </c>
      <c r="Y847" t="s">
        <v>8320</v>
      </c>
      <c r="Z847" t="str">
        <f>"07870454474"</f>
        <v>07870454474</v>
      </c>
      <c r="AA847" t="str">
        <f>""</f>
        <v/>
      </c>
      <c r="AB847" t="s">
        <v>8319</v>
      </c>
      <c r="AC847" t="s">
        <v>8318</v>
      </c>
      <c r="AD847" t="s">
        <v>114</v>
      </c>
      <c r="AE847" s="63">
        <v>45262</v>
      </c>
      <c r="AF847" t="s">
        <v>156</v>
      </c>
      <c r="AG847" t="s">
        <v>112</v>
      </c>
      <c r="AH847" t="s">
        <v>112</v>
      </c>
      <c r="AI847" s="63">
        <v>44251</v>
      </c>
      <c r="AJ847" s="63">
        <v>45657</v>
      </c>
      <c r="AK847" t="s">
        <v>112</v>
      </c>
      <c r="AL847" t="s">
        <v>111</v>
      </c>
      <c r="AM847" t="s">
        <v>111</v>
      </c>
      <c r="AN847">
        <v>29950</v>
      </c>
      <c r="AO847" t="s">
        <v>110</v>
      </c>
      <c r="AP847" t="s">
        <v>109</v>
      </c>
    </row>
    <row r="848" spans="1:42" x14ac:dyDescent="0.25">
      <c r="A848" s="28" t="str">
        <f>"14923"</f>
        <v>14923</v>
      </c>
      <c r="B848">
        <v>14923</v>
      </c>
      <c r="C848" t="s">
        <v>2488</v>
      </c>
      <c r="D848" t="s">
        <v>121</v>
      </c>
      <c r="F848" t="s">
        <v>120</v>
      </c>
      <c r="G848" t="s">
        <v>373</v>
      </c>
      <c r="H848" t="s">
        <v>359</v>
      </c>
      <c r="I848" t="s">
        <v>1881</v>
      </c>
      <c r="J848" t="s">
        <v>7</v>
      </c>
      <c r="K848" s="63">
        <v>22126</v>
      </c>
      <c r="L848" s="28">
        <f>DATEDIF(K848,Zwift25!G$1,"Y")</f>
        <v>64</v>
      </c>
      <c r="M848" s="67">
        <f>IF(J848="m",VLOOKUP(L848,'All Solo Adjustments'!A:D,4,FALSE),VLOOKUP(L848,'All Solo Adjustments'!A:J,10,FALSE))</f>
        <v>4.31712962962963E-3</v>
      </c>
      <c r="N848" s="63"/>
      <c r="O848" s="63"/>
      <c r="P848" s="63"/>
      <c r="Q848" s="63"/>
      <c r="R848" t="s">
        <v>527</v>
      </c>
      <c r="S848" t="s">
        <v>526</v>
      </c>
      <c r="T848" t="s">
        <v>292</v>
      </c>
      <c r="U848" t="s">
        <v>8317</v>
      </c>
      <c r="V848" t="s">
        <v>8316</v>
      </c>
      <c r="W848" t="s">
        <v>8315</v>
      </c>
      <c r="X848" t="s">
        <v>1601</v>
      </c>
      <c r="Y848" t="s">
        <v>8314</v>
      </c>
      <c r="Z848" t="str">
        <f>"07526250944"</f>
        <v>07526250944</v>
      </c>
      <c r="AA848" t="str">
        <f>""</f>
        <v/>
      </c>
      <c r="AB848" t="s">
        <v>8313</v>
      </c>
      <c r="AC848" t="s">
        <v>8312</v>
      </c>
      <c r="AD848" t="s">
        <v>114</v>
      </c>
      <c r="AE848" s="63">
        <v>45418</v>
      </c>
      <c r="AF848" t="s">
        <v>156</v>
      </c>
      <c r="AG848" t="s">
        <v>112</v>
      </c>
      <c r="AH848" t="s">
        <v>112</v>
      </c>
      <c r="AI848" s="63">
        <v>44273</v>
      </c>
      <c r="AJ848" s="63">
        <v>45657</v>
      </c>
      <c r="AK848" t="s">
        <v>112</v>
      </c>
      <c r="AL848" t="s">
        <v>111</v>
      </c>
      <c r="AM848" t="s">
        <v>111</v>
      </c>
      <c r="AN848">
        <v>27853</v>
      </c>
      <c r="AO848" t="s">
        <v>110</v>
      </c>
      <c r="AP848" t="s">
        <v>109</v>
      </c>
    </row>
    <row r="849" spans="1:42" x14ac:dyDescent="0.25">
      <c r="A849" s="28" t="str">
        <f>"15578"</f>
        <v>15578</v>
      </c>
      <c r="B849">
        <v>15578</v>
      </c>
      <c r="C849" t="s">
        <v>2488</v>
      </c>
      <c r="D849" t="s">
        <v>121</v>
      </c>
      <c r="F849" t="s">
        <v>120</v>
      </c>
      <c r="G849" t="s">
        <v>1670</v>
      </c>
      <c r="I849" t="s">
        <v>1881</v>
      </c>
      <c r="J849" t="s">
        <v>7</v>
      </c>
      <c r="K849" s="63">
        <v>27964</v>
      </c>
      <c r="L849" s="28">
        <f>DATEDIF(K849,Zwift25!G$1,"Y")</f>
        <v>48</v>
      </c>
      <c r="M849" s="67">
        <f>IF(J849="m",VLOOKUP(L849,'All Solo Adjustments'!A:D,4,FALSE),VLOOKUP(L849,'All Solo Adjustments'!A:J,10,FALSE))</f>
        <v>8.3333333333333339E-4</v>
      </c>
      <c r="N849" s="63"/>
      <c r="O849" s="63"/>
      <c r="P849" s="63"/>
      <c r="Q849" s="63"/>
      <c r="R849" t="s">
        <v>328</v>
      </c>
      <c r="S849" t="s">
        <v>327</v>
      </c>
      <c r="T849" t="s">
        <v>292</v>
      </c>
      <c r="U849" t="s">
        <v>8311</v>
      </c>
      <c r="V849" t="s">
        <v>8310</v>
      </c>
      <c r="W849" t="s">
        <v>810</v>
      </c>
      <c r="Y849" t="s">
        <v>8309</v>
      </c>
      <c r="Z849" t="str">
        <f>"07949544951"</f>
        <v>07949544951</v>
      </c>
      <c r="AA849" t="str">
        <f>""</f>
        <v/>
      </c>
      <c r="AB849" t="s">
        <v>831</v>
      </c>
      <c r="AC849" t="s">
        <v>8308</v>
      </c>
      <c r="AD849" t="s">
        <v>114</v>
      </c>
      <c r="AE849" s="63">
        <v>45273</v>
      </c>
      <c r="AF849" t="s">
        <v>113</v>
      </c>
      <c r="AG849" t="s">
        <v>112</v>
      </c>
      <c r="AH849" t="s">
        <v>112</v>
      </c>
      <c r="AI849" s="63">
        <v>44791</v>
      </c>
      <c r="AJ849" s="63">
        <v>45657</v>
      </c>
      <c r="AK849" t="s">
        <v>112</v>
      </c>
      <c r="AL849" t="s">
        <v>111</v>
      </c>
      <c r="AM849" t="s">
        <v>111</v>
      </c>
      <c r="AN849">
        <v>2114</v>
      </c>
      <c r="AO849" t="s">
        <v>110</v>
      </c>
      <c r="AP849" t="s">
        <v>109</v>
      </c>
    </row>
    <row r="850" spans="1:42" x14ac:dyDescent="0.25">
      <c r="A850" s="28" t="str">
        <f>"15712"</f>
        <v>15712</v>
      </c>
      <c r="B850">
        <v>15712</v>
      </c>
      <c r="C850" t="s">
        <v>2488</v>
      </c>
      <c r="D850" t="s">
        <v>121</v>
      </c>
      <c r="E850" t="s">
        <v>584</v>
      </c>
      <c r="F850" t="s">
        <v>120</v>
      </c>
      <c r="G850" t="s">
        <v>536</v>
      </c>
      <c r="H850" t="s">
        <v>284</v>
      </c>
      <c r="I850" t="s">
        <v>1881</v>
      </c>
      <c r="J850" t="s">
        <v>7</v>
      </c>
      <c r="K850" s="63">
        <v>23062</v>
      </c>
      <c r="L850" s="28">
        <f>DATEDIF(K850,Zwift25!G$1,"Y")</f>
        <v>61</v>
      </c>
      <c r="M850" s="67">
        <f>IF(J850="m",VLOOKUP(L850,'All Solo Adjustments'!A:D,4,FALSE),VLOOKUP(L850,'All Solo Adjustments'!A:J,10,FALSE))</f>
        <v>3.4722222222222225E-3</v>
      </c>
      <c r="N850" s="63"/>
      <c r="O850" s="63"/>
      <c r="P850" s="63"/>
      <c r="Q850" s="63"/>
      <c r="R850" t="s">
        <v>154</v>
      </c>
      <c r="S850" t="s">
        <v>153</v>
      </c>
      <c r="T850" t="s">
        <v>292</v>
      </c>
      <c r="U850" t="s">
        <v>8307</v>
      </c>
      <c r="V850" t="s">
        <v>1053</v>
      </c>
      <c r="W850" t="s">
        <v>669</v>
      </c>
      <c r="Y850" t="s">
        <v>8306</v>
      </c>
      <c r="Z850" t="str">
        <f>"07770597680"</f>
        <v>07770597680</v>
      </c>
      <c r="AA850" t="str">
        <f>"01275541641"</f>
        <v>01275541641</v>
      </c>
      <c r="AB850" t="s">
        <v>8305</v>
      </c>
      <c r="AC850" t="s">
        <v>8304</v>
      </c>
      <c r="AD850" t="s">
        <v>114</v>
      </c>
      <c r="AE850" s="63">
        <v>45225</v>
      </c>
      <c r="AF850" t="s">
        <v>156</v>
      </c>
      <c r="AG850" t="s">
        <v>112</v>
      </c>
      <c r="AH850" t="s">
        <v>112</v>
      </c>
      <c r="AI850" s="63">
        <v>44983</v>
      </c>
      <c r="AJ850" s="63">
        <v>45657</v>
      </c>
      <c r="AK850" t="s">
        <v>112</v>
      </c>
      <c r="AL850" t="s">
        <v>111</v>
      </c>
      <c r="AM850" t="s">
        <v>111</v>
      </c>
      <c r="AN850">
        <v>25908</v>
      </c>
      <c r="AO850" t="s">
        <v>110</v>
      </c>
      <c r="AP850" t="s">
        <v>109</v>
      </c>
    </row>
    <row r="851" spans="1:42" x14ac:dyDescent="0.25">
      <c r="A851" s="28" t="str">
        <f>"15910"</f>
        <v>15910</v>
      </c>
      <c r="B851">
        <v>15910</v>
      </c>
      <c r="C851" t="s">
        <v>2488</v>
      </c>
      <c r="D851" t="s">
        <v>121</v>
      </c>
      <c r="E851" t="s">
        <v>584</v>
      </c>
      <c r="F851" t="s">
        <v>120</v>
      </c>
      <c r="G851" t="s">
        <v>8303</v>
      </c>
      <c r="I851" t="s">
        <v>1881</v>
      </c>
      <c r="J851" t="s">
        <v>7</v>
      </c>
      <c r="K851" s="63">
        <v>26233</v>
      </c>
      <c r="L851" s="28">
        <f>DATEDIF(K851,Zwift25!G$1,"Y")</f>
        <v>52</v>
      </c>
      <c r="M851" s="67">
        <f>IF(J851="m",VLOOKUP(L851,'All Solo Adjustments'!A:D,4,FALSE),VLOOKUP(L851,'All Solo Adjustments'!A:J,10,FALSE))</f>
        <v>1.4814814814814816E-3</v>
      </c>
      <c r="N851" s="63"/>
      <c r="O851" s="63"/>
      <c r="P851" s="63"/>
      <c r="Q851" s="63"/>
      <c r="R851" t="s">
        <v>383</v>
      </c>
      <c r="S851" t="s">
        <v>382</v>
      </c>
      <c r="T851" t="s">
        <v>292</v>
      </c>
      <c r="U851" t="s">
        <v>8302</v>
      </c>
      <c r="W851" t="s">
        <v>8301</v>
      </c>
      <c r="Y851" t="s">
        <v>8300</v>
      </c>
      <c r="Z851" t="str">
        <f>"07914540974"</f>
        <v>07914540974</v>
      </c>
      <c r="AA851" t="str">
        <f>""</f>
        <v/>
      </c>
      <c r="AB851" t="s">
        <v>8299</v>
      </c>
      <c r="AC851" t="s">
        <v>8298</v>
      </c>
      <c r="AD851" t="s">
        <v>114</v>
      </c>
      <c r="AE851" s="63">
        <v>45377</v>
      </c>
      <c r="AF851" t="s">
        <v>156</v>
      </c>
      <c r="AG851" t="s">
        <v>112</v>
      </c>
      <c r="AH851" t="s">
        <v>112</v>
      </c>
      <c r="AI851" s="63">
        <v>45155</v>
      </c>
      <c r="AJ851" s="63">
        <v>45657</v>
      </c>
      <c r="AK851" t="s">
        <v>112</v>
      </c>
      <c r="AL851" t="s">
        <v>111</v>
      </c>
      <c r="AM851" t="s">
        <v>111</v>
      </c>
      <c r="AN851" t="s">
        <v>105</v>
      </c>
      <c r="AO851" t="s">
        <v>110</v>
      </c>
      <c r="AP851" t="s">
        <v>109</v>
      </c>
    </row>
    <row r="852" spans="1:42" x14ac:dyDescent="0.25">
      <c r="A852" s="28" t="str">
        <f>"14605"</f>
        <v>14605</v>
      </c>
      <c r="B852">
        <v>14605</v>
      </c>
      <c r="C852" t="s">
        <v>2488</v>
      </c>
      <c r="D852" t="s">
        <v>121</v>
      </c>
      <c r="F852" t="s">
        <v>120</v>
      </c>
      <c r="G852" t="s">
        <v>685</v>
      </c>
      <c r="H852" t="s">
        <v>359</v>
      </c>
      <c r="I852" t="s">
        <v>1880</v>
      </c>
      <c r="J852" t="s">
        <v>7</v>
      </c>
      <c r="K852" s="63">
        <v>25513</v>
      </c>
      <c r="L852" s="28">
        <f>DATEDIF(K852,Zwift25!G$1,"Y")</f>
        <v>54</v>
      </c>
      <c r="M852" s="67">
        <f>IF(J852="m",VLOOKUP(L852,'All Solo Adjustments'!A:D,4,FALSE),VLOOKUP(L852,'All Solo Adjustments'!A:J,10,FALSE))</f>
        <v>1.8518518518518517E-3</v>
      </c>
      <c r="N852" s="63"/>
      <c r="O852" s="63"/>
      <c r="P852" s="63"/>
      <c r="Q852" s="63"/>
      <c r="R852" t="s">
        <v>198</v>
      </c>
      <c r="S852" t="s">
        <v>461</v>
      </c>
      <c r="T852" t="s">
        <v>292</v>
      </c>
      <c r="U852" t="s">
        <v>8297</v>
      </c>
      <c r="V852" t="s">
        <v>8296</v>
      </c>
      <c r="W852" t="s">
        <v>2001</v>
      </c>
      <c r="X852" t="s">
        <v>196</v>
      </c>
      <c r="Y852" t="s">
        <v>8295</v>
      </c>
      <c r="Z852" t="str">
        <f>"07718194151"</f>
        <v>07718194151</v>
      </c>
      <c r="AA852" t="str">
        <f>""</f>
        <v/>
      </c>
      <c r="AB852" t="s">
        <v>936</v>
      </c>
      <c r="AC852" t="s">
        <v>8294</v>
      </c>
      <c r="AD852" t="s">
        <v>114</v>
      </c>
      <c r="AE852" s="63">
        <v>45363</v>
      </c>
      <c r="AF852" t="s">
        <v>156</v>
      </c>
      <c r="AG852" t="s">
        <v>112</v>
      </c>
      <c r="AH852" t="s">
        <v>112</v>
      </c>
      <c r="AI852" s="63">
        <v>44030</v>
      </c>
      <c r="AJ852" s="63">
        <v>45657</v>
      </c>
      <c r="AK852" t="s">
        <v>112</v>
      </c>
      <c r="AL852" t="s">
        <v>112</v>
      </c>
      <c r="AM852" t="s">
        <v>111</v>
      </c>
      <c r="AN852">
        <v>892</v>
      </c>
      <c r="AO852" t="s">
        <v>110</v>
      </c>
      <c r="AP852" t="s">
        <v>109</v>
      </c>
    </row>
    <row r="853" spans="1:42" x14ac:dyDescent="0.25">
      <c r="A853" s="28" t="str">
        <f>"4429"</f>
        <v>4429</v>
      </c>
      <c r="B853">
        <v>4429</v>
      </c>
      <c r="C853" t="s">
        <v>2488</v>
      </c>
      <c r="D853" t="s">
        <v>121</v>
      </c>
      <c r="F853" t="s">
        <v>120</v>
      </c>
      <c r="G853" t="s">
        <v>230</v>
      </c>
      <c r="H853" t="s">
        <v>284</v>
      </c>
      <c r="I853" t="s">
        <v>1879</v>
      </c>
      <c r="J853" t="s">
        <v>7</v>
      </c>
      <c r="K853" s="63">
        <v>14317</v>
      </c>
      <c r="L853" s="28">
        <f>DATEDIF(K853,Zwift25!G$1,"Y")</f>
        <v>85</v>
      </c>
      <c r="M853" s="67">
        <f>IF(J853="m",VLOOKUP(L853,'All Solo Adjustments'!A:D,4,FALSE),VLOOKUP(L853,'All Solo Adjustments'!A:J,10,FALSE))</f>
        <v>1.4236111111111111E-2</v>
      </c>
      <c r="N853" s="63"/>
      <c r="O853" s="63"/>
      <c r="P853" s="63"/>
      <c r="Q853" s="63"/>
      <c r="R853" t="s">
        <v>159</v>
      </c>
      <c r="S853" t="s">
        <v>570</v>
      </c>
      <c r="T853" t="s">
        <v>292</v>
      </c>
      <c r="U853" t="s">
        <v>8293</v>
      </c>
      <c r="V853" t="s">
        <v>8292</v>
      </c>
      <c r="W853" t="s">
        <v>486</v>
      </c>
      <c r="Y853" t="s">
        <v>8291</v>
      </c>
      <c r="Z853" t="str">
        <f>"01797 253341"</f>
        <v>01797 253341</v>
      </c>
      <c r="AA853" t="str">
        <f>""</f>
        <v/>
      </c>
      <c r="AB853" t="s">
        <v>953</v>
      </c>
      <c r="AC853" t="s">
        <v>8290</v>
      </c>
      <c r="AD853" t="s">
        <v>145</v>
      </c>
      <c r="AF853" t="s">
        <v>156</v>
      </c>
      <c r="AG853" t="s">
        <v>112</v>
      </c>
      <c r="AH853" t="s">
        <v>112</v>
      </c>
      <c r="AI853" s="63">
        <v>43445</v>
      </c>
      <c r="AK853" t="s">
        <v>111</v>
      </c>
      <c r="AL853" t="s">
        <v>111</v>
      </c>
      <c r="AM853" t="s">
        <v>111</v>
      </c>
      <c r="AN853" t="s">
        <v>105</v>
      </c>
      <c r="AO853" t="s">
        <v>110</v>
      </c>
      <c r="AP853" t="s">
        <v>109</v>
      </c>
    </row>
    <row r="854" spans="1:42" x14ac:dyDescent="0.25">
      <c r="A854" s="28" t="str">
        <f>"3437"</f>
        <v>3437</v>
      </c>
      <c r="B854">
        <v>3437</v>
      </c>
      <c r="C854" t="s">
        <v>2488</v>
      </c>
      <c r="D854" t="s">
        <v>121</v>
      </c>
      <c r="F854" t="s">
        <v>120</v>
      </c>
      <c r="G854" t="s">
        <v>1085</v>
      </c>
      <c r="H854" t="s">
        <v>1074</v>
      </c>
      <c r="I854" t="s">
        <v>8289</v>
      </c>
      <c r="J854" t="s">
        <v>7</v>
      </c>
      <c r="K854" s="63">
        <v>24840</v>
      </c>
      <c r="L854" s="28">
        <f>DATEDIF(K854,Zwift25!G$1,"Y")</f>
        <v>56</v>
      </c>
      <c r="M854" s="67">
        <f>IF(J854="m",VLOOKUP(L854,'All Solo Adjustments'!A:D,4,FALSE),VLOOKUP(L854,'All Solo Adjustments'!A:J,10,FALSE))</f>
        <v>2.2685185185185182E-3</v>
      </c>
      <c r="N854" s="63"/>
      <c r="O854" s="63"/>
      <c r="P854" s="63"/>
      <c r="Q854" s="63"/>
      <c r="R854" t="s">
        <v>125</v>
      </c>
      <c r="S854" t="s">
        <v>170</v>
      </c>
      <c r="T854" t="s">
        <v>292</v>
      </c>
      <c r="U854" t="s">
        <v>8288</v>
      </c>
      <c r="V854" t="s">
        <v>852</v>
      </c>
      <c r="W854" t="s">
        <v>871</v>
      </c>
      <c r="Y854" t="s">
        <v>8287</v>
      </c>
      <c r="Z854" t="str">
        <f>"07740 725368"</f>
        <v>07740 725368</v>
      </c>
      <c r="AA854" t="str">
        <f>""</f>
        <v/>
      </c>
      <c r="AB854" t="s">
        <v>1115</v>
      </c>
      <c r="AC854" t="s">
        <v>8286</v>
      </c>
      <c r="AD854" t="s">
        <v>114</v>
      </c>
      <c r="AE854" s="63">
        <v>45208</v>
      </c>
      <c r="AF854" t="s">
        <v>113</v>
      </c>
      <c r="AG854" t="s">
        <v>112</v>
      </c>
      <c r="AH854" t="s">
        <v>112</v>
      </c>
      <c r="AI854" s="63">
        <v>39646</v>
      </c>
      <c r="AJ854" s="63">
        <v>45657</v>
      </c>
      <c r="AK854" t="s">
        <v>111</v>
      </c>
      <c r="AL854" t="s">
        <v>111</v>
      </c>
      <c r="AM854" t="s">
        <v>111</v>
      </c>
      <c r="AN854">
        <v>19207</v>
      </c>
      <c r="AO854" t="s">
        <v>110</v>
      </c>
      <c r="AP854" t="s">
        <v>109</v>
      </c>
    </row>
    <row r="855" spans="1:42" x14ac:dyDescent="0.25">
      <c r="A855" s="28" t="str">
        <f>"5778"</f>
        <v>5778</v>
      </c>
      <c r="B855">
        <v>5778</v>
      </c>
      <c r="C855" t="s">
        <v>2488</v>
      </c>
      <c r="D855" t="s">
        <v>121</v>
      </c>
      <c r="F855" t="s">
        <v>120</v>
      </c>
      <c r="G855" t="s">
        <v>546</v>
      </c>
      <c r="H855" t="s">
        <v>469</v>
      </c>
      <c r="I855" t="s">
        <v>1874</v>
      </c>
      <c r="J855" t="s">
        <v>7</v>
      </c>
      <c r="K855" s="63">
        <v>25556</v>
      </c>
      <c r="L855" s="28">
        <f>DATEDIF(K855,Zwift25!G$1,"Y")</f>
        <v>54</v>
      </c>
      <c r="M855" s="67">
        <f>IF(J855="m",VLOOKUP(L855,'All Solo Adjustments'!A:D,4,FALSE),VLOOKUP(L855,'All Solo Adjustments'!A:J,10,FALSE))</f>
        <v>1.8518518518518517E-3</v>
      </c>
      <c r="N855" s="63"/>
      <c r="O855" s="63"/>
      <c r="P855" s="63"/>
      <c r="Q855" s="63"/>
      <c r="R855" t="s">
        <v>125</v>
      </c>
      <c r="S855" t="s">
        <v>170</v>
      </c>
      <c r="T855" t="s">
        <v>292</v>
      </c>
      <c r="U855" t="s">
        <v>8285</v>
      </c>
      <c r="V855" t="s">
        <v>8284</v>
      </c>
      <c r="W855" t="s">
        <v>420</v>
      </c>
      <c r="Y855" t="s">
        <v>8283</v>
      </c>
      <c r="Z855" t="str">
        <f>"07795 057858"</f>
        <v>07795 057858</v>
      </c>
      <c r="AA855" t="str">
        <f>"01733 350966"</f>
        <v>01733 350966</v>
      </c>
      <c r="AB855" t="s">
        <v>1340</v>
      </c>
      <c r="AC855" t="s">
        <v>8282</v>
      </c>
      <c r="AD855" t="s">
        <v>114</v>
      </c>
      <c r="AE855" s="63">
        <v>45347</v>
      </c>
      <c r="AF855" t="s">
        <v>156</v>
      </c>
      <c r="AG855" t="s">
        <v>112</v>
      </c>
      <c r="AH855" t="s">
        <v>112</v>
      </c>
      <c r="AI855" s="63">
        <v>42458</v>
      </c>
      <c r="AJ855" s="63">
        <v>45657</v>
      </c>
      <c r="AK855" t="s">
        <v>111</v>
      </c>
      <c r="AL855" t="s">
        <v>111</v>
      </c>
      <c r="AM855" t="s">
        <v>111</v>
      </c>
      <c r="AN855">
        <v>3422</v>
      </c>
      <c r="AO855" t="s">
        <v>110</v>
      </c>
      <c r="AP855" t="s">
        <v>109</v>
      </c>
    </row>
    <row r="856" spans="1:42" x14ac:dyDescent="0.25">
      <c r="A856" s="28" t="str">
        <f>"16039"</f>
        <v>16039</v>
      </c>
      <c r="B856">
        <v>16039</v>
      </c>
      <c r="C856" t="s">
        <v>2488</v>
      </c>
      <c r="D856" t="s">
        <v>121</v>
      </c>
      <c r="F856" t="s">
        <v>120</v>
      </c>
      <c r="G856" t="s">
        <v>489</v>
      </c>
      <c r="H856" t="s">
        <v>2213</v>
      </c>
      <c r="I856" t="s">
        <v>1874</v>
      </c>
      <c r="J856" t="s">
        <v>7</v>
      </c>
      <c r="K856" s="63">
        <v>27016</v>
      </c>
      <c r="L856" s="28">
        <f>DATEDIF(K856,Zwift25!G$1,"Y")</f>
        <v>50</v>
      </c>
      <c r="M856" s="67">
        <f>IF(J856="m",VLOOKUP(L856,'All Solo Adjustments'!A:D,4,FALSE),VLOOKUP(L856,'All Solo Adjustments'!A:J,10,FALSE))</f>
        <v>1.1342592592592591E-3</v>
      </c>
      <c r="N856" s="63"/>
      <c r="O856" s="63"/>
      <c r="P856" s="63"/>
      <c r="Q856" s="63"/>
      <c r="R856" t="s">
        <v>154</v>
      </c>
      <c r="S856" t="s">
        <v>153</v>
      </c>
      <c r="T856" t="s">
        <v>292</v>
      </c>
      <c r="U856" t="s">
        <v>8281</v>
      </c>
      <c r="V856" t="s">
        <v>4004</v>
      </c>
      <c r="W856" t="s">
        <v>1708</v>
      </c>
      <c r="Y856" t="s">
        <v>8280</v>
      </c>
      <c r="Z856" t="str">
        <f>"07786151053"</f>
        <v>07786151053</v>
      </c>
      <c r="AA856" t="str">
        <f>""</f>
        <v/>
      </c>
      <c r="AB856" t="s">
        <v>1417</v>
      </c>
      <c r="AC856" t="s">
        <v>8279</v>
      </c>
      <c r="AD856" t="s">
        <v>114</v>
      </c>
      <c r="AE856" s="63">
        <v>45351</v>
      </c>
      <c r="AF856" t="s">
        <v>156</v>
      </c>
      <c r="AG856" t="s">
        <v>112</v>
      </c>
      <c r="AH856" t="s">
        <v>112</v>
      </c>
      <c r="AI856" s="63">
        <v>45351</v>
      </c>
      <c r="AJ856" s="63">
        <v>45657</v>
      </c>
      <c r="AK856" t="s">
        <v>112</v>
      </c>
      <c r="AL856" t="s">
        <v>111</v>
      </c>
      <c r="AM856" t="s">
        <v>111</v>
      </c>
      <c r="AN856">
        <v>49526</v>
      </c>
      <c r="AO856" t="s">
        <v>110</v>
      </c>
      <c r="AP856" t="s">
        <v>109</v>
      </c>
    </row>
    <row r="857" spans="1:42" x14ac:dyDescent="0.25">
      <c r="A857" s="28" t="str">
        <f>"5323"</f>
        <v>5323</v>
      </c>
      <c r="B857">
        <v>5323</v>
      </c>
      <c r="C857" t="s">
        <v>2488</v>
      </c>
      <c r="D857" t="s">
        <v>121</v>
      </c>
      <c r="F857" t="s">
        <v>120</v>
      </c>
      <c r="G857" t="s">
        <v>377</v>
      </c>
      <c r="I857" t="s">
        <v>8278</v>
      </c>
      <c r="J857" t="s">
        <v>7</v>
      </c>
      <c r="K857" s="63">
        <v>24918</v>
      </c>
      <c r="L857" s="28">
        <f>DATEDIF(K857,Zwift25!G$1,"Y")</f>
        <v>56</v>
      </c>
      <c r="M857" s="67">
        <f>IF(J857="m",VLOOKUP(L857,'All Solo Adjustments'!A:D,4,FALSE),VLOOKUP(L857,'All Solo Adjustments'!A:J,10,FALSE))</f>
        <v>2.2685185185185182E-3</v>
      </c>
      <c r="N857" s="63"/>
      <c r="O857" s="63"/>
      <c r="P857" s="63"/>
      <c r="Q857" s="63"/>
      <c r="R857" t="s">
        <v>125</v>
      </c>
      <c r="S857" t="s">
        <v>170</v>
      </c>
      <c r="T857" t="s">
        <v>292</v>
      </c>
      <c r="U857" t="s">
        <v>8277</v>
      </c>
      <c r="V857" t="s">
        <v>8276</v>
      </c>
      <c r="W857" t="s">
        <v>303</v>
      </c>
      <c r="X857" t="s">
        <v>193</v>
      </c>
      <c r="Y857" t="s">
        <v>8275</v>
      </c>
      <c r="Z857" t="str">
        <f>"+441603764484"</f>
        <v>+441603764484</v>
      </c>
      <c r="AA857" t="str">
        <f>"07768465756"</f>
        <v>07768465756</v>
      </c>
      <c r="AB857" t="s">
        <v>8274</v>
      </c>
      <c r="AC857" t="s">
        <v>8273</v>
      </c>
      <c r="AD857" t="s">
        <v>114</v>
      </c>
      <c r="AE857" s="63">
        <v>45296</v>
      </c>
      <c r="AF857" t="s">
        <v>156</v>
      </c>
      <c r="AG857" t="s">
        <v>112</v>
      </c>
      <c r="AH857" t="s">
        <v>112</v>
      </c>
      <c r="AI857" s="63">
        <v>42062</v>
      </c>
      <c r="AJ857" s="63">
        <v>45657</v>
      </c>
      <c r="AK857" t="s">
        <v>111</v>
      </c>
      <c r="AL857" t="s">
        <v>111</v>
      </c>
      <c r="AM857" t="s">
        <v>111</v>
      </c>
      <c r="AN857">
        <v>3586</v>
      </c>
      <c r="AO857" t="s">
        <v>110</v>
      </c>
      <c r="AP857" t="s">
        <v>109</v>
      </c>
    </row>
    <row r="858" spans="1:42" x14ac:dyDescent="0.25">
      <c r="A858" s="28" t="str">
        <f>"1101"</f>
        <v>1101</v>
      </c>
      <c r="B858">
        <v>1101</v>
      </c>
      <c r="C858" t="s">
        <v>2488</v>
      </c>
      <c r="D858" t="s">
        <v>121</v>
      </c>
      <c r="F858" t="s">
        <v>120</v>
      </c>
      <c r="G858" t="s">
        <v>436</v>
      </c>
      <c r="I858" t="s">
        <v>1872</v>
      </c>
      <c r="J858" t="s">
        <v>7</v>
      </c>
      <c r="K858" s="63">
        <v>12384</v>
      </c>
      <c r="L858" s="28">
        <f>DATEDIF(K858,Zwift25!G$1,"Y")</f>
        <v>90</v>
      </c>
      <c r="M858" s="67">
        <f>IF(J858="m",VLOOKUP(L858,'All Solo Adjustments'!A:D,4,FALSE),VLOOKUP(L858,'All Solo Adjustments'!A:J,10,FALSE))</f>
        <v>1.8391203703703705E-2</v>
      </c>
      <c r="N858" s="63"/>
      <c r="O858" s="63"/>
      <c r="P858" s="63"/>
      <c r="Q858" s="63"/>
      <c r="R858" t="s">
        <v>198</v>
      </c>
      <c r="S858" t="s">
        <v>476</v>
      </c>
      <c r="T858" t="s">
        <v>292</v>
      </c>
      <c r="U858" t="s">
        <v>2419</v>
      </c>
      <c r="V858" t="s">
        <v>2418</v>
      </c>
      <c r="W858" t="s">
        <v>460</v>
      </c>
      <c r="X858" t="s">
        <v>196</v>
      </c>
      <c r="Y858" t="s">
        <v>2417</v>
      </c>
      <c r="Z858" t="str">
        <f>"01625 873480"</f>
        <v>01625 873480</v>
      </c>
      <c r="AA858" t="str">
        <f>"07791765294"</f>
        <v>07791765294</v>
      </c>
      <c r="AB858" t="s">
        <v>1097</v>
      </c>
      <c r="AC858" t="s">
        <v>2416</v>
      </c>
      <c r="AD858" t="s">
        <v>151</v>
      </c>
      <c r="AF858" t="s">
        <v>113</v>
      </c>
      <c r="AG858" t="s">
        <v>112</v>
      </c>
      <c r="AH858" t="s">
        <v>112</v>
      </c>
      <c r="AI858" s="63">
        <v>32598</v>
      </c>
      <c r="AK858" t="s">
        <v>111</v>
      </c>
      <c r="AL858" t="s">
        <v>111</v>
      </c>
      <c r="AM858" t="s">
        <v>111</v>
      </c>
      <c r="AN858">
        <v>1085</v>
      </c>
      <c r="AO858" t="s">
        <v>110</v>
      </c>
      <c r="AP858" t="s">
        <v>109</v>
      </c>
    </row>
    <row r="859" spans="1:42" x14ac:dyDescent="0.25">
      <c r="A859" s="28" t="str">
        <f>"1103"</f>
        <v>1103</v>
      </c>
      <c r="B859">
        <v>1103</v>
      </c>
      <c r="C859" t="s">
        <v>2488</v>
      </c>
      <c r="D859" t="s">
        <v>121</v>
      </c>
      <c r="F859" t="s">
        <v>120</v>
      </c>
      <c r="G859" t="s">
        <v>492</v>
      </c>
      <c r="I859" t="s">
        <v>8272</v>
      </c>
      <c r="J859" t="s">
        <v>7</v>
      </c>
      <c r="K859" s="63">
        <v>13232</v>
      </c>
      <c r="L859" s="28">
        <f>DATEDIF(K859,Zwift25!G$1,"Y")</f>
        <v>88</v>
      </c>
      <c r="M859" s="67">
        <f>IF(J859="m",VLOOKUP(L859,'All Solo Adjustments'!A:D,4,FALSE),VLOOKUP(L859,'All Solo Adjustments'!A:J,10,FALSE))</f>
        <v>1.6597222222222222E-2</v>
      </c>
      <c r="N859" s="63"/>
      <c r="O859" s="63"/>
      <c r="P859" s="63"/>
      <c r="Q859" s="63"/>
      <c r="R859" t="s">
        <v>184</v>
      </c>
      <c r="S859" t="s">
        <v>835</v>
      </c>
      <c r="T859" t="s">
        <v>292</v>
      </c>
      <c r="U859" t="s">
        <v>8271</v>
      </c>
      <c r="V859" t="s">
        <v>1795</v>
      </c>
      <c r="W859" t="s">
        <v>834</v>
      </c>
      <c r="Y859" t="s">
        <v>8270</v>
      </c>
      <c r="Z859" t="str">
        <f>"01753 869092"</f>
        <v>01753 869092</v>
      </c>
      <c r="AA859" t="str">
        <f>""</f>
        <v/>
      </c>
      <c r="AB859" t="s">
        <v>971</v>
      </c>
      <c r="AC859" t="s">
        <v>8269</v>
      </c>
      <c r="AD859" t="s">
        <v>151</v>
      </c>
      <c r="AF859" t="s">
        <v>113</v>
      </c>
      <c r="AG859" t="s">
        <v>112</v>
      </c>
      <c r="AH859" t="s">
        <v>112</v>
      </c>
      <c r="AI859" s="63">
        <v>28683</v>
      </c>
      <c r="AK859" t="s">
        <v>111</v>
      </c>
      <c r="AL859" t="s">
        <v>111</v>
      </c>
      <c r="AM859" t="s">
        <v>111</v>
      </c>
      <c r="AN859" t="s">
        <v>105</v>
      </c>
      <c r="AO859" t="s">
        <v>110</v>
      </c>
      <c r="AP859" t="s">
        <v>109</v>
      </c>
    </row>
    <row r="860" spans="1:42" x14ac:dyDescent="0.25">
      <c r="A860" s="28" t="str">
        <f>"15747"</f>
        <v>15747</v>
      </c>
      <c r="B860">
        <v>15747</v>
      </c>
      <c r="C860" t="s">
        <v>2488</v>
      </c>
      <c r="D860" t="s">
        <v>121</v>
      </c>
      <c r="E860" t="s">
        <v>584</v>
      </c>
      <c r="F860" t="s">
        <v>120</v>
      </c>
      <c r="G860" t="s">
        <v>952</v>
      </c>
      <c r="H860" t="s">
        <v>284</v>
      </c>
      <c r="I860" t="s">
        <v>8268</v>
      </c>
      <c r="J860" t="s">
        <v>7</v>
      </c>
      <c r="K860" s="63">
        <v>22969</v>
      </c>
      <c r="L860" s="28">
        <f>DATEDIF(K860,Zwift25!G$1,"Y")</f>
        <v>61</v>
      </c>
      <c r="M860" s="67">
        <f>IF(J860="m",VLOOKUP(L860,'All Solo Adjustments'!A:D,4,FALSE),VLOOKUP(L860,'All Solo Adjustments'!A:J,10,FALSE))</f>
        <v>3.4722222222222225E-3</v>
      </c>
      <c r="N860" s="63"/>
      <c r="O860" s="63"/>
      <c r="P860" s="63"/>
      <c r="Q860" s="63"/>
      <c r="R860" t="s">
        <v>137</v>
      </c>
      <c r="S860" t="s">
        <v>136</v>
      </c>
      <c r="T860" t="s">
        <v>292</v>
      </c>
      <c r="U860" t="s">
        <v>8267</v>
      </c>
      <c r="V860" t="s">
        <v>8266</v>
      </c>
      <c r="W860" t="s">
        <v>1877</v>
      </c>
      <c r="X860" t="s">
        <v>564</v>
      </c>
      <c r="Y860" t="s">
        <v>8265</v>
      </c>
      <c r="Z860" t="str">
        <f>"07522903726"</f>
        <v>07522903726</v>
      </c>
      <c r="AA860" t="str">
        <f>""</f>
        <v/>
      </c>
      <c r="AB860" t="s">
        <v>408</v>
      </c>
      <c r="AC860" t="s">
        <v>8264</v>
      </c>
      <c r="AD860" t="s">
        <v>114</v>
      </c>
      <c r="AE860" s="63">
        <v>45225</v>
      </c>
      <c r="AF860" t="s">
        <v>156</v>
      </c>
      <c r="AG860" t="s">
        <v>112</v>
      </c>
      <c r="AH860" t="s">
        <v>112</v>
      </c>
      <c r="AI860" s="63">
        <v>45012</v>
      </c>
      <c r="AJ860" s="63">
        <v>45657</v>
      </c>
      <c r="AK860" t="s">
        <v>112</v>
      </c>
      <c r="AL860" t="s">
        <v>111</v>
      </c>
      <c r="AM860" t="s">
        <v>111</v>
      </c>
      <c r="AN860">
        <v>46659</v>
      </c>
      <c r="AO860" t="s">
        <v>110</v>
      </c>
      <c r="AP860" t="s">
        <v>109</v>
      </c>
    </row>
    <row r="861" spans="1:42" x14ac:dyDescent="0.25">
      <c r="A861" s="28" t="str">
        <f>"15011"</f>
        <v>15011</v>
      </c>
      <c r="B861">
        <v>15011</v>
      </c>
      <c r="C861" t="s">
        <v>2488</v>
      </c>
      <c r="D861" t="s">
        <v>121</v>
      </c>
      <c r="F861" t="s">
        <v>120</v>
      </c>
      <c r="G861" t="s">
        <v>300</v>
      </c>
      <c r="H861" t="s">
        <v>359</v>
      </c>
      <c r="I861" t="s">
        <v>1301</v>
      </c>
      <c r="J861" t="s">
        <v>7</v>
      </c>
      <c r="K861" s="63">
        <v>25207</v>
      </c>
      <c r="L861" s="28">
        <f>DATEDIF(K861,Zwift25!G$1,"Y")</f>
        <v>55</v>
      </c>
      <c r="M861" s="67">
        <f>IF(J861="m",VLOOKUP(L861,'All Solo Adjustments'!A:D,4,FALSE),VLOOKUP(L861,'All Solo Adjustments'!A:J,10,FALSE))</f>
        <v>2.0601851851851853E-3</v>
      </c>
      <c r="N861" s="63"/>
      <c r="O861" s="63"/>
      <c r="P861" s="63"/>
      <c r="Q861" s="63"/>
      <c r="R861" t="s">
        <v>198</v>
      </c>
      <c r="S861" t="s">
        <v>461</v>
      </c>
      <c r="T861" t="s">
        <v>292</v>
      </c>
      <c r="U861" t="s">
        <v>1870</v>
      </c>
      <c r="V861" t="s">
        <v>1145</v>
      </c>
      <c r="X861" t="s">
        <v>495</v>
      </c>
      <c r="Y861" t="s">
        <v>8263</v>
      </c>
      <c r="Z861" t="str">
        <f>"07976956216"</f>
        <v>07976956216</v>
      </c>
      <c r="AA861" t="str">
        <f>"07976956216"</f>
        <v>07976956216</v>
      </c>
      <c r="AB861" t="s">
        <v>1232</v>
      </c>
      <c r="AC861" t="s">
        <v>1869</v>
      </c>
      <c r="AD861" t="s">
        <v>114</v>
      </c>
      <c r="AE861" s="63">
        <v>45306</v>
      </c>
      <c r="AF861" t="s">
        <v>113</v>
      </c>
      <c r="AG861" t="s">
        <v>112</v>
      </c>
      <c r="AH861" t="s">
        <v>112</v>
      </c>
      <c r="AI861" s="63">
        <v>44309</v>
      </c>
      <c r="AJ861" s="63">
        <v>45657</v>
      </c>
      <c r="AK861" t="s">
        <v>112</v>
      </c>
      <c r="AL861" t="s">
        <v>111</v>
      </c>
      <c r="AM861" t="s">
        <v>111</v>
      </c>
      <c r="AN861">
        <v>957</v>
      </c>
      <c r="AO861" t="s">
        <v>110</v>
      </c>
      <c r="AP861" t="s">
        <v>109</v>
      </c>
    </row>
    <row r="862" spans="1:42" x14ac:dyDescent="0.25">
      <c r="A862" s="28" t="str">
        <f>"1107"</f>
        <v>1107</v>
      </c>
      <c r="B862">
        <v>1107</v>
      </c>
      <c r="C862" t="s">
        <v>2488</v>
      </c>
      <c r="D862" t="s">
        <v>121</v>
      </c>
      <c r="F862" t="s">
        <v>120</v>
      </c>
      <c r="G862" t="s">
        <v>402</v>
      </c>
      <c r="H862" t="s">
        <v>1349</v>
      </c>
      <c r="I862" t="s">
        <v>1867</v>
      </c>
      <c r="J862" t="s">
        <v>7</v>
      </c>
      <c r="K862" s="63">
        <v>17147</v>
      </c>
      <c r="L862" s="28">
        <f>DATEDIF(K862,Zwift25!G$1,"Y")</f>
        <v>77</v>
      </c>
      <c r="M862" s="67">
        <f>IF(J862="m",VLOOKUP(L862,'All Solo Adjustments'!A:D,4,FALSE),VLOOKUP(L862,'All Solo Adjustments'!A:J,10,FALSE))</f>
        <v>9.3981481481481485E-3</v>
      </c>
      <c r="N862" s="63"/>
      <c r="O862" s="63"/>
      <c r="P862" s="63"/>
      <c r="Q862" s="63"/>
      <c r="R862" t="s">
        <v>198</v>
      </c>
      <c r="S862" t="s">
        <v>461</v>
      </c>
      <c r="T862" t="s">
        <v>292</v>
      </c>
      <c r="U862" t="s">
        <v>8262</v>
      </c>
      <c r="V862" t="s">
        <v>1668</v>
      </c>
      <c r="W862" t="s">
        <v>196</v>
      </c>
      <c r="Y862" t="s">
        <v>8261</v>
      </c>
      <c r="Z862" t="str">
        <f>"0161 980 8256"</f>
        <v>0161 980 8256</v>
      </c>
      <c r="AA862" t="str">
        <f>""</f>
        <v/>
      </c>
      <c r="AB862" t="s">
        <v>514</v>
      </c>
      <c r="AC862" t="s">
        <v>8260</v>
      </c>
      <c r="AD862" t="s">
        <v>114</v>
      </c>
      <c r="AE862" s="63">
        <v>45264</v>
      </c>
      <c r="AF862" t="s">
        <v>113</v>
      </c>
      <c r="AG862" t="s">
        <v>112</v>
      </c>
      <c r="AH862" t="s">
        <v>112</v>
      </c>
      <c r="AI862" s="63">
        <v>42005</v>
      </c>
      <c r="AJ862" s="63">
        <v>45657</v>
      </c>
      <c r="AK862" t="s">
        <v>111</v>
      </c>
      <c r="AL862" t="s">
        <v>111</v>
      </c>
      <c r="AM862" t="s">
        <v>111</v>
      </c>
      <c r="AN862" t="s">
        <v>105</v>
      </c>
      <c r="AO862" t="s">
        <v>110</v>
      </c>
      <c r="AP862" t="s">
        <v>109</v>
      </c>
    </row>
    <row r="863" spans="1:42" x14ac:dyDescent="0.25">
      <c r="A863" s="28" t="str">
        <f>"5607"</f>
        <v>5607</v>
      </c>
      <c r="B863">
        <v>5607</v>
      </c>
      <c r="C863" t="s">
        <v>2488</v>
      </c>
      <c r="D863" t="s">
        <v>121</v>
      </c>
      <c r="E863" t="s">
        <v>584</v>
      </c>
      <c r="F863" t="s">
        <v>120</v>
      </c>
      <c r="G863" t="s">
        <v>366</v>
      </c>
      <c r="H863" t="s">
        <v>195</v>
      </c>
      <c r="I863" t="s">
        <v>8255</v>
      </c>
      <c r="J863" t="s">
        <v>7</v>
      </c>
      <c r="K863" s="63">
        <v>23915</v>
      </c>
      <c r="L863" s="28">
        <f>DATEDIF(K863,Zwift25!G$1,"Y")</f>
        <v>59</v>
      </c>
      <c r="M863" s="67">
        <f>IF(J863="m",VLOOKUP(L863,'All Solo Adjustments'!A:D,4,FALSE),VLOOKUP(L863,'All Solo Adjustments'!A:J,10,FALSE))</f>
        <v>2.9629629629629632E-3</v>
      </c>
      <c r="N863" s="63"/>
      <c r="O863" s="63"/>
      <c r="P863" s="63"/>
      <c r="Q863" s="63"/>
      <c r="R863" t="s">
        <v>143</v>
      </c>
      <c r="S863" t="s">
        <v>142</v>
      </c>
      <c r="T863" t="s">
        <v>292</v>
      </c>
      <c r="U863" t="s">
        <v>8259</v>
      </c>
      <c r="V863" t="s">
        <v>8258</v>
      </c>
      <c r="W863" t="s">
        <v>1212</v>
      </c>
      <c r="X863" t="s">
        <v>337</v>
      </c>
      <c r="Y863" t="s">
        <v>8257</v>
      </c>
      <c r="Z863" t="str">
        <f>"07835807198"</f>
        <v>07835807198</v>
      </c>
      <c r="AA863" t="str">
        <f>""</f>
        <v/>
      </c>
      <c r="AB863" t="s">
        <v>7133</v>
      </c>
      <c r="AC863" t="s">
        <v>8256</v>
      </c>
      <c r="AD863" t="s">
        <v>114</v>
      </c>
      <c r="AE863" s="63">
        <v>45230</v>
      </c>
      <c r="AF863" t="s">
        <v>156</v>
      </c>
      <c r="AG863" t="s">
        <v>112</v>
      </c>
      <c r="AH863" t="s">
        <v>112</v>
      </c>
      <c r="AI863" s="63">
        <v>42224</v>
      </c>
      <c r="AJ863" s="63">
        <v>45657</v>
      </c>
      <c r="AK863" t="s">
        <v>111</v>
      </c>
      <c r="AL863" t="s">
        <v>111</v>
      </c>
      <c r="AM863" t="s">
        <v>111</v>
      </c>
      <c r="AN863">
        <v>7032</v>
      </c>
      <c r="AO863" t="s">
        <v>110</v>
      </c>
      <c r="AP863" t="s">
        <v>109</v>
      </c>
    </row>
    <row r="864" spans="1:42" x14ac:dyDescent="0.25">
      <c r="A864" s="28" t="str">
        <f>"14079"</f>
        <v>14079</v>
      </c>
      <c r="B864">
        <v>14079</v>
      </c>
      <c r="C864" t="s">
        <v>2488</v>
      </c>
      <c r="D864" t="s">
        <v>121</v>
      </c>
      <c r="F864" t="s">
        <v>120</v>
      </c>
      <c r="G864" t="s">
        <v>400</v>
      </c>
      <c r="I864" t="s">
        <v>8255</v>
      </c>
      <c r="J864" t="s">
        <v>7</v>
      </c>
      <c r="K864" s="63">
        <v>27504</v>
      </c>
      <c r="L864" s="28">
        <f>DATEDIF(K864,Zwift25!G$1,"Y")</f>
        <v>49</v>
      </c>
      <c r="M864" s="67">
        <f>IF(J864="m",VLOOKUP(L864,'All Solo Adjustments'!A:D,4,FALSE),VLOOKUP(L864,'All Solo Adjustments'!A:J,10,FALSE))</f>
        <v>9.837962962962962E-4</v>
      </c>
      <c r="N864" s="63"/>
      <c r="O864" s="63"/>
      <c r="P864" s="63"/>
      <c r="Q864" s="63"/>
      <c r="R864" t="s">
        <v>184</v>
      </c>
      <c r="S864" t="s">
        <v>183</v>
      </c>
      <c r="T864" t="s">
        <v>292</v>
      </c>
      <c r="U864" t="s">
        <v>8254</v>
      </c>
      <c r="W864" t="s">
        <v>1971</v>
      </c>
      <c r="X864" t="s">
        <v>8253</v>
      </c>
      <c r="Y864" t="s">
        <v>8252</v>
      </c>
      <c r="Z864" t="str">
        <f>"07747151624"</f>
        <v>07747151624</v>
      </c>
      <c r="AA864" t="str">
        <f>""</f>
        <v/>
      </c>
      <c r="AB864" t="s">
        <v>290</v>
      </c>
      <c r="AC864" t="s">
        <v>8251</v>
      </c>
      <c r="AD864" t="s">
        <v>114</v>
      </c>
      <c r="AE864" s="63">
        <v>45361</v>
      </c>
      <c r="AF864" t="s">
        <v>156</v>
      </c>
      <c r="AG864" t="s">
        <v>112</v>
      </c>
      <c r="AH864" t="s">
        <v>112</v>
      </c>
      <c r="AI864" s="63">
        <v>43520</v>
      </c>
      <c r="AJ864" s="63">
        <v>45657</v>
      </c>
      <c r="AK864" t="s">
        <v>112</v>
      </c>
      <c r="AL864" t="s">
        <v>111</v>
      </c>
      <c r="AM864" t="s">
        <v>111</v>
      </c>
      <c r="AN864">
        <v>1220</v>
      </c>
      <c r="AO864" t="s">
        <v>110</v>
      </c>
      <c r="AP864" t="s">
        <v>109</v>
      </c>
    </row>
    <row r="865" spans="1:42" x14ac:dyDescent="0.25">
      <c r="A865" s="28" t="str">
        <f>"6521"</f>
        <v>6521</v>
      </c>
      <c r="B865">
        <v>6521</v>
      </c>
      <c r="C865" t="s">
        <v>2488</v>
      </c>
      <c r="D865" t="s">
        <v>121</v>
      </c>
      <c r="F865" t="s">
        <v>149</v>
      </c>
      <c r="G865" t="s">
        <v>8250</v>
      </c>
      <c r="I865" t="s">
        <v>8248</v>
      </c>
      <c r="J865" t="s">
        <v>126</v>
      </c>
      <c r="K865" s="63">
        <v>12618</v>
      </c>
      <c r="L865" s="28">
        <f>DATEDIF(K865,Zwift25!G$1,"Y")</f>
        <v>90</v>
      </c>
      <c r="M865" s="67">
        <f>IF(J865="m",VLOOKUP(L865,'All Solo Adjustments'!A:D,4,FALSE),VLOOKUP(L865,'All Solo Adjustments'!A:J,10,FALSE))</f>
        <v>2.5138888888888888E-2</v>
      </c>
      <c r="N865" s="63"/>
      <c r="O865" s="63"/>
      <c r="P865" s="63"/>
      <c r="Q865" s="63"/>
      <c r="R865" t="s">
        <v>159</v>
      </c>
      <c r="S865" t="s">
        <v>570</v>
      </c>
      <c r="T865" t="s">
        <v>292</v>
      </c>
      <c r="U865" t="s">
        <v>8247</v>
      </c>
      <c r="V865" t="s">
        <v>257</v>
      </c>
      <c r="W865" t="s">
        <v>159</v>
      </c>
      <c r="Y865" t="s">
        <v>8246</v>
      </c>
      <c r="Z865" t="str">
        <f>"01795 421101"</f>
        <v>01795 421101</v>
      </c>
      <c r="AA865" t="str">
        <f>""</f>
        <v/>
      </c>
      <c r="AB865" t="s">
        <v>186</v>
      </c>
      <c r="AD865" t="s">
        <v>151</v>
      </c>
      <c r="AF865" t="s">
        <v>113</v>
      </c>
      <c r="AG865" t="s">
        <v>111</v>
      </c>
      <c r="AH865" t="s">
        <v>111</v>
      </c>
      <c r="AK865" t="s">
        <v>111</v>
      </c>
      <c r="AL865" t="s">
        <v>111</v>
      </c>
      <c r="AM865" t="s">
        <v>111</v>
      </c>
      <c r="AN865" t="s">
        <v>105</v>
      </c>
      <c r="AO865" t="s">
        <v>122</v>
      </c>
      <c r="AP865" t="s">
        <v>122</v>
      </c>
    </row>
    <row r="866" spans="1:42" x14ac:dyDescent="0.25">
      <c r="A866" s="28" t="str">
        <f>"1111"</f>
        <v>1111</v>
      </c>
      <c r="B866">
        <v>1111</v>
      </c>
      <c r="C866" t="s">
        <v>2488</v>
      </c>
      <c r="D866" t="s">
        <v>121</v>
      </c>
      <c r="F866" t="s">
        <v>120</v>
      </c>
      <c r="G866" t="s">
        <v>8249</v>
      </c>
      <c r="I866" t="s">
        <v>8248</v>
      </c>
      <c r="J866" t="s">
        <v>7</v>
      </c>
      <c r="K866" s="63">
        <v>11937</v>
      </c>
      <c r="L866" s="28">
        <f>DATEDIF(K866,Zwift25!G$1,"Y")</f>
        <v>92</v>
      </c>
      <c r="M866" s="67">
        <f>IF(J866="m",VLOOKUP(L866,'All Solo Adjustments'!A:D,4,FALSE),VLOOKUP(L866,'All Solo Adjustments'!A:J,10,FALSE))</f>
        <v>2.0405092592592593E-2</v>
      </c>
      <c r="N866" s="63"/>
      <c r="O866" s="63"/>
      <c r="P866" s="63"/>
      <c r="Q866" s="63"/>
      <c r="R866" t="s">
        <v>159</v>
      </c>
      <c r="S866" t="s">
        <v>570</v>
      </c>
      <c r="T866" t="s">
        <v>292</v>
      </c>
      <c r="U866" t="s">
        <v>8247</v>
      </c>
      <c r="V866" t="s">
        <v>257</v>
      </c>
      <c r="W866" t="s">
        <v>159</v>
      </c>
      <c r="Y866" t="s">
        <v>8246</v>
      </c>
      <c r="Z866" t="str">
        <f>"01795 421101"</f>
        <v>01795 421101</v>
      </c>
      <c r="AA866" t="str">
        <f>""</f>
        <v/>
      </c>
      <c r="AB866" t="s">
        <v>186</v>
      </c>
      <c r="AD866" t="s">
        <v>151</v>
      </c>
      <c r="AF866" t="s">
        <v>113</v>
      </c>
      <c r="AG866" t="s">
        <v>112</v>
      </c>
      <c r="AH866" t="s">
        <v>112</v>
      </c>
      <c r="AK866" t="s">
        <v>111</v>
      </c>
      <c r="AL866" t="s">
        <v>111</v>
      </c>
      <c r="AM866" t="s">
        <v>111</v>
      </c>
      <c r="AN866" t="s">
        <v>105</v>
      </c>
      <c r="AO866" t="s">
        <v>110</v>
      </c>
      <c r="AP866" t="s">
        <v>109</v>
      </c>
    </row>
    <row r="867" spans="1:42" x14ac:dyDescent="0.25">
      <c r="A867" s="28" t="str">
        <f>"1115"</f>
        <v>1115</v>
      </c>
      <c r="B867">
        <v>1115</v>
      </c>
      <c r="C867" t="s">
        <v>2488</v>
      </c>
      <c r="D867" t="s">
        <v>121</v>
      </c>
      <c r="F867" t="s">
        <v>120</v>
      </c>
      <c r="G867" t="s">
        <v>8245</v>
      </c>
      <c r="I867" t="s">
        <v>8244</v>
      </c>
      <c r="J867" t="s">
        <v>7</v>
      </c>
      <c r="K867" s="63">
        <v>17826</v>
      </c>
      <c r="L867" s="28">
        <f>DATEDIF(K867,Zwift25!G$1,"Y")</f>
        <v>75</v>
      </c>
      <c r="M867" s="67">
        <f>IF(J867="m",VLOOKUP(L867,'All Solo Adjustments'!A:D,4,FALSE),VLOOKUP(L867,'All Solo Adjustments'!A:J,10,FALSE))</f>
        <v>8.4374999999999988E-3</v>
      </c>
      <c r="N867" s="63"/>
      <c r="O867" s="63"/>
      <c r="P867" s="63"/>
      <c r="Q867" s="63"/>
      <c r="R867" t="s">
        <v>125</v>
      </c>
      <c r="S867" t="s">
        <v>170</v>
      </c>
      <c r="T867" t="s">
        <v>292</v>
      </c>
      <c r="U867" t="s">
        <v>8243</v>
      </c>
      <c r="V867" t="s">
        <v>8242</v>
      </c>
      <c r="W867" t="s">
        <v>303</v>
      </c>
      <c r="X867" t="s">
        <v>193</v>
      </c>
      <c r="Y867" t="s">
        <v>8241</v>
      </c>
      <c r="Z867" t="str">
        <f>"01603 742115"</f>
        <v>01603 742115</v>
      </c>
      <c r="AA867" t="str">
        <f>"07403769765"</f>
        <v>07403769765</v>
      </c>
      <c r="AB867" t="s">
        <v>2331</v>
      </c>
      <c r="AC867" t="s">
        <v>8240</v>
      </c>
      <c r="AD867" t="s">
        <v>114</v>
      </c>
      <c r="AE867" s="63">
        <v>45263</v>
      </c>
      <c r="AF867" t="s">
        <v>113</v>
      </c>
      <c r="AG867" t="s">
        <v>112</v>
      </c>
      <c r="AH867" t="s">
        <v>112</v>
      </c>
      <c r="AI867" s="63">
        <v>32592</v>
      </c>
      <c r="AJ867" s="63">
        <v>45657</v>
      </c>
      <c r="AK867" t="s">
        <v>111</v>
      </c>
      <c r="AL867" t="s">
        <v>111</v>
      </c>
      <c r="AM867" t="s">
        <v>111</v>
      </c>
      <c r="AN867" t="s">
        <v>105</v>
      </c>
      <c r="AO867" t="s">
        <v>110</v>
      </c>
      <c r="AP867" t="s">
        <v>109</v>
      </c>
    </row>
    <row r="868" spans="1:42" x14ac:dyDescent="0.25">
      <c r="A868" s="28" t="str">
        <f>"1120"</f>
        <v>1120</v>
      </c>
      <c r="B868">
        <v>1120</v>
      </c>
      <c r="C868" t="s">
        <v>2488</v>
      </c>
      <c r="D868" t="s">
        <v>121</v>
      </c>
      <c r="F868" t="s">
        <v>120</v>
      </c>
      <c r="G868" t="s">
        <v>1742</v>
      </c>
      <c r="I868" t="s">
        <v>731</v>
      </c>
      <c r="J868" t="s">
        <v>7</v>
      </c>
      <c r="K868" s="63">
        <v>21414</v>
      </c>
      <c r="L868" s="28">
        <f>DATEDIF(K868,Zwift25!G$1,"Y")</f>
        <v>66</v>
      </c>
      <c r="M868" s="67">
        <f>IF(J868="m",VLOOKUP(L868,'All Solo Adjustments'!A:D,4,FALSE),VLOOKUP(L868,'All Solo Adjustments'!A:J,10,FALSE))</f>
        <v>4.9421296296296297E-3</v>
      </c>
      <c r="N868" s="63"/>
      <c r="O868" s="63"/>
      <c r="P868" s="63"/>
      <c r="Q868" s="63"/>
      <c r="R868" t="s">
        <v>239</v>
      </c>
      <c r="S868" t="s">
        <v>274</v>
      </c>
      <c r="T868" t="s">
        <v>292</v>
      </c>
      <c r="U868" t="s">
        <v>8239</v>
      </c>
      <c r="V868" t="s">
        <v>3679</v>
      </c>
      <c r="W868" t="s">
        <v>869</v>
      </c>
      <c r="Y868" t="s">
        <v>8238</v>
      </c>
      <c r="Z868" t="str">
        <f>"07538545211"</f>
        <v>07538545211</v>
      </c>
      <c r="AA868" t="str">
        <f>""</f>
        <v/>
      </c>
      <c r="AB868" t="s">
        <v>1440</v>
      </c>
      <c r="AC868" t="s">
        <v>8237</v>
      </c>
      <c r="AD868" t="s">
        <v>114</v>
      </c>
      <c r="AE868" s="63">
        <v>45288</v>
      </c>
      <c r="AF868" t="s">
        <v>113</v>
      </c>
      <c r="AG868" t="s">
        <v>112</v>
      </c>
      <c r="AH868" t="s">
        <v>112</v>
      </c>
      <c r="AI868" s="63">
        <v>36024</v>
      </c>
      <c r="AJ868" s="63">
        <v>45657</v>
      </c>
      <c r="AK868" t="s">
        <v>111</v>
      </c>
      <c r="AL868" t="s">
        <v>111</v>
      </c>
      <c r="AM868" t="s">
        <v>111</v>
      </c>
      <c r="AN868">
        <v>34501</v>
      </c>
      <c r="AO868" t="s">
        <v>110</v>
      </c>
      <c r="AP868" t="s">
        <v>109</v>
      </c>
    </row>
    <row r="869" spans="1:42" x14ac:dyDescent="0.25">
      <c r="A869" s="28" t="str">
        <f>"13827"</f>
        <v>13827</v>
      </c>
      <c r="B869">
        <v>13827</v>
      </c>
      <c r="C869" t="s">
        <v>2488</v>
      </c>
      <c r="D869" t="s">
        <v>121</v>
      </c>
      <c r="F869" t="s">
        <v>120</v>
      </c>
      <c r="G869" t="s">
        <v>171</v>
      </c>
      <c r="I869" t="s">
        <v>731</v>
      </c>
      <c r="J869" t="s">
        <v>7</v>
      </c>
      <c r="K869" s="63">
        <v>27818</v>
      </c>
      <c r="L869" s="28">
        <f>DATEDIF(K869,Zwift25!G$1,"Y")</f>
        <v>48</v>
      </c>
      <c r="M869" s="67">
        <f>IF(J869="m",VLOOKUP(L869,'All Solo Adjustments'!A:D,4,FALSE),VLOOKUP(L869,'All Solo Adjustments'!A:J,10,FALSE))</f>
        <v>8.3333333333333339E-4</v>
      </c>
      <c r="N869" s="63"/>
      <c r="O869" s="63"/>
      <c r="P869" s="63"/>
      <c r="Q869" s="63"/>
      <c r="R869" t="s">
        <v>125</v>
      </c>
      <c r="S869" t="s">
        <v>170</v>
      </c>
      <c r="T869" t="s">
        <v>292</v>
      </c>
      <c r="U869" t="s">
        <v>8236</v>
      </c>
      <c r="V869" t="s">
        <v>303</v>
      </c>
      <c r="Y869" t="s">
        <v>8235</v>
      </c>
      <c r="Z869" t="str">
        <f>"07809 240985"</f>
        <v>07809 240985</v>
      </c>
      <c r="AA869" t="str">
        <f>""</f>
        <v/>
      </c>
      <c r="AB869" t="s">
        <v>8234</v>
      </c>
      <c r="AC869" t="s">
        <v>8233</v>
      </c>
      <c r="AD869" t="s">
        <v>114</v>
      </c>
      <c r="AE869" s="63">
        <v>45267</v>
      </c>
      <c r="AF869" t="s">
        <v>156</v>
      </c>
      <c r="AG869" t="s">
        <v>112</v>
      </c>
      <c r="AH869" t="s">
        <v>112</v>
      </c>
      <c r="AI869" s="63">
        <v>43481</v>
      </c>
      <c r="AJ869" s="63">
        <v>45657</v>
      </c>
      <c r="AK869" t="s">
        <v>112</v>
      </c>
      <c r="AL869" t="s">
        <v>111</v>
      </c>
      <c r="AM869" t="s">
        <v>111</v>
      </c>
      <c r="AN869">
        <v>4974</v>
      </c>
      <c r="AO869" t="s">
        <v>110</v>
      </c>
      <c r="AP869" t="s">
        <v>109</v>
      </c>
    </row>
    <row r="870" spans="1:42" x14ac:dyDescent="0.25">
      <c r="A870" s="28" t="str">
        <f>"16092"</f>
        <v>16092</v>
      </c>
      <c r="B870">
        <v>16092</v>
      </c>
      <c r="C870" t="s">
        <v>2488</v>
      </c>
      <c r="D870" t="s">
        <v>121</v>
      </c>
      <c r="E870" t="s">
        <v>584</v>
      </c>
      <c r="F870" t="s">
        <v>120</v>
      </c>
      <c r="G870" t="s">
        <v>632</v>
      </c>
      <c r="I870" t="s">
        <v>8232</v>
      </c>
      <c r="J870" t="s">
        <v>7</v>
      </c>
      <c r="K870" s="63">
        <v>19270</v>
      </c>
      <c r="L870" s="28">
        <f>DATEDIF(K870,Zwift25!G$1,"Y")</f>
        <v>72</v>
      </c>
      <c r="M870" s="67">
        <f>IF(J870="m",VLOOKUP(L870,'All Solo Adjustments'!A:D,4,FALSE),VLOOKUP(L870,'All Solo Adjustments'!A:J,10,FALSE))</f>
        <v>7.129629629629629E-3</v>
      </c>
      <c r="N870" s="63"/>
      <c r="O870" s="63"/>
      <c r="P870" s="63"/>
      <c r="Q870" s="63"/>
      <c r="R870" t="s">
        <v>527</v>
      </c>
      <c r="S870" t="s">
        <v>526</v>
      </c>
      <c r="T870" t="s">
        <v>292</v>
      </c>
      <c r="U870" t="s">
        <v>8231</v>
      </c>
      <c r="V870" t="s">
        <v>8230</v>
      </c>
      <c r="Y870" t="s">
        <v>8229</v>
      </c>
      <c r="Z870" t="str">
        <f>"07951534988"</f>
        <v>07951534988</v>
      </c>
      <c r="AA870" t="str">
        <f>""</f>
        <v/>
      </c>
      <c r="AB870" t="s">
        <v>8228</v>
      </c>
      <c r="AC870" t="s">
        <v>8227</v>
      </c>
      <c r="AD870" t="s">
        <v>114</v>
      </c>
      <c r="AE870" s="63">
        <v>45389</v>
      </c>
      <c r="AF870" t="s">
        <v>156</v>
      </c>
      <c r="AG870" t="s">
        <v>112</v>
      </c>
      <c r="AH870" t="s">
        <v>112</v>
      </c>
      <c r="AI870" s="63">
        <v>45389</v>
      </c>
      <c r="AJ870" s="63">
        <v>45657</v>
      </c>
      <c r="AK870" t="s">
        <v>112</v>
      </c>
      <c r="AL870" t="s">
        <v>111</v>
      </c>
      <c r="AM870" t="s">
        <v>111</v>
      </c>
      <c r="AN870">
        <v>13047</v>
      </c>
      <c r="AO870" t="s">
        <v>110</v>
      </c>
      <c r="AP870" t="s">
        <v>109</v>
      </c>
    </row>
    <row r="871" spans="1:42" x14ac:dyDescent="0.25">
      <c r="A871" s="28" t="str">
        <f>"14525"</f>
        <v>14525</v>
      </c>
      <c r="B871">
        <v>14525</v>
      </c>
      <c r="C871" t="s">
        <v>2488</v>
      </c>
      <c r="D871" t="s">
        <v>121</v>
      </c>
      <c r="E871" t="s">
        <v>584</v>
      </c>
      <c r="F871" t="s">
        <v>120</v>
      </c>
      <c r="G871" t="s">
        <v>2253</v>
      </c>
      <c r="I871" t="s">
        <v>8226</v>
      </c>
      <c r="J871" t="s">
        <v>7</v>
      </c>
      <c r="K871" s="63">
        <v>20178</v>
      </c>
      <c r="L871" s="28">
        <f>DATEDIF(K871,Zwift25!G$1,"Y")</f>
        <v>69</v>
      </c>
      <c r="M871" s="67">
        <f>IF(J871="m",VLOOKUP(L871,'All Solo Adjustments'!A:D,4,FALSE),VLOOKUP(L871,'All Solo Adjustments'!A:J,10,FALSE))</f>
        <v>5.9722222222222225E-3</v>
      </c>
      <c r="N871" s="63"/>
      <c r="O871" s="63"/>
      <c r="P871" s="63"/>
      <c r="Q871" s="63"/>
      <c r="R871" t="s">
        <v>527</v>
      </c>
      <c r="S871" t="s">
        <v>526</v>
      </c>
      <c r="T871" t="s">
        <v>292</v>
      </c>
      <c r="U871" t="s">
        <v>8225</v>
      </c>
      <c r="V871" t="s">
        <v>8224</v>
      </c>
      <c r="W871" t="s">
        <v>1370</v>
      </c>
      <c r="X871" t="s">
        <v>1234</v>
      </c>
      <c r="Y871" t="s">
        <v>8223</v>
      </c>
      <c r="Z871" t="str">
        <f>"07826074066"</f>
        <v>07826074066</v>
      </c>
      <c r="AA871" t="str">
        <f>""</f>
        <v/>
      </c>
      <c r="AB871" t="s">
        <v>1304</v>
      </c>
      <c r="AC871" t="s">
        <v>8222</v>
      </c>
      <c r="AD871" t="s">
        <v>114</v>
      </c>
      <c r="AE871" s="63">
        <v>45286</v>
      </c>
      <c r="AF871" t="s">
        <v>156</v>
      </c>
      <c r="AG871" t="s">
        <v>112</v>
      </c>
      <c r="AH871" t="s">
        <v>112</v>
      </c>
      <c r="AI871" s="63">
        <v>43935</v>
      </c>
      <c r="AJ871" s="63">
        <v>45657</v>
      </c>
      <c r="AK871" t="s">
        <v>112</v>
      </c>
      <c r="AL871" t="s">
        <v>111</v>
      </c>
      <c r="AM871" t="s">
        <v>111</v>
      </c>
      <c r="AN871">
        <v>690</v>
      </c>
      <c r="AO871" t="s">
        <v>110</v>
      </c>
      <c r="AP871" t="s">
        <v>109</v>
      </c>
    </row>
    <row r="872" spans="1:42" x14ac:dyDescent="0.25">
      <c r="A872" s="28" t="str">
        <f>"14339"</f>
        <v>14339</v>
      </c>
      <c r="B872">
        <v>14339</v>
      </c>
      <c r="C872" t="s">
        <v>2488</v>
      </c>
      <c r="D872" t="s">
        <v>121</v>
      </c>
      <c r="E872" t="s">
        <v>584</v>
      </c>
      <c r="F872" t="s">
        <v>149</v>
      </c>
      <c r="G872" t="s">
        <v>1518</v>
      </c>
      <c r="I872" t="s">
        <v>8221</v>
      </c>
      <c r="J872" t="s">
        <v>126</v>
      </c>
      <c r="K872" s="63">
        <v>22836</v>
      </c>
      <c r="L872" s="28">
        <f>DATEDIF(K872,Zwift25!G$1,"Y")</f>
        <v>62</v>
      </c>
      <c r="M872" s="67">
        <f>IF(J872="m",VLOOKUP(L872,'All Solo Adjustments'!A:D,4,FALSE),VLOOKUP(L872,'All Solo Adjustments'!A:J,10,FALSE))</f>
        <v>7.6041666666666662E-3</v>
      </c>
      <c r="N872" s="63"/>
      <c r="O872" s="63"/>
      <c r="P872" s="63"/>
      <c r="Q872" s="63"/>
      <c r="R872" t="s">
        <v>125</v>
      </c>
      <c r="S872" t="s">
        <v>170</v>
      </c>
      <c r="T872" t="s">
        <v>292</v>
      </c>
      <c r="U872" t="s">
        <v>8220</v>
      </c>
      <c r="V872" t="s">
        <v>8219</v>
      </c>
      <c r="W872" t="s">
        <v>8218</v>
      </c>
      <c r="X872" t="s">
        <v>8217</v>
      </c>
      <c r="Y872" t="s">
        <v>8216</v>
      </c>
      <c r="Z872" t="str">
        <f>"07703485553"</f>
        <v>07703485553</v>
      </c>
      <c r="AA872" t="str">
        <f>""</f>
        <v/>
      </c>
      <c r="AC872" t="s">
        <v>8215</v>
      </c>
      <c r="AD872" t="s">
        <v>114</v>
      </c>
      <c r="AE872" s="63">
        <v>45299</v>
      </c>
      <c r="AF872" t="s">
        <v>156</v>
      </c>
      <c r="AG872" t="s">
        <v>112</v>
      </c>
      <c r="AH872" t="s">
        <v>112</v>
      </c>
      <c r="AI872" s="63">
        <v>43688</v>
      </c>
      <c r="AJ872" s="63">
        <v>45657</v>
      </c>
      <c r="AK872" t="s">
        <v>112</v>
      </c>
      <c r="AL872" t="s">
        <v>111</v>
      </c>
      <c r="AM872" t="s">
        <v>111</v>
      </c>
      <c r="AN872">
        <v>22143</v>
      </c>
      <c r="AO872" t="s">
        <v>122</v>
      </c>
      <c r="AP872" t="s">
        <v>122</v>
      </c>
    </row>
    <row r="873" spans="1:42" x14ac:dyDescent="0.25">
      <c r="A873" s="28" t="str">
        <f>"4096"</f>
        <v>4096</v>
      </c>
      <c r="B873">
        <v>4096</v>
      </c>
      <c r="C873" t="s">
        <v>2488</v>
      </c>
      <c r="D873" t="s">
        <v>121</v>
      </c>
      <c r="F873" t="s">
        <v>120</v>
      </c>
      <c r="G873" t="s">
        <v>649</v>
      </c>
      <c r="H873" t="s">
        <v>284</v>
      </c>
      <c r="I873" t="s">
        <v>8211</v>
      </c>
      <c r="J873" t="s">
        <v>7</v>
      </c>
      <c r="K873" s="63">
        <v>18838</v>
      </c>
      <c r="L873" s="28">
        <f>DATEDIF(K873,Zwift25!G$1,"Y")</f>
        <v>73</v>
      </c>
      <c r="M873" s="67">
        <f>IF(J873="m",VLOOKUP(L873,'All Solo Adjustments'!A:D,4,FALSE),VLOOKUP(L873,'All Solo Adjustments'!A:J,10,FALSE))</f>
        <v>7.5462962962962966E-3</v>
      </c>
      <c r="N873" s="63"/>
      <c r="O873" s="63"/>
      <c r="P873" s="63"/>
      <c r="Q873" s="63"/>
      <c r="R873" t="s">
        <v>159</v>
      </c>
      <c r="S873" t="s">
        <v>162</v>
      </c>
      <c r="T873" t="s">
        <v>292</v>
      </c>
      <c r="U873" t="s">
        <v>8214</v>
      </c>
      <c r="V873" t="s">
        <v>787</v>
      </c>
      <c r="W873" t="s">
        <v>159</v>
      </c>
      <c r="Y873" t="s">
        <v>8213</v>
      </c>
      <c r="Z873" t="str">
        <f>"01304 370275"</f>
        <v>01304 370275</v>
      </c>
      <c r="AA873" t="str">
        <f>"07552740729"</f>
        <v>07552740729</v>
      </c>
      <c r="AB873" t="s">
        <v>1810</v>
      </c>
      <c r="AC873" t="s">
        <v>8212</v>
      </c>
      <c r="AD873" t="s">
        <v>114</v>
      </c>
      <c r="AE873" s="63">
        <v>45276</v>
      </c>
      <c r="AF873" t="s">
        <v>113</v>
      </c>
      <c r="AG873" t="s">
        <v>112</v>
      </c>
      <c r="AH873" t="s">
        <v>112</v>
      </c>
      <c r="AI873" s="63">
        <v>43449</v>
      </c>
      <c r="AJ873" s="63">
        <v>45657</v>
      </c>
      <c r="AK873" t="s">
        <v>111</v>
      </c>
      <c r="AL873" t="s">
        <v>111</v>
      </c>
      <c r="AM873" t="s">
        <v>111</v>
      </c>
      <c r="AN873">
        <v>18373</v>
      </c>
      <c r="AO873" t="s">
        <v>110</v>
      </c>
      <c r="AP873" t="s">
        <v>109</v>
      </c>
    </row>
    <row r="874" spans="1:42" x14ac:dyDescent="0.25">
      <c r="A874" s="28" t="str">
        <f>"13805"</f>
        <v>13805</v>
      </c>
      <c r="B874">
        <v>13805</v>
      </c>
      <c r="C874" t="s">
        <v>2488</v>
      </c>
      <c r="D874" t="s">
        <v>121</v>
      </c>
      <c r="F874" t="s">
        <v>120</v>
      </c>
      <c r="G874" t="s">
        <v>744</v>
      </c>
      <c r="H874" t="s">
        <v>284</v>
      </c>
      <c r="I874" t="s">
        <v>8211</v>
      </c>
      <c r="J874" t="s">
        <v>7</v>
      </c>
      <c r="K874" s="63">
        <v>22361</v>
      </c>
      <c r="L874" s="28">
        <f>DATEDIF(K874,Zwift25!G$1,"Y")</f>
        <v>63</v>
      </c>
      <c r="M874" s="67">
        <f>IF(J874="m",VLOOKUP(L874,'All Solo Adjustments'!A:D,4,FALSE),VLOOKUP(L874,'All Solo Adjustments'!A:J,10,FALSE))</f>
        <v>4.0277777777777777E-3</v>
      </c>
      <c r="N874" s="63"/>
      <c r="O874" s="63"/>
      <c r="P874" s="63"/>
      <c r="Q874" s="63"/>
      <c r="R874" t="s">
        <v>283</v>
      </c>
      <c r="S874" t="s">
        <v>530</v>
      </c>
      <c r="T874" t="s">
        <v>292</v>
      </c>
      <c r="U874" t="s">
        <v>8210</v>
      </c>
      <c r="V874" t="s">
        <v>1062</v>
      </c>
      <c r="W874" t="s">
        <v>279</v>
      </c>
      <c r="Y874" t="s">
        <v>8209</v>
      </c>
      <c r="Z874" t="str">
        <f>"07947180059"</f>
        <v>07947180059</v>
      </c>
      <c r="AA874" t="str">
        <f>""</f>
        <v/>
      </c>
      <c r="AB874" t="s">
        <v>216</v>
      </c>
      <c r="AC874" t="s">
        <v>8208</v>
      </c>
      <c r="AD874" t="s">
        <v>114</v>
      </c>
      <c r="AE874" s="63">
        <v>45288</v>
      </c>
      <c r="AF874" t="s">
        <v>156</v>
      </c>
      <c r="AG874" t="s">
        <v>112</v>
      </c>
      <c r="AH874" t="s">
        <v>112</v>
      </c>
      <c r="AI874" s="63">
        <v>43345</v>
      </c>
      <c r="AJ874" s="63">
        <v>45657</v>
      </c>
      <c r="AK874" t="s">
        <v>112</v>
      </c>
      <c r="AL874" t="s">
        <v>111</v>
      </c>
      <c r="AM874" t="s">
        <v>111</v>
      </c>
      <c r="AN874">
        <v>25017</v>
      </c>
      <c r="AO874" t="s">
        <v>110</v>
      </c>
      <c r="AP874" t="s">
        <v>109</v>
      </c>
    </row>
    <row r="875" spans="1:42" x14ac:dyDescent="0.25">
      <c r="A875" s="28" t="str">
        <f>"1128"</f>
        <v>1128</v>
      </c>
      <c r="B875">
        <v>1128</v>
      </c>
      <c r="C875" t="s">
        <v>2488</v>
      </c>
      <c r="D875" t="s">
        <v>132</v>
      </c>
      <c r="F875" t="s">
        <v>120</v>
      </c>
      <c r="G875" t="s">
        <v>164</v>
      </c>
      <c r="I875" t="s">
        <v>2277</v>
      </c>
      <c r="J875" t="s">
        <v>7</v>
      </c>
      <c r="K875" s="63">
        <v>15560</v>
      </c>
      <c r="L875" s="28">
        <f>DATEDIF(K875,Zwift25!G$1,"Y")</f>
        <v>82</v>
      </c>
      <c r="M875" s="67">
        <f>IF(J875="m",VLOOKUP(L875,'All Solo Adjustments'!A:D,4,FALSE),VLOOKUP(L875,'All Solo Adjustments'!A:J,10,FALSE))</f>
        <v>1.2210648148148148E-2</v>
      </c>
      <c r="N875" s="63"/>
      <c r="O875" s="63"/>
      <c r="P875" s="63"/>
      <c r="Q875" s="63"/>
      <c r="R875" t="s">
        <v>184</v>
      </c>
      <c r="S875" t="s">
        <v>8207</v>
      </c>
      <c r="T875" t="s">
        <v>292</v>
      </c>
      <c r="U875" t="s">
        <v>8206</v>
      </c>
      <c r="V875" t="s">
        <v>8205</v>
      </c>
      <c r="W875" t="s">
        <v>8204</v>
      </c>
      <c r="X875" t="s">
        <v>1017</v>
      </c>
      <c r="Y875" t="s">
        <v>8203</v>
      </c>
      <c r="Z875" t="str">
        <f>""</f>
        <v/>
      </c>
      <c r="AA875" t="str">
        <f>""</f>
        <v/>
      </c>
      <c r="AB875" t="s">
        <v>939</v>
      </c>
      <c r="AD875" t="s">
        <v>151</v>
      </c>
      <c r="AF875" t="s">
        <v>113</v>
      </c>
      <c r="AG875" t="s">
        <v>112</v>
      </c>
      <c r="AH875" t="s">
        <v>112</v>
      </c>
      <c r="AK875" t="s">
        <v>111</v>
      </c>
      <c r="AL875" t="s">
        <v>111</v>
      </c>
      <c r="AM875" t="s">
        <v>111</v>
      </c>
      <c r="AN875" t="s">
        <v>105</v>
      </c>
      <c r="AO875" t="s">
        <v>110</v>
      </c>
      <c r="AP875" t="s">
        <v>109</v>
      </c>
    </row>
    <row r="876" spans="1:42" x14ac:dyDescent="0.25">
      <c r="A876" s="28" t="str">
        <f>"11419"</f>
        <v>11419</v>
      </c>
      <c r="B876">
        <v>11419</v>
      </c>
      <c r="C876" t="s">
        <v>2488</v>
      </c>
      <c r="D876" t="s">
        <v>130</v>
      </c>
      <c r="F876" t="s">
        <v>149</v>
      </c>
      <c r="G876" t="s">
        <v>164</v>
      </c>
      <c r="I876" t="s">
        <v>2277</v>
      </c>
      <c r="J876" t="s">
        <v>126</v>
      </c>
      <c r="L876" s="28">
        <f>DATEDIF(K876,Zwift25!G$1,"Y")</f>
        <v>124</v>
      </c>
      <c r="M876" s="67" t="e">
        <f>IF(J876="m",VLOOKUP(L876,'All Solo Adjustments'!A:D,4,FALSE),VLOOKUP(L876,'All Solo Adjustments'!A:J,10,FALSE))</f>
        <v>#N/A</v>
      </c>
      <c r="R876" t="s">
        <v>184</v>
      </c>
      <c r="S876" t="s">
        <v>8207</v>
      </c>
      <c r="T876" t="s">
        <v>292</v>
      </c>
      <c r="U876" t="s">
        <v>8206</v>
      </c>
      <c r="V876" t="s">
        <v>8205</v>
      </c>
      <c r="W876" t="s">
        <v>8204</v>
      </c>
      <c r="X876" t="s">
        <v>1017</v>
      </c>
      <c r="Y876" t="s">
        <v>8203</v>
      </c>
      <c r="Z876" t="str">
        <f>""</f>
        <v/>
      </c>
      <c r="AA876" t="str">
        <f>""</f>
        <v/>
      </c>
      <c r="AB876" t="s">
        <v>939</v>
      </c>
      <c r="AD876" t="s">
        <v>151</v>
      </c>
      <c r="AF876" t="s">
        <v>113</v>
      </c>
      <c r="AG876" t="s">
        <v>111</v>
      </c>
      <c r="AH876" t="s">
        <v>112</v>
      </c>
      <c r="AK876" t="s">
        <v>111</v>
      </c>
      <c r="AL876" t="s">
        <v>111</v>
      </c>
      <c r="AM876" t="s">
        <v>111</v>
      </c>
      <c r="AN876" t="s">
        <v>105</v>
      </c>
      <c r="AO876" t="s">
        <v>122</v>
      </c>
      <c r="AP876" t="s">
        <v>122</v>
      </c>
    </row>
    <row r="877" spans="1:42" x14ac:dyDescent="0.25">
      <c r="A877" s="28" t="str">
        <f>"15996"</f>
        <v>15996</v>
      </c>
      <c r="B877">
        <v>15996</v>
      </c>
      <c r="C877" t="s">
        <v>2488</v>
      </c>
      <c r="D877" t="s">
        <v>121</v>
      </c>
      <c r="F877" t="s">
        <v>120</v>
      </c>
      <c r="G877" t="s">
        <v>231</v>
      </c>
      <c r="I877" t="s">
        <v>728</v>
      </c>
      <c r="J877" t="s">
        <v>7</v>
      </c>
      <c r="K877" s="63">
        <v>24811</v>
      </c>
      <c r="L877" s="28">
        <f>DATEDIF(K877,Zwift25!G$1,"Y")</f>
        <v>56</v>
      </c>
      <c r="M877" s="67">
        <f>IF(J877="m",VLOOKUP(L877,'All Solo Adjustments'!A:D,4,FALSE),VLOOKUP(L877,'All Solo Adjustments'!A:J,10,FALSE))</f>
        <v>2.2685185185185182E-3</v>
      </c>
      <c r="N877" s="63"/>
      <c r="O877" s="63"/>
      <c r="P877" s="63"/>
      <c r="Q877" s="63"/>
      <c r="R877" t="s">
        <v>137</v>
      </c>
      <c r="S877" t="s">
        <v>136</v>
      </c>
      <c r="T877" t="s">
        <v>292</v>
      </c>
      <c r="U877" t="s">
        <v>727</v>
      </c>
      <c r="V877" t="s">
        <v>8202</v>
      </c>
      <c r="W877" t="s">
        <v>726</v>
      </c>
      <c r="Y877" t="s">
        <v>725</v>
      </c>
      <c r="Z877" t="str">
        <f>"07839299923"</f>
        <v>07839299923</v>
      </c>
      <c r="AA877" t="str">
        <f>""</f>
        <v/>
      </c>
      <c r="AB877" t="s">
        <v>8201</v>
      </c>
      <c r="AC877" t="s">
        <v>8200</v>
      </c>
      <c r="AD877" t="s">
        <v>114</v>
      </c>
      <c r="AE877" s="63">
        <v>45305</v>
      </c>
      <c r="AF877" t="s">
        <v>156</v>
      </c>
      <c r="AG877" t="s">
        <v>112</v>
      </c>
      <c r="AH877" t="s">
        <v>112</v>
      </c>
      <c r="AI877" s="63">
        <v>45305</v>
      </c>
      <c r="AJ877" s="63">
        <v>45657</v>
      </c>
      <c r="AK877" t="s">
        <v>112</v>
      </c>
      <c r="AL877" t="s">
        <v>111</v>
      </c>
      <c r="AM877" t="s">
        <v>111</v>
      </c>
      <c r="AN877">
        <v>1574</v>
      </c>
      <c r="AO877" t="s">
        <v>110</v>
      </c>
      <c r="AP877" t="s">
        <v>109</v>
      </c>
    </row>
    <row r="878" spans="1:42" x14ac:dyDescent="0.25">
      <c r="A878" s="28" t="str">
        <f>"1134"</f>
        <v>1134</v>
      </c>
      <c r="B878">
        <v>1134</v>
      </c>
      <c r="C878" t="s">
        <v>2488</v>
      </c>
      <c r="D878" t="s">
        <v>121</v>
      </c>
      <c r="F878" t="s">
        <v>120</v>
      </c>
      <c r="G878" t="s">
        <v>695</v>
      </c>
      <c r="I878" t="s">
        <v>1861</v>
      </c>
      <c r="J878" t="s">
        <v>7</v>
      </c>
      <c r="K878" s="63">
        <v>12892</v>
      </c>
      <c r="L878" s="28">
        <f>DATEDIF(K878,Zwift25!G$1,"Y")</f>
        <v>89</v>
      </c>
      <c r="M878" s="67">
        <f>IF(J878="m",VLOOKUP(L878,'All Solo Adjustments'!A:D,4,FALSE),VLOOKUP(L878,'All Solo Adjustments'!A:J,10,FALSE))</f>
        <v>1.7465277777777777E-2</v>
      </c>
      <c r="N878" s="63"/>
      <c r="O878" s="63"/>
      <c r="P878" s="63"/>
      <c r="Q878" s="63"/>
      <c r="R878" t="s">
        <v>239</v>
      </c>
      <c r="S878" t="s">
        <v>437</v>
      </c>
      <c r="T878" t="s">
        <v>292</v>
      </c>
      <c r="U878" t="s">
        <v>8199</v>
      </c>
      <c r="V878" t="s">
        <v>8196</v>
      </c>
      <c r="W878" t="s">
        <v>8195</v>
      </c>
      <c r="X878" t="s">
        <v>127</v>
      </c>
      <c r="Y878" t="s">
        <v>8194</v>
      </c>
      <c r="Z878" t="str">
        <f>"01904 766113"</f>
        <v>01904 766113</v>
      </c>
      <c r="AA878" t="str">
        <f>""</f>
        <v/>
      </c>
      <c r="AB878" t="s">
        <v>1192</v>
      </c>
      <c r="AC878" t="s">
        <v>8193</v>
      </c>
      <c r="AD878" t="s">
        <v>151</v>
      </c>
      <c r="AF878" t="s">
        <v>113</v>
      </c>
      <c r="AG878" t="s">
        <v>112</v>
      </c>
      <c r="AH878" t="s">
        <v>112</v>
      </c>
      <c r="AI878" s="63">
        <v>32907</v>
      </c>
      <c r="AK878" t="s">
        <v>111</v>
      </c>
      <c r="AL878" t="s">
        <v>111</v>
      </c>
      <c r="AM878" t="s">
        <v>111</v>
      </c>
      <c r="AN878">
        <v>21857</v>
      </c>
      <c r="AO878" t="s">
        <v>110</v>
      </c>
      <c r="AP878" t="s">
        <v>109</v>
      </c>
    </row>
    <row r="879" spans="1:42" x14ac:dyDescent="0.25">
      <c r="A879" s="28" t="str">
        <f>"12985"</f>
        <v>12985</v>
      </c>
      <c r="B879">
        <v>12985</v>
      </c>
      <c r="C879" t="s">
        <v>2488</v>
      </c>
      <c r="D879" t="s">
        <v>121</v>
      </c>
      <c r="F879" t="s">
        <v>149</v>
      </c>
      <c r="G879" t="s">
        <v>8198</v>
      </c>
      <c r="I879" t="s">
        <v>1861</v>
      </c>
      <c r="J879" t="s">
        <v>126</v>
      </c>
      <c r="K879" s="63">
        <v>12608</v>
      </c>
      <c r="L879" s="28">
        <f>DATEDIF(K879,Zwift25!G$1,"Y")</f>
        <v>90</v>
      </c>
      <c r="M879" s="67">
        <f>IF(J879="m",VLOOKUP(L879,'All Solo Adjustments'!A:D,4,FALSE),VLOOKUP(L879,'All Solo Adjustments'!A:J,10,FALSE))</f>
        <v>2.5138888888888888E-2</v>
      </c>
      <c r="N879" s="63"/>
      <c r="O879" s="63"/>
      <c r="P879" s="63"/>
      <c r="Q879" s="63"/>
      <c r="R879" t="s">
        <v>239</v>
      </c>
      <c r="S879" t="s">
        <v>437</v>
      </c>
      <c r="T879" t="s">
        <v>292</v>
      </c>
      <c r="U879" t="s">
        <v>8197</v>
      </c>
      <c r="V879" t="s">
        <v>8196</v>
      </c>
      <c r="W879" t="s">
        <v>8195</v>
      </c>
      <c r="X879" t="s">
        <v>127</v>
      </c>
      <c r="Y879" t="s">
        <v>8194</v>
      </c>
      <c r="Z879" t="str">
        <f>"01904 766113"</f>
        <v>01904 766113</v>
      </c>
      <c r="AA879" t="str">
        <f>""</f>
        <v/>
      </c>
      <c r="AB879" t="s">
        <v>272</v>
      </c>
      <c r="AC879" t="s">
        <v>8193</v>
      </c>
      <c r="AD879" t="s">
        <v>145</v>
      </c>
      <c r="AF879" t="s">
        <v>113</v>
      </c>
      <c r="AG879" t="s">
        <v>111</v>
      </c>
      <c r="AH879" t="s">
        <v>111</v>
      </c>
      <c r="AI879" s="63">
        <v>32907</v>
      </c>
      <c r="AK879" t="s">
        <v>111</v>
      </c>
      <c r="AL879" t="s">
        <v>111</v>
      </c>
      <c r="AM879" t="s">
        <v>111</v>
      </c>
      <c r="AN879">
        <v>8991</v>
      </c>
      <c r="AO879" t="s">
        <v>122</v>
      </c>
      <c r="AP879" t="s">
        <v>122</v>
      </c>
    </row>
    <row r="880" spans="1:42" x14ac:dyDescent="0.25">
      <c r="A880" s="28" t="str">
        <f>"2801"</f>
        <v>2801</v>
      </c>
      <c r="B880">
        <v>2801</v>
      </c>
      <c r="C880" t="s">
        <v>2488</v>
      </c>
      <c r="D880" t="s">
        <v>121</v>
      </c>
      <c r="F880" t="s">
        <v>120</v>
      </c>
      <c r="G880" t="s">
        <v>195</v>
      </c>
      <c r="H880" t="s">
        <v>1123</v>
      </c>
      <c r="I880" t="s">
        <v>1860</v>
      </c>
      <c r="J880" t="s">
        <v>7</v>
      </c>
      <c r="K880" s="63">
        <v>13681</v>
      </c>
      <c r="L880" s="28">
        <f>DATEDIF(K880,Zwift25!G$1,"Y")</f>
        <v>87</v>
      </c>
      <c r="M880" s="67">
        <f>IF(J880="m",VLOOKUP(L880,'All Solo Adjustments'!A:D,4,FALSE),VLOOKUP(L880,'All Solo Adjustments'!A:J,10,FALSE))</f>
        <v>1.576388888888889E-2</v>
      </c>
      <c r="N880" s="63"/>
      <c r="O880" s="63"/>
      <c r="P880" s="63"/>
      <c r="Q880" s="63"/>
      <c r="R880" t="s">
        <v>143</v>
      </c>
      <c r="S880" t="s">
        <v>142</v>
      </c>
      <c r="T880" t="s">
        <v>292</v>
      </c>
      <c r="U880" t="s">
        <v>8192</v>
      </c>
      <c r="V880" t="s">
        <v>8191</v>
      </c>
      <c r="W880" t="s">
        <v>8190</v>
      </c>
      <c r="Y880" t="s">
        <v>8189</v>
      </c>
      <c r="Z880" t="str">
        <f>"+41 792024617"</f>
        <v>+41 792024617</v>
      </c>
      <c r="AA880" t="str">
        <f>""</f>
        <v/>
      </c>
      <c r="AB880" t="s">
        <v>1587</v>
      </c>
      <c r="AC880" t="s">
        <v>8188</v>
      </c>
      <c r="AD880" t="s">
        <v>114</v>
      </c>
      <c r="AE880" s="63">
        <v>45292</v>
      </c>
      <c r="AF880" t="s">
        <v>156</v>
      </c>
      <c r="AG880" t="s">
        <v>112</v>
      </c>
      <c r="AH880" t="s">
        <v>112</v>
      </c>
      <c r="AI880" s="63">
        <v>38353</v>
      </c>
      <c r="AJ880" s="63">
        <v>45657</v>
      </c>
      <c r="AK880" t="s">
        <v>111</v>
      </c>
      <c r="AL880" t="s">
        <v>111</v>
      </c>
      <c r="AM880" t="s">
        <v>111</v>
      </c>
      <c r="AN880" t="s">
        <v>105</v>
      </c>
      <c r="AO880" t="s">
        <v>110</v>
      </c>
      <c r="AP880" t="s">
        <v>109</v>
      </c>
    </row>
    <row r="881" spans="1:42" x14ac:dyDescent="0.25">
      <c r="A881" s="28" t="str">
        <f>"13907"</f>
        <v>13907</v>
      </c>
      <c r="B881">
        <v>13907</v>
      </c>
      <c r="C881" t="s">
        <v>2488</v>
      </c>
      <c r="D881" t="s">
        <v>121</v>
      </c>
      <c r="F881" t="s">
        <v>120</v>
      </c>
      <c r="G881" t="s">
        <v>413</v>
      </c>
      <c r="H881" t="s">
        <v>705</v>
      </c>
      <c r="I881" t="s">
        <v>1860</v>
      </c>
      <c r="J881" t="s">
        <v>7</v>
      </c>
      <c r="K881" s="63">
        <v>25292</v>
      </c>
      <c r="L881" s="28">
        <f>DATEDIF(K881,Zwift25!G$1,"Y")</f>
        <v>55</v>
      </c>
      <c r="M881" s="67">
        <f>IF(J881="m",VLOOKUP(L881,'All Solo Adjustments'!A:D,4,FALSE),VLOOKUP(L881,'All Solo Adjustments'!A:J,10,FALSE))</f>
        <v>2.0601851851851853E-3</v>
      </c>
      <c r="N881" s="63"/>
      <c r="O881" s="63"/>
      <c r="P881" s="63"/>
      <c r="Q881" s="63"/>
      <c r="R881" t="s">
        <v>239</v>
      </c>
      <c r="S881" t="s">
        <v>274</v>
      </c>
      <c r="T881" t="s">
        <v>292</v>
      </c>
      <c r="U881" t="s">
        <v>8187</v>
      </c>
      <c r="V881" t="s">
        <v>1809</v>
      </c>
      <c r="W881" t="s">
        <v>1809</v>
      </c>
      <c r="X881" t="s">
        <v>1777</v>
      </c>
      <c r="Y881" t="s">
        <v>8186</v>
      </c>
      <c r="Z881" t="str">
        <f>"07903976288"</f>
        <v>07903976288</v>
      </c>
      <c r="AA881" t="str">
        <f>""</f>
        <v/>
      </c>
      <c r="AB881" t="s">
        <v>471</v>
      </c>
      <c r="AC881" t="s">
        <v>8185</v>
      </c>
      <c r="AD881" t="s">
        <v>114</v>
      </c>
      <c r="AE881" s="63">
        <v>45330</v>
      </c>
      <c r="AF881" t="s">
        <v>156</v>
      </c>
      <c r="AG881" t="s">
        <v>112</v>
      </c>
      <c r="AH881" t="s">
        <v>112</v>
      </c>
      <c r="AI881" s="63">
        <v>43431</v>
      </c>
      <c r="AJ881" s="63">
        <v>45657</v>
      </c>
      <c r="AK881" t="s">
        <v>112</v>
      </c>
      <c r="AL881" t="s">
        <v>111</v>
      </c>
      <c r="AM881" t="s">
        <v>111</v>
      </c>
      <c r="AN881">
        <v>22125</v>
      </c>
      <c r="AO881" t="s">
        <v>110</v>
      </c>
      <c r="AP881" t="s">
        <v>109</v>
      </c>
    </row>
    <row r="882" spans="1:42" x14ac:dyDescent="0.25">
      <c r="A882" s="28" t="str">
        <f>"14642"</f>
        <v>14642</v>
      </c>
      <c r="B882">
        <v>14642</v>
      </c>
      <c r="C882" t="s">
        <v>2488</v>
      </c>
      <c r="D882" t="s">
        <v>121</v>
      </c>
      <c r="E882" t="s">
        <v>584</v>
      </c>
      <c r="F882" t="s">
        <v>120</v>
      </c>
      <c r="G882" t="s">
        <v>427</v>
      </c>
      <c r="I882" t="s">
        <v>1860</v>
      </c>
      <c r="J882" t="s">
        <v>7</v>
      </c>
      <c r="K882" s="63">
        <v>23520</v>
      </c>
      <c r="L882" s="28">
        <f>DATEDIF(K882,Zwift25!G$1,"Y")</f>
        <v>60</v>
      </c>
      <c r="M882" s="67">
        <f>IF(J882="m",VLOOKUP(L882,'All Solo Adjustments'!A:D,4,FALSE),VLOOKUP(L882,'All Solo Adjustments'!A:J,10,FALSE))</f>
        <v>3.2060185185185186E-3</v>
      </c>
      <c r="N882" s="63"/>
      <c r="O882" s="63"/>
      <c r="P882" s="63"/>
      <c r="Q882" s="63"/>
      <c r="R882" t="s">
        <v>328</v>
      </c>
      <c r="S882" t="s">
        <v>327</v>
      </c>
      <c r="T882" t="s">
        <v>292</v>
      </c>
      <c r="U882" t="s">
        <v>8184</v>
      </c>
      <c r="V882" t="s">
        <v>8183</v>
      </c>
      <c r="W882" t="s">
        <v>8182</v>
      </c>
      <c r="X882" t="s">
        <v>325</v>
      </c>
      <c r="Y882" t="s">
        <v>8181</v>
      </c>
      <c r="Z882" t="str">
        <f>"07866361440"</f>
        <v>07866361440</v>
      </c>
      <c r="AA882" t="str">
        <f>"01254886986"</f>
        <v>01254886986</v>
      </c>
      <c r="AB882" t="s">
        <v>2063</v>
      </c>
      <c r="AC882" t="s">
        <v>8180</v>
      </c>
      <c r="AD882" t="s">
        <v>114</v>
      </c>
      <c r="AE882" s="63">
        <v>45305</v>
      </c>
      <c r="AF882" t="s">
        <v>156</v>
      </c>
      <c r="AG882" t="s">
        <v>112</v>
      </c>
      <c r="AH882" t="s">
        <v>112</v>
      </c>
      <c r="AI882" s="63">
        <v>44053</v>
      </c>
      <c r="AJ882" s="63">
        <v>45657</v>
      </c>
      <c r="AK882" t="s">
        <v>112</v>
      </c>
      <c r="AL882" t="s">
        <v>111</v>
      </c>
      <c r="AM882" t="s">
        <v>111</v>
      </c>
      <c r="AN882">
        <v>2755</v>
      </c>
      <c r="AO882" t="s">
        <v>110</v>
      </c>
      <c r="AP882" t="s">
        <v>109</v>
      </c>
    </row>
    <row r="883" spans="1:42" x14ac:dyDescent="0.25">
      <c r="A883" s="28" t="str">
        <f>"1137"</f>
        <v>1137</v>
      </c>
      <c r="B883">
        <v>1137</v>
      </c>
      <c r="C883" t="s">
        <v>2488</v>
      </c>
      <c r="D883" t="s">
        <v>121</v>
      </c>
      <c r="E883" t="s">
        <v>8179</v>
      </c>
      <c r="F883" t="s">
        <v>120</v>
      </c>
      <c r="G883" t="s">
        <v>481</v>
      </c>
      <c r="H883" t="s">
        <v>195</v>
      </c>
      <c r="I883" t="s">
        <v>8178</v>
      </c>
      <c r="J883" t="s">
        <v>7</v>
      </c>
      <c r="K883" s="63">
        <v>18418</v>
      </c>
      <c r="L883" s="28">
        <f>DATEDIF(K883,Zwift25!G$1,"Y")</f>
        <v>74</v>
      </c>
      <c r="M883" s="67">
        <f>IF(J883="m",VLOOKUP(L883,'All Solo Adjustments'!A:D,4,FALSE),VLOOKUP(L883,'All Solo Adjustments'!A:J,10,FALSE))</f>
        <v>7.9861111111111122E-3</v>
      </c>
      <c r="N883" s="63"/>
      <c r="O883" s="63"/>
      <c r="P883" s="63"/>
      <c r="Q883" s="63"/>
      <c r="R883" t="s">
        <v>143</v>
      </c>
      <c r="S883" t="s">
        <v>142</v>
      </c>
      <c r="T883" t="s">
        <v>292</v>
      </c>
      <c r="U883" t="s">
        <v>8177</v>
      </c>
      <c r="V883" t="s">
        <v>1903</v>
      </c>
      <c r="W883" t="s">
        <v>1021</v>
      </c>
      <c r="X883" t="s">
        <v>141</v>
      </c>
      <c r="Y883" t="s">
        <v>8176</v>
      </c>
      <c r="Z883" t="str">
        <f>"01372374596"</f>
        <v>01372374596</v>
      </c>
      <c r="AA883" t="str">
        <f>""</f>
        <v/>
      </c>
      <c r="AB883" t="s">
        <v>722</v>
      </c>
      <c r="AC883" t="s">
        <v>8175</v>
      </c>
      <c r="AD883" t="s">
        <v>114</v>
      </c>
      <c r="AE883" s="63">
        <v>45275</v>
      </c>
      <c r="AF883" t="s">
        <v>156</v>
      </c>
      <c r="AG883" t="s">
        <v>111</v>
      </c>
      <c r="AH883" t="s">
        <v>111</v>
      </c>
      <c r="AI883" s="63">
        <v>32874</v>
      </c>
      <c r="AJ883" s="63">
        <v>45657</v>
      </c>
      <c r="AK883" t="s">
        <v>111</v>
      </c>
      <c r="AL883" t="s">
        <v>111</v>
      </c>
      <c r="AM883" t="s">
        <v>111</v>
      </c>
      <c r="AN883">
        <v>5993</v>
      </c>
      <c r="AO883" t="s">
        <v>110</v>
      </c>
      <c r="AP883" t="s">
        <v>109</v>
      </c>
    </row>
    <row r="884" spans="1:42" x14ac:dyDescent="0.25">
      <c r="A884" s="28" t="str">
        <f>"14753"</f>
        <v>14753</v>
      </c>
      <c r="B884">
        <v>14753</v>
      </c>
      <c r="C884" t="s">
        <v>2488</v>
      </c>
      <c r="D884" t="s">
        <v>121</v>
      </c>
      <c r="E884" t="s">
        <v>584</v>
      </c>
      <c r="F884" t="s">
        <v>120</v>
      </c>
      <c r="G884" t="s">
        <v>400</v>
      </c>
      <c r="H884" t="s">
        <v>1155</v>
      </c>
      <c r="I884" t="s">
        <v>8174</v>
      </c>
      <c r="J884" t="s">
        <v>7</v>
      </c>
      <c r="K884" s="63">
        <v>23558</v>
      </c>
      <c r="L884" s="28">
        <f>DATEDIF(K884,Zwift25!G$1,"Y")</f>
        <v>60</v>
      </c>
      <c r="M884" s="67">
        <f>IF(J884="m",VLOOKUP(L884,'All Solo Adjustments'!A:D,4,FALSE),VLOOKUP(L884,'All Solo Adjustments'!A:J,10,FALSE))</f>
        <v>3.2060185185185186E-3</v>
      </c>
      <c r="N884" s="63"/>
      <c r="O884" s="63"/>
      <c r="P884" s="63"/>
      <c r="Q884" s="63"/>
      <c r="R884" t="s">
        <v>328</v>
      </c>
      <c r="S884" t="s">
        <v>327</v>
      </c>
      <c r="T884" t="s">
        <v>292</v>
      </c>
      <c r="U884" t="s">
        <v>8173</v>
      </c>
      <c r="V884" t="s">
        <v>8172</v>
      </c>
      <c r="W884" t="s">
        <v>811</v>
      </c>
      <c r="X884" t="s">
        <v>810</v>
      </c>
      <c r="Y884" t="s">
        <v>8171</v>
      </c>
      <c r="Z884" t="str">
        <f>"07899852176"</f>
        <v>07899852176</v>
      </c>
      <c r="AA884" t="str">
        <f>""</f>
        <v/>
      </c>
      <c r="AB884" t="s">
        <v>2687</v>
      </c>
      <c r="AC884" t="s">
        <v>8170</v>
      </c>
      <c r="AD884" t="s">
        <v>114</v>
      </c>
      <c r="AE884" s="63">
        <v>45223</v>
      </c>
      <c r="AF884" t="s">
        <v>156</v>
      </c>
      <c r="AG884" t="s">
        <v>112</v>
      </c>
      <c r="AH884" t="s">
        <v>112</v>
      </c>
      <c r="AI884" s="63">
        <v>44092</v>
      </c>
      <c r="AJ884" s="63">
        <v>45657</v>
      </c>
      <c r="AK884" t="s">
        <v>112</v>
      </c>
      <c r="AL884" t="s">
        <v>111</v>
      </c>
      <c r="AM884" t="s">
        <v>111</v>
      </c>
      <c r="AN884">
        <v>22900</v>
      </c>
      <c r="AO884" t="s">
        <v>110</v>
      </c>
      <c r="AP884" t="s">
        <v>109</v>
      </c>
    </row>
    <row r="885" spans="1:42" x14ac:dyDescent="0.25">
      <c r="A885" s="28" t="str">
        <f>"1138"</f>
        <v>1138</v>
      </c>
      <c r="B885">
        <v>1138</v>
      </c>
      <c r="C885" t="s">
        <v>2488</v>
      </c>
      <c r="D885" t="s">
        <v>121</v>
      </c>
      <c r="F885" t="s">
        <v>120</v>
      </c>
      <c r="G885" t="s">
        <v>481</v>
      </c>
      <c r="I885" t="s">
        <v>8168</v>
      </c>
      <c r="J885" t="s">
        <v>7</v>
      </c>
      <c r="K885" s="63">
        <v>10979</v>
      </c>
      <c r="L885" s="28">
        <f>DATEDIF(K885,Zwift25!G$1,"Y")</f>
        <v>94</v>
      </c>
      <c r="M885" s="67">
        <f>IF(J885="m",VLOOKUP(L885,'All Solo Adjustments'!A:D,4,FALSE),VLOOKUP(L885,'All Solo Adjustments'!A:J,10,FALSE))</f>
        <v>2.2685185185185187E-2</v>
      </c>
      <c r="N885" s="63"/>
      <c r="O885" s="63"/>
      <c r="P885" s="63"/>
      <c r="Q885" s="63"/>
      <c r="R885" t="s">
        <v>125</v>
      </c>
      <c r="S885" t="s">
        <v>5547</v>
      </c>
      <c r="T885" t="s">
        <v>292</v>
      </c>
      <c r="U885" t="s">
        <v>8167</v>
      </c>
      <c r="V885" t="s">
        <v>8166</v>
      </c>
      <c r="W885" t="s">
        <v>8165</v>
      </c>
      <c r="X885" t="s">
        <v>123</v>
      </c>
      <c r="Y885" t="s">
        <v>8164</v>
      </c>
      <c r="Z885" t="str">
        <f>"01245 xxxxxx"</f>
        <v>01245 xxxxxx</v>
      </c>
      <c r="AA885" t="str">
        <f>""</f>
        <v/>
      </c>
      <c r="AB885" t="s">
        <v>508</v>
      </c>
      <c r="AC885" t="s">
        <v>8169</v>
      </c>
      <c r="AD885" t="s">
        <v>145</v>
      </c>
      <c r="AF885" t="s">
        <v>113</v>
      </c>
      <c r="AG885" t="s">
        <v>112</v>
      </c>
      <c r="AH885" t="s">
        <v>112</v>
      </c>
      <c r="AI885" s="63">
        <v>25584</v>
      </c>
      <c r="AK885" t="s">
        <v>111</v>
      </c>
      <c r="AL885" t="s">
        <v>111</v>
      </c>
      <c r="AM885" t="s">
        <v>111</v>
      </c>
      <c r="AN885">
        <v>3983</v>
      </c>
      <c r="AO885" t="s">
        <v>110</v>
      </c>
      <c r="AP885" t="s">
        <v>109</v>
      </c>
    </row>
    <row r="886" spans="1:42" x14ac:dyDescent="0.25">
      <c r="A886" s="28" t="str">
        <f>"12261"</f>
        <v>12261</v>
      </c>
      <c r="B886">
        <v>12261</v>
      </c>
      <c r="C886" t="s">
        <v>2488</v>
      </c>
      <c r="D886" t="s">
        <v>121</v>
      </c>
      <c r="F886" t="s">
        <v>149</v>
      </c>
      <c r="G886" t="s">
        <v>352</v>
      </c>
      <c r="I886" t="s">
        <v>8168</v>
      </c>
      <c r="J886" t="s">
        <v>126</v>
      </c>
      <c r="K886" s="63">
        <v>11393</v>
      </c>
      <c r="L886" s="28">
        <f>DATEDIF(K886,Zwift25!G$1,"Y")</f>
        <v>93</v>
      </c>
      <c r="M886" s="67">
        <f>IF(J886="m",VLOOKUP(L886,'All Solo Adjustments'!A:D,4,FALSE),VLOOKUP(L886,'All Solo Adjustments'!A:J,10,FALSE))</f>
        <v>2.8657407407407409E-2</v>
      </c>
      <c r="N886" s="63"/>
      <c r="O886" s="63"/>
      <c r="P886" s="63"/>
      <c r="Q886" s="63"/>
      <c r="R886" t="s">
        <v>125</v>
      </c>
      <c r="S886" t="s">
        <v>5547</v>
      </c>
      <c r="T886" t="s">
        <v>292</v>
      </c>
      <c r="U886" t="s">
        <v>8167</v>
      </c>
      <c r="V886" t="s">
        <v>8166</v>
      </c>
      <c r="W886" t="s">
        <v>8165</v>
      </c>
      <c r="X886" t="s">
        <v>123</v>
      </c>
      <c r="Y886" t="s">
        <v>8164</v>
      </c>
      <c r="Z886" t="str">
        <f>"01245 xxxxxx"</f>
        <v>01245 xxxxxx</v>
      </c>
      <c r="AA886" t="str">
        <f>""</f>
        <v/>
      </c>
      <c r="AB886" t="s">
        <v>508</v>
      </c>
      <c r="AD886" t="s">
        <v>145</v>
      </c>
      <c r="AF886" t="s">
        <v>113</v>
      </c>
      <c r="AG886" t="s">
        <v>112</v>
      </c>
      <c r="AH886" t="s">
        <v>112</v>
      </c>
      <c r="AI886" s="63">
        <v>25584</v>
      </c>
      <c r="AK886" t="s">
        <v>111</v>
      </c>
      <c r="AL886" t="s">
        <v>111</v>
      </c>
      <c r="AM886" t="s">
        <v>111</v>
      </c>
      <c r="AN886" t="s">
        <v>105</v>
      </c>
      <c r="AO886" t="s">
        <v>122</v>
      </c>
      <c r="AP886" t="s">
        <v>122</v>
      </c>
    </row>
    <row r="887" spans="1:42" x14ac:dyDescent="0.25">
      <c r="A887" s="28" t="str">
        <f>"14768"</f>
        <v>14768</v>
      </c>
      <c r="B887">
        <v>14768</v>
      </c>
      <c r="C887" t="s">
        <v>2488</v>
      </c>
      <c r="D887" t="s">
        <v>121</v>
      </c>
      <c r="E887" t="s">
        <v>584</v>
      </c>
      <c r="F887" t="s">
        <v>120</v>
      </c>
      <c r="G887" t="s">
        <v>481</v>
      </c>
      <c r="H887" t="s">
        <v>705</v>
      </c>
      <c r="I887" t="s">
        <v>1237</v>
      </c>
      <c r="J887" t="s">
        <v>7</v>
      </c>
      <c r="K887" s="63">
        <v>24429</v>
      </c>
      <c r="L887" s="28">
        <f>DATEDIF(K887,Zwift25!G$1,"Y")</f>
        <v>57</v>
      </c>
      <c r="M887" s="67">
        <f>IF(J887="m",VLOOKUP(L887,'All Solo Adjustments'!A:D,4,FALSE),VLOOKUP(L887,'All Solo Adjustments'!A:J,10,FALSE))</f>
        <v>2.488425925925926E-3</v>
      </c>
      <c r="N887" s="63"/>
      <c r="O887" s="63"/>
      <c r="P887" s="63"/>
      <c r="Q887" s="63"/>
      <c r="R887" t="s">
        <v>283</v>
      </c>
      <c r="S887" t="s">
        <v>530</v>
      </c>
      <c r="T887" t="s">
        <v>292</v>
      </c>
      <c r="U887" t="s">
        <v>8163</v>
      </c>
      <c r="V887" t="s">
        <v>8162</v>
      </c>
      <c r="W887" t="s">
        <v>8161</v>
      </c>
      <c r="Y887" t="s">
        <v>8160</v>
      </c>
      <c r="Z887" t="str">
        <f>"07931673287"</f>
        <v>07931673287</v>
      </c>
      <c r="AA887" t="str">
        <f>""</f>
        <v/>
      </c>
      <c r="AB887" t="s">
        <v>216</v>
      </c>
      <c r="AC887" t="s">
        <v>8159</v>
      </c>
      <c r="AD887" t="s">
        <v>114</v>
      </c>
      <c r="AE887" s="63">
        <v>45418</v>
      </c>
      <c r="AF887" t="s">
        <v>113</v>
      </c>
      <c r="AG887" t="s">
        <v>112</v>
      </c>
      <c r="AH887" t="s">
        <v>112</v>
      </c>
      <c r="AI887" s="63">
        <v>44118</v>
      </c>
      <c r="AJ887" s="63">
        <v>45657</v>
      </c>
      <c r="AK887" t="s">
        <v>112</v>
      </c>
      <c r="AL887" t="s">
        <v>111</v>
      </c>
      <c r="AM887" t="s">
        <v>111</v>
      </c>
      <c r="AN887">
        <v>36560</v>
      </c>
      <c r="AO887" t="s">
        <v>110</v>
      </c>
      <c r="AP887" t="s">
        <v>109</v>
      </c>
    </row>
    <row r="888" spans="1:42" x14ac:dyDescent="0.25">
      <c r="A888" s="28" t="str">
        <f>"14396"</f>
        <v>14396</v>
      </c>
      <c r="B888">
        <v>14396</v>
      </c>
      <c r="C888" t="s">
        <v>2488</v>
      </c>
      <c r="D888" t="s">
        <v>121</v>
      </c>
      <c r="F888" t="s">
        <v>120</v>
      </c>
      <c r="G888" t="s">
        <v>513</v>
      </c>
      <c r="I888" t="s">
        <v>8158</v>
      </c>
      <c r="J888" t="s">
        <v>7</v>
      </c>
      <c r="K888" s="63">
        <v>14453</v>
      </c>
      <c r="L888" s="28">
        <f>DATEDIF(K888,Zwift25!G$1,"Y")</f>
        <v>85</v>
      </c>
      <c r="M888" s="67">
        <f>IF(J888="m",VLOOKUP(L888,'All Solo Adjustments'!A:D,4,FALSE),VLOOKUP(L888,'All Solo Adjustments'!A:J,10,FALSE))</f>
        <v>1.4236111111111111E-2</v>
      </c>
      <c r="N888" s="63"/>
      <c r="O888" s="63"/>
      <c r="P888" s="63"/>
      <c r="Q888" s="63"/>
      <c r="R888" t="s">
        <v>154</v>
      </c>
      <c r="S888" t="s">
        <v>153</v>
      </c>
      <c r="T888" t="s">
        <v>292</v>
      </c>
      <c r="U888" t="s">
        <v>8157</v>
      </c>
      <c r="V888" t="s">
        <v>8156</v>
      </c>
      <c r="W888" t="s">
        <v>8155</v>
      </c>
      <c r="X888" t="s">
        <v>152</v>
      </c>
      <c r="Y888" t="s">
        <v>8154</v>
      </c>
      <c r="Z888" t="str">
        <f>"01934 742122"</f>
        <v>01934 742122</v>
      </c>
      <c r="AA888" t="str">
        <f>"0777 5153116"</f>
        <v>0777 5153116</v>
      </c>
      <c r="AB888" t="s">
        <v>1793</v>
      </c>
      <c r="AC888" t="s">
        <v>8153</v>
      </c>
      <c r="AD888" t="s">
        <v>145</v>
      </c>
      <c r="AE888" s="63">
        <v>45363</v>
      </c>
      <c r="AF888" t="s">
        <v>113</v>
      </c>
      <c r="AG888" t="s">
        <v>112</v>
      </c>
      <c r="AH888" t="s">
        <v>112</v>
      </c>
      <c r="AI888" s="63">
        <v>43787</v>
      </c>
      <c r="AJ888" s="63">
        <v>45657</v>
      </c>
      <c r="AK888" t="s">
        <v>112</v>
      </c>
      <c r="AL888" t="s">
        <v>112</v>
      </c>
      <c r="AM888" t="s">
        <v>112</v>
      </c>
      <c r="AN888" t="s">
        <v>105</v>
      </c>
      <c r="AO888" t="s">
        <v>110</v>
      </c>
      <c r="AP888" t="s">
        <v>109</v>
      </c>
    </row>
    <row r="889" spans="1:42" x14ac:dyDescent="0.25">
      <c r="A889" s="28" t="str">
        <f>"5272"</f>
        <v>5272</v>
      </c>
      <c r="B889">
        <v>5272</v>
      </c>
      <c r="C889" t="s">
        <v>2488</v>
      </c>
      <c r="D889" t="s">
        <v>121</v>
      </c>
      <c r="F889" t="s">
        <v>120</v>
      </c>
      <c r="G889" t="s">
        <v>284</v>
      </c>
      <c r="I889" t="s">
        <v>8152</v>
      </c>
      <c r="J889" t="s">
        <v>7</v>
      </c>
      <c r="K889" s="63">
        <v>18108</v>
      </c>
      <c r="L889" s="28">
        <f>DATEDIF(K889,Zwift25!G$1,"Y")</f>
        <v>75</v>
      </c>
      <c r="M889" s="67">
        <f>IF(J889="m",VLOOKUP(L889,'All Solo Adjustments'!A:D,4,FALSE),VLOOKUP(L889,'All Solo Adjustments'!A:J,10,FALSE))</f>
        <v>8.4374999999999988E-3</v>
      </c>
      <c r="N889" s="63"/>
      <c r="O889" s="63"/>
      <c r="P889" s="63"/>
      <c r="Q889" s="63"/>
      <c r="R889" t="s">
        <v>184</v>
      </c>
      <c r="S889" t="s">
        <v>183</v>
      </c>
      <c r="T889" t="s">
        <v>292</v>
      </c>
      <c r="U889" t="s">
        <v>8151</v>
      </c>
      <c r="V889" t="s">
        <v>1715</v>
      </c>
      <c r="W889" t="s">
        <v>1714</v>
      </c>
      <c r="X889" t="s">
        <v>834</v>
      </c>
      <c r="Y889" t="s">
        <v>8150</v>
      </c>
      <c r="Z889" t="str">
        <f>"07717 086689"</f>
        <v>07717 086689</v>
      </c>
      <c r="AA889" t="str">
        <f>"01753675407"</f>
        <v>01753675407</v>
      </c>
      <c r="AB889" t="s">
        <v>1432</v>
      </c>
      <c r="AC889" t="s">
        <v>8149</v>
      </c>
      <c r="AD889" t="s">
        <v>145</v>
      </c>
      <c r="AE889" s="63">
        <v>45265</v>
      </c>
      <c r="AF889" t="s">
        <v>113</v>
      </c>
      <c r="AG889" t="s">
        <v>112</v>
      </c>
      <c r="AH889" t="s">
        <v>112</v>
      </c>
      <c r="AI889" s="63">
        <v>42042</v>
      </c>
      <c r="AJ889" s="63">
        <v>45657</v>
      </c>
      <c r="AK889" t="s">
        <v>111</v>
      </c>
      <c r="AL889" t="s">
        <v>111</v>
      </c>
      <c r="AM889" t="s">
        <v>111</v>
      </c>
      <c r="AN889">
        <v>16655</v>
      </c>
      <c r="AO889" t="s">
        <v>110</v>
      </c>
      <c r="AP889" t="s">
        <v>109</v>
      </c>
    </row>
    <row r="890" spans="1:42" x14ac:dyDescent="0.25">
      <c r="A890" s="28" t="str">
        <f>"13828"</f>
        <v>13828</v>
      </c>
      <c r="B890">
        <v>13828</v>
      </c>
      <c r="C890" t="s">
        <v>2488</v>
      </c>
      <c r="D890" t="s">
        <v>121</v>
      </c>
      <c r="F890" t="s">
        <v>120</v>
      </c>
      <c r="G890" t="s">
        <v>601</v>
      </c>
      <c r="H890" t="s">
        <v>284</v>
      </c>
      <c r="I890" t="s">
        <v>8148</v>
      </c>
      <c r="J890" t="s">
        <v>7</v>
      </c>
      <c r="K890" s="63">
        <v>27853</v>
      </c>
      <c r="L890" s="28">
        <f>DATEDIF(K890,Zwift25!G$1,"Y")</f>
        <v>48</v>
      </c>
      <c r="M890" s="67">
        <f>IF(J890="m",VLOOKUP(L890,'All Solo Adjustments'!A:D,4,FALSE),VLOOKUP(L890,'All Solo Adjustments'!A:J,10,FALSE))</f>
        <v>8.3333333333333339E-4</v>
      </c>
      <c r="N890" s="63"/>
      <c r="O890" s="63"/>
      <c r="P890" s="63"/>
      <c r="Q890" s="63"/>
      <c r="R890" t="s">
        <v>159</v>
      </c>
      <c r="S890" t="s">
        <v>162</v>
      </c>
      <c r="T890" t="s">
        <v>292</v>
      </c>
      <c r="U890" t="s">
        <v>8147</v>
      </c>
      <c r="V890" t="s">
        <v>720</v>
      </c>
      <c r="W890" t="s">
        <v>141</v>
      </c>
      <c r="Y890" t="s">
        <v>8146</v>
      </c>
      <c r="Z890" t="str">
        <f>"07926837494"</f>
        <v>07926837494</v>
      </c>
      <c r="AA890" t="str">
        <f>""</f>
        <v/>
      </c>
      <c r="AB890" t="s">
        <v>8145</v>
      </c>
      <c r="AC890" t="s">
        <v>8144</v>
      </c>
      <c r="AD890" t="s">
        <v>114</v>
      </c>
      <c r="AE890" s="63">
        <v>45292</v>
      </c>
      <c r="AF890" t="s">
        <v>113</v>
      </c>
      <c r="AG890" t="s">
        <v>112</v>
      </c>
      <c r="AH890" t="s">
        <v>112</v>
      </c>
      <c r="AI890" s="63">
        <v>43360</v>
      </c>
      <c r="AJ890" s="63">
        <v>45657</v>
      </c>
      <c r="AK890" t="s">
        <v>112</v>
      </c>
      <c r="AL890" t="s">
        <v>112</v>
      </c>
      <c r="AM890" t="s">
        <v>111</v>
      </c>
      <c r="AN890">
        <v>26764</v>
      </c>
      <c r="AO890" t="s">
        <v>110</v>
      </c>
      <c r="AP890" t="s">
        <v>109</v>
      </c>
    </row>
    <row r="891" spans="1:42" x14ac:dyDescent="0.25">
      <c r="A891" s="28" t="str">
        <f>"10501"</f>
        <v>10501</v>
      </c>
      <c r="B891">
        <v>10501</v>
      </c>
      <c r="C891" t="s">
        <v>2488</v>
      </c>
      <c r="D891" t="s">
        <v>121</v>
      </c>
      <c r="E891" t="s">
        <v>584</v>
      </c>
      <c r="F891" t="s">
        <v>120</v>
      </c>
      <c r="G891" t="s">
        <v>970</v>
      </c>
      <c r="I891" t="s">
        <v>1189</v>
      </c>
      <c r="J891" t="s">
        <v>7</v>
      </c>
      <c r="K891" s="63">
        <v>25221</v>
      </c>
      <c r="L891" s="28">
        <f>DATEDIF(K891,Zwift25!G$1,"Y")</f>
        <v>55</v>
      </c>
      <c r="M891" s="67">
        <f>IF(J891="m",VLOOKUP(L891,'All Solo Adjustments'!A:D,4,FALSE),VLOOKUP(L891,'All Solo Adjustments'!A:J,10,FALSE))</f>
        <v>2.0601851851851853E-3</v>
      </c>
      <c r="N891" s="63"/>
      <c r="O891" s="63"/>
      <c r="P891" s="63"/>
      <c r="Q891" s="63"/>
      <c r="R891" t="s">
        <v>283</v>
      </c>
      <c r="S891" t="s">
        <v>530</v>
      </c>
      <c r="T891" t="s">
        <v>292</v>
      </c>
      <c r="U891" t="s">
        <v>8143</v>
      </c>
      <c r="V891" t="s">
        <v>880</v>
      </c>
      <c r="W891" t="s">
        <v>748</v>
      </c>
      <c r="X891" t="s">
        <v>748</v>
      </c>
      <c r="Y891" t="s">
        <v>8142</v>
      </c>
      <c r="Z891" t="str">
        <f>"07491978244"</f>
        <v>07491978244</v>
      </c>
      <c r="AA891" t="str">
        <f>""</f>
        <v/>
      </c>
      <c r="AB891" t="s">
        <v>1389</v>
      </c>
      <c r="AC891" t="s">
        <v>8141</v>
      </c>
      <c r="AD891" t="s">
        <v>114</v>
      </c>
      <c r="AE891" s="63">
        <v>45346</v>
      </c>
      <c r="AF891" t="s">
        <v>113</v>
      </c>
      <c r="AG891" t="s">
        <v>112</v>
      </c>
      <c r="AH891" t="s">
        <v>112</v>
      </c>
      <c r="AI891" s="63">
        <v>43173</v>
      </c>
      <c r="AJ891" s="63">
        <v>45657</v>
      </c>
      <c r="AK891" t="s">
        <v>112</v>
      </c>
      <c r="AL891" t="s">
        <v>111</v>
      </c>
      <c r="AM891" t="s">
        <v>111</v>
      </c>
      <c r="AN891">
        <v>2082</v>
      </c>
      <c r="AO891" t="s">
        <v>110</v>
      </c>
      <c r="AP891" t="s">
        <v>109</v>
      </c>
    </row>
    <row r="892" spans="1:42" x14ac:dyDescent="0.25">
      <c r="A892" s="28" t="str">
        <f>"1143"</f>
        <v>1143</v>
      </c>
      <c r="B892">
        <v>1143</v>
      </c>
      <c r="C892" t="s">
        <v>2488</v>
      </c>
      <c r="D892" t="s">
        <v>121</v>
      </c>
      <c r="F892" t="s">
        <v>120</v>
      </c>
      <c r="G892" t="s">
        <v>469</v>
      </c>
      <c r="H892" t="s">
        <v>410</v>
      </c>
      <c r="I892" t="s">
        <v>1189</v>
      </c>
      <c r="J892" t="s">
        <v>7</v>
      </c>
      <c r="K892" s="63">
        <v>14685</v>
      </c>
      <c r="L892" s="28">
        <f>DATEDIF(K892,Zwift25!G$1,"Y")</f>
        <v>84</v>
      </c>
      <c r="M892" s="67">
        <f>IF(J892="m",VLOOKUP(L892,'All Solo Adjustments'!A:D,4,FALSE),VLOOKUP(L892,'All Solo Adjustments'!A:J,10,FALSE))</f>
        <v>1.3530092592592592E-2</v>
      </c>
      <c r="N892" s="63"/>
      <c r="O892" s="63"/>
      <c r="P892" s="63"/>
      <c r="Q892" s="63"/>
      <c r="R892" t="s">
        <v>125</v>
      </c>
      <c r="S892" t="s">
        <v>484</v>
      </c>
      <c r="T892" t="s">
        <v>292</v>
      </c>
      <c r="U892" t="s">
        <v>8140</v>
      </c>
      <c r="V892" t="s">
        <v>8139</v>
      </c>
      <c r="W892" t="s">
        <v>225</v>
      </c>
      <c r="X892" t="s">
        <v>123</v>
      </c>
      <c r="Y892" t="s">
        <v>8138</v>
      </c>
      <c r="Z892" t="str">
        <f>"01473 310712"</f>
        <v>01473 310712</v>
      </c>
      <c r="AA892" t="str">
        <f>"01473 310712"</f>
        <v>01473 310712</v>
      </c>
      <c r="AB892" t="s">
        <v>444</v>
      </c>
      <c r="AC892" t="s">
        <v>8137</v>
      </c>
      <c r="AD892" t="s">
        <v>145</v>
      </c>
      <c r="AF892" t="s">
        <v>113</v>
      </c>
      <c r="AG892" t="s">
        <v>112</v>
      </c>
      <c r="AH892" t="s">
        <v>112</v>
      </c>
      <c r="AI892" s="63">
        <v>32421</v>
      </c>
      <c r="AK892" t="s">
        <v>111</v>
      </c>
      <c r="AL892" t="s">
        <v>111</v>
      </c>
      <c r="AM892" t="s">
        <v>111</v>
      </c>
      <c r="AN892" t="s">
        <v>105</v>
      </c>
      <c r="AO892" t="s">
        <v>110</v>
      </c>
      <c r="AP892" t="s">
        <v>109</v>
      </c>
    </row>
    <row r="893" spans="1:42" x14ac:dyDescent="0.25">
      <c r="A893" s="28" t="str">
        <f>"16022"</f>
        <v>16022</v>
      </c>
      <c r="B893">
        <v>16022</v>
      </c>
      <c r="C893" t="s">
        <v>2488</v>
      </c>
      <c r="D893" t="s">
        <v>121</v>
      </c>
      <c r="E893" t="s">
        <v>2500</v>
      </c>
      <c r="F893" t="s">
        <v>149</v>
      </c>
      <c r="G893" t="s">
        <v>1636</v>
      </c>
      <c r="I893" t="s">
        <v>1189</v>
      </c>
      <c r="J893" t="s">
        <v>126</v>
      </c>
      <c r="K893" s="63">
        <v>28133</v>
      </c>
      <c r="L893" s="28">
        <f>DATEDIF(K893,Zwift25!G$1,"Y")</f>
        <v>47</v>
      </c>
      <c r="M893" s="67">
        <f>IF(J893="m",VLOOKUP(L893,'All Solo Adjustments'!A:D,4,FALSE),VLOOKUP(L893,'All Solo Adjustments'!A:J,10,FALSE))</f>
        <v>4.7337962962962958E-3</v>
      </c>
      <c r="N893" s="63"/>
      <c r="O893" s="63"/>
      <c r="P893" s="63"/>
      <c r="Q893" s="63"/>
      <c r="R893" t="s">
        <v>213</v>
      </c>
      <c r="S893" t="s">
        <v>212</v>
      </c>
      <c r="T893" t="s">
        <v>292</v>
      </c>
      <c r="U893" t="s">
        <v>8136</v>
      </c>
      <c r="V893" t="s">
        <v>1727</v>
      </c>
      <c r="W893" t="s">
        <v>393</v>
      </c>
      <c r="Y893" t="s">
        <v>8135</v>
      </c>
      <c r="Z893" t="str">
        <f>"07889849085"</f>
        <v>07889849085</v>
      </c>
      <c r="AA893" t="str">
        <f>""</f>
        <v/>
      </c>
      <c r="AB893" t="s">
        <v>8134</v>
      </c>
      <c r="AC893" t="s">
        <v>8133</v>
      </c>
      <c r="AD893" t="s">
        <v>114</v>
      </c>
      <c r="AE893" s="63">
        <v>45575</v>
      </c>
      <c r="AF893" t="s">
        <v>156</v>
      </c>
      <c r="AG893" t="s">
        <v>112</v>
      </c>
      <c r="AH893" t="s">
        <v>112</v>
      </c>
      <c r="AI893" s="63">
        <v>45330</v>
      </c>
      <c r="AJ893" s="63">
        <v>46022</v>
      </c>
      <c r="AK893" t="s">
        <v>112</v>
      </c>
      <c r="AL893" t="s">
        <v>111</v>
      </c>
      <c r="AM893" t="s">
        <v>111</v>
      </c>
      <c r="AN893">
        <v>17426</v>
      </c>
      <c r="AO893" t="s">
        <v>122</v>
      </c>
      <c r="AP893" t="s">
        <v>122</v>
      </c>
    </row>
    <row r="894" spans="1:42" x14ac:dyDescent="0.25">
      <c r="A894" s="28" t="str">
        <f>"13778"</f>
        <v>13778</v>
      </c>
      <c r="B894">
        <v>13778</v>
      </c>
      <c r="C894" t="s">
        <v>2488</v>
      </c>
      <c r="D894" t="s">
        <v>121</v>
      </c>
      <c r="F894" t="s">
        <v>120</v>
      </c>
      <c r="G894" t="s">
        <v>8132</v>
      </c>
      <c r="H894" t="s">
        <v>1166</v>
      </c>
      <c r="I894" t="s">
        <v>715</v>
      </c>
      <c r="J894" t="s">
        <v>7</v>
      </c>
      <c r="K894" s="63">
        <v>21022</v>
      </c>
      <c r="L894" s="28">
        <f>DATEDIF(K894,Zwift25!G$1,"Y")</f>
        <v>67</v>
      </c>
      <c r="M894" s="67">
        <f>IF(J894="m",VLOOKUP(L894,'All Solo Adjustments'!A:D,4,FALSE),VLOOKUP(L894,'All Solo Adjustments'!A:J,10,FALSE))</f>
        <v>5.2662037037037035E-3</v>
      </c>
      <c r="N894" s="63"/>
      <c r="O894" s="63"/>
      <c r="P894" s="63"/>
      <c r="Q894" s="63"/>
      <c r="R894" t="s">
        <v>296</v>
      </c>
      <c r="S894" t="s">
        <v>295</v>
      </c>
      <c r="T894" t="s">
        <v>292</v>
      </c>
      <c r="U894" t="s">
        <v>8131</v>
      </c>
      <c r="V894" t="s">
        <v>1279</v>
      </c>
      <c r="W894" t="s">
        <v>1242</v>
      </c>
      <c r="Y894" t="s">
        <v>8130</v>
      </c>
      <c r="Z894" t="str">
        <f>"07590010080"</f>
        <v>07590010080</v>
      </c>
      <c r="AA894" t="str">
        <f>""</f>
        <v/>
      </c>
      <c r="AB894" t="s">
        <v>1241</v>
      </c>
      <c r="AC894" t="s">
        <v>8129</v>
      </c>
      <c r="AD894" t="s">
        <v>114</v>
      </c>
      <c r="AE894" s="63">
        <v>45273</v>
      </c>
      <c r="AF894" t="s">
        <v>156</v>
      </c>
      <c r="AG894" t="s">
        <v>112</v>
      </c>
      <c r="AH894" t="s">
        <v>112</v>
      </c>
      <c r="AI894" s="63">
        <v>43331</v>
      </c>
      <c r="AJ894" s="63">
        <v>45657</v>
      </c>
      <c r="AK894" t="s">
        <v>112</v>
      </c>
      <c r="AL894" t="s">
        <v>111</v>
      </c>
      <c r="AM894" t="s">
        <v>111</v>
      </c>
      <c r="AN894">
        <v>36695</v>
      </c>
      <c r="AO894" t="s">
        <v>110</v>
      </c>
      <c r="AP894" t="s">
        <v>109</v>
      </c>
    </row>
    <row r="895" spans="1:42" x14ac:dyDescent="0.25">
      <c r="A895" s="28" t="str">
        <f>"16156"</f>
        <v>16156</v>
      </c>
      <c r="B895">
        <v>16156</v>
      </c>
      <c r="C895" t="s">
        <v>2488</v>
      </c>
      <c r="D895" t="s">
        <v>121</v>
      </c>
      <c r="F895" t="s">
        <v>120</v>
      </c>
      <c r="G895" t="s">
        <v>685</v>
      </c>
      <c r="I895" t="s">
        <v>8128</v>
      </c>
      <c r="J895" t="s">
        <v>7</v>
      </c>
      <c r="K895" s="63">
        <v>30695</v>
      </c>
      <c r="L895" s="28">
        <f>DATEDIF(K895,Zwift25!G$1,"Y")</f>
        <v>40</v>
      </c>
      <c r="M895" s="67">
        <f>IF(J895="m",VLOOKUP(L895,'All Solo Adjustments'!A:D,4,FALSE),VLOOKUP(L895,'All Solo Adjustments'!A:J,10,FALSE))</f>
        <v>0</v>
      </c>
      <c r="N895" s="63"/>
      <c r="O895" s="63"/>
      <c r="P895" s="63"/>
      <c r="Q895" s="63"/>
      <c r="R895" t="s">
        <v>118</v>
      </c>
      <c r="S895" t="s">
        <v>117</v>
      </c>
      <c r="T895" t="s">
        <v>292</v>
      </c>
      <c r="U895" t="s">
        <v>8127</v>
      </c>
      <c r="V895" t="s">
        <v>2184</v>
      </c>
      <c r="X895" t="s">
        <v>547</v>
      </c>
      <c r="Y895" t="s">
        <v>8126</v>
      </c>
      <c r="Z895" t="str">
        <f>"07891488513"</f>
        <v>07891488513</v>
      </c>
      <c r="AA895" t="str">
        <f>""</f>
        <v/>
      </c>
      <c r="AB895" t="s">
        <v>8125</v>
      </c>
      <c r="AC895" t="s">
        <v>8124</v>
      </c>
      <c r="AD895" t="s">
        <v>114</v>
      </c>
      <c r="AE895" s="63">
        <v>45452</v>
      </c>
      <c r="AF895" t="s">
        <v>156</v>
      </c>
      <c r="AG895" t="s">
        <v>112</v>
      </c>
      <c r="AH895" t="s">
        <v>112</v>
      </c>
      <c r="AI895" s="63">
        <v>45452</v>
      </c>
      <c r="AJ895" s="63">
        <v>45657</v>
      </c>
      <c r="AK895" t="s">
        <v>112</v>
      </c>
      <c r="AL895" t="s">
        <v>111</v>
      </c>
      <c r="AM895" t="s">
        <v>111</v>
      </c>
      <c r="AN895">
        <v>3596</v>
      </c>
      <c r="AO895" t="s">
        <v>110</v>
      </c>
      <c r="AP895" t="s">
        <v>109</v>
      </c>
    </row>
    <row r="896" spans="1:42" x14ac:dyDescent="0.25">
      <c r="A896" s="28" t="str">
        <f>"1153"</f>
        <v>1153</v>
      </c>
      <c r="B896">
        <v>1153</v>
      </c>
      <c r="C896" t="s">
        <v>2488</v>
      </c>
      <c r="D896" t="s">
        <v>121</v>
      </c>
      <c r="F896" t="s">
        <v>120</v>
      </c>
      <c r="G896" t="s">
        <v>284</v>
      </c>
      <c r="I896" t="s">
        <v>711</v>
      </c>
      <c r="J896" t="s">
        <v>7</v>
      </c>
      <c r="K896" s="63">
        <v>15166</v>
      </c>
      <c r="L896" s="28">
        <f>DATEDIF(K896,Zwift25!G$1,"Y")</f>
        <v>83</v>
      </c>
      <c r="M896" s="67">
        <f>IF(J896="m",VLOOKUP(L896,'All Solo Adjustments'!A:D,4,FALSE),VLOOKUP(L896,'All Solo Adjustments'!A:J,10,FALSE))</f>
        <v>1.2858796296296297E-2</v>
      </c>
      <c r="N896" s="63"/>
      <c r="O896" s="63"/>
      <c r="P896" s="63"/>
      <c r="Q896" s="63"/>
      <c r="R896" t="s">
        <v>154</v>
      </c>
      <c r="S896" t="s">
        <v>153</v>
      </c>
      <c r="T896" t="s">
        <v>292</v>
      </c>
      <c r="U896" t="s">
        <v>8123</v>
      </c>
      <c r="V896" t="s">
        <v>8122</v>
      </c>
      <c r="W896" t="s">
        <v>8121</v>
      </c>
      <c r="X896" t="s">
        <v>574</v>
      </c>
      <c r="Y896" t="s">
        <v>8120</v>
      </c>
      <c r="Z896" t="str">
        <f>"01285 760900"</f>
        <v>01285 760900</v>
      </c>
      <c r="AA896" t="str">
        <f>""</f>
        <v/>
      </c>
      <c r="AB896" t="s">
        <v>8119</v>
      </c>
      <c r="AC896" t="s">
        <v>8118</v>
      </c>
      <c r="AD896" t="s">
        <v>145</v>
      </c>
      <c r="AE896" s="63">
        <v>45348</v>
      </c>
      <c r="AF896" t="s">
        <v>113</v>
      </c>
      <c r="AG896" t="s">
        <v>112</v>
      </c>
      <c r="AH896" t="s">
        <v>112</v>
      </c>
      <c r="AI896" s="63">
        <v>32143</v>
      </c>
      <c r="AJ896" s="63">
        <v>45657</v>
      </c>
      <c r="AK896" t="s">
        <v>111</v>
      </c>
      <c r="AL896" t="s">
        <v>111</v>
      </c>
      <c r="AM896" t="s">
        <v>111</v>
      </c>
      <c r="AN896">
        <v>11171</v>
      </c>
      <c r="AO896" t="s">
        <v>110</v>
      </c>
      <c r="AP896" t="s">
        <v>109</v>
      </c>
    </row>
    <row r="897" spans="1:42" x14ac:dyDescent="0.25">
      <c r="A897" s="28" t="str">
        <f>"1154"</f>
        <v>1154</v>
      </c>
      <c r="B897">
        <v>1154</v>
      </c>
      <c r="C897" t="s">
        <v>2488</v>
      </c>
      <c r="D897" t="s">
        <v>121</v>
      </c>
      <c r="F897" t="s">
        <v>139</v>
      </c>
      <c r="G897" t="s">
        <v>2356</v>
      </c>
      <c r="I897" t="s">
        <v>1850</v>
      </c>
      <c r="J897" t="s">
        <v>126</v>
      </c>
      <c r="K897" s="63">
        <v>17834</v>
      </c>
      <c r="L897" s="28">
        <f>DATEDIF(K897,Zwift25!G$1,"Y")</f>
        <v>75</v>
      </c>
      <c r="M897" s="67">
        <f>IF(J897="m",VLOOKUP(L897,'All Solo Adjustments'!A:D,4,FALSE),VLOOKUP(L897,'All Solo Adjustments'!A:J,10,FALSE))</f>
        <v>1.3923611111111112E-2</v>
      </c>
      <c r="N897" s="63"/>
      <c r="O897" s="63"/>
      <c r="P897" s="63"/>
      <c r="Q897" s="63"/>
      <c r="R897" t="s">
        <v>125</v>
      </c>
      <c r="S897" t="s">
        <v>170</v>
      </c>
      <c r="T897" t="s">
        <v>292</v>
      </c>
      <c r="U897" t="s">
        <v>8117</v>
      </c>
      <c r="V897" t="s">
        <v>147</v>
      </c>
      <c r="W897" t="s">
        <v>146</v>
      </c>
      <c r="Y897" t="s">
        <v>8116</v>
      </c>
      <c r="Z897" t="str">
        <f>"01279 653285"</f>
        <v>01279 653285</v>
      </c>
      <c r="AA897" t="str">
        <f>""</f>
        <v/>
      </c>
      <c r="AB897" t="s">
        <v>8115</v>
      </c>
      <c r="AD897" t="s">
        <v>145</v>
      </c>
      <c r="AE897" s="63">
        <v>45309</v>
      </c>
      <c r="AF897" t="s">
        <v>113</v>
      </c>
      <c r="AG897" t="s">
        <v>112</v>
      </c>
      <c r="AH897" t="s">
        <v>112</v>
      </c>
      <c r="AI897" s="63">
        <v>43391</v>
      </c>
      <c r="AJ897" s="63">
        <v>45657</v>
      </c>
      <c r="AK897" t="s">
        <v>111</v>
      </c>
      <c r="AL897" t="s">
        <v>111</v>
      </c>
      <c r="AM897" t="s">
        <v>111</v>
      </c>
      <c r="AN897" t="s">
        <v>105</v>
      </c>
      <c r="AO897" t="s">
        <v>122</v>
      </c>
      <c r="AP897" t="s">
        <v>122</v>
      </c>
    </row>
    <row r="898" spans="1:42" x14ac:dyDescent="0.25">
      <c r="A898" s="28" t="str">
        <f>"4390"</f>
        <v>4390</v>
      </c>
      <c r="B898">
        <v>4390</v>
      </c>
      <c r="C898" t="s">
        <v>2488</v>
      </c>
      <c r="D898" t="s">
        <v>121</v>
      </c>
      <c r="E898" t="s">
        <v>584</v>
      </c>
      <c r="F898" t="s">
        <v>120</v>
      </c>
      <c r="G898" t="s">
        <v>245</v>
      </c>
      <c r="H898" t="s">
        <v>284</v>
      </c>
      <c r="I898" t="s">
        <v>8114</v>
      </c>
      <c r="J898" t="s">
        <v>7</v>
      </c>
      <c r="K898" s="63">
        <v>23244</v>
      </c>
      <c r="L898" s="28">
        <f>DATEDIF(K898,Zwift25!G$1,"Y")</f>
        <v>61</v>
      </c>
      <c r="M898" s="67">
        <f>IF(J898="m",VLOOKUP(L898,'All Solo Adjustments'!A:D,4,FALSE),VLOOKUP(L898,'All Solo Adjustments'!A:J,10,FALSE))</f>
        <v>3.4722222222222225E-3</v>
      </c>
      <c r="N898" s="63"/>
      <c r="O898" s="63"/>
      <c r="P898" s="63"/>
      <c r="Q898" s="63"/>
      <c r="R898" t="s">
        <v>180</v>
      </c>
      <c r="S898" t="s">
        <v>179</v>
      </c>
      <c r="T898" t="s">
        <v>292</v>
      </c>
      <c r="U898" t="s">
        <v>8113</v>
      </c>
      <c r="V898" t="s">
        <v>4170</v>
      </c>
      <c r="W898" t="s">
        <v>992</v>
      </c>
      <c r="Y898" t="s">
        <v>8112</v>
      </c>
      <c r="Z898" t="str">
        <f>"0116 2368120"</f>
        <v>0116 2368120</v>
      </c>
      <c r="AA898" t="str">
        <f>"07802492112"</f>
        <v>07802492112</v>
      </c>
      <c r="AB898" t="s">
        <v>1238</v>
      </c>
      <c r="AC898" t="s">
        <v>8111</v>
      </c>
      <c r="AD898" t="s">
        <v>114</v>
      </c>
      <c r="AE898" s="63">
        <v>45299</v>
      </c>
      <c r="AF898" t="s">
        <v>156</v>
      </c>
      <c r="AG898" t="s">
        <v>112</v>
      </c>
      <c r="AH898" t="s">
        <v>112</v>
      </c>
      <c r="AI898" s="63">
        <v>40940</v>
      </c>
      <c r="AJ898" s="63">
        <v>45657</v>
      </c>
      <c r="AK898" t="s">
        <v>111</v>
      </c>
      <c r="AL898" t="s">
        <v>111</v>
      </c>
      <c r="AM898" t="s">
        <v>111</v>
      </c>
      <c r="AN898">
        <v>7870</v>
      </c>
      <c r="AO898" t="s">
        <v>110</v>
      </c>
      <c r="AP898" t="s">
        <v>109</v>
      </c>
    </row>
    <row r="899" spans="1:42" x14ac:dyDescent="0.25">
      <c r="A899" s="28" t="str">
        <f>"1167"</f>
        <v>1167</v>
      </c>
      <c r="B899">
        <v>1167</v>
      </c>
      <c r="C899" t="s">
        <v>2488</v>
      </c>
      <c r="D899" t="s">
        <v>121</v>
      </c>
      <c r="F899" t="s">
        <v>120</v>
      </c>
      <c r="G899" t="s">
        <v>220</v>
      </c>
      <c r="H899" t="s">
        <v>779</v>
      </c>
      <c r="I899" t="s">
        <v>1846</v>
      </c>
      <c r="J899" t="s">
        <v>7</v>
      </c>
      <c r="K899" s="63">
        <v>12898</v>
      </c>
      <c r="L899" s="28">
        <f>DATEDIF(K899,Zwift25!G$1,"Y")</f>
        <v>89</v>
      </c>
      <c r="M899" s="67">
        <f>IF(J899="m",VLOOKUP(L899,'All Solo Adjustments'!A:D,4,FALSE),VLOOKUP(L899,'All Solo Adjustments'!A:J,10,FALSE))</f>
        <v>1.7465277777777777E-2</v>
      </c>
      <c r="N899" s="63"/>
      <c r="O899" s="63"/>
      <c r="P899" s="63"/>
      <c r="Q899" s="63"/>
      <c r="R899" t="s">
        <v>143</v>
      </c>
      <c r="S899" t="s">
        <v>487</v>
      </c>
      <c r="T899" t="s">
        <v>292</v>
      </c>
      <c r="U899" t="s">
        <v>8110</v>
      </c>
      <c r="V899" t="s">
        <v>8109</v>
      </c>
      <c r="W899" t="s">
        <v>2132</v>
      </c>
      <c r="X899" t="s">
        <v>486</v>
      </c>
      <c r="Y899" t="s">
        <v>8108</v>
      </c>
      <c r="Z899" t="str">
        <f>"01273 591338"</f>
        <v>01273 591338</v>
      </c>
      <c r="AA899" t="str">
        <f>""</f>
        <v/>
      </c>
      <c r="AB899" t="s">
        <v>758</v>
      </c>
      <c r="AC899" t="s">
        <v>8107</v>
      </c>
      <c r="AD899" t="s">
        <v>151</v>
      </c>
      <c r="AF899" t="s">
        <v>156</v>
      </c>
      <c r="AG899" t="s">
        <v>112</v>
      </c>
      <c r="AH899" t="s">
        <v>112</v>
      </c>
      <c r="AI899" s="63">
        <v>32509</v>
      </c>
      <c r="AK899" t="s">
        <v>111</v>
      </c>
      <c r="AL899" t="s">
        <v>111</v>
      </c>
      <c r="AM899" t="s">
        <v>111</v>
      </c>
      <c r="AN899" t="s">
        <v>105</v>
      </c>
      <c r="AO899" t="s">
        <v>110</v>
      </c>
      <c r="AP899" t="s">
        <v>109</v>
      </c>
    </row>
    <row r="900" spans="1:42" x14ac:dyDescent="0.25">
      <c r="A900" s="28" t="str">
        <f>"1166"</f>
        <v>1166</v>
      </c>
      <c r="B900">
        <v>1166</v>
      </c>
      <c r="C900" t="s">
        <v>2488</v>
      </c>
      <c r="D900" t="s">
        <v>121</v>
      </c>
      <c r="F900" t="s">
        <v>149</v>
      </c>
      <c r="G900" t="s">
        <v>1179</v>
      </c>
      <c r="I900" t="s">
        <v>1846</v>
      </c>
      <c r="J900" t="s">
        <v>126</v>
      </c>
      <c r="K900" s="63">
        <v>12444</v>
      </c>
      <c r="L900" s="28">
        <f>DATEDIF(K900,Zwift25!G$1,"Y")</f>
        <v>90</v>
      </c>
      <c r="M900" s="67">
        <f>IF(J900="m",VLOOKUP(L900,'All Solo Adjustments'!A:D,4,FALSE),VLOOKUP(L900,'All Solo Adjustments'!A:J,10,FALSE))</f>
        <v>2.5138888888888888E-2</v>
      </c>
      <c r="N900" s="63"/>
      <c r="O900" s="63"/>
      <c r="P900" s="63"/>
      <c r="Q900" s="63"/>
      <c r="R900" t="s">
        <v>184</v>
      </c>
      <c r="S900" t="s">
        <v>835</v>
      </c>
      <c r="T900" t="s">
        <v>292</v>
      </c>
      <c r="U900" t="s">
        <v>8106</v>
      </c>
      <c r="V900" t="s">
        <v>8105</v>
      </c>
      <c r="W900" t="s">
        <v>1514</v>
      </c>
      <c r="X900" t="s">
        <v>8104</v>
      </c>
      <c r="Y900" t="s">
        <v>8103</v>
      </c>
      <c r="Z900" t="str">
        <f>"01494 863446"</f>
        <v>01494 863446</v>
      </c>
      <c r="AA900" t="str">
        <f>""</f>
        <v/>
      </c>
      <c r="AB900" t="s">
        <v>971</v>
      </c>
      <c r="AC900" t="s">
        <v>8102</v>
      </c>
      <c r="AD900" t="s">
        <v>151</v>
      </c>
      <c r="AF900" t="s">
        <v>113</v>
      </c>
      <c r="AG900" t="s">
        <v>112</v>
      </c>
      <c r="AH900" t="s">
        <v>112</v>
      </c>
      <c r="AI900" s="63">
        <v>32264</v>
      </c>
      <c r="AK900" t="s">
        <v>111</v>
      </c>
      <c r="AL900" t="s">
        <v>111</v>
      </c>
      <c r="AM900" t="s">
        <v>111</v>
      </c>
      <c r="AN900" t="s">
        <v>105</v>
      </c>
      <c r="AO900" t="s">
        <v>122</v>
      </c>
      <c r="AP900" t="s">
        <v>122</v>
      </c>
    </row>
    <row r="901" spans="1:42" x14ac:dyDescent="0.25">
      <c r="A901" s="28" t="str">
        <f>"4855"</f>
        <v>4855</v>
      </c>
      <c r="B901">
        <v>4855</v>
      </c>
      <c r="C901" t="s">
        <v>2488</v>
      </c>
      <c r="D901" t="s">
        <v>121</v>
      </c>
      <c r="E901" t="s">
        <v>584</v>
      </c>
      <c r="F901" t="s">
        <v>120</v>
      </c>
      <c r="G901" t="s">
        <v>221</v>
      </c>
      <c r="I901" t="s">
        <v>1846</v>
      </c>
      <c r="J901" t="s">
        <v>7</v>
      </c>
      <c r="K901" s="63">
        <v>24620</v>
      </c>
      <c r="L901" s="28">
        <f>DATEDIF(K901,Zwift25!G$1,"Y")</f>
        <v>57</v>
      </c>
      <c r="M901" s="67">
        <f>IF(J901="m",VLOOKUP(L901,'All Solo Adjustments'!A:D,4,FALSE),VLOOKUP(L901,'All Solo Adjustments'!A:J,10,FALSE))</f>
        <v>2.488425925925926E-3</v>
      </c>
      <c r="N901" s="63"/>
      <c r="O901" s="63"/>
      <c r="P901" s="63"/>
      <c r="Q901" s="63"/>
      <c r="R901" t="s">
        <v>198</v>
      </c>
      <c r="S901" t="s">
        <v>461</v>
      </c>
      <c r="T901" t="s">
        <v>292</v>
      </c>
      <c r="U901" t="s">
        <v>8101</v>
      </c>
      <c r="V901" t="s">
        <v>8100</v>
      </c>
      <c r="W901" t="s">
        <v>1039</v>
      </c>
      <c r="Y901" t="s">
        <v>8099</v>
      </c>
      <c r="Z901" t="str">
        <f>"07772 5029978"</f>
        <v>07772 5029978</v>
      </c>
      <c r="AA901" t="str">
        <f>""</f>
        <v/>
      </c>
      <c r="AB901" t="s">
        <v>514</v>
      </c>
      <c r="AC901" t="s">
        <v>8098</v>
      </c>
      <c r="AD901" t="s">
        <v>114</v>
      </c>
      <c r="AE901" s="63">
        <v>45570</v>
      </c>
      <c r="AF901" t="s">
        <v>156</v>
      </c>
      <c r="AG901" t="s">
        <v>112</v>
      </c>
      <c r="AH901" t="s">
        <v>112</v>
      </c>
      <c r="AI901" s="63">
        <v>41561</v>
      </c>
      <c r="AJ901" s="63">
        <v>46022</v>
      </c>
      <c r="AK901" t="s">
        <v>111</v>
      </c>
      <c r="AL901" t="s">
        <v>111</v>
      </c>
      <c r="AM901" t="s">
        <v>111</v>
      </c>
      <c r="AN901">
        <v>571</v>
      </c>
      <c r="AO901" t="s">
        <v>110</v>
      </c>
      <c r="AP901" t="s">
        <v>109</v>
      </c>
    </row>
    <row r="902" spans="1:42" x14ac:dyDescent="0.25">
      <c r="A902" s="28" t="str">
        <f>"15516"</f>
        <v>15516</v>
      </c>
      <c r="B902">
        <v>15516</v>
      </c>
      <c r="C902" t="s">
        <v>2488</v>
      </c>
      <c r="D902" t="s">
        <v>121</v>
      </c>
      <c r="F902" t="s">
        <v>120</v>
      </c>
      <c r="G902" t="s">
        <v>1085</v>
      </c>
      <c r="I902" t="s">
        <v>1846</v>
      </c>
      <c r="J902" t="s">
        <v>7</v>
      </c>
      <c r="K902" s="63">
        <v>24610</v>
      </c>
      <c r="L902" s="28">
        <f>DATEDIF(K902,Zwift25!G$1,"Y")</f>
        <v>57</v>
      </c>
      <c r="M902" s="67">
        <f>IF(J902="m",VLOOKUP(L902,'All Solo Adjustments'!A:D,4,FALSE),VLOOKUP(L902,'All Solo Adjustments'!A:J,10,FALSE))</f>
        <v>2.488425925925926E-3</v>
      </c>
      <c r="N902" s="63"/>
      <c r="O902" s="63"/>
      <c r="P902" s="63"/>
      <c r="Q902" s="63"/>
      <c r="R902" t="s">
        <v>143</v>
      </c>
      <c r="S902" t="s">
        <v>142</v>
      </c>
      <c r="T902" t="s">
        <v>292</v>
      </c>
      <c r="U902" t="s">
        <v>8097</v>
      </c>
      <c r="V902" t="s">
        <v>909</v>
      </c>
      <c r="W902" t="s">
        <v>8096</v>
      </c>
      <c r="Y902" t="s">
        <v>8095</v>
      </c>
      <c r="Z902" t="str">
        <f>"07971408298"</f>
        <v>07971408298</v>
      </c>
      <c r="AA902" t="str">
        <f>""</f>
        <v/>
      </c>
      <c r="AB902" t="s">
        <v>8094</v>
      </c>
      <c r="AC902" t="s">
        <v>8093</v>
      </c>
      <c r="AD902" t="s">
        <v>114</v>
      </c>
      <c r="AE902" s="63">
        <v>45292</v>
      </c>
      <c r="AF902" t="s">
        <v>156</v>
      </c>
      <c r="AG902" t="s">
        <v>112</v>
      </c>
      <c r="AH902" t="s">
        <v>112</v>
      </c>
      <c r="AI902" s="63">
        <v>44719</v>
      </c>
      <c r="AJ902" s="63">
        <v>45657</v>
      </c>
      <c r="AK902" t="s">
        <v>112</v>
      </c>
      <c r="AL902" t="s">
        <v>111</v>
      </c>
      <c r="AM902" t="s">
        <v>111</v>
      </c>
      <c r="AN902">
        <v>5570</v>
      </c>
      <c r="AO902" t="s">
        <v>110</v>
      </c>
      <c r="AP902" t="s">
        <v>109</v>
      </c>
    </row>
    <row r="903" spans="1:42" x14ac:dyDescent="0.25">
      <c r="A903" s="28" t="str">
        <f>"16052"</f>
        <v>16052</v>
      </c>
      <c r="B903">
        <v>16052</v>
      </c>
      <c r="C903" t="s">
        <v>2488</v>
      </c>
      <c r="D903" t="s">
        <v>121</v>
      </c>
      <c r="E903" t="s">
        <v>584</v>
      </c>
      <c r="F903" t="s">
        <v>120</v>
      </c>
      <c r="G903" t="s">
        <v>1245</v>
      </c>
      <c r="I903" t="s">
        <v>704</v>
      </c>
      <c r="J903" t="s">
        <v>7</v>
      </c>
      <c r="K903" s="63">
        <v>17599</v>
      </c>
      <c r="L903" s="28">
        <f>DATEDIF(K903,Zwift25!G$1,"Y")</f>
        <v>76</v>
      </c>
      <c r="M903" s="67">
        <f>IF(J903="m",VLOOKUP(L903,'All Solo Adjustments'!A:D,4,FALSE),VLOOKUP(L903,'All Solo Adjustments'!A:J,10,FALSE))</f>
        <v>8.912037037037036E-3</v>
      </c>
      <c r="N903" s="63"/>
      <c r="O903" s="63"/>
      <c r="P903" s="63"/>
      <c r="Q903" s="63"/>
      <c r="R903" t="s">
        <v>180</v>
      </c>
      <c r="S903" t="s">
        <v>179</v>
      </c>
      <c r="T903" t="s">
        <v>292</v>
      </c>
      <c r="U903" t="s">
        <v>8092</v>
      </c>
      <c r="V903" t="s">
        <v>8091</v>
      </c>
      <c r="W903" t="s">
        <v>1062</v>
      </c>
      <c r="X903" t="s">
        <v>259</v>
      </c>
      <c r="Y903" t="s">
        <v>8090</v>
      </c>
      <c r="Z903" t="str">
        <f>"07799004518"</f>
        <v>07799004518</v>
      </c>
      <c r="AA903" t="str">
        <f>""</f>
        <v/>
      </c>
      <c r="AB903" t="s">
        <v>8089</v>
      </c>
      <c r="AC903" t="s">
        <v>8088</v>
      </c>
      <c r="AD903" t="s">
        <v>114</v>
      </c>
      <c r="AE903" s="63">
        <v>45356</v>
      </c>
      <c r="AF903" t="s">
        <v>156</v>
      </c>
      <c r="AG903" t="s">
        <v>112</v>
      </c>
      <c r="AH903" t="s">
        <v>112</v>
      </c>
      <c r="AI903" s="63">
        <v>45356</v>
      </c>
      <c r="AJ903" s="63">
        <v>45657</v>
      </c>
      <c r="AK903" t="s">
        <v>112</v>
      </c>
      <c r="AL903" t="s">
        <v>111</v>
      </c>
      <c r="AM903" t="s">
        <v>111</v>
      </c>
      <c r="AN903" t="s">
        <v>105</v>
      </c>
      <c r="AO903" t="s">
        <v>110</v>
      </c>
      <c r="AP903" t="s">
        <v>109</v>
      </c>
    </row>
    <row r="904" spans="1:42" x14ac:dyDescent="0.25">
      <c r="A904" s="28" t="str">
        <f>"16162"</f>
        <v>16162</v>
      </c>
      <c r="B904">
        <v>16162</v>
      </c>
      <c r="C904" t="s">
        <v>2488</v>
      </c>
      <c r="D904" t="s">
        <v>121</v>
      </c>
      <c r="E904" t="s">
        <v>584</v>
      </c>
      <c r="F904" t="s">
        <v>120</v>
      </c>
      <c r="G904" t="s">
        <v>685</v>
      </c>
      <c r="I904" t="s">
        <v>1846</v>
      </c>
      <c r="J904" t="s">
        <v>7</v>
      </c>
      <c r="K904" s="63">
        <v>30007</v>
      </c>
      <c r="L904" s="28">
        <f>DATEDIF(K904,Zwift25!G$1,"Y")</f>
        <v>42</v>
      </c>
      <c r="M904" s="67">
        <f>IF(J904="m",VLOOKUP(L904,'All Solo Adjustments'!A:D,4,FALSE),VLOOKUP(L904,'All Solo Adjustments'!A:J,10,FALSE))</f>
        <v>1.5046296296296295E-4</v>
      </c>
      <c r="N904" s="63"/>
      <c r="O904" s="63"/>
      <c r="P904" s="63"/>
      <c r="Q904" s="63"/>
      <c r="R904" t="s">
        <v>184</v>
      </c>
      <c r="S904" t="s">
        <v>183</v>
      </c>
      <c r="T904" t="s">
        <v>292</v>
      </c>
      <c r="U904" t="s">
        <v>8087</v>
      </c>
      <c r="V904" t="s">
        <v>2210</v>
      </c>
      <c r="Y904" t="s">
        <v>8086</v>
      </c>
      <c r="Z904" t="str">
        <f>"4407789038771"</f>
        <v>4407789038771</v>
      </c>
      <c r="AA904" t="str">
        <f>""</f>
        <v/>
      </c>
      <c r="AB904" t="s">
        <v>8085</v>
      </c>
      <c r="AC904" t="s">
        <v>8084</v>
      </c>
      <c r="AD904" t="s">
        <v>114</v>
      </c>
      <c r="AE904" s="63">
        <v>45460</v>
      </c>
      <c r="AF904" t="s">
        <v>156</v>
      </c>
      <c r="AG904" t="s">
        <v>112</v>
      </c>
      <c r="AH904" t="s">
        <v>112</v>
      </c>
      <c r="AI904" s="63">
        <v>45460</v>
      </c>
      <c r="AJ904" s="63">
        <v>45657</v>
      </c>
      <c r="AK904" t="s">
        <v>112</v>
      </c>
      <c r="AL904" t="s">
        <v>112</v>
      </c>
      <c r="AM904" t="s">
        <v>111</v>
      </c>
      <c r="AN904">
        <v>19639</v>
      </c>
      <c r="AO904" t="s">
        <v>110</v>
      </c>
      <c r="AP904" t="s">
        <v>109</v>
      </c>
    </row>
    <row r="905" spans="1:42" x14ac:dyDescent="0.25">
      <c r="A905" s="28" t="str">
        <f>"4924"</f>
        <v>4924</v>
      </c>
      <c r="B905">
        <v>4924</v>
      </c>
      <c r="C905" t="s">
        <v>2488</v>
      </c>
      <c r="D905" t="s">
        <v>121</v>
      </c>
      <c r="F905" t="s">
        <v>120</v>
      </c>
      <c r="G905" t="s">
        <v>1808</v>
      </c>
      <c r="H905" t="s">
        <v>8083</v>
      </c>
      <c r="I905" t="s">
        <v>8082</v>
      </c>
      <c r="J905" t="s">
        <v>7</v>
      </c>
      <c r="K905" s="63">
        <v>25253</v>
      </c>
      <c r="L905" s="28">
        <f>DATEDIF(K905,Zwift25!G$1,"Y")</f>
        <v>55</v>
      </c>
      <c r="M905" s="67">
        <f>IF(J905="m",VLOOKUP(L905,'All Solo Adjustments'!A:D,4,FALSE),VLOOKUP(L905,'All Solo Adjustments'!A:J,10,FALSE))</f>
        <v>2.0601851851851853E-3</v>
      </c>
      <c r="N905" s="63"/>
      <c r="O905" s="63"/>
      <c r="P905" s="63"/>
      <c r="Q905" s="63"/>
      <c r="R905" t="s">
        <v>239</v>
      </c>
      <c r="S905" t="s">
        <v>274</v>
      </c>
      <c r="T905" t="s">
        <v>292</v>
      </c>
      <c r="U905" t="s">
        <v>8081</v>
      </c>
      <c r="V905" t="s">
        <v>8080</v>
      </c>
      <c r="Y905" t="s">
        <v>8079</v>
      </c>
      <c r="Z905" t="str">
        <f>"07803 903974"</f>
        <v>07803 903974</v>
      </c>
      <c r="AA905" t="str">
        <f>""</f>
        <v/>
      </c>
      <c r="AB905" t="s">
        <v>859</v>
      </c>
      <c r="AC905" t="s">
        <v>8078</v>
      </c>
      <c r="AD905" t="s">
        <v>114</v>
      </c>
      <c r="AE905" s="63">
        <v>45277</v>
      </c>
      <c r="AF905" t="s">
        <v>156</v>
      </c>
      <c r="AG905" t="s">
        <v>112</v>
      </c>
      <c r="AH905" t="s">
        <v>112</v>
      </c>
      <c r="AI905" s="63">
        <v>41691</v>
      </c>
      <c r="AJ905" s="63">
        <v>45657</v>
      </c>
      <c r="AK905" t="s">
        <v>111</v>
      </c>
      <c r="AL905" t="s">
        <v>111</v>
      </c>
      <c r="AM905" t="s">
        <v>111</v>
      </c>
      <c r="AN905">
        <v>14452</v>
      </c>
      <c r="AO905" t="s">
        <v>110</v>
      </c>
      <c r="AP905" t="s">
        <v>109</v>
      </c>
    </row>
    <row r="906" spans="1:42" x14ac:dyDescent="0.25">
      <c r="A906" s="28" t="str">
        <f>"10239"</f>
        <v>10239</v>
      </c>
      <c r="B906">
        <v>10239</v>
      </c>
      <c r="C906" t="s">
        <v>2488</v>
      </c>
      <c r="D906" t="s">
        <v>130</v>
      </c>
      <c r="F906" t="s">
        <v>139</v>
      </c>
      <c r="G906" t="s">
        <v>1157</v>
      </c>
      <c r="I906" t="s">
        <v>8077</v>
      </c>
      <c r="J906" t="s">
        <v>126</v>
      </c>
      <c r="K906" s="63">
        <v>23501</v>
      </c>
      <c r="L906" s="28">
        <f>DATEDIF(K906,Zwift25!G$1,"Y")</f>
        <v>60</v>
      </c>
      <c r="M906" s="67">
        <f>IF(J906="m",VLOOKUP(L906,'All Solo Adjustments'!A:D,4,FALSE),VLOOKUP(L906,'All Solo Adjustments'!A:J,10,FALSE))</f>
        <v>6.898148148148148E-3</v>
      </c>
      <c r="N906" s="63"/>
      <c r="O906" s="63"/>
      <c r="P906" s="63"/>
      <c r="Q906" s="63"/>
      <c r="R906" t="s">
        <v>143</v>
      </c>
      <c r="S906" t="s">
        <v>168</v>
      </c>
      <c r="T906" t="s">
        <v>292</v>
      </c>
      <c r="U906" t="s">
        <v>8076</v>
      </c>
      <c r="V906" t="s">
        <v>1185</v>
      </c>
      <c r="W906" t="s">
        <v>486</v>
      </c>
      <c r="Y906" t="s">
        <v>8075</v>
      </c>
      <c r="Z906" t="str">
        <f>"01323 485180"</f>
        <v>01323 485180</v>
      </c>
      <c r="AA906" t="str">
        <f>"07949 112107"</f>
        <v>07949 112107</v>
      </c>
      <c r="AB906" t="s">
        <v>1587</v>
      </c>
      <c r="AC906" t="s">
        <v>8074</v>
      </c>
      <c r="AD906" t="s">
        <v>114</v>
      </c>
      <c r="AE906" s="63">
        <v>45295</v>
      </c>
      <c r="AF906" t="s">
        <v>156</v>
      </c>
      <c r="AG906" t="s">
        <v>112</v>
      </c>
      <c r="AH906" t="s">
        <v>112</v>
      </c>
      <c r="AI906" s="63">
        <v>39482</v>
      </c>
      <c r="AJ906" s="63">
        <v>45657</v>
      </c>
      <c r="AK906" t="s">
        <v>111</v>
      </c>
      <c r="AL906" t="s">
        <v>111</v>
      </c>
      <c r="AM906" t="s">
        <v>111</v>
      </c>
      <c r="AN906" t="s">
        <v>105</v>
      </c>
      <c r="AO906" t="s">
        <v>122</v>
      </c>
      <c r="AP906" t="s">
        <v>122</v>
      </c>
    </row>
    <row r="907" spans="1:42" x14ac:dyDescent="0.25">
      <c r="A907" s="28" t="str">
        <f>"3297"</f>
        <v>3297</v>
      </c>
      <c r="B907">
        <v>3297</v>
      </c>
      <c r="C907" t="s">
        <v>2488</v>
      </c>
      <c r="D907" t="s">
        <v>132</v>
      </c>
      <c r="F907" t="s">
        <v>120</v>
      </c>
      <c r="G907" t="s">
        <v>481</v>
      </c>
      <c r="I907" t="s">
        <v>1622</v>
      </c>
      <c r="J907" t="s">
        <v>7</v>
      </c>
      <c r="K907" s="63">
        <v>22248</v>
      </c>
      <c r="L907" s="28">
        <f>DATEDIF(K907,Zwift25!G$1,"Y")</f>
        <v>63</v>
      </c>
      <c r="M907" s="67">
        <f>IF(J907="m",VLOOKUP(L907,'All Solo Adjustments'!A:D,4,FALSE),VLOOKUP(L907,'All Solo Adjustments'!A:J,10,FALSE))</f>
        <v>4.0277777777777777E-3</v>
      </c>
      <c r="N907" s="63"/>
      <c r="O907" s="63"/>
      <c r="P907" s="63"/>
      <c r="Q907" s="63"/>
      <c r="R907" t="s">
        <v>143</v>
      </c>
      <c r="S907" t="s">
        <v>168</v>
      </c>
      <c r="T907" t="s">
        <v>292</v>
      </c>
      <c r="U907" t="s">
        <v>8076</v>
      </c>
      <c r="V907" t="s">
        <v>1185</v>
      </c>
      <c r="W907" t="s">
        <v>486</v>
      </c>
      <c r="Y907" t="s">
        <v>8075</v>
      </c>
      <c r="Z907" t="str">
        <f>"01323 485180"</f>
        <v>01323 485180</v>
      </c>
      <c r="AA907" t="str">
        <f>"07949 112107"</f>
        <v>07949 112107</v>
      </c>
      <c r="AB907" t="s">
        <v>1587</v>
      </c>
      <c r="AC907" t="s">
        <v>8074</v>
      </c>
      <c r="AD907" t="s">
        <v>114</v>
      </c>
      <c r="AE907" s="63">
        <v>45295</v>
      </c>
      <c r="AF907" t="s">
        <v>156</v>
      </c>
      <c r="AG907" t="s">
        <v>112</v>
      </c>
      <c r="AH907" t="s">
        <v>112</v>
      </c>
      <c r="AI907" s="63">
        <v>39482</v>
      </c>
      <c r="AJ907" s="63">
        <v>45657</v>
      </c>
      <c r="AK907" t="s">
        <v>111</v>
      </c>
      <c r="AL907" t="s">
        <v>111</v>
      </c>
      <c r="AM907" t="s">
        <v>111</v>
      </c>
      <c r="AN907">
        <v>753</v>
      </c>
      <c r="AO907" t="s">
        <v>110</v>
      </c>
      <c r="AP907" t="s">
        <v>109</v>
      </c>
    </row>
    <row r="908" spans="1:42" x14ac:dyDescent="0.25">
      <c r="A908" s="28" t="str">
        <f>"1172"</f>
        <v>1172</v>
      </c>
      <c r="B908">
        <v>1172</v>
      </c>
      <c r="C908" t="s">
        <v>2488</v>
      </c>
      <c r="D908" t="s">
        <v>121</v>
      </c>
      <c r="F908" t="s">
        <v>120</v>
      </c>
      <c r="G908" t="s">
        <v>356</v>
      </c>
      <c r="I908" t="s">
        <v>1843</v>
      </c>
      <c r="J908" t="s">
        <v>7</v>
      </c>
      <c r="K908" s="63">
        <v>14544</v>
      </c>
      <c r="L908" s="28">
        <f>DATEDIF(K908,Zwift25!G$1,"Y")</f>
        <v>84</v>
      </c>
      <c r="M908" s="67">
        <f>IF(J908="m",VLOOKUP(L908,'All Solo Adjustments'!A:D,4,FALSE),VLOOKUP(L908,'All Solo Adjustments'!A:J,10,FALSE))</f>
        <v>1.3530092592592592E-2</v>
      </c>
      <c r="N908" s="63"/>
      <c r="O908" s="63"/>
      <c r="P908" s="63"/>
      <c r="Q908" s="63"/>
      <c r="R908" t="s">
        <v>159</v>
      </c>
      <c r="S908" t="s">
        <v>162</v>
      </c>
      <c r="T908" t="s">
        <v>292</v>
      </c>
      <c r="U908" t="s">
        <v>8073</v>
      </c>
      <c r="V908" t="s">
        <v>3990</v>
      </c>
      <c r="W908" t="s">
        <v>159</v>
      </c>
      <c r="Y908" t="s">
        <v>8072</v>
      </c>
      <c r="Z908" t="str">
        <f>"020877 77133"</f>
        <v>020877 77133</v>
      </c>
      <c r="AA908" t="str">
        <f>"07941 275622"</f>
        <v>07941 275622</v>
      </c>
      <c r="AB908" t="s">
        <v>8071</v>
      </c>
      <c r="AC908" t="s">
        <v>8070</v>
      </c>
      <c r="AD908" t="s">
        <v>114</v>
      </c>
      <c r="AE908" s="63">
        <v>45289</v>
      </c>
      <c r="AF908" t="s">
        <v>113</v>
      </c>
      <c r="AG908" t="s">
        <v>112</v>
      </c>
      <c r="AH908" t="s">
        <v>112</v>
      </c>
      <c r="AI908" s="63">
        <v>32509</v>
      </c>
      <c r="AJ908" s="63">
        <v>45657</v>
      </c>
      <c r="AK908" t="s">
        <v>111</v>
      </c>
      <c r="AL908" t="s">
        <v>111</v>
      </c>
      <c r="AM908" t="s">
        <v>111</v>
      </c>
      <c r="AN908">
        <v>6324</v>
      </c>
      <c r="AO908" t="s">
        <v>110</v>
      </c>
      <c r="AP908" t="s">
        <v>109</v>
      </c>
    </row>
    <row r="909" spans="1:42" x14ac:dyDescent="0.25">
      <c r="A909" s="28" t="str">
        <f>"6067"</f>
        <v>6067</v>
      </c>
      <c r="B909">
        <v>6067</v>
      </c>
      <c r="C909" t="s">
        <v>2488</v>
      </c>
      <c r="D909" t="s">
        <v>121</v>
      </c>
      <c r="E909" t="s">
        <v>584</v>
      </c>
      <c r="F909" t="s">
        <v>120</v>
      </c>
      <c r="G909" t="s">
        <v>3715</v>
      </c>
      <c r="H909" t="s">
        <v>2007</v>
      </c>
      <c r="I909" t="s">
        <v>8069</v>
      </c>
      <c r="J909" t="s">
        <v>7</v>
      </c>
      <c r="K909" s="63">
        <v>21863</v>
      </c>
      <c r="L909" s="28">
        <f>DATEDIF(K909,Zwift25!G$1,"Y")</f>
        <v>64</v>
      </c>
      <c r="M909" s="67">
        <f>IF(J909="m",VLOOKUP(L909,'All Solo Adjustments'!A:D,4,FALSE),VLOOKUP(L909,'All Solo Adjustments'!A:J,10,FALSE))</f>
        <v>4.31712962962963E-3</v>
      </c>
      <c r="N909" s="63"/>
      <c r="O909" s="63"/>
      <c r="P909" s="63"/>
      <c r="Q909" s="63"/>
      <c r="R909" t="s">
        <v>180</v>
      </c>
      <c r="S909" t="s">
        <v>179</v>
      </c>
      <c r="T909" t="s">
        <v>292</v>
      </c>
      <c r="U909" t="s">
        <v>8068</v>
      </c>
      <c r="V909" t="s">
        <v>7335</v>
      </c>
      <c r="W909" t="s">
        <v>983</v>
      </c>
      <c r="Y909" t="s">
        <v>8067</v>
      </c>
      <c r="Z909" t="str">
        <f>"0115 9258147"</f>
        <v>0115 9258147</v>
      </c>
      <c r="AA909" t="str">
        <f>"07504036256"</f>
        <v>07504036256</v>
      </c>
      <c r="AB909" t="s">
        <v>176</v>
      </c>
      <c r="AC909" t="s">
        <v>8066</v>
      </c>
      <c r="AD909" t="s">
        <v>114</v>
      </c>
      <c r="AE909" s="63">
        <v>45244</v>
      </c>
      <c r="AF909" t="s">
        <v>156</v>
      </c>
      <c r="AG909" t="s">
        <v>112</v>
      </c>
      <c r="AH909" t="s">
        <v>112</v>
      </c>
      <c r="AI909" s="63">
        <v>42738</v>
      </c>
      <c r="AJ909" s="63">
        <v>45657</v>
      </c>
      <c r="AK909" t="s">
        <v>111</v>
      </c>
      <c r="AL909" t="s">
        <v>111</v>
      </c>
      <c r="AM909" t="s">
        <v>111</v>
      </c>
      <c r="AN909">
        <v>2519</v>
      </c>
      <c r="AO909" t="s">
        <v>110</v>
      </c>
      <c r="AP909" t="s">
        <v>109</v>
      </c>
    </row>
    <row r="910" spans="1:42" x14ac:dyDescent="0.25">
      <c r="A910" s="28" t="str">
        <f>"13976"</f>
        <v>13976</v>
      </c>
      <c r="B910">
        <v>13976</v>
      </c>
      <c r="C910" t="s">
        <v>2488</v>
      </c>
      <c r="D910" t="s">
        <v>130</v>
      </c>
      <c r="F910" t="s">
        <v>120</v>
      </c>
      <c r="G910" t="s">
        <v>300</v>
      </c>
      <c r="I910" t="s">
        <v>8065</v>
      </c>
      <c r="J910" t="s">
        <v>7</v>
      </c>
      <c r="K910" s="63">
        <v>19739</v>
      </c>
      <c r="L910" s="28">
        <f>DATEDIF(K910,Zwift25!G$1,"Y")</f>
        <v>70</v>
      </c>
      <c r="M910" s="67">
        <f>IF(J910="m",VLOOKUP(L910,'All Solo Adjustments'!A:D,4,FALSE),VLOOKUP(L910,'All Solo Adjustments'!A:J,10,FALSE))</f>
        <v>6.3425925925925924E-3</v>
      </c>
      <c r="N910" s="63"/>
      <c r="O910" s="63"/>
      <c r="P910" s="63"/>
      <c r="Q910" s="63"/>
      <c r="R910" t="s">
        <v>296</v>
      </c>
      <c r="S910" t="s">
        <v>701</v>
      </c>
      <c r="T910" t="s">
        <v>292</v>
      </c>
      <c r="U910" t="s">
        <v>700</v>
      </c>
      <c r="V910" t="s">
        <v>699</v>
      </c>
      <c r="W910" t="s">
        <v>698</v>
      </c>
      <c r="Y910" t="s">
        <v>697</v>
      </c>
      <c r="Z910" t="str">
        <f>"01330 822109"</f>
        <v>01330 822109</v>
      </c>
      <c r="AA910" t="str">
        <f>""</f>
        <v/>
      </c>
      <c r="AB910" t="s">
        <v>1199</v>
      </c>
      <c r="AC910" t="s">
        <v>8064</v>
      </c>
      <c r="AD910" t="s">
        <v>114</v>
      </c>
      <c r="AE910" s="63">
        <v>45264</v>
      </c>
      <c r="AF910" t="s">
        <v>156</v>
      </c>
      <c r="AG910" t="s">
        <v>111</v>
      </c>
      <c r="AH910" t="s">
        <v>111</v>
      </c>
      <c r="AI910" s="63">
        <v>43472</v>
      </c>
      <c r="AJ910" s="63">
        <v>45657</v>
      </c>
      <c r="AK910" t="s">
        <v>112</v>
      </c>
      <c r="AL910" t="s">
        <v>112</v>
      </c>
      <c r="AM910" t="s">
        <v>111</v>
      </c>
      <c r="AN910">
        <v>7309</v>
      </c>
      <c r="AO910" t="s">
        <v>110</v>
      </c>
      <c r="AP910" t="s">
        <v>109</v>
      </c>
    </row>
    <row r="911" spans="1:42" x14ac:dyDescent="0.25">
      <c r="A911" s="28" t="str">
        <f>"11172"</f>
        <v>11172</v>
      </c>
      <c r="B911">
        <v>11172</v>
      </c>
      <c r="C911" t="s">
        <v>2488</v>
      </c>
      <c r="D911" t="s">
        <v>132</v>
      </c>
      <c r="F911" t="s">
        <v>139</v>
      </c>
      <c r="G911" t="s">
        <v>8063</v>
      </c>
      <c r="I911" t="s">
        <v>1584</v>
      </c>
      <c r="J911" t="s">
        <v>126</v>
      </c>
      <c r="K911" s="63">
        <v>19886</v>
      </c>
      <c r="L911" s="28">
        <f>DATEDIF(K911,Zwift25!G$1,"Y")</f>
        <v>70</v>
      </c>
      <c r="M911" s="67">
        <f>IF(J911="m",VLOOKUP(L911,'All Solo Adjustments'!A:D,4,FALSE),VLOOKUP(L911,'All Solo Adjustments'!A:J,10,FALSE))</f>
        <v>1.15625E-2</v>
      </c>
      <c r="N911" s="63"/>
      <c r="O911" s="63"/>
      <c r="P911" s="63"/>
      <c r="Q911" s="63"/>
      <c r="R911" t="s">
        <v>296</v>
      </c>
      <c r="S911" t="s">
        <v>701</v>
      </c>
      <c r="T911" t="s">
        <v>292</v>
      </c>
      <c r="U911" t="s">
        <v>700</v>
      </c>
      <c r="V911" t="s">
        <v>699</v>
      </c>
      <c r="W911" t="s">
        <v>698</v>
      </c>
      <c r="Y911" t="s">
        <v>697</v>
      </c>
      <c r="Z911" t="str">
        <f>"01330 822109"</f>
        <v>01330 822109</v>
      </c>
      <c r="AA911" t="str">
        <f>""</f>
        <v/>
      </c>
      <c r="AB911" t="s">
        <v>1199</v>
      </c>
      <c r="AC911" t="s">
        <v>8062</v>
      </c>
      <c r="AD911" t="s">
        <v>114</v>
      </c>
      <c r="AE911" s="63">
        <v>45264</v>
      </c>
      <c r="AF911" t="s">
        <v>156</v>
      </c>
      <c r="AG911" t="s">
        <v>112</v>
      </c>
      <c r="AH911" t="s">
        <v>112</v>
      </c>
      <c r="AI911" s="63">
        <v>34391</v>
      </c>
      <c r="AJ911" s="63">
        <v>45657</v>
      </c>
      <c r="AK911" t="s">
        <v>111</v>
      </c>
      <c r="AL911" t="s">
        <v>111</v>
      </c>
      <c r="AM911" t="s">
        <v>111</v>
      </c>
      <c r="AN911">
        <v>7305</v>
      </c>
      <c r="AO911" t="s">
        <v>122</v>
      </c>
      <c r="AP911" t="s">
        <v>122</v>
      </c>
    </row>
    <row r="912" spans="1:42" x14ac:dyDescent="0.25">
      <c r="A912" s="28" t="str">
        <f>"15437"</f>
        <v>15437</v>
      </c>
      <c r="B912">
        <v>15437</v>
      </c>
      <c r="C912" t="s">
        <v>2488</v>
      </c>
      <c r="D912" t="s">
        <v>121</v>
      </c>
      <c r="F912" t="s">
        <v>120</v>
      </c>
      <c r="G912" t="s">
        <v>2286</v>
      </c>
      <c r="I912" t="s">
        <v>702</v>
      </c>
      <c r="J912" t="s">
        <v>7</v>
      </c>
      <c r="K912" s="63">
        <v>23313</v>
      </c>
      <c r="L912" s="28">
        <f>DATEDIF(K912,Zwift25!G$1,"Y")</f>
        <v>60</v>
      </c>
      <c r="M912" s="67">
        <f>IF(J912="m",VLOOKUP(L912,'All Solo Adjustments'!A:D,4,FALSE),VLOOKUP(L912,'All Solo Adjustments'!A:J,10,FALSE))</f>
        <v>3.2060185185185186E-3</v>
      </c>
      <c r="N912" s="63"/>
      <c r="O912" s="63"/>
      <c r="P912" s="63"/>
      <c r="Q912" s="63"/>
      <c r="R912" t="s">
        <v>180</v>
      </c>
      <c r="S912" t="s">
        <v>179</v>
      </c>
      <c r="T912" t="s">
        <v>292</v>
      </c>
      <c r="U912" t="s">
        <v>8061</v>
      </c>
      <c r="V912" t="s">
        <v>8060</v>
      </c>
      <c r="W912" t="s">
        <v>1219</v>
      </c>
      <c r="X912" t="s">
        <v>1258</v>
      </c>
      <c r="Y912" t="s">
        <v>8059</v>
      </c>
      <c r="Z912" t="str">
        <f>"07912384179"</f>
        <v>07912384179</v>
      </c>
      <c r="AA912" t="str">
        <f>""</f>
        <v/>
      </c>
      <c r="AB912" t="s">
        <v>1665</v>
      </c>
      <c r="AC912" t="s">
        <v>8058</v>
      </c>
      <c r="AD912" t="s">
        <v>114</v>
      </c>
      <c r="AE912" s="63">
        <v>45355</v>
      </c>
      <c r="AF912" t="s">
        <v>156</v>
      </c>
      <c r="AG912" t="s">
        <v>112</v>
      </c>
      <c r="AH912" t="s">
        <v>112</v>
      </c>
      <c r="AI912" s="63">
        <v>44655</v>
      </c>
      <c r="AJ912" s="63">
        <v>45657</v>
      </c>
      <c r="AK912" t="s">
        <v>112</v>
      </c>
      <c r="AL912" t="s">
        <v>111</v>
      </c>
      <c r="AM912" t="s">
        <v>111</v>
      </c>
      <c r="AN912">
        <v>23689</v>
      </c>
      <c r="AO912" t="s">
        <v>110</v>
      </c>
      <c r="AP912" t="s">
        <v>109</v>
      </c>
    </row>
    <row r="913" spans="1:42" x14ac:dyDescent="0.25">
      <c r="A913" s="28" t="str">
        <f>"4403"</f>
        <v>4403</v>
      </c>
      <c r="B913">
        <v>4403</v>
      </c>
      <c r="C913" t="s">
        <v>2488</v>
      </c>
      <c r="D913" t="s">
        <v>121</v>
      </c>
      <c r="E913" t="s">
        <v>584</v>
      </c>
      <c r="F913" t="s">
        <v>120</v>
      </c>
      <c r="G913" t="s">
        <v>433</v>
      </c>
      <c r="H913" t="s">
        <v>8057</v>
      </c>
      <c r="I913" t="s">
        <v>1836</v>
      </c>
      <c r="J913" t="s">
        <v>7</v>
      </c>
      <c r="K913" s="63">
        <v>23349</v>
      </c>
      <c r="L913" s="28">
        <f>DATEDIF(K913,Zwift25!G$1,"Y")</f>
        <v>60</v>
      </c>
      <c r="M913" s="67">
        <f>IF(J913="m",VLOOKUP(L913,'All Solo Adjustments'!A:D,4,FALSE),VLOOKUP(L913,'All Solo Adjustments'!A:J,10,FALSE))</f>
        <v>3.2060185185185186E-3</v>
      </c>
      <c r="N913" s="63"/>
      <c r="O913" s="63"/>
      <c r="P913" s="63"/>
      <c r="Q913" s="63"/>
      <c r="R913" t="s">
        <v>180</v>
      </c>
      <c r="S913" t="s">
        <v>179</v>
      </c>
      <c r="T913" t="s">
        <v>292</v>
      </c>
      <c r="U913" t="s">
        <v>8056</v>
      </c>
      <c r="V913" t="s">
        <v>1883</v>
      </c>
      <c r="W913" t="s">
        <v>116</v>
      </c>
      <c r="Y913" t="s">
        <v>8055</v>
      </c>
      <c r="Z913" t="str">
        <f>"07484 136 736"</f>
        <v>07484 136 736</v>
      </c>
      <c r="AA913" t="str">
        <f>""</f>
        <v/>
      </c>
      <c r="AB913" t="s">
        <v>115</v>
      </c>
      <c r="AC913" t="s">
        <v>8054</v>
      </c>
      <c r="AD913" t="s">
        <v>114</v>
      </c>
      <c r="AE913" s="63">
        <v>45272</v>
      </c>
      <c r="AF913" t="s">
        <v>156</v>
      </c>
      <c r="AG913" t="s">
        <v>112</v>
      </c>
      <c r="AH913" t="s">
        <v>112</v>
      </c>
      <c r="AI913" s="63">
        <v>40944</v>
      </c>
      <c r="AJ913" s="63">
        <v>45657</v>
      </c>
      <c r="AK913" t="s">
        <v>111</v>
      </c>
      <c r="AL913" t="s">
        <v>111</v>
      </c>
      <c r="AM913" t="s">
        <v>111</v>
      </c>
      <c r="AN913">
        <v>3300</v>
      </c>
      <c r="AO913" t="s">
        <v>110</v>
      </c>
      <c r="AP913" t="s">
        <v>109</v>
      </c>
    </row>
    <row r="914" spans="1:42" x14ac:dyDescent="0.25">
      <c r="A914" s="28" t="str">
        <f>"1176"</f>
        <v>1176</v>
      </c>
      <c r="B914">
        <v>1176</v>
      </c>
      <c r="C914" t="s">
        <v>2488</v>
      </c>
      <c r="D914" t="s">
        <v>121</v>
      </c>
      <c r="F914" t="s">
        <v>120</v>
      </c>
      <c r="G914" t="s">
        <v>2436</v>
      </c>
      <c r="I914" t="s">
        <v>1836</v>
      </c>
      <c r="J914" t="s">
        <v>7</v>
      </c>
      <c r="K914" s="63">
        <v>11993</v>
      </c>
      <c r="L914" s="28">
        <f>DATEDIF(K914,Zwift25!G$1,"Y")</f>
        <v>91</v>
      </c>
      <c r="M914" s="67">
        <f>IF(J914="m",VLOOKUP(L914,'All Solo Adjustments'!A:D,4,FALSE),VLOOKUP(L914,'All Solo Adjustments'!A:J,10,FALSE))</f>
        <v>1.9363425925925926E-2</v>
      </c>
      <c r="N914" s="63"/>
      <c r="O914" s="63"/>
      <c r="P914" s="63"/>
      <c r="Q914" s="63"/>
      <c r="R914" t="s">
        <v>137</v>
      </c>
      <c r="S914" t="s">
        <v>2312</v>
      </c>
      <c r="T914" t="s">
        <v>292</v>
      </c>
      <c r="U914" t="s">
        <v>1841</v>
      </c>
      <c r="V914" t="s">
        <v>1840</v>
      </c>
      <c r="W914" t="s">
        <v>603</v>
      </c>
      <c r="Y914" t="s">
        <v>1839</v>
      </c>
      <c r="Z914" t="str">
        <f>"01344  774547"</f>
        <v>01344  774547</v>
      </c>
      <c r="AA914" t="str">
        <f>""</f>
        <v/>
      </c>
      <c r="AB914" t="s">
        <v>2196</v>
      </c>
      <c r="AD914" t="s">
        <v>151</v>
      </c>
      <c r="AF914" t="s">
        <v>113</v>
      </c>
      <c r="AG914" t="s">
        <v>112</v>
      </c>
      <c r="AH914" t="s">
        <v>112</v>
      </c>
      <c r="AI914" s="63">
        <v>29622</v>
      </c>
      <c r="AK914" t="s">
        <v>111</v>
      </c>
      <c r="AL914" t="s">
        <v>111</v>
      </c>
      <c r="AM914" t="s">
        <v>111</v>
      </c>
      <c r="AN914" t="s">
        <v>105</v>
      </c>
      <c r="AO914" t="s">
        <v>110</v>
      </c>
      <c r="AP914" t="s">
        <v>109</v>
      </c>
    </row>
    <row r="915" spans="1:42" x14ac:dyDescent="0.25">
      <c r="A915" s="28" t="str">
        <f>"12646"</f>
        <v>12646</v>
      </c>
      <c r="B915">
        <v>12646</v>
      </c>
      <c r="C915" t="s">
        <v>2488</v>
      </c>
      <c r="D915" t="s">
        <v>121</v>
      </c>
      <c r="F915" t="s">
        <v>120</v>
      </c>
      <c r="G915" t="s">
        <v>400</v>
      </c>
      <c r="H915" t="s">
        <v>481</v>
      </c>
      <c r="I915" t="s">
        <v>1836</v>
      </c>
      <c r="J915" t="s">
        <v>7</v>
      </c>
      <c r="K915" s="63">
        <v>25985</v>
      </c>
      <c r="L915" s="28">
        <f>DATEDIF(K915,Zwift25!G$1,"Y")</f>
        <v>53</v>
      </c>
      <c r="M915" s="67">
        <f>IF(J915="m",VLOOKUP(L915,'All Solo Adjustments'!A:D,4,FALSE),VLOOKUP(L915,'All Solo Adjustments'!A:J,10,FALSE))</f>
        <v>1.6666666666666668E-3</v>
      </c>
      <c r="N915" s="63"/>
      <c r="O915" s="63"/>
      <c r="P915" s="63"/>
      <c r="Q915" s="63"/>
      <c r="R915" t="s">
        <v>180</v>
      </c>
      <c r="S915" t="s">
        <v>179</v>
      </c>
      <c r="T915" t="s">
        <v>292</v>
      </c>
      <c r="U915" t="s">
        <v>8053</v>
      </c>
      <c r="V915" t="s">
        <v>8052</v>
      </c>
      <c r="W915" t="s">
        <v>926</v>
      </c>
      <c r="Y915" t="s">
        <v>8051</v>
      </c>
      <c r="Z915" t="str">
        <f>"07791390829"</f>
        <v>07791390829</v>
      </c>
      <c r="AA915" t="str">
        <f>""</f>
        <v/>
      </c>
      <c r="AB915" t="s">
        <v>8050</v>
      </c>
      <c r="AC915" t="s">
        <v>8049</v>
      </c>
      <c r="AD915" t="s">
        <v>114</v>
      </c>
      <c r="AE915" s="63">
        <v>45262</v>
      </c>
      <c r="AF915" t="s">
        <v>156</v>
      </c>
      <c r="AG915" t="s">
        <v>112</v>
      </c>
      <c r="AH915" t="s">
        <v>112</v>
      </c>
      <c r="AI915" s="63">
        <v>43233</v>
      </c>
      <c r="AJ915" s="63">
        <v>45657</v>
      </c>
      <c r="AK915" t="s">
        <v>112</v>
      </c>
      <c r="AL915" t="s">
        <v>111</v>
      </c>
      <c r="AM915" t="s">
        <v>111</v>
      </c>
      <c r="AN915">
        <v>15815</v>
      </c>
      <c r="AO915" t="s">
        <v>110</v>
      </c>
      <c r="AP915" t="s">
        <v>109</v>
      </c>
    </row>
    <row r="916" spans="1:42" x14ac:dyDescent="0.25">
      <c r="A916" s="28" t="str">
        <f>"15792"</f>
        <v>15792</v>
      </c>
      <c r="B916">
        <v>15792</v>
      </c>
      <c r="C916" t="s">
        <v>2488</v>
      </c>
      <c r="D916" t="s">
        <v>121</v>
      </c>
      <c r="F916" t="s">
        <v>120</v>
      </c>
      <c r="G916" t="s">
        <v>1007</v>
      </c>
      <c r="H916" t="s">
        <v>2213</v>
      </c>
      <c r="I916" t="s">
        <v>8048</v>
      </c>
      <c r="J916" t="s">
        <v>7</v>
      </c>
      <c r="K916" s="63">
        <v>28011</v>
      </c>
      <c r="L916" s="28">
        <f>DATEDIF(K916,Zwift25!G$1,"Y")</f>
        <v>48</v>
      </c>
      <c r="M916" s="67">
        <f>IF(J916="m",VLOOKUP(L916,'All Solo Adjustments'!A:D,4,FALSE),VLOOKUP(L916,'All Solo Adjustments'!A:J,10,FALSE))</f>
        <v>8.3333333333333339E-4</v>
      </c>
      <c r="N916" s="63"/>
      <c r="O916" s="63"/>
      <c r="P916" s="63"/>
      <c r="Q916" s="63"/>
      <c r="R916" t="s">
        <v>184</v>
      </c>
      <c r="S916" t="s">
        <v>183</v>
      </c>
      <c r="T916" t="s">
        <v>292</v>
      </c>
      <c r="U916" t="s">
        <v>8047</v>
      </c>
      <c r="V916" t="s">
        <v>2042</v>
      </c>
      <c r="W916" t="s">
        <v>1418</v>
      </c>
      <c r="Y916" t="s">
        <v>8046</v>
      </c>
      <c r="Z916" t="str">
        <f>"07870975545"</f>
        <v>07870975545</v>
      </c>
      <c r="AA916" t="str">
        <f>""</f>
        <v/>
      </c>
      <c r="AB916" t="s">
        <v>1417</v>
      </c>
      <c r="AC916" t="s">
        <v>8045</v>
      </c>
      <c r="AD916" t="s">
        <v>114</v>
      </c>
      <c r="AE916" s="63">
        <v>45362</v>
      </c>
      <c r="AF916" t="s">
        <v>156</v>
      </c>
      <c r="AG916" t="s">
        <v>112</v>
      </c>
      <c r="AH916" t="s">
        <v>112</v>
      </c>
      <c r="AI916" s="63">
        <v>45035</v>
      </c>
      <c r="AJ916" s="63">
        <v>45657</v>
      </c>
      <c r="AK916" t="s">
        <v>112</v>
      </c>
      <c r="AL916" t="s">
        <v>111</v>
      </c>
      <c r="AM916" t="s">
        <v>111</v>
      </c>
      <c r="AN916">
        <v>17960</v>
      </c>
      <c r="AO916" t="s">
        <v>110</v>
      </c>
      <c r="AP916" t="s">
        <v>109</v>
      </c>
    </row>
    <row r="917" spans="1:42" x14ac:dyDescent="0.25">
      <c r="A917" s="28" t="str">
        <f>"5580"</f>
        <v>5580</v>
      </c>
      <c r="B917">
        <v>5580</v>
      </c>
      <c r="C917" t="s">
        <v>2488</v>
      </c>
      <c r="D917" t="s">
        <v>121</v>
      </c>
      <c r="F917" t="s">
        <v>120</v>
      </c>
      <c r="G917" t="s">
        <v>8044</v>
      </c>
      <c r="H917" t="s">
        <v>604</v>
      </c>
      <c r="I917" t="s">
        <v>8043</v>
      </c>
      <c r="J917" t="s">
        <v>7</v>
      </c>
      <c r="K917" s="63">
        <v>21695</v>
      </c>
      <c r="L917" s="28">
        <f>DATEDIF(K917,Zwift25!G$1,"Y")</f>
        <v>65</v>
      </c>
      <c r="M917" s="67">
        <f>IF(J917="m",VLOOKUP(L917,'All Solo Adjustments'!A:D,4,FALSE),VLOOKUP(L917,'All Solo Adjustments'!A:J,10,FALSE))</f>
        <v>4.6180555555555558E-3</v>
      </c>
      <c r="N917" s="63"/>
      <c r="O917" s="63"/>
      <c r="P917" s="63"/>
      <c r="Q917" s="63"/>
      <c r="R917" t="s">
        <v>125</v>
      </c>
      <c r="S917" t="s">
        <v>170</v>
      </c>
      <c r="T917" t="s">
        <v>292</v>
      </c>
      <c r="U917" t="s">
        <v>8042</v>
      </c>
      <c r="V917" t="s">
        <v>8041</v>
      </c>
      <c r="W917" t="s">
        <v>1414</v>
      </c>
      <c r="X917" t="s">
        <v>123</v>
      </c>
      <c r="Y917" t="s">
        <v>8040</v>
      </c>
      <c r="Z917" t="str">
        <f>"07504 804744"</f>
        <v>07504 804744</v>
      </c>
      <c r="AA917" t="str">
        <f>""</f>
        <v/>
      </c>
      <c r="AB917" t="s">
        <v>877</v>
      </c>
      <c r="AC917" t="s">
        <v>8039</v>
      </c>
      <c r="AD917" t="s">
        <v>114</v>
      </c>
      <c r="AE917" s="63">
        <v>45264</v>
      </c>
      <c r="AF917" t="s">
        <v>156</v>
      </c>
      <c r="AG917" t="s">
        <v>112</v>
      </c>
      <c r="AH917" t="s">
        <v>112</v>
      </c>
      <c r="AI917" s="63">
        <v>42200</v>
      </c>
      <c r="AJ917" s="63">
        <v>45657</v>
      </c>
      <c r="AK917" t="s">
        <v>111</v>
      </c>
      <c r="AL917" t="s">
        <v>111</v>
      </c>
      <c r="AM917" t="s">
        <v>111</v>
      </c>
      <c r="AN917">
        <v>1230</v>
      </c>
      <c r="AO917" t="s">
        <v>110</v>
      </c>
      <c r="AP917" t="s">
        <v>109</v>
      </c>
    </row>
    <row r="918" spans="1:42" x14ac:dyDescent="0.25">
      <c r="A918" s="28" t="str">
        <f>"4603"</f>
        <v>4603</v>
      </c>
      <c r="B918">
        <v>4603</v>
      </c>
      <c r="C918" t="s">
        <v>2488</v>
      </c>
      <c r="D918" t="s">
        <v>121</v>
      </c>
      <c r="F918" t="s">
        <v>120</v>
      </c>
      <c r="G918" t="s">
        <v>442</v>
      </c>
      <c r="H918" t="s">
        <v>164</v>
      </c>
      <c r="I918" t="s">
        <v>1834</v>
      </c>
      <c r="J918" t="s">
        <v>7</v>
      </c>
      <c r="K918" s="63">
        <v>19600</v>
      </c>
      <c r="L918" s="28">
        <f>DATEDIF(K918,Zwift25!G$1,"Y")</f>
        <v>71</v>
      </c>
      <c r="M918" s="67">
        <f>IF(J918="m",VLOOKUP(L918,'All Solo Adjustments'!A:D,4,FALSE),VLOOKUP(L918,'All Solo Adjustments'!A:J,10,FALSE))</f>
        <v>6.7245370370370375E-3</v>
      </c>
      <c r="N918" s="63"/>
      <c r="O918" s="63"/>
      <c r="P918" s="63"/>
      <c r="Q918" s="63"/>
      <c r="R918" t="s">
        <v>125</v>
      </c>
      <c r="S918" t="s">
        <v>170</v>
      </c>
      <c r="T918" t="s">
        <v>292</v>
      </c>
      <c r="U918" t="s">
        <v>8038</v>
      </c>
      <c r="V918" t="s">
        <v>303</v>
      </c>
      <c r="W918" t="s">
        <v>303</v>
      </c>
      <c r="X918" t="s">
        <v>193</v>
      </c>
      <c r="Y918" t="s">
        <v>8037</v>
      </c>
      <c r="Z918" t="str">
        <f>"07887694821"</f>
        <v>07887694821</v>
      </c>
      <c r="AA918" t="str">
        <f>"07887694821"</f>
        <v>07887694821</v>
      </c>
      <c r="AB918" t="s">
        <v>826</v>
      </c>
      <c r="AC918" t="s">
        <v>8036</v>
      </c>
      <c r="AD918" t="s">
        <v>114</v>
      </c>
      <c r="AE918" s="63">
        <v>45330</v>
      </c>
      <c r="AF918" t="s">
        <v>156</v>
      </c>
      <c r="AG918" t="s">
        <v>112</v>
      </c>
      <c r="AH918" t="s">
        <v>112</v>
      </c>
      <c r="AI918" s="63">
        <v>41115</v>
      </c>
      <c r="AJ918" s="63">
        <v>45657</v>
      </c>
      <c r="AK918" t="s">
        <v>111</v>
      </c>
      <c r="AL918" t="s">
        <v>111</v>
      </c>
      <c r="AM918" t="s">
        <v>111</v>
      </c>
      <c r="AN918" t="s">
        <v>105</v>
      </c>
      <c r="AO918" t="s">
        <v>110</v>
      </c>
      <c r="AP918" t="s">
        <v>109</v>
      </c>
    </row>
    <row r="919" spans="1:42" x14ac:dyDescent="0.25">
      <c r="A919" s="28" t="str">
        <f>"13487"</f>
        <v>13487</v>
      </c>
      <c r="B919">
        <v>13487</v>
      </c>
      <c r="C919" t="s">
        <v>2488</v>
      </c>
      <c r="D919" t="s">
        <v>130</v>
      </c>
      <c r="F919" t="s">
        <v>120</v>
      </c>
      <c r="G919" t="s">
        <v>6997</v>
      </c>
      <c r="I919" t="s">
        <v>1834</v>
      </c>
      <c r="J919" t="s">
        <v>126</v>
      </c>
      <c r="K919" s="63">
        <v>14625</v>
      </c>
      <c r="L919" s="28">
        <f>DATEDIF(K919,Zwift25!G$1,"Y")</f>
        <v>84</v>
      </c>
      <c r="M919" s="67">
        <f>IF(J919="m",VLOOKUP(L919,'All Solo Adjustments'!A:D,4,FALSE),VLOOKUP(L919,'All Solo Adjustments'!A:J,10,FALSE))</f>
        <v>1.966435185185185E-2</v>
      </c>
      <c r="N919" s="63"/>
      <c r="O919" s="63"/>
      <c r="P919" s="63"/>
      <c r="Q919" s="63"/>
      <c r="R919" t="s">
        <v>198</v>
      </c>
      <c r="S919" t="s">
        <v>461</v>
      </c>
      <c r="T919" t="s">
        <v>292</v>
      </c>
      <c r="U919" t="s">
        <v>8035</v>
      </c>
      <c r="V919" t="s">
        <v>2096</v>
      </c>
      <c r="W919" t="s">
        <v>532</v>
      </c>
      <c r="X919" t="s">
        <v>892</v>
      </c>
      <c r="Y919" t="s">
        <v>8034</v>
      </c>
      <c r="Z919" t="str">
        <f>"07712892575"</f>
        <v>07712892575</v>
      </c>
      <c r="AA919" t="str">
        <f>"01782517352"</f>
        <v>01782517352</v>
      </c>
      <c r="AB919" t="s">
        <v>1177</v>
      </c>
      <c r="AC919" t="s">
        <v>8033</v>
      </c>
      <c r="AD919" t="s">
        <v>145</v>
      </c>
      <c r="AE919" s="63">
        <v>45300</v>
      </c>
      <c r="AF919" t="s">
        <v>113</v>
      </c>
      <c r="AG919" t="s">
        <v>111</v>
      </c>
      <c r="AH919" t="s">
        <v>111</v>
      </c>
      <c r="AI919" s="63">
        <v>43421</v>
      </c>
      <c r="AJ919" s="63">
        <v>45657</v>
      </c>
      <c r="AK919" t="s">
        <v>111</v>
      </c>
      <c r="AL919" t="s">
        <v>111</v>
      </c>
      <c r="AM919" t="s">
        <v>111</v>
      </c>
      <c r="AN919" t="s">
        <v>105</v>
      </c>
      <c r="AO919" t="s">
        <v>122</v>
      </c>
      <c r="AP919" t="s">
        <v>122</v>
      </c>
    </row>
    <row r="920" spans="1:42" x14ac:dyDescent="0.25">
      <c r="A920" s="28" t="str">
        <f>"1182"</f>
        <v>1182</v>
      </c>
      <c r="B920">
        <v>1182</v>
      </c>
      <c r="C920" t="s">
        <v>2488</v>
      </c>
      <c r="D920" t="s">
        <v>121</v>
      </c>
      <c r="F920" t="s">
        <v>120</v>
      </c>
      <c r="G920" t="s">
        <v>738</v>
      </c>
      <c r="I920" t="s">
        <v>1832</v>
      </c>
      <c r="J920" t="s">
        <v>7</v>
      </c>
      <c r="K920" s="63">
        <v>18734</v>
      </c>
      <c r="L920" s="28">
        <f>DATEDIF(K920,Zwift25!G$1,"Y")</f>
        <v>73</v>
      </c>
      <c r="M920" s="67">
        <f>IF(J920="m",VLOOKUP(L920,'All Solo Adjustments'!A:D,4,FALSE),VLOOKUP(L920,'All Solo Adjustments'!A:J,10,FALSE))</f>
        <v>7.5462962962962966E-3</v>
      </c>
      <c r="N920" s="63"/>
      <c r="O920" s="63"/>
      <c r="P920" s="63"/>
      <c r="Q920" s="63"/>
      <c r="R920" t="s">
        <v>239</v>
      </c>
      <c r="S920" t="s">
        <v>274</v>
      </c>
      <c r="T920" t="s">
        <v>292</v>
      </c>
      <c r="U920" t="s">
        <v>8032</v>
      </c>
      <c r="V920" t="s">
        <v>627</v>
      </c>
      <c r="Y920" t="s">
        <v>8031</v>
      </c>
      <c r="Z920" t="str">
        <f>"0113 263 2383"</f>
        <v>0113 263 2383</v>
      </c>
      <c r="AA920" t="str">
        <f>"07887 622370"</f>
        <v>07887 622370</v>
      </c>
      <c r="AB920" t="s">
        <v>868</v>
      </c>
      <c r="AC920" t="s">
        <v>8030</v>
      </c>
      <c r="AD920" t="s">
        <v>114</v>
      </c>
      <c r="AE920" s="63">
        <v>45321</v>
      </c>
      <c r="AF920" t="s">
        <v>113</v>
      </c>
      <c r="AG920" t="s">
        <v>112</v>
      </c>
      <c r="AH920" t="s">
        <v>112</v>
      </c>
      <c r="AI920" s="63">
        <v>33354</v>
      </c>
      <c r="AJ920" s="63">
        <v>45657</v>
      </c>
      <c r="AK920" t="s">
        <v>111</v>
      </c>
      <c r="AL920" t="s">
        <v>111</v>
      </c>
      <c r="AM920" t="s">
        <v>111</v>
      </c>
      <c r="AN920">
        <v>129</v>
      </c>
      <c r="AO920" t="s">
        <v>110</v>
      </c>
      <c r="AP920" t="s">
        <v>109</v>
      </c>
    </row>
    <row r="921" spans="1:42" x14ac:dyDescent="0.25">
      <c r="A921" s="28" t="str">
        <f>"6261"</f>
        <v>6261</v>
      </c>
      <c r="B921">
        <v>6261</v>
      </c>
      <c r="C921" t="s">
        <v>2488</v>
      </c>
      <c r="D921" t="s">
        <v>121</v>
      </c>
      <c r="F921" t="s">
        <v>120</v>
      </c>
      <c r="G921" t="s">
        <v>8029</v>
      </c>
      <c r="I921" t="s">
        <v>8028</v>
      </c>
      <c r="J921" t="s">
        <v>7</v>
      </c>
      <c r="K921" s="63">
        <v>27903</v>
      </c>
      <c r="L921" s="28">
        <f>DATEDIF(K921,Zwift25!G$1,"Y")</f>
        <v>48</v>
      </c>
      <c r="M921" s="67">
        <f>IF(J921="m",VLOOKUP(L921,'All Solo Adjustments'!A:D,4,FALSE),VLOOKUP(L921,'All Solo Adjustments'!A:J,10,FALSE))</f>
        <v>8.3333333333333339E-4</v>
      </c>
      <c r="N921" s="63"/>
      <c r="O921" s="63"/>
      <c r="P921" s="63"/>
      <c r="Q921" s="63"/>
      <c r="R921" t="s">
        <v>184</v>
      </c>
      <c r="S921" t="s">
        <v>183</v>
      </c>
      <c r="T921" t="s">
        <v>292</v>
      </c>
      <c r="U921" t="s">
        <v>8027</v>
      </c>
      <c r="V921" t="s">
        <v>1481</v>
      </c>
      <c r="Y921" t="s">
        <v>8026</v>
      </c>
      <c r="Z921" t="str">
        <f>"07968 929953"</f>
        <v>07968 929953</v>
      </c>
      <c r="AA921" t="str">
        <f>""</f>
        <v/>
      </c>
      <c r="AB921" t="s">
        <v>232</v>
      </c>
      <c r="AC921" t="s">
        <v>8025</v>
      </c>
      <c r="AD921" t="s">
        <v>114</v>
      </c>
      <c r="AE921" s="63">
        <v>45307</v>
      </c>
      <c r="AF921" t="s">
        <v>156</v>
      </c>
      <c r="AG921" t="s">
        <v>112</v>
      </c>
      <c r="AH921" t="s">
        <v>112</v>
      </c>
      <c r="AI921" s="63">
        <v>42884</v>
      </c>
      <c r="AJ921" s="63">
        <v>45657</v>
      </c>
      <c r="AK921" t="s">
        <v>111</v>
      </c>
      <c r="AL921" t="s">
        <v>111</v>
      </c>
      <c r="AM921" t="s">
        <v>111</v>
      </c>
      <c r="AN921">
        <v>2996</v>
      </c>
      <c r="AO921" t="s">
        <v>110</v>
      </c>
      <c r="AP921" t="s">
        <v>109</v>
      </c>
    </row>
    <row r="922" spans="1:42" x14ac:dyDescent="0.25">
      <c r="A922" s="28" t="str">
        <f>"1183"</f>
        <v>1183</v>
      </c>
      <c r="B922">
        <v>1183</v>
      </c>
      <c r="C922" t="s">
        <v>2488</v>
      </c>
      <c r="D922" t="s">
        <v>121</v>
      </c>
      <c r="E922" t="s">
        <v>2387</v>
      </c>
      <c r="F922" t="s">
        <v>120</v>
      </c>
      <c r="G922" t="s">
        <v>442</v>
      </c>
      <c r="H922" t="s">
        <v>4</v>
      </c>
      <c r="I922" t="s">
        <v>1831</v>
      </c>
      <c r="J922" t="s">
        <v>7</v>
      </c>
      <c r="K922" s="63">
        <v>17997</v>
      </c>
      <c r="L922" s="28">
        <f>DATEDIF(K922,Zwift25!G$1,"Y")</f>
        <v>75</v>
      </c>
      <c r="M922" s="67">
        <f>IF(J922="m",VLOOKUP(L922,'All Solo Adjustments'!A:D,4,FALSE),VLOOKUP(L922,'All Solo Adjustments'!A:J,10,FALSE))</f>
        <v>8.4374999999999988E-3</v>
      </c>
      <c r="N922" s="63"/>
      <c r="O922" s="63"/>
      <c r="P922" s="63"/>
      <c r="Q922" s="63"/>
      <c r="R922" t="s">
        <v>143</v>
      </c>
      <c r="S922" t="s">
        <v>2396</v>
      </c>
      <c r="T922" t="s">
        <v>292</v>
      </c>
      <c r="U922" t="s">
        <v>8024</v>
      </c>
      <c r="V922" t="s">
        <v>1575</v>
      </c>
      <c r="W922" t="s">
        <v>141</v>
      </c>
      <c r="Y922" t="s">
        <v>8023</v>
      </c>
      <c r="Z922" t="str">
        <f>"02086 446869"</f>
        <v>02086 446869</v>
      </c>
      <c r="AA922" t="str">
        <f>""</f>
        <v/>
      </c>
      <c r="AB922" t="s">
        <v>1798</v>
      </c>
      <c r="AD922" t="s">
        <v>151</v>
      </c>
      <c r="AE922" s="63">
        <v>43044</v>
      </c>
      <c r="AF922" t="s">
        <v>113</v>
      </c>
      <c r="AG922" t="s">
        <v>112</v>
      </c>
      <c r="AH922" t="s">
        <v>112</v>
      </c>
      <c r="AI922" s="63">
        <v>32509</v>
      </c>
      <c r="AK922" t="s">
        <v>111</v>
      </c>
      <c r="AL922" t="s">
        <v>111</v>
      </c>
      <c r="AM922" t="s">
        <v>111</v>
      </c>
      <c r="AN922" t="s">
        <v>105</v>
      </c>
      <c r="AO922" t="s">
        <v>110</v>
      </c>
      <c r="AP922" t="s">
        <v>109</v>
      </c>
    </row>
    <row r="923" spans="1:42" x14ac:dyDescent="0.25">
      <c r="A923" s="28" t="str">
        <f>"13987"</f>
        <v>13987</v>
      </c>
      <c r="B923">
        <v>13987</v>
      </c>
      <c r="C923" t="s">
        <v>2488</v>
      </c>
      <c r="D923" t="s">
        <v>121</v>
      </c>
      <c r="F923" t="s">
        <v>120</v>
      </c>
      <c r="G923" t="s">
        <v>220</v>
      </c>
      <c r="I923" t="s">
        <v>1831</v>
      </c>
      <c r="J923" t="s">
        <v>7</v>
      </c>
      <c r="K923" s="63">
        <v>25539</v>
      </c>
      <c r="L923" s="28">
        <f>DATEDIF(K923,Zwift25!G$1,"Y")</f>
        <v>54</v>
      </c>
      <c r="M923" s="67">
        <f>IF(J923="m",VLOOKUP(L923,'All Solo Adjustments'!A:D,4,FALSE),VLOOKUP(L923,'All Solo Adjustments'!A:J,10,FALSE))</f>
        <v>1.8518518518518517E-3</v>
      </c>
      <c r="N923" s="63"/>
      <c r="O923" s="63"/>
      <c r="P923" s="63"/>
      <c r="Q923" s="63"/>
      <c r="R923" t="s">
        <v>125</v>
      </c>
      <c r="S923" t="s">
        <v>170</v>
      </c>
      <c r="T923" t="s">
        <v>292</v>
      </c>
      <c r="U923" t="s">
        <v>8022</v>
      </c>
      <c r="V923" t="s">
        <v>8021</v>
      </c>
      <c r="W923" t="s">
        <v>8020</v>
      </c>
      <c r="X923" t="s">
        <v>141</v>
      </c>
      <c r="Y923" t="s">
        <v>8019</v>
      </c>
      <c r="Z923" t="str">
        <f>"07545992812"</f>
        <v>07545992812</v>
      </c>
      <c r="AA923" t="str">
        <f>""</f>
        <v/>
      </c>
      <c r="AB923" t="s">
        <v>8018</v>
      </c>
      <c r="AC923" t="s">
        <v>8017</v>
      </c>
      <c r="AD923" t="s">
        <v>114</v>
      </c>
      <c r="AE923" s="63">
        <v>45317</v>
      </c>
      <c r="AF923" t="s">
        <v>156</v>
      </c>
      <c r="AG923" t="s">
        <v>112</v>
      </c>
      <c r="AH923" t="s">
        <v>112</v>
      </c>
      <c r="AI923" s="63">
        <v>43476</v>
      </c>
      <c r="AJ923" s="63">
        <v>45657</v>
      </c>
      <c r="AK923" t="s">
        <v>112</v>
      </c>
      <c r="AL923" t="s">
        <v>111</v>
      </c>
      <c r="AM923" t="s">
        <v>111</v>
      </c>
      <c r="AN923">
        <v>25932</v>
      </c>
      <c r="AO923" t="s">
        <v>110</v>
      </c>
      <c r="AP923" t="s">
        <v>109</v>
      </c>
    </row>
    <row r="924" spans="1:42" x14ac:dyDescent="0.25">
      <c r="A924" s="28" t="str">
        <f>"15432"</f>
        <v>15432</v>
      </c>
      <c r="B924">
        <v>15432</v>
      </c>
      <c r="C924" t="s">
        <v>2488</v>
      </c>
      <c r="D924" t="s">
        <v>121</v>
      </c>
      <c r="E924" t="s">
        <v>584</v>
      </c>
      <c r="F924" t="s">
        <v>120</v>
      </c>
      <c r="G924" t="s">
        <v>485</v>
      </c>
      <c r="I924" t="s">
        <v>694</v>
      </c>
      <c r="J924" t="s">
        <v>7</v>
      </c>
      <c r="K924" s="63">
        <v>27488</v>
      </c>
      <c r="L924" s="28">
        <f>DATEDIF(K924,Zwift25!G$1,"Y")</f>
        <v>49</v>
      </c>
      <c r="M924" s="67">
        <f>IF(J924="m",VLOOKUP(L924,'All Solo Adjustments'!A:D,4,FALSE),VLOOKUP(L924,'All Solo Adjustments'!A:J,10,FALSE))</f>
        <v>9.837962962962962E-4</v>
      </c>
      <c r="N924" s="63"/>
      <c r="O924" s="63"/>
      <c r="P924" s="63"/>
      <c r="Q924" s="63"/>
      <c r="R924" t="s">
        <v>198</v>
      </c>
      <c r="S924" t="s">
        <v>461</v>
      </c>
      <c r="T924" t="s">
        <v>292</v>
      </c>
      <c r="U924" t="s">
        <v>8016</v>
      </c>
      <c r="V924" t="s">
        <v>8015</v>
      </c>
      <c r="X924" t="s">
        <v>196</v>
      </c>
      <c r="Y924" t="s">
        <v>8014</v>
      </c>
      <c r="Z924" t="str">
        <f>"07984005660"</f>
        <v>07984005660</v>
      </c>
      <c r="AA924" t="str">
        <f>""</f>
        <v/>
      </c>
      <c r="AB924" t="s">
        <v>3337</v>
      </c>
      <c r="AC924" t="s">
        <v>8013</v>
      </c>
      <c r="AD924" t="s">
        <v>114</v>
      </c>
      <c r="AE924" s="63">
        <v>45294</v>
      </c>
      <c r="AF924" t="s">
        <v>156</v>
      </c>
      <c r="AG924" t="s">
        <v>112</v>
      </c>
      <c r="AH924" t="s">
        <v>112</v>
      </c>
      <c r="AI924" s="63">
        <v>44654</v>
      </c>
      <c r="AJ924" s="63">
        <v>45657</v>
      </c>
      <c r="AK924" t="s">
        <v>112</v>
      </c>
      <c r="AL924" t="s">
        <v>111</v>
      </c>
      <c r="AM924" t="s">
        <v>111</v>
      </c>
      <c r="AN924">
        <v>40232</v>
      </c>
      <c r="AO924" t="s">
        <v>110</v>
      </c>
      <c r="AP924" t="s">
        <v>109</v>
      </c>
    </row>
    <row r="925" spans="1:42" x14ac:dyDescent="0.25">
      <c r="A925" s="28" t="str">
        <f>"1188"</f>
        <v>1188</v>
      </c>
      <c r="B925">
        <v>1188</v>
      </c>
      <c r="C925" t="s">
        <v>2488</v>
      </c>
      <c r="D925" t="s">
        <v>132</v>
      </c>
      <c r="F925" t="s">
        <v>120</v>
      </c>
      <c r="G925" t="s">
        <v>230</v>
      </c>
      <c r="H925" t="s">
        <v>492</v>
      </c>
      <c r="I925" t="s">
        <v>1829</v>
      </c>
      <c r="J925" t="s">
        <v>7</v>
      </c>
      <c r="K925" s="63">
        <v>19521</v>
      </c>
      <c r="L925" s="28">
        <f>DATEDIF(K925,Zwift25!G$1,"Y")</f>
        <v>71</v>
      </c>
      <c r="M925" s="67">
        <f>IF(J925="m",VLOOKUP(L925,'All Solo Adjustments'!A:D,4,FALSE),VLOOKUP(L925,'All Solo Adjustments'!A:J,10,FALSE))</f>
        <v>6.7245370370370375E-3</v>
      </c>
      <c r="N925" s="63"/>
      <c r="O925" s="63"/>
      <c r="P925" s="63"/>
      <c r="Q925" s="63"/>
      <c r="R925" t="s">
        <v>154</v>
      </c>
      <c r="S925" t="s">
        <v>412</v>
      </c>
      <c r="T925" t="s">
        <v>292</v>
      </c>
      <c r="U925" t="s">
        <v>8010</v>
      </c>
      <c r="V925" t="s">
        <v>8009</v>
      </c>
      <c r="W925" t="s">
        <v>8008</v>
      </c>
      <c r="X925" t="s">
        <v>669</v>
      </c>
      <c r="Y925" t="s">
        <v>8007</v>
      </c>
      <c r="Z925" t="str">
        <f>"+441179681105"</f>
        <v>+441179681105</v>
      </c>
      <c r="AA925" t="str">
        <f>""</f>
        <v/>
      </c>
      <c r="AB925" t="s">
        <v>668</v>
      </c>
      <c r="AC925" t="s">
        <v>8012</v>
      </c>
      <c r="AD925" t="s">
        <v>114</v>
      </c>
      <c r="AE925" s="63">
        <v>45223</v>
      </c>
      <c r="AF925" t="s">
        <v>113</v>
      </c>
      <c r="AG925" t="s">
        <v>112</v>
      </c>
      <c r="AH925" t="s">
        <v>112</v>
      </c>
      <c r="AI925" s="63">
        <v>35674</v>
      </c>
      <c r="AJ925" s="63">
        <v>45657</v>
      </c>
      <c r="AK925" t="s">
        <v>111</v>
      </c>
      <c r="AL925" t="s">
        <v>111</v>
      </c>
      <c r="AM925" t="s">
        <v>112</v>
      </c>
      <c r="AN925">
        <v>1806</v>
      </c>
      <c r="AO925" t="s">
        <v>110</v>
      </c>
      <c r="AP925" t="s">
        <v>109</v>
      </c>
    </row>
    <row r="926" spans="1:42" x14ac:dyDescent="0.25">
      <c r="A926" s="28" t="str">
        <f>"10958"</f>
        <v>10958</v>
      </c>
      <c r="B926">
        <v>10958</v>
      </c>
      <c r="C926" t="s">
        <v>2488</v>
      </c>
      <c r="D926" t="s">
        <v>130</v>
      </c>
      <c r="E926" t="s">
        <v>584</v>
      </c>
      <c r="F926" t="s">
        <v>149</v>
      </c>
      <c r="G926" t="s">
        <v>8011</v>
      </c>
      <c r="I926" t="s">
        <v>1829</v>
      </c>
      <c r="J926" t="s">
        <v>126</v>
      </c>
      <c r="K926" s="63">
        <v>20981</v>
      </c>
      <c r="L926" s="28">
        <f>DATEDIF(K926,Zwift25!G$1,"Y")</f>
        <v>67</v>
      </c>
      <c r="M926" s="67">
        <f>IF(J926="m",VLOOKUP(L926,'All Solo Adjustments'!A:D,4,FALSE),VLOOKUP(L926,'All Solo Adjustments'!A:J,10,FALSE))</f>
        <v>1.0081018518518519E-2</v>
      </c>
      <c r="N926" s="63"/>
      <c r="O926" s="63"/>
      <c r="P926" s="63"/>
      <c r="Q926" s="63"/>
      <c r="R926" t="s">
        <v>154</v>
      </c>
      <c r="S926" t="s">
        <v>412</v>
      </c>
      <c r="T926" t="s">
        <v>292</v>
      </c>
      <c r="U926" t="s">
        <v>8010</v>
      </c>
      <c r="V926" t="s">
        <v>8009</v>
      </c>
      <c r="W926" t="s">
        <v>8008</v>
      </c>
      <c r="X926" t="s">
        <v>669</v>
      </c>
      <c r="Y926" t="s">
        <v>8007</v>
      </c>
      <c r="Z926" t="str">
        <f>"+441179681105"</f>
        <v>+441179681105</v>
      </c>
      <c r="AA926" t="str">
        <f>""</f>
        <v/>
      </c>
      <c r="AB926" t="s">
        <v>668</v>
      </c>
      <c r="AC926" t="s">
        <v>8006</v>
      </c>
      <c r="AD926" t="s">
        <v>114</v>
      </c>
      <c r="AE926" s="63">
        <v>45223</v>
      </c>
      <c r="AF926" t="s">
        <v>113</v>
      </c>
      <c r="AG926" t="s">
        <v>111</v>
      </c>
      <c r="AH926" t="s">
        <v>111</v>
      </c>
      <c r="AI926" s="63">
        <v>35674</v>
      </c>
      <c r="AJ926" s="63">
        <v>45657</v>
      </c>
      <c r="AK926" t="s">
        <v>111</v>
      </c>
      <c r="AL926" t="s">
        <v>111</v>
      </c>
      <c r="AM926" t="s">
        <v>112</v>
      </c>
      <c r="AN926">
        <v>4057</v>
      </c>
      <c r="AO926" t="s">
        <v>122</v>
      </c>
      <c r="AP926" t="s">
        <v>122</v>
      </c>
    </row>
    <row r="927" spans="1:42" x14ac:dyDescent="0.25">
      <c r="A927" s="28" t="str">
        <f>"1186"</f>
        <v>1186</v>
      </c>
      <c r="B927">
        <v>1186</v>
      </c>
      <c r="C927" t="s">
        <v>2488</v>
      </c>
      <c r="D927" t="s">
        <v>121</v>
      </c>
      <c r="F927" t="s">
        <v>120</v>
      </c>
      <c r="G927" t="s">
        <v>632</v>
      </c>
      <c r="I927" t="s">
        <v>1829</v>
      </c>
      <c r="J927" t="s">
        <v>7</v>
      </c>
      <c r="K927" s="63">
        <v>11837</v>
      </c>
      <c r="L927" s="28">
        <f>DATEDIF(K927,Zwift25!G$1,"Y")</f>
        <v>92</v>
      </c>
      <c r="M927" s="67">
        <f>IF(J927="m",VLOOKUP(L927,'All Solo Adjustments'!A:D,4,FALSE),VLOOKUP(L927,'All Solo Adjustments'!A:J,10,FALSE))</f>
        <v>2.0405092592592593E-2</v>
      </c>
      <c r="N927" s="63"/>
      <c r="O927" s="63"/>
      <c r="P927" s="63"/>
      <c r="Q927" s="63"/>
      <c r="R927" t="s">
        <v>239</v>
      </c>
      <c r="S927" t="s">
        <v>437</v>
      </c>
      <c r="T927" t="s">
        <v>292</v>
      </c>
      <c r="U927" t="s">
        <v>8005</v>
      </c>
      <c r="V927" t="s">
        <v>8004</v>
      </c>
      <c r="W927" t="s">
        <v>975</v>
      </c>
      <c r="Y927" t="s">
        <v>8003</v>
      </c>
      <c r="Z927" t="str">
        <f>""</f>
        <v/>
      </c>
      <c r="AA927" t="str">
        <f>""</f>
        <v/>
      </c>
      <c r="AB927" t="s">
        <v>2328</v>
      </c>
      <c r="AD927" t="s">
        <v>151</v>
      </c>
      <c r="AF927" t="s">
        <v>113</v>
      </c>
      <c r="AG927" t="s">
        <v>112</v>
      </c>
      <c r="AH927" t="s">
        <v>112</v>
      </c>
      <c r="AI927" s="63">
        <v>30631</v>
      </c>
      <c r="AK927" t="s">
        <v>111</v>
      </c>
      <c r="AL927" t="s">
        <v>111</v>
      </c>
      <c r="AM927" t="s">
        <v>111</v>
      </c>
      <c r="AN927" t="s">
        <v>105</v>
      </c>
      <c r="AO927" t="s">
        <v>110</v>
      </c>
      <c r="AP927" t="s">
        <v>109</v>
      </c>
    </row>
    <row r="928" spans="1:42" x14ac:dyDescent="0.25">
      <c r="A928" s="28" t="str">
        <f>"14030"</f>
        <v>14030</v>
      </c>
      <c r="B928">
        <v>14030</v>
      </c>
      <c r="C928" t="s">
        <v>2488</v>
      </c>
      <c r="D928" t="s">
        <v>121</v>
      </c>
      <c r="E928" t="s">
        <v>584</v>
      </c>
      <c r="F928" t="s">
        <v>120</v>
      </c>
      <c r="G928" t="s">
        <v>399</v>
      </c>
      <c r="I928" t="s">
        <v>1829</v>
      </c>
      <c r="J928" t="s">
        <v>7</v>
      </c>
      <c r="K928" s="63">
        <v>26401</v>
      </c>
      <c r="L928" s="28">
        <f>DATEDIF(K928,Zwift25!G$1,"Y")</f>
        <v>52</v>
      </c>
      <c r="M928" s="67">
        <f>IF(J928="m",VLOOKUP(L928,'All Solo Adjustments'!A:D,4,FALSE),VLOOKUP(L928,'All Solo Adjustments'!A:J,10,FALSE))</f>
        <v>1.4814814814814816E-3</v>
      </c>
      <c r="N928" s="63"/>
      <c r="O928" s="63"/>
      <c r="P928" s="63"/>
      <c r="Q928" s="63"/>
      <c r="R928" t="s">
        <v>296</v>
      </c>
      <c r="S928" t="s">
        <v>295</v>
      </c>
      <c r="T928" t="s">
        <v>292</v>
      </c>
      <c r="U928" t="s">
        <v>8002</v>
      </c>
      <c r="W928" t="s">
        <v>1452</v>
      </c>
      <c r="Y928" t="s">
        <v>8001</v>
      </c>
      <c r="Z928" t="str">
        <f>"07850535080"</f>
        <v>07850535080</v>
      </c>
      <c r="AA928" t="str">
        <f>""</f>
        <v/>
      </c>
      <c r="AB928" t="s">
        <v>2060</v>
      </c>
      <c r="AC928" t="s">
        <v>8000</v>
      </c>
      <c r="AD928" t="s">
        <v>114</v>
      </c>
      <c r="AE928" s="63">
        <v>45279</v>
      </c>
      <c r="AF928" t="s">
        <v>156</v>
      </c>
      <c r="AG928" t="s">
        <v>112</v>
      </c>
      <c r="AH928" t="s">
        <v>112</v>
      </c>
      <c r="AI928" s="63">
        <v>43500</v>
      </c>
      <c r="AJ928" s="63">
        <v>45657</v>
      </c>
      <c r="AK928" t="s">
        <v>112</v>
      </c>
      <c r="AL928" t="s">
        <v>111</v>
      </c>
      <c r="AM928" t="s">
        <v>111</v>
      </c>
      <c r="AN928">
        <v>22019</v>
      </c>
      <c r="AO928" t="s">
        <v>110</v>
      </c>
      <c r="AP928" t="s">
        <v>109</v>
      </c>
    </row>
    <row r="929" spans="1:42" x14ac:dyDescent="0.25">
      <c r="A929" s="28" t="str">
        <f>"14632"</f>
        <v>14632</v>
      </c>
      <c r="B929">
        <v>14632</v>
      </c>
      <c r="C929" t="s">
        <v>2488</v>
      </c>
      <c r="D929" t="s">
        <v>132</v>
      </c>
      <c r="F929" t="s">
        <v>120</v>
      </c>
      <c r="G929" t="s">
        <v>952</v>
      </c>
      <c r="I929" t="s">
        <v>7999</v>
      </c>
      <c r="J929" t="s">
        <v>7</v>
      </c>
      <c r="K929" s="63">
        <v>23047</v>
      </c>
      <c r="L929" s="28">
        <f>DATEDIF(K929,Zwift25!G$1,"Y")</f>
        <v>61</v>
      </c>
      <c r="M929" s="67">
        <f>IF(J929="m",VLOOKUP(L929,'All Solo Adjustments'!A:D,4,FALSE),VLOOKUP(L929,'All Solo Adjustments'!A:J,10,FALSE))</f>
        <v>3.4722222222222225E-3</v>
      </c>
      <c r="N929" s="63"/>
      <c r="O929" s="63"/>
      <c r="P929" s="63"/>
      <c r="Q929" s="63"/>
      <c r="R929" t="s">
        <v>125</v>
      </c>
      <c r="S929" t="s">
        <v>124</v>
      </c>
      <c r="T929" t="s">
        <v>292</v>
      </c>
      <c r="U929" t="s">
        <v>3906</v>
      </c>
      <c r="V929" t="s">
        <v>1307</v>
      </c>
      <c r="W929" t="s">
        <v>7998</v>
      </c>
      <c r="X929" t="s">
        <v>7997</v>
      </c>
      <c r="Y929" t="s">
        <v>7996</v>
      </c>
      <c r="Z929" t="str">
        <f>"07838180578"</f>
        <v>07838180578</v>
      </c>
      <c r="AA929" t="str">
        <f>""</f>
        <v/>
      </c>
      <c r="AB929" t="s">
        <v>7995</v>
      </c>
      <c r="AC929" t="s">
        <v>7994</v>
      </c>
      <c r="AD929" t="s">
        <v>114</v>
      </c>
      <c r="AE929" s="63">
        <v>45264</v>
      </c>
      <c r="AF929" t="s">
        <v>113</v>
      </c>
      <c r="AG929" t="s">
        <v>112</v>
      </c>
      <c r="AH929" t="s">
        <v>112</v>
      </c>
      <c r="AI929" s="63">
        <v>44048</v>
      </c>
      <c r="AJ929" s="63">
        <v>45657</v>
      </c>
      <c r="AK929" t="s">
        <v>112</v>
      </c>
      <c r="AL929" t="s">
        <v>111</v>
      </c>
      <c r="AM929" t="s">
        <v>111</v>
      </c>
      <c r="AN929">
        <v>33790</v>
      </c>
      <c r="AO929" t="s">
        <v>110</v>
      </c>
      <c r="AP929" t="s">
        <v>109</v>
      </c>
    </row>
    <row r="930" spans="1:42" x14ac:dyDescent="0.25">
      <c r="A930" s="28" t="str">
        <f>"14633"</f>
        <v>14633</v>
      </c>
      <c r="B930">
        <v>14633</v>
      </c>
      <c r="C930" t="s">
        <v>2488</v>
      </c>
      <c r="D930" t="s">
        <v>130</v>
      </c>
      <c r="F930" t="s">
        <v>120</v>
      </c>
      <c r="G930" t="s">
        <v>774</v>
      </c>
      <c r="I930" t="s">
        <v>7999</v>
      </c>
      <c r="J930" t="s">
        <v>126</v>
      </c>
      <c r="K930" s="63">
        <v>23828</v>
      </c>
      <c r="L930" s="28">
        <f>DATEDIF(K930,Zwift25!G$1,"Y")</f>
        <v>59</v>
      </c>
      <c r="M930" s="67">
        <f>IF(J930="m",VLOOKUP(L930,'All Solo Adjustments'!A:D,4,FALSE),VLOOKUP(L930,'All Solo Adjustments'!A:J,10,FALSE))</f>
        <v>6.5972222222222222E-3</v>
      </c>
      <c r="N930" s="63"/>
      <c r="O930" s="63"/>
      <c r="P930" s="63"/>
      <c r="Q930" s="63"/>
      <c r="R930" t="s">
        <v>125</v>
      </c>
      <c r="S930" t="s">
        <v>124</v>
      </c>
      <c r="T930" t="s">
        <v>292</v>
      </c>
      <c r="U930" t="s">
        <v>3906</v>
      </c>
      <c r="V930" t="s">
        <v>1307</v>
      </c>
      <c r="W930" t="s">
        <v>7998</v>
      </c>
      <c r="X930" t="s">
        <v>7997</v>
      </c>
      <c r="Y930" t="s">
        <v>7996</v>
      </c>
      <c r="Z930" t="str">
        <f>"07838180578"</f>
        <v>07838180578</v>
      </c>
      <c r="AA930" t="str">
        <f>""</f>
        <v/>
      </c>
      <c r="AB930" t="s">
        <v>7995</v>
      </c>
      <c r="AC930" t="s">
        <v>7994</v>
      </c>
      <c r="AD930" t="s">
        <v>114</v>
      </c>
      <c r="AE930" s="63">
        <v>45264</v>
      </c>
      <c r="AF930" t="s">
        <v>156</v>
      </c>
      <c r="AG930" t="s">
        <v>112</v>
      </c>
      <c r="AH930" t="s">
        <v>112</v>
      </c>
      <c r="AI930" s="63">
        <v>44048</v>
      </c>
      <c r="AJ930" s="63">
        <v>45657</v>
      </c>
      <c r="AK930" t="s">
        <v>112</v>
      </c>
      <c r="AL930" t="s">
        <v>111</v>
      </c>
      <c r="AM930" t="s">
        <v>111</v>
      </c>
      <c r="AN930">
        <v>34917</v>
      </c>
      <c r="AO930" t="s">
        <v>122</v>
      </c>
      <c r="AP930" t="s">
        <v>122</v>
      </c>
    </row>
    <row r="931" spans="1:42" x14ac:dyDescent="0.25">
      <c r="A931" s="28" t="str">
        <f>"13701"</f>
        <v>13701</v>
      </c>
      <c r="B931">
        <v>13701</v>
      </c>
      <c r="C931" t="s">
        <v>2488</v>
      </c>
      <c r="D931" t="s">
        <v>121</v>
      </c>
      <c r="F931" t="s">
        <v>149</v>
      </c>
      <c r="G931" t="s">
        <v>4555</v>
      </c>
      <c r="H931" t="s">
        <v>1157</v>
      </c>
      <c r="I931" t="s">
        <v>7993</v>
      </c>
      <c r="J931" t="s">
        <v>126</v>
      </c>
      <c r="K931" s="63">
        <v>23834</v>
      </c>
      <c r="L931" s="28">
        <f>DATEDIF(K931,Zwift25!G$1,"Y")</f>
        <v>59</v>
      </c>
      <c r="M931" s="67">
        <f>IF(J931="m",VLOOKUP(L931,'All Solo Adjustments'!A:D,4,FALSE),VLOOKUP(L931,'All Solo Adjustments'!A:J,10,FALSE))</f>
        <v>6.5972222222222222E-3</v>
      </c>
      <c r="N931" s="63"/>
      <c r="O931" s="63"/>
      <c r="P931" s="63"/>
      <c r="Q931" s="63"/>
      <c r="R931" t="s">
        <v>213</v>
      </c>
      <c r="S931" t="s">
        <v>212</v>
      </c>
      <c r="T931" t="s">
        <v>292</v>
      </c>
      <c r="U931" t="s">
        <v>7992</v>
      </c>
      <c r="V931" t="s">
        <v>7991</v>
      </c>
      <c r="W931" t="s">
        <v>7990</v>
      </c>
      <c r="X931" t="s">
        <v>534</v>
      </c>
      <c r="Y931" t="s">
        <v>7989</v>
      </c>
      <c r="Z931" t="str">
        <f>"07546598080"</f>
        <v>07546598080</v>
      </c>
      <c r="AA931" t="str">
        <f>""</f>
        <v/>
      </c>
      <c r="AB931" t="s">
        <v>1824</v>
      </c>
      <c r="AC931" t="s">
        <v>7988</v>
      </c>
      <c r="AD931" t="s">
        <v>114</v>
      </c>
      <c r="AE931" s="63">
        <v>45291</v>
      </c>
      <c r="AF931" t="s">
        <v>156</v>
      </c>
      <c r="AG931" t="s">
        <v>112</v>
      </c>
      <c r="AH931" t="s">
        <v>112</v>
      </c>
      <c r="AI931" s="63">
        <v>43287</v>
      </c>
      <c r="AJ931" s="63">
        <v>45657</v>
      </c>
      <c r="AK931" t="s">
        <v>112</v>
      </c>
      <c r="AL931" t="s">
        <v>111</v>
      </c>
      <c r="AM931" t="s">
        <v>111</v>
      </c>
      <c r="AN931">
        <v>20915</v>
      </c>
      <c r="AO931" t="s">
        <v>122</v>
      </c>
      <c r="AP931" t="s">
        <v>122</v>
      </c>
    </row>
    <row r="932" spans="1:42" x14ac:dyDescent="0.25">
      <c r="A932" s="28" t="str">
        <f>"16000"</f>
        <v>16000</v>
      </c>
      <c r="B932">
        <v>16000</v>
      </c>
      <c r="C932" t="s">
        <v>2488</v>
      </c>
      <c r="D932" t="s">
        <v>121</v>
      </c>
      <c r="E932" t="s">
        <v>584</v>
      </c>
      <c r="F932" t="s">
        <v>120</v>
      </c>
      <c r="G932" t="s">
        <v>284</v>
      </c>
      <c r="I932" t="s">
        <v>677</v>
      </c>
      <c r="J932" t="s">
        <v>7</v>
      </c>
      <c r="K932" s="63">
        <v>25880</v>
      </c>
      <c r="L932" s="28">
        <f>DATEDIF(K932,Zwift25!G$1,"Y")</f>
        <v>53</v>
      </c>
      <c r="M932" s="67">
        <f>IF(J932="m",VLOOKUP(L932,'All Solo Adjustments'!A:D,4,FALSE),VLOOKUP(L932,'All Solo Adjustments'!A:J,10,FALSE))</f>
        <v>1.6666666666666668E-3</v>
      </c>
      <c r="N932" s="63"/>
      <c r="O932" s="63"/>
      <c r="P932" s="63"/>
      <c r="Q932" s="63"/>
      <c r="R932" t="s">
        <v>137</v>
      </c>
      <c r="S932" t="s">
        <v>136</v>
      </c>
      <c r="T932" t="s">
        <v>292</v>
      </c>
      <c r="U932" t="s">
        <v>7987</v>
      </c>
      <c r="V932" t="s">
        <v>7986</v>
      </c>
      <c r="W932" t="s">
        <v>1098</v>
      </c>
      <c r="Y932" t="s">
        <v>7985</v>
      </c>
      <c r="Z932" t="str">
        <f>"07980892075"</f>
        <v>07980892075</v>
      </c>
      <c r="AA932" t="str">
        <f>""</f>
        <v/>
      </c>
      <c r="AB932" t="s">
        <v>7984</v>
      </c>
      <c r="AC932" t="s">
        <v>7983</v>
      </c>
      <c r="AD932" t="s">
        <v>114</v>
      </c>
      <c r="AE932" s="63">
        <v>45306</v>
      </c>
      <c r="AF932" t="s">
        <v>156</v>
      </c>
      <c r="AG932" t="s">
        <v>112</v>
      </c>
      <c r="AH932" t="s">
        <v>112</v>
      </c>
      <c r="AI932" s="63">
        <v>45306</v>
      </c>
      <c r="AJ932" s="63">
        <v>45657</v>
      </c>
      <c r="AK932" t="s">
        <v>112</v>
      </c>
      <c r="AL932" t="s">
        <v>111</v>
      </c>
      <c r="AM932" t="s">
        <v>111</v>
      </c>
      <c r="AN932">
        <v>38058</v>
      </c>
      <c r="AO932" t="s">
        <v>110</v>
      </c>
      <c r="AP932" t="s">
        <v>109</v>
      </c>
    </row>
    <row r="933" spans="1:42" x14ac:dyDescent="0.25">
      <c r="A933" s="28" t="str">
        <f>"5884"</f>
        <v>5884</v>
      </c>
      <c r="B933">
        <v>5884</v>
      </c>
      <c r="C933" t="s">
        <v>2488</v>
      </c>
      <c r="D933" t="s">
        <v>121</v>
      </c>
      <c r="E933" t="s">
        <v>3363</v>
      </c>
      <c r="F933" t="s">
        <v>120</v>
      </c>
      <c r="G933" t="s">
        <v>649</v>
      </c>
      <c r="I933" t="s">
        <v>7982</v>
      </c>
      <c r="J933" t="s">
        <v>7</v>
      </c>
      <c r="K933" s="63">
        <v>13792</v>
      </c>
      <c r="L933" s="28">
        <f>DATEDIF(K933,Zwift25!G$1,"Y")</f>
        <v>87</v>
      </c>
      <c r="M933" s="67">
        <f>IF(J933="m",VLOOKUP(L933,'All Solo Adjustments'!A:D,4,FALSE),VLOOKUP(L933,'All Solo Adjustments'!A:J,10,FALSE))</f>
        <v>1.576388888888889E-2</v>
      </c>
      <c r="N933" s="63"/>
      <c r="O933" s="63"/>
      <c r="P933" s="63"/>
      <c r="Q933" s="63"/>
      <c r="R933" t="s">
        <v>137</v>
      </c>
      <c r="S933" t="s">
        <v>136</v>
      </c>
      <c r="T933" t="s">
        <v>292</v>
      </c>
      <c r="U933" t="s">
        <v>7981</v>
      </c>
      <c r="V933" t="s">
        <v>7980</v>
      </c>
      <c r="W933" t="s">
        <v>208</v>
      </c>
      <c r="Y933" t="s">
        <v>7979</v>
      </c>
      <c r="Z933" t="str">
        <f>"02392 580801"</f>
        <v>02392 580801</v>
      </c>
      <c r="AA933" t="str">
        <f>"07919116550"</f>
        <v>07919116550</v>
      </c>
      <c r="AB933" t="s">
        <v>825</v>
      </c>
      <c r="AC933" t="s">
        <v>7978</v>
      </c>
      <c r="AD933" t="s">
        <v>114</v>
      </c>
      <c r="AE933" s="63">
        <v>45263</v>
      </c>
      <c r="AF933" t="s">
        <v>113</v>
      </c>
      <c r="AG933" t="s">
        <v>112</v>
      </c>
      <c r="AH933" t="s">
        <v>112</v>
      </c>
      <c r="AI933" s="63">
        <v>42518</v>
      </c>
      <c r="AJ933" s="63">
        <v>45657</v>
      </c>
      <c r="AK933" t="s">
        <v>111</v>
      </c>
      <c r="AL933" t="s">
        <v>111</v>
      </c>
      <c r="AM933" t="s">
        <v>111</v>
      </c>
      <c r="AN933">
        <v>15996</v>
      </c>
      <c r="AO933" t="s">
        <v>110</v>
      </c>
      <c r="AP933" t="s">
        <v>109</v>
      </c>
    </row>
    <row r="934" spans="1:42" x14ac:dyDescent="0.25">
      <c r="A934" s="28" t="str">
        <f>"14811"</f>
        <v>14811</v>
      </c>
      <c r="B934">
        <v>14811</v>
      </c>
      <c r="C934" t="s">
        <v>2488</v>
      </c>
      <c r="D934" t="s">
        <v>121</v>
      </c>
      <c r="F934" t="s">
        <v>149</v>
      </c>
      <c r="G934" t="s">
        <v>692</v>
      </c>
      <c r="I934" t="s">
        <v>691</v>
      </c>
      <c r="J934" t="s">
        <v>126</v>
      </c>
      <c r="K934" s="63">
        <v>18858</v>
      </c>
      <c r="L934" s="28">
        <f>DATEDIF(K934,Zwift25!G$1,"Y")</f>
        <v>73</v>
      </c>
      <c r="M934" s="67">
        <f>IF(J934="m",VLOOKUP(L934,'All Solo Adjustments'!A:D,4,FALSE),VLOOKUP(L934,'All Solo Adjustments'!A:J,10,FALSE))</f>
        <v>1.2928240740740742E-2</v>
      </c>
      <c r="N934" s="63"/>
      <c r="O934" s="63"/>
      <c r="P934" s="63"/>
      <c r="Q934" s="63"/>
      <c r="R934" t="s">
        <v>383</v>
      </c>
      <c r="S934" t="s">
        <v>382</v>
      </c>
      <c r="T934" t="s">
        <v>292</v>
      </c>
      <c r="U934">
        <v>4</v>
      </c>
      <c r="V934" t="s">
        <v>7977</v>
      </c>
      <c r="W934" t="s">
        <v>689</v>
      </c>
      <c r="X934" t="s">
        <v>688</v>
      </c>
      <c r="Y934" t="s">
        <v>687</v>
      </c>
      <c r="Z934" t="str">
        <f>"07946341889"</f>
        <v>07946341889</v>
      </c>
      <c r="AA934" t="str">
        <f>""</f>
        <v/>
      </c>
      <c r="AB934" t="s">
        <v>7976</v>
      </c>
      <c r="AC934" t="s">
        <v>7975</v>
      </c>
      <c r="AD934" t="s">
        <v>114</v>
      </c>
      <c r="AE934" s="63">
        <v>45349</v>
      </c>
      <c r="AF934" t="s">
        <v>156</v>
      </c>
      <c r="AG934" t="s">
        <v>112</v>
      </c>
      <c r="AH934" t="s">
        <v>112</v>
      </c>
      <c r="AI934" s="63">
        <v>44203</v>
      </c>
      <c r="AJ934" s="63">
        <v>45657</v>
      </c>
      <c r="AK934" t="s">
        <v>112</v>
      </c>
      <c r="AL934" t="s">
        <v>111</v>
      </c>
      <c r="AM934" t="s">
        <v>111</v>
      </c>
      <c r="AN934">
        <v>5561</v>
      </c>
      <c r="AO934" t="s">
        <v>122</v>
      </c>
      <c r="AP934" t="s">
        <v>122</v>
      </c>
    </row>
    <row r="935" spans="1:42" x14ac:dyDescent="0.25">
      <c r="A935" s="28" t="str">
        <f>"1194"</f>
        <v>1194</v>
      </c>
      <c r="B935">
        <v>1194</v>
      </c>
      <c r="C935" t="s">
        <v>2488</v>
      </c>
      <c r="D935" t="s">
        <v>121</v>
      </c>
      <c r="F935" t="s">
        <v>120</v>
      </c>
      <c r="G935" t="s">
        <v>245</v>
      </c>
      <c r="H935" t="s">
        <v>284</v>
      </c>
      <c r="I935" t="s">
        <v>7974</v>
      </c>
      <c r="J935" t="s">
        <v>7</v>
      </c>
      <c r="K935" s="63">
        <v>20620</v>
      </c>
      <c r="L935" s="28">
        <f>DATEDIF(K935,Zwift25!G$1,"Y")</f>
        <v>68</v>
      </c>
      <c r="M935" s="67">
        <f>IF(J935="m",VLOOKUP(L935,'All Solo Adjustments'!A:D,4,FALSE),VLOOKUP(L935,'All Solo Adjustments'!A:J,10,FALSE))</f>
        <v>5.6134259259259262E-3</v>
      </c>
      <c r="N935" s="63"/>
      <c r="O935" s="63"/>
      <c r="P935" s="63"/>
      <c r="Q935" s="63"/>
      <c r="R935" t="s">
        <v>198</v>
      </c>
      <c r="S935" t="s">
        <v>461</v>
      </c>
      <c r="T935" t="s">
        <v>292</v>
      </c>
      <c r="U935" t="s">
        <v>7973</v>
      </c>
      <c r="V935" t="s">
        <v>7972</v>
      </c>
      <c r="W935" t="s">
        <v>460</v>
      </c>
      <c r="X935" t="s">
        <v>196</v>
      </c>
      <c r="Y935" t="s">
        <v>7971</v>
      </c>
      <c r="Z935" t="str">
        <f>"01663 763606"</f>
        <v>01663 763606</v>
      </c>
      <c r="AA935" t="str">
        <f>"07990 918476"</f>
        <v>07990 918476</v>
      </c>
      <c r="AB935" t="s">
        <v>1167</v>
      </c>
      <c r="AC935" t="s">
        <v>7970</v>
      </c>
      <c r="AD935" t="s">
        <v>114</v>
      </c>
      <c r="AE935" s="63">
        <v>45262</v>
      </c>
      <c r="AF935" t="s">
        <v>156</v>
      </c>
      <c r="AG935" t="s">
        <v>112</v>
      </c>
      <c r="AH935" t="s">
        <v>112</v>
      </c>
      <c r="AI935" s="63">
        <v>35885</v>
      </c>
      <c r="AJ935" s="63">
        <v>45657</v>
      </c>
      <c r="AK935" t="s">
        <v>111</v>
      </c>
      <c r="AL935" t="s">
        <v>111</v>
      </c>
      <c r="AM935" t="s">
        <v>111</v>
      </c>
      <c r="AN935">
        <v>11516</v>
      </c>
      <c r="AO935" t="s">
        <v>110</v>
      </c>
      <c r="AP935" t="s">
        <v>109</v>
      </c>
    </row>
    <row r="936" spans="1:42" x14ac:dyDescent="0.25">
      <c r="A936" s="28" t="str">
        <f>"4462"</f>
        <v>4462</v>
      </c>
      <c r="B936">
        <v>4462</v>
      </c>
      <c r="C936" t="s">
        <v>2488</v>
      </c>
      <c r="D936" t="s">
        <v>121</v>
      </c>
      <c r="F936" t="s">
        <v>120</v>
      </c>
      <c r="G936" t="s">
        <v>761</v>
      </c>
      <c r="I936" t="s">
        <v>7969</v>
      </c>
      <c r="J936" t="s">
        <v>7</v>
      </c>
      <c r="K936" s="63">
        <v>12940</v>
      </c>
      <c r="L936" s="28">
        <f>DATEDIF(K936,Zwift25!G$1,"Y")</f>
        <v>89</v>
      </c>
      <c r="M936" s="67">
        <f>IF(J936="m",VLOOKUP(L936,'All Solo Adjustments'!A:D,4,FALSE),VLOOKUP(L936,'All Solo Adjustments'!A:J,10,FALSE))</f>
        <v>1.7465277777777777E-2</v>
      </c>
      <c r="N936" s="63"/>
      <c r="O936" s="63"/>
      <c r="P936" s="63"/>
      <c r="Q936" s="63"/>
      <c r="R936" t="s">
        <v>383</v>
      </c>
      <c r="S936" t="s">
        <v>382</v>
      </c>
      <c r="T936" t="s">
        <v>292</v>
      </c>
      <c r="U936" t="s">
        <v>7968</v>
      </c>
      <c r="V936" t="s">
        <v>7967</v>
      </c>
      <c r="W936" t="s">
        <v>1073</v>
      </c>
      <c r="Y936" t="s">
        <v>7966</v>
      </c>
      <c r="Z936" t="str">
        <f>"01554746486"</f>
        <v>01554746486</v>
      </c>
      <c r="AA936" t="str">
        <f>""</f>
        <v/>
      </c>
      <c r="AB936" t="s">
        <v>686</v>
      </c>
      <c r="AC936" t="s">
        <v>7965</v>
      </c>
      <c r="AD936" t="s">
        <v>114</v>
      </c>
      <c r="AE936" s="63">
        <v>45307</v>
      </c>
      <c r="AF936" t="s">
        <v>113</v>
      </c>
      <c r="AG936" t="s">
        <v>112</v>
      </c>
      <c r="AH936" t="s">
        <v>112</v>
      </c>
      <c r="AI936" s="63">
        <v>40948</v>
      </c>
      <c r="AJ936" s="63">
        <v>45657</v>
      </c>
      <c r="AK936" t="s">
        <v>111</v>
      </c>
      <c r="AL936" t="s">
        <v>111</v>
      </c>
      <c r="AM936" t="s">
        <v>111</v>
      </c>
      <c r="AN936">
        <v>39263</v>
      </c>
      <c r="AO936" t="s">
        <v>110</v>
      </c>
      <c r="AP936" t="s">
        <v>109</v>
      </c>
    </row>
    <row r="937" spans="1:42" x14ac:dyDescent="0.25">
      <c r="A937" s="28" t="str">
        <f>"1195"</f>
        <v>1195</v>
      </c>
      <c r="B937">
        <v>1195</v>
      </c>
      <c r="C937" t="s">
        <v>2488</v>
      </c>
      <c r="D937" t="s">
        <v>121</v>
      </c>
      <c r="F937" t="s">
        <v>120</v>
      </c>
      <c r="G937" t="s">
        <v>1847</v>
      </c>
      <c r="H937" t="s">
        <v>410</v>
      </c>
      <c r="I937" t="s">
        <v>7964</v>
      </c>
      <c r="J937" t="s">
        <v>7</v>
      </c>
      <c r="K937" s="63">
        <v>16095</v>
      </c>
      <c r="L937" s="28">
        <f>DATEDIF(K937,Zwift25!G$1,"Y")</f>
        <v>80</v>
      </c>
      <c r="M937" s="67">
        <f>IF(J937="m",VLOOKUP(L937,'All Solo Adjustments'!A:D,4,FALSE),VLOOKUP(L937,'All Solo Adjustments'!A:J,10,FALSE))</f>
        <v>1.1018518518518518E-2</v>
      </c>
      <c r="N937" s="63"/>
      <c r="O937" s="63"/>
      <c r="P937" s="63"/>
      <c r="Q937" s="63"/>
      <c r="R937" t="s">
        <v>137</v>
      </c>
      <c r="S937" t="s">
        <v>2312</v>
      </c>
      <c r="T937" t="s">
        <v>292</v>
      </c>
      <c r="U937" t="s">
        <v>7963</v>
      </c>
      <c r="V937" t="s">
        <v>7962</v>
      </c>
      <c r="W937" t="s">
        <v>491</v>
      </c>
      <c r="X937" t="s">
        <v>1407</v>
      </c>
      <c r="Y937" t="s">
        <v>7961</v>
      </c>
      <c r="Z937" t="str">
        <f>"7878277983"</f>
        <v>7878277983</v>
      </c>
      <c r="AA937" t="str">
        <f>""</f>
        <v/>
      </c>
      <c r="AB937" t="s">
        <v>3988</v>
      </c>
      <c r="AC937" t="s">
        <v>7960</v>
      </c>
      <c r="AD937" t="s">
        <v>145</v>
      </c>
      <c r="AF937" t="s">
        <v>113</v>
      </c>
      <c r="AG937" t="s">
        <v>112</v>
      </c>
      <c r="AH937" t="s">
        <v>112</v>
      </c>
      <c r="AI937" s="63">
        <v>38917</v>
      </c>
      <c r="AK937" t="s">
        <v>111</v>
      </c>
      <c r="AL937" t="s">
        <v>111</v>
      </c>
      <c r="AM937" t="s">
        <v>111</v>
      </c>
      <c r="AN937">
        <v>5068</v>
      </c>
      <c r="AO937" t="s">
        <v>110</v>
      </c>
      <c r="AP937" t="s">
        <v>109</v>
      </c>
    </row>
    <row r="938" spans="1:42" x14ac:dyDescent="0.25">
      <c r="A938" s="28" t="str">
        <f>"14851"</f>
        <v>14851</v>
      </c>
      <c r="B938">
        <v>14851</v>
      </c>
      <c r="C938" t="s">
        <v>2488</v>
      </c>
      <c r="D938" t="s">
        <v>121</v>
      </c>
      <c r="E938" t="s">
        <v>584</v>
      </c>
      <c r="F938" t="s">
        <v>120</v>
      </c>
      <c r="G938" t="s">
        <v>481</v>
      </c>
      <c r="H938" t="s">
        <v>7959</v>
      </c>
      <c r="I938" t="s">
        <v>7958</v>
      </c>
      <c r="J938" t="s">
        <v>7</v>
      </c>
      <c r="K938" s="63">
        <v>23534</v>
      </c>
      <c r="L938" s="28">
        <f>DATEDIF(K938,Zwift25!G$1,"Y")</f>
        <v>60</v>
      </c>
      <c r="M938" s="67">
        <f>IF(J938="m",VLOOKUP(L938,'All Solo Adjustments'!A:D,4,FALSE),VLOOKUP(L938,'All Solo Adjustments'!A:J,10,FALSE))</f>
        <v>3.2060185185185186E-3</v>
      </c>
      <c r="N938" s="63"/>
      <c r="O938" s="63"/>
      <c r="P938" s="63"/>
      <c r="Q938" s="63"/>
      <c r="R938" t="s">
        <v>154</v>
      </c>
      <c r="S938" t="s">
        <v>153</v>
      </c>
      <c r="T938" t="s">
        <v>292</v>
      </c>
      <c r="U938" t="s">
        <v>7957</v>
      </c>
      <c r="V938" t="s">
        <v>2285</v>
      </c>
      <c r="W938" t="s">
        <v>7956</v>
      </c>
      <c r="X938" t="s">
        <v>1091</v>
      </c>
      <c r="Y938" t="s">
        <v>7955</v>
      </c>
      <c r="Z938" t="str">
        <f>"01380840953"</f>
        <v>01380840953</v>
      </c>
      <c r="AA938" t="str">
        <f>"07986274963"</f>
        <v>07986274963</v>
      </c>
      <c r="AB938" t="s">
        <v>2262</v>
      </c>
      <c r="AC938" t="s">
        <v>7954</v>
      </c>
      <c r="AD938" t="s">
        <v>114</v>
      </c>
      <c r="AE938" s="63">
        <v>45277</v>
      </c>
      <c r="AF938" t="s">
        <v>113</v>
      </c>
      <c r="AG938" t="s">
        <v>112</v>
      </c>
      <c r="AH938" t="s">
        <v>112</v>
      </c>
      <c r="AI938" s="63">
        <v>44250</v>
      </c>
      <c r="AJ938" s="63">
        <v>45657</v>
      </c>
      <c r="AK938" t="s">
        <v>112</v>
      </c>
      <c r="AL938" t="s">
        <v>111</v>
      </c>
      <c r="AM938" t="s">
        <v>111</v>
      </c>
      <c r="AN938">
        <v>16901</v>
      </c>
      <c r="AO938" t="s">
        <v>110</v>
      </c>
      <c r="AP938" t="s">
        <v>109</v>
      </c>
    </row>
    <row r="939" spans="1:42" x14ac:dyDescent="0.25">
      <c r="A939" s="28" t="str">
        <f>"1200"</f>
        <v>1200</v>
      </c>
      <c r="B939">
        <v>1200</v>
      </c>
      <c r="C939" t="s">
        <v>2488</v>
      </c>
      <c r="D939" t="s">
        <v>121</v>
      </c>
      <c r="F939" t="s">
        <v>120</v>
      </c>
      <c r="G939" t="s">
        <v>594</v>
      </c>
      <c r="H939" t="s">
        <v>442</v>
      </c>
      <c r="I939" t="s">
        <v>7953</v>
      </c>
      <c r="J939" t="s">
        <v>7</v>
      </c>
      <c r="K939" s="63">
        <v>14875</v>
      </c>
      <c r="L939" s="28">
        <f>DATEDIF(K939,Zwift25!G$1,"Y")</f>
        <v>84</v>
      </c>
      <c r="M939" s="67">
        <f>IF(J939="m",VLOOKUP(L939,'All Solo Adjustments'!A:D,4,FALSE),VLOOKUP(L939,'All Solo Adjustments'!A:J,10,FALSE))</f>
        <v>1.3530092592592592E-2</v>
      </c>
      <c r="N939" s="63"/>
      <c r="O939" s="63"/>
      <c r="P939" s="63"/>
      <c r="Q939" s="63"/>
      <c r="R939" t="s">
        <v>159</v>
      </c>
      <c r="S939" t="s">
        <v>570</v>
      </c>
      <c r="T939" t="s">
        <v>292</v>
      </c>
      <c r="U939" t="s">
        <v>7952</v>
      </c>
      <c r="V939" t="s">
        <v>7951</v>
      </c>
      <c r="W939" t="s">
        <v>458</v>
      </c>
      <c r="X939" t="s">
        <v>159</v>
      </c>
      <c r="Y939" t="s">
        <v>7950</v>
      </c>
      <c r="Z939" t="str">
        <f>"01304840700"</f>
        <v>01304840700</v>
      </c>
      <c r="AA939" t="str">
        <f>"07760157645"</f>
        <v>07760157645</v>
      </c>
      <c r="AB939" t="s">
        <v>415</v>
      </c>
      <c r="AC939" t="s">
        <v>7949</v>
      </c>
      <c r="AD939" t="s">
        <v>145</v>
      </c>
      <c r="AF939" t="s">
        <v>156</v>
      </c>
      <c r="AG939" t="s">
        <v>112</v>
      </c>
      <c r="AH939" t="s">
        <v>112</v>
      </c>
      <c r="AI939" s="63">
        <v>43420</v>
      </c>
      <c r="AK939" t="s">
        <v>112</v>
      </c>
      <c r="AL939" t="s">
        <v>111</v>
      </c>
      <c r="AM939" t="s">
        <v>111</v>
      </c>
      <c r="AN939">
        <v>5018</v>
      </c>
      <c r="AO939" t="s">
        <v>110</v>
      </c>
      <c r="AP939" t="s">
        <v>109</v>
      </c>
    </row>
    <row r="940" spans="1:42" x14ac:dyDescent="0.25">
      <c r="A940" s="28" t="str">
        <f>"4740"</f>
        <v>4740</v>
      </c>
      <c r="B940">
        <v>4740</v>
      </c>
      <c r="C940" t="s">
        <v>2488</v>
      </c>
      <c r="D940" t="s">
        <v>121</v>
      </c>
      <c r="F940" t="s">
        <v>120</v>
      </c>
      <c r="G940" t="s">
        <v>400</v>
      </c>
      <c r="H940" t="s">
        <v>705</v>
      </c>
      <c r="I940" t="s">
        <v>7948</v>
      </c>
      <c r="J940" t="s">
        <v>7</v>
      </c>
      <c r="K940" s="63">
        <v>26630</v>
      </c>
      <c r="L940" s="28">
        <f>DATEDIF(K940,Zwift25!G$1,"Y")</f>
        <v>51</v>
      </c>
      <c r="M940" s="67">
        <f>IF(J940="m",VLOOKUP(L940,'All Solo Adjustments'!A:D,4,FALSE),VLOOKUP(L940,'All Solo Adjustments'!A:J,10,FALSE))</f>
        <v>1.3078703703703703E-3</v>
      </c>
      <c r="N940" s="63"/>
      <c r="O940" s="63"/>
      <c r="P940" s="63"/>
      <c r="Q940" s="63"/>
      <c r="R940" t="s">
        <v>180</v>
      </c>
      <c r="S940" t="s">
        <v>179</v>
      </c>
      <c r="T940" t="s">
        <v>292</v>
      </c>
      <c r="U940" t="s">
        <v>7947</v>
      </c>
      <c r="V940" t="s">
        <v>7946</v>
      </c>
      <c r="W940" t="s">
        <v>983</v>
      </c>
      <c r="X940" t="s">
        <v>177</v>
      </c>
      <c r="Y940" t="s">
        <v>7945</v>
      </c>
      <c r="Z940" t="str">
        <f>"07966979916"</f>
        <v>07966979916</v>
      </c>
      <c r="AA940" t="str">
        <f>"07966979916"</f>
        <v>07966979916</v>
      </c>
      <c r="AB940" t="s">
        <v>7944</v>
      </c>
      <c r="AC940" t="s">
        <v>7943</v>
      </c>
      <c r="AD940" t="s">
        <v>114</v>
      </c>
      <c r="AE940" s="63">
        <v>45390</v>
      </c>
      <c r="AF940" t="s">
        <v>156</v>
      </c>
      <c r="AG940" t="s">
        <v>112</v>
      </c>
      <c r="AH940" t="s">
        <v>112</v>
      </c>
      <c r="AI940" s="63">
        <v>42913</v>
      </c>
      <c r="AJ940" s="63">
        <v>45657</v>
      </c>
      <c r="AK940" t="s">
        <v>111</v>
      </c>
      <c r="AL940" t="s">
        <v>112</v>
      </c>
      <c r="AM940" t="s">
        <v>111</v>
      </c>
      <c r="AN940">
        <v>17580</v>
      </c>
      <c r="AO940" t="s">
        <v>110</v>
      </c>
      <c r="AP940" t="s">
        <v>109</v>
      </c>
    </row>
    <row r="941" spans="1:42" x14ac:dyDescent="0.25">
      <c r="A941" s="28" t="str">
        <f>"5031"</f>
        <v>5031</v>
      </c>
      <c r="B941">
        <v>5031</v>
      </c>
      <c r="C941" t="s">
        <v>2488</v>
      </c>
      <c r="D941" t="s">
        <v>121</v>
      </c>
      <c r="F941" t="s">
        <v>120</v>
      </c>
      <c r="G941" t="s">
        <v>284</v>
      </c>
      <c r="H941" t="s">
        <v>251</v>
      </c>
      <c r="I941" t="s">
        <v>7942</v>
      </c>
      <c r="J941" t="s">
        <v>7</v>
      </c>
      <c r="K941" s="63">
        <v>18938</v>
      </c>
      <c r="L941" s="28">
        <f>DATEDIF(K941,Zwift25!G$1,"Y")</f>
        <v>72</v>
      </c>
      <c r="M941" s="67">
        <f>IF(J941="m",VLOOKUP(L941,'All Solo Adjustments'!A:D,4,FALSE),VLOOKUP(L941,'All Solo Adjustments'!A:J,10,FALSE))</f>
        <v>7.129629629629629E-3</v>
      </c>
      <c r="N941" s="63"/>
      <c r="O941" s="63"/>
      <c r="P941" s="63"/>
      <c r="Q941" s="63"/>
      <c r="R941" t="s">
        <v>143</v>
      </c>
      <c r="S941" t="s">
        <v>142</v>
      </c>
      <c r="T941" t="s">
        <v>292</v>
      </c>
      <c r="U941" t="s">
        <v>7941</v>
      </c>
      <c r="V941" t="s">
        <v>905</v>
      </c>
      <c r="W941" t="s">
        <v>905</v>
      </c>
      <c r="X941" t="s">
        <v>7940</v>
      </c>
      <c r="Y941" t="s">
        <v>7939</v>
      </c>
      <c r="Z941" t="str">
        <f>"01243788138"</f>
        <v>01243788138</v>
      </c>
      <c r="AA941" t="str">
        <f>"07951204124"</f>
        <v>07951204124</v>
      </c>
      <c r="AB941" t="s">
        <v>1394</v>
      </c>
      <c r="AC941" t="s">
        <v>7938</v>
      </c>
      <c r="AD941" t="s">
        <v>114</v>
      </c>
      <c r="AE941" s="63">
        <v>45344</v>
      </c>
      <c r="AF941" t="s">
        <v>113</v>
      </c>
      <c r="AG941" t="s">
        <v>112</v>
      </c>
      <c r="AH941" t="s">
        <v>112</v>
      </c>
      <c r="AI941" s="63">
        <v>41767</v>
      </c>
      <c r="AJ941" s="63">
        <v>45657</v>
      </c>
      <c r="AK941" t="s">
        <v>111</v>
      </c>
      <c r="AL941" t="s">
        <v>111</v>
      </c>
      <c r="AM941" t="s">
        <v>111</v>
      </c>
      <c r="AN941">
        <v>7146</v>
      </c>
      <c r="AO941" t="s">
        <v>110</v>
      </c>
      <c r="AP941" t="s">
        <v>109</v>
      </c>
    </row>
    <row r="942" spans="1:42" x14ac:dyDescent="0.25">
      <c r="A942" s="28" t="str">
        <f>"3689"</f>
        <v>3689</v>
      </c>
      <c r="B942">
        <v>3689</v>
      </c>
      <c r="C942" t="s">
        <v>2488</v>
      </c>
      <c r="D942" t="s">
        <v>121</v>
      </c>
      <c r="F942" t="s">
        <v>120</v>
      </c>
      <c r="G942" t="s">
        <v>181</v>
      </c>
      <c r="I942" t="s">
        <v>7937</v>
      </c>
      <c r="J942" t="s">
        <v>7</v>
      </c>
      <c r="K942" s="63">
        <v>19209</v>
      </c>
      <c r="L942" s="28">
        <f>DATEDIF(K942,Zwift25!G$1,"Y")</f>
        <v>72</v>
      </c>
      <c r="M942" s="67">
        <f>IF(J942="m",VLOOKUP(L942,'All Solo Adjustments'!A:D,4,FALSE),VLOOKUP(L942,'All Solo Adjustments'!A:J,10,FALSE))</f>
        <v>7.129629629629629E-3</v>
      </c>
      <c r="N942" s="63"/>
      <c r="O942" s="63"/>
      <c r="P942" s="63"/>
      <c r="Q942" s="63"/>
      <c r="R942" t="s">
        <v>328</v>
      </c>
      <c r="S942" t="s">
        <v>327</v>
      </c>
      <c r="T942" t="s">
        <v>292</v>
      </c>
      <c r="U942" t="s">
        <v>7936</v>
      </c>
      <c r="V942" t="s">
        <v>7935</v>
      </c>
      <c r="W942" t="s">
        <v>387</v>
      </c>
      <c r="Y942" t="s">
        <v>7934</v>
      </c>
      <c r="Z942" t="str">
        <f>"07394268206"</f>
        <v>07394268206</v>
      </c>
      <c r="AA942" t="str">
        <f>""</f>
        <v/>
      </c>
      <c r="AB942" t="s">
        <v>707</v>
      </c>
      <c r="AC942" t="s">
        <v>7933</v>
      </c>
      <c r="AD942" t="s">
        <v>114</v>
      </c>
      <c r="AE942" s="63">
        <v>45383</v>
      </c>
      <c r="AF942" t="s">
        <v>156</v>
      </c>
      <c r="AG942" t="s">
        <v>112</v>
      </c>
      <c r="AH942" t="s">
        <v>112</v>
      </c>
      <c r="AI942" s="63">
        <v>39957</v>
      </c>
      <c r="AJ942" s="63">
        <v>45657</v>
      </c>
      <c r="AK942" t="s">
        <v>111</v>
      </c>
      <c r="AL942" t="s">
        <v>111</v>
      </c>
      <c r="AM942" t="s">
        <v>111</v>
      </c>
      <c r="AN942">
        <v>2790</v>
      </c>
      <c r="AO942" t="s">
        <v>110</v>
      </c>
      <c r="AP942" t="s">
        <v>109</v>
      </c>
    </row>
    <row r="943" spans="1:42" x14ac:dyDescent="0.25">
      <c r="A943" s="28" t="str">
        <f>"1210"</f>
        <v>1210</v>
      </c>
      <c r="B943">
        <v>1210</v>
      </c>
      <c r="C943" t="s">
        <v>2488</v>
      </c>
      <c r="D943" t="s">
        <v>121</v>
      </c>
      <c r="F943" t="s">
        <v>120</v>
      </c>
      <c r="G943" t="s">
        <v>284</v>
      </c>
      <c r="I943" t="s">
        <v>7932</v>
      </c>
      <c r="J943" t="s">
        <v>7</v>
      </c>
      <c r="K943" s="63">
        <v>21708</v>
      </c>
      <c r="L943" s="28">
        <f>DATEDIF(K943,Zwift25!G$1,"Y")</f>
        <v>65</v>
      </c>
      <c r="M943" s="67">
        <f>IF(J943="m",VLOOKUP(L943,'All Solo Adjustments'!A:D,4,FALSE),VLOOKUP(L943,'All Solo Adjustments'!A:J,10,FALSE))</f>
        <v>4.6180555555555558E-3</v>
      </c>
      <c r="N943" s="63"/>
      <c r="O943" s="63"/>
      <c r="P943" s="63"/>
      <c r="Q943" s="63"/>
      <c r="R943" t="s">
        <v>125</v>
      </c>
      <c r="S943" t="s">
        <v>170</v>
      </c>
      <c r="T943" t="s">
        <v>292</v>
      </c>
      <c r="U943" t="s">
        <v>7931</v>
      </c>
      <c r="V943" t="s">
        <v>1783</v>
      </c>
      <c r="W943" t="s">
        <v>7930</v>
      </c>
      <c r="X943" t="s">
        <v>123</v>
      </c>
      <c r="Y943" t="s">
        <v>7929</v>
      </c>
      <c r="Z943" t="str">
        <f>"07305408759"</f>
        <v>07305408759</v>
      </c>
      <c r="AA943" t="str">
        <f>"01279629825"</f>
        <v>01279629825</v>
      </c>
      <c r="AB943" t="s">
        <v>987</v>
      </c>
      <c r="AC943" t="s">
        <v>7928</v>
      </c>
      <c r="AD943" t="s">
        <v>114</v>
      </c>
      <c r="AE943" s="63">
        <v>45264</v>
      </c>
      <c r="AF943" t="s">
        <v>156</v>
      </c>
      <c r="AG943" t="s">
        <v>112</v>
      </c>
      <c r="AH943" t="s">
        <v>112</v>
      </c>
      <c r="AI943" s="63">
        <v>36951</v>
      </c>
      <c r="AJ943" s="63">
        <v>45657</v>
      </c>
      <c r="AK943" t="s">
        <v>111</v>
      </c>
      <c r="AL943" t="s">
        <v>111</v>
      </c>
      <c r="AM943" t="s">
        <v>111</v>
      </c>
      <c r="AN943">
        <v>1910</v>
      </c>
      <c r="AO943" t="s">
        <v>110</v>
      </c>
      <c r="AP943" t="s">
        <v>109</v>
      </c>
    </row>
    <row r="944" spans="1:42" x14ac:dyDescent="0.25">
      <c r="A944" s="28" t="str">
        <f>"1211"</f>
        <v>1211</v>
      </c>
      <c r="B944">
        <v>1211</v>
      </c>
      <c r="C944" t="s">
        <v>2488</v>
      </c>
      <c r="D944" t="s">
        <v>121</v>
      </c>
      <c r="F944" t="s">
        <v>120</v>
      </c>
      <c r="G944" t="s">
        <v>410</v>
      </c>
      <c r="H944" t="s">
        <v>359</v>
      </c>
      <c r="I944" t="s">
        <v>7927</v>
      </c>
      <c r="J944" t="s">
        <v>7</v>
      </c>
      <c r="K944" s="63">
        <v>14573</v>
      </c>
      <c r="L944" s="28">
        <f>DATEDIF(K944,Zwift25!G$1,"Y")</f>
        <v>84</v>
      </c>
      <c r="M944" s="67">
        <f>IF(J944="m",VLOOKUP(L944,'All Solo Adjustments'!A:D,4,FALSE),VLOOKUP(L944,'All Solo Adjustments'!A:J,10,FALSE))</f>
        <v>1.3530092592592592E-2</v>
      </c>
      <c r="N944" s="63"/>
      <c r="O944" s="63"/>
      <c r="P944" s="63"/>
      <c r="Q944" s="63"/>
      <c r="R944" t="s">
        <v>180</v>
      </c>
      <c r="S944" t="s">
        <v>2288</v>
      </c>
      <c r="T944" t="s">
        <v>292</v>
      </c>
      <c r="U944" t="s">
        <v>7926</v>
      </c>
      <c r="V944" t="s">
        <v>1825</v>
      </c>
      <c r="W944" t="s">
        <v>259</v>
      </c>
      <c r="Y944" t="s">
        <v>7925</v>
      </c>
      <c r="Z944" t="str">
        <f>"01664 480946"</f>
        <v>01664 480946</v>
      </c>
      <c r="AA944" t="str">
        <f>""</f>
        <v/>
      </c>
      <c r="AB944" t="s">
        <v>1120</v>
      </c>
      <c r="AC944" t="s">
        <v>7924</v>
      </c>
      <c r="AD944" t="s">
        <v>145</v>
      </c>
      <c r="AF944" t="s">
        <v>156</v>
      </c>
      <c r="AG944" t="s">
        <v>112</v>
      </c>
      <c r="AH944" t="s">
        <v>112</v>
      </c>
      <c r="AI944" s="63">
        <v>43190</v>
      </c>
      <c r="AK944" t="s">
        <v>111</v>
      </c>
      <c r="AL944" t="s">
        <v>111</v>
      </c>
      <c r="AM944" t="s">
        <v>111</v>
      </c>
      <c r="AN944" t="s">
        <v>105</v>
      </c>
      <c r="AO944" t="s">
        <v>110</v>
      </c>
      <c r="AP944" t="s">
        <v>109</v>
      </c>
    </row>
    <row r="945" spans="1:42" x14ac:dyDescent="0.25">
      <c r="A945" s="28" t="str">
        <f>"1212"</f>
        <v>1212</v>
      </c>
      <c r="B945">
        <v>1212</v>
      </c>
      <c r="C945" t="s">
        <v>2488</v>
      </c>
      <c r="D945" t="s">
        <v>121</v>
      </c>
      <c r="F945" t="s">
        <v>120</v>
      </c>
      <c r="G945" t="s">
        <v>230</v>
      </c>
      <c r="H945" t="s">
        <v>410</v>
      </c>
      <c r="I945" t="s">
        <v>7923</v>
      </c>
      <c r="J945" t="s">
        <v>7</v>
      </c>
      <c r="K945" s="63">
        <v>16493</v>
      </c>
      <c r="L945" s="28">
        <f>DATEDIF(K945,Zwift25!G$1,"Y")</f>
        <v>79</v>
      </c>
      <c r="M945" s="67">
        <f>IF(J945="m",VLOOKUP(L945,'All Solo Adjustments'!A:D,4,FALSE),VLOOKUP(L945,'All Solo Adjustments'!A:J,10,FALSE))</f>
        <v>1.0451388888888889E-2</v>
      </c>
      <c r="N945" s="63"/>
      <c r="O945" s="63"/>
      <c r="P945" s="63"/>
      <c r="Q945" s="63"/>
      <c r="R945" t="s">
        <v>296</v>
      </c>
      <c r="S945" t="s">
        <v>295</v>
      </c>
      <c r="T945" t="s">
        <v>292</v>
      </c>
      <c r="U945" t="s">
        <v>7922</v>
      </c>
      <c r="V945" t="s">
        <v>7921</v>
      </c>
      <c r="W945" t="s">
        <v>3229</v>
      </c>
      <c r="Y945" t="s">
        <v>7920</v>
      </c>
      <c r="Z945" t="str">
        <f>"01539 731 409"</f>
        <v>01539 731 409</v>
      </c>
      <c r="AA945" t="str">
        <f>""</f>
        <v/>
      </c>
      <c r="AB945" t="s">
        <v>6384</v>
      </c>
      <c r="AC945" t="s">
        <v>7919</v>
      </c>
      <c r="AD945" t="s">
        <v>145</v>
      </c>
      <c r="AE945" s="63">
        <v>45295</v>
      </c>
      <c r="AF945" t="s">
        <v>113</v>
      </c>
      <c r="AG945" t="s">
        <v>112</v>
      </c>
      <c r="AH945" t="s">
        <v>112</v>
      </c>
      <c r="AI945" s="63">
        <v>40981</v>
      </c>
      <c r="AJ945" s="63">
        <v>45657</v>
      </c>
      <c r="AK945" t="s">
        <v>111</v>
      </c>
      <c r="AL945" t="s">
        <v>111</v>
      </c>
      <c r="AM945" t="s">
        <v>111</v>
      </c>
      <c r="AN945" t="s">
        <v>105</v>
      </c>
      <c r="AO945" t="s">
        <v>110</v>
      </c>
      <c r="AP945" t="s">
        <v>109</v>
      </c>
    </row>
    <row r="946" spans="1:42" x14ac:dyDescent="0.25">
      <c r="A946" s="28" t="str">
        <f>"6276"</f>
        <v>6276</v>
      </c>
      <c r="B946">
        <v>6276</v>
      </c>
      <c r="C946" t="s">
        <v>2488</v>
      </c>
      <c r="D946" t="s">
        <v>121</v>
      </c>
      <c r="E946" t="s">
        <v>584</v>
      </c>
      <c r="F946" t="s">
        <v>120</v>
      </c>
      <c r="G946" t="s">
        <v>6427</v>
      </c>
      <c r="I946" t="s">
        <v>7918</v>
      </c>
      <c r="J946" t="s">
        <v>7</v>
      </c>
      <c r="K946" s="63">
        <v>26763</v>
      </c>
      <c r="L946" s="28">
        <f>DATEDIF(K946,Zwift25!G$1,"Y")</f>
        <v>51</v>
      </c>
      <c r="M946" s="67">
        <f>IF(J946="m",VLOOKUP(L946,'All Solo Adjustments'!A:D,4,FALSE),VLOOKUP(L946,'All Solo Adjustments'!A:J,10,FALSE))</f>
        <v>1.3078703703703703E-3</v>
      </c>
      <c r="N946" s="63"/>
      <c r="O946" s="63"/>
      <c r="P946" s="63"/>
      <c r="Q946" s="63"/>
      <c r="R946" t="s">
        <v>118</v>
      </c>
      <c r="S946" t="s">
        <v>117</v>
      </c>
      <c r="T946" t="s">
        <v>292</v>
      </c>
      <c r="U946" t="s">
        <v>7917</v>
      </c>
      <c r="V946" t="s">
        <v>969</v>
      </c>
      <c r="W946" t="s">
        <v>968</v>
      </c>
      <c r="Y946" t="s">
        <v>7916</v>
      </c>
      <c r="Z946" t="str">
        <f>"07967 621448"</f>
        <v>07967 621448</v>
      </c>
      <c r="AA946" t="str">
        <f>""</f>
        <v/>
      </c>
      <c r="AB946" t="s">
        <v>1167</v>
      </c>
      <c r="AC946" t="s">
        <v>7915</v>
      </c>
      <c r="AD946" t="s">
        <v>114</v>
      </c>
      <c r="AE946" s="63">
        <v>45283</v>
      </c>
      <c r="AF946" t="s">
        <v>156</v>
      </c>
      <c r="AG946" t="s">
        <v>112</v>
      </c>
      <c r="AH946" t="s">
        <v>112</v>
      </c>
      <c r="AI946" s="63">
        <v>42876</v>
      </c>
      <c r="AJ946" s="63">
        <v>45657</v>
      </c>
      <c r="AK946" t="s">
        <v>111</v>
      </c>
      <c r="AL946" t="s">
        <v>111</v>
      </c>
      <c r="AM946" t="s">
        <v>111</v>
      </c>
      <c r="AN946">
        <v>3659</v>
      </c>
      <c r="AO946" t="s">
        <v>110</v>
      </c>
      <c r="AP946" t="s">
        <v>109</v>
      </c>
    </row>
    <row r="947" spans="1:42" x14ac:dyDescent="0.25">
      <c r="A947" s="28" t="str">
        <f>"14453"</f>
        <v>14453</v>
      </c>
      <c r="B947">
        <v>14453</v>
      </c>
      <c r="C947" t="s">
        <v>2488</v>
      </c>
      <c r="D947" t="s">
        <v>121</v>
      </c>
      <c r="E947" t="s">
        <v>584</v>
      </c>
      <c r="F947" t="s">
        <v>120</v>
      </c>
      <c r="G947" t="s">
        <v>7914</v>
      </c>
      <c r="I947" t="s">
        <v>7913</v>
      </c>
      <c r="J947" t="s">
        <v>7</v>
      </c>
      <c r="K947" s="63">
        <v>26855</v>
      </c>
      <c r="L947" s="28">
        <f>DATEDIF(K947,Zwift25!G$1,"Y")</f>
        <v>51</v>
      </c>
      <c r="M947" s="67">
        <f>IF(J947="m",VLOOKUP(L947,'All Solo Adjustments'!A:D,4,FALSE),VLOOKUP(L947,'All Solo Adjustments'!A:J,10,FALSE))</f>
        <v>1.3078703703703703E-3</v>
      </c>
      <c r="N947" s="63"/>
      <c r="O947" s="63"/>
      <c r="P947" s="63"/>
      <c r="Q947" s="63"/>
      <c r="R947" t="s">
        <v>213</v>
      </c>
      <c r="S947" t="s">
        <v>212</v>
      </c>
      <c r="T947" t="s">
        <v>292</v>
      </c>
      <c r="U947" t="s">
        <v>7912</v>
      </c>
      <c r="V947" t="s">
        <v>7911</v>
      </c>
      <c r="W947" t="s">
        <v>7910</v>
      </c>
      <c r="X947" t="s">
        <v>1752</v>
      </c>
      <c r="Y947" t="s">
        <v>7909</v>
      </c>
      <c r="Z947" t="str">
        <f>"07968012576"</f>
        <v>07968012576</v>
      </c>
      <c r="AA947" t="str">
        <f>"01515316145"</f>
        <v>01515316145</v>
      </c>
      <c r="AB947" t="s">
        <v>7908</v>
      </c>
      <c r="AC947" t="s">
        <v>7907</v>
      </c>
      <c r="AD947" t="s">
        <v>114</v>
      </c>
      <c r="AE947" s="63">
        <v>45309</v>
      </c>
      <c r="AF947" t="s">
        <v>156</v>
      </c>
      <c r="AG947" t="s">
        <v>112</v>
      </c>
      <c r="AH947" t="s">
        <v>112</v>
      </c>
      <c r="AI947" s="63">
        <v>43872</v>
      </c>
      <c r="AJ947" s="63">
        <v>45657</v>
      </c>
      <c r="AK947" t="s">
        <v>112</v>
      </c>
      <c r="AL947" t="s">
        <v>111</v>
      </c>
      <c r="AM947" t="s">
        <v>111</v>
      </c>
      <c r="AN947">
        <v>33449</v>
      </c>
      <c r="AO947" t="s">
        <v>110</v>
      </c>
      <c r="AP947" t="s">
        <v>109</v>
      </c>
    </row>
    <row r="948" spans="1:42" x14ac:dyDescent="0.25">
      <c r="A948" s="28" t="str">
        <f>"5655"</f>
        <v>5655</v>
      </c>
      <c r="B948">
        <v>5655</v>
      </c>
      <c r="C948" t="s">
        <v>2488</v>
      </c>
      <c r="D948" t="s">
        <v>121</v>
      </c>
      <c r="F948" t="s">
        <v>120</v>
      </c>
      <c r="G948" t="s">
        <v>481</v>
      </c>
      <c r="I948" t="s">
        <v>1823</v>
      </c>
      <c r="J948" t="s">
        <v>7</v>
      </c>
      <c r="K948" s="63">
        <v>9927</v>
      </c>
      <c r="L948" s="28">
        <f>DATEDIF(K948,Zwift25!G$1,"Y")</f>
        <v>97</v>
      </c>
      <c r="M948" s="67">
        <f>IF(J948="m",VLOOKUP(L948,'All Solo Adjustments'!A:D,4,FALSE),VLOOKUP(L948,'All Solo Adjustments'!A:J,10,FALSE))</f>
        <v>2.675925925925926E-2</v>
      </c>
      <c r="N948" s="63"/>
      <c r="O948" s="63"/>
      <c r="P948" s="63"/>
      <c r="Q948" s="63"/>
      <c r="R948" t="s">
        <v>125</v>
      </c>
      <c r="S948" t="s">
        <v>170</v>
      </c>
      <c r="T948" t="s">
        <v>292</v>
      </c>
      <c r="U948" t="s">
        <v>7906</v>
      </c>
      <c r="V948" t="s">
        <v>7905</v>
      </c>
      <c r="W948" t="s">
        <v>123</v>
      </c>
      <c r="Y948" t="s">
        <v>7904</v>
      </c>
      <c r="Z948" t="str">
        <f>"01702 258648"</f>
        <v>01702 258648</v>
      </c>
      <c r="AA948" t="str">
        <f>""</f>
        <v/>
      </c>
      <c r="AB948" t="s">
        <v>1547</v>
      </c>
      <c r="AD948" t="s">
        <v>145</v>
      </c>
      <c r="AE948" s="63">
        <v>45304</v>
      </c>
      <c r="AF948" t="s">
        <v>113</v>
      </c>
      <c r="AG948" t="s">
        <v>112</v>
      </c>
      <c r="AH948" t="s">
        <v>112</v>
      </c>
      <c r="AI948" s="63">
        <v>42343</v>
      </c>
      <c r="AJ948" s="63">
        <v>45657</v>
      </c>
      <c r="AK948" t="s">
        <v>111</v>
      </c>
      <c r="AL948" t="s">
        <v>111</v>
      </c>
      <c r="AM948" t="s">
        <v>111</v>
      </c>
      <c r="AN948" t="s">
        <v>105</v>
      </c>
      <c r="AO948" t="s">
        <v>110</v>
      </c>
      <c r="AP948" t="s">
        <v>109</v>
      </c>
    </row>
    <row r="949" spans="1:42" x14ac:dyDescent="0.25">
      <c r="A949" s="28" t="str">
        <f>"1220"</f>
        <v>1220</v>
      </c>
      <c r="B949">
        <v>1220</v>
      </c>
      <c r="C949" t="s">
        <v>2488</v>
      </c>
      <c r="D949" t="s">
        <v>121</v>
      </c>
      <c r="F949" t="s">
        <v>120</v>
      </c>
      <c r="G949" t="s">
        <v>709</v>
      </c>
      <c r="I949" t="s">
        <v>1823</v>
      </c>
      <c r="J949" t="s">
        <v>7</v>
      </c>
      <c r="K949" s="63">
        <v>13589</v>
      </c>
      <c r="L949" s="28">
        <f>DATEDIF(K949,Zwift25!G$1,"Y")</f>
        <v>87</v>
      </c>
      <c r="M949" s="67">
        <f>IF(J949="m",VLOOKUP(L949,'All Solo Adjustments'!A:D,4,FALSE),VLOOKUP(L949,'All Solo Adjustments'!A:J,10,FALSE))</f>
        <v>1.576388888888889E-2</v>
      </c>
      <c r="N949" s="63"/>
      <c r="O949" s="63"/>
      <c r="P949" s="63"/>
      <c r="Q949" s="63"/>
      <c r="R949" t="s">
        <v>125</v>
      </c>
      <c r="S949" t="s">
        <v>484</v>
      </c>
      <c r="T949" t="s">
        <v>292</v>
      </c>
      <c r="U949" t="s">
        <v>7903</v>
      </c>
      <c r="V949" t="s">
        <v>7902</v>
      </c>
      <c r="W949" t="s">
        <v>169</v>
      </c>
      <c r="Y949" t="s">
        <v>7901</v>
      </c>
      <c r="Z949" t="str">
        <f>"01440 714628"</f>
        <v>01440 714628</v>
      </c>
      <c r="AA949" t="str">
        <f>""</f>
        <v/>
      </c>
      <c r="AB949" t="s">
        <v>942</v>
      </c>
      <c r="AD949" t="s">
        <v>151</v>
      </c>
      <c r="AF949" t="s">
        <v>113</v>
      </c>
      <c r="AG949" t="s">
        <v>112</v>
      </c>
      <c r="AH949" t="s">
        <v>112</v>
      </c>
      <c r="AI949" s="63">
        <v>34021</v>
      </c>
      <c r="AK949" t="s">
        <v>111</v>
      </c>
      <c r="AL949" t="s">
        <v>111</v>
      </c>
      <c r="AM949" t="s">
        <v>111</v>
      </c>
      <c r="AN949" t="s">
        <v>105</v>
      </c>
      <c r="AO949" t="s">
        <v>110</v>
      </c>
      <c r="AP949" t="s">
        <v>109</v>
      </c>
    </row>
    <row r="950" spans="1:42" x14ac:dyDescent="0.25">
      <c r="A950" s="28" t="str">
        <f>"1221"</f>
        <v>1221</v>
      </c>
      <c r="B950">
        <v>1221</v>
      </c>
      <c r="C950" t="s">
        <v>2488</v>
      </c>
      <c r="D950" t="s">
        <v>121</v>
      </c>
      <c r="F950" t="s">
        <v>120</v>
      </c>
      <c r="G950" t="s">
        <v>481</v>
      </c>
      <c r="H950" t="s">
        <v>174</v>
      </c>
      <c r="I950" t="s">
        <v>1823</v>
      </c>
      <c r="J950" t="s">
        <v>7</v>
      </c>
      <c r="K950" s="63">
        <v>19369</v>
      </c>
      <c r="L950" s="28">
        <f>DATEDIF(K950,Zwift25!G$1,"Y")</f>
        <v>71</v>
      </c>
      <c r="M950" s="67">
        <f>IF(J950="m",VLOOKUP(L950,'All Solo Adjustments'!A:D,4,FALSE),VLOOKUP(L950,'All Solo Adjustments'!A:J,10,FALSE))</f>
        <v>6.7245370370370375E-3</v>
      </c>
      <c r="N950" s="63"/>
      <c r="O950" s="63"/>
      <c r="P950" s="63"/>
      <c r="Q950" s="63"/>
      <c r="R950" t="s">
        <v>159</v>
      </c>
      <c r="S950" t="s">
        <v>162</v>
      </c>
      <c r="T950" t="s">
        <v>292</v>
      </c>
      <c r="U950" t="s">
        <v>7900</v>
      </c>
      <c r="V950" t="s">
        <v>7899</v>
      </c>
      <c r="W950" t="s">
        <v>167</v>
      </c>
      <c r="Y950" t="s">
        <v>7898</v>
      </c>
      <c r="Z950" t="str">
        <f>"020 88524952"</f>
        <v>020 88524952</v>
      </c>
      <c r="AA950" t="str">
        <f>"07881505118"</f>
        <v>07881505118</v>
      </c>
      <c r="AB950" t="s">
        <v>1305</v>
      </c>
      <c r="AC950" t="s">
        <v>7897</v>
      </c>
      <c r="AD950" t="s">
        <v>114</v>
      </c>
      <c r="AE950" s="63">
        <v>45292</v>
      </c>
      <c r="AF950" t="s">
        <v>113</v>
      </c>
      <c r="AG950" t="s">
        <v>112</v>
      </c>
      <c r="AH950" t="s">
        <v>112</v>
      </c>
      <c r="AI950" s="63">
        <v>43431</v>
      </c>
      <c r="AJ950" s="63">
        <v>45657</v>
      </c>
      <c r="AK950" t="s">
        <v>111</v>
      </c>
      <c r="AL950" t="s">
        <v>111</v>
      </c>
      <c r="AM950" t="s">
        <v>111</v>
      </c>
      <c r="AN950" t="s">
        <v>105</v>
      </c>
      <c r="AO950" t="s">
        <v>110</v>
      </c>
      <c r="AP950" t="s">
        <v>109</v>
      </c>
    </row>
    <row r="951" spans="1:42" x14ac:dyDescent="0.25">
      <c r="A951" s="28" t="str">
        <f>"1219"</f>
        <v>1219</v>
      </c>
      <c r="B951">
        <v>1219</v>
      </c>
      <c r="C951" t="s">
        <v>2488</v>
      </c>
      <c r="D951" t="s">
        <v>121</v>
      </c>
      <c r="F951" t="s">
        <v>120</v>
      </c>
      <c r="G951" t="s">
        <v>481</v>
      </c>
      <c r="I951" t="s">
        <v>1823</v>
      </c>
      <c r="J951" t="s">
        <v>7</v>
      </c>
      <c r="K951" s="63">
        <v>11389</v>
      </c>
      <c r="L951" s="28">
        <f>DATEDIF(K951,Zwift25!G$1,"Y")</f>
        <v>93</v>
      </c>
      <c r="M951" s="67">
        <f>IF(J951="m",VLOOKUP(L951,'All Solo Adjustments'!A:D,4,FALSE),VLOOKUP(L951,'All Solo Adjustments'!A:J,10,FALSE))</f>
        <v>2.1516203703703704E-2</v>
      </c>
      <c r="N951" s="63"/>
      <c r="O951" s="63"/>
      <c r="P951" s="63"/>
      <c r="Q951" s="63"/>
      <c r="R951" t="s">
        <v>239</v>
      </c>
      <c r="S951" t="s">
        <v>437</v>
      </c>
      <c r="T951" t="s">
        <v>292</v>
      </c>
      <c r="U951" t="s">
        <v>7896</v>
      </c>
      <c r="V951" t="s">
        <v>7895</v>
      </c>
      <c r="W951" t="s">
        <v>127</v>
      </c>
      <c r="Y951" t="s">
        <v>7894</v>
      </c>
      <c r="Z951" t="str">
        <f>"01904 853363"</f>
        <v>01904 853363</v>
      </c>
      <c r="AA951" t="str">
        <f>""</f>
        <v/>
      </c>
      <c r="AB951" t="s">
        <v>2328</v>
      </c>
      <c r="AD951" t="s">
        <v>145</v>
      </c>
      <c r="AF951" t="s">
        <v>113</v>
      </c>
      <c r="AG951" t="s">
        <v>112</v>
      </c>
      <c r="AH951" t="s">
        <v>112</v>
      </c>
      <c r="AI951" s="63">
        <v>26017</v>
      </c>
      <c r="AK951" t="s">
        <v>111</v>
      </c>
      <c r="AL951" t="s">
        <v>111</v>
      </c>
      <c r="AM951" t="s">
        <v>111</v>
      </c>
      <c r="AN951" t="s">
        <v>105</v>
      </c>
      <c r="AO951" t="s">
        <v>110</v>
      </c>
      <c r="AP951" t="s">
        <v>109</v>
      </c>
    </row>
    <row r="952" spans="1:42" x14ac:dyDescent="0.25">
      <c r="A952" s="28" t="str">
        <f>"13137"</f>
        <v>13137</v>
      </c>
      <c r="B952">
        <v>13137</v>
      </c>
      <c r="C952" t="s">
        <v>2488</v>
      </c>
      <c r="D952" t="s">
        <v>132</v>
      </c>
      <c r="F952" t="s">
        <v>149</v>
      </c>
      <c r="G952" t="s">
        <v>2327</v>
      </c>
      <c r="I952" t="s">
        <v>1823</v>
      </c>
      <c r="J952" t="s">
        <v>126</v>
      </c>
      <c r="K952" s="63">
        <v>16001</v>
      </c>
      <c r="L952" s="28">
        <f>DATEDIF(K952,Zwift25!G$1,"Y")</f>
        <v>80</v>
      </c>
      <c r="M952" s="67">
        <f>IF(J952="m",VLOOKUP(L952,'All Solo Adjustments'!A:D,4,FALSE),VLOOKUP(L952,'All Solo Adjustments'!A:J,10,FALSE))</f>
        <v>1.6828703703703703E-2</v>
      </c>
      <c r="N952" s="63"/>
      <c r="O952" s="63"/>
      <c r="P952" s="63"/>
      <c r="Q952" s="63"/>
      <c r="R952" t="s">
        <v>328</v>
      </c>
      <c r="S952" t="s">
        <v>2290</v>
      </c>
      <c r="T952" t="s">
        <v>292</v>
      </c>
      <c r="U952" t="s">
        <v>7893</v>
      </c>
      <c r="V952" t="s">
        <v>1187</v>
      </c>
      <c r="W952" t="s">
        <v>810</v>
      </c>
      <c r="Y952" t="s">
        <v>7892</v>
      </c>
      <c r="Z952" t="str">
        <f>"01229 585609"</f>
        <v>01229 585609</v>
      </c>
      <c r="AA952" t="str">
        <f>"07970 875741"</f>
        <v>07970 875741</v>
      </c>
      <c r="AB952" t="s">
        <v>831</v>
      </c>
      <c r="AC952" t="s">
        <v>7891</v>
      </c>
      <c r="AD952" t="s">
        <v>145</v>
      </c>
      <c r="AF952" t="s">
        <v>113</v>
      </c>
      <c r="AG952" t="s">
        <v>112</v>
      </c>
      <c r="AH952" t="s">
        <v>111</v>
      </c>
      <c r="AI952" s="63">
        <v>43408</v>
      </c>
      <c r="AK952" t="s">
        <v>111</v>
      </c>
      <c r="AL952" t="s">
        <v>111</v>
      </c>
      <c r="AM952" t="s">
        <v>112</v>
      </c>
      <c r="AN952" t="s">
        <v>105</v>
      </c>
      <c r="AO952" t="s">
        <v>122</v>
      </c>
      <c r="AP952" t="s">
        <v>122</v>
      </c>
    </row>
    <row r="953" spans="1:42" x14ac:dyDescent="0.25">
      <c r="A953" s="28" t="str">
        <f>"14342"</f>
        <v>14342</v>
      </c>
      <c r="B953">
        <v>14342</v>
      </c>
      <c r="C953" t="s">
        <v>2488</v>
      </c>
      <c r="D953" t="s">
        <v>121</v>
      </c>
      <c r="F953" t="s">
        <v>120</v>
      </c>
      <c r="G953" t="s">
        <v>366</v>
      </c>
      <c r="I953" t="s">
        <v>1823</v>
      </c>
      <c r="J953" t="s">
        <v>7</v>
      </c>
      <c r="K953" s="63">
        <v>21092</v>
      </c>
      <c r="L953" s="28">
        <f>DATEDIF(K953,Zwift25!G$1,"Y")</f>
        <v>67</v>
      </c>
      <c r="M953" s="67">
        <f>IF(J953="m",VLOOKUP(L953,'All Solo Adjustments'!A:D,4,FALSE),VLOOKUP(L953,'All Solo Adjustments'!A:J,10,FALSE))</f>
        <v>5.2662037037037035E-3</v>
      </c>
      <c r="N953" s="63"/>
      <c r="O953" s="63"/>
      <c r="P953" s="63"/>
      <c r="Q953" s="63"/>
      <c r="R953" t="s">
        <v>125</v>
      </c>
      <c r="S953" t="s">
        <v>170</v>
      </c>
      <c r="T953" t="s">
        <v>292</v>
      </c>
      <c r="U953" t="s">
        <v>7890</v>
      </c>
      <c r="V953" t="s">
        <v>964</v>
      </c>
      <c r="Y953" t="s">
        <v>7889</v>
      </c>
      <c r="Z953" t="str">
        <f>"07899962432"</f>
        <v>07899962432</v>
      </c>
      <c r="AA953" t="str">
        <f>""</f>
        <v/>
      </c>
      <c r="AB953" t="s">
        <v>505</v>
      </c>
      <c r="AC953" t="s">
        <v>7888</v>
      </c>
      <c r="AD953" t="s">
        <v>114</v>
      </c>
      <c r="AE953" s="63">
        <v>45263</v>
      </c>
      <c r="AF953" t="s">
        <v>156</v>
      </c>
      <c r="AG953" t="s">
        <v>112</v>
      </c>
      <c r="AH953" t="s">
        <v>112</v>
      </c>
      <c r="AI953" s="63">
        <v>43689</v>
      </c>
      <c r="AJ953" s="63">
        <v>45657</v>
      </c>
      <c r="AK953" t="s">
        <v>112</v>
      </c>
      <c r="AL953" t="s">
        <v>112</v>
      </c>
      <c r="AM953" t="s">
        <v>111</v>
      </c>
      <c r="AN953">
        <v>3188</v>
      </c>
      <c r="AO953" t="s">
        <v>110</v>
      </c>
      <c r="AP953" t="s">
        <v>109</v>
      </c>
    </row>
    <row r="954" spans="1:42" x14ac:dyDescent="0.25">
      <c r="A954" s="28" t="str">
        <f>"15379"</f>
        <v>15379</v>
      </c>
      <c r="B954">
        <v>15379</v>
      </c>
      <c r="C954" t="s">
        <v>2488</v>
      </c>
      <c r="D954" t="s">
        <v>121</v>
      </c>
      <c r="F954" t="s">
        <v>120</v>
      </c>
      <c r="G954" t="s">
        <v>481</v>
      </c>
      <c r="H954" t="s">
        <v>284</v>
      </c>
      <c r="I954" t="s">
        <v>1823</v>
      </c>
      <c r="J954" t="s">
        <v>7</v>
      </c>
      <c r="K954" s="63">
        <v>20929</v>
      </c>
      <c r="L954" s="28">
        <f>DATEDIF(K954,Zwift25!G$1,"Y")</f>
        <v>67</v>
      </c>
      <c r="M954" s="67">
        <f>IF(J954="m",VLOOKUP(L954,'All Solo Adjustments'!A:D,4,FALSE),VLOOKUP(L954,'All Solo Adjustments'!A:J,10,FALSE))</f>
        <v>5.2662037037037035E-3</v>
      </c>
      <c r="N954" s="63"/>
      <c r="O954" s="63"/>
      <c r="P954" s="63"/>
      <c r="Q954" s="63"/>
      <c r="R954" t="s">
        <v>198</v>
      </c>
      <c r="S954" t="s">
        <v>461</v>
      </c>
      <c r="T954" t="s">
        <v>292</v>
      </c>
      <c r="U954" t="s">
        <v>7887</v>
      </c>
      <c r="V954" t="s">
        <v>1005</v>
      </c>
      <c r="W954" t="s">
        <v>1004</v>
      </c>
      <c r="X954" t="s">
        <v>196</v>
      </c>
      <c r="Y954" t="s">
        <v>7886</v>
      </c>
      <c r="Z954" t="str">
        <f>"07813587375"</f>
        <v>07813587375</v>
      </c>
      <c r="AA954" t="str">
        <f>"01625560108"</f>
        <v>01625560108</v>
      </c>
      <c r="AB954" t="s">
        <v>1003</v>
      </c>
      <c r="AC954" t="s">
        <v>7885</v>
      </c>
      <c r="AD954" t="s">
        <v>114</v>
      </c>
      <c r="AE954" s="63">
        <v>45279</v>
      </c>
      <c r="AF954" t="s">
        <v>156</v>
      </c>
      <c r="AG954" t="s">
        <v>112</v>
      </c>
      <c r="AH954" t="s">
        <v>112</v>
      </c>
      <c r="AI954" s="63">
        <v>44616</v>
      </c>
      <c r="AJ954" s="63">
        <v>45657</v>
      </c>
      <c r="AK954" t="s">
        <v>112</v>
      </c>
      <c r="AL954" t="s">
        <v>111</v>
      </c>
      <c r="AM954" t="s">
        <v>111</v>
      </c>
      <c r="AN954">
        <v>23760</v>
      </c>
      <c r="AO954" t="s">
        <v>110</v>
      </c>
      <c r="AP954" t="s">
        <v>109</v>
      </c>
    </row>
    <row r="955" spans="1:42" x14ac:dyDescent="0.25">
      <c r="A955" s="28" t="str">
        <f>"15407"</f>
        <v>15407</v>
      </c>
      <c r="B955">
        <v>15407</v>
      </c>
      <c r="C955" t="s">
        <v>2488</v>
      </c>
      <c r="D955" t="s">
        <v>121</v>
      </c>
      <c r="F955" t="s">
        <v>120</v>
      </c>
      <c r="G955" t="s">
        <v>221</v>
      </c>
      <c r="H955" t="s">
        <v>1939</v>
      </c>
      <c r="I955" t="s">
        <v>1823</v>
      </c>
      <c r="J955" t="s">
        <v>7</v>
      </c>
      <c r="K955" s="63">
        <v>24796</v>
      </c>
      <c r="L955" s="28">
        <f>DATEDIF(K955,Zwift25!G$1,"Y")</f>
        <v>56</v>
      </c>
      <c r="M955" s="67">
        <f>IF(J955="m",VLOOKUP(L955,'All Solo Adjustments'!A:D,4,FALSE),VLOOKUP(L955,'All Solo Adjustments'!A:J,10,FALSE))</f>
        <v>2.2685185185185182E-3</v>
      </c>
      <c r="N955" s="63"/>
      <c r="O955" s="63"/>
      <c r="P955" s="63"/>
      <c r="Q955" s="63"/>
      <c r="R955" t="s">
        <v>283</v>
      </c>
      <c r="S955" t="s">
        <v>530</v>
      </c>
      <c r="T955" t="s">
        <v>292</v>
      </c>
      <c r="U955" t="s">
        <v>7884</v>
      </c>
      <c r="V955" t="s">
        <v>7883</v>
      </c>
      <c r="Y955" t="s">
        <v>7882</v>
      </c>
      <c r="Z955" t="str">
        <f>"01777816088"</f>
        <v>01777816088</v>
      </c>
      <c r="AA955" t="str">
        <f>"07908147884"</f>
        <v>07908147884</v>
      </c>
      <c r="AB955" t="s">
        <v>290</v>
      </c>
      <c r="AC955" t="s">
        <v>7881</v>
      </c>
      <c r="AD955" t="s">
        <v>114</v>
      </c>
      <c r="AE955" s="63">
        <v>45292</v>
      </c>
      <c r="AF955" t="s">
        <v>156</v>
      </c>
      <c r="AG955" t="s">
        <v>112</v>
      </c>
      <c r="AH955" t="s">
        <v>112</v>
      </c>
      <c r="AI955" s="63">
        <v>44641</v>
      </c>
      <c r="AJ955" s="63">
        <v>45657</v>
      </c>
      <c r="AK955" t="s">
        <v>112</v>
      </c>
      <c r="AL955" t="s">
        <v>111</v>
      </c>
      <c r="AM955" t="s">
        <v>111</v>
      </c>
      <c r="AN955">
        <v>859</v>
      </c>
      <c r="AO955" t="s">
        <v>110</v>
      </c>
      <c r="AP955" t="s">
        <v>109</v>
      </c>
    </row>
    <row r="956" spans="1:42" x14ac:dyDescent="0.25">
      <c r="A956" s="28" t="str">
        <f>"15560"</f>
        <v>15560</v>
      </c>
      <c r="B956">
        <v>15560</v>
      </c>
      <c r="C956" t="s">
        <v>2488</v>
      </c>
      <c r="D956" t="s">
        <v>121</v>
      </c>
      <c r="F956" t="s">
        <v>144</v>
      </c>
      <c r="G956" t="s">
        <v>129</v>
      </c>
      <c r="I956" t="s">
        <v>7880</v>
      </c>
      <c r="J956" t="s">
        <v>126</v>
      </c>
      <c r="K956" s="63">
        <v>29516</v>
      </c>
      <c r="L956" s="28">
        <f>DATEDIF(K956,Zwift25!G$1,"Y")</f>
        <v>43</v>
      </c>
      <c r="M956" s="67">
        <f>IF(J956="m",VLOOKUP(L956,'All Solo Adjustments'!A:D,4,FALSE),VLOOKUP(L956,'All Solo Adjustments'!A:J,10,FALSE))</f>
        <v>4.5254629629629629E-3</v>
      </c>
      <c r="N956" s="63"/>
      <c r="O956" s="63"/>
      <c r="P956" s="63"/>
      <c r="Q956" s="63"/>
      <c r="R956" t="s">
        <v>154</v>
      </c>
      <c r="S956" t="s">
        <v>153</v>
      </c>
      <c r="T956" t="s">
        <v>292</v>
      </c>
      <c r="U956" t="s">
        <v>7879</v>
      </c>
      <c r="V956" t="s">
        <v>7878</v>
      </c>
      <c r="W956" t="s">
        <v>411</v>
      </c>
      <c r="Y956" t="s">
        <v>7877</v>
      </c>
      <c r="Z956" t="str">
        <f>"07989563239"</f>
        <v>07989563239</v>
      </c>
      <c r="AA956" t="str">
        <f>""</f>
        <v/>
      </c>
      <c r="AB956" t="s">
        <v>312</v>
      </c>
      <c r="AC956" t="s">
        <v>7876</v>
      </c>
      <c r="AD956" t="s">
        <v>114</v>
      </c>
      <c r="AE956" s="63">
        <v>45295</v>
      </c>
      <c r="AF956" t="s">
        <v>113</v>
      </c>
      <c r="AG956" t="s">
        <v>112</v>
      </c>
      <c r="AH956" t="s">
        <v>112</v>
      </c>
      <c r="AI956" s="63">
        <v>44752</v>
      </c>
      <c r="AJ956" s="63">
        <v>45657</v>
      </c>
      <c r="AK956" t="s">
        <v>112</v>
      </c>
      <c r="AL956" t="s">
        <v>111</v>
      </c>
      <c r="AM956" t="s">
        <v>111</v>
      </c>
      <c r="AN956">
        <v>4371</v>
      </c>
      <c r="AO956" t="s">
        <v>122</v>
      </c>
      <c r="AP956" t="s">
        <v>122</v>
      </c>
    </row>
    <row r="957" spans="1:42" x14ac:dyDescent="0.25">
      <c r="A957" s="28" t="str">
        <f>"1230"</f>
        <v>1230</v>
      </c>
      <c r="B957">
        <v>1230</v>
      </c>
      <c r="C957" t="s">
        <v>2488</v>
      </c>
      <c r="D957" t="s">
        <v>121</v>
      </c>
      <c r="F957" t="s">
        <v>120</v>
      </c>
      <c r="G957" t="s">
        <v>7875</v>
      </c>
      <c r="I957" t="s">
        <v>359</v>
      </c>
      <c r="J957" t="s">
        <v>7</v>
      </c>
      <c r="K957" s="63">
        <v>9863</v>
      </c>
      <c r="L957" s="28">
        <f>DATEDIF(K957,Zwift25!G$1,"Y")</f>
        <v>97</v>
      </c>
      <c r="M957" s="67">
        <f>IF(J957="m",VLOOKUP(L957,'All Solo Adjustments'!A:D,4,FALSE),VLOOKUP(L957,'All Solo Adjustments'!A:J,10,FALSE))</f>
        <v>2.675925925925926E-2</v>
      </c>
      <c r="N957" s="63"/>
      <c r="O957" s="63"/>
      <c r="P957" s="63"/>
      <c r="Q957" s="63"/>
      <c r="R957" t="s">
        <v>180</v>
      </c>
      <c r="S957" t="s">
        <v>2288</v>
      </c>
      <c r="T957" t="s">
        <v>292</v>
      </c>
      <c r="U957" t="s">
        <v>7874</v>
      </c>
      <c r="V957" t="s">
        <v>4294</v>
      </c>
      <c r="W957" t="s">
        <v>983</v>
      </c>
      <c r="Y957" t="s">
        <v>7873</v>
      </c>
      <c r="Z957" t="str">
        <f>"0115 9611790"</f>
        <v>0115 9611790</v>
      </c>
      <c r="AA957" t="str">
        <f>""</f>
        <v/>
      </c>
      <c r="AB957" t="s">
        <v>982</v>
      </c>
      <c r="AD957" t="s">
        <v>151</v>
      </c>
      <c r="AF957" t="s">
        <v>113</v>
      </c>
      <c r="AG957" t="s">
        <v>112</v>
      </c>
      <c r="AH957" t="s">
        <v>112</v>
      </c>
      <c r="AK957" t="s">
        <v>111</v>
      </c>
      <c r="AL957" t="s">
        <v>111</v>
      </c>
      <c r="AM957" t="s">
        <v>111</v>
      </c>
      <c r="AN957" t="s">
        <v>105</v>
      </c>
      <c r="AO957" t="s">
        <v>110</v>
      </c>
      <c r="AP957" t="s">
        <v>109</v>
      </c>
    </row>
    <row r="958" spans="1:42" x14ac:dyDescent="0.25">
      <c r="A958" s="28" t="str">
        <f>"7533"</f>
        <v>7533</v>
      </c>
      <c r="B958">
        <v>7533</v>
      </c>
      <c r="C958" t="s">
        <v>2488</v>
      </c>
      <c r="D958" t="s">
        <v>121</v>
      </c>
      <c r="F958" t="s">
        <v>149</v>
      </c>
      <c r="G958" t="s">
        <v>798</v>
      </c>
      <c r="I958" t="s">
        <v>359</v>
      </c>
      <c r="J958" t="s">
        <v>126</v>
      </c>
      <c r="K958" s="63">
        <v>1</v>
      </c>
      <c r="L958" s="28">
        <f>DATEDIF(K958,Zwift25!G$1,"Y")</f>
        <v>124</v>
      </c>
      <c r="M958" s="67" t="e">
        <f>IF(J958="m",VLOOKUP(L958,'All Solo Adjustments'!A:D,4,FALSE),VLOOKUP(L958,'All Solo Adjustments'!A:J,10,FALSE))</f>
        <v>#N/A</v>
      </c>
      <c r="N958" s="63"/>
      <c r="O958" s="63"/>
      <c r="P958" s="63"/>
      <c r="Q958" s="63"/>
      <c r="R958" t="s">
        <v>180</v>
      </c>
      <c r="S958" t="s">
        <v>2288</v>
      </c>
      <c r="T958" t="s">
        <v>292</v>
      </c>
      <c r="U958" t="s">
        <v>7874</v>
      </c>
      <c r="V958" t="s">
        <v>4294</v>
      </c>
      <c r="W958" t="s">
        <v>983</v>
      </c>
      <c r="Y958" t="s">
        <v>7873</v>
      </c>
      <c r="Z958" t="str">
        <f>"0115 9611790"</f>
        <v>0115 9611790</v>
      </c>
      <c r="AA958" t="str">
        <f>""</f>
        <v/>
      </c>
      <c r="AB958" t="s">
        <v>982</v>
      </c>
      <c r="AD958" t="s">
        <v>151</v>
      </c>
      <c r="AF958" t="s">
        <v>113</v>
      </c>
      <c r="AG958" t="s">
        <v>111</v>
      </c>
      <c r="AH958" t="s">
        <v>111</v>
      </c>
      <c r="AK958" t="s">
        <v>111</v>
      </c>
      <c r="AL958" t="s">
        <v>111</v>
      </c>
      <c r="AM958" t="s">
        <v>111</v>
      </c>
      <c r="AN958" t="s">
        <v>105</v>
      </c>
      <c r="AO958" t="s">
        <v>122</v>
      </c>
      <c r="AP958" t="s">
        <v>122</v>
      </c>
    </row>
    <row r="959" spans="1:42" x14ac:dyDescent="0.25">
      <c r="A959" s="28" t="str">
        <f>"1234"</f>
        <v>1234</v>
      </c>
      <c r="B959">
        <v>1234</v>
      </c>
      <c r="C959" t="s">
        <v>2488</v>
      </c>
      <c r="D959" t="s">
        <v>121</v>
      </c>
      <c r="F959" t="s">
        <v>120</v>
      </c>
      <c r="G959" t="s">
        <v>300</v>
      </c>
      <c r="I959" t="s">
        <v>359</v>
      </c>
      <c r="J959" t="s">
        <v>7</v>
      </c>
      <c r="K959" s="63">
        <v>15674</v>
      </c>
      <c r="L959" s="28">
        <f>DATEDIF(K959,Zwift25!G$1,"Y")</f>
        <v>81</v>
      </c>
      <c r="M959" s="67">
        <f>IF(J959="m",VLOOKUP(L959,'All Solo Adjustments'!A:D,4,FALSE),VLOOKUP(L959,'All Solo Adjustments'!A:J,10,FALSE))</f>
        <v>1.1597222222222222E-2</v>
      </c>
      <c r="N959" s="63"/>
      <c r="O959" s="63"/>
      <c r="P959" s="63"/>
      <c r="Q959" s="63"/>
      <c r="R959" t="s">
        <v>154</v>
      </c>
      <c r="S959" t="s">
        <v>153</v>
      </c>
      <c r="T959" t="s">
        <v>292</v>
      </c>
      <c r="U959" t="s">
        <v>7872</v>
      </c>
      <c r="V959" t="s">
        <v>7871</v>
      </c>
      <c r="W959" t="s">
        <v>669</v>
      </c>
      <c r="Y959" t="s">
        <v>7870</v>
      </c>
      <c r="Z959" t="str">
        <f>"07552626980"</f>
        <v>07552626980</v>
      </c>
      <c r="AA959" t="str">
        <f>""</f>
        <v/>
      </c>
      <c r="AB959" t="s">
        <v>1793</v>
      </c>
      <c r="AC959" t="s">
        <v>7869</v>
      </c>
      <c r="AD959" t="s">
        <v>114</v>
      </c>
      <c r="AE959" s="63">
        <v>45333</v>
      </c>
      <c r="AF959" t="s">
        <v>156</v>
      </c>
      <c r="AG959" t="s">
        <v>112</v>
      </c>
      <c r="AH959" t="s">
        <v>112</v>
      </c>
      <c r="AI959" s="63">
        <v>31778</v>
      </c>
      <c r="AJ959" s="63">
        <v>45657</v>
      </c>
      <c r="AK959" t="s">
        <v>111</v>
      </c>
      <c r="AL959" t="s">
        <v>111</v>
      </c>
      <c r="AM959" t="s">
        <v>111</v>
      </c>
      <c r="AN959" t="s">
        <v>105</v>
      </c>
      <c r="AO959" t="s">
        <v>110</v>
      </c>
      <c r="AP959" t="s">
        <v>109</v>
      </c>
    </row>
    <row r="960" spans="1:42" x14ac:dyDescent="0.25">
      <c r="A960" s="28" t="str">
        <f>"5081"</f>
        <v>5081</v>
      </c>
      <c r="B960">
        <v>5081</v>
      </c>
      <c r="C960" t="s">
        <v>2488</v>
      </c>
      <c r="D960" t="s">
        <v>121</v>
      </c>
      <c r="F960" t="s">
        <v>120</v>
      </c>
      <c r="G960" t="s">
        <v>185</v>
      </c>
      <c r="I960" t="s">
        <v>359</v>
      </c>
      <c r="J960" t="s">
        <v>7</v>
      </c>
      <c r="K960" s="63">
        <v>26075</v>
      </c>
      <c r="L960" s="28">
        <f>DATEDIF(K960,Zwift25!G$1,"Y")</f>
        <v>53</v>
      </c>
      <c r="M960" s="67">
        <f>IF(J960="m",VLOOKUP(L960,'All Solo Adjustments'!A:D,4,FALSE),VLOOKUP(L960,'All Solo Adjustments'!A:J,10,FALSE))</f>
        <v>1.6666666666666668E-3</v>
      </c>
      <c r="N960" s="63"/>
      <c r="O960" s="63"/>
      <c r="P960" s="63"/>
      <c r="Q960" s="63"/>
      <c r="R960" t="s">
        <v>154</v>
      </c>
      <c r="S960" t="s">
        <v>153</v>
      </c>
      <c r="T960" t="s">
        <v>292</v>
      </c>
      <c r="U960" t="s">
        <v>7868</v>
      </c>
      <c r="V960" t="s">
        <v>7867</v>
      </c>
      <c r="W960" t="s">
        <v>2110</v>
      </c>
      <c r="X960" t="s">
        <v>1059</v>
      </c>
      <c r="Y960" t="s">
        <v>7866</v>
      </c>
      <c r="Z960" t="str">
        <f>"07597712722"</f>
        <v>07597712722</v>
      </c>
      <c r="AA960" t="str">
        <f>"07972143061"</f>
        <v>07972143061</v>
      </c>
      <c r="AB960" t="s">
        <v>490</v>
      </c>
      <c r="AC960" t="s">
        <v>7865</v>
      </c>
      <c r="AD960" t="s">
        <v>114</v>
      </c>
      <c r="AE960" s="63">
        <v>45292</v>
      </c>
      <c r="AF960" t="s">
        <v>156</v>
      </c>
      <c r="AG960" t="s">
        <v>112</v>
      </c>
      <c r="AH960" t="s">
        <v>112</v>
      </c>
      <c r="AI960" s="63">
        <v>41771</v>
      </c>
      <c r="AJ960" s="63">
        <v>45657</v>
      </c>
      <c r="AK960" t="s">
        <v>111</v>
      </c>
      <c r="AL960" t="s">
        <v>111</v>
      </c>
      <c r="AM960" t="s">
        <v>111</v>
      </c>
      <c r="AN960">
        <v>4006</v>
      </c>
      <c r="AO960" t="s">
        <v>110</v>
      </c>
      <c r="AP960" t="s">
        <v>109</v>
      </c>
    </row>
    <row r="961" spans="1:42" x14ac:dyDescent="0.25">
      <c r="A961" s="28" t="str">
        <f>"1231"</f>
        <v>1231</v>
      </c>
      <c r="B961">
        <v>1231</v>
      </c>
      <c r="C961" t="s">
        <v>2488</v>
      </c>
      <c r="D961" t="s">
        <v>121</v>
      </c>
      <c r="F961" t="s">
        <v>120</v>
      </c>
      <c r="G961" t="s">
        <v>231</v>
      </c>
      <c r="I961" t="s">
        <v>359</v>
      </c>
      <c r="J961" t="s">
        <v>7</v>
      </c>
      <c r="K961" s="63">
        <v>14345</v>
      </c>
      <c r="L961" s="28">
        <f>DATEDIF(K961,Zwift25!G$1,"Y")</f>
        <v>85</v>
      </c>
      <c r="M961" s="67">
        <f>IF(J961="m",VLOOKUP(L961,'All Solo Adjustments'!A:D,4,FALSE),VLOOKUP(L961,'All Solo Adjustments'!A:J,10,FALSE))</f>
        <v>1.4236111111111111E-2</v>
      </c>
      <c r="N961" s="63"/>
      <c r="O961" s="63"/>
      <c r="P961" s="63"/>
      <c r="Q961" s="63"/>
      <c r="R961" t="s">
        <v>137</v>
      </c>
      <c r="S961" t="s">
        <v>136</v>
      </c>
      <c r="T961" t="s">
        <v>292</v>
      </c>
      <c r="U961" t="s">
        <v>7864</v>
      </c>
      <c r="V961" t="s">
        <v>7863</v>
      </c>
      <c r="W961" t="s">
        <v>7862</v>
      </c>
      <c r="X961" t="s">
        <v>208</v>
      </c>
      <c r="Y961" t="s">
        <v>7861</v>
      </c>
      <c r="Z961" t="str">
        <f>"02392 671396"</f>
        <v>02392 671396</v>
      </c>
      <c r="AA961" t="str">
        <f>""</f>
        <v/>
      </c>
      <c r="AB961" t="s">
        <v>353</v>
      </c>
      <c r="AC961" t="s">
        <v>7860</v>
      </c>
      <c r="AD961" t="s">
        <v>114</v>
      </c>
      <c r="AE961" s="63">
        <v>45280</v>
      </c>
      <c r="AF961" t="s">
        <v>113</v>
      </c>
      <c r="AG961" t="s">
        <v>112</v>
      </c>
      <c r="AH961" t="s">
        <v>112</v>
      </c>
      <c r="AI961" s="63">
        <v>34273</v>
      </c>
      <c r="AJ961" s="63">
        <v>45657</v>
      </c>
      <c r="AK961" t="s">
        <v>111</v>
      </c>
      <c r="AL961" t="s">
        <v>111</v>
      </c>
      <c r="AM961" t="s">
        <v>111</v>
      </c>
      <c r="AN961" t="s">
        <v>105</v>
      </c>
      <c r="AO961" t="s">
        <v>110</v>
      </c>
      <c r="AP961" t="s">
        <v>109</v>
      </c>
    </row>
    <row r="962" spans="1:42" x14ac:dyDescent="0.25">
      <c r="A962" s="28" t="str">
        <f>"1229"</f>
        <v>1229</v>
      </c>
      <c r="B962">
        <v>1229</v>
      </c>
      <c r="C962" t="s">
        <v>2488</v>
      </c>
      <c r="D962" t="s">
        <v>121</v>
      </c>
      <c r="F962" t="s">
        <v>120</v>
      </c>
      <c r="G962" t="s">
        <v>389</v>
      </c>
      <c r="I962" t="s">
        <v>359</v>
      </c>
      <c r="J962" t="s">
        <v>7</v>
      </c>
      <c r="K962" s="63">
        <v>14298</v>
      </c>
      <c r="L962" s="28">
        <f>DATEDIF(K962,Zwift25!G$1,"Y")</f>
        <v>85</v>
      </c>
      <c r="M962" s="67">
        <f>IF(J962="m",VLOOKUP(L962,'All Solo Adjustments'!A:D,4,FALSE),VLOOKUP(L962,'All Solo Adjustments'!A:J,10,FALSE))</f>
        <v>1.4236111111111111E-2</v>
      </c>
      <c r="N962" s="63"/>
      <c r="O962" s="63"/>
      <c r="P962" s="63"/>
      <c r="Q962" s="63"/>
      <c r="R962" t="s">
        <v>213</v>
      </c>
      <c r="S962" t="s">
        <v>2309</v>
      </c>
      <c r="T962" t="s">
        <v>292</v>
      </c>
      <c r="U962" t="s">
        <v>7859</v>
      </c>
      <c r="V962" t="s">
        <v>1716</v>
      </c>
      <c r="W962" t="s">
        <v>1787</v>
      </c>
      <c r="Y962" t="s">
        <v>7858</v>
      </c>
      <c r="Z962" t="str">
        <f>"01691 657987"</f>
        <v>01691 657987</v>
      </c>
      <c r="AA962" t="str">
        <f>""</f>
        <v/>
      </c>
      <c r="AB962" t="s">
        <v>533</v>
      </c>
      <c r="AD962" t="s">
        <v>145</v>
      </c>
      <c r="AF962" t="s">
        <v>113</v>
      </c>
      <c r="AG962" t="s">
        <v>112</v>
      </c>
      <c r="AH962" t="s">
        <v>112</v>
      </c>
      <c r="AI962" s="63">
        <v>28856</v>
      </c>
      <c r="AK962" t="s">
        <v>111</v>
      </c>
      <c r="AL962" t="s">
        <v>111</v>
      </c>
      <c r="AM962" t="s">
        <v>111</v>
      </c>
      <c r="AN962" t="s">
        <v>105</v>
      </c>
      <c r="AO962" t="s">
        <v>110</v>
      </c>
      <c r="AP962" t="s">
        <v>109</v>
      </c>
    </row>
    <row r="963" spans="1:42" x14ac:dyDescent="0.25">
      <c r="A963" s="28" t="str">
        <f>"13719"</f>
        <v>13719</v>
      </c>
      <c r="B963">
        <v>13719</v>
      </c>
      <c r="C963" t="s">
        <v>2488</v>
      </c>
      <c r="D963" t="s">
        <v>121</v>
      </c>
      <c r="F963" t="s">
        <v>120</v>
      </c>
      <c r="G963" t="s">
        <v>485</v>
      </c>
      <c r="I963" t="s">
        <v>359</v>
      </c>
      <c r="J963" t="s">
        <v>7</v>
      </c>
      <c r="K963" s="63">
        <v>20782</v>
      </c>
      <c r="L963" s="28">
        <f>DATEDIF(K963,Zwift25!G$1,"Y")</f>
        <v>67</v>
      </c>
      <c r="M963" s="67">
        <f>IF(J963="m",VLOOKUP(L963,'All Solo Adjustments'!A:D,4,FALSE),VLOOKUP(L963,'All Solo Adjustments'!A:J,10,FALSE))</f>
        <v>5.2662037037037035E-3</v>
      </c>
      <c r="N963" s="63"/>
      <c r="O963" s="63"/>
      <c r="P963" s="63"/>
      <c r="Q963" s="63"/>
      <c r="R963" t="s">
        <v>159</v>
      </c>
      <c r="S963" t="s">
        <v>162</v>
      </c>
      <c r="T963" t="s">
        <v>292</v>
      </c>
      <c r="U963" t="s">
        <v>7857</v>
      </c>
      <c r="V963" t="s">
        <v>7856</v>
      </c>
      <c r="W963" t="s">
        <v>5146</v>
      </c>
      <c r="X963" t="s">
        <v>159</v>
      </c>
      <c r="Y963" t="s">
        <v>7855</v>
      </c>
      <c r="Z963" t="str">
        <f>"07593834911"</f>
        <v>07593834911</v>
      </c>
      <c r="AA963" t="str">
        <f>""</f>
        <v/>
      </c>
      <c r="AB963" t="s">
        <v>7854</v>
      </c>
      <c r="AC963" t="s">
        <v>7853</v>
      </c>
      <c r="AD963" t="s">
        <v>114</v>
      </c>
      <c r="AE963" s="63">
        <v>45301</v>
      </c>
      <c r="AF963" t="s">
        <v>156</v>
      </c>
      <c r="AG963" t="s">
        <v>112</v>
      </c>
      <c r="AH963" t="s">
        <v>112</v>
      </c>
      <c r="AI963" s="63">
        <v>43297</v>
      </c>
      <c r="AJ963" s="63">
        <v>45657</v>
      </c>
      <c r="AK963" t="s">
        <v>112</v>
      </c>
      <c r="AL963" t="s">
        <v>111</v>
      </c>
      <c r="AM963" t="s">
        <v>111</v>
      </c>
      <c r="AN963">
        <v>1641</v>
      </c>
      <c r="AO963" t="s">
        <v>110</v>
      </c>
      <c r="AP963" t="s">
        <v>109</v>
      </c>
    </row>
    <row r="964" spans="1:42" x14ac:dyDescent="0.25">
      <c r="A964" s="28" t="str">
        <f>"15408"</f>
        <v>15408</v>
      </c>
      <c r="B964">
        <v>15408</v>
      </c>
      <c r="C964" t="s">
        <v>2488</v>
      </c>
      <c r="D964" t="s">
        <v>121</v>
      </c>
      <c r="E964" t="s">
        <v>584</v>
      </c>
      <c r="F964" t="s">
        <v>120</v>
      </c>
      <c r="G964" t="s">
        <v>334</v>
      </c>
      <c r="H964" t="s">
        <v>392</v>
      </c>
      <c r="I964" t="s">
        <v>359</v>
      </c>
      <c r="J964" t="s">
        <v>7</v>
      </c>
      <c r="K964" s="63">
        <v>27099</v>
      </c>
      <c r="L964" s="28">
        <f>DATEDIF(K964,Zwift25!G$1,"Y")</f>
        <v>50</v>
      </c>
      <c r="M964" s="67">
        <f>IF(J964="m",VLOOKUP(L964,'All Solo Adjustments'!A:D,4,FALSE),VLOOKUP(L964,'All Solo Adjustments'!A:J,10,FALSE))</f>
        <v>1.1342592592592591E-3</v>
      </c>
      <c r="N964" s="63"/>
      <c r="O964" s="63"/>
      <c r="P964" s="63"/>
      <c r="Q964" s="63"/>
      <c r="R964" t="s">
        <v>125</v>
      </c>
      <c r="S964" t="s">
        <v>170</v>
      </c>
      <c r="T964" t="s">
        <v>292</v>
      </c>
      <c r="U964" t="s">
        <v>7852</v>
      </c>
      <c r="V964" t="s">
        <v>1229</v>
      </c>
      <c r="Y964" t="s">
        <v>7851</v>
      </c>
      <c r="Z964" t="str">
        <f>"07583918611"</f>
        <v>07583918611</v>
      </c>
      <c r="AA964" t="str">
        <f>""</f>
        <v/>
      </c>
      <c r="AB964" t="s">
        <v>1541</v>
      </c>
      <c r="AC964" t="s">
        <v>7850</v>
      </c>
      <c r="AD964" t="s">
        <v>114</v>
      </c>
      <c r="AE964" s="63">
        <v>45426</v>
      </c>
      <c r="AF964" t="s">
        <v>156</v>
      </c>
      <c r="AG964" t="s">
        <v>112</v>
      </c>
      <c r="AH964" t="s">
        <v>112</v>
      </c>
      <c r="AI964" s="63">
        <v>44643</v>
      </c>
      <c r="AJ964" s="63">
        <v>45657</v>
      </c>
      <c r="AK964" t="s">
        <v>112</v>
      </c>
      <c r="AL964" t="s">
        <v>111</v>
      </c>
      <c r="AM964" t="s">
        <v>111</v>
      </c>
      <c r="AN964">
        <v>9303</v>
      </c>
      <c r="AO964" t="s">
        <v>110</v>
      </c>
      <c r="AP964" t="s">
        <v>109</v>
      </c>
    </row>
    <row r="965" spans="1:42" x14ac:dyDescent="0.25">
      <c r="A965" s="28" t="str">
        <f>"3319"</f>
        <v>3319</v>
      </c>
      <c r="B965">
        <v>3319</v>
      </c>
      <c r="C965" t="s">
        <v>2488</v>
      </c>
      <c r="D965" t="s">
        <v>121</v>
      </c>
      <c r="F965" t="s">
        <v>120</v>
      </c>
      <c r="G965" t="s">
        <v>7849</v>
      </c>
      <c r="I965" t="s">
        <v>7848</v>
      </c>
      <c r="J965" t="s">
        <v>7</v>
      </c>
      <c r="K965" s="63">
        <v>17025</v>
      </c>
      <c r="L965" s="28">
        <f>DATEDIF(K965,Zwift25!G$1,"Y")</f>
        <v>78</v>
      </c>
      <c r="M965" s="67">
        <f>IF(J965="m",VLOOKUP(L965,'All Solo Adjustments'!A:D,4,FALSE),VLOOKUP(L965,'All Solo Adjustments'!A:J,10,FALSE))</f>
        <v>9.9189814814814817E-3</v>
      </c>
      <c r="N965" s="63"/>
      <c r="O965" s="63"/>
      <c r="P965" s="63"/>
      <c r="Q965" s="63"/>
      <c r="R965" t="s">
        <v>154</v>
      </c>
      <c r="S965" t="s">
        <v>153</v>
      </c>
      <c r="T965" t="s">
        <v>292</v>
      </c>
      <c r="U965" t="s">
        <v>7847</v>
      </c>
      <c r="V965" t="s">
        <v>7846</v>
      </c>
      <c r="W965" t="s">
        <v>669</v>
      </c>
      <c r="Y965" t="s">
        <v>7845</v>
      </c>
      <c r="Z965" t="str">
        <f>"0117 9773057"</f>
        <v>0117 9773057</v>
      </c>
      <c r="AA965" t="str">
        <f>""</f>
        <v/>
      </c>
      <c r="AB965" t="s">
        <v>668</v>
      </c>
      <c r="AD965" t="s">
        <v>145</v>
      </c>
      <c r="AE965" s="63">
        <v>45318</v>
      </c>
      <c r="AF965" t="s">
        <v>113</v>
      </c>
      <c r="AG965" t="s">
        <v>112</v>
      </c>
      <c r="AH965" t="s">
        <v>112</v>
      </c>
      <c r="AI965" s="63">
        <v>39556</v>
      </c>
      <c r="AJ965" s="63">
        <v>45657</v>
      </c>
      <c r="AK965" t="s">
        <v>111</v>
      </c>
      <c r="AL965" t="s">
        <v>111</v>
      </c>
      <c r="AM965" t="s">
        <v>111</v>
      </c>
      <c r="AN965" t="s">
        <v>105</v>
      </c>
      <c r="AO965" t="s">
        <v>110</v>
      </c>
      <c r="AP965" t="s">
        <v>109</v>
      </c>
    </row>
    <row r="966" spans="1:42" x14ac:dyDescent="0.25">
      <c r="A966" s="28" t="str">
        <f>"1236"</f>
        <v>1236</v>
      </c>
      <c r="B966">
        <v>1236</v>
      </c>
      <c r="C966" t="s">
        <v>2488</v>
      </c>
      <c r="D966" t="s">
        <v>121</v>
      </c>
      <c r="E966" t="s">
        <v>6798</v>
      </c>
      <c r="F966" t="s">
        <v>120</v>
      </c>
      <c r="G966" t="s">
        <v>492</v>
      </c>
      <c r="I966" t="s">
        <v>7844</v>
      </c>
      <c r="J966" t="s">
        <v>7</v>
      </c>
      <c r="K966" s="63">
        <v>19311</v>
      </c>
      <c r="L966" s="28">
        <f>DATEDIF(K966,Zwift25!G$1,"Y")</f>
        <v>71</v>
      </c>
      <c r="M966" s="67">
        <f>IF(J966="m",VLOOKUP(L966,'All Solo Adjustments'!A:D,4,FALSE),VLOOKUP(L966,'All Solo Adjustments'!A:J,10,FALSE))</f>
        <v>6.7245370370370375E-3</v>
      </c>
      <c r="N966" s="63"/>
      <c r="O966" s="63"/>
      <c r="P966" s="63"/>
      <c r="Q966" s="63"/>
      <c r="R966" t="s">
        <v>296</v>
      </c>
      <c r="S966" t="s">
        <v>295</v>
      </c>
      <c r="T966" t="s">
        <v>292</v>
      </c>
      <c r="U966" t="s">
        <v>7843</v>
      </c>
      <c r="V966" t="s">
        <v>7842</v>
      </c>
      <c r="W966" t="s">
        <v>1956</v>
      </c>
      <c r="X966" t="s">
        <v>804</v>
      </c>
      <c r="Y966" t="s">
        <v>7841</v>
      </c>
      <c r="Z966" t="str">
        <f>"+447775780864"</f>
        <v>+447775780864</v>
      </c>
      <c r="AA966" t="str">
        <f>""</f>
        <v/>
      </c>
      <c r="AB966" t="s">
        <v>7840</v>
      </c>
      <c r="AC966" t="s">
        <v>7839</v>
      </c>
      <c r="AD966" t="s">
        <v>114</v>
      </c>
      <c r="AE966" s="63">
        <v>45270</v>
      </c>
      <c r="AF966" t="s">
        <v>113</v>
      </c>
      <c r="AG966" t="s">
        <v>112</v>
      </c>
      <c r="AH966" t="s">
        <v>112</v>
      </c>
      <c r="AI966" s="63">
        <v>35131</v>
      </c>
      <c r="AJ966" s="63">
        <v>45657</v>
      </c>
      <c r="AK966" t="s">
        <v>111</v>
      </c>
      <c r="AL966" t="s">
        <v>111</v>
      </c>
      <c r="AM966" t="s">
        <v>111</v>
      </c>
      <c r="AN966">
        <v>1817</v>
      </c>
      <c r="AO966" t="s">
        <v>110</v>
      </c>
      <c r="AP966" t="s">
        <v>109</v>
      </c>
    </row>
    <row r="967" spans="1:42" x14ac:dyDescent="0.25">
      <c r="A967" s="28" t="str">
        <f>"14216"</f>
        <v>14216</v>
      </c>
      <c r="B967">
        <v>14216</v>
      </c>
      <c r="C967" t="s">
        <v>2488</v>
      </c>
      <c r="D967" t="s">
        <v>121</v>
      </c>
      <c r="F967" t="s">
        <v>120</v>
      </c>
      <c r="G967" t="s">
        <v>185</v>
      </c>
      <c r="I967" t="s">
        <v>7838</v>
      </c>
      <c r="J967" t="s">
        <v>7</v>
      </c>
      <c r="K967" s="63">
        <v>28019</v>
      </c>
      <c r="L967" s="28">
        <f>DATEDIF(K967,Zwift25!G$1,"Y")</f>
        <v>48</v>
      </c>
      <c r="M967" s="67">
        <f>IF(J967="m",VLOOKUP(L967,'All Solo Adjustments'!A:D,4,FALSE),VLOOKUP(L967,'All Solo Adjustments'!A:J,10,FALSE))</f>
        <v>8.3333333333333339E-4</v>
      </c>
      <c r="N967" s="63"/>
      <c r="O967" s="63"/>
      <c r="P967" s="63"/>
      <c r="Q967" s="63"/>
      <c r="R967" t="s">
        <v>125</v>
      </c>
      <c r="S967" t="s">
        <v>170</v>
      </c>
      <c r="T967" t="s">
        <v>292</v>
      </c>
      <c r="U967" t="s">
        <v>7837</v>
      </c>
      <c r="V967" t="s">
        <v>286</v>
      </c>
      <c r="Z967" t="str">
        <f>"07711514226"</f>
        <v>07711514226</v>
      </c>
      <c r="AA967" t="str">
        <f>""</f>
        <v/>
      </c>
      <c r="AB967" t="s">
        <v>1359</v>
      </c>
      <c r="AC967" t="s">
        <v>7836</v>
      </c>
      <c r="AD967" t="s">
        <v>114</v>
      </c>
      <c r="AE967" s="63">
        <v>45451</v>
      </c>
      <c r="AF967" t="s">
        <v>156</v>
      </c>
      <c r="AG967" t="s">
        <v>112</v>
      </c>
      <c r="AH967" t="s">
        <v>112</v>
      </c>
      <c r="AI967" s="63">
        <v>43597</v>
      </c>
      <c r="AJ967" s="63">
        <v>45657</v>
      </c>
      <c r="AK967" t="s">
        <v>112</v>
      </c>
      <c r="AL967" t="s">
        <v>111</v>
      </c>
      <c r="AM967" t="s">
        <v>111</v>
      </c>
      <c r="AN967">
        <v>1793</v>
      </c>
      <c r="AO967" t="s">
        <v>110</v>
      </c>
      <c r="AP967" t="s">
        <v>109</v>
      </c>
    </row>
    <row r="968" spans="1:42" x14ac:dyDescent="0.25">
      <c r="A968" s="28" t="str">
        <f>"16083"</f>
        <v>16083</v>
      </c>
      <c r="B968">
        <v>16083</v>
      </c>
      <c r="C968" t="s">
        <v>2488</v>
      </c>
      <c r="D968" t="s">
        <v>132</v>
      </c>
      <c r="E968" t="s">
        <v>584</v>
      </c>
      <c r="F968" t="s">
        <v>149</v>
      </c>
      <c r="G968" t="s">
        <v>7835</v>
      </c>
      <c r="H968" t="s">
        <v>7834</v>
      </c>
      <c r="I968" t="s">
        <v>1816</v>
      </c>
      <c r="J968" t="s">
        <v>126</v>
      </c>
      <c r="K968" s="63">
        <v>29719</v>
      </c>
      <c r="L968" s="28">
        <f>DATEDIF(K968,Zwift25!G$1,"Y")</f>
        <v>43</v>
      </c>
      <c r="M968" s="67">
        <f>IF(J968="m",VLOOKUP(L968,'All Solo Adjustments'!A:D,4,FALSE),VLOOKUP(L968,'All Solo Adjustments'!A:J,10,FALSE))</f>
        <v>4.5254629629629629E-3</v>
      </c>
      <c r="N968" s="63"/>
      <c r="O968" s="63"/>
      <c r="P968" s="63"/>
      <c r="Q968" s="63"/>
      <c r="R968" t="s">
        <v>527</v>
      </c>
      <c r="S968" t="s">
        <v>888</v>
      </c>
      <c r="T968" t="s">
        <v>292</v>
      </c>
      <c r="U968" t="s">
        <v>1815</v>
      </c>
      <c r="V968" t="s">
        <v>3985</v>
      </c>
      <c r="Y968" t="s">
        <v>1813</v>
      </c>
      <c r="Z968" t="str">
        <f>"07795105809"</f>
        <v>07795105809</v>
      </c>
      <c r="AA968" t="str">
        <f>""</f>
        <v/>
      </c>
      <c r="AB968" t="s">
        <v>7833</v>
      </c>
      <c r="AC968" t="s">
        <v>7832</v>
      </c>
      <c r="AD968" t="s">
        <v>114</v>
      </c>
      <c r="AE968" s="63">
        <v>45382</v>
      </c>
      <c r="AF968" t="s">
        <v>156</v>
      </c>
      <c r="AG968" t="s">
        <v>112</v>
      </c>
      <c r="AH968" t="s">
        <v>112</v>
      </c>
      <c r="AI968" s="63">
        <v>45382</v>
      </c>
      <c r="AJ968" s="63">
        <v>45657</v>
      </c>
      <c r="AK968" t="s">
        <v>112</v>
      </c>
      <c r="AL968" t="s">
        <v>111</v>
      </c>
      <c r="AM968" t="s">
        <v>111</v>
      </c>
      <c r="AN968">
        <v>47484</v>
      </c>
      <c r="AO968" t="s">
        <v>122</v>
      </c>
      <c r="AP968" t="s">
        <v>122</v>
      </c>
    </row>
    <row r="969" spans="1:42" x14ac:dyDescent="0.25">
      <c r="A969" s="28" t="str">
        <f>"16084"</f>
        <v>16084</v>
      </c>
      <c r="B969">
        <v>16084</v>
      </c>
      <c r="C969" t="s">
        <v>2488</v>
      </c>
      <c r="D969" t="s">
        <v>130</v>
      </c>
      <c r="F969" t="s">
        <v>120</v>
      </c>
      <c r="G969" t="s">
        <v>1464</v>
      </c>
      <c r="H969" t="s">
        <v>230</v>
      </c>
      <c r="I969" t="s">
        <v>1816</v>
      </c>
      <c r="J969" t="s">
        <v>7</v>
      </c>
      <c r="K969" s="63">
        <v>30086</v>
      </c>
      <c r="L969" s="28">
        <f>DATEDIF(K969,Zwift25!G$1,"Y")</f>
        <v>42</v>
      </c>
      <c r="M969" s="67">
        <f>IF(J969="m",VLOOKUP(L969,'All Solo Adjustments'!A:D,4,FALSE),VLOOKUP(L969,'All Solo Adjustments'!A:J,10,FALSE))</f>
        <v>1.5046296296296295E-4</v>
      </c>
      <c r="N969" s="63"/>
      <c r="O969" s="63"/>
      <c r="P969" s="63"/>
      <c r="Q969" s="63"/>
      <c r="R969" t="s">
        <v>527</v>
      </c>
      <c r="S969" t="s">
        <v>888</v>
      </c>
      <c r="T969" t="s">
        <v>292</v>
      </c>
      <c r="U969" t="s">
        <v>1815</v>
      </c>
      <c r="V969" t="s">
        <v>3985</v>
      </c>
      <c r="Y969" t="s">
        <v>1813</v>
      </c>
      <c r="Z969" t="str">
        <f>"07795105809"</f>
        <v>07795105809</v>
      </c>
      <c r="AA969" t="str">
        <f>""</f>
        <v/>
      </c>
      <c r="AB969" t="s">
        <v>7831</v>
      </c>
      <c r="AC969" t="s">
        <v>1812</v>
      </c>
      <c r="AD969" t="s">
        <v>114</v>
      </c>
      <c r="AE969" s="63">
        <v>45382</v>
      </c>
      <c r="AG969" t="s">
        <v>112</v>
      </c>
      <c r="AH969" t="s">
        <v>112</v>
      </c>
      <c r="AI969" s="63">
        <v>45382</v>
      </c>
      <c r="AJ969" s="63">
        <v>45657</v>
      </c>
      <c r="AK969" t="s">
        <v>112</v>
      </c>
      <c r="AL969" t="s">
        <v>111</v>
      </c>
      <c r="AM969" t="s">
        <v>111</v>
      </c>
      <c r="AN969">
        <v>24247</v>
      </c>
      <c r="AO969" t="s">
        <v>110</v>
      </c>
      <c r="AP969" t="s">
        <v>109</v>
      </c>
    </row>
    <row r="970" spans="1:42" x14ac:dyDescent="0.25">
      <c r="A970" s="28" t="str">
        <f>"1239"</f>
        <v>1239</v>
      </c>
      <c r="B970">
        <v>1239</v>
      </c>
      <c r="C970" t="s">
        <v>2488</v>
      </c>
      <c r="D970" t="s">
        <v>121</v>
      </c>
      <c r="F970" t="s">
        <v>120</v>
      </c>
      <c r="G970" t="s">
        <v>284</v>
      </c>
      <c r="I970" t="s">
        <v>1811</v>
      </c>
      <c r="J970" t="s">
        <v>7</v>
      </c>
      <c r="K970" s="63">
        <v>17930</v>
      </c>
      <c r="L970" s="28">
        <f>DATEDIF(K970,Zwift25!G$1,"Y")</f>
        <v>75</v>
      </c>
      <c r="M970" s="67">
        <f>IF(J970="m",VLOOKUP(L970,'All Solo Adjustments'!A:D,4,FALSE),VLOOKUP(L970,'All Solo Adjustments'!A:J,10,FALSE))</f>
        <v>8.4374999999999988E-3</v>
      </c>
      <c r="N970" s="63"/>
      <c r="O970" s="63"/>
      <c r="P970" s="63"/>
      <c r="Q970" s="63"/>
      <c r="R970" t="s">
        <v>159</v>
      </c>
      <c r="S970" t="s">
        <v>162</v>
      </c>
      <c r="T970" t="s">
        <v>292</v>
      </c>
      <c r="U970" t="s">
        <v>7830</v>
      </c>
      <c r="V970" t="s">
        <v>7829</v>
      </c>
      <c r="W970" t="s">
        <v>7829</v>
      </c>
      <c r="X970" t="s">
        <v>2084</v>
      </c>
      <c r="Y970">
        <v>50430</v>
      </c>
      <c r="Z970" t="str">
        <f>"0033233178146"</f>
        <v>0033233178146</v>
      </c>
      <c r="AA970" t="str">
        <f>"0033671835585"</f>
        <v>0033671835585</v>
      </c>
      <c r="AB970" t="s">
        <v>1460</v>
      </c>
      <c r="AC970" t="s">
        <v>7828</v>
      </c>
      <c r="AD970" t="s">
        <v>114</v>
      </c>
      <c r="AE970" s="63">
        <v>45292</v>
      </c>
      <c r="AF970" t="s">
        <v>156</v>
      </c>
      <c r="AG970" t="s">
        <v>112</v>
      </c>
      <c r="AH970" t="s">
        <v>112</v>
      </c>
      <c r="AI970" s="63">
        <v>43471</v>
      </c>
      <c r="AJ970" s="63">
        <v>45657</v>
      </c>
      <c r="AK970" t="s">
        <v>111</v>
      </c>
      <c r="AL970" t="s">
        <v>111</v>
      </c>
      <c r="AM970" t="s">
        <v>112</v>
      </c>
      <c r="AN970" t="s">
        <v>105</v>
      </c>
      <c r="AO970" t="s">
        <v>110</v>
      </c>
      <c r="AP970" t="s">
        <v>109</v>
      </c>
    </row>
    <row r="971" spans="1:42" x14ac:dyDescent="0.25">
      <c r="A971" s="28" t="str">
        <f>"15034"</f>
        <v>15034</v>
      </c>
      <c r="B971">
        <v>15034</v>
      </c>
      <c r="C971" t="s">
        <v>2488</v>
      </c>
      <c r="D971" t="s">
        <v>121</v>
      </c>
      <c r="E971" t="s">
        <v>584</v>
      </c>
      <c r="F971" t="s">
        <v>120</v>
      </c>
      <c r="G971" t="s">
        <v>268</v>
      </c>
      <c r="I971" t="s">
        <v>1811</v>
      </c>
      <c r="J971" t="s">
        <v>7</v>
      </c>
      <c r="K971" s="63">
        <v>24681</v>
      </c>
      <c r="L971" s="28">
        <f>DATEDIF(K971,Zwift25!G$1,"Y")</f>
        <v>57</v>
      </c>
      <c r="M971" s="67">
        <f>IF(J971="m",VLOOKUP(L971,'All Solo Adjustments'!A:D,4,FALSE),VLOOKUP(L971,'All Solo Adjustments'!A:J,10,FALSE))</f>
        <v>2.488425925925926E-3</v>
      </c>
      <c r="N971" s="63"/>
      <c r="O971" s="63"/>
      <c r="P971" s="63"/>
      <c r="Q971" s="63"/>
      <c r="R971" t="s">
        <v>125</v>
      </c>
      <c r="S971" t="s">
        <v>170</v>
      </c>
      <c r="T971" t="s">
        <v>292</v>
      </c>
      <c r="U971" t="s">
        <v>7827</v>
      </c>
      <c r="V971" t="s">
        <v>266</v>
      </c>
      <c r="W971" t="s">
        <v>123</v>
      </c>
      <c r="Y971" t="s">
        <v>7826</v>
      </c>
      <c r="Z971" t="str">
        <f>"07817463659"</f>
        <v>07817463659</v>
      </c>
      <c r="AA971" t="str">
        <f>"01702579575"</f>
        <v>01702579575</v>
      </c>
      <c r="AB971" t="s">
        <v>1766</v>
      </c>
      <c r="AC971" t="s">
        <v>7825</v>
      </c>
      <c r="AD971" t="s">
        <v>114</v>
      </c>
      <c r="AE971" s="63">
        <v>45262</v>
      </c>
      <c r="AF971" t="s">
        <v>156</v>
      </c>
      <c r="AG971" t="s">
        <v>112</v>
      </c>
      <c r="AH971" t="s">
        <v>112</v>
      </c>
      <c r="AI971" s="63">
        <v>44315</v>
      </c>
      <c r="AJ971" s="63">
        <v>45657</v>
      </c>
      <c r="AK971" t="s">
        <v>112</v>
      </c>
      <c r="AL971" t="s">
        <v>111</v>
      </c>
      <c r="AM971" t="s">
        <v>111</v>
      </c>
      <c r="AN971">
        <v>2819</v>
      </c>
      <c r="AO971" t="s">
        <v>110</v>
      </c>
      <c r="AP971" t="s">
        <v>109</v>
      </c>
    </row>
    <row r="972" spans="1:42" x14ac:dyDescent="0.25">
      <c r="A972" s="28" t="str">
        <f>"3049"</f>
        <v>3049</v>
      </c>
      <c r="B972">
        <v>3049</v>
      </c>
      <c r="C972" t="s">
        <v>2488</v>
      </c>
      <c r="D972" t="s">
        <v>121</v>
      </c>
      <c r="F972" t="s">
        <v>120</v>
      </c>
      <c r="G972" t="s">
        <v>245</v>
      </c>
      <c r="H972" t="s">
        <v>410</v>
      </c>
      <c r="I972" t="s">
        <v>7824</v>
      </c>
      <c r="J972" t="s">
        <v>7</v>
      </c>
      <c r="K972" s="63">
        <v>19476</v>
      </c>
      <c r="L972" s="28">
        <f>DATEDIF(K972,Zwift25!G$1,"Y")</f>
        <v>71</v>
      </c>
      <c r="M972" s="67">
        <f>IF(J972="m",VLOOKUP(L972,'All Solo Adjustments'!A:D,4,FALSE),VLOOKUP(L972,'All Solo Adjustments'!A:J,10,FALSE))</f>
        <v>6.7245370370370375E-3</v>
      </c>
      <c r="N972" s="63"/>
      <c r="O972" s="63"/>
      <c r="P972" s="63"/>
      <c r="Q972" s="63"/>
      <c r="R972" t="s">
        <v>283</v>
      </c>
      <c r="S972" t="s">
        <v>657</v>
      </c>
      <c r="T972" t="s">
        <v>292</v>
      </c>
      <c r="U972" t="s">
        <v>7823</v>
      </c>
      <c r="V972" t="s">
        <v>7822</v>
      </c>
      <c r="W972" t="s">
        <v>1346</v>
      </c>
      <c r="X972" t="s">
        <v>1253</v>
      </c>
      <c r="Y972" t="s">
        <v>7821</v>
      </c>
      <c r="Z972" t="str">
        <f>"07990249419"</f>
        <v>07990249419</v>
      </c>
      <c r="AA972" t="str">
        <f>"07388049768"</f>
        <v>07388049768</v>
      </c>
      <c r="AB972" t="s">
        <v>1538</v>
      </c>
      <c r="AC972" t="s">
        <v>7820</v>
      </c>
      <c r="AD972" t="s">
        <v>145</v>
      </c>
      <c r="AE972" s="63">
        <v>45335</v>
      </c>
      <c r="AF972" t="s">
        <v>156</v>
      </c>
      <c r="AG972" t="s">
        <v>112</v>
      </c>
      <c r="AH972" t="s">
        <v>112</v>
      </c>
      <c r="AI972" s="63">
        <v>39273</v>
      </c>
      <c r="AJ972" s="63">
        <v>45657</v>
      </c>
      <c r="AK972" t="s">
        <v>111</v>
      </c>
      <c r="AL972" t="s">
        <v>111</v>
      </c>
      <c r="AM972" t="s">
        <v>111</v>
      </c>
      <c r="AN972" t="s">
        <v>105</v>
      </c>
      <c r="AO972" t="s">
        <v>110</v>
      </c>
      <c r="AP972" t="s">
        <v>109</v>
      </c>
    </row>
    <row r="973" spans="1:42" x14ac:dyDescent="0.25">
      <c r="A973" s="28" t="str">
        <f>"6036"</f>
        <v>6036</v>
      </c>
      <c r="B973">
        <v>6036</v>
      </c>
      <c r="C973" t="s">
        <v>2488</v>
      </c>
      <c r="D973" t="s">
        <v>121</v>
      </c>
      <c r="F973" t="s">
        <v>120</v>
      </c>
      <c r="G973" t="s">
        <v>185</v>
      </c>
      <c r="I973" t="s">
        <v>684</v>
      </c>
      <c r="J973" t="s">
        <v>7</v>
      </c>
      <c r="K973" s="63">
        <v>17076</v>
      </c>
      <c r="L973" s="28">
        <f>DATEDIF(K973,Zwift25!G$1,"Y")</f>
        <v>78</v>
      </c>
      <c r="M973" s="67">
        <f>IF(J973="m",VLOOKUP(L973,'All Solo Adjustments'!A:D,4,FALSE),VLOOKUP(L973,'All Solo Adjustments'!A:J,10,FALSE))</f>
        <v>9.9189814814814817E-3</v>
      </c>
      <c r="N973" s="63"/>
      <c r="O973" s="63"/>
      <c r="P973" s="63"/>
      <c r="Q973" s="63"/>
      <c r="R973" t="s">
        <v>198</v>
      </c>
      <c r="S973" t="s">
        <v>461</v>
      </c>
      <c r="T973" t="s">
        <v>292</v>
      </c>
      <c r="U973" t="s">
        <v>7819</v>
      </c>
      <c r="V973" t="s">
        <v>532</v>
      </c>
      <c r="W973" t="s">
        <v>7818</v>
      </c>
      <c r="X973" t="s">
        <v>495</v>
      </c>
      <c r="Y973" t="s">
        <v>7817</v>
      </c>
      <c r="Z973" t="str">
        <f>"01782 852611"</f>
        <v>01782 852611</v>
      </c>
      <c r="AA973" t="str">
        <f>"07940500495"</f>
        <v>07940500495</v>
      </c>
      <c r="AB973" t="s">
        <v>1311</v>
      </c>
      <c r="AC973" t="s">
        <v>7816</v>
      </c>
      <c r="AD973" t="s">
        <v>114</v>
      </c>
      <c r="AE973" s="63">
        <v>45264</v>
      </c>
      <c r="AF973" t="s">
        <v>113</v>
      </c>
      <c r="AG973" t="s">
        <v>112</v>
      </c>
      <c r="AH973" t="s">
        <v>112</v>
      </c>
      <c r="AI973" s="63">
        <v>42755</v>
      </c>
      <c r="AJ973" s="63">
        <v>45657</v>
      </c>
      <c r="AK973" t="s">
        <v>111</v>
      </c>
      <c r="AL973" t="s">
        <v>111</v>
      </c>
      <c r="AM973" t="s">
        <v>111</v>
      </c>
      <c r="AN973">
        <v>1287</v>
      </c>
      <c r="AO973" t="s">
        <v>110</v>
      </c>
      <c r="AP973" t="s">
        <v>109</v>
      </c>
    </row>
    <row r="974" spans="1:42" x14ac:dyDescent="0.25">
      <c r="A974" s="28" t="str">
        <f>"1246"</f>
        <v>1246</v>
      </c>
      <c r="B974">
        <v>1246</v>
      </c>
      <c r="C974" t="s">
        <v>2488</v>
      </c>
      <c r="D974" t="s">
        <v>121</v>
      </c>
      <c r="F974" t="s">
        <v>120</v>
      </c>
      <c r="G974" t="s">
        <v>174</v>
      </c>
      <c r="I974" t="s">
        <v>7815</v>
      </c>
      <c r="J974" t="s">
        <v>7</v>
      </c>
      <c r="K974" s="63">
        <v>11322</v>
      </c>
      <c r="L974" s="28">
        <f>DATEDIF(K974,Zwift25!G$1,"Y")</f>
        <v>93</v>
      </c>
      <c r="M974" s="67">
        <f>IF(J974="m",VLOOKUP(L974,'All Solo Adjustments'!A:D,4,FALSE),VLOOKUP(L974,'All Solo Adjustments'!A:J,10,FALSE))</f>
        <v>2.1516203703703704E-2</v>
      </c>
      <c r="N974" s="63"/>
      <c r="O974" s="63"/>
      <c r="P974" s="63"/>
      <c r="Q974" s="63"/>
      <c r="R974" t="s">
        <v>184</v>
      </c>
      <c r="S974" t="s">
        <v>835</v>
      </c>
      <c r="T974" t="s">
        <v>292</v>
      </c>
      <c r="U974" t="s">
        <v>7814</v>
      </c>
      <c r="V974" t="s">
        <v>7813</v>
      </c>
      <c r="W974" t="s">
        <v>717</v>
      </c>
      <c r="X974" t="s">
        <v>834</v>
      </c>
      <c r="Y974" t="s">
        <v>7812</v>
      </c>
      <c r="Z974" t="str">
        <f>"01189 471577"</f>
        <v>01189 471577</v>
      </c>
      <c r="AA974" t="str">
        <f>""</f>
        <v/>
      </c>
      <c r="AB974" t="s">
        <v>7811</v>
      </c>
      <c r="AD974" t="s">
        <v>151</v>
      </c>
      <c r="AF974" t="s">
        <v>113</v>
      </c>
      <c r="AG974" t="s">
        <v>112</v>
      </c>
      <c r="AH974" t="s">
        <v>112</v>
      </c>
      <c r="AK974" t="s">
        <v>111</v>
      </c>
      <c r="AL974" t="s">
        <v>111</v>
      </c>
      <c r="AM974" t="s">
        <v>111</v>
      </c>
      <c r="AN974" t="s">
        <v>105</v>
      </c>
      <c r="AO974" t="s">
        <v>110</v>
      </c>
      <c r="AP974" t="s">
        <v>109</v>
      </c>
    </row>
    <row r="975" spans="1:42" x14ac:dyDescent="0.25">
      <c r="A975" s="28" t="str">
        <f>"6530"</f>
        <v>6530</v>
      </c>
      <c r="B975">
        <v>6530</v>
      </c>
      <c r="C975" t="s">
        <v>2488</v>
      </c>
      <c r="D975" t="s">
        <v>121</v>
      </c>
      <c r="F975" t="s">
        <v>120</v>
      </c>
      <c r="G975" t="s">
        <v>520</v>
      </c>
      <c r="I975" t="s">
        <v>248</v>
      </c>
      <c r="J975" t="s">
        <v>7</v>
      </c>
      <c r="K975" s="63">
        <v>17065</v>
      </c>
      <c r="L975" s="28">
        <f>DATEDIF(K975,Zwift25!G$1,"Y")</f>
        <v>78</v>
      </c>
      <c r="M975" s="67">
        <f>IF(J975="m",VLOOKUP(L975,'All Solo Adjustments'!A:D,4,FALSE),VLOOKUP(L975,'All Solo Adjustments'!A:J,10,FALSE))</f>
        <v>9.9189814814814817E-3</v>
      </c>
      <c r="N975" s="63"/>
      <c r="O975" s="63"/>
      <c r="P975" s="63"/>
      <c r="Q975" s="63"/>
      <c r="R975" t="s">
        <v>383</v>
      </c>
      <c r="S975" t="s">
        <v>382</v>
      </c>
      <c r="T975" t="s">
        <v>292</v>
      </c>
      <c r="U975" t="s">
        <v>7810</v>
      </c>
      <c r="V975" t="s">
        <v>7809</v>
      </c>
      <c r="W975" t="s">
        <v>1948</v>
      </c>
      <c r="X975" t="s">
        <v>1948</v>
      </c>
      <c r="Y975" t="s">
        <v>7808</v>
      </c>
      <c r="Z975" t="str">
        <f>"07968747592"</f>
        <v>07968747592</v>
      </c>
      <c r="AA975" t="str">
        <f>"07968747592"</f>
        <v>07968747592</v>
      </c>
      <c r="AB975" t="s">
        <v>7807</v>
      </c>
      <c r="AC975" t="s">
        <v>7806</v>
      </c>
      <c r="AD975" t="s">
        <v>114</v>
      </c>
      <c r="AE975" s="63">
        <v>45313</v>
      </c>
      <c r="AF975" t="s">
        <v>156</v>
      </c>
      <c r="AG975" t="s">
        <v>112</v>
      </c>
      <c r="AH975" t="s">
        <v>112</v>
      </c>
      <c r="AI975" s="63">
        <v>43234</v>
      </c>
      <c r="AJ975" s="63">
        <v>45657</v>
      </c>
      <c r="AK975" t="s">
        <v>111</v>
      </c>
      <c r="AL975" t="s">
        <v>111</v>
      </c>
      <c r="AM975" t="s">
        <v>111</v>
      </c>
      <c r="AN975">
        <v>17780</v>
      </c>
      <c r="AO975" t="s">
        <v>110</v>
      </c>
      <c r="AP975" t="s">
        <v>109</v>
      </c>
    </row>
    <row r="976" spans="1:42" x14ac:dyDescent="0.25">
      <c r="A976" s="28" t="str">
        <f>"16111"</f>
        <v>16111</v>
      </c>
      <c r="B976">
        <v>16111</v>
      </c>
      <c r="C976" t="s">
        <v>2488</v>
      </c>
      <c r="D976" t="s">
        <v>121</v>
      </c>
      <c r="F976" t="s">
        <v>139</v>
      </c>
      <c r="G976" t="s">
        <v>4555</v>
      </c>
      <c r="H976" t="s">
        <v>7805</v>
      </c>
      <c r="I976" t="s">
        <v>284</v>
      </c>
      <c r="J976" t="s">
        <v>126</v>
      </c>
      <c r="K976" s="63">
        <v>21738</v>
      </c>
      <c r="L976" s="28">
        <f>DATEDIF(K976,Zwift25!G$1,"Y")</f>
        <v>65</v>
      </c>
      <c r="M976" s="67">
        <f>IF(J976="m",VLOOKUP(L976,'All Solo Adjustments'!A:D,4,FALSE),VLOOKUP(L976,'All Solo Adjustments'!A:J,10,FALSE))</f>
        <v>8.9467592592592585E-3</v>
      </c>
      <c r="N976" s="63"/>
      <c r="O976" s="63"/>
      <c r="P976" s="63"/>
      <c r="Q976" s="63"/>
      <c r="R976" t="s">
        <v>328</v>
      </c>
      <c r="S976" t="s">
        <v>327</v>
      </c>
      <c r="T976" t="s">
        <v>292</v>
      </c>
      <c r="U976" t="s">
        <v>7804</v>
      </c>
      <c r="V976" t="s">
        <v>1758</v>
      </c>
      <c r="W976" t="s">
        <v>1758</v>
      </c>
      <c r="X976" t="s">
        <v>7803</v>
      </c>
      <c r="Y976" t="s">
        <v>7802</v>
      </c>
      <c r="Z976" t="str">
        <f>"+447724159110"</f>
        <v>+447724159110</v>
      </c>
      <c r="AA976" t="str">
        <f>""</f>
        <v/>
      </c>
      <c r="AB976" t="s">
        <v>831</v>
      </c>
      <c r="AC976" t="s">
        <v>7801</v>
      </c>
      <c r="AD976" t="s">
        <v>114</v>
      </c>
      <c r="AE976" s="63">
        <v>45401</v>
      </c>
      <c r="AF976" t="s">
        <v>156</v>
      </c>
      <c r="AG976" t="s">
        <v>112</v>
      </c>
      <c r="AH976" t="s">
        <v>112</v>
      </c>
      <c r="AI976" s="63">
        <v>45401</v>
      </c>
      <c r="AJ976" s="63">
        <v>45657</v>
      </c>
      <c r="AK976" t="s">
        <v>112</v>
      </c>
      <c r="AL976" t="s">
        <v>111</v>
      </c>
      <c r="AM976" t="s">
        <v>111</v>
      </c>
      <c r="AN976">
        <v>4298</v>
      </c>
      <c r="AO976" t="s">
        <v>122</v>
      </c>
      <c r="AP976" t="s">
        <v>122</v>
      </c>
    </row>
    <row r="977" spans="1:42" x14ac:dyDescent="0.25">
      <c r="A977" s="28" t="str">
        <f>"15919"</f>
        <v>15919</v>
      </c>
      <c r="B977">
        <v>15919</v>
      </c>
      <c r="C977" t="s">
        <v>2488</v>
      </c>
      <c r="D977" t="s">
        <v>121</v>
      </c>
      <c r="F977" t="s">
        <v>120</v>
      </c>
      <c r="G977" t="s">
        <v>7800</v>
      </c>
      <c r="I977" t="s">
        <v>7799</v>
      </c>
      <c r="J977" t="s">
        <v>7</v>
      </c>
      <c r="K977" s="63">
        <v>29380</v>
      </c>
      <c r="L977" s="28">
        <f>DATEDIF(K977,Zwift25!G$1,"Y")</f>
        <v>44</v>
      </c>
      <c r="M977" s="67">
        <f>IF(J977="m",VLOOKUP(L977,'All Solo Adjustments'!A:D,4,FALSE),VLOOKUP(L977,'All Solo Adjustments'!A:J,10,FALSE))</f>
        <v>3.3564814814814818E-4</v>
      </c>
      <c r="N977" s="63"/>
      <c r="O977" s="63"/>
      <c r="P977" s="63"/>
      <c r="Q977" s="63"/>
      <c r="R977" t="s">
        <v>239</v>
      </c>
      <c r="S977" t="s">
        <v>274</v>
      </c>
      <c r="T977" t="s">
        <v>292</v>
      </c>
      <c r="U977" t="s">
        <v>7798</v>
      </c>
      <c r="V977" t="s">
        <v>1674</v>
      </c>
      <c r="Y977" t="s">
        <v>7797</v>
      </c>
      <c r="Z977" t="str">
        <f>"07821 242443 "</f>
        <v xml:space="preserve">07821 242443 </v>
      </c>
      <c r="AA977" t="str">
        <f>""</f>
        <v/>
      </c>
      <c r="AB977" t="s">
        <v>408</v>
      </c>
      <c r="AC977" t="s">
        <v>7796</v>
      </c>
      <c r="AD977" t="s">
        <v>114</v>
      </c>
      <c r="AE977" s="63">
        <v>45556</v>
      </c>
      <c r="AF977" t="s">
        <v>156</v>
      </c>
      <c r="AG977" t="s">
        <v>112</v>
      </c>
      <c r="AH977" t="s">
        <v>112</v>
      </c>
      <c r="AI977" s="63">
        <v>45161</v>
      </c>
      <c r="AJ977" s="63">
        <v>45657</v>
      </c>
      <c r="AK977" t="s">
        <v>112</v>
      </c>
      <c r="AL977" t="s">
        <v>111</v>
      </c>
      <c r="AM977" t="s">
        <v>111</v>
      </c>
      <c r="AN977">
        <v>31515</v>
      </c>
      <c r="AO977" t="s">
        <v>110</v>
      </c>
      <c r="AP977" t="s">
        <v>109</v>
      </c>
    </row>
    <row r="978" spans="1:42" x14ac:dyDescent="0.25">
      <c r="A978" s="28" t="str">
        <f>"1253"</f>
        <v>1253</v>
      </c>
      <c r="B978">
        <v>1253</v>
      </c>
      <c r="C978" t="s">
        <v>2488</v>
      </c>
      <c r="D978" t="s">
        <v>121</v>
      </c>
      <c r="E978" t="s">
        <v>7795</v>
      </c>
      <c r="F978" t="s">
        <v>120</v>
      </c>
      <c r="G978" t="s">
        <v>1369</v>
      </c>
      <c r="I978" t="s">
        <v>675</v>
      </c>
      <c r="J978" t="s">
        <v>7</v>
      </c>
      <c r="K978" s="63">
        <v>17674</v>
      </c>
      <c r="L978" s="28">
        <f>DATEDIF(K978,Zwift25!G$1,"Y")</f>
        <v>76</v>
      </c>
      <c r="M978" s="67">
        <f>IF(J978="m",VLOOKUP(L978,'All Solo Adjustments'!A:D,4,FALSE),VLOOKUP(L978,'All Solo Adjustments'!A:J,10,FALSE))</f>
        <v>8.912037037037036E-3</v>
      </c>
      <c r="N978" s="63"/>
      <c r="O978" s="63"/>
      <c r="P978" s="63"/>
      <c r="Q978" s="63"/>
      <c r="R978" t="s">
        <v>143</v>
      </c>
      <c r="S978" t="s">
        <v>2396</v>
      </c>
      <c r="T978" t="s">
        <v>292</v>
      </c>
      <c r="U978" t="s">
        <v>7794</v>
      </c>
      <c r="V978" t="s">
        <v>1212</v>
      </c>
      <c r="W978" t="s">
        <v>172</v>
      </c>
      <c r="Y978" t="s">
        <v>7793</v>
      </c>
      <c r="Z978" t="str">
        <f>"01403 783368"</f>
        <v>01403 783368</v>
      </c>
      <c r="AA978" t="str">
        <f>"07733132043"</f>
        <v>07733132043</v>
      </c>
      <c r="AB978" t="s">
        <v>305</v>
      </c>
      <c r="AC978" t="s">
        <v>7792</v>
      </c>
      <c r="AD978" t="s">
        <v>151</v>
      </c>
      <c r="AE978" s="63">
        <v>43102</v>
      </c>
      <c r="AF978" t="s">
        <v>113</v>
      </c>
      <c r="AG978" t="s">
        <v>112</v>
      </c>
      <c r="AH978" t="s">
        <v>112</v>
      </c>
      <c r="AI978" s="63">
        <v>32509</v>
      </c>
      <c r="AK978" t="s">
        <v>111</v>
      </c>
      <c r="AL978" t="s">
        <v>111</v>
      </c>
      <c r="AM978" t="s">
        <v>111</v>
      </c>
      <c r="AN978">
        <v>3360</v>
      </c>
      <c r="AO978" t="s">
        <v>110</v>
      </c>
      <c r="AP978" t="s">
        <v>109</v>
      </c>
    </row>
    <row r="979" spans="1:42" x14ac:dyDescent="0.25">
      <c r="A979" s="28" t="str">
        <f>"11447"</f>
        <v>11447</v>
      </c>
      <c r="B979">
        <v>11447</v>
      </c>
      <c r="C979" t="s">
        <v>2488</v>
      </c>
      <c r="D979" t="s">
        <v>121</v>
      </c>
      <c r="F979" t="s">
        <v>149</v>
      </c>
      <c r="G979" t="s">
        <v>1842</v>
      </c>
      <c r="I979" t="s">
        <v>675</v>
      </c>
      <c r="J979" t="s">
        <v>126</v>
      </c>
      <c r="K979" s="63">
        <v>14005</v>
      </c>
      <c r="L979" s="28">
        <f>DATEDIF(K979,Zwift25!G$1,"Y")</f>
        <v>86</v>
      </c>
      <c r="M979" s="67">
        <f>IF(J979="m",VLOOKUP(L979,'All Solo Adjustments'!A:D,4,FALSE),VLOOKUP(L979,'All Solo Adjustments'!A:J,10,FALSE))</f>
        <v>2.1307870370370369E-2</v>
      </c>
      <c r="N979" s="63"/>
      <c r="O979" s="63"/>
      <c r="P979" s="63"/>
      <c r="Q979" s="63"/>
      <c r="R979" t="s">
        <v>184</v>
      </c>
      <c r="S979" t="s">
        <v>835</v>
      </c>
      <c r="T979" t="s">
        <v>292</v>
      </c>
      <c r="U979" t="s">
        <v>2413</v>
      </c>
      <c r="V979" t="s">
        <v>2194</v>
      </c>
      <c r="Y979" t="s">
        <v>2412</v>
      </c>
      <c r="Z979" t="str">
        <f>"01442 266481"</f>
        <v>01442 266481</v>
      </c>
      <c r="AA979" t="str">
        <f>""</f>
        <v/>
      </c>
      <c r="AB979" t="s">
        <v>1361</v>
      </c>
      <c r="AD979" t="s">
        <v>145</v>
      </c>
      <c r="AF979" t="s">
        <v>113</v>
      </c>
      <c r="AG979" t="s">
        <v>112</v>
      </c>
      <c r="AH979" t="s">
        <v>111</v>
      </c>
      <c r="AI979" s="63">
        <v>32568</v>
      </c>
      <c r="AK979" t="s">
        <v>111</v>
      </c>
      <c r="AL979" t="s">
        <v>111</v>
      </c>
      <c r="AM979" t="s">
        <v>111</v>
      </c>
      <c r="AN979" t="s">
        <v>105</v>
      </c>
      <c r="AO979" t="s">
        <v>122</v>
      </c>
      <c r="AP979" t="s">
        <v>122</v>
      </c>
    </row>
    <row r="980" spans="1:42" x14ac:dyDescent="0.25">
      <c r="A980" s="28" t="str">
        <f>"16169"</f>
        <v>16169</v>
      </c>
      <c r="B980">
        <v>16169</v>
      </c>
      <c r="C980" t="s">
        <v>2488</v>
      </c>
      <c r="D980" t="s">
        <v>121</v>
      </c>
      <c r="E980" t="s">
        <v>584</v>
      </c>
      <c r="F980" t="s">
        <v>120</v>
      </c>
      <c r="G980" t="s">
        <v>649</v>
      </c>
      <c r="I980" t="s">
        <v>675</v>
      </c>
      <c r="J980" t="s">
        <v>7</v>
      </c>
      <c r="K980" s="63">
        <v>24183</v>
      </c>
      <c r="L980" s="28">
        <f>DATEDIF(K980,Zwift25!G$1,"Y")</f>
        <v>58</v>
      </c>
      <c r="M980" s="67">
        <f>IF(J980="m",VLOOKUP(L980,'All Solo Adjustments'!A:D,4,FALSE),VLOOKUP(L980,'All Solo Adjustments'!A:J,10,FALSE))</f>
        <v>2.7199074074074074E-3</v>
      </c>
      <c r="N980" s="63"/>
      <c r="O980" s="63"/>
      <c r="P980" s="63"/>
      <c r="Q980" s="63"/>
      <c r="R980" t="s">
        <v>527</v>
      </c>
      <c r="S980" t="s">
        <v>526</v>
      </c>
      <c r="T980" t="s">
        <v>292</v>
      </c>
      <c r="U980" t="s">
        <v>7791</v>
      </c>
      <c r="V980" t="s">
        <v>2027</v>
      </c>
      <c r="W980" t="s">
        <v>2027</v>
      </c>
      <c r="X980" t="s">
        <v>854</v>
      </c>
      <c r="Y980" t="s">
        <v>7790</v>
      </c>
      <c r="Z980" t="str">
        <f>"07846938403"</f>
        <v>07846938403</v>
      </c>
      <c r="AA980" t="str">
        <f>""</f>
        <v/>
      </c>
      <c r="AB980" t="s">
        <v>7789</v>
      </c>
      <c r="AC980" t="s">
        <v>7788</v>
      </c>
      <c r="AD980" t="s">
        <v>114</v>
      </c>
      <c r="AE980" s="63">
        <v>45464</v>
      </c>
      <c r="AF980" t="s">
        <v>156</v>
      </c>
      <c r="AG980" t="s">
        <v>112</v>
      </c>
      <c r="AH980" t="s">
        <v>112</v>
      </c>
      <c r="AI980" s="63">
        <v>45464</v>
      </c>
      <c r="AJ980" s="63">
        <v>45657</v>
      </c>
      <c r="AK980" t="s">
        <v>112</v>
      </c>
      <c r="AL980" t="s">
        <v>111</v>
      </c>
      <c r="AM980" t="s">
        <v>111</v>
      </c>
      <c r="AN980">
        <v>1770</v>
      </c>
      <c r="AO980" t="s">
        <v>110</v>
      </c>
      <c r="AP980" t="s">
        <v>109</v>
      </c>
    </row>
    <row r="981" spans="1:42" x14ac:dyDescent="0.25">
      <c r="A981" s="28" t="str">
        <f>"1259"</f>
        <v>1259</v>
      </c>
      <c r="B981">
        <v>1259</v>
      </c>
      <c r="C981" t="s">
        <v>2488</v>
      </c>
      <c r="D981" t="s">
        <v>121</v>
      </c>
      <c r="E981" t="s">
        <v>584</v>
      </c>
      <c r="F981" t="s">
        <v>120</v>
      </c>
      <c r="G981" t="s">
        <v>1104</v>
      </c>
      <c r="I981" t="s">
        <v>1804</v>
      </c>
      <c r="J981" t="s">
        <v>7</v>
      </c>
      <c r="K981" s="63">
        <v>13921</v>
      </c>
      <c r="L981" s="28">
        <f>DATEDIF(K981,Zwift25!G$1,"Y")</f>
        <v>86</v>
      </c>
      <c r="M981" s="67">
        <f>IF(J981="m",VLOOKUP(L981,'All Solo Adjustments'!A:D,4,FALSE),VLOOKUP(L981,'All Solo Adjustments'!A:J,10,FALSE))</f>
        <v>1.4988425925925926E-2</v>
      </c>
      <c r="N981" s="63"/>
      <c r="O981" s="63"/>
      <c r="P981" s="63"/>
      <c r="Q981" s="63"/>
      <c r="R981" t="s">
        <v>296</v>
      </c>
      <c r="S981" t="s">
        <v>2310</v>
      </c>
      <c r="T981" t="s">
        <v>292</v>
      </c>
      <c r="U981" t="s">
        <v>7787</v>
      </c>
      <c r="V981" t="s">
        <v>7786</v>
      </c>
      <c r="W981" t="s">
        <v>7785</v>
      </c>
      <c r="X981" t="s">
        <v>1326</v>
      </c>
      <c r="Y981" t="s">
        <v>7784</v>
      </c>
      <c r="Z981" t="str">
        <f>"01387-263248"</f>
        <v>01387-263248</v>
      </c>
      <c r="AA981" t="str">
        <f>"07740675791"</f>
        <v>07740675791</v>
      </c>
      <c r="AB981" t="s">
        <v>7783</v>
      </c>
      <c r="AC981" t="s">
        <v>7782</v>
      </c>
      <c r="AD981" t="s">
        <v>151</v>
      </c>
      <c r="AE981" s="63">
        <v>43180</v>
      </c>
      <c r="AF981" t="s">
        <v>113</v>
      </c>
      <c r="AG981" t="s">
        <v>112</v>
      </c>
      <c r="AH981" t="s">
        <v>112</v>
      </c>
      <c r="AI981" s="63">
        <v>37444</v>
      </c>
      <c r="AK981" t="s">
        <v>111</v>
      </c>
      <c r="AL981" t="s">
        <v>111</v>
      </c>
      <c r="AM981" t="s">
        <v>111</v>
      </c>
      <c r="AN981" t="s">
        <v>105</v>
      </c>
      <c r="AO981" t="s">
        <v>110</v>
      </c>
      <c r="AP981" t="s">
        <v>109</v>
      </c>
    </row>
    <row r="982" spans="1:42" x14ac:dyDescent="0.25">
      <c r="A982" s="28" t="str">
        <f>"1258"</f>
        <v>1258</v>
      </c>
      <c r="B982">
        <v>1258</v>
      </c>
      <c r="C982" t="s">
        <v>2488</v>
      </c>
      <c r="D982" t="s">
        <v>121</v>
      </c>
      <c r="F982" t="s">
        <v>120</v>
      </c>
      <c r="G982" t="s">
        <v>284</v>
      </c>
      <c r="H982" t="s">
        <v>6454</v>
      </c>
      <c r="I982" t="s">
        <v>1802</v>
      </c>
      <c r="J982" t="s">
        <v>7</v>
      </c>
      <c r="K982" s="63">
        <v>15414</v>
      </c>
      <c r="L982" s="28">
        <f>DATEDIF(K982,Zwift25!G$1,"Y")</f>
        <v>82</v>
      </c>
      <c r="M982" s="67">
        <f>IF(J982="m",VLOOKUP(L982,'All Solo Adjustments'!A:D,4,FALSE),VLOOKUP(L982,'All Solo Adjustments'!A:J,10,FALSE))</f>
        <v>1.2210648148148148E-2</v>
      </c>
      <c r="N982" s="63"/>
      <c r="O982" s="63"/>
      <c r="P982" s="63"/>
      <c r="Q982" s="63"/>
      <c r="R982" t="s">
        <v>296</v>
      </c>
      <c r="S982" t="s">
        <v>2310</v>
      </c>
      <c r="T982" t="s">
        <v>292</v>
      </c>
      <c r="U982" t="s">
        <v>7781</v>
      </c>
      <c r="V982" t="s">
        <v>7780</v>
      </c>
      <c r="W982" t="s">
        <v>1638</v>
      </c>
      <c r="Y982" t="s">
        <v>7779</v>
      </c>
      <c r="Z982" t="str">
        <f>"01555 860327"</f>
        <v>01555 860327</v>
      </c>
      <c r="AA982" t="str">
        <f>"078287304469"</f>
        <v>078287304469</v>
      </c>
      <c r="AB982" t="s">
        <v>7778</v>
      </c>
      <c r="AC982" t="s">
        <v>7777</v>
      </c>
      <c r="AD982" t="s">
        <v>145</v>
      </c>
      <c r="AF982" t="s">
        <v>156</v>
      </c>
      <c r="AG982" t="s">
        <v>112</v>
      </c>
      <c r="AH982" t="s">
        <v>112</v>
      </c>
      <c r="AI982" s="63">
        <v>30214</v>
      </c>
      <c r="AK982" t="s">
        <v>111</v>
      </c>
      <c r="AL982" t="s">
        <v>111</v>
      </c>
      <c r="AM982" t="s">
        <v>111</v>
      </c>
      <c r="AN982" t="s">
        <v>105</v>
      </c>
      <c r="AO982" t="s">
        <v>110</v>
      </c>
      <c r="AP982" t="s">
        <v>109</v>
      </c>
    </row>
    <row r="983" spans="1:42" x14ac:dyDescent="0.25">
      <c r="A983" s="28" t="str">
        <f>"4056"</f>
        <v>4056</v>
      </c>
      <c r="B983">
        <v>4056</v>
      </c>
      <c r="C983" t="s">
        <v>2488</v>
      </c>
      <c r="D983" t="s">
        <v>121</v>
      </c>
      <c r="E983" t="s">
        <v>584</v>
      </c>
      <c r="F983" t="s">
        <v>120</v>
      </c>
      <c r="G983" t="s">
        <v>230</v>
      </c>
      <c r="H983" t="s">
        <v>284</v>
      </c>
      <c r="I983" t="s">
        <v>1799</v>
      </c>
      <c r="J983" t="s">
        <v>7</v>
      </c>
      <c r="K983" s="63">
        <v>19199</v>
      </c>
      <c r="L983" s="28">
        <f>DATEDIF(K983,Zwift25!G$1,"Y")</f>
        <v>72</v>
      </c>
      <c r="M983" s="67">
        <f>IF(J983="m",VLOOKUP(L983,'All Solo Adjustments'!A:D,4,FALSE),VLOOKUP(L983,'All Solo Adjustments'!A:J,10,FALSE))</f>
        <v>7.129629629629629E-3</v>
      </c>
      <c r="N983" s="63"/>
      <c r="O983" s="63"/>
      <c r="P983" s="63"/>
      <c r="Q983" s="63"/>
      <c r="R983" t="s">
        <v>137</v>
      </c>
      <c r="S983" t="s">
        <v>136</v>
      </c>
      <c r="T983" t="s">
        <v>292</v>
      </c>
      <c r="U983" t="s">
        <v>7776</v>
      </c>
      <c r="V983" t="s">
        <v>1957</v>
      </c>
      <c r="W983" t="s">
        <v>208</v>
      </c>
      <c r="Y983" t="s">
        <v>7775</v>
      </c>
      <c r="Z983" t="str">
        <f>"01425 627906"</f>
        <v>01425 627906</v>
      </c>
      <c r="AA983" t="str">
        <f>""</f>
        <v/>
      </c>
      <c r="AB983" t="s">
        <v>628</v>
      </c>
      <c r="AC983" t="s">
        <v>7774</v>
      </c>
      <c r="AD983" t="s">
        <v>114</v>
      </c>
      <c r="AE983" s="63">
        <v>45338</v>
      </c>
      <c r="AF983" t="s">
        <v>113</v>
      </c>
      <c r="AG983" t="s">
        <v>112</v>
      </c>
      <c r="AH983" t="s">
        <v>112</v>
      </c>
      <c r="AI983" s="63">
        <v>40456</v>
      </c>
      <c r="AJ983" s="63">
        <v>45657</v>
      </c>
      <c r="AK983" t="s">
        <v>111</v>
      </c>
      <c r="AL983" t="s">
        <v>111</v>
      </c>
      <c r="AM983" t="s">
        <v>111</v>
      </c>
      <c r="AN983">
        <v>4357</v>
      </c>
      <c r="AO983" t="s">
        <v>110</v>
      </c>
      <c r="AP983" t="s">
        <v>109</v>
      </c>
    </row>
    <row r="984" spans="1:42" x14ac:dyDescent="0.25">
      <c r="A984" s="28" t="str">
        <f>"1278"</f>
        <v>1278</v>
      </c>
      <c r="B984">
        <v>1278</v>
      </c>
      <c r="C984" t="s">
        <v>2488</v>
      </c>
      <c r="D984" t="s">
        <v>121</v>
      </c>
      <c r="F984" t="s">
        <v>120</v>
      </c>
      <c r="G984" t="s">
        <v>165</v>
      </c>
      <c r="H984" t="s">
        <v>402</v>
      </c>
      <c r="I984" t="s">
        <v>667</v>
      </c>
      <c r="J984" t="s">
        <v>7</v>
      </c>
      <c r="K984" s="63">
        <v>21955</v>
      </c>
      <c r="L984" s="28">
        <f>DATEDIF(K984,Zwift25!G$1,"Y")</f>
        <v>64</v>
      </c>
      <c r="M984" s="67">
        <f>IF(J984="m",VLOOKUP(L984,'All Solo Adjustments'!A:D,4,FALSE),VLOOKUP(L984,'All Solo Adjustments'!A:J,10,FALSE))</f>
        <v>4.31712962962963E-3</v>
      </c>
      <c r="N984" s="63"/>
      <c r="O984" s="63"/>
      <c r="P984" s="63"/>
      <c r="Q984" s="63"/>
      <c r="R984" t="s">
        <v>143</v>
      </c>
      <c r="S984" t="s">
        <v>142</v>
      </c>
      <c r="T984" t="s">
        <v>292</v>
      </c>
      <c r="U984" t="s">
        <v>7773</v>
      </c>
      <c r="V984" t="s">
        <v>2281</v>
      </c>
      <c r="W984" t="s">
        <v>172</v>
      </c>
      <c r="Y984" t="s">
        <v>7772</v>
      </c>
      <c r="Z984" t="str">
        <f>"01903 741248"</f>
        <v>01903 741248</v>
      </c>
      <c r="AA984" t="str">
        <f>"07434 189368"</f>
        <v>07434 189368</v>
      </c>
      <c r="AB984" t="s">
        <v>817</v>
      </c>
      <c r="AC984" t="s">
        <v>7771</v>
      </c>
      <c r="AD984" t="s">
        <v>114</v>
      </c>
      <c r="AE984" s="63">
        <v>45293</v>
      </c>
      <c r="AF984" t="s">
        <v>156</v>
      </c>
      <c r="AG984" t="s">
        <v>112</v>
      </c>
      <c r="AH984" t="s">
        <v>112</v>
      </c>
      <c r="AI984" s="63">
        <v>36565</v>
      </c>
      <c r="AJ984" s="63">
        <v>45657</v>
      </c>
      <c r="AK984" t="s">
        <v>111</v>
      </c>
      <c r="AL984" t="s">
        <v>111</v>
      </c>
      <c r="AM984" t="s">
        <v>111</v>
      </c>
      <c r="AN984">
        <v>4814</v>
      </c>
      <c r="AO984" t="s">
        <v>110</v>
      </c>
      <c r="AP984" t="s">
        <v>109</v>
      </c>
    </row>
    <row r="985" spans="1:42" x14ac:dyDescent="0.25">
      <c r="A985" s="28" t="str">
        <f>"1274"</f>
        <v>1274</v>
      </c>
      <c r="B985">
        <v>1274</v>
      </c>
      <c r="C985" t="s">
        <v>2488</v>
      </c>
      <c r="D985" t="s">
        <v>121</v>
      </c>
      <c r="E985" t="s">
        <v>584</v>
      </c>
      <c r="F985" t="s">
        <v>120</v>
      </c>
      <c r="G985" t="s">
        <v>442</v>
      </c>
      <c r="I985" t="s">
        <v>667</v>
      </c>
      <c r="J985" t="s">
        <v>7</v>
      </c>
      <c r="K985" s="63">
        <v>23735</v>
      </c>
      <c r="L985" s="28">
        <f>DATEDIF(K985,Zwift25!G$1,"Y")</f>
        <v>59</v>
      </c>
      <c r="M985" s="67">
        <f>IF(J985="m",VLOOKUP(L985,'All Solo Adjustments'!A:D,4,FALSE),VLOOKUP(L985,'All Solo Adjustments'!A:J,10,FALSE))</f>
        <v>2.9629629629629632E-3</v>
      </c>
      <c r="N985" s="63"/>
      <c r="O985" s="63"/>
      <c r="P985" s="63"/>
      <c r="Q985" s="63"/>
      <c r="R985" t="s">
        <v>296</v>
      </c>
      <c r="S985" t="s">
        <v>295</v>
      </c>
      <c r="T985" t="s">
        <v>292</v>
      </c>
      <c r="U985" t="s">
        <v>7770</v>
      </c>
      <c r="V985" t="s">
        <v>2439</v>
      </c>
      <c r="Y985" t="s">
        <v>7769</v>
      </c>
      <c r="Z985" t="str">
        <f>"0131 6640216"</f>
        <v>0131 6640216</v>
      </c>
      <c r="AA985" t="str">
        <f>"07788718514"</f>
        <v>07788718514</v>
      </c>
      <c r="AB985" t="s">
        <v>1420</v>
      </c>
      <c r="AC985" t="s">
        <v>7768</v>
      </c>
      <c r="AD985" t="s">
        <v>114</v>
      </c>
      <c r="AE985" s="63">
        <v>45298</v>
      </c>
      <c r="AF985" t="s">
        <v>156</v>
      </c>
      <c r="AG985" t="s">
        <v>112</v>
      </c>
      <c r="AH985" t="s">
        <v>112</v>
      </c>
      <c r="AI985" s="63">
        <v>38341</v>
      </c>
      <c r="AJ985" s="63">
        <v>45657</v>
      </c>
      <c r="AK985" t="s">
        <v>111</v>
      </c>
      <c r="AL985" t="s">
        <v>111</v>
      </c>
      <c r="AM985" t="s">
        <v>111</v>
      </c>
      <c r="AN985">
        <v>4696</v>
      </c>
      <c r="AO985" t="s">
        <v>110</v>
      </c>
      <c r="AP985" t="s">
        <v>109</v>
      </c>
    </row>
    <row r="986" spans="1:42" x14ac:dyDescent="0.25">
      <c r="A986" s="28" t="str">
        <f>"4943"</f>
        <v>4943</v>
      </c>
      <c r="B986">
        <v>4943</v>
      </c>
      <c r="C986" t="s">
        <v>2488</v>
      </c>
      <c r="D986" t="s">
        <v>121</v>
      </c>
      <c r="F986" t="s">
        <v>120</v>
      </c>
      <c r="G986" t="s">
        <v>1723</v>
      </c>
      <c r="H986" t="s">
        <v>7767</v>
      </c>
      <c r="I986" t="s">
        <v>667</v>
      </c>
      <c r="J986" t="s">
        <v>7</v>
      </c>
      <c r="K986" s="63">
        <v>26235</v>
      </c>
      <c r="L986" s="28">
        <f>DATEDIF(K986,Zwift25!G$1,"Y")</f>
        <v>52</v>
      </c>
      <c r="M986" s="67">
        <f>IF(J986="m",VLOOKUP(L986,'All Solo Adjustments'!A:D,4,FALSE),VLOOKUP(L986,'All Solo Adjustments'!A:J,10,FALSE))</f>
        <v>1.4814814814814816E-3</v>
      </c>
      <c r="N986" s="63"/>
      <c r="O986" s="63"/>
      <c r="P986" s="63"/>
      <c r="Q986" s="63"/>
      <c r="R986" t="s">
        <v>125</v>
      </c>
      <c r="S986" t="s">
        <v>170</v>
      </c>
      <c r="T986" t="s">
        <v>292</v>
      </c>
      <c r="U986" t="s">
        <v>7766</v>
      </c>
      <c r="V986" t="s">
        <v>7765</v>
      </c>
      <c r="W986" t="s">
        <v>2775</v>
      </c>
      <c r="Y986" t="s">
        <v>7764</v>
      </c>
      <c r="Z986" t="str">
        <f>"01993 811190"</f>
        <v>01993 811190</v>
      </c>
      <c r="AA986" t="str">
        <f>"07761023688"</f>
        <v>07761023688</v>
      </c>
      <c r="AB986" t="s">
        <v>1359</v>
      </c>
      <c r="AC986" t="s">
        <v>7763</v>
      </c>
      <c r="AD986" t="s">
        <v>114</v>
      </c>
      <c r="AE986" s="63">
        <v>45303</v>
      </c>
      <c r="AF986" t="s">
        <v>113</v>
      </c>
      <c r="AG986" t="s">
        <v>112</v>
      </c>
      <c r="AH986" t="s">
        <v>112</v>
      </c>
      <c r="AI986" s="63">
        <v>41705</v>
      </c>
      <c r="AJ986" s="63">
        <v>45657</v>
      </c>
      <c r="AK986" t="s">
        <v>111</v>
      </c>
      <c r="AL986" t="s">
        <v>111</v>
      </c>
      <c r="AM986" t="s">
        <v>111</v>
      </c>
      <c r="AN986">
        <v>1500</v>
      </c>
      <c r="AO986" t="s">
        <v>110</v>
      </c>
      <c r="AP986" t="s">
        <v>109</v>
      </c>
    </row>
    <row r="987" spans="1:42" x14ac:dyDescent="0.25">
      <c r="A987" s="28" t="str">
        <f>"6342"</f>
        <v>6342</v>
      </c>
      <c r="B987">
        <v>6342</v>
      </c>
      <c r="C987" t="s">
        <v>2488</v>
      </c>
      <c r="D987" t="s">
        <v>121</v>
      </c>
      <c r="F987" t="s">
        <v>120</v>
      </c>
      <c r="G987" t="s">
        <v>231</v>
      </c>
      <c r="I987" t="s">
        <v>667</v>
      </c>
      <c r="J987" t="s">
        <v>7</v>
      </c>
      <c r="K987" s="63">
        <v>26966</v>
      </c>
      <c r="L987" s="28">
        <f>DATEDIF(K987,Zwift25!G$1,"Y")</f>
        <v>50</v>
      </c>
      <c r="M987" s="67">
        <f>IF(J987="m",VLOOKUP(L987,'All Solo Adjustments'!A:D,4,FALSE),VLOOKUP(L987,'All Solo Adjustments'!A:J,10,FALSE))</f>
        <v>1.1342592592592591E-3</v>
      </c>
      <c r="N987" s="63"/>
      <c r="O987" s="63"/>
      <c r="P987" s="63"/>
      <c r="Q987" s="63"/>
      <c r="R987" t="s">
        <v>125</v>
      </c>
      <c r="S987" t="s">
        <v>170</v>
      </c>
      <c r="T987" t="s">
        <v>292</v>
      </c>
      <c r="U987" t="s">
        <v>7762</v>
      </c>
      <c r="V987" t="s">
        <v>1075</v>
      </c>
      <c r="W987" t="s">
        <v>159</v>
      </c>
      <c r="Y987" t="s">
        <v>7761</v>
      </c>
      <c r="Z987" t="str">
        <f>"07808 404472"</f>
        <v>07808 404472</v>
      </c>
      <c r="AA987" t="str">
        <f>""</f>
        <v/>
      </c>
      <c r="AB987" t="s">
        <v>686</v>
      </c>
      <c r="AC987" t="s">
        <v>7760</v>
      </c>
      <c r="AD987" t="s">
        <v>114</v>
      </c>
      <c r="AE987" s="63">
        <v>45290</v>
      </c>
      <c r="AF987" t="s">
        <v>156</v>
      </c>
      <c r="AG987" t="s">
        <v>112</v>
      </c>
      <c r="AH987" t="s">
        <v>112</v>
      </c>
      <c r="AI987" s="63">
        <v>42960</v>
      </c>
      <c r="AJ987" s="63">
        <v>45657</v>
      </c>
      <c r="AK987" t="s">
        <v>111</v>
      </c>
      <c r="AL987" t="s">
        <v>111</v>
      </c>
      <c r="AM987" t="s">
        <v>111</v>
      </c>
      <c r="AN987">
        <v>5478</v>
      </c>
      <c r="AO987" t="s">
        <v>110</v>
      </c>
      <c r="AP987" t="s">
        <v>109</v>
      </c>
    </row>
    <row r="988" spans="1:42" x14ac:dyDescent="0.25">
      <c r="A988" s="28" t="str">
        <f>"5972"</f>
        <v>5972</v>
      </c>
      <c r="B988">
        <v>5972</v>
      </c>
      <c r="C988" t="s">
        <v>2488</v>
      </c>
      <c r="D988" t="s">
        <v>121</v>
      </c>
      <c r="F988" t="s">
        <v>120</v>
      </c>
      <c r="G988" t="s">
        <v>373</v>
      </c>
      <c r="I988" t="s">
        <v>667</v>
      </c>
      <c r="J988" t="s">
        <v>7</v>
      </c>
      <c r="K988" s="63">
        <v>24295</v>
      </c>
      <c r="L988" s="28">
        <f>DATEDIF(K988,Zwift25!G$1,"Y")</f>
        <v>58</v>
      </c>
      <c r="M988" s="67">
        <f>IF(J988="m",VLOOKUP(L988,'All Solo Adjustments'!A:D,4,FALSE),VLOOKUP(L988,'All Solo Adjustments'!A:J,10,FALSE))</f>
        <v>2.7199074074074074E-3</v>
      </c>
      <c r="N988" s="63"/>
      <c r="O988" s="63"/>
      <c r="P988" s="63"/>
      <c r="Q988" s="63"/>
      <c r="R988" t="s">
        <v>184</v>
      </c>
      <c r="S988" t="s">
        <v>183</v>
      </c>
      <c r="T988" t="s">
        <v>292</v>
      </c>
      <c r="U988" t="s">
        <v>7759</v>
      </c>
      <c r="V988" t="s">
        <v>1077</v>
      </c>
      <c r="Y988" t="s">
        <v>7758</v>
      </c>
      <c r="Z988" t="str">
        <f>"07973 721574"</f>
        <v>07973 721574</v>
      </c>
      <c r="AA988" t="str">
        <f>""</f>
        <v/>
      </c>
      <c r="AB988" t="s">
        <v>3495</v>
      </c>
      <c r="AC988" t="s">
        <v>7757</v>
      </c>
      <c r="AD988" t="s">
        <v>114</v>
      </c>
      <c r="AE988" s="63">
        <v>45292</v>
      </c>
      <c r="AF988" t="s">
        <v>156</v>
      </c>
      <c r="AG988" t="s">
        <v>112</v>
      </c>
      <c r="AH988" t="s">
        <v>112</v>
      </c>
      <c r="AI988" s="63">
        <v>42605</v>
      </c>
      <c r="AJ988" s="63">
        <v>45657</v>
      </c>
      <c r="AK988" t="s">
        <v>111</v>
      </c>
      <c r="AL988" t="s">
        <v>111</v>
      </c>
      <c r="AM988" t="s">
        <v>111</v>
      </c>
      <c r="AN988">
        <v>11435</v>
      </c>
      <c r="AO988" t="s">
        <v>110</v>
      </c>
      <c r="AP988" t="s">
        <v>109</v>
      </c>
    </row>
    <row r="989" spans="1:42" x14ac:dyDescent="0.25">
      <c r="A989" s="28" t="str">
        <f>"1263"</f>
        <v>1263</v>
      </c>
      <c r="B989">
        <v>1263</v>
      </c>
      <c r="C989" t="s">
        <v>2488</v>
      </c>
      <c r="D989" t="s">
        <v>121</v>
      </c>
      <c r="F989" t="s">
        <v>120</v>
      </c>
      <c r="G989" t="s">
        <v>251</v>
      </c>
      <c r="H989" t="s">
        <v>506</v>
      </c>
      <c r="I989" t="s">
        <v>667</v>
      </c>
      <c r="J989" t="s">
        <v>7</v>
      </c>
      <c r="K989" s="63">
        <v>15029</v>
      </c>
      <c r="L989" s="28">
        <f>DATEDIF(K989,Zwift25!G$1,"Y")</f>
        <v>83</v>
      </c>
      <c r="M989" s="67">
        <f>IF(J989="m",VLOOKUP(L989,'All Solo Adjustments'!A:D,4,FALSE),VLOOKUP(L989,'All Solo Adjustments'!A:J,10,FALSE))</f>
        <v>1.2858796296296297E-2</v>
      </c>
      <c r="N989" s="63"/>
      <c r="O989" s="63"/>
      <c r="P989" s="63"/>
      <c r="Q989" s="63"/>
      <c r="R989" t="s">
        <v>125</v>
      </c>
      <c r="S989" t="s">
        <v>484</v>
      </c>
      <c r="T989" t="s">
        <v>292</v>
      </c>
      <c r="U989" t="s">
        <v>7756</v>
      </c>
      <c r="V989" t="s">
        <v>7755</v>
      </c>
      <c r="W989" t="s">
        <v>223</v>
      </c>
      <c r="X989" t="s">
        <v>201</v>
      </c>
      <c r="Y989" t="s">
        <v>7754</v>
      </c>
      <c r="Z989" t="str">
        <f>"01223 263071"</f>
        <v>01223 263071</v>
      </c>
      <c r="AA989" t="str">
        <f>""</f>
        <v/>
      </c>
      <c r="AB989" t="s">
        <v>222</v>
      </c>
      <c r="AC989" t="s">
        <v>7753</v>
      </c>
      <c r="AD989" t="s">
        <v>145</v>
      </c>
      <c r="AF989" t="s">
        <v>156</v>
      </c>
      <c r="AG989" t="s">
        <v>112</v>
      </c>
      <c r="AH989" t="s">
        <v>112</v>
      </c>
      <c r="AI989" s="63">
        <v>33671</v>
      </c>
      <c r="AK989" t="s">
        <v>111</v>
      </c>
      <c r="AL989" t="s">
        <v>111</v>
      </c>
      <c r="AM989" t="s">
        <v>111</v>
      </c>
      <c r="AN989" t="s">
        <v>105</v>
      </c>
      <c r="AO989" t="s">
        <v>110</v>
      </c>
      <c r="AP989" t="s">
        <v>109</v>
      </c>
    </row>
    <row r="990" spans="1:42" x14ac:dyDescent="0.25">
      <c r="A990" s="28" t="str">
        <f>"3717"</f>
        <v>3717</v>
      </c>
      <c r="B990">
        <v>3717</v>
      </c>
      <c r="C990" t="s">
        <v>2488</v>
      </c>
      <c r="D990" t="s">
        <v>121</v>
      </c>
      <c r="F990" t="s">
        <v>120</v>
      </c>
      <c r="G990" t="s">
        <v>230</v>
      </c>
      <c r="H990" t="s">
        <v>952</v>
      </c>
      <c r="I990" t="s">
        <v>667</v>
      </c>
      <c r="J990" t="s">
        <v>7</v>
      </c>
      <c r="K990" s="63">
        <v>18952</v>
      </c>
      <c r="L990" s="28">
        <f>DATEDIF(K990,Zwift25!G$1,"Y")</f>
        <v>72</v>
      </c>
      <c r="M990" s="67">
        <f>IF(J990="m",VLOOKUP(L990,'All Solo Adjustments'!A:D,4,FALSE),VLOOKUP(L990,'All Solo Adjustments'!A:J,10,FALSE))</f>
        <v>7.129629629629629E-3</v>
      </c>
      <c r="N990" s="63"/>
      <c r="O990" s="63"/>
      <c r="P990" s="63"/>
      <c r="Q990" s="63"/>
      <c r="R990" t="s">
        <v>383</v>
      </c>
      <c r="S990" t="s">
        <v>382</v>
      </c>
      <c r="T990" t="s">
        <v>292</v>
      </c>
      <c r="U990" t="s">
        <v>7752</v>
      </c>
      <c r="V990" t="s">
        <v>7751</v>
      </c>
      <c r="W990" t="s">
        <v>7750</v>
      </c>
      <c r="Y990" t="s">
        <v>7749</v>
      </c>
      <c r="Z990" t="str">
        <f>"07873 353207"</f>
        <v>07873 353207</v>
      </c>
      <c r="AA990" t="str">
        <f>"01279 821282"</f>
        <v>01279 821282</v>
      </c>
      <c r="AB990" t="s">
        <v>2887</v>
      </c>
      <c r="AC990" t="s">
        <v>7748</v>
      </c>
      <c r="AD990" t="s">
        <v>114</v>
      </c>
      <c r="AE990" s="63">
        <v>45297</v>
      </c>
      <c r="AF990" t="s">
        <v>156</v>
      </c>
      <c r="AG990" t="s">
        <v>112</v>
      </c>
      <c r="AH990" t="s">
        <v>112</v>
      </c>
      <c r="AI990" s="63">
        <v>39941</v>
      </c>
      <c r="AJ990" s="63">
        <v>45657</v>
      </c>
      <c r="AK990" t="s">
        <v>111</v>
      </c>
      <c r="AL990" t="s">
        <v>111</v>
      </c>
      <c r="AM990" t="s">
        <v>111</v>
      </c>
      <c r="AN990">
        <v>1989</v>
      </c>
      <c r="AO990" t="s">
        <v>110</v>
      </c>
      <c r="AP990" t="s">
        <v>109</v>
      </c>
    </row>
    <row r="991" spans="1:42" x14ac:dyDescent="0.25">
      <c r="A991" s="28" t="str">
        <f>"13798"</f>
        <v>13798</v>
      </c>
      <c r="B991">
        <v>13798</v>
      </c>
      <c r="C991" t="s">
        <v>2488</v>
      </c>
      <c r="D991" t="s">
        <v>121</v>
      </c>
      <c r="F991" t="s">
        <v>120</v>
      </c>
      <c r="G991" t="s">
        <v>506</v>
      </c>
      <c r="H991" t="s">
        <v>1130</v>
      </c>
      <c r="I991" t="s">
        <v>667</v>
      </c>
      <c r="J991" t="s">
        <v>7</v>
      </c>
      <c r="K991" s="63">
        <v>13784</v>
      </c>
      <c r="L991" s="28">
        <f>DATEDIF(K991,Zwift25!G$1,"Y")</f>
        <v>87</v>
      </c>
      <c r="M991" s="67">
        <f>IF(J991="m",VLOOKUP(L991,'All Solo Adjustments'!A:D,4,FALSE),VLOOKUP(L991,'All Solo Adjustments'!A:J,10,FALSE))</f>
        <v>1.576388888888889E-2</v>
      </c>
      <c r="N991" s="63"/>
      <c r="O991" s="63"/>
      <c r="P991" s="63"/>
      <c r="Q991" s="63"/>
      <c r="R991" t="s">
        <v>198</v>
      </c>
      <c r="S991" t="s">
        <v>461</v>
      </c>
      <c r="T991" t="s">
        <v>292</v>
      </c>
      <c r="U991" t="s">
        <v>7747</v>
      </c>
      <c r="V991" t="s">
        <v>1905</v>
      </c>
      <c r="W991" t="s">
        <v>7746</v>
      </c>
      <c r="X991" t="s">
        <v>213</v>
      </c>
      <c r="Y991" t="s">
        <v>7745</v>
      </c>
      <c r="Z991" t="str">
        <f>"01744 20981"</f>
        <v>01744 20981</v>
      </c>
      <c r="AA991" t="str">
        <f>""</f>
        <v/>
      </c>
      <c r="AB991" t="s">
        <v>290</v>
      </c>
      <c r="AC991" t="s">
        <v>7744</v>
      </c>
      <c r="AD991" t="s">
        <v>114</v>
      </c>
      <c r="AE991" s="63">
        <v>45292</v>
      </c>
      <c r="AF991" t="s">
        <v>156</v>
      </c>
      <c r="AG991" t="s">
        <v>112</v>
      </c>
      <c r="AH991" t="s">
        <v>112</v>
      </c>
      <c r="AI991" s="63">
        <v>43342</v>
      </c>
      <c r="AJ991" s="63">
        <v>45657</v>
      </c>
      <c r="AK991" t="s">
        <v>112</v>
      </c>
      <c r="AL991" t="s">
        <v>111</v>
      </c>
      <c r="AM991" t="s">
        <v>111</v>
      </c>
      <c r="AN991" t="s">
        <v>105</v>
      </c>
      <c r="AO991" t="s">
        <v>110</v>
      </c>
      <c r="AP991" t="s">
        <v>109</v>
      </c>
    </row>
    <row r="992" spans="1:42" x14ac:dyDescent="0.25">
      <c r="A992" s="28" t="str">
        <f>"13988"</f>
        <v>13988</v>
      </c>
      <c r="B992">
        <v>13988</v>
      </c>
      <c r="C992" t="s">
        <v>2488</v>
      </c>
      <c r="D992" t="s">
        <v>121</v>
      </c>
      <c r="F992" t="s">
        <v>120</v>
      </c>
      <c r="G992" t="s">
        <v>366</v>
      </c>
      <c r="I992" t="s">
        <v>667</v>
      </c>
      <c r="J992" t="s">
        <v>7</v>
      </c>
      <c r="K992" s="63">
        <v>24280</v>
      </c>
      <c r="L992" s="28">
        <f>DATEDIF(K992,Zwift25!G$1,"Y")</f>
        <v>58</v>
      </c>
      <c r="M992" s="67">
        <f>IF(J992="m",VLOOKUP(L992,'All Solo Adjustments'!A:D,4,FALSE),VLOOKUP(L992,'All Solo Adjustments'!A:J,10,FALSE))</f>
        <v>2.7199074074074074E-3</v>
      </c>
      <c r="N992" s="63"/>
      <c r="O992" s="63"/>
      <c r="P992" s="63"/>
      <c r="Q992" s="63"/>
      <c r="R992" t="s">
        <v>283</v>
      </c>
      <c r="S992" t="s">
        <v>530</v>
      </c>
      <c r="T992" t="s">
        <v>292</v>
      </c>
      <c r="U992" t="s">
        <v>7743</v>
      </c>
      <c r="V992" t="s">
        <v>2101</v>
      </c>
      <c r="W992" t="s">
        <v>7742</v>
      </c>
      <c r="Y992" t="s">
        <v>7741</v>
      </c>
      <c r="Z992" t="str">
        <f>"07811077653"</f>
        <v>07811077653</v>
      </c>
      <c r="AA992" t="str">
        <f>""</f>
        <v/>
      </c>
      <c r="AB992" t="s">
        <v>7740</v>
      </c>
      <c r="AC992" t="s">
        <v>7739</v>
      </c>
      <c r="AD992" t="s">
        <v>114</v>
      </c>
      <c r="AE992" s="63">
        <v>45363</v>
      </c>
      <c r="AF992" t="s">
        <v>156</v>
      </c>
      <c r="AG992" t="s">
        <v>112</v>
      </c>
      <c r="AH992" t="s">
        <v>112</v>
      </c>
      <c r="AI992" s="63">
        <v>43476</v>
      </c>
      <c r="AJ992" s="63">
        <v>45657</v>
      </c>
      <c r="AK992" t="s">
        <v>112</v>
      </c>
      <c r="AL992" t="s">
        <v>111</v>
      </c>
      <c r="AM992" t="s">
        <v>111</v>
      </c>
      <c r="AN992">
        <v>8181</v>
      </c>
      <c r="AO992" t="s">
        <v>110</v>
      </c>
      <c r="AP992" t="s">
        <v>109</v>
      </c>
    </row>
    <row r="993" spans="1:42" x14ac:dyDescent="0.25">
      <c r="A993" s="28" t="str">
        <f>"14024"</f>
        <v>14024</v>
      </c>
      <c r="B993">
        <v>14024</v>
      </c>
      <c r="C993" t="s">
        <v>2488</v>
      </c>
      <c r="D993" t="s">
        <v>121</v>
      </c>
      <c r="F993" t="s">
        <v>120</v>
      </c>
      <c r="G993" t="s">
        <v>402</v>
      </c>
      <c r="H993" t="s">
        <v>400</v>
      </c>
      <c r="I993" t="s">
        <v>667</v>
      </c>
      <c r="J993" t="s">
        <v>7</v>
      </c>
      <c r="K993" s="63">
        <v>21418</v>
      </c>
      <c r="L993" s="28">
        <f>DATEDIF(K993,Zwift25!G$1,"Y")</f>
        <v>66</v>
      </c>
      <c r="M993" s="67">
        <f>IF(J993="m",VLOOKUP(L993,'All Solo Adjustments'!A:D,4,FALSE),VLOOKUP(L993,'All Solo Adjustments'!A:J,10,FALSE))</f>
        <v>4.9421296296296297E-3</v>
      </c>
      <c r="N993" s="63"/>
      <c r="O993" s="63"/>
      <c r="P993" s="63"/>
      <c r="Q993" s="63"/>
      <c r="R993" t="s">
        <v>125</v>
      </c>
      <c r="S993" t="s">
        <v>170</v>
      </c>
      <c r="T993" t="s">
        <v>292</v>
      </c>
      <c r="U993" t="s">
        <v>7738</v>
      </c>
      <c r="V993" t="s">
        <v>1786</v>
      </c>
      <c r="W993" t="s">
        <v>420</v>
      </c>
      <c r="X993" t="s">
        <v>419</v>
      </c>
      <c r="Y993" t="s">
        <v>7737</v>
      </c>
      <c r="Z993" t="str">
        <f>"01780 782549"</f>
        <v>01780 782549</v>
      </c>
      <c r="AA993" t="str">
        <f>"07711711123"</f>
        <v>07711711123</v>
      </c>
      <c r="AB993" t="s">
        <v>1340</v>
      </c>
      <c r="AC993" t="s">
        <v>7736</v>
      </c>
      <c r="AD993" t="s">
        <v>114</v>
      </c>
      <c r="AE993" s="63">
        <v>45268</v>
      </c>
      <c r="AF993" t="s">
        <v>156</v>
      </c>
      <c r="AG993" t="s">
        <v>112</v>
      </c>
      <c r="AH993" t="s">
        <v>112</v>
      </c>
      <c r="AI993" s="63">
        <v>43496</v>
      </c>
      <c r="AJ993" s="63">
        <v>45657</v>
      </c>
      <c r="AK993" t="s">
        <v>112</v>
      </c>
      <c r="AL993" t="s">
        <v>111</v>
      </c>
      <c r="AM993" t="s">
        <v>111</v>
      </c>
      <c r="AN993">
        <v>23951</v>
      </c>
      <c r="AO993" t="s">
        <v>110</v>
      </c>
      <c r="AP993" t="s">
        <v>109</v>
      </c>
    </row>
    <row r="994" spans="1:42" x14ac:dyDescent="0.25">
      <c r="A994" s="28" t="str">
        <f>"14179"</f>
        <v>14179</v>
      </c>
      <c r="B994">
        <v>14179</v>
      </c>
      <c r="C994" t="s">
        <v>2488</v>
      </c>
      <c r="D994" t="s">
        <v>121</v>
      </c>
      <c r="F994" t="s">
        <v>120</v>
      </c>
      <c r="G994" t="s">
        <v>1732</v>
      </c>
      <c r="I994" t="s">
        <v>667</v>
      </c>
      <c r="J994" t="s">
        <v>7</v>
      </c>
      <c r="K994" s="63">
        <v>25376</v>
      </c>
      <c r="L994" s="28">
        <f>DATEDIF(K994,Zwift25!G$1,"Y")</f>
        <v>55</v>
      </c>
      <c r="M994" s="67">
        <f>IF(J994="m",VLOOKUP(L994,'All Solo Adjustments'!A:D,4,FALSE),VLOOKUP(L994,'All Solo Adjustments'!A:J,10,FALSE))</f>
        <v>2.0601851851851853E-3</v>
      </c>
      <c r="N994" s="63"/>
      <c r="O994" s="63"/>
      <c r="P994" s="63"/>
      <c r="Q994" s="63"/>
      <c r="R994" t="s">
        <v>159</v>
      </c>
      <c r="S994" t="s">
        <v>162</v>
      </c>
      <c r="T994" t="s">
        <v>292</v>
      </c>
      <c r="U994" t="s">
        <v>7735</v>
      </c>
      <c r="V994" t="s">
        <v>1075</v>
      </c>
      <c r="W994" t="s">
        <v>159</v>
      </c>
      <c r="Y994" t="s">
        <v>7734</v>
      </c>
      <c r="Z994" t="str">
        <f>"07954 172545"</f>
        <v>07954 172545</v>
      </c>
      <c r="AA994" t="str">
        <f>""</f>
        <v/>
      </c>
      <c r="AB994" t="s">
        <v>7733</v>
      </c>
      <c r="AC994" t="s">
        <v>7732</v>
      </c>
      <c r="AD994" t="s">
        <v>114</v>
      </c>
      <c r="AE994" s="63">
        <v>45280</v>
      </c>
      <c r="AF994" t="s">
        <v>156</v>
      </c>
      <c r="AG994" t="s">
        <v>112</v>
      </c>
      <c r="AH994" t="s">
        <v>112</v>
      </c>
      <c r="AI994" s="63">
        <v>43573</v>
      </c>
      <c r="AJ994" s="63">
        <v>45657</v>
      </c>
      <c r="AK994" t="s">
        <v>112</v>
      </c>
      <c r="AL994" t="s">
        <v>111</v>
      </c>
      <c r="AM994" t="s">
        <v>111</v>
      </c>
      <c r="AN994">
        <v>18809</v>
      </c>
      <c r="AO994" t="s">
        <v>110</v>
      </c>
      <c r="AP994" t="s">
        <v>109</v>
      </c>
    </row>
    <row r="995" spans="1:42" x14ac:dyDescent="0.25">
      <c r="A995" s="28" t="str">
        <f>"14288"</f>
        <v>14288</v>
      </c>
      <c r="B995">
        <v>14288</v>
      </c>
      <c r="C995" t="s">
        <v>2488</v>
      </c>
      <c r="D995" t="s">
        <v>121</v>
      </c>
      <c r="F995" t="s">
        <v>120</v>
      </c>
      <c r="G995" t="s">
        <v>185</v>
      </c>
      <c r="H995" t="s">
        <v>195</v>
      </c>
      <c r="I995" t="s">
        <v>667</v>
      </c>
      <c r="J995" t="s">
        <v>7</v>
      </c>
      <c r="K995" s="63">
        <v>25953</v>
      </c>
      <c r="L995" s="28">
        <f>DATEDIF(K995,Zwift25!G$1,"Y")</f>
        <v>53</v>
      </c>
      <c r="M995" s="67">
        <f>IF(J995="m",VLOOKUP(L995,'All Solo Adjustments'!A:D,4,FALSE),VLOOKUP(L995,'All Solo Adjustments'!A:J,10,FALSE))</f>
        <v>1.6666666666666668E-3</v>
      </c>
      <c r="N995" s="63"/>
      <c r="O995" s="63"/>
      <c r="P995" s="63"/>
      <c r="Q995" s="63"/>
      <c r="R995" t="s">
        <v>137</v>
      </c>
      <c r="S995" t="s">
        <v>136</v>
      </c>
      <c r="T995" t="s">
        <v>292</v>
      </c>
      <c r="U995" t="s">
        <v>7731</v>
      </c>
      <c r="W995" t="s">
        <v>1079</v>
      </c>
      <c r="Y995" t="s">
        <v>7730</v>
      </c>
      <c r="Z995" t="str">
        <f>"01202244420"</f>
        <v>01202244420</v>
      </c>
      <c r="AA995" t="str">
        <f>""</f>
        <v/>
      </c>
      <c r="AB995" t="s">
        <v>7729</v>
      </c>
      <c r="AC995" t="s">
        <v>7728</v>
      </c>
      <c r="AD995" t="s">
        <v>114</v>
      </c>
      <c r="AE995" s="63">
        <v>45295</v>
      </c>
      <c r="AF995" t="s">
        <v>113</v>
      </c>
      <c r="AG995" t="s">
        <v>112</v>
      </c>
      <c r="AH995" t="s">
        <v>112</v>
      </c>
      <c r="AI995" s="63">
        <v>43638</v>
      </c>
      <c r="AJ995" s="63">
        <v>45657</v>
      </c>
      <c r="AK995" t="s">
        <v>112</v>
      </c>
      <c r="AL995" t="s">
        <v>111</v>
      </c>
      <c r="AM995" t="s">
        <v>111</v>
      </c>
      <c r="AN995">
        <v>2689</v>
      </c>
      <c r="AO995" t="s">
        <v>110</v>
      </c>
      <c r="AP995" t="s">
        <v>109</v>
      </c>
    </row>
    <row r="996" spans="1:42" x14ac:dyDescent="0.25">
      <c r="A996" s="28" t="str">
        <f>"14666"</f>
        <v>14666</v>
      </c>
      <c r="B996">
        <v>14666</v>
      </c>
      <c r="C996" t="s">
        <v>2488</v>
      </c>
      <c r="D996" t="s">
        <v>121</v>
      </c>
      <c r="F996" t="s">
        <v>120</v>
      </c>
      <c r="G996" t="s">
        <v>164</v>
      </c>
      <c r="H996" t="s">
        <v>1328</v>
      </c>
      <c r="I996" t="s">
        <v>667</v>
      </c>
      <c r="J996" t="s">
        <v>7</v>
      </c>
      <c r="K996" s="63">
        <v>26998</v>
      </c>
      <c r="L996" s="28">
        <f>DATEDIF(K996,Zwift25!G$1,"Y")</f>
        <v>50</v>
      </c>
      <c r="M996" s="67">
        <f>IF(J996="m",VLOOKUP(L996,'All Solo Adjustments'!A:D,4,FALSE),VLOOKUP(L996,'All Solo Adjustments'!A:J,10,FALSE))</f>
        <v>1.1342592592592591E-3</v>
      </c>
      <c r="N996" s="63"/>
      <c r="O996" s="63"/>
      <c r="P996" s="63"/>
      <c r="Q996" s="63"/>
      <c r="R996" t="s">
        <v>184</v>
      </c>
      <c r="S996" t="s">
        <v>183</v>
      </c>
      <c r="T996" t="s">
        <v>292</v>
      </c>
      <c r="U996" t="s">
        <v>7727</v>
      </c>
      <c r="V996" t="s">
        <v>7726</v>
      </c>
      <c r="W996" t="s">
        <v>1750</v>
      </c>
      <c r="X996" t="s">
        <v>347</v>
      </c>
      <c r="Y996" t="s">
        <v>7725</v>
      </c>
      <c r="Z996" t="str">
        <f>"01494862644"</f>
        <v>01494862644</v>
      </c>
      <c r="AA996" t="str">
        <f>"+447490492042"</f>
        <v>+447490492042</v>
      </c>
      <c r="AB996" t="s">
        <v>2583</v>
      </c>
      <c r="AC996" t="s">
        <v>7724</v>
      </c>
      <c r="AD996" t="s">
        <v>114</v>
      </c>
      <c r="AE996" s="63">
        <v>45269</v>
      </c>
      <c r="AF996" t="s">
        <v>156</v>
      </c>
      <c r="AG996" t="s">
        <v>112</v>
      </c>
      <c r="AH996" t="s">
        <v>112</v>
      </c>
      <c r="AI996" s="63">
        <v>44061</v>
      </c>
      <c r="AJ996" s="63">
        <v>45657</v>
      </c>
      <c r="AK996" t="s">
        <v>112</v>
      </c>
      <c r="AL996" t="s">
        <v>111</v>
      </c>
      <c r="AM996" t="s">
        <v>111</v>
      </c>
      <c r="AN996">
        <v>21599</v>
      </c>
      <c r="AO996" t="s">
        <v>110</v>
      </c>
      <c r="AP996" t="s">
        <v>109</v>
      </c>
    </row>
    <row r="997" spans="1:42" x14ac:dyDescent="0.25">
      <c r="A997" s="28" t="str">
        <f>"14728"</f>
        <v>14728</v>
      </c>
      <c r="B997">
        <v>14728</v>
      </c>
      <c r="C997" t="s">
        <v>2488</v>
      </c>
      <c r="D997" t="s">
        <v>121</v>
      </c>
      <c r="F997" t="s">
        <v>120</v>
      </c>
      <c r="G997" t="s">
        <v>165</v>
      </c>
      <c r="H997" t="s">
        <v>206</v>
      </c>
      <c r="I997" t="s">
        <v>667</v>
      </c>
      <c r="J997" t="s">
        <v>7</v>
      </c>
      <c r="K997" s="63">
        <v>24634</v>
      </c>
      <c r="L997" s="28">
        <f>DATEDIF(K997,Zwift25!G$1,"Y")</f>
        <v>57</v>
      </c>
      <c r="M997" s="67">
        <f>IF(J997="m",VLOOKUP(L997,'All Solo Adjustments'!A:D,4,FALSE),VLOOKUP(L997,'All Solo Adjustments'!A:J,10,FALSE))</f>
        <v>2.488425925925926E-3</v>
      </c>
      <c r="N997" s="63"/>
      <c r="O997" s="63"/>
      <c r="P997" s="63"/>
      <c r="Q997" s="63"/>
      <c r="R997" t="s">
        <v>213</v>
      </c>
      <c r="S997" t="s">
        <v>212</v>
      </c>
      <c r="T997" t="s">
        <v>292</v>
      </c>
      <c r="U997" t="s">
        <v>7723</v>
      </c>
      <c r="V997" t="s">
        <v>7722</v>
      </c>
      <c r="W997" t="s">
        <v>7722</v>
      </c>
      <c r="X997" t="s">
        <v>1225</v>
      </c>
      <c r="Y997" t="s">
        <v>7721</v>
      </c>
      <c r="Z997" t="str">
        <f>"07395765450"</f>
        <v>07395765450</v>
      </c>
      <c r="AA997" t="str">
        <f>""</f>
        <v/>
      </c>
      <c r="AB997" t="s">
        <v>7720</v>
      </c>
      <c r="AC997" t="s">
        <v>7719</v>
      </c>
      <c r="AD997" t="s">
        <v>114</v>
      </c>
      <c r="AE997" s="63">
        <v>45299</v>
      </c>
      <c r="AF997" t="s">
        <v>156</v>
      </c>
      <c r="AG997" t="s">
        <v>112</v>
      </c>
      <c r="AH997" t="s">
        <v>112</v>
      </c>
      <c r="AI997" s="63">
        <v>44078</v>
      </c>
      <c r="AJ997" s="63">
        <v>45657</v>
      </c>
      <c r="AK997" t="s">
        <v>112</v>
      </c>
      <c r="AL997" t="s">
        <v>111</v>
      </c>
      <c r="AM997" t="s">
        <v>111</v>
      </c>
      <c r="AN997">
        <v>30746</v>
      </c>
      <c r="AO997" t="s">
        <v>110</v>
      </c>
      <c r="AP997" t="s">
        <v>109</v>
      </c>
    </row>
    <row r="998" spans="1:42" x14ac:dyDescent="0.25">
      <c r="A998" s="28" t="str">
        <f>"15398"</f>
        <v>15398</v>
      </c>
      <c r="B998">
        <v>15398</v>
      </c>
      <c r="C998" t="s">
        <v>2488</v>
      </c>
      <c r="D998" t="s">
        <v>121</v>
      </c>
      <c r="F998" t="s">
        <v>120</v>
      </c>
      <c r="G998" t="s">
        <v>469</v>
      </c>
      <c r="H998" t="s">
        <v>165</v>
      </c>
      <c r="I998" t="s">
        <v>667</v>
      </c>
      <c r="J998" t="s">
        <v>7</v>
      </c>
      <c r="K998" s="63">
        <v>26842</v>
      </c>
      <c r="L998" s="28">
        <f>DATEDIF(K998,Zwift25!G$1,"Y")</f>
        <v>51</v>
      </c>
      <c r="M998" s="67">
        <f>IF(J998="m",VLOOKUP(L998,'All Solo Adjustments'!A:D,4,FALSE),VLOOKUP(L998,'All Solo Adjustments'!A:J,10,FALSE))</f>
        <v>1.3078703703703703E-3</v>
      </c>
      <c r="N998" s="63"/>
      <c r="O998" s="63"/>
      <c r="P998" s="63"/>
      <c r="Q998" s="63"/>
      <c r="R998" t="s">
        <v>383</v>
      </c>
      <c r="S998" t="s">
        <v>382</v>
      </c>
      <c r="T998" t="s">
        <v>292</v>
      </c>
      <c r="U998" t="s">
        <v>7718</v>
      </c>
      <c r="V998" t="s">
        <v>7717</v>
      </c>
      <c r="W998" t="s">
        <v>7716</v>
      </c>
      <c r="Y998" t="s">
        <v>7715</v>
      </c>
      <c r="Z998" t="str">
        <f>"07882961558"</f>
        <v>07882961558</v>
      </c>
      <c r="AA998" t="str">
        <f>""</f>
        <v/>
      </c>
      <c r="AB998" t="s">
        <v>7714</v>
      </c>
      <c r="AC998" t="s">
        <v>7713</v>
      </c>
      <c r="AD998" t="s">
        <v>114</v>
      </c>
      <c r="AE998" s="63">
        <v>45292</v>
      </c>
      <c r="AF998" t="s">
        <v>113</v>
      </c>
      <c r="AG998" t="s">
        <v>112</v>
      </c>
      <c r="AH998" t="s">
        <v>112</v>
      </c>
      <c r="AI998" s="63">
        <v>44629</v>
      </c>
      <c r="AJ998" s="63">
        <v>45657</v>
      </c>
      <c r="AK998" t="s">
        <v>112</v>
      </c>
      <c r="AL998" t="s">
        <v>111</v>
      </c>
      <c r="AM998" t="s">
        <v>111</v>
      </c>
      <c r="AN998">
        <v>5740</v>
      </c>
      <c r="AO998" t="s">
        <v>110</v>
      </c>
      <c r="AP998" t="s">
        <v>109</v>
      </c>
    </row>
    <row r="999" spans="1:42" x14ac:dyDescent="0.25">
      <c r="A999" s="28" t="str">
        <f>"15813"</f>
        <v>15813</v>
      </c>
      <c r="B999">
        <v>15813</v>
      </c>
      <c r="C999" t="s">
        <v>2488</v>
      </c>
      <c r="D999" t="s">
        <v>121</v>
      </c>
      <c r="E999" t="s">
        <v>584</v>
      </c>
      <c r="F999" t="s">
        <v>149</v>
      </c>
      <c r="G999" t="s">
        <v>3059</v>
      </c>
      <c r="H999" t="s">
        <v>307</v>
      </c>
      <c r="I999" t="s">
        <v>667</v>
      </c>
      <c r="J999" t="s">
        <v>126</v>
      </c>
      <c r="K999" s="63">
        <v>29338</v>
      </c>
      <c r="L999" s="28">
        <f>DATEDIF(K999,Zwift25!G$1,"Y")</f>
        <v>44</v>
      </c>
      <c r="M999" s="67">
        <f>IF(J999="m",VLOOKUP(L999,'All Solo Adjustments'!A:D,4,FALSE),VLOOKUP(L999,'All Solo Adjustments'!A:J,10,FALSE))</f>
        <v>4.5717592592592598E-3</v>
      </c>
      <c r="N999" s="63"/>
      <c r="O999" s="63"/>
      <c r="P999" s="63"/>
      <c r="Q999" s="63"/>
      <c r="R999" t="s">
        <v>137</v>
      </c>
      <c r="S999" t="s">
        <v>136</v>
      </c>
      <c r="T999" t="s">
        <v>292</v>
      </c>
      <c r="U999" t="s">
        <v>7712</v>
      </c>
      <c r="V999" t="s">
        <v>545</v>
      </c>
      <c r="W999" t="s">
        <v>564</v>
      </c>
      <c r="Y999" t="s">
        <v>7711</v>
      </c>
      <c r="Z999" t="str">
        <f>"07793350805"</f>
        <v>07793350805</v>
      </c>
      <c r="AA999" t="str">
        <f>""</f>
        <v/>
      </c>
      <c r="AB999" t="s">
        <v>7710</v>
      </c>
      <c r="AC999" t="s">
        <v>7709</v>
      </c>
      <c r="AD999" t="s">
        <v>114</v>
      </c>
      <c r="AE999" s="63">
        <v>45338</v>
      </c>
      <c r="AF999" t="s">
        <v>156</v>
      </c>
      <c r="AG999" t="s">
        <v>112</v>
      </c>
      <c r="AH999" t="s">
        <v>112</v>
      </c>
      <c r="AI999" s="63">
        <v>45054</v>
      </c>
      <c r="AJ999" s="63">
        <v>45657</v>
      </c>
      <c r="AK999" t="s">
        <v>112</v>
      </c>
      <c r="AL999" t="s">
        <v>111</v>
      </c>
      <c r="AM999" t="s">
        <v>111</v>
      </c>
      <c r="AN999">
        <v>34674</v>
      </c>
      <c r="AO999" t="s">
        <v>122</v>
      </c>
      <c r="AP999" t="s">
        <v>122</v>
      </c>
    </row>
    <row r="1000" spans="1:42" x14ac:dyDescent="0.25">
      <c r="A1000" s="28" t="str">
        <f>"15869"</f>
        <v>15869</v>
      </c>
      <c r="B1000">
        <v>15869</v>
      </c>
      <c r="C1000" t="s">
        <v>2488</v>
      </c>
      <c r="D1000" t="s">
        <v>121</v>
      </c>
      <c r="E1000" t="s">
        <v>584</v>
      </c>
      <c r="F1000" t="s">
        <v>403</v>
      </c>
      <c r="G1000" t="s">
        <v>284</v>
      </c>
      <c r="H1000" t="s">
        <v>779</v>
      </c>
      <c r="I1000" t="s">
        <v>667</v>
      </c>
      <c r="J1000" t="s">
        <v>7</v>
      </c>
      <c r="K1000" s="63">
        <v>24803</v>
      </c>
      <c r="L1000" s="28">
        <f>DATEDIF(K1000,Zwift25!G$1,"Y")</f>
        <v>56</v>
      </c>
      <c r="M1000" s="67">
        <f>IF(J1000="m",VLOOKUP(L1000,'All Solo Adjustments'!A:D,4,FALSE),VLOOKUP(L1000,'All Solo Adjustments'!A:J,10,FALSE))</f>
        <v>2.2685185185185182E-3</v>
      </c>
      <c r="N1000" s="63"/>
      <c r="O1000" s="63"/>
      <c r="P1000" s="63"/>
      <c r="Q1000" s="63"/>
      <c r="R1000" t="s">
        <v>184</v>
      </c>
      <c r="S1000" t="s">
        <v>183</v>
      </c>
      <c r="T1000" t="s">
        <v>292</v>
      </c>
      <c r="U1000" t="s">
        <v>7708</v>
      </c>
      <c r="W1000" t="s">
        <v>5258</v>
      </c>
      <c r="X1000" t="s">
        <v>401</v>
      </c>
      <c r="Y1000" t="s">
        <v>7707</v>
      </c>
      <c r="Z1000" t="str">
        <f>"07880794568"</f>
        <v>07880794568</v>
      </c>
      <c r="AA1000" t="str">
        <f>""</f>
        <v/>
      </c>
      <c r="AB1000" t="s">
        <v>7706</v>
      </c>
      <c r="AC1000" t="s">
        <v>7705</v>
      </c>
      <c r="AD1000" t="s">
        <v>114</v>
      </c>
      <c r="AE1000" s="63">
        <v>45292</v>
      </c>
      <c r="AF1000" t="s">
        <v>156</v>
      </c>
      <c r="AG1000" t="s">
        <v>112</v>
      </c>
      <c r="AH1000" t="s">
        <v>112</v>
      </c>
      <c r="AI1000" s="63">
        <v>45105</v>
      </c>
      <c r="AJ1000" s="63">
        <v>45657</v>
      </c>
      <c r="AK1000" t="s">
        <v>112</v>
      </c>
      <c r="AL1000" t="s">
        <v>111</v>
      </c>
      <c r="AM1000" t="s">
        <v>111</v>
      </c>
      <c r="AN1000">
        <v>17015</v>
      </c>
      <c r="AO1000" t="s">
        <v>110</v>
      </c>
      <c r="AP1000" t="s">
        <v>109</v>
      </c>
    </row>
    <row r="1001" spans="1:42" x14ac:dyDescent="0.25">
      <c r="A1001" s="28" t="str">
        <f>"15906"</f>
        <v>15906</v>
      </c>
      <c r="B1001">
        <v>15906</v>
      </c>
      <c r="C1001" t="s">
        <v>2488</v>
      </c>
      <c r="D1001" t="s">
        <v>121</v>
      </c>
      <c r="F1001" t="s">
        <v>120</v>
      </c>
      <c r="G1001" t="s">
        <v>594</v>
      </c>
      <c r="H1001" t="s">
        <v>7704</v>
      </c>
      <c r="I1001" t="s">
        <v>667</v>
      </c>
      <c r="J1001" t="s">
        <v>7</v>
      </c>
      <c r="K1001" s="63">
        <v>25263</v>
      </c>
      <c r="L1001" s="28">
        <f>DATEDIF(K1001,Zwift25!G$1,"Y")</f>
        <v>55</v>
      </c>
      <c r="M1001" s="67">
        <f>IF(J1001="m",VLOOKUP(L1001,'All Solo Adjustments'!A:D,4,FALSE),VLOOKUP(L1001,'All Solo Adjustments'!A:J,10,FALSE))</f>
        <v>2.0601851851851853E-3</v>
      </c>
      <c r="N1001" s="63"/>
      <c r="O1001" s="63"/>
      <c r="P1001" s="63"/>
      <c r="Q1001" s="63"/>
      <c r="R1001" t="s">
        <v>198</v>
      </c>
      <c r="S1001" t="s">
        <v>461</v>
      </c>
      <c r="T1001" t="s">
        <v>292</v>
      </c>
      <c r="U1001" t="s">
        <v>7703</v>
      </c>
      <c r="V1001" t="s">
        <v>4589</v>
      </c>
      <c r="W1001" t="s">
        <v>196</v>
      </c>
      <c r="Y1001" t="s">
        <v>7702</v>
      </c>
      <c r="Z1001" t="str">
        <f>"07775763300"</f>
        <v>07775763300</v>
      </c>
      <c r="AA1001" t="str">
        <f>""</f>
        <v/>
      </c>
      <c r="AB1001" t="s">
        <v>7701</v>
      </c>
      <c r="AC1001" t="s">
        <v>7700</v>
      </c>
      <c r="AD1001" t="s">
        <v>114</v>
      </c>
      <c r="AE1001" s="63">
        <v>45308</v>
      </c>
      <c r="AF1001" t="s">
        <v>156</v>
      </c>
      <c r="AG1001" t="s">
        <v>112</v>
      </c>
      <c r="AH1001" t="s">
        <v>112</v>
      </c>
      <c r="AI1001" s="63">
        <v>45153</v>
      </c>
      <c r="AJ1001" s="63">
        <v>45657</v>
      </c>
      <c r="AK1001" t="s">
        <v>112</v>
      </c>
      <c r="AL1001" t="s">
        <v>111</v>
      </c>
      <c r="AM1001" t="s">
        <v>111</v>
      </c>
      <c r="AN1001">
        <v>48337</v>
      </c>
      <c r="AO1001" t="s">
        <v>110</v>
      </c>
      <c r="AP1001" t="s">
        <v>109</v>
      </c>
    </row>
    <row r="1002" spans="1:42" x14ac:dyDescent="0.25">
      <c r="A1002" s="28" t="str">
        <f>"16161"</f>
        <v>16161</v>
      </c>
      <c r="B1002">
        <v>16161</v>
      </c>
      <c r="C1002" t="s">
        <v>2488</v>
      </c>
      <c r="D1002" t="s">
        <v>121</v>
      </c>
      <c r="F1002" t="s">
        <v>120</v>
      </c>
      <c r="G1002" t="s">
        <v>884</v>
      </c>
      <c r="H1002" t="s">
        <v>1731</v>
      </c>
      <c r="I1002" t="s">
        <v>667</v>
      </c>
      <c r="J1002" t="s">
        <v>7</v>
      </c>
      <c r="K1002" s="63">
        <v>28329</v>
      </c>
      <c r="L1002" s="28">
        <f>DATEDIF(K1002,Zwift25!G$1,"Y")</f>
        <v>47</v>
      </c>
      <c r="M1002" s="67">
        <f>IF(J1002="m",VLOOKUP(L1002,'All Solo Adjustments'!A:D,4,FALSE),VLOOKUP(L1002,'All Solo Adjustments'!A:J,10,FALSE))</f>
        <v>6.9444444444444436E-4</v>
      </c>
      <c r="N1002" s="63"/>
      <c r="O1002" s="63"/>
      <c r="P1002" s="63"/>
      <c r="Q1002" s="63"/>
      <c r="R1002" t="s">
        <v>143</v>
      </c>
      <c r="S1002" t="s">
        <v>142</v>
      </c>
      <c r="T1002" t="s">
        <v>292</v>
      </c>
      <c r="U1002" t="s">
        <v>7699</v>
      </c>
      <c r="V1002" t="s">
        <v>7698</v>
      </c>
      <c r="W1002" t="s">
        <v>7697</v>
      </c>
      <c r="X1002" t="s">
        <v>1429</v>
      </c>
      <c r="Y1002" t="s">
        <v>7696</v>
      </c>
      <c r="Z1002" t="str">
        <f>"07855832150"</f>
        <v>07855832150</v>
      </c>
      <c r="AA1002" t="str">
        <f>""</f>
        <v/>
      </c>
      <c r="AB1002" t="s">
        <v>7695</v>
      </c>
      <c r="AC1002" t="s">
        <v>7694</v>
      </c>
      <c r="AD1002" t="s">
        <v>114</v>
      </c>
      <c r="AE1002" s="63">
        <v>45460</v>
      </c>
      <c r="AF1002" t="s">
        <v>156</v>
      </c>
      <c r="AG1002" t="s">
        <v>112</v>
      </c>
      <c r="AH1002" t="s">
        <v>112</v>
      </c>
      <c r="AI1002" s="63">
        <v>45460</v>
      </c>
      <c r="AJ1002" s="63">
        <v>45657</v>
      </c>
      <c r="AK1002" t="s">
        <v>112</v>
      </c>
      <c r="AL1002" t="s">
        <v>111</v>
      </c>
      <c r="AM1002" t="s">
        <v>111</v>
      </c>
      <c r="AN1002">
        <v>48306</v>
      </c>
      <c r="AO1002" t="s">
        <v>110</v>
      </c>
      <c r="AP1002" t="s">
        <v>109</v>
      </c>
    </row>
    <row r="1003" spans="1:42" x14ac:dyDescent="0.25">
      <c r="A1003" s="28" t="str">
        <f>"16213"</f>
        <v>16213</v>
      </c>
      <c r="B1003">
        <v>16213</v>
      </c>
      <c r="C1003" t="s">
        <v>2488</v>
      </c>
      <c r="D1003" t="s">
        <v>121</v>
      </c>
      <c r="F1003" t="s">
        <v>120</v>
      </c>
      <c r="G1003" t="s">
        <v>469</v>
      </c>
      <c r="H1003" t="s">
        <v>511</v>
      </c>
      <c r="I1003" t="s">
        <v>667</v>
      </c>
      <c r="J1003" t="s">
        <v>7</v>
      </c>
      <c r="K1003" s="63">
        <v>26879</v>
      </c>
      <c r="L1003" s="28">
        <f>DATEDIF(K1003,Zwift25!G$1,"Y")</f>
        <v>51</v>
      </c>
      <c r="M1003" s="67">
        <f>IF(J1003="m",VLOOKUP(L1003,'All Solo Adjustments'!A:D,4,FALSE),VLOOKUP(L1003,'All Solo Adjustments'!A:J,10,FALSE))</f>
        <v>1.3078703703703703E-3</v>
      </c>
      <c r="N1003" s="63"/>
      <c r="O1003" s="63"/>
      <c r="P1003" s="63"/>
      <c r="Q1003" s="63"/>
      <c r="R1003" t="s">
        <v>184</v>
      </c>
      <c r="S1003" t="s">
        <v>183</v>
      </c>
      <c r="T1003" t="s">
        <v>292</v>
      </c>
      <c r="U1003" t="s">
        <v>7693</v>
      </c>
      <c r="V1003" t="s">
        <v>7692</v>
      </c>
      <c r="W1003" t="s">
        <v>7691</v>
      </c>
      <c r="X1003" t="s">
        <v>7690</v>
      </c>
      <c r="Y1003" t="s">
        <v>7689</v>
      </c>
      <c r="Z1003" t="str">
        <f>"07772874699"</f>
        <v>07772874699</v>
      </c>
      <c r="AA1003" t="str">
        <f>""</f>
        <v/>
      </c>
      <c r="AB1003" t="s">
        <v>7688</v>
      </c>
      <c r="AC1003" t="s">
        <v>7687</v>
      </c>
      <c r="AD1003" t="s">
        <v>114</v>
      </c>
      <c r="AE1003" s="63">
        <v>45542</v>
      </c>
      <c r="AF1003" t="s">
        <v>156</v>
      </c>
      <c r="AG1003" t="s">
        <v>112</v>
      </c>
      <c r="AH1003" t="s">
        <v>112</v>
      </c>
      <c r="AI1003" s="63">
        <v>45542</v>
      </c>
      <c r="AJ1003" s="63">
        <v>45657</v>
      </c>
      <c r="AK1003" t="s">
        <v>112</v>
      </c>
      <c r="AL1003" t="s">
        <v>111</v>
      </c>
      <c r="AM1003" t="s">
        <v>111</v>
      </c>
      <c r="AN1003">
        <v>47567</v>
      </c>
      <c r="AO1003" t="s">
        <v>110</v>
      </c>
      <c r="AP1003" t="s">
        <v>109</v>
      </c>
    </row>
    <row r="1004" spans="1:42" x14ac:dyDescent="0.25">
      <c r="A1004" s="28" t="str">
        <f>"1284"</f>
        <v>1284</v>
      </c>
      <c r="B1004">
        <v>1284</v>
      </c>
      <c r="C1004" t="s">
        <v>2488</v>
      </c>
      <c r="D1004" t="s">
        <v>121</v>
      </c>
      <c r="F1004" t="s">
        <v>120</v>
      </c>
      <c r="G1004" t="s">
        <v>513</v>
      </c>
      <c r="I1004" t="s">
        <v>7686</v>
      </c>
      <c r="J1004" t="s">
        <v>7</v>
      </c>
      <c r="K1004" s="63">
        <v>16293</v>
      </c>
      <c r="L1004" s="28">
        <f>DATEDIF(K1004,Zwift25!G$1,"Y")</f>
        <v>80</v>
      </c>
      <c r="M1004" s="67">
        <f>IF(J1004="m",VLOOKUP(L1004,'All Solo Adjustments'!A:D,4,FALSE),VLOOKUP(L1004,'All Solo Adjustments'!A:J,10,FALSE))</f>
        <v>1.1018518518518518E-2</v>
      </c>
      <c r="N1004" s="63"/>
      <c r="O1004" s="63"/>
      <c r="P1004" s="63"/>
      <c r="Q1004" s="63"/>
      <c r="R1004" t="s">
        <v>154</v>
      </c>
      <c r="S1004" t="s">
        <v>153</v>
      </c>
      <c r="T1004" t="s">
        <v>292</v>
      </c>
      <c r="U1004" t="s">
        <v>7685</v>
      </c>
      <c r="V1004" t="s">
        <v>7684</v>
      </c>
      <c r="W1004" t="s">
        <v>574</v>
      </c>
      <c r="Y1004" t="s">
        <v>7683</v>
      </c>
      <c r="Z1004" t="str">
        <f>"01285 656528"</f>
        <v>01285 656528</v>
      </c>
      <c r="AA1004" t="str">
        <f>""</f>
        <v/>
      </c>
      <c r="AB1004" t="s">
        <v>290</v>
      </c>
      <c r="AC1004" t="s">
        <v>7682</v>
      </c>
      <c r="AD1004" t="s">
        <v>145</v>
      </c>
      <c r="AE1004" s="63">
        <v>45344</v>
      </c>
      <c r="AF1004" t="s">
        <v>113</v>
      </c>
      <c r="AG1004" t="s">
        <v>112</v>
      </c>
      <c r="AH1004" t="s">
        <v>112</v>
      </c>
      <c r="AI1004" s="63">
        <v>34923</v>
      </c>
      <c r="AJ1004" s="63">
        <v>45657</v>
      </c>
      <c r="AK1004" t="s">
        <v>111</v>
      </c>
      <c r="AL1004" t="s">
        <v>111</v>
      </c>
      <c r="AM1004" t="s">
        <v>111</v>
      </c>
      <c r="AN1004" t="s">
        <v>105</v>
      </c>
      <c r="AO1004" t="s">
        <v>110</v>
      </c>
      <c r="AP1004" t="s">
        <v>109</v>
      </c>
    </row>
    <row r="1005" spans="1:42" x14ac:dyDescent="0.25">
      <c r="A1005" s="28" t="str">
        <f>"1287"</f>
        <v>1287</v>
      </c>
      <c r="B1005">
        <v>1287</v>
      </c>
      <c r="C1005" t="s">
        <v>2488</v>
      </c>
      <c r="D1005" t="s">
        <v>121</v>
      </c>
      <c r="F1005" t="s">
        <v>120</v>
      </c>
      <c r="G1005" t="s">
        <v>492</v>
      </c>
      <c r="I1005" t="s">
        <v>1785</v>
      </c>
      <c r="J1005" t="s">
        <v>7</v>
      </c>
      <c r="K1005" s="63">
        <v>18894</v>
      </c>
      <c r="L1005" s="28">
        <f>DATEDIF(K1005,Zwift25!G$1,"Y")</f>
        <v>73</v>
      </c>
      <c r="M1005" s="67">
        <f>IF(J1005="m",VLOOKUP(L1005,'All Solo Adjustments'!A:D,4,FALSE),VLOOKUP(L1005,'All Solo Adjustments'!A:J,10,FALSE))</f>
        <v>7.5462962962962966E-3</v>
      </c>
      <c r="N1005" s="63"/>
      <c r="O1005" s="63"/>
      <c r="P1005" s="63"/>
      <c r="Q1005" s="63"/>
      <c r="R1005" t="s">
        <v>239</v>
      </c>
      <c r="S1005" t="s">
        <v>274</v>
      </c>
      <c r="T1005" t="s">
        <v>292</v>
      </c>
      <c r="U1005" t="s">
        <v>7681</v>
      </c>
      <c r="V1005" t="s">
        <v>7680</v>
      </c>
      <c r="W1005" t="s">
        <v>898</v>
      </c>
      <c r="X1005" t="s">
        <v>1924</v>
      </c>
      <c r="Y1005" t="s">
        <v>7679</v>
      </c>
      <c r="Z1005" t="str">
        <f>"01482 671940"</f>
        <v>01482 671940</v>
      </c>
      <c r="AA1005" t="str">
        <f>"07473997736"</f>
        <v>07473997736</v>
      </c>
      <c r="AB1005" t="s">
        <v>1412</v>
      </c>
      <c r="AC1005" t="s">
        <v>7678</v>
      </c>
      <c r="AD1005" t="s">
        <v>114</v>
      </c>
      <c r="AE1005" s="63">
        <v>45264</v>
      </c>
      <c r="AF1005" t="s">
        <v>156</v>
      </c>
      <c r="AG1005" t="s">
        <v>112</v>
      </c>
      <c r="AH1005" t="s">
        <v>112</v>
      </c>
      <c r="AI1005" s="63">
        <v>38096</v>
      </c>
      <c r="AJ1005" s="63">
        <v>45657</v>
      </c>
      <c r="AK1005" t="s">
        <v>111</v>
      </c>
      <c r="AL1005" t="s">
        <v>111</v>
      </c>
      <c r="AM1005" t="s">
        <v>111</v>
      </c>
      <c r="AN1005">
        <v>6256</v>
      </c>
      <c r="AO1005" t="s">
        <v>110</v>
      </c>
      <c r="AP1005" t="s">
        <v>109</v>
      </c>
    </row>
    <row r="1006" spans="1:42" x14ac:dyDescent="0.25">
      <c r="A1006" s="28" t="str">
        <f>"15342"</f>
        <v>15342</v>
      </c>
      <c r="B1006">
        <v>15342</v>
      </c>
      <c r="C1006" t="s">
        <v>2488</v>
      </c>
      <c r="D1006" t="s">
        <v>121</v>
      </c>
      <c r="E1006" t="s">
        <v>584</v>
      </c>
      <c r="F1006" t="s">
        <v>120</v>
      </c>
      <c r="G1006" t="s">
        <v>2107</v>
      </c>
      <c r="I1006" t="s">
        <v>7677</v>
      </c>
      <c r="J1006" t="s">
        <v>7</v>
      </c>
      <c r="K1006" s="63">
        <v>29662</v>
      </c>
      <c r="L1006" s="28">
        <f>DATEDIF(K1006,Zwift25!G$1,"Y")</f>
        <v>43</v>
      </c>
      <c r="M1006" s="67">
        <f>IF(J1006="m",VLOOKUP(L1006,'All Solo Adjustments'!A:D,4,FALSE),VLOOKUP(L1006,'All Solo Adjustments'!A:J,10,FALSE))</f>
        <v>2.4305555555555555E-4</v>
      </c>
      <c r="N1006" s="63"/>
      <c r="O1006" s="63"/>
      <c r="P1006" s="63"/>
      <c r="Q1006" s="63"/>
      <c r="R1006" t="s">
        <v>159</v>
      </c>
      <c r="S1006" t="s">
        <v>162</v>
      </c>
      <c r="T1006" t="s">
        <v>292</v>
      </c>
      <c r="U1006" t="s">
        <v>7676</v>
      </c>
      <c r="W1006" t="s">
        <v>293</v>
      </c>
      <c r="Y1006" t="s">
        <v>7675</v>
      </c>
      <c r="Z1006" t="str">
        <f>"07725347937"</f>
        <v>07725347937</v>
      </c>
      <c r="AA1006" t="str">
        <f>""</f>
        <v/>
      </c>
      <c r="AB1006" t="s">
        <v>157</v>
      </c>
      <c r="AC1006" t="s">
        <v>7674</v>
      </c>
      <c r="AD1006" t="s">
        <v>114</v>
      </c>
      <c r="AE1006" s="63">
        <v>45292</v>
      </c>
      <c r="AF1006" t="s">
        <v>156</v>
      </c>
      <c r="AG1006" t="s">
        <v>112</v>
      </c>
      <c r="AH1006" t="s">
        <v>112</v>
      </c>
      <c r="AI1006" s="63">
        <v>44575</v>
      </c>
      <c r="AJ1006" s="63">
        <v>45657</v>
      </c>
      <c r="AK1006" t="s">
        <v>112</v>
      </c>
      <c r="AL1006" t="s">
        <v>111</v>
      </c>
      <c r="AM1006" t="s">
        <v>111</v>
      </c>
      <c r="AN1006">
        <v>14898</v>
      </c>
      <c r="AO1006" t="s">
        <v>110</v>
      </c>
      <c r="AP1006" t="s">
        <v>109</v>
      </c>
    </row>
    <row r="1007" spans="1:42" x14ac:dyDescent="0.25">
      <c r="A1007" s="28" t="str">
        <f>"15151"</f>
        <v>15151</v>
      </c>
      <c r="B1007">
        <v>15151</v>
      </c>
      <c r="C1007" t="s">
        <v>2488</v>
      </c>
      <c r="D1007" t="s">
        <v>121</v>
      </c>
      <c r="F1007" t="s">
        <v>403</v>
      </c>
      <c r="G1007" t="s">
        <v>165</v>
      </c>
      <c r="H1007" t="s">
        <v>1162</v>
      </c>
      <c r="I1007" t="s">
        <v>7673</v>
      </c>
      <c r="J1007" t="s">
        <v>7</v>
      </c>
      <c r="K1007" s="63">
        <v>24152</v>
      </c>
      <c r="L1007" s="28">
        <f>DATEDIF(K1007,Zwift25!G$1,"Y")</f>
        <v>58</v>
      </c>
      <c r="M1007" s="67">
        <f>IF(J1007="m",VLOOKUP(L1007,'All Solo Adjustments'!A:D,4,FALSE),VLOOKUP(L1007,'All Solo Adjustments'!A:J,10,FALSE))</f>
        <v>2.7199074074074074E-3</v>
      </c>
      <c r="N1007" s="63"/>
      <c r="O1007" s="63"/>
      <c r="P1007" s="63"/>
      <c r="Q1007" s="63"/>
      <c r="R1007" t="s">
        <v>239</v>
      </c>
      <c r="S1007" t="s">
        <v>274</v>
      </c>
      <c r="T1007" t="s">
        <v>292</v>
      </c>
      <c r="U1007" t="s">
        <v>7672</v>
      </c>
      <c r="V1007" t="s">
        <v>7671</v>
      </c>
      <c r="W1007" t="s">
        <v>627</v>
      </c>
      <c r="Y1007" t="s">
        <v>7670</v>
      </c>
      <c r="Z1007" t="str">
        <f>"07501257744"</f>
        <v>07501257744</v>
      </c>
      <c r="AA1007" t="str">
        <f>""</f>
        <v/>
      </c>
      <c r="AB1007" t="s">
        <v>2266</v>
      </c>
      <c r="AC1007" t="s">
        <v>7669</v>
      </c>
      <c r="AD1007" t="s">
        <v>114</v>
      </c>
      <c r="AE1007" s="63">
        <v>45270</v>
      </c>
      <c r="AF1007" t="s">
        <v>156</v>
      </c>
      <c r="AG1007" t="s">
        <v>112</v>
      </c>
      <c r="AH1007" t="s">
        <v>112</v>
      </c>
      <c r="AI1007" s="63">
        <v>44377</v>
      </c>
      <c r="AJ1007" s="63">
        <v>45657</v>
      </c>
      <c r="AK1007" t="s">
        <v>112</v>
      </c>
      <c r="AL1007" t="s">
        <v>111</v>
      </c>
      <c r="AM1007" t="s">
        <v>111</v>
      </c>
      <c r="AN1007">
        <v>27438</v>
      </c>
      <c r="AO1007" t="s">
        <v>110</v>
      </c>
      <c r="AP1007" t="s">
        <v>109</v>
      </c>
    </row>
    <row r="1008" spans="1:42" x14ac:dyDescent="0.25">
      <c r="A1008" s="28" t="str">
        <f>"1289"</f>
        <v>1289</v>
      </c>
      <c r="B1008">
        <v>1289</v>
      </c>
      <c r="C1008" t="s">
        <v>2488</v>
      </c>
      <c r="D1008" t="s">
        <v>121</v>
      </c>
      <c r="F1008" t="s">
        <v>120</v>
      </c>
      <c r="G1008" t="s">
        <v>1377</v>
      </c>
      <c r="I1008" t="s">
        <v>1784</v>
      </c>
      <c r="J1008" t="s">
        <v>7</v>
      </c>
      <c r="K1008" s="63">
        <v>11189</v>
      </c>
      <c r="L1008" s="28">
        <f>DATEDIF(K1008,Zwift25!G$1,"Y")</f>
        <v>94</v>
      </c>
      <c r="M1008" s="67">
        <f>IF(J1008="m",VLOOKUP(L1008,'All Solo Adjustments'!A:D,4,FALSE),VLOOKUP(L1008,'All Solo Adjustments'!A:J,10,FALSE))</f>
        <v>2.2685185185185187E-2</v>
      </c>
      <c r="N1008" s="63"/>
      <c r="O1008" s="63"/>
      <c r="P1008" s="63"/>
      <c r="Q1008" s="63"/>
      <c r="R1008" t="s">
        <v>125</v>
      </c>
      <c r="S1008" t="s">
        <v>484</v>
      </c>
      <c r="T1008" t="s">
        <v>292</v>
      </c>
      <c r="U1008" t="s">
        <v>7668</v>
      </c>
      <c r="V1008" t="s">
        <v>7667</v>
      </c>
      <c r="W1008" t="s">
        <v>225</v>
      </c>
      <c r="X1008" t="s">
        <v>123</v>
      </c>
      <c r="Y1008" t="s">
        <v>7666</v>
      </c>
      <c r="Z1008" t="str">
        <f>"01206 562099"</f>
        <v>01206 562099</v>
      </c>
      <c r="AA1008" t="str">
        <f>""</f>
        <v/>
      </c>
      <c r="AB1008" t="s">
        <v>444</v>
      </c>
      <c r="AC1008" t="s">
        <v>7665</v>
      </c>
      <c r="AD1008" t="s">
        <v>151</v>
      </c>
      <c r="AF1008" t="s">
        <v>113</v>
      </c>
      <c r="AG1008" t="s">
        <v>112</v>
      </c>
      <c r="AH1008" t="s">
        <v>112</v>
      </c>
      <c r="AI1008" s="63">
        <v>25799</v>
      </c>
      <c r="AK1008" t="s">
        <v>111</v>
      </c>
      <c r="AL1008" t="s">
        <v>111</v>
      </c>
      <c r="AM1008" t="s">
        <v>111</v>
      </c>
      <c r="AN1008" t="s">
        <v>105</v>
      </c>
      <c r="AO1008" t="s">
        <v>110</v>
      </c>
      <c r="AP1008" t="s">
        <v>109</v>
      </c>
    </row>
    <row r="1009" spans="1:42" x14ac:dyDescent="0.25">
      <c r="A1009" s="28" t="str">
        <f>"1291"</f>
        <v>1291</v>
      </c>
      <c r="B1009">
        <v>1291</v>
      </c>
      <c r="C1009" t="s">
        <v>2488</v>
      </c>
      <c r="D1009" t="s">
        <v>121</v>
      </c>
      <c r="F1009" t="s">
        <v>120</v>
      </c>
      <c r="G1009" t="s">
        <v>632</v>
      </c>
      <c r="I1009" t="s">
        <v>662</v>
      </c>
      <c r="J1009" t="s">
        <v>7</v>
      </c>
      <c r="K1009" s="63">
        <v>12055</v>
      </c>
      <c r="L1009" s="28">
        <f>DATEDIF(K1009,Zwift25!G$1,"Y")</f>
        <v>91</v>
      </c>
      <c r="M1009" s="67">
        <f>IF(J1009="m",VLOOKUP(L1009,'All Solo Adjustments'!A:D,4,FALSE),VLOOKUP(L1009,'All Solo Adjustments'!A:J,10,FALSE))</f>
        <v>1.9363425925925926E-2</v>
      </c>
      <c r="N1009" s="63"/>
      <c r="O1009" s="63"/>
      <c r="P1009" s="63"/>
      <c r="Q1009" s="63"/>
      <c r="R1009" t="s">
        <v>283</v>
      </c>
      <c r="S1009" t="s">
        <v>2311</v>
      </c>
      <c r="T1009" t="s">
        <v>292</v>
      </c>
      <c r="U1009" t="s">
        <v>7664</v>
      </c>
      <c r="V1009" t="s">
        <v>1283</v>
      </c>
      <c r="Y1009" t="s">
        <v>7663</v>
      </c>
      <c r="Z1009" t="str">
        <f>"0121 7090268"</f>
        <v>0121 7090268</v>
      </c>
      <c r="AA1009" t="str">
        <f>""</f>
        <v/>
      </c>
      <c r="AB1009" t="s">
        <v>1261</v>
      </c>
      <c r="AD1009" t="s">
        <v>151</v>
      </c>
      <c r="AF1009" t="s">
        <v>113</v>
      </c>
      <c r="AG1009" t="s">
        <v>111</v>
      </c>
      <c r="AH1009" t="s">
        <v>112</v>
      </c>
      <c r="AK1009" t="s">
        <v>111</v>
      </c>
      <c r="AL1009" t="s">
        <v>111</v>
      </c>
      <c r="AM1009" t="s">
        <v>111</v>
      </c>
      <c r="AN1009" t="s">
        <v>105</v>
      </c>
      <c r="AO1009" t="s">
        <v>110</v>
      </c>
      <c r="AP1009" t="s">
        <v>109</v>
      </c>
    </row>
    <row r="1010" spans="1:42" x14ac:dyDescent="0.25">
      <c r="A1010" s="28" t="str">
        <f>"16068"</f>
        <v>16068</v>
      </c>
      <c r="B1010">
        <v>16068</v>
      </c>
      <c r="C1010" t="s">
        <v>2488</v>
      </c>
      <c r="D1010" t="s">
        <v>121</v>
      </c>
      <c r="E1010" t="s">
        <v>584</v>
      </c>
      <c r="F1010" t="s">
        <v>120</v>
      </c>
      <c r="G1010" t="s">
        <v>952</v>
      </c>
      <c r="I1010" t="s">
        <v>7662</v>
      </c>
      <c r="J1010" t="s">
        <v>7</v>
      </c>
      <c r="K1010" s="63">
        <v>22439</v>
      </c>
      <c r="L1010" s="28">
        <f>DATEDIF(K1010,Zwift25!G$1,"Y")</f>
        <v>63</v>
      </c>
      <c r="M1010" s="67">
        <f>IF(J1010="m",VLOOKUP(L1010,'All Solo Adjustments'!A:D,4,FALSE),VLOOKUP(L1010,'All Solo Adjustments'!A:J,10,FALSE))</f>
        <v>4.0277777777777777E-3</v>
      </c>
      <c r="N1010" s="63"/>
      <c r="O1010" s="63"/>
      <c r="P1010" s="63"/>
      <c r="Q1010" s="63"/>
      <c r="R1010" t="s">
        <v>118</v>
      </c>
      <c r="S1010" t="s">
        <v>117</v>
      </c>
      <c r="T1010" t="s">
        <v>292</v>
      </c>
      <c r="U1010" t="s">
        <v>7661</v>
      </c>
      <c r="V1010" t="s">
        <v>1374</v>
      </c>
      <c r="Y1010" t="s">
        <v>7660</v>
      </c>
      <c r="Z1010" t="str">
        <f>"07782220603"</f>
        <v>07782220603</v>
      </c>
      <c r="AA1010" t="str">
        <f>""</f>
        <v/>
      </c>
      <c r="AB1010" t="s">
        <v>7659</v>
      </c>
      <c r="AC1010" t="s">
        <v>7658</v>
      </c>
      <c r="AD1010" t="s">
        <v>114</v>
      </c>
      <c r="AE1010" s="63">
        <v>45369</v>
      </c>
      <c r="AF1010" t="s">
        <v>156</v>
      </c>
      <c r="AG1010" t="s">
        <v>112</v>
      </c>
      <c r="AH1010" t="s">
        <v>112</v>
      </c>
      <c r="AI1010" s="63">
        <v>45369</v>
      </c>
      <c r="AJ1010" s="63">
        <v>45657</v>
      </c>
      <c r="AK1010" t="s">
        <v>112</v>
      </c>
      <c r="AL1010" t="s">
        <v>111</v>
      </c>
      <c r="AM1010" t="s">
        <v>111</v>
      </c>
      <c r="AN1010">
        <v>49310</v>
      </c>
      <c r="AO1010" t="s">
        <v>110</v>
      </c>
      <c r="AP1010" t="s">
        <v>109</v>
      </c>
    </row>
    <row r="1011" spans="1:42" x14ac:dyDescent="0.25">
      <c r="A1011" s="28" t="str">
        <f>"1295"</f>
        <v>1295</v>
      </c>
      <c r="B1011">
        <v>1295</v>
      </c>
      <c r="C1011" t="s">
        <v>2488</v>
      </c>
      <c r="D1011" t="s">
        <v>121</v>
      </c>
      <c r="F1011" t="s">
        <v>120</v>
      </c>
      <c r="G1011" t="s">
        <v>181</v>
      </c>
      <c r="I1011" t="s">
        <v>2410</v>
      </c>
      <c r="J1011" t="s">
        <v>7</v>
      </c>
      <c r="K1011" s="63">
        <v>21717</v>
      </c>
      <c r="L1011" s="28">
        <f>DATEDIF(K1011,Zwift25!G$1,"Y")</f>
        <v>65</v>
      </c>
      <c r="M1011" s="67">
        <f>IF(J1011="m",VLOOKUP(L1011,'All Solo Adjustments'!A:D,4,FALSE),VLOOKUP(L1011,'All Solo Adjustments'!A:J,10,FALSE))</f>
        <v>4.6180555555555558E-3</v>
      </c>
      <c r="N1011" s="63"/>
      <c r="O1011" s="63"/>
      <c r="P1011" s="63"/>
      <c r="Q1011" s="63"/>
      <c r="R1011" t="s">
        <v>154</v>
      </c>
      <c r="S1011" t="s">
        <v>153</v>
      </c>
      <c r="T1011" t="s">
        <v>292</v>
      </c>
      <c r="U1011" t="s">
        <v>7657</v>
      </c>
      <c r="V1011" t="s">
        <v>7656</v>
      </c>
      <c r="W1011" t="s">
        <v>669</v>
      </c>
      <c r="Y1011" t="s">
        <v>7655</v>
      </c>
      <c r="Z1011" t="str">
        <f>"0117 9247456"</f>
        <v>0117 9247456</v>
      </c>
      <c r="AA1011" t="str">
        <f>""</f>
        <v/>
      </c>
      <c r="AB1011" t="s">
        <v>290</v>
      </c>
      <c r="AD1011" t="s">
        <v>145</v>
      </c>
      <c r="AE1011" s="63">
        <v>45344</v>
      </c>
      <c r="AF1011" t="s">
        <v>113</v>
      </c>
      <c r="AG1011" t="s">
        <v>112</v>
      </c>
      <c r="AH1011" t="s">
        <v>112</v>
      </c>
      <c r="AI1011" s="63">
        <v>44006</v>
      </c>
      <c r="AJ1011" s="63">
        <v>45657</v>
      </c>
      <c r="AK1011" t="s">
        <v>111</v>
      </c>
      <c r="AL1011" t="s">
        <v>111</v>
      </c>
      <c r="AM1011" t="s">
        <v>111</v>
      </c>
      <c r="AN1011" t="s">
        <v>105</v>
      </c>
      <c r="AO1011" t="s">
        <v>110</v>
      </c>
      <c r="AP1011" t="s">
        <v>109</v>
      </c>
    </row>
    <row r="1012" spans="1:42" x14ac:dyDescent="0.25">
      <c r="A1012" s="28" t="str">
        <f>"6463"</f>
        <v>6463</v>
      </c>
      <c r="B1012">
        <v>6463</v>
      </c>
      <c r="C1012" t="s">
        <v>2488</v>
      </c>
      <c r="D1012" t="s">
        <v>121</v>
      </c>
      <c r="F1012" t="s">
        <v>120</v>
      </c>
      <c r="G1012" t="s">
        <v>164</v>
      </c>
      <c r="I1012" t="s">
        <v>7654</v>
      </c>
      <c r="J1012" t="s">
        <v>7</v>
      </c>
      <c r="K1012" s="63">
        <v>26750</v>
      </c>
      <c r="L1012" s="28">
        <f>DATEDIF(K1012,Zwift25!G$1,"Y")</f>
        <v>51</v>
      </c>
      <c r="M1012" s="67">
        <f>IF(J1012="m",VLOOKUP(L1012,'All Solo Adjustments'!A:D,4,FALSE),VLOOKUP(L1012,'All Solo Adjustments'!A:J,10,FALSE))</f>
        <v>1.3078703703703703E-3</v>
      </c>
      <c r="N1012" s="63"/>
      <c r="O1012" s="63"/>
      <c r="P1012" s="63"/>
      <c r="Q1012" s="63"/>
      <c r="R1012" t="s">
        <v>527</v>
      </c>
      <c r="S1012" t="s">
        <v>526</v>
      </c>
      <c r="T1012" t="s">
        <v>292</v>
      </c>
      <c r="U1012" t="s">
        <v>7653</v>
      </c>
      <c r="V1012" t="s">
        <v>7652</v>
      </c>
      <c r="W1012" t="s">
        <v>1392</v>
      </c>
      <c r="X1012" t="s">
        <v>1650</v>
      </c>
      <c r="Y1012" t="s">
        <v>7651</v>
      </c>
      <c r="Z1012" t="str">
        <f>"07917097058"</f>
        <v>07917097058</v>
      </c>
      <c r="AA1012" t="str">
        <f>""</f>
        <v/>
      </c>
      <c r="AB1012" t="s">
        <v>7650</v>
      </c>
      <c r="AC1012" t="s">
        <v>7649</v>
      </c>
      <c r="AD1012" t="s">
        <v>114</v>
      </c>
      <c r="AE1012" s="63">
        <v>45320</v>
      </c>
      <c r="AF1012" t="s">
        <v>156</v>
      </c>
      <c r="AG1012" t="s">
        <v>112</v>
      </c>
      <c r="AH1012" t="s">
        <v>112</v>
      </c>
      <c r="AI1012" s="63">
        <v>43163</v>
      </c>
      <c r="AJ1012" s="63">
        <v>45657</v>
      </c>
      <c r="AK1012" t="s">
        <v>111</v>
      </c>
      <c r="AL1012" t="s">
        <v>111</v>
      </c>
      <c r="AM1012" t="s">
        <v>111</v>
      </c>
      <c r="AN1012">
        <v>2457</v>
      </c>
      <c r="AO1012" t="s">
        <v>110</v>
      </c>
      <c r="AP1012" t="s">
        <v>109</v>
      </c>
    </row>
    <row r="1013" spans="1:42" x14ac:dyDescent="0.25">
      <c r="A1013" s="28" t="str">
        <f>"14261"</f>
        <v>14261</v>
      </c>
      <c r="B1013">
        <v>14261</v>
      </c>
      <c r="C1013" t="s">
        <v>2488</v>
      </c>
      <c r="D1013" t="s">
        <v>121</v>
      </c>
      <c r="F1013" t="s">
        <v>120</v>
      </c>
      <c r="G1013" t="s">
        <v>164</v>
      </c>
      <c r="H1013" t="s">
        <v>481</v>
      </c>
      <c r="I1013" t="s">
        <v>7648</v>
      </c>
      <c r="J1013" t="s">
        <v>7</v>
      </c>
      <c r="K1013" s="63">
        <v>25110</v>
      </c>
      <c r="L1013" s="28">
        <f>DATEDIF(K1013,Zwift25!G$1,"Y")</f>
        <v>56</v>
      </c>
      <c r="M1013" s="67">
        <f>IF(J1013="m",VLOOKUP(L1013,'All Solo Adjustments'!A:D,4,FALSE),VLOOKUP(L1013,'All Solo Adjustments'!A:J,10,FALSE))</f>
        <v>2.2685185185185182E-3</v>
      </c>
      <c r="N1013" s="63"/>
      <c r="O1013" s="63"/>
      <c r="P1013" s="63"/>
      <c r="Q1013" s="63"/>
      <c r="R1013" t="s">
        <v>143</v>
      </c>
      <c r="S1013" t="s">
        <v>142</v>
      </c>
      <c r="T1013" t="s">
        <v>292</v>
      </c>
      <c r="U1013" t="s">
        <v>7647</v>
      </c>
      <c r="V1013" t="s">
        <v>7646</v>
      </c>
      <c r="W1013" t="s">
        <v>3913</v>
      </c>
      <c r="X1013" t="s">
        <v>564</v>
      </c>
      <c r="Y1013" t="s">
        <v>7645</v>
      </c>
      <c r="Z1013" t="str">
        <f>"07789932303"</f>
        <v>07789932303</v>
      </c>
      <c r="AA1013" t="str">
        <f>"02392 475362"</f>
        <v>02392 475362</v>
      </c>
      <c r="AB1013" t="s">
        <v>817</v>
      </c>
      <c r="AC1013" t="s">
        <v>7644</v>
      </c>
      <c r="AD1013" t="s">
        <v>114</v>
      </c>
      <c r="AE1013" s="63">
        <v>45363</v>
      </c>
      <c r="AF1013" t="s">
        <v>113</v>
      </c>
      <c r="AG1013" t="s">
        <v>112</v>
      </c>
      <c r="AH1013" t="s">
        <v>112</v>
      </c>
      <c r="AI1013" s="63">
        <v>43620</v>
      </c>
      <c r="AJ1013" s="63">
        <v>45657</v>
      </c>
      <c r="AK1013" t="s">
        <v>112</v>
      </c>
      <c r="AL1013" t="s">
        <v>111</v>
      </c>
      <c r="AM1013" t="s">
        <v>111</v>
      </c>
      <c r="AN1013">
        <v>30850</v>
      </c>
      <c r="AO1013" t="s">
        <v>110</v>
      </c>
      <c r="AP1013" t="s">
        <v>109</v>
      </c>
    </row>
    <row r="1014" spans="1:42" x14ac:dyDescent="0.25">
      <c r="A1014" s="28" t="str">
        <f>"15306"</f>
        <v>15306</v>
      </c>
      <c r="B1014">
        <v>15306</v>
      </c>
      <c r="C1014" t="s">
        <v>2488</v>
      </c>
      <c r="D1014" t="s">
        <v>121</v>
      </c>
      <c r="F1014" t="s">
        <v>120</v>
      </c>
      <c r="G1014" t="s">
        <v>952</v>
      </c>
      <c r="I1014" t="s">
        <v>878</v>
      </c>
      <c r="J1014" t="s">
        <v>7</v>
      </c>
      <c r="K1014" s="63">
        <v>22958</v>
      </c>
      <c r="L1014" s="28">
        <f>DATEDIF(K1014,Zwift25!G$1,"Y")</f>
        <v>61</v>
      </c>
      <c r="M1014" s="67">
        <f>IF(J1014="m",VLOOKUP(L1014,'All Solo Adjustments'!A:D,4,FALSE),VLOOKUP(L1014,'All Solo Adjustments'!A:J,10,FALSE))</f>
        <v>3.4722222222222225E-3</v>
      </c>
      <c r="N1014" s="63"/>
      <c r="O1014" s="63"/>
      <c r="P1014" s="63"/>
      <c r="Q1014" s="63"/>
      <c r="R1014" t="s">
        <v>180</v>
      </c>
      <c r="S1014" t="s">
        <v>179</v>
      </c>
      <c r="T1014" t="s">
        <v>292</v>
      </c>
      <c r="U1014" t="s">
        <v>7643</v>
      </c>
      <c r="W1014" t="s">
        <v>1825</v>
      </c>
      <c r="X1014" t="s">
        <v>7642</v>
      </c>
      <c r="Y1014" t="s">
        <v>7641</v>
      </c>
      <c r="Z1014" t="str">
        <f>"07557916447"</f>
        <v>07557916447</v>
      </c>
      <c r="AA1014" t="str">
        <f>""</f>
        <v/>
      </c>
      <c r="AB1014" t="s">
        <v>1138</v>
      </c>
      <c r="AC1014" t="s">
        <v>7640</v>
      </c>
      <c r="AD1014" t="s">
        <v>114</v>
      </c>
      <c r="AE1014" s="63">
        <v>45287</v>
      </c>
      <c r="AF1014" t="s">
        <v>156</v>
      </c>
      <c r="AG1014" t="s">
        <v>112</v>
      </c>
      <c r="AH1014" t="s">
        <v>112</v>
      </c>
      <c r="AI1014" s="63">
        <v>44539</v>
      </c>
      <c r="AJ1014" s="63">
        <v>45657</v>
      </c>
      <c r="AK1014" t="s">
        <v>112</v>
      </c>
      <c r="AL1014" t="s">
        <v>111</v>
      </c>
      <c r="AM1014" t="s">
        <v>111</v>
      </c>
      <c r="AN1014">
        <v>42096</v>
      </c>
      <c r="AO1014" t="s">
        <v>110</v>
      </c>
      <c r="AP1014" t="s">
        <v>109</v>
      </c>
    </row>
    <row r="1015" spans="1:42" x14ac:dyDescent="0.25">
      <c r="A1015" s="28" t="str">
        <f>"1299"</f>
        <v>1299</v>
      </c>
      <c r="B1015">
        <v>1299</v>
      </c>
      <c r="C1015" t="s">
        <v>2488</v>
      </c>
      <c r="D1015" t="s">
        <v>121</v>
      </c>
      <c r="F1015" t="s">
        <v>120</v>
      </c>
      <c r="G1015" t="s">
        <v>442</v>
      </c>
      <c r="I1015" t="s">
        <v>658</v>
      </c>
      <c r="J1015" t="s">
        <v>7</v>
      </c>
      <c r="K1015" s="63">
        <v>13308</v>
      </c>
      <c r="L1015" s="28">
        <f>DATEDIF(K1015,Zwift25!G$1,"Y")</f>
        <v>88</v>
      </c>
      <c r="M1015" s="67">
        <f>IF(J1015="m",VLOOKUP(L1015,'All Solo Adjustments'!A:D,4,FALSE),VLOOKUP(L1015,'All Solo Adjustments'!A:J,10,FALSE))</f>
        <v>1.6597222222222222E-2</v>
      </c>
      <c r="N1015" s="63"/>
      <c r="O1015" s="63"/>
      <c r="P1015" s="63"/>
      <c r="Q1015" s="63"/>
      <c r="R1015" t="s">
        <v>283</v>
      </c>
      <c r="S1015" t="s">
        <v>2311</v>
      </c>
      <c r="T1015" t="s">
        <v>292</v>
      </c>
      <c r="U1015" t="s">
        <v>656</v>
      </c>
      <c r="V1015" t="s">
        <v>655</v>
      </c>
      <c r="Y1015" t="s">
        <v>654</v>
      </c>
      <c r="Z1015" t="str">
        <f>"01568 780936"</f>
        <v>01568 780936</v>
      </c>
      <c r="AA1015" t="str">
        <f>""</f>
        <v/>
      </c>
      <c r="AB1015" t="s">
        <v>653</v>
      </c>
      <c r="AC1015" t="s">
        <v>7639</v>
      </c>
      <c r="AD1015" t="s">
        <v>151</v>
      </c>
      <c r="AF1015" t="s">
        <v>156</v>
      </c>
      <c r="AG1015" t="s">
        <v>112</v>
      </c>
      <c r="AH1015" t="s">
        <v>111</v>
      </c>
      <c r="AI1015" s="63">
        <v>33239</v>
      </c>
      <c r="AK1015" t="s">
        <v>111</v>
      </c>
      <c r="AL1015" t="s">
        <v>111</v>
      </c>
      <c r="AM1015" t="s">
        <v>111</v>
      </c>
      <c r="AN1015" t="s">
        <v>105</v>
      </c>
      <c r="AO1015" t="s">
        <v>110</v>
      </c>
      <c r="AP1015" t="s">
        <v>109</v>
      </c>
    </row>
    <row r="1016" spans="1:42" x14ac:dyDescent="0.25">
      <c r="A1016" s="28" t="str">
        <f>"15290"</f>
        <v>15290</v>
      </c>
      <c r="B1016">
        <v>15290</v>
      </c>
      <c r="C1016" t="s">
        <v>2488</v>
      </c>
      <c r="D1016" t="s">
        <v>132</v>
      </c>
      <c r="E1016" t="s">
        <v>584</v>
      </c>
      <c r="F1016" t="s">
        <v>120</v>
      </c>
      <c r="G1016" t="s">
        <v>1993</v>
      </c>
      <c r="I1016" t="s">
        <v>658</v>
      </c>
      <c r="J1016" t="s">
        <v>7</v>
      </c>
      <c r="K1016" s="63">
        <v>26946</v>
      </c>
      <c r="L1016" s="28">
        <f>DATEDIF(K1016,Zwift25!G$1,"Y")</f>
        <v>51</v>
      </c>
      <c r="M1016" s="67">
        <f>IF(J1016="m",VLOOKUP(L1016,'All Solo Adjustments'!A:D,4,FALSE),VLOOKUP(L1016,'All Solo Adjustments'!A:J,10,FALSE))</f>
        <v>1.3078703703703703E-3</v>
      </c>
      <c r="N1016" s="63"/>
      <c r="O1016" s="63"/>
      <c r="P1016" s="63"/>
      <c r="Q1016" s="63"/>
      <c r="R1016" t="s">
        <v>239</v>
      </c>
      <c r="S1016" t="s">
        <v>238</v>
      </c>
      <c r="T1016" t="s">
        <v>292</v>
      </c>
      <c r="U1016" t="s">
        <v>7637</v>
      </c>
      <c r="V1016" t="s">
        <v>627</v>
      </c>
      <c r="Y1016" t="s">
        <v>7636</v>
      </c>
      <c r="Z1016" t="str">
        <f>"07736809161"</f>
        <v>07736809161</v>
      </c>
      <c r="AA1016" t="str">
        <f>""</f>
        <v/>
      </c>
      <c r="AB1016" t="s">
        <v>2423</v>
      </c>
      <c r="AC1016" t="s">
        <v>7638</v>
      </c>
      <c r="AD1016" t="s">
        <v>114</v>
      </c>
      <c r="AE1016" s="63">
        <v>45292</v>
      </c>
      <c r="AF1016" t="s">
        <v>156</v>
      </c>
      <c r="AG1016" t="s">
        <v>112</v>
      </c>
      <c r="AH1016" t="s">
        <v>112</v>
      </c>
      <c r="AI1016" s="63">
        <v>44513</v>
      </c>
      <c r="AJ1016" s="63">
        <v>45657</v>
      </c>
      <c r="AK1016" t="s">
        <v>112</v>
      </c>
      <c r="AL1016" t="s">
        <v>111</v>
      </c>
      <c r="AM1016" t="s">
        <v>111</v>
      </c>
      <c r="AN1016">
        <v>29776</v>
      </c>
      <c r="AO1016" t="s">
        <v>110</v>
      </c>
      <c r="AP1016" t="s">
        <v>109</v>
      </c>
    </row>
    <row r="1017" spans="1:42" x14ac:dyDescent="0.25">
      <c r="A1017" s="28" t="str">
        <f>"15291"</f>
        <v>15291</v>
      </c>
      <c r="B1017">
        <v>15291</v>
      </c>
      <c r="C1017" t="s">
        <v>2488</v>
      </c>
      <c r="D1017" t="s">
        <v>130</v>
      </c>
      <c r="F1017" t="s">
        <v>149</v>
      </c>
      <c r="G1017" t="s">
        <v>2053</v>
      </c>
      <c r="H1017" t="s">
        <v>1339</v>
      </c>
      <c r="I1017" t="s">
        <v>658</v>
      </c>
      <c r="J1017" t="s">
        <v>126</v>
      </c>
      <c r="K1017" s="63">
        <v>26513</v>
      </c>
      <c r="L1017" s="28">
        <f>DATEDIF(K1017,Zwift25!G$1,"Y")</f>
        <v>52</v>
      </c>
      <c r="M1017" s="67">
        <f>IF(J1017="m",VLOOKUP(L1017,'All Solo Adjustments'!A:D,4,FALSE),VLOOKUP(L1017,'All Solo Adjustments'!A:J,10,FALSE))</f>
        <v>5.1967592592592595E-3</v>
      </c>
      <c r="N1017" s="63"/>
      <c r="O1017" s="63"/>
      <c r="P1017" s="63"/>
      <c r="Q1017" s="63"/>
      <c r="R1017" t="s">
        <v>239</v>
      </c>
      <c r="S1017" t="s">
        <v>238</v>
      </c>
      <c r="T1017" t="s">
        <v>292</v>
      </c>
      <c r="U1017" t="s">
        <v>7637</v>
      </c>
      <c r="V1017" t="s">
        <v>627</v>
      </c>
      <c r="Y1017" t="s">
        <v>7636</v>
      </c>
      <c r="Z1017" t="str">
        <f>"07736809161"</f>
        <v>07736809161</v>
      </c>
      <c r="AA1017" t="str">
        <f>""</f>
        <v/>
      </c>
      <c r="AB1017" t="s">
        <v>2423</v>
      </c>
      <c r="AC1017" t="s">
        <v>7635</v>
      </c>
      <c r="AD1017" t="s">
        <v>114</v>
      </c>
      <c r="AE1017" s="63">
        <v>45292</v>
      </c>
      <c r="AF1017" t="s">
        <v>113</v>
      </c>
      <c r="AG1017" t="s">
        <v>112</v>
      </c>
      <c r="AH1017" t="s">
        <v>112</v>
      </c>
      <c r="AI1017" s="63">
        <v>44513</v>
      </c>
      <c r="AJ1017" s="63">
        <v>45657</v>
      </c>
      <c r="AK1017" t="s">
        <v>112</v>
      </c>
      <c r="AL1017" t="s">
        <v>111</v>
      </c>
      <c r="AM1017" t="s">
        <v>111</v>
      </c>
      <c r="AN1017" t="s">
        <v>105</v>
      </c>
      <c r="AO1017" t="s">
        <v>122</v>
      </c>
      <c r="AP1017" t="s">
        <v>122</v>
      </c>
    </row>
    <row r="1018" spans="1:42" x14ac:dyDescent="0.25">
      <c r="A1018" s="28" t="str">
        <f>"16046"</f>
        <v>16046</v>
      </c>
      <c r="B1018">
        <v>16046</v>
      </c>
      <c r="C1018" t="s">
        <v>2488</v>
      </c>
      <c r="D1018" t="s">
        <v>121</v>
      </c>
      <c r="F1018" t="s">
        <v>149</v>
      </c>
      <c r="G1018" t="s">
        <v>224</v>
      </c>
      <c r="I1018" t="s">
        <v>7634</v>
      </c>
      <c r="J1018" t="s">
        <v>126</v>
      </c>
      <c r="K1018" s="63">
        <v>26024</v>
      </c>
      <c r="L1018" s="28">
        <f>DATEDIF(K1018,Zwift25!G$1,"Y")</f>
        <v>53</v>
      </c>
      <c r="M1018" s="67">
        <f>IF(J1018="m",VLOOKUP(L1018,'All Solo Adjustments'!A:D,4,FALSE),VLOOKUP(L1018,'All Solo Adjustments'!A:J,10,FALSE))</f>
        <v>5.3356481481481475E-3</v>
      </c>
      <c r="N1018" s="63"/>
      <c r="O1018" s="63"/>
      <c r="P1018" s="63"/>
      <c r="Q1018" s="63"/>
      <c r="R1018" t="s">
        <v>125</v>
      </c>
      <c r="S1018" t="s">
        <v>170</v>
      </c>
      <c r="T1018" t="s">
        <v>292</v>
      </c>
      <c r="U1018" t="s">
        <v>7633</v>
      </c>
      <c r="V1018" t="s">
        <v>7632</v>
      </c>
      <c r="Y1018" t="s">
        <v>7631</v>
      </c>
      <c r="Z1018" t="str">
        <f>"07905240551"</f>
        <v>07905240551</v>
      </c>
      <c r="AA1018" t="str">
        <f>""</f>
        <v/>
      </c>
      <c r="AB1018" t="s">
        <v>851</v>
      </c>
      <c r="AC1018" t="s">
        <v>7630</v>
      </c>
      <c r="AD1018" t="s">
        <v>114</v>
      </c>
      <c r="AE1018" s="63">
        <v>45351</v>
      </c>
      <c r="AF1018" t="s">
        <v>156</v>
      </c>
      <c r="AG1018" t="s">
        <v>112</v>
      </c>
      <c r="AH1018" t="s">
        <v>112</v>
      </c>
      <c r="AI1018" s="63">
        <v>45351</v>
      </c>
      <c r="AJ1018" s="63">
        <v>45657</v>
      </c>
      <c r="AK1018" t="s">
        <v>112</v>
      </c>
      <c r="AL1018" t="s">
        <v>111</v>
      </c>
      <c r="AM1018" t="s">
        <v>111</v>
      </c>
      <c r="AN1018">
        <v>14158</v>
      </c>
      <c r="AO1018" t="s">
        <v>122</v>
      </c>
      <c r="AP1018" t="s">
        <v>122</v>
      </c>
    </row>
    <row r="1019" spans="1:42" x14ac:dyDescent="0.25">
      <c r="A1019" s="28" t="str">
        <f>"4013"</f>
        <v>4013</v>
      </c>
      <c r="B1019">
        <v>4013</v>
      </c>
      <c r="C1019" t="s">
        <v>2488</v>
      </c>
      <c r="D1019" t="s">
        <v>121</v>
      </c>
      <c r="E1019" t="s">
        <v>584</v>
      </c>
      <c r="F1019" t="s">
        <v>120</v>
      </c>
      <c r="G1019" t="s">
        <v>392</v>
      </c>
      <c r="I1019" t="s">
        <v>7629</v>
      </c>
      <c r="J1019" t="s">
        <v>7</v>
      </c>
      <c r="K1019" s="63">
        <v>24033</v>
      </c>
      <c r="L1019" s="28">
        <f>DATEDIF(K1019,Zwift25!G$1,"Y")</f>
        <v>58</v>
      </c>
      <c r="M1019" s="67">
        <f>IF(J1019="m",VLOOKUP(L1019,'All Solo Adjustments'!A:D,4,FALSE),VLOOKUP(L1019,'All Solo Adjustments'!A:J,10,FALSE))</f>
        <v>2.7199074074074074E-3</v>
      </c>
      <c r="N1019" s="63"/>
      <c r="O1019" s="63"/>
      <c r="P1019" s="63"/>
      <c r="Q1019" s="63"/>
      <c r="R1019" t="s">
        <v>154</v>
      </c>
      <c r="S1019" t="s">
        <v>153</v>
      </c>
      <c r="T1019" t="s">
        <v>292</v>
      </c>
      <c r="U1019" t="s">
        <v>7628</v>
      </c>
      <c r="V1019" t="s">
        <v>7480</v>
      </c>
      <c r="W1019" t="s">
        <v>669</v>
      </c>
      <c r="Y1019" t="s">
        <v>7627</v>
      </c>
      <c r="Z1019" t="str">
        <f>"07891154399"</f>
        <v>07891154399</v>
      </c>
      <c r="AA1019" t="str">
        <f>""</f>
        <v/>
      </c>
      <c r="AB1019" t="s">
        <v>668</v>
      </c>
      <c r="AC1019" t="s">
        <v>7626</v>
      </c>
      <c r="AD1019" t="s">
        <v>114</v>
      </c>
      <c r="AE1019" s="63">
        <v>45292</v>
      </c>
      <c r="AF1019" t="s">
        <v>156</v>
      </c>
      <c r="AG1019" t="s">
        <v>112</v>
      </c>
      <c r="AH1019" t="s">
        <v>112</v>
      </c>
      <c r="AI1019" s="63">
        <v>43420</v>
      </c>
      <c r="AJ1019" s="63">
        <v>45657</v>
      </c>
      <c r="AK1019" t="s">
        <v>111</v>
      </c>
      <c r="AL1019" t="s">
        <v>111</v>
      </c>
      <c r="AM1019" t="s">
        <v>111</v>
      </c>
      <c r="AN1019">
        <v>1598</v>
      </c>
      <c r="AO1019" t="s">
        <v>110</v>
      </c>
      <c r="AP1019" t="s">
        <v>109</v>
      </c>
    </row>
    <row r="1020" spans="1:42" x14ac:dyDescent="0.25">
      <c r="A1020" s="28" t="str">
        <f>"13874"</f>
        <v>13874</v>
      </c>
      <c r="B1020">
        <v>13874</v>
      </c>
      <c r="C1020" t="s">
        <v>2488</v>
      </c>
      <c r="D1020" t="s">
        <v>121</v>
      </c>
      <c r="E1020" t="s">
        <v>584</v>
      </c>
      <c r="F1020" t="s">
        <v>120</v>
      </c>
      <c r="G1020" t="s">
        <v>790</v>
      </c>
      <c r="I1020" t="s">
        <v>7625</v>
      </c>
      <c r="J1020" t="s">
        <v>7</v>
      </c>
      <c r="K1020" s="63">
        <v>26588</v>
      </c>
      <c r="L1020" s="28">
        <f>DATEDIF(K1020,Zwift25!G$1,"Y")</f>
        <v>51</v>
      </c>
      <c r="M1020" s="67">
        <f>IF(J1020="m",VLOOKUP(L1020,'All Solo Adjustments'!A:D,4,FALSE),VLOOKUP(L1020,'All Solo Adjustments'!A:J,10,FALSE))</f>
        <v>1.3078703703703703E-3</v>
      </c>
      <c r="N1020" s="63"/>
      <c r="O1020" s="63"/>
      <c r="P1020" s="63"/>
      <c r="Q1020" s="63"/>
      <c r="R1020" t="s">
        <v>283</v>
      </c>
      <c r="S1020" t="s">
        <v>530</v>
      </c>
      <c r="T1020" t="s">
        <v>292</v>
      </c>
      <c r="U1020" t="s">
        <v>7624</v>
      </c>
      <c r="V1020" t="s">
        <v>880</v>
      </c>
      <c r="W1020" t="s">
        <v>748</v>
      </c>
      <c r="Y1020" t="s">
        <v>7623</v>
      </c>
      <c r="Z1020" t="str">
        <f>"07941021166"</f>
        <v>07941021166</v>
      </c>
      <c r="AA1020" t="str">
        <f>""</f>
        <v/>
      </c>
      <c r="AB1020" t="s">
        <v>1608</v>
      </c>
      <c r="AC1020" t="s">
        <v>7622</v>
      </c>
      <c r="AD1020" t="s">
        <v>114</v>
      </c>
      <c r="AE1020" s="63">
        <v>45302</v>
      </c>
      <c r="AF1020" t="s">
        <v>156</v>
      </c>
      <c r="AG1020" t="s">
        <v>112</v>
      </c>
      <c r="AH1020" t="s">
        <v>112</v>
      </c>
      <c r="AI1020" s="63">
        <v>43405</v>
      </c>
      <c r="AJ1020" s="63">
        <v>45657</v>
      </c>
      <c r="AK1020" t="s">
        <v>112</v>
      </c>
      <c r="AL1020" t="s">
        <v>111</v>
      </c>
      <c r="AM1020" t="s">
        <v>111</v>
      </c>
      <c r="AN1020">
        <v>23885</v>
      </c>
      <c r="AO1020" t="s">
        <v>110</v>
      </c>
      <c r="AP1020" t="s">
        <v>109</v>
      </c>
    </row>
    <row r="1021" spans="1:42" x14ac:dyDescent="0.25">
      <c r="A1021" s="28" t="str">
        <f>"6182"</f>
        <v>6182</v>
      </c>
      <c r="B1021">
        <v>6182</v>
      </c>
      <c r="C1021" t="s">
        <v>2488</v>
      </c>
      <c r="D1021" t="s">
        <v>121</v>
      </c>
      <c r="E1021" t="s">
        <v>584</v>
      </c>
      <c r="F1021" t="s">
        <v>120</v>
      </c>
      <c r="G1021" t="s">
        <v>634</v>
      </c>
      <c r="I1021" t="s">
        <v>7621</v>
      </c>
      <c r="J1021" t="s">
        <v>7</v>
      </c>
      <c r="K1021" s="63">
        <v>24000</v>
      </c>
      <c r="L1021" s="28">
        <f>DATEDIF(K1021,Zwift25!G$1,"Y")</f>
        <v>59</v>
      </c>
      <c r="M1021" s="67">
        <f>IF(J1021="m",VLOOKUP(L1021,'All Solo Adjustments'!A:D,4,FALSE),VLOOKUP(L1021,'All Solo Adjustments'!A:J,10,FALSE))</f>
        <v>2.9629629629629632E-3</v>
      </c>
      <c r="N1021" s="63"/>
      <c r="O1021" s="63"/>
      <c r="P1021" s="63"/>
      <c r="Q1021" s="63"/>
      <c r="R1021" t="s">
        <v>283</v>
      </c>
      <c r="S1021" t="s">
        <v>530</v>
      </c>
      <c r="T1021" t="s">
        <v>292</v>
      </c>
      <c r="U1021" t="s">
        <v>7620</v>
      </c>
      <c r="V1021" t="s">
        <v>7619</v>
      </c>
      <c r="Y1021" t="s">
        <v>7618</v>
      </c>
      <c r="Z1021" t="str">
        <f>"07738 180141"</f>
        <v>07738 180141</v>
      </c>
      <c r="AA1021" t="str">
        <f>""</f>
        <v/>
      </c>
      <c r="AB1021" t="s">
        <v>1541</v>
      </c>
      <c r="AC1021" t="s">
        <v>7617</v>
      </c>
      <c r="AD1021" t="s">
        <v>114</v>
      </c>
      <c r="AE1021" s="63">
        <v>45292</v>
      </c>
      <c r="AF1021" t="s">
        <v>156</v>
      </c>
      <c r="AG1021" t="s">
        <v>112</v>
      </c>
      <c r="AH1021" t="s">
        <v>112</v>
      </c>
      <c r="AI1021" s="63">
        <v>42841</v>
      </c>
      <c r="AJ1021" s="63">
        <v>45657</v>
      </c>
      <c r="AK1021" t="s">
        <v>111</v>
      </c>
      <c r="AL1021" t="s">
        <v>111</v>
      </c>
      <c r="AM1021" t="s">
        <v>111</v>
      </c>
      <c r="AN1021">
        <v>3822</v>
      </c>
      <c r="AO1021" t="s">
        <v>110</v>
      </c>
      <c r="AP1021" t="s">
        <v>109</v>
      </c>
    </row>
    <row r="1022" spans="1:42" x14ac:dyDescent="0.25">
      <c r="A1022" s="28" t="str">
        <f>"14096"</f>
        <v>14096</v>
      </c>
      <c r="B1022">
        <v>14096</v>
      </c>
      <c r="C1022" t="s">
        <v>2488</v>
      </c>
      <c r="D1022" t="s">
        <v>121</v>
      </c>
      <c r="E1022" t="s">
        <v>584</v>
      </c>
      <c r="F1022" t="s">
        <v>120</v>
      </c>
      <c r="G1022" t="s">
        <v>402</v>
      </c>
      <c r="I1022" t="s">
        <v>7616</v>
      </c>
      <c r="J1022" t="s">
        <v>7</v>
      </c>
      <c r="K1022" s="63">
        <v>24590</v>
      </c>
      <c r="L1022" s="28">
        <f>DATEDIF(K1022,Zwift25!G$1,"Y")</f>
        <v>57</v>
      </c>
      <c r="M1022" s="67">
        <f>IF(J1022="m",VLOOKUP(L1022,'All Solo Adjustments'!A:D,4,FALSE),VLOOKUP(L1022,'All Solo Adjustments'!A:J,10,FALSE))</f>
        <v>2.488425925925926E-3</v>
      </c>
      <c r="N1022" s="63"/>
      <c r="O1022" s="63"/>
      <c r="P1022" s="63"/>
      <c r="Q1022" s="63"/>
      <c r="R1022" t="s">
        <v>527</v>
      </c>
      <c r="S1022" t="s">
        <v>526</v>
      </c>
      <c r="T1022" t="s">
        <v>292</v>
      </c>
      <c r="U1022" t="s">
        <v>7615</v>
      </c>
      <c r="V1022" t="s">
        <v>7614</v>
      </c>
      <c r="W1022" t="s">
        <v>7613</v>
      </c>
      <c r="Y1022" t="s">
        <v>7612</v>
      </c>
      <c r="Z1022" t="str">
        <f>"07771534464"</f>
        <v>07771534464</v>
      </c>
      <c r="AA1022" t="str">
        <f>""</f>
        <v/>
      </c>
      <c r="AB1022" t="s">
        <v>1756</v>
      </c>
      <c r="AC1022" t="s">
        <v>7611</v>
      </c>
      <c r="AD1022" t="s">
        <v>114</v>
      </c>
      <c r="AE1022" s="63">
        <v>45270</v>
      </c>
      <c r="AF1022" t="s">
        <v>156</v>
      </c>
      <c r="AG1022" t="s">
        <v>112</v>
      </c>
      <c r="AH1022" t="s">
        <v>112</v>
      </c>
      <c r="AI1022" s="63">
        <v>43529</v>
      </c>
      <c r="AJ1022" s="63">
        <v>45657</v>
      </c>
      <c r="AK1022" t="s">
        <v>112</v>
      </c>
      <c r="AL1022" t="s">
        <v>111</v>
      </c>
      <c r="AM1022" t="s">
        <v>111</v>
      </c>
      <c r="AN1022">
        <v>2041</v>
      </c>
      <c r="AO1022" t="s">
        <v>110</v>
      </c>
      <c r="AP1022" t="s">
        <v>109</v>
      </c>
    </row>
    <row r="1023" spans="1:42" x14ac:dyDescent="0.25">
      <c r="A1023" s="28" t="str">
        <f>"1313"</f>
        <v>1313</v>
      </c>
      <c r="B1023">
        <v>1313</v>
      </c>
      <c r="C1023" t="s">
        <v>2488</v>
      </c>
      <c r="D1023" t="s">
        <v>121</v>
      </c>
      <c r="F1023" t="s">
        <v>120</v>
      </c>
      <c r="G1023" t="s">
        <v>1737</v>
      </c>
      <c r="H1023" t="s">
        <v>230</v>
      </c>
      <c r="I1023" t="s">
        <v>1969</v>
      </c>
      <c r="J1023" t="s">
        <v>7</v>
      </c>
      <c r="K1023" s="63">
        <v>14370</v>
      </c>
      <c r="L1023" s="28">
        <f>DATEDIF(K1023,Zwift25!G$1,"Y")</f>
        <v>85</v>
      </c>
      <c r="M1023" s="67">
        <f>IF(J1023="m",VLOOKUP(L1023,'All Solo Adjustments'!A:D,4,FALSE),VLOOKUP(L1023,'All Solo Adjustments'!A:J,10,FALSE))</f>
        <v>1.4236111111111111E-2</v>
      </c>
      <c r="N1023" s="63"/>
      <c r="O1023" s="63"/>
      <c r="P1023" s="63"/>
      <c r="Q1023" s="63"/>
      <c r="R1023" t="s">
        <v>328</v>
      </c>
      <c r="S1023" t="s">
        <v>2290</v>
      </c>
      <c r="T1023" t="s">
        <v>292</v>
      </c>
      <c r="U1023" t="s">
        <v>7609</v>
      </c>
      <c r="V1023" t="s">
        <v>1912</v>
      </c>
      <c r="W1023" t="s">
        <v>1510</v>
      </c>
      <c r="X1023" t="s">
        <v>325</v>
      </c>
      <c r="Y1023" t="s">
        <v>7608</v>
      </c>
      <c r="Z1023" t="str">
        <f>"01204 301592"</f>
        <v>01204 301592</v>
      </c>
      <c r="AA1023" t="str">
        <f>""</f>
        <v/>
      </c>
      <c r="AB1023" t="s">
        <v>1563</v>
      </c>
      <c r="AC1023" t="s">
        <v>7610</v>
      </c>
      <c r="AD1023" t="s">
        <v>145</v>
      </c>
      <c r="AF1023" t="s">
        <v>113</v>
      </c>
      <c r="AG1023" t="s">
        <v>112</v>
      </c>
      <c r="AH1023" t="s">
        <v>112</v>
      </c>
      <c r="AI1023" s="63">
        <v>43408</v>
      </c>
      <c r="AK1023" t="s">
        <v>111</v>
      </c>
      <c r="AL1023" t="s">
        <v>111</v>
      </c>
      <c r="AM1023" t="s">
        <v>111</v>
      </c>
      <c r="AN1023">
        <v>34490</v>
      </c>
      <c r="AO1023" t="s">
        <v>110</v>
      </c>
      <c r="AP1023" t="s">
        <v>109</v>
      </c>
    </row>
    <row r="1024" spans="1:42" x14ac:dyDescent="0.25">
      <c r="A1024" s="28" t="str">
        <f>"13140"</f>
        <v>13140</v>
      </c>
      <c r="B1024">
        <v>13140</v>
      </c>
      <c r="C1024" t="s">
        <v>2488</v>
      </c>
      <c r="D1024" t="s">
        <v>121</v>
      </c>
      <c r="F1024" t="s">
        <v>149</v>
      </c>
      <c r="G1024" t="s">
        <v>240</v>
      </c>
      <c r="I1024" t="s">
        <v>1969</v>
      </c>
      <c r="J1024" t="s">
        <v>126</v>
      </c>
      <c r="K1024" s="63">
        <v>14611</v>
      </c>
      <c r="L1024" s="28">
        <f>DATEDIF(K1024,Zwift25!G$1,"Y")</f>
        <v>84</v>
      </c>
      <c r="M1024" s="67">
        <f>IF(J1024="m",VLOOKUP(L1024,'All Solo Adjustments'!A:D,4,FALSE),VLOOKUP(L1024,'All Solo Adjustments'!A:J,10,FALSE))</f>
        <v>1.966435185185185E-2</v>
      </c>
      <c r="N1024" s="63"/>
      <c r="O1024" s="63"/>
      <c r="P1024" s="63"/>
      <c r="Q1024" s="63"/>
      <c r="R1024" t="s">
        <v>328</v>
      </c>
      <c r="S1024" t="s">
        <v>2290</v>
      </c>
      <c r="T1024" t="s">
        <v>292</v>
      </c>
      <c r="U1024" t="s">
        <v>7609</v>
      </c>
      <c r="V1024" t="s">
        <v>1912</v>
      </c>
      <c r="W1024" t="s">
        <v>1510</v>
      </c>
      <c r="X1024" t="s">
        <v>325</v>
      </c>
      <c r="Y1024" t="s">
        <v>7608</v>
      </c>
      <c r="Z1024" t="str">
        <f>"01204 301592"</f>
        <v>01204 301592</v>
      </c>
      <c r="AA1024" t="str">
        <f>""</f>
        <v/>
      </c>
      <c r="AB1024" t="s">
        <v>1563</v>
      </c>
      <c r="AC1024" t="s">
        <v>7607</v>
      </c>
      <c r="AD1024" t="s">
        <v>145</v>
      </c>
      <c r="AF1024" t="s">
        <v>113</v>
      </c>
      <c r="AG1024" t="s">
        <v>111</v>
      </c>
      <c r="AH1024" t="s">
        <v>111</v>
      </c>
      <c r="AI1024" s="63">
        <v>43408</v>
      </c>
      <c r="AK1024" t="s">
        <v>111</v>
      </c>
      <c r="AL1024" t="s">
        <v>111</v>
      </c>
      <c r="AM1024" t="s">
        <v>111</v>
      </c>
      <c r="AN1024" t="s">
        <v>105</v>
      </c>
      <c r="AO1024" t="s">
        <v>122</v>
      </c>
      <c r="AP1024" t="s">
        <v>122</v>
      </c>
    </row>
    <row r="1025" spans="1:42" x14ac:dyDescent="0.25">
      <c r="A1025" s="28" t="str">
        <f>"1312"</f>
        <v>1312</v>
      </c>
      <c r="B1025">
        <v>1312</v>
      </c>
      <c r="C1025" t="s">
        <v>2488</v>
      </c>
      <c r="D1025" t="s">
        <v>121</v>
      </c>
      <c r="F1025" t="s">
        <v>120</v>
      </c>
      <c r="G1025" t="s">
        <v>488</v>
      </c>
      <c r="I1025" t="s">
        <v>1969</v>
      </c>
      <c r="J1025" t="s">
        <v>7</v>
      </c>
      <c r="K1025" s="63">
        <v>13014</v>
      </c>
      <c r="L1025" s="28">
        <f>DATEDIF(K1025,Zwift25!G$1,"Y")</f>
        <v>89</v>
      </c>
      <c r="M1025" s="67">
        <f>IF(J1025="m",VLOOKUP(L1025,'All Solo Adjustments'!A:D,4,FALSE),VLOOKUP(L1025,'All Solo Adjustments'!A:J,10,FALSE))</f>
        <v>1.7465277777777777E-2</v>
      </c>
      <c r="N1025" s="63"/>
      <c r="O1025" s="63"/>
      <c r="P1025" s="63"/>
      <c r="Q1025" s="63"/>
      <c r="R1025" t="s">
        <v>328</v>
      </c>
      <c r="S1025" t="s">
        <v>2290</v>
      </c>
      <c r="T1025" t="s">
        <v>292</v>
      </c>
      <c r="U1025" t="s">
        <v>7605</v>
      </c>
      <c r="V1025" t="s">
        <v>2141</v>
      </c>
      <c r="W1025" t="s">
        <v>1510</v>
      </c>
      <c r="Y1025" t="s">
        <v>7604</v>
      </c>
      <c r="Z1025" t="str">
        <f>"01204 308620"</f>
        <v>01204 308620</v>
      </c>
      <c r="AA1025" t="str">
        <f>""</f>
        <v/>
      </c>
      <c r="AB1025" t="s">
        <v>7606</v>
      </c>
      <c r="AC1025" t="s">
        <v>7603</v>
      </c>
      <c r="AD1025" t="s">
        <v>151</v>
      </c>
      <c r="AF1025" t="s">
        <v>113</v>
      </c>
      <c r="AG1025" t="s">
        <v>112</v>
      </c>
      <c r="AH1025" t="s">
        <v>112</v>
      </c>
      <c r="AK1025" t="s">
        <v>111</v>
      </c>
      <c r="AL1025" t="s">
        <v>111</v>
      </c>
      <c r="AM1025" t="s">
        <v>111</v>
      </c>
      <c r="AN1025">
        <v>34015</v>
      </c>
      <c r="AO1025" t="s">
        <v>110</v>
      </c>
      <c r="AP1025" t="s">
        <v>109</v>
      </c>
    </row>
    <row r="1026" spans="1:42" x14ac:dyDescent="0.25">
      <c r="A1026" s="28" t="str">
        <f>"13142"</f>
        <v>13142</v>
      </c>
      <c r="B1026">
        <v>13142</v>
      </c>
      <c r="C1026" t="s">
        <v>2488</v>
      </c>
      <c r="D1026" t="s">
        <v>121</v>
      </c>
      <c r="F1026" t="s">
        <v>149</v>
      </c>
      <c r="G1026" t="s">
        <v>973</v>
      </c>
      <c r="I1026" t="s">
        <v>1969</v>
      </c>
      <c r="J1026" t="s">
        <v>126</v>
      </c>
      <c r="K1026" s="63">
        <v>12388</v>
      </c>
      <c r="L1026" s="28">
        <f>DATEDIF(K1026,Zwift25!G$1,"Y")</f>
        <v>90</v>
      </c>
      <c r="M1026" s="67">
        <f>IF(J1026="m",VLOOKUP(L1026,'All Solo Adjustments'!A:D,4,FALSE),VLOOKUP(L1026,'All Solo Adjustments'!A:J,10,FALSE))</f>
        <v>2.5138888888888888E-2</v>
      </c>
      <c r="N1026" s="63"/>
      <c r="O1026" s="63"/>
      <c r="P1026" s="63"/>
      <c r="Q1026" s="63"/>
      <c r="R1026" t="s">
        <v>328</v>
      </c>
      <c r="S1026" t="s">
        <v>2290</v>
      </c>
      <c r="T1026" t="s">
        <v>292</v>
      </c>
      <c r="U1026" t="s">
        <v>7605</v>
      </c>
      <c r="V1026" t="s">
        <v>2141</v>
      </c>
      <c r="W1026" t="s">
        <v>1510</v>
      </c>
      <c r="Y1026" t="s">
        <v>7604</v>
      </c>
      <c r="Z1026" t="str">
        <f>"01204 308620"</f>
        <v>01204 308620</v>
      </c>
      <c r="AA1026" t="str">
        <f>""</f>
        <v/>
      </c>
      <c r="AB1026" t="s">
        <v>1563</v>
      </c>
      <c r="AC1026" t="s">
        <v>7603</v>
      </c>
      <c r="AD1026" t="s">
        <v>151</v>
      </c>
      <c r="AF1026" t="s">
        <v>113</v>
      </c>
      <c r="AG1026" t="s">
        <v>111</v>
      </c>
      <c r="AH1026" t="s">
        <v>111</v>
      </c>
      <c r="AK1026" t="s">
        <v>111</v>
      </c>
      <c r="AL1026" t="s">
        <v>111</v>
      </c>
      <c r="AM1026" t="s">
        <v>111</v>
      </c>
      <c r="AN1026" t="s">
        <v>105</v>
      </c>
      <c r="AO1026" t="s">
        <v>122</v>
      </c>
      <c r="AP1026" t="s">
        <v>122</v>
      </c>
    </row>
    <row r="1027" spans="1:42" x14ac:dyDescent="0.25">
      <c r="A1027" s="28" t="str">
        <f>"16117"</f>
        <v>16117</v>
      </c>
      <c r="B1027">
        <v>16117</v>
      </c>
      <c r="C1027" t="s">
        <v>2488</v>
      </c>
      <c r="D1027" t="s">
        <v>121</v>
      </c>
      <c r="F1027" t="s">
        <v>120</v>
      </c>
      <c r="G1027" t="s">
        <v>304</v>
      </c>
      <c r="H1027" t="s">
        <v>7602</v>
      </c>
      <c r="I1027" t="s">
        <v>7601</v>
      </c>
      <c r="J1027" t="s">
        <v>7</v>
      </c>
      <c r="K1027" s="63">
        <v>26706</v>
      </c>
      <c r="L1027" s="28">
        <f>DATEDIF(K1027,Zwift25!G$1,"Y")</f>
        <v>51</v>
      </c>
      <c r="M1027" s="67">
        <f>IF(J1027="m",VLOOKUP(L1027,'All Solo Adjustments'!A:D,4,FALSE),VLOOKUP(L1027,'All Solo Adjustments'!A:J,10,FALSE))</f>
        <v>1.3078703703703703E-3</v>
      </c>
      <c r="N1027" s="63"/>
      <c r="O1027" s="63"/>
      <c r="P1027" s="63"/>
      <c r="Q1027" s="63"/>
      <c r="R1027" t="s">
        <v>125</v>
      </c>
      <c r="S1027" t="s">
        <v>170</v>
      </c>
      <c r="T1027" t="s">
        <v>292</v>
      </c>
      <c r="U1027" t="s">
        <v>7600</v>
      </c>
      <c r="W1027" t="s">
        <v>202</v>
      </c>
      <c r="X1027" t="s">
        <v>419</v>
      </c>
      <c r="Y1027" t="s">
        <v>7599</v>
      </c>
      <c r="Z1027" t="str">
        <f>"07770920578"</f>
        <v>07770920578</v>
      </c>
      <c r="AA1027" t="str">
        <f>""</f>
        <v/>
      </c>
      <c r="AB1027" t="s">
        <v>2078</v>
      </c>
      <c r="AC1027" t="s">
        <v>7598</v>
      </c>
      <c r="AD1027" t="s">
        <v>114</v>
      </c>
      <c r="AE1027" s="63">
        <v>45406</v>
      </c>
      <c r="AF1027" t="s">
        <v>156</v>
      </c>
      <c r="AG1027" t="s">
        <v>112</v>
      </c>
      <c r="AH1027" t="s">
        <v>112</v>
      </c>
      <c r="AI1027" s="63">
        <v>45406</v>
      </c>
      <c r="AJ1027" s="63">
        <v>45657</v>
      </c>
      <c r="AK1027" t="s">
        <v>112</v>
      </c>
      <c r="AL1027" t="s">
        <v>111</v>
      </c>
      <c r="AM1027" t="s">
        <v>111</v>
      </c>
      <c r="AN1027">
        <v>188</v>
      </c>
      <c r="AO1027" t="s">
        <v>110</v>
      </c>
      <c r="AP1027" t="s">
        <v>109</v>
      </c>
    </row>
    <row r="1028" spans="1:42" x14ac:dyDescent="0.25">
      <c r="A1028" s="28" t="str">
        <f>"1318"</f>
        <v>1318</v>
      </c>
      <c r="B1028">
        <v>1318</v>
      </c>
      <c r="C1028" t="s">
        <v>2488</v>
      </c>
      <c r="D1028" t="s">
        <v>121</v>
      </c>
      <c r="F1028" t="s">
        <v>120</v>
      </c>
      <c r="G1028" t="s">
        <v>488</v>
      </c>
      <c r="I1028" t="s">
        <v>7597</v>
      </c>
      <c r="J1028" t="s">
        <v>7</v>
      </c>
      <c r="K1028" s="63">
        <v>13644</v>
      </c>
      <c r="L1028" s="28">
        <f>DATEDIF(K1028,Zwift25!G$1,"Y")</f>
        <v>87</v>
      </c>
      <c r="M1028" s="67">
        <f>IF(J1028="m",VLOOKUP(L1028,'All Solo Adjustments'!A:D,4,FALSE),VLOOKUP(L1028,'All Solo Adjustments'!A:J,10,FALSE))</f>
        <v>1.576388888888889E-2</v>
      </c>
      <c r="N1028" s="63"/>
      <c r="O1028" s="63"/>
      <c r="P1028" s="63"/>
      <c r="Q1028" s="63"/>
      <c r="R1028" t="s">
        <v>328</v>
      </c>
      <c r="S1028" t="s">
        <v>2290</v>
      </c>
      <c r="T1028" t="s">
        <v>292</v>
      </c>
      <c r="U1028" t="s">
        <v>7596</v>
      </c>
      <c r="V1028" t="s">
        <v>7595</v>
      </c>
      <c r="W1028" t="s">
        <v>4830</v>
      </c>
      <c r="X1028" t="s">
        <v>7594</v>
      </c>
      <c r="Y1028" t="s">
        <v>7593</v>
      </c>
      <c r="Z1028" t="str">
        <f>"01524 761922"</f>
        <v>01524 761922</v>
      </c>
      <c r="AA1028" t="str">
        <f>""</f>
        <v/>
      </c>
      <c r="AB1028" t="s">
        <v>1730</v>
      </c>
      <c r="AD1028" t="s">
        <v>145</v>
      </c>
      <c r="AF1028" t="s">
        <v>113</v>
      </c>
      <c r="AG1028" t="s">
        <v>112</v>
      </c>
      <c r="AH1028" t="s">
        <v>112</v>
      </c>
      <c r="AI1028" s="63">
        <v>43391</v>
      </c>
      <c r="AK1028" t="s">
        <v>111</v>
      </c>
      <c r="AL1028" t="s">
        <v>111</v>
      </c>
      <c r="AM1028" t="s">
        <v>111</v>
      </c>
      <c r="AN1028" t="s">
        <v>105</v>
      </c>
      <c r="AO1028" t="s">
        <v>110</v>
      </c>
      <c r="AP1028" t="s">
        <v>109</v>
      </c>
    </row>
    <row r="1029" spans="1:42" x14ac:dyDescent="0.25">
      <c r="A1029" s="28" t="str">
        <f>"13144"</f>
        <v>13144</v>
      </c>
      <c r="B1029">
        <v>13144</v>
      </c>
      <c r="C1029" t="s">
        <v>2488</v>
      </c>
      <c r="D1029" t="s">
        <v>121</v>
      </c>
      <c r="F1029" t="s">
        <v>149</v>
      </c>
      <c r="G1029" t="s">
        <v>352</v>
      </c>
      <c r="I1029" t="s">
        <v>7597</v>
      </c>
      <c r="J1029" t="s">
        <v>126</v>
      </c>
      <c r="K1029" s="63">
        <v>14848</v>
      </c>
      <c r="L1029" s="28">
        <f>DATEDIF(K1029,Zwift25!G$1,"Y")</f>
        <v>84</v>
      </c>
      <c r="M1029" s="67">
        <f>IF(J1029="m",VLOOKUP(L1029,'All Solo Adjustments'!A:D,4,FALSE),VLOOKUP(L1029,'All Solo Adjustments'!A:J,10,FALSE))</f>
        <v>1.966435185185185E-2</v>
      </c>
      <c r="N1029" s="63"/>
      <c r="O1029" s="63"/>
      <c r="P1029" s="63"/>
      <c r="Q1029" s="63"/>
      <c r="R1029" t="s">
        <v>328</v>
      </c>
      <c r="S1029" t="s">
        <v>2290</v>
      </c>
      <c r="T1029" t="s">
        <v>292</v>
      </c>
      <c r="U1029" t="s">
        <v>7596</v>
      </c>
      <c r="V1029" t="s">
        <v>7595</v>
      </c>
      <c r="W1029" t="s">
        <v>4830</v>
      </c>
      <c r="X1029" t="s">
        <v>7594</v>
      </c>
      <c r="Y1029" t="s">
        <v>7593</v>
      </c>
      <c r="Z1029" t="str">
        <f>"01524 761922"</f>
        <v>01524 761922</v>
      </c>
      <c r="AA1029" t="str">
        <f>""</f>
        <v/>
      </c>
      <c r="AB1029" t="s">
        <v>1730</v>
      </c>
      <c r="AD1029" t="s">
        <v>145</v>
      </c>
      <c r="AF1029" t="s">
        <v>113</v>
      </c>
      <c r="AG1029" t="s">
        <v>111</v>
      </c>
      <c r="AH1029" t="s">
        <v>111</v>
      </c>
      <c r="AI1029" s="63">
        <v>43391</v>
      </c>
      <c r="AK1029" t="s">
        <v>111</v>
      </c>
      <c r="AL1029" t="s">
        <v>111</v>
      </c>
      <c r="AM1029" t="s">
        <v>111</v>
      </c>
      <c r="AN1029" t="s">
        <v>105</v>
      </c>
      <c r="AO1029" t="s">
        <v>122</v>
      </c>
      <c r="AP1029" t="s">
        <v>122</v>
      </c>
    </row>
    <row r="1030" spans="1:42" x14ac:dyDescent="0.25">
      <c r="A1030" s="28" t="str">
        <f>"1319"</f>
        <v>1319</v>
      </c>
      <c r="B1030">
        <v>1319</v>
      </c>
      <c r="C1030" t="s">
        <v>2488</v>
      </c>
      <c r="D1030" t="s">
        <v>121</v>
      </c>
      <c r="F1030" t="s">
        <v>120</v>
      </c>
      <c r="G1030" t="s">
        <v>485</v>
      </c>
      <c r="H1030" t="s">
        <v>1051</v>
      </c>
      <c r="I1030" t="s">
        <v>7592</v>
      </c>
      <c r="J1030" t="s">
        <v>7</v>
      </c>
      <c r="K1030" s="63">
        <v>13365</v>
      </c>
      <c r="L1030" s="28">
        <f>DATEDIF(K1030,Zwift25!G$1,"Y")</f>
        <v>88</v>
      </c>
      <c r="M1030" s="67">
        <f>IF(J1030="m",VLOOKUP(L1030,'All Solo Adjustments'!A:D,4,FALSE),VLOOKUP(L1030,'All Solo Adjustments'!A:J,10,FALSE))</f>
        <v>1.6597222222222222E-2</v>
      </c>
      <c r="N1030" s="63"/>
      <c r="O1030" s="63"/>
      <c r="P1030" s="63"/>
      <c r="Q1030" s="63"/>
      <c r="R1030" t="s">
        <v>143</v>
      </c>
      <c r="S1030" t="s">
        <v>487</v>
      </c>
      <c r="T1030" t="s">
        <v>292</v>
      </c>
      <c r="U1030" t="s">
        <v>7591</v>
      </c>
      <c r="V1030" t="s">
        <v>1854</v>
      </c>
      <c r="W1030" t="s">
        <v>486</v>
      </c>
      <c r="Y1030" t="s">
        <v>7590</v>
      </c>
      <c r="Z1030" t="str">
        <f>"01273 423588"</f>
        <v>01273 423588</v>
      </c>
      <c r="AA1030" t="str">
        <f>""</f>
        <v/>
      </c>
      <c r="AB1030" t="s">
        <v>1184</v>
      </c>
      <c r="AD1030" t="s">
        <v>151</v>
      </c>
      <c r="AF1030" t="s">
        <v>113</v>
      </c>
      <c r="AG1030" t="s">
        <v>112</v>
      </c>
      <c r="AH1030" t="s">
        <v>112</v>
      </c>
      <c r="AI1030" s="63">
        <v>28126</v>
      </c>
      <c r="AK1030" t="s">
        <v>111</v>
      </c>
      <c r="AL1030" t="s">
        <v>111</v>
      </c>
      <c r="AM1030" t="s">
        <v>111</v>
      </c>
      <c r="AN1030" t="s">
        <v>105</v>
      </c>
      <c r="AO1030" t="s">
        <v>110</v>
      </c>
      <c r="AP1030" t="s">
        <v>109</v>
      </c>
    </row>
    <row r="1031" spans="1:42" x14ac:dyDescent="0.25">
      <c r="A1031" s="28" t="str">
        <f>"15943"</f>
        <v>15943</v>
      </c>
      <c r="B1031">
        <v>15943</v>
      </c>
      <c r="C1031" t="s">
        <v>2488</v>
      </c>
      <c r="D1031" t="s">
        <v>121</v>
      </c>
      <c r="F1031" t="s">
        <v>120</v>
      </c>
      <c r="G1031" t="s">
        <v>1464</v>
      </c>
      <c r="H1031" t="s">
        <v>284</v>
      </c>
      <c r="I1031" t="s">
        <v>7589</v>
      </c>
      <c r="J1031" t="s">
        <v>7</v>
      </c>
      <c r="K1031" s="63">
        <v>25669</v>
      </c>
      <c r="L1031" s="28">
        <f>DATEDIF(K1031,Zwift25!G$1,"Y")</f>
        <v>54</v>
      </c>
      <c r="M1031" s="67">
        <f>IF(J1031="m",VLOOKUP(L1031,'All Solo Adjustments'!A:D,4,FALSE),VLOOKUP(L1031,'All Solo Adjustments'!A:J,10,FALSE))</f>
        <v>1.8518518518518517E-3</v>
      </c>
      <c r="N1031" s="63"/>
      <c r="O1031" s="63"/>
      <c r="P1031" s="63"/>
      <c r="Q1031" s="63"/>
      <c r="R1031" t="s">
        <v>125</v>
      </c>
      <c r="S1031" t="s">
        <v>170</v>
      </c>
      <c r="T1031" t="s">
        <v>292</v>
      </c>
      <c r="U1031" t="s">
        <v>7588</v>
      </c>
      <c r="V1031" t="s">
        <v>7588</v>
      </c>
      <c r="W1031" t="s">
        <v>116</v>
      </c>
      <c r="Y1031" t="s">
        <v>7587</v>
      </c>
      <c r="Z1031" t="str">
        <f>"12 Keeble Drive"</f>
        <v>12 Keeble Drive</v>
      </c>
      <c r="AA1031" t="str">
        <f>"07468480745"</f>
        <v>07468480745</v>
      </c>
      <c r="AB1031" t="s">
        <v>7586</v>
      </c>
      <c r="AC1031" t="s">
        <v>7585</v>
      </c>
      <c r="AD1031" t="s">
        <v>114</v>
      </c>
      <c r="AE1031" s="63">
        <v>45273</v>
      </c>
      <c r="AF1031" t="s">
        <v>156</v>
      </c>
      <c r="AG1031" t="s">
        <v>112</v>
      </c>
      <c r="AH1031" t="s">
        <v>112</v>
      </c>
      <c r="AI1031" s="63">
        <v>45273</v>
      </c>
      <c r="AJ1031" s="63">
        <v>45657</v>
      </c>
      <c r="AK1031" t="s">
        <v>112</v>
      </c>
      <c r="AL1031" t="s">
        <v>111</v>
      </c>
      <c r="AM1031" t="s">
        <v>111</v>
      </c>
      <c r="AN1031">
        <v>41032</v>
      </c>
      <c r="AO1031" t="s">
        <v>110</v>
      </c>
      <c r="AP1031" t="s">
        <v>109</v>
      </c>
    </row>
    <row r="1032" spans="1:42" x14ac:dyDescent="0.25">
      <c r="A1032" s="28" t="str">
        <f>"6167"</f>
        <v>6167</v>
      </c>
      <c r="B1032">
        <v>6167</v>
      </c>
      <c r="C1032" t="s">
        <v>2488</v>
      </c>
      <c r="D1032" t="s">
        <v>121</v>
      </c>
      <c r="F1032" t="s">
        <v>120</v>
      </c>
      <c r="G1032" t="s">
        <v>1439</v>
      </c>
      <c r="H1032" t="s">
        <v>583</v>
      </c>
      <c r="I1032" t="s">
        <v>7584</v>
      </c>
      <c r="J1032" t="s">
        <v>7</v>
      </c>
      <c r="K1032" s="63">
        <v>24138</v>
      </c>
      <c r="L1032" s="28">
        <f>DATEDIF(K1032,Zwift25!G$1,"Y")</f>
        <v>58</v>
      </c>
      <c r="M1032" s="67">
        <f>IF(J1032="m",VLOOKUP(L1032,'All Solo Adjustments'!A:D,4,FALSE),VLOOKUP(L1032,'All Solo Adjustments'!A:J,10,FALSE))</f>
        <v>2.7199074074074074E-3</v>
      </c>
      <c r="N1032" s="63"/>
      <c r="O1032" s="63"/>
      <c r="P1032" s="63"/>
      <c r="Q1032" s="63"/>
      <c r="R1032" t="s">
        <v>180</v>
      </c>
      <c r="S1032" t="s">
        <v>179</v>
      </c>
      <c r="T1032" t="s">
        <v>292</v>
      </c>
      <c r="U1032" t="s">
        <v>7583</v>
      </c>
      <c r="V1032" t="s">
        <v>4051</v>
      </c>
      <c r="W1032" t="s">
        <v>259</v>
      </c>
      <c r="Y1032" t="s">
        <v>7582</v>
      </c>
      <c r="Z1032" t="str">
        <f>"07740 167077"</f>
        <v>07740 167077</v>
      </c>
      <c r="AA1032" t="str">
        <f>"01509 502758"</f>
        <v>01509 502758</v>
      </c>
      <c r="AB1032" t="s">
        <v>7581</v>
      </c>
      <c r="AC1032" t="s">
        <v>7580</v>
      </c>
      <c r="AD1032" t="s">
        <v>114</v>
      </c>
      <c r="AE1032" s="63">
        <v>45296</v>
      </c>
      <c r="AF1032" t="s">
        <v>156</v>
      </c>
      <c r="AG1032" t="s">
        <v>112</v>
      </c>
      <c r="AH1032" t="s">
        <v>112</v>
      </c>
      <c r="AI1032" s="63">
        <v>42831</v>
      </c>
      <c r="AJ1032" s="63">
        <v>45657</v>
      </c>
      <c r="AK1032" t="s">
        <v>111</v>
      </c>
      <c r="AL1032" t="s">
        <v>111</v>
      </c>
      <c r="AM1032" t="s">
        <v>111</v>
      </c>
      <c r="AN1032">
        <v>1539</v>
      </c>
      <c r="AO1032" t="s">
        <v>110</v>
      </c>
      <c r="AP1032" t="s">
        <v>109</v>
      </c>
    </row>
    <row r="1033" spans="1:42" x14ac:dyDescent="0.25">
      <c r="A1033" s="28" t="str">
        <f>"1327"</f>
        <v>1327</v>
      </c>
      <c r="B1033">
        <v>1327</v>
      </c>
      <c r="C1033" t="s">
        <v>2488</v>
      </c>
      <c r="D1033" t="s">
        <v>121</v>
      </c>
      <c r="F1033" t="s">
        <v>120</v>
      </c>
      <c r="G1033" t="s">
        <v>1393</v>
      </c>
      <c r="I1033" t="s">
        <v>645</v>
      </c>
      <c r="J1033" t="s">
        <v>7</v>
      </c>
      <c r="K1033" s="63">
        <v>10440</v>
      </c>
      <c r="L1033" s="28">
        <f>DATEDIF(K1033,Zwift25!G$1,"Y")</f>
        <v>96</v>
      </c>
      <c r="M1033" s="67">
        <f>IF(J1033="m",VLOOKUP(L1033,'All Solo Adjustments'!A:D,4,FALSE),VLOOKUP(L1033,'All Solo Adjustments'!A:J,10,FALSE))</f>
        <v>2.5300925925925925E-2</v>
      </c>
      <c r="N1033" s="63"/>
      <c r="O1033" s="63"/>
      <c r="P1033" s="63"/>
      <c r="Q1033" s="63"/>
      <c r="R1033" t="s">
        <v>154</v>
      </c>
      <c r="S1033" t="s">
        <v>2404</v>
      </c>
      <c r="T1033" t="s">
        <v>292</v>
      </c>
      <c r="U1033" t="s">
        <v>7579</v>
      </c>
      <c r="V1033" t="s">
        <v>2578</v>
      </c>
      <c r="W1033" t="s">
        <v>669</v>
      </c>
      <c r="Y1033" t="s">
        <v>7578</v>
      </c>
      <c r="Z1033" t="str">
        <f>"01454 778483"</f>
        <v>01454 778483</v>
      </c>
      <c r="AA1033" t="str">
        <f>""</f>
        <v/>
      </c>
      <c r="AB1033" t="s">
        <v>290</v>
      </c>
      <c r="AC1033" t="s">
        <v>7577</v>
      </c>
      <c r="AD1033" t="s">
        <v>145</v>
      </c>
      <c r="AF1033" t="s">
        <v>113</v>
      </c>
      <c r="AG1033" t="s">
        <v>112</v>
      </c>
      <c r="AH1033" t="s">
        <v>112</v>
      </c>
      <c r="AI1033" s="63">
        <v>28856</v>
      </c>
      <c r="AK1033" t="s">
        <v>111</v>
      </c>
      <c r="AL1033" t="s">
        <v>111</v>
      </c>
      <c r="AM1033" t="s">
        <v>111</v>
      </c>
      <c r="AN1033" t="s">
        <v>105</v>
      </c>
      <c r="AO1033" t="s">
        <v>110</v>
      </c>
      <c r="AP1033" t="s">
        <v>109</v>
      </c>
    </row>
    <row r="1034" spans="1:42" x14ac:dyDescent="0.25">
      <c r="A1034" s="28" t="str">
        <f>"5072"</f>
        <v>5072</v>
      </c>
      <c r="B1034">
        <v>5072</v>
      </c>
      <c r="C1034" t="s">
        <v>2488</v>
      </c>
      <c r="D1034" t="s">
        <v>121</v>
      </c>
      <c r="F1034" t="s">
        <v>120</v>
      </c>
      <c r="G1034" t="s">
        <v>227</v>
      </c>
      <c r="I1034" t="s">
        <v>645</v>
      </c>
      <c r="J1034" t="s">
        <v>7</v>
      </c>
      <c r="K1034" s="63">
        <v>19781</v>
      </c>
      <c r="L1034" s="28">
        <f>DATEDIF(K1034,Zwift25!G$1,"Y")</f>
        <v>70</v>
      </c>
      <c r="M1034" s="67">
        <f>IF(J1034="m",VLOOKUP(L1034,'All Solo Adjustments'!A:D,4,FALSE),VLOOKUP(L1034,'All Solo Adjustments'!A:J,10,FALSE))</f>
        <v>6.3425925925925924E-3</v>
      </c>
      <c r="N1034" s="63"/>
      <c r="O1034" s="63"/>
      <c r="P1034" s="63"/>
      <c r="Q1034" s="63"/>
      <c r="R1034" t="s">
        <v>184</v>
      </c>
      <c r="S1034" t="s">
        <v>183</v>
      </c>
      <c r="T1034" t="s">
        <v>292</v>
      </c>
      <c r="U1034" t="s">
        <v>7576</v>
      </c>
      <c r="V1034" t="s">
        <v>7575</v>
      </c>
      <c r="W1034" t="s">
        <v>1708</v>
      </c>
      <c r="Y1034" t="s">
        <v>7574</v>
      </c>
      <c r="Z1034" t="str">
        <f>"01865 376478"</f>
        <v>01865 376478</v>
      </c>
      <c r="AA1034" t="str">
        <f>""</f>
        <v/>
      </c>
      <c r="AB1034" t="s">
        <v>1417</v>
      </c>
      <c r="AC1034" t="s">
        <v>7573</v>
      </c>
      <c r="AD1034" t="s">
        <v>114</v>
      </c>
      <c r="AE1034" s="63">
        <v>45294</v>
      </c>
      <c r="AF1034" t="s">
        <v>113</v>
      </c>
      <c r="AG1034" t="s">
        <v>112</v>
      </c>
      <c r="AH1034" t="s">
        <v>112</v>
      </c>
      <c r="AI1034" s="63">
        <v>41795</v>
      </c>
      <c r="AJ1034" s="63">
        <v>45657</v>
      </c>
      <c r="AK1034" t="s">
        <v>111</v>
      </c>
      <c r="AL1034" t="s">
        <v>111</v>
      </c>
      <c r="AM1034" t="s">
        <v>111</v>
      </c>
      <c r="AN1034">
        <v>2720</v>
      </c>
      <c r="AO1034" t="s">
        <v>110</v>
      </c>
      <c r="AP1034" t="s">
        <v>109</v>
      </c>
    </row>
    <row r="1035" spans="1:42" x14ac:dyDescent="0.25">
      <c r="A1035" s="28" t="str">
        <f>"13625"</f>
        <v>13625</v>
      </c>
      <c r="B1035">
        <v>13625</v>
      </c>
      <c r="C1035" t="s">
        <v>2488</v>
      </c>
      <c r="D1035" t="s">
        <v>121</v>
      </c>
      <c r="F1035" t="s">
        <v>120</v>
      </c>
      <c r="G1035" t="s">
        <v>185</v>
      </c>
      <c r="I1035" t="s">
        <v>645</v>
      </c>
      <c r="J1035" t="s">
        <v>7</v>
      </c>
      <c r="K1035" s="63">
        <v>23986</v>
      </c>
      <c r="L1035" s="28">
        <f>DATEDIF(K1035,Zwift25!G$1,"Y")</f>
        <v>59</v>
      </c>
      <c r="M1035" s="67">
        <f>IF(J1035="m",VLOOKUP(L1035,'All Solo Adjustments'!A:D,4,FALSE),VLOOKUP(L1035,'All Solo Adjustments'!A:J,10,FALSE))</f>
        <v>2.9629629629629632E-3</v>
      </c>
      <c r="N1035" s="63"/>
      <c r="O1035" s="63"/>
      <c r="P1035" s="63"/>
      <c r="Q1035" s="63"/>
      <c r="R1035" t="s">
        <v>184</v>
      </c>
      <c r="S1035" t="s">
        <v>183</v>
      </c>
      <c r="T1035" t="s">
        <v>292</v>
      </c>
      <c r="U1035" t="s">
        <v>7572</v>
      </c>
      <c r="V1035" t="s">
        <v>483</v>
      </c>
      <c r="W1035" t="s">
        <v>146</v>
      </c>
      <c r="Y1035" t="s">
        <v>7571</v>
      </c>
      <c r="Z1035" t="str">
        <f>"07713073121"</f>
        <v>07713073121</v>
      </c>
      <c r="AA1035" t="str">
        <f>""</f>
        <v/>
      </c>
      <c r="AB1035" t="s">
        <v>482</v>
      </c>
      <c r="AC1035" t="s">
        <v>7570</v>
      </c>
      <c r="AD1035" t="s">
        <v>114</v>
      </c>
      <c r="AE1035" s="63">
        <v>45385</v>
      </c>
      <c r="AF1035" t="s">
        <v>156</v>
      </c>
      <c r="AG1035" t="s">
        <v>112</v>
      </c>
      <c r="AH1035" t="s">
        <v>112</v>
      </c>
      <c r="AI1035" s="63">
        <v>43261</v>
      </c>
      <c r="AJ1035" s="63">
        <v>45657</v>
      </c>
      <c r="AK1035" t="s">
        <v>112</v>
      </c>
      <c r="AL1035" t="s">
        <v>111</v>
      </c>
      <c r="AM1035" t="s">
        <v>111</v>
      </c>
      <c r="AN1035">
        <v>19965</v>
      </c>
      <c r="AO1035" t="s">
        <v>110</v>
      </c>
      <c r="AP1035" t="s">
        <v>109</v>
      </c>
    </row>
    <row r="1036" spans="1:42" x14ac:dyDescent="0.25">
      <c r="A1036" s="28" t="str">
        <f>"15067"</f>
        <v>15067</v>
      </c>
      <c r="B1036">
        <v>15067</v>
      </c>
      <c r="C1036" t="s">
        <v>2488</v>
      </c>
      <c r="D1036" t="s">
        <v>121</v>
      </c>
      <c r="E1036" t="s">
        <v>584</v>
      </c>
      <c r="F1036" t="s">
        <v>120</v>
      </c>
      <c r="G1036" t="s">
        <v>952</v>
      </c>
      <c r="H1036" t="s">
        <v>3566</v>
      </c>
      <c r="I1036" t="s">
        <v>645</v>
      </c>
      <c r="J1036" t="s">
        <v>7</v>
      </c>
      <c r="K1036" s="63">
        <v>22075</v>
      </c>
      <c r="L1036" s="28">
        <f>DATEDIF(K1036,Zwift25!G$1,"Y")</f>
        <v>64</v>
      </c>
      <c r="M1036" s="67">
        <f>IF(J1036="m",VLOOKUP(L1036,'All Solo Adjustments'!A:D,4,FALSE),VLOOKUP(L1036,'All Solo Adjustments'!A:J,10,FALSE))</f>
        <v>4.31712962962963E-3</v>
      </c>
      <c r="N1036" s="63"/>
      <c r="O1036" s="63"/>
      <c r="P1036" s="63"/>
      <c r="Q1036" s="63"/>
      <c r="R1036" t="s">
        <v>180</v>
      </c>
      <c r="S1036" t="s">
        <v>179</v>
      </c>
      <c r="T1036" t="s">
        <v>292</v>
      </c>
      <c r="U1036" t="s">
        <v>7569</v>
      </c>
      <c r="V1036" t="s">
        <v>7568</v>
      </c>
      <c r="W1036" t="s">
        <v>1411</v>
      </c>
      <c r="X1036" t="s">
        <v>871</v>
      </c>
      <c r="Y1036" t="s">
        <v>7567</v>
      </c>
      <c r="Z1036" t="str">
        <f>"07973 271541"</f>
        <v>07973 271541</v>
      </c>
      <c r="AA1036" t="str">
        <f>""</f>
        <v/>
      </c>
      <c r="AB1036" t="s">
        <v>870</v>
      </c>
      <c r="AC1036" t="s">
        <v>7566</v>
      </c>
      <c r="AD1036" t="s">
        <v>114</v>
      </c>
      <c r="AE1036" s="63">
        <v>45265</v>
      </c>
      <c r="AF1036" t="s">
        <v>156</v>
      </c>
      <c r="AG1036" t="s">
        <v>112</v>
      </c>
      <c r="AH1036" t="s">
        <v>112</v>
      </c>
      <c r="AI1036" s="63">
        <v>44326</v>
      </c>
      <c r="AJ1036" s="63">
        <v>45657</v>
      </c>
      <c r="AK1036" t="s">
        <v>112</v>
      </c>
      <c r="AL1036" t="s">
        <v>111</v>
      </c>
      <c r="AM1036" t="s">
        <v>111</v>
      </c>
      <c r="AN1036">
        <v>25876</v>
      </c>
      <c r="AO1036" t="s">
        <v>110</v>
      </c>
      <c r="AP1036" t="s">
        <v>109</v>
      </c>
    </row>
    <row r="1037" spans="1:42" x14ac:dyDescent="0.25">
      <c r="A1037" s="28" t="str">
        <f>"15766"</f>
        <v>15766</v>
      </c>
      <c r="B1037">
        <v>15766</v>
      </c>
      <c r="C1037" t="s">
        <v>2488</v>
      </c>
      <c r="D1037" t="s">
        <v>121</v>
      </c>
      <c r="F1037" t="s">
        <v>120</v>
      </c>
      <c r="G1037" t="s">
        <v>709</v>
      </c>
      <c r="H1037" t="s">
        <v>734</v>
      </c>
      <c r="I1037" t="s">
        <v>947</v>
      </c>
      <c r="J1037" t="s">
        <v>7</v>
      </c>
      <c r="K1037" s="63">
        <v>30409</v>
      </c>
      <c r="L1037" s="28">
        <f>DATEDIF(K1037,Zwift25!G$1,"Y")</f>
        <v>41</v>
      </c>
      <c r="M1037" s="67">
        <f>IF(J1037="m",VLOOKUP(L1037,'All Solo Adjustments'!A:D,4,FALSE),VLOOKUP(L1037,'All Solo Adjustments'!A:J,10,FALSE))</f>
        <v>6.9444444444444444E-5</v>
      </c>
      <c r="N1037" s="63"/>
      <c r="O1037" s="63"/>
      <c r="P1037" s="63"/>
      <c r="Q1037" s="63"/>
      <c r="R1037" t="s">
        <v>527</v>
      </c>
      <c r="S1037" t="s">
        <v>526</v>
      </c>
      <c r="T1037" t="s">
        <v>292</v>
      </c>
      <c r="U1037" t="s">
        <v>7565</v>
      </c>
      <c r="V1037" t="s">
        <v>7564</v>
      </c>
      <c r="W1037" t="s">
        <v>7563</v>
      </c>
      <c r="X1037" t="s">
        <v>7562</v>
      </c>
      <c r="Y1037" t="s">
        <v>7561</v>
      </c>
      <c r="Z1037" t="str">
        <f>"07989572413"</f>
        <v>07989572413</v>
      </c>
      <c r="AA1037" t="str">
        <f>""</f>
        <v/>
      </c>
      <c r="AB1037" t="s">
        <v>1297</v>
      </c>
      <c r="AC1037" t="s">
        <v>7560</v>
      </c>
      <c r="AD1037" t="s">
        <v>114</v>
      </c>
      <c r="AE1037" s="63">
        <v>45365</v>
      </c>
      <c r="AF1037" t="s">
        <v>156</v>
      </c>
      <c r="AG1037" t="s">
        <v>112</v>
      </c>
      <c r="AH1037" t="s">
        <v>112</v>
      </c>
      <c r="AI1037" s="63">
        <v>45023</v>
      </c>
      <c r="AJ1037" s="63">
        <v>45657</v>
      </c>
      <c r="AK1037" t="s">
        <v>112</v>
      </c>
      <c r="AL1037" t="s">
        <v>111</v>
      </c>
      <c r="AM1037" t="s">
        <v>111</v>
      </c>
      <c r="AN1037">
        <v>30001</v>
      </c>
      <c r="AO1037" t="s">
        <v>110</v>
      </c>
      <c r="AP1037" t="s">
        <v>109</v>
      </c>
    </row>
    <row r="1038" spans="1:42" x14ac:dyDescent="0.25">
      <c r="A1038" s="28" t="str">
        <f>"13942"</f>
        <v>13942</v>
      </c>
      <c r="B1038">
        <v>13942</v>
      </c>
      <c r="C1038" t="s">
        <v>2488</v>
      </c>
      <c r="D1038" t="s">
        <v>121</v>
      </c>
      <c r="F1038" t="s">
        <v>120</v>
      </c>
      <c r="G1038" t="s">
        <v>744</v>
      </c>
      <c r="I1038" t="s">
        <v>2165</v>
      </c>
      <c r="J1038" t="s">
        <v>7</v>
      </c>
      <c r="K1038" s="63">
        <v>27527</v>
      </c>
      <c r="L1038" s="28">
        <f>DATEDIF(K1038,Zwift25!G$1,"Y")</f>
        <v>49</v>
      </c>
      <c r="M1038" s="67">
        <f>IF(J1038="m",VLOOKUP(L1038,'All Solo Adjustments'!A:D,4,FALSE),VLOOKUP(L1038,'All Solo Adjustments'!A:J,10,FALSE))</f>
        <v>9.837962962962962E-4</v>
      </c>
      <c r="N1038" s="63"/>
      <c r="O1038" s="63"/>
      <c r="P1038" s="63"/>
      <c r="Q1038" s="63"/>
      <c r="R1038" t="s">
        <v>159</v>
      </c>
      <c r="S1038" t="s">
        <v>162</v>
      </c>
      <c r="T1038" t="s">
        <v>292</v>
      </c>
      <c r="U1038" t="s">
        <v>7559</v>
      </c>
      <c r="V1038" t="s">
        <v>787</v>
      </c>
      <c r="W1038" t="s">
        <v>159</v>
      </c>
      <c r="Y1038" t="s">
        <v>7558</v>
      </c>
      <c r="Z1038" t="str">
        <f>"+441303812084"</f>
        <v>+441303812084</v>
      </c>
      <c r="AA1038" t="str">
        <f>""</f>
        <v/>
      </c>
      <c r="AB1038" t="s">
        <v>7557</v>
      </c>
      <c r="AC1038" t="s">
        <v>7556</v>
      </c>
      <c r="AD1038" t="s">
        <v>114</v>
      </c>
      <c r="AE1038" s="63">
        <v>45346</v>
      </c>
      <c r="AF1038" t="s">
        <v>113</v>
      </c>
      <c r="AG1038" t="s">
        <v>112</v>
      </c>
      <c r="AH1038" t="s">
        <v>112</v>
      </c>
      <c r="AI1038" s="63">
        <v>43460</v>
      </c>
      <c r="AJ1038" s="63">
        <v>45657</v>
      </c>
      <c r="AK1038" t="s">
        <v>112</v>
      </c>
      <c r="AL1038" t="s">
        <v>111</v>
      </c>
      <c r="AM1038" t="s">
        <v>111</v>
      </c>
      <c r="AN1038">
        <v>2412</v>
      </c>
      <c r="AO1038" t="s">
        <v>110</v>
      </c>
      <c r="AP1038" t="s">
        <v>109</v>
      </c>
    </row>
    <row r="1039" spans="1:42" x14ac:dyDescent="0.25">
      <c r="A1039" s="28" t="str">
        <f>"14944"</f>
        <v>14944</v>
      </c>
      <c r="B1039">
        <v>14944</v>
      </c>
      <c r="C1039" t="s">
        <v>2488</v>
      </c>
      <c r="D1039" t="s">
        <v>121</v>
      </c>
      <c r="F1039" t="s">
        <v>120</v>
      </c>
      <c r="G1039" t="s">
        <v>392</v>
      </c>
      <c r="H1039" t="s">
        <v>506</v>
      </c>
      <c r="I1039" t="s">
        <v>2165</v>
      </c>
      <c r="J1039" t="s">
        <v>7</v>
      </c>
      <c r="K1039" s="63">
        <v>29672</v>
      </c>
      <c r="L1039" s="28">
        <f>DATEDIF(K1039,Zwift25!G$1,"Y")</f>
        <v>43</v>
      </c>
      <c r="M1039" s="67">
        <f>IF(J1039="m",VLOOKUP(L1039,'All Solo Adjustments'!A:D,4,FALSE),VLOOKUP(L1039,'All Solo Adjustments'!A:J,10,FALSE))</f>
        <v>2.4305555555555555E-4</v>
      </c>
      <c r="N1039" s="63"/>
      <c r="O1039" s="63"/>
      <c r="P1039" s="63"/>
      <c r="Q1039" s="63"/>
      <c r="R1039" t="s">
        <v>383</v>
      </c>
      <c r="S1039" t="s">
        <v>382</v>
      </c>
      <c r="T1039" t="s">
        <v>292</v>
      </c>
      <c r="U1039" t="s">
        <v>7555</v>
      </c>
      <c r="V1039" t="s">
        <v>7554</v>
      </c>
      <c r="W1039" t="s">
        <v>7553</v>
      </c>
      <c r="Y1039" t="s">
        <v>7552</v>
      </c>
      <c r="Z1039" t="str">
        <f>"07496838212"</f>
        <v>07496838212</v>
      </c>
      <c r="AA1039" t="str">
        <f>"01633619726"</f>
        <v>01633619726</v>
      </c>
      <c r="AB1039" t="s">
        <v>3671</v>
      </c>
      <c r="AC1039" t="s">
        <v>7551</v>
      </c>
      <c r="AD1039" t="s">
        <v>114</v>
      </c>
      <c r="AE1039" s="63">
        <v>45293</v>
      </c>
      <c r="AF1039" t="s">
        <v>156</v>
      </c>
      <c r="AG1039" t="s">
        <v>112</v>
      </c>
      <c r="AH1039" t="s">
        <v>112</v>
      </c>
      <c r="AI1039" s="63">
        <v>44282</v>
      </c>
      <c r="AJ1039" s="63">
        <v>45657</v>
      </c>
      <c r="AK1039" t="s">
        <v>112</v>
      </c>
      <c r="AL1039" t="s">
        <v>111</v>
      </c>
      <c r="AM1039" t="s">
        <v>111</v>
      </c>
      <c r="AN1039">
        <v>31612</v>
      </c>
      <c r="AO1039" t="s">
        <v>110</v>
      </c>
      <c r="AP1039" t="s">
        <v>109</v>
      </c>
    </row>
    <row r="1040" spans="1:42" x14ac:dyDescent="0.25">
      <c r="A1040" s="28" t="str">
        <f>"15033"</f>
        <v>15033</v>
      </c>
      <c r="B1040">
        <v>15033</v>
      </c>
      <c r="C1040" t="s">
        <v>2488</v>
      </c>
      <c r="D1040" t="s">
        <v>121</v>
      </c>
      <c r="F1040" t="s">
        <v>120</v>
      </c>
      <c r="G1040" t="s">
        <v>649</v>
      </c>
      <c r="I1040" t="s">
        <v>7550</v>
      </c>
      <c r="J1040" t="s">
        <v>7</v>
      </c>
      <c r="K1040" s="63">
        <v>15403</v>
      </c>
      <c r="L1040" s="28">
        <f>DATEDIF(K1040,Zwift25!G$1,"Y")</f>
        <v>82</v>
      </c>
      <c r="M1040" s="67">
        <f>IF(J1040="m",VLOOKUP(L1040,'All Solo Adjustments'!A:D,4,FALSE),VLOOKUP(L1040,'All Solo Adjustments'!A:J,10,FALSE))</f>
        <v>1.2210648148148148E-2</v>
      </c>
      <c r="N1040" s="63"/>
      <c r="O1040" s="63"/>
      <c r="P1040" s="63"/>
      <c r="Q1040" s="63"/>
      <c r="R1040" t="s">
        <v>154</v>
      </c>
      <c r="S1040" t="s">
        <v>153</v>
      </c>
      <c r="T1040" t="s">
        <v>292</v>
      </c>
      <c r="U1040" t="s">
        <v>7549</v>
      </c>
      <c r="V1040" t="s">
        <v>7548</v>
      </c>
      <c r="W1040" t="s">
        <v>2209</v>
      </c>
      <c r="Y1040" t="s">
        <v>7547</v>
      </c>
      <c r="Z1040" t="str">
        <f>"0117 9652829"</f>
        <v>0117 9652829</v>
      </c>
      <c r="AA1040" t="str">
        <f>""</f>
        <v/>
      </c>
      <c r="AB1040" t="s">
        <v>1236</v>
      </c>
      <c r="AD1040" t="s">
        <v>145</v>
      </c>
      <c r="AE1040" s="63">
        <v>45300</v>
      </c>
      <c r="AF1040" t="s">
        <v>113</v>
      </c>
      <c r="AG1040" t="s">
        <v>112</v>
      </c>
      <c r="AH1040" t="s">
        <v>112</v>
      </c>
      <c r="AI1040" s="63">
        <v>44315</v>
      </c>
      <c r="AJ1040" s="63">
        <v>45657</v>
      </c>
      <c r="AK1040" t="s">
        <v>112</v>
      </c>
      <c r="AL1040" t="s">
        <v>112</v>
      </c>
      <c r="AM1040" t="s">
        <v>112</v>
      </c>
      <c r="AN1040" t="s">
        <v>105</v>
      </c>
      <c r="AO1040" t="s">
        <v>110</v>
      </c>
      <c r="AP1040" t="s">
        <v>109</v>
      </c>
    </row>
    <row r="1041" spans="1:42" x14ac:dyDescent="0.25">
      <c r="A1041" s="28" t="str">
        <f>"14117"</f>
        <v>14117</v>
      </c>
      <c r="B1041">
        <v>14117</v>
      </c>
      <c r="C1041" t="s">
        <v>2488</v>
      </c>
      <c r="D1041" t="s">
        <v>121</v>
      </c>
      <c r="F1041" t="s">
        <v>120</v>
      </c>
      <c r="G1041" t="s">
        <v>513</v>
      </c>
      <c r="H1041" t="s">
        <v>359</v>
      </c>
      <c r="I1041" t="s">
        <v>7546</v>
      </c>
      <c r="J1041" t="s">
        <v>7</v>
      </c>
      <c r="K1041" s="63">
        <v>21570</v>
      </c>
      <c r="L1041" s="28">
        <f>DATEDIF(K1041,Zwift25!G$1,"Y")</f>
        <v>65</v>
      </c>
      <c r="M1041" s="67">
        <f>IF(J1041="m",VLOOKUP(L1041,'All Solo Adjustments'!A:D,4,FALSE),VLOOKUP(L1041,'All Solo Adjustments'!A:J,10,FALSE))</f>
        <v>4.6180555555555558E-3</v>
      </c>
      <c r="N1041" s="63"/>
      <c r="O1041" s="63"/>
      <c r="P1041" s="63"/>
      <c r="Q1041" s="63"/>
      <c r="R1041" t="s">
        <v>184</v>
      </c>
      <c r="S1041" t="s">
        <v>183</v>
      </c>
      <c r="T1041" t="s">
        <v>292</v>
      </c>
      <c r="U1041" t="s">
        <v>7545</v>
      </c>
      <c r="V1041" t="s">
        <v>7544</v>
      </c>
      <c r="W1041" t="s">
        <v>1116</v>
      </c>
      <c r="X1041" t="s">
        <v>337</v>
      </c>
      <c r="Y1041" t="s">
        <v>7543</v>
      </c>
      <c r="Z1041" t="str">
        <f>"07774692356"</f>
        <v>07774692356</v>
      </c>
      <c r="AA1041" t="str">
        <f>""</f>
        <v/>
      </c>
      <c r="AB1041" t="s">
        <v>1505</v>
      </c>
      <c r="AC1041" t="s">
        <v>7542</v>
      </c>
      <c r="AD1041" t="s">
        <v>114</v>
      </c>
      <c r="AE1041" s="63">
        <v>45361</v>
      </c>
      <c r="AF1041" t="s">
        <v>113</v>
      </c>
      <c r="AG1041" t="s">
        <v>112</v>
      </c>
      <c r="AH1041" t="s">
        <v>112</v>
      </c>
      <c r="AI1041" s="63">
        <v>43544</v>
      </c>
      <c r="AJ1041" s="63">
        <v>45657</v>
      </c>
      <c r="AK1041" t="s">
        <v>112</v>
      </c>
      <c r="AL1041" t="s">
        <v>111</v>
      </c>
      <c r="AM1041" t="s">
        <v>111</v>
      </c>
      <c r="AN1041">
        <v>16175</v>
      </c>
      <c r="AO1041" t="s">
        <v>110</v>
      </c>
      <c r="AP1041" t="s">
        <v>109</v>
      </c>
    </row>
    <row r="1042" spans="1:42" x14ac:dyDescent="0.25">
      <c r="A1042" s="28" t="str">
        <f>"1334"</f>
        <v>1334</v>
      </c>
      <c r="B1042">
        <v>1334</v>
      </c>
      <c r="C1042" t="s">
        <v>2488</v>
      </c>
      <c r="D1042" t="s">
        <v>121</v>
      </c>
      <c r="F1042" t="s">
        <v>120</v>
      </c>
      <c r="G1042" t="s">
        <v>251</v>
      </c>
      <c r="I1042" t="s">
        <v>642</v>
      </c>
      <c r="J1042" t="s">
        <v>7</v>
      </c>
      <c r="K1042" s="63">
        <v>13236</v>
      </c>
      <c r="L1042" s="28">
        <f>DATEDIF(K1042,Zwift25!G$1,"Y")</f>
        <v>88</v>
      </c>
      <c r="M1042" s="67">
        <f>IF(J1042="m",VLOOKUP(L1042,'All Solo Adjustments'!A:D,4,FALSE),VLOOKUP(L1042,'All Solo Adjustments'!A:J,10,FALSE))</f>
        <v>1.6597222222222222E-2</v>
      </c>
      <c r="N1042" s="63"/>
      <c r="O1042" s="63"/>
      <c r="P1042" s="63"/>
      <c r="Q1042" s="63"/>
      <c r="R1042" t="s">
        <v>328</v>
      </c>
      <c r="S1042" t="s">
        <v>2290</v>
      </c>
      <c r="T1042" t="s">
        <v>292</v>
      </c>
      <c r="U1042" t="s">
        <v>7541</v>
      </c>
      <c r="V1042" t="s">
        <v>7540</v>
      </c>
      <c r="W1042" t="s">
        <v>1220</v>
      </c>
      <c r="Y1042" t="s">
        <v>7539</v>
      </c>
      <c r="Z1042" t="str">
        <f>"01942 494967"</f>
        <v>01942 494967</v>
      </c>
      <c r="AA1042" t="str">
        <f>""</f>
        <v/>
      </c>
      <c r="AB1042" t="s">
        <v>2336</v>
      </c>
      <c r="AD1042" t="s">
        <v>151</v>
      </c>
      <c r="AF1042" t="s">
        <v>113</v>
      </c>
      <c r="AG1042" t="s">
        <v>112</v>
      </c>
      <c r="AH1042" t="s">
        <v>112</v>
      </c>
      <c r="AK1042" t="s">
        <v>111</v>
      </c>
      <c r="AL1042" t="s">
        <v>111</v>
      </c>
      <c r="AM1042" t="s">
        <v>111</v>
      </c>
      <c r="AN1042" t="s">
        <v>105</v>
      </c>
      <c r="AO1042" t="s">
        <v>110</v>
      </c>
      <c r="AP1042" t="s">
        <v>109</v>
      </c>
    </row>
    <row r="1043" spans="1:42" x14ac:dyDescent="0.25">
      <c r="A1043" s="28" t="str">
        <f>"13985"</f>
        <v>13985</v>
      </c>
      <c r="B1043">
        <v>13985</v>
      </c>
      <c r="C1043" t="s">
        <v>2488</v>
      </c>
      <c r="D1043" t="s">
        <v>121</v>
      </c>
      <c r="F1043" t="s">
        <v>120</v>
      </c>
      <c r="G1043" t="s">
        <v>284</v>
      </c>
      <c r="I1043" t="s">
        <v>1771</v>
      </c>
      <c r="J1043" t="s">
        <v>7</v>
      </c>
      <c r="K1043" s="63">
        <v>18378</v>
      </c>
      <c r="L1043" s="28">
        <f>DATEDIF(K1043,Zwift25!G$1,"Y")</f>
        <v>74</v>
      </c>
      <c r="M1043" s="67">
        <f>IF(J1043="m",VLOOKUP(L1043,'All Solo Adjustments'!A:D,4,FALSE),VLOOKUP(L1043,'All Solo Adjustments'!A:J,10,FALSE))</f>
        <v>7.9861111111111122E-3</v>
      </c>
      <c r="N1043" s="63"/>
      <c r="O1043" s="63"/>
      <c r="P1043" s="63"/>
      <c r="Q1043" s="63"/>
      <c r="R1043" t="s">
        <v>328</v>
      </c>
      <c r="S1043" t="s">
        <v>327</v>
      </c>
      <c r="T1043" t="s">
        <v>292</v>
      </c>
      <c r="U1043" t="s">
        <v>7538</v>
      </c>
      <c r="V1043" t="s">
        <v>7537</v>
      </c>
      <c r="W1043" t="s">
        <v>7536</v>
      </c>
      <c r="X1043" t="s">
        <v>1247</v>
      </c>
      <c r="Y1043" t="s">
        <v>7535</v>
      </c>
      <c r="Z1043" t="str">
        <f>"07841 378498"</f>
        <v>07841 378498</v>
      </c>
      <c r="AA1043" t="str">
        <f>""</f>
        <v/>
      </c>
      <c r="AB1043" t="s">
        <v>2050</v>
      </c>
      <c r="AC1043" t="s">
        <v>7534</v>
      </c>
      <c r="AD1043" t="s">
        <v>114</v>
      </c>
      <c r="AE1043" s="63">
        <v>45415</v>
      </c>
      <c r="AF1043" t="s">
        <v>113</v>
      </c>
      <c r="AG1043" t="s">
        <v>112</v>
      </c>
      <c r="AH1043" t="s">
        <v>112</v>
      </c>
      <c r="AI1043" s="63">
        <v>43473</v>
      </c>
      <c r="AJ1043" s="63">
        <v>45657</v>
      </c>
      <c r="AK1043" t="s">
        <v>112</v>
      </c>
      <c r="AL1043" t="s">
        <v>111</v>
      </c>
      <c r="AM1043" t="s">
        <v>111</v>
      </c>
      <c r="AN1043">
        <v>7794</v>
      </c>
      <c r="AO1043" t="s">
        <v>110</v>
      </c>
      <c r="AP1043" t="s">
        <v>109</v>
      </c>
    </row>
    <row r="1044" spans="1:42" x14ac:dyDescent="0.25">
      <c r="A1044" s="28" t="str">
        <f>"15589"</f>
        <v>15589</v>
      </c>
      <c r="B1044">
        <v>15589</v>
      </c>
      <c r="C1044" t="s">
        <v>2488</v>
      </c>
      <c r="D1044" t="s">
        <v>121</v>
      </c>
      <c r="F1044" t="s">
        <v>149</v>
      </c>
      <c r="G1044" t="s">
        <v>606</v>
      </c>
      <c r="I1044" t="s">
        <v>7533</v>
      </c>
      <c r="J1044" t="s">
        <v>126</v>
      </c>
      <c r="K1044" s="63">
        <v>29710</v>
      </c>
      <c r="L1044" s="28">
        <f>DATEDIF(K1044,Zwift25!G$1,"Y")</f>
        <v>43</v>
      </c>
      <c r="M1044" s="67">
        <f>IF(J1044="m",VLOOKUP(L1044,'All Solo Adjustments'!A:D,4,FALSE),VLOOKUP(L1044,'All Solo Adjustments'!A:J,10,FALSE))</f>
        <v>4.5254629629629629E-3</v>
      </c>
      <c r="N1044" s="63"/>
      <c r="O1044" s="63"/>
      <c r="P1044" s="63"/>
      <c r="Q1044" s="63"/>
      <c r="R1044" t="s">
        <v>180</v>
      </c>
      <c r="S1044" t="s">
        <v>179</v>
      </c>
      <c r="T1044" t="s">
        <v>292</v>
      </c>
      <c r="U1044" t="s">
        <v>7532</v>
      </c>
      <c r="V1044" t="s">
        <v>7531</v>
      </c>
      <c r="Y1044" t="s">
        <v>7530</v>
      </c>
      <c r="Z1044" t="str">
        <f>"07584161465"</f>
        <v>07584161465</v>
      </c>
      <c r="AA1044" t="str">
        <f>""</f>
        <v/>
      </c>
      <c r="AB1044" t="s">
        <v>7529</v>
      </c>
      <c r="AC1044" t="s">
        <v>7528</v>
      </c>
      <c r="AD1044" t="s">
        <v>145</v>
      </c>
      <c r="AE1044" s="63">
        <v>45343</v>
      </c>
      <c r="AF1044" t="s">
        <v>156</v>
      </c>
      <c r="AG1044" t="s">
        <v>112</v>
      </c>
      <c r="AH1044" t="s">
        <v>112</v>
      </c>
      <c r="AI1044" s="63">
        <v>45342</v>
      </c>
      <c r="AJ1044" s="63">
        <v>45657</v>
      </c>
      <c r="AK1044" t="s">
        <v>112</v>
      </c>
      <c r="AL1044" t="s">
        <v>111</v>
      </c>
      <c r="AM1044" t="s">
        <v>111</v>
      </c>
      <c r="AN1044" t="s">
        <v>105</v>
      </c>
      <c r="AO1044" t="s">
        <v>122</v>
      </c>
      <c r="AP1044" t="s">
        <v>122</v>
      </c>
    </row>
    <row r="1045" spans="1:42" x14ac:dyDescent="0.25">
      <c r="A1045" s="28" t="str">
        <f>"3050"</f>
        <v>3050</v>
      </c>
      <c r="B1045">
        <v>3050</v>
      </c>
      <c r="C1045" t="s">
        <v>2488</v>
      </c>
      <c r="D1045" t="s">
        <v>121</v>
      </c>
      <c r="F1045" t="s">
        <v>120</v>
      </c>
      <c r="G1045" t="s">
        <v>1591</v>
      </c>
      <c r="H1045" t="s">
        <v>709</v>
      </c>
      <c r="I1045" t="s">
        <v>7524</v>
      </c>
      <c r="J1045" t="s">
        <v>7</v>
      </c>
      <c r="K1045" s="63">
        <v>15066</v>
      </c>
      <c r="L1045" s="28">
        <f>DATEDIF(K1045,Zwift25!G$1,"Y")</f>
        <v>83</v>
      </c>
      <c r="M1045" s="67">
        <f>IF(J1045="m",VLOOKUP(L1045,'All Solo Adjustments'!A:D,4,FALSE),VLOOKUP(L1045,'All Solo Adjustments'!A:J,10,FALSE))</f>
        <v>1.2858796296296297E-2</v>
      </c>
      <c r="N1045" s="63"/>
      <c r="O1045" s="63"/>
      <c r="P1045" s="63"/>
      <c r="Q1045" s="63"/>
      <c r="R1045" t="s">
        <v>283</v>
      </c>
      <c r="S1045" t="s">
        <v>530</v>
      </c>
      <c r="T1045" t="s">
        <v>292</v>
      </c>
      <c r="U1045" t="s">
        <v>7527</v>
      </c>
      <c r="V1045" t="s">
        <v>1721</v>
      </c>
      <c r="W1045" t="s">
        <v>871</v>
      </c>
      <c r="Y1045" t="s">
        <v>7526</v>
      </c>
      <c r="Z1045" t="str">
        <f>"01327 352547"</f>
        <v>01327 352547</v>
      </c>
      <c r="AA1045" t="str">
        <f>""</f>
        <v/>
      </c>
      <c r="AB1045" t="s">
        <v>1534</v>
      </c>
      <c r="AC1045" t="s">
        <v>7525</v>
      </c>
      <c r="AD1045" t="s">
        <v>114</v>
      </c>
      <c r="AE1045" s="63">
        <v>45279</v>
      </c>
      <c r="AF1045" t="s">
        <v>113</v>
      </c>
      <c r="AG1045" t="s">
        <v>112</v>
      </c>
      <c r="AH1045" t="s">
        <v>112</v>
      </c>
      <c r="AI1045" s="63">
        <v>39273</v>
      </c>
      <c r="AJ1045" s="63">
        <v>45657</v>
      </c>
      <c r="AK1045" t="s">
        <v>111</v>
      </c>
      <c r="AL1045" t="s">
        <v>111</v>
      </c>
      <c r="AM1045" t="s">
        <v>111</v>
      </c>
      <c r="AN1045">
        <v>19649</v>
      </c>
      <c r="AO1045" t="s">
        <v>110</v>
      </c>
      <c r="AP1045" t="s">
        <v>109</v>
      </c>
    </row>
    <row r="1046" spans="1:42" x14ac:dyDescent="0.25">
      <c r="A1046" s="28" t="str">
        <f>"5540"</f>
        <v>5540</v>
      </c>
      <c r="B1046">
        <v>5540</v>
      </c>
      <c r="C1046" t="s">
        <v>2488</v>
      </c>
      <c r="D1046" t="s">
        <v>121</v>
      </c>
      <c r="F1046" t="s">
        <v>120</v>
      </c>
      <c r="G1046" t="s">
        <v>251</v>
      </c>
      <c r="I1046" t="s">
        <v>7524</v>
      </c>
      <c r="J1046" t="s">
        <v>7</v>
      </c>
      <c r="K1046" s="63">
        <v>23811</v>
      </c>
      <c r="L1046" s="28">
        <f>DATEDIF(K1046,Zwift25!G$1,"Y")</f>
        <v>59</v>
      </c>
      <c r="M1046" s="67">
        <f>IF(J1046="m",VLOOKUP(L1046,'All Solo Adjustments'!A:D,4,FALSE),VLOOKUP(L1046,'All Solo Adjustments'!A:J,10,FALSE))</f>
        <v>2.9629629629629632E-3</v>
      </c>
      <c r="N1046" s="63"/>
      <c r="O1046" s="63"/>
      <c r="P1046" s="63"/>
      <c r="Q1046" s="63"/>
      <c r="R1046" t="s">
        <v>296</v>
      </c>
      <c r="S1046" t="s">
        <v>295</v>
      </c>
      <c r="T1046" t="s">
        <v>292</v>
      </c>
      <c r="U1046" t="s">
        <v>7523</v>
      </c>
      <c r="W1046" t="s">
        <v>7522</v>
      </c>
      <c r="X1046" t="s">
        <v>599</v>
      </c>
      <c r="Y1046" t="s">
        <v>7521</v>
      </c>
      <c r="Z1046" t="str">
        <f>"07775817883"</f>
        <v>07775817883</v>
      </c>
      <c r="AA1046" t="str">
        <f>"07775817883"</f>
        <v>07775817883</v>
      </c>
      <c r="AB1046" t="s">
        <v>1325</v>
      </c>
      <c r="AC1046" t="s">
        <v>7520</v>
      </c>
      <c r="AD1046" t="s">
        <v>114</v>
      </c>
      <c r="AE1046" s="63">
        <v>45293</v>
      </c>
      <c r="AF1046" t="s">
        <v>113</v>
      </c>
      <c r="AG1046" t="s">
        <v>112</v>
      </c>
      <c r="AH1046" t="s">
        <v>112</v>
      </c>
      <c r="AI1046" s="63">
        <v>42174</v>
      </c>
      <c r="AJ1046" s="63">
        <v>45657</v>
      </c>
      <c r="AK1046" t="s">
        <v>111</v>
      </c>
      <c r="AL1046" t="s">
        <v>111</v>
      </c>
      <c r="AM1046" t="s">
        <v>111</v>
      </c>
      <c r="AN1046">
        <v>19769</v>
      </c>
      <c r="AO1046" t="s">
        <v>110</v>
      </c>
      <c r="AP1046" t="s">
        <v>109</v>
      </c>
    </row>
    <row r="1047" spans="1:42" x14ac:dyDescent="0.25">
      <c r="A1047" s="28" t="str">
        <f>"14772"</f>
        <v>14772</v>
      </c>
      <c r="B1047">
        <v>14772</v>
      </c>
      <c r="C1047" t="s">
        <v>2488</v>
      </c>
      <c r="D1047" t="s">
        <v>121</v>
      </c>
      <c r="F1047" t="s">
        <v>120</v>
      </c>
      <c r="G1047" t="s">
        <v>1330</v>
      </c>
      <c r="H1047" t="s">
        <v>7519</v>
      </c>
      <c r="I1047" t="s">
        <v>7518</v>
      </c>
      <c r="J1047" t="s">
        <v>7</v>
      </c>
      <c r="K1047" s="63">
        <v>21719</v>
      </c>
      <c r="L1047" s="28">
        <f>DATEDIF(K1047,Zwift25!G$1,"Y")</f>
        <v>65</v>
      </c>
      <c r="M1047" s="67">
        <f>IF(J1047="m",VLOOKUP(L1047,'All Solo Adjustments'!A:D,4,FALSE),VLOOKUP(L1047,'All Solo Adjustments'!A:J,10,FALSE))</f>
        <v>4.6180555555555558E-3</v>
      </c>
      <c r="N1047" s="63"/>
      <c r="O1047" s="63"/>
      <c r="P1047" s="63"/>
      <c r="Q1047" s="63"/>
      <c r="R1047" t="s">
        <v>143</v>
      </c>
      <c r="S1047" t="s">
        <v>142</v>
      </c>
      <c r="T1047" t="s">
        <v>292</v>
      </c>
      <c r="U1047" t="s">
        <v>7517</v>
      </c>
      <c r="V1047" t="s">
        <v>7516</v>
      </c>
      <c r="W1047" t="s">
        <v>6011</v>
      </c>
      <c r="X1047" t="s">
        <v>2223</v>
      </c>
      <c r="Y1047" t="s">
        <v>7515</v>
      </c>
      <c r="Z1047" t="str">
        <f>"07785297621"</f>
        <v>07785297621</v>
      </c>
      <c r="AA1047" t="str">
        <f>""</f>
        <v/>
      </c>
      <c r="AB1047" t="s">
        <v>7133</v>
      </c>
      <c r="AC1047" t="s">
        <v>7514</v>
      </c>
      <c r="AD1047" t="s">
        <v>114</v>
      </c>
      <c r="AE1047" s="63">
        <v>45278</v>
      </c>
      <c r="AF1047" t="s">
        <v>156</v>
      </c>
      <c r="AG1047" t="s">
        <v>112</v>
      </c>
      <c r="AH1047" t="s">
        <v>112</v>
      </c>
      <c r="AI1047" s="63">
        <v>44123</v>
      </c>
      <c r="AJ1047" s="63">
        <v>45657</v>
      </c>
      <c r="AK1047" t="s">
        <v>112</v>
      </c>
      <c r="AL1047" t="s">
        <v>111</v>
      </c>
      <c r="AM1047" t="s">
        <v>111</v>
      </c>
      <c r="AN1047">
        <v>1259</v>
      </c>
      <c r="AO1047" t="s">
        <v>110</v>
      </c>
      <c r="AP1047" t="s">
        <v>109</v>
      </c>
    </row>
    <row r="1048" spans="1:42" x14ac:dyDescent="0.25">
      <c r="A1048" s="28" t="str">
        <f>"15240"</f>
        <v>15240</v>
      </c>
      <c r="B1048">
        <v>15240</v>
      </c>
      <c r="C1048" t="s">
        <v>2488</v>
      </c>
      <c r="D1048" t="s">
        <v>121</v>
      </c>
      <c r="F1048" t="s">
        <v>120</v>
      </c>
      <c r="G1048" t="s">
        <v>164</v>
      </c>
      <c r="H1048" t="s">
        <v>410</v>
      </c>
      <c r="I1048" t="s">
        <v>1765</v>
      </c>
      <c r="J1048" t="s">
        <v>7</v>
      </c>
      <c r="K1048" s="63">
        <v>24236</v>
      </c>
      <c r="L1048" s="28">
        <f>DATEDIF(K1048,Zwift25!G$1,"Y")</f>
        <v>58</v>
      </c>
      <c r="M1048" s="67">
        <f>IF(J1048="m",VLOOKUP(L1048,'All Solo Adjustments'!A:D,4,FALSE),VLOOKUP(L1048,'All Solo Adjustments'!A:J,10,FALSE))</f>
        <v>2.7199074074074074E-3</v>
      </c>
      <c r="N1048" s="63"/>
      <c r="O1048" s="63"/>
      <c r="P1048" s="63"/>
      <c r="Q1048" s="63"/>
      <c r="R1048" t="s">
        <v>184</v>
      </c>
      <c r="S1048" t="s">
        <v>183</v>
      </c>
      <c r="T1048" t="s">
        <v>292</v>
      </c>
      <c r="U1048" t="s">
        <v>7513</v>
      </c>
      <c r="X1048" t="s">
        <v>271</v>
      </c>
      <c r="Y1048" t="s">
        <v>7512</v>
      </c>
      <c r="Z1048" t="str">
        <f>"07515254899"</f>
        <v>07515254899</v>
      </c>
      <c r="AA1048" t="str">
        <f>"07808794832"</f>
        <v>07808794832</v>
      </c>
      <c r="AB1048" t="s">
        <v>203</v>
      </c>
      <c r="AC1048" t="s">
        <v>7511</v>
      </c>
      <c r="AD1048" t="s">
        <v>114</v>
      </c>
      <c r="AE1048" s="63">
        <v>45262</v>
      </c>
      <c r="AF1048" t="s">
        <v>156</v>
      </c>
      <c r="AG1048" t="s">
        <v>112</v>
      </c>
      <c r="AH1048" t="s">
        <v>112</v>
      </c>
      <c r="AI1048" s="63">
        <v>44455</v>
      </c>
      <c r="AJ1048" s="63">
        <v>45657</v>
      </c>
      <c r="AK1048" t="s">
        <v>112</v>
      </c>
      <c r="AL1048" t="s">
        <v>111</v>
      </c>
      <c r="AM1048" t="s">
        <v>111</v>
      </c>
      <c r="AN1048">
        <v>40864</v>
      </c>
      <c r="AO1048" t="s">
        <v>110</v>
      </c>
      <c r="AP1048" t="s">
        <v>109</v>
      </c>
    </row>
    <row r="1049" spans="1:42" x14ac:dyDescent="0.25">
      <c r="A1049" s="28" t="str">
        <f>"15648"</f>
        <v>15648</v>
      </c>
      <c r="B1049">
        <v>15648</v>
      </c>
      <c r="C1049" t="s">
        <v>2488</v>
      </c>
      <c r="D1049" t="s">
        <v>121</v>
      </c>
      <c r="F1049" t="s">
        <v>120</v>
      </c>
      <c r="G1049" t="s">
        <v>300</v>
      </c>
      <c r="I1049" t="s">
        <v>1765</v>
      </c>
      <c r="J1049" t="s">
        <v>7</v>
      </c>
      <c r="K1049" s="63">
        <v>25078</v>
      </c>
      <c r="L1049" s="28">
        <f>DATEDIF(K1049,Zwift25!G$1,"Y")</f>
        <v>56</v>
      </c>
      <c r="M1049" s="67">
        <f>IF(J1049="m",VLOOKUP(L1049,'All Solo Adjustments'!A:D,4,FALSE),VLOOKUP(L1049,'All Solo Adjustments'!A:J,10,FALSE))</f>
        <v>2.2685185185185182E-3</v>
      </c>
      <c r="N1049" s="63"/>
      <c r="O1049" s="63"/>
      <c r="P1049" s="63"/>
      <c r="Q1049" s="63"/>
      <c r="R1049" t="s">
        <v>137</v>
      </c>
      <c r="S1049" t="s">
        <v>136</v>
      </c>
      <c r="T1049" t="s">
        <v>292</v>
      </c>
      <c r="U1049" t="s">
        <v>7510</v>
      </c>
      <c r="V1049" t="s">
        <v>7509</v>
      </c>
      <c r="W1049" t="s">
        <v>2369</v>
      </c>
      <c r="X1049" t="s">
        <v>564</v>
      </c>
      <c r="Y1049" t="s">
        <v>7508</v>
      </c>
      <c r="Z1049" t="str">
        <f>"07814939556"</f>
        <v>07814939556</v>
      </c>
      <c r="AA1049" t="str">
        <f>""</f>
        <v/>
      </c>
      <c r="AB1049" t="s">
        <v>133</v>
      </c>
      <c r="AC1049" t="s">
        <v>7507</v>
      </c>
      <c r="AD1049" t="s">
        <v>114</v>
      </c>
      <c r="AE1049" s="63">
        <v>45348</v>
      </c>
      <c r="AF1049" t="s">
        <v>156</v>
      </c>
      <c r="AG1049" t="s">
        <v>112</v>
      </c>
      <c r="AH1049" t="s">
        <v>112</v>
      </c>
      <c r="AI1049" s="63">
        <v>44933</v>
      </c>
      <c r="AJ1049" s="63">
        <v>45657</v>
      </c>
      <c r="AK1049" t="s">
        <v>112</v>
      </c>
      <c r="AL1049" t="s">
        <v>112</v>
      </c>
      <c r="AM1049" t="s">
        <v>111</v>
      </c>
      <c r="AN1049">
        <v>39231</v>
      </c>
      <c r="AO1049" t="s">
        <v>110</v>
      </c>
      <c r="AP1049" t="s">
        <v>109</v>
      </c>
    </row>
    <row r="1050" spans="1:42" x14ac:dyDescent="0.25">
      <c r="A1050" s="28" t="str">
        <f>"4105"</f>
        <v>4105</v>
      </c>
      <c r="B1050">
        <v>4105</v>
      </c>
      <c r="C1050" t="s">
        <v>2488</v>
      </c>
      <c r="D1050" t="s">
        <v>121</v>
      </c>
      <c r="F1050" t="s">
        <v>149</v>
      </c>
      <c r="G1050" t="s">
        <v>7506</v>
      </c>
      <c r="H1050" t="s">
        <v>7505</v>
      </c>
      <c r="I1050" t="s">
        <v>1764</v>
      </c>
      <c r="J1050" t="s">
        <v>126</v>
      </c>
      <c r="K1050" s="63">
        <v>18429</v>
      </c>
      <c r="L1050" s="28">
        <f>DATEDIF(K1050,Zwift25!G$1,"Y")</f>
        <v>74</v>
      </c>
      <c r="M1050" s="67">
        <f>IF(J1050="m",VLOOKUP(L1050,'All Solo Adjustments'!A:D,4,FALSE),VLOOKUP(L1050,'All Solo Adjustments'!A:J,10,FALSE))</f>
        <v>1.3414351851851853E-2</v>
      </c>
      <c r="N1050" s="63"/>
      <c r="O1050" s="63"/>
      <c r="P1050" s="63"/>
      <c r="Q1050" s="63"/>
      <c r="R1050" t="s">
        <v>125</v>
      </c>
      <c r="S1050" t="s">
        <v>170</v>
      </c>
      <c r="T1050" t="s">
        <v>292</v>
      </c>
      <c r="U1050" t="s">
        <v>7504</v>
      </c>
      <c r="V1050" t="s">
        <v>7503</v>
      </c>
      <c r="W1050" t="s">
        <v>445</v>
      </c>
      <c r="X1050" t="s">
        <v>123</v>
      </c>
      <c r="Y1050" t="s">
        <v>7502</v>
      </c>
      <c r="Z1050" t="str">
        <f>"07748 795623"</f>
        <v>07748 795623</v>
      </c>
      <c r="AA1050" t="str">
        <f>""</f>
        <v/>
      </c>
      <c r="AB1050" t="s">
        <v>444</v>
      </c>
      <c r="AC1050" t="s">
        <v>7501</v>
      </c>
      <c r="AD1050" t="s">
        <v>114</v>
      </c>
      <c r="AE1050" s="63">
        <v>45263</v>
      </c>
      <c r="AF1050" t="s">
        <v>156</v>
      </c>
      <c r="AG1050" t="s">
        <v>112</v>
      </c>
      <c r="AH1050" t="s">
        <v>112</v>
      </c>
      <c r="AI1050" s="63">
        <v>40595</v>
      </c>
      <c r="AJ1050" s="63">
        <v>45657</v>
      </c>
      <c r="AK1050" t="s">
        <v>111</v>
      </c>
      <c r="AL1050" t="s">
        <v>111</v>
      </c>
      <c r="AM1050" t="s">
        <v>111</v>
      </c>
      <c r="AN1050">
        <v>6433</v>
      </c>
      <c r="AO1050" t="s">
        <v>122</v>
      </c>
      <c r="AP1050" t="s">
        <v>122</v>
      </c>
    </row>
    <row r="1051" spans="1:42" x14ac:dyDescent="0.25">
      <c r="A1051" s="28" t="str">
        <f>"1348"</f>
        <v>1348</v>
      </c>
      <c r="B1051">
        <v>1348</v>
      </c>
      <c r="C1051" t="s">
        <v>2488</v>
      </c>
      <c r="D1051" t="s">
        <v>121</v>
      </c>
      <c r="F1051" t="s">
        <v>120</v>
      </c>
      <c r="G1051" t="s">
        <v>573</v>
      </c>
      <c r="I1051" t="s">
        <v>7500</v>
      </c>
      <c r="J1051" t="s">
        <v>7</v>
      </c>
      <c r="K1051" s="63">
        <v>14588</v>
      </c>
      <c r="L1051" s="28">
        <f>DATEDIF(K1051,Zwift25!G$1,"Y")</f>
        <v>84</v>
      </c>
      <c r="M1051" s="67">
        <f>IF(J1051="m",VLOOKUP(L1051,'All Solo Adjustments'!A:D,4,FALSE),VLOOKUP(L1051,'All Solo Adjustments'!A:J,10,FALSE))</f>
        <v>1.3530092592592592E-2</v>
      </c>
      <c r="N1051" s="63"/>
      <c r="O1051" s="63"/>
      <c r="P1051" s="63"/>
      <c r="Q1051" s="63"/>
      <c r="R1051" t="s">
        <v>527</v>
      </c>
      <c r="S1051" t="s">
        <v>2450</v>
      </c>
      <c r="T1051" t="s">
        <v>292</v>
      </c>
      <c r="U1051" t="s">
        <v>7499</v>
      </c>
      <c r="V1051" t="s">
        <v>7498</v>
      </c>
      <c r="W1051" t="s">
        <v>7497</v>
      </c>
      <c r="X1051" t="s">
        <v>1897</v>
      </c>
      <c r="Y1051" t="s">
        <v>7496</v>
      </c>
      <c r="Z1051" t="str">
        <f>"07828903359"</f>
        <v>07828903359</v>
      </c>
      <c r="AA1051" t="str">
        <f>""</f>
        <v/>
      </c>
      <c r="AB1051" t="s">
        <v>1304</v>
      </c>
      <c r="AC1051" t="s">
        <v>7495</v>
      </c>
      <c r="AD1051" t="s">
        <v>151</v>
      </c>
      <c r="AF1051" t="s">
        <v>156</v>
      </c>
      <c r="AG1051" t="s">
        <v>111</v>
      </c>
      <c r="AH1051" t="s">
        <v>111</v>
      </c>
      <c r="AI1051" s="63">
        <v>43112</v>
      </c>
      <c r="AK1051" t="s">
        <v>111</v>
      </c>
      <c r="AL1051" t="s">
        <v>111</v>
      </c>
      <c r="AM1051" t="s">
        <v>111</v>
      </c>
      <c r="AN1051" t="s">
        <v>105</v>
      </c>
      <c r="AO1051" t="s">
        <v>110</v>
      </c>
      <c r="AP1051" t="s">
        <v>109</v>
      </c>
    </row>
    <row r="1052" spans="1:42" x14ac:dyDescent="0.25">
      <c r="A1052" s="28" t="str">
        <f>"16182"</f>
        <v>16182</v>
      </c>
      <c r="B1052">
        <v>16182</v>
      </c>
      <c r="C1052" t="s">
        <v>2488</v>
      </c>
      <c r="D1052" t="s">
        <v>121</v>
      </c>
      <c r="F1052" t="s">
        <v>120</v>
      </c>
      <c r="G1052" t="s">
        <v>189</v>
      </c>
      <c r="I1052" t="s">
        <v>7494</v>
      </c>
      <c r="J1052" t="s">
        <v>7</v>
      </c>
      <c r="K1052" s="63">
        <v>30055</v>
      </c>
      <c r="L1052" s="28">
        <f>DATEDIF(K1052,Zwift25!G$1,"Y")</f>
        <v>42</v>
      </c>
      <c r="M1052" s="67">
        <f>IF(J1052="m",VLOOKUP(L1052,'All Solo Adjustments'!A:D,4,FALSE),VLOOKUP(L1052,'All Solo Adjustments'!A:J,10,FALSE))</f>
        <v>1.5046296296296295E-4</v>
      </c>
      <c r="N1052" s="63"/>
      <c r="O1052" s="63"/>
      <c r="P1052" s="63"/>
      <c r="Q1052" s="63"/>
      <c r="R1052" t="s">
        <v>159</v>
      </c>
      <c r="S1052" t="s">
        <v>162</v>
      </c>
      <c r="T1052" t="s">
        <v>292</v>
      </c>
      <c r="U1052" t="s">
        <v>7493</v>
      </c>
      <c r="V1052" t="s">
        <v>7492</v>
      </c>
      <c r="W1052" t="s">
        <v>7491</v>
      </c>
      <c r="Y1052" t="s">
        <v>7490</v>
      </c>
      <c r="Z1052" t="str">
        <f>"07826899443"</f>
        <v>07826899443</v>
      </c>
      <c r="AA1052" t="str">
        <f>""</f>
        <v/>
      </c>
      <c r="AB1052" t="s">
        <v>7489</v>
      </c>
      <c r="AC1052" t="s">
        <v>7488</v>
      </c>
      <c r="AD1052" t="s">
        <v>114</v>
      </c>
      <c r="AE1052" s="63">
        <v>45476</v>
      </c>
      <c r="AF1052" t="s">
        <v>156</v>
      </c>
      <c r="AG1052" t="s">
        <v>112</v>
      </c>
      <c r="AH1052" t="s">
        <v>112</v>
      </c>
      <c r="AI1052" s="63">
        <v>45476</v>
      </c>
      <c r="AJ1052" s="63">
        <v>45657</v>
      </c>
      <c r="AK1052" t="s">
        <v>112</v>
      </c>
      <c r="AL1052" t="s">
        <v>111</v>
      </c>
      <c r="AM1052" t="s">
        <v>111</v>
      </c>
      <c r="AN1052">
        <v>18764</v>
      </c>
      <c r="AO1052" t="s">
        <v>110</v>
      </c>
      <c r="AP1052" t="s">
        <v>109</v>
      </c>
    </row>
    <row r="1053" spans="1:42" x14ac:dyDescent="0.25">
      <c r="A1053" s="28" t="str">
        <f>"5051"</f>
        <v>5051</v>
      </c>
      <c r="B1053">
        <v>5051</v>
      </c>
      <c r="C1053" t="s">
        <v>2488</v>
      </c>
      <c r="D1053" t="s">
        <v>121</v>
      </c>
      <c r="F1053" t="s">
        <v>120</v>
      </c>
      <c r="G1053" t="s">
        <v>366</v>
      </c>
      <c r="I1053" t="s">
        <v>7487</v>
      </c>
      <c r="J1053" t="s">
        <v>7</v>
      </c>
      <c r="K1053" s="63">
        <v>22857</v>
      </c>
      <c r="L1053" s="28">
        <f>DATEDIF(K1053,Zwift25!G$1,"Y")</f>
        <v>62</v>
      </c>
      <c r="M1053" s="67">
        <f>IF(J1053="m",VLOOKUP(L1053,'All Solo Adjustments'!A:D,4,FALSE),VLOOKUP(L1053,'All Solo Adjustments'!A:J,10,FALSE))</f>
        <v>3.7384259259259259E-3</v>
      </c>
      <c r="N1053" s="63"/>
      <c r="O1053" s="63"/>
      <c r="P1053" s="63"/>
      <c r="Q1053" s="63"/>
      <c r="R1053" t="s">
        <v>180</v>
      </c>
      <c r="S1053" t="s">
        <v>179</v>
      </c>
      <c r="T1053" t="s">
        <v>292</v>
      </c>
      <c r="U1053" t="s">
        <v>7486</v>
      </c>
      <c r="V1053" t="s">
        <v>1806</v>
      </c>
      <c r="W1053" t="s">
        <v>651</v>
      </c>
      <c r="Y1053" t="s">
        <v>7485</v>
      </c>
      <c r="Z1053" t="str">
        <f>"07735219124"</f>
        <v>07735219124</v>
      </c>
      <c r="AA1053" t="str">
        <f>""</f>
        <v/>
      </c>
      <c r="AB1053" t="s">
        <v>176</v>
      </c>
      <c r="AC1053" t="s">
        <v>7484</v>
      </c>
      <c r="AD1053" t="s">
        <v>114</v>
      </c>
      <c r="AE1053" s="63">
        <v>45377</v>
      </c>
      <c r="AF1053" t="s">
        <v>113</v>
      </c>
      <c r="AG1053" t="s">
        <v>112</v>
      </c>
      <c r="AH1053" t="s">
        <v>112</v>
      </c>
      <c r="AI1053" s="63">
        <v>41753</v>
      </c>
      <c r="AJ1053" s="63">
        <v>45657</v>
      </c>
      <c r="AK1053" t="s">
        <v>111</v>
      </c>
      <c r="AL1053" t="s">
        <v>111</v>
      </c>
      <c r="AM1053" t="s">
        <v>111</v>
      </c>
      <c r="AN1053">
        <v>2844</v>
      </c>
      <c r="AO1053" t="s">
        <v>110</v>
      </c>
      <c r="AP1053" t="s">
        <v>109</v>
      </c>
    </row>
    <row r="1054" spans="1:42" x14ac:dyDescent="0.25">
      <c r="A1054" s="28" t="str">
        <f>"15793"</f>
        <v>15793</v>
      </c>
      <c r="B1054">
        <v>15793</v>
      </c>
      <c r="C1054" t="s">
        <v>2488</v>
      </c>
      <c r="D1054" t="s">
        <v>121</v>
      </c>
      <c r="F1054" t="s">
        <v>120</v>
      </c>
      <c r="G1054" t="s">
        <v>7483</v>
      </c>
      <c r="I1054" t="s">
        <v>7482</v>
      </c>
      <c r="J1054" t="s">
        <v>7</v>
      </c>
      <c r="K1054" s="63">
        <v>27046</v>
      </c>
      <c r="L1054" s="28">
        <f>DATEDIF(K1054,Zwift25!G$1,"Y")</f>
        <v>50</v>
      </c>
      <c r="M1054" s="67">
        <f>IF(J1054="m",VLOOKUP(L1054,'All Solo Adjustments'!A:D,4,FALSE),VLOOKUP(L1054,'All Solo Adjustments'!A:J,10,FALSE))</f>
        <v>1.1342592592592591E-3</v>
      </c>
      <c r="N1054" s="63"/>
      <c r="O1054" s="63"/>
      <c r="P1054" s="63"/>
      <c r="Q1054" s="63"/>
      <c r="R1054" t="s">
        <v>154</v>
      </c>
      <c r="S1054" t="s">
        <v>153</v>
      </c>
      <c r="T1054" t="s">
        <v>292</v>
      </c>
      <c r="U1054" t="s">
        <v>7481</v>
      </c>
      <c r="V1054" t="s">
        <v>7480</v>
      </c>
      <c r="W1054" t="s">
        <v>669</v>
      </c>
      <c r="Y1054" t="s">
        <v>7479</v>
      </c>
      <c r="Z1054" t="str">
        <f>"07501731518"</f>
        <v>07501731518</v>
      </c>
      <c r="AA1054" t="str">
        <f>""</f>
        <v/>
      </c>
      <c r="AB1054" t="s">
        <v>7478</v>
      </c>
      <c r="AC1054" t="s">
        <v>7477</v>
      </c>
      <c r="AD1054" t="s">
        <v>114</v>
      </c>
      <c r="AE1054" s="63">
        <v>45405</v>
      </c>
      <c r="AF1054" t="s">
        <v>156</v>
      </c>
      <c r="AG1054" t="s">
        <v>112</v>
      </c>
      <c r="AH1054" t="s">
        <v>112</v>
      </c>
      <c r="AI1054" s="63">
        <v>45035</v>
      </c>
      <c r="AJ1054" s="63">
        <v>45657</v>
      </c>
      <c r="AK1054" t="s">
        <v>112</v>
      </c>
      <c r="AL1054" t="s">
        <v>111</v>
      </c>
      <c r="AM1054" t="s">
        <v>111</v>
      </c>
      <c r="AN1054">
        <v>26596</v>
      </c>
      <c r="AO1054" t="s">
        <v>110</v>
      </c>
      <c r="AP1054" t="s">
        <v>109</v>
      </c>
    </row>
    <row r="1055" spans="1:42" x14ac:dyDescent="0.25">
      <c r="A1055" s="28" t="str">
        <f>"4807"</f>
        <v>4807</v>
      </c>
      <c r="B1055">
        <v>4807</v>
      </c>
      <c r="C1055" t="s">
        <v>2488</v>
      </c>
      <c r="D1055" t="s">
        <v>132</v>
      </c>
      <c r="F1055" t="s">
        <v>120</v>
      </c>
      <c r="G1055" t="s">
        <v>284</v>
      </c>
      <c r="H1055" t="s">
        <v>536</v>
      </c>
      <c r="I1055" t="s">
        <v>7475</v>
      </c>
      <c r="J1055" t="s">
        <v>7</v>
      </c>
      <c r="K1055" s="63">
        <v>23445</v>
      </c>
      <c r="L1055" s="28">
        <f>DATEDIF(K1055,Zwift25!G$1,"Y")</f>
        <v>60</v>
      </c>
      <c r="M1055" s="67">
        <f>IF(J1055="m",VLOOKUP(L1055,'All Solo Adjustments'!A:D,4,FALSE),VLOOKUP(L1055,'All Solo Adjustments'!A:J,10,FALSE))</f>
        <v>3.2060185185185186E-3</v>
      </c>
      <c r="N1055" s="63"/>
      <c r="O1055" s="63"/>
      <c r="P1055" s="63"/>
      <c r="Q1055" s="63"/>
      <c r="R1055" t="s">
        <v>184</v>
      </c>
      <c r="S1055" t="s">
        <v>1390</v>
      </c>
      <c r="T1055" t="s">
        <v>292</v>
      </c>
      <c r="U1055" t="s">
        <v>7474</v>
      </c>
      <c r="W1055" t="s">
        <v>1175</v>
      </c>
      <c r="X1055" t="s">
        <v>344</v>
      </c>
      <c r="Y1055" t="s">
        <v>7473</v>
      </c>
      <c r="Z1055" t="str">
        <f>"01494791908"</f>
        <v>01494791908</v>
      </c>
      <c r="AA1055" t="str">
        <f>"07960734434"</f>
        <v>07960734434</v>
      </c>
      <c r="AB1055" t="s">
        <v>1361</v>
      </c>
      <c r="AC1055" t="s">
        <v>7476</v>
      </c>
      <c r="AD1055" t="s">
        <v>114</v>
      </c>
      <c r="AE1055" s="63">
        <v>45272</v>
      </c>
      <c r="AF1055" t="s">
        <v>156</v>
      </c>
      <c r="AG1055" t="s">
        <v>112</v>
      </c>
      <c r="AH1055" t="s">
        <v>112</v>
      </c>
      <c r="AI1055" s="63">
        <v>41420</v>
      </c>
      <c r="AJ1055" s="63">
        <v>45657</v>
      </c>
      <c r="AK1055" t="s">
        <v>111</v>
      </c>
      <c r="AL1055" t="s">
        <v>111</v>
      </c>
      <c r="AM1055" t="s">
        <v>111</v>
      </c>
      <c r="AN1055">
        <v>5176</v>
      </c>
      <c r="AO1055" t="s">
        <v>110</v>
      </c>
      <c r="AP1055" t="s">
        <v>109</v>
      </c>
    </row>
    <row r="1056" spans="1:42" x14ac:dyDescent="0.25">
      <c r="A1056" s="28" t="str">
        <f>"11526"</f>
        <v>11526</v>
      </c>
      <c r="B1056">
        <v>11526</v>
      </c>
      <c r="C1056" t="s">
        <v>2488</v>
      </c>
      <c r="D1056" t="s">
        <v>130</v>
      </c>
      <c r="F1056" t="s">
        <v>149</v>
      </c>
      <c r="G1056" t="s">
        <v>1579</v>
      </c>
      <c r="I1056" t="s">
        <v>7475</v>
      </c>
      <c r="J1056" t="s">
        <v>126</v>
      </c>
      <c r="K1056" s="63">
        <v>23125</v>
      </c>
      <c r="L1056" s="28">
        <f>DATEDIF(K1056,Zwift25!G$1,"Y")</f>
        <v>61</v>
      </c>
      <c r="M1056" s="67">
        <f>IF(J1056="m",VLOOKUP(L1056,'All Solo Adjustments'!A:D,4,FALSE),VLOOKUP(L1056,'All Solo Adjustments'!A:J,10,FALSE))</f>
        <v>7.2337962962962963E-3</v>
      </c>
      <c r="N1056" s="63"/>
      <c r="O1056" s="63"/>
      <c r="P1056" s="63"/>
      <c r="Q1056" s="63"/>
      <c r="R1056" t="s">
        <v>184</v>
      </c>
      <c r="S1056" t="s">
        <v>1390</v>
      </c>
      <c r="T1056" t="s">
        <v>292</v>
      </c>
      <c r="U1056" t="s">
        <v>7474</v>
      </c>
      <c r="W1056" t="s">
        <v>1175</v>
      </c>
      <c r="X1056" t="s">
        <v>344</v>
      </c>
      <c r="Y1056" t="s">
        <v>7473</v>
      </c>
      <c r="Z1056" t="str">
        <f>"01494791908"</f>
        <v>01494791908</v>
      </c>
      <c r="AA1056" t="str">
        <f>"07960734434"</f>
        <v>07960734434</v>
      </c>
      <c r="AB1056" t="s">
        <v>1361</v>
      </c>
      <c r="AC1056" t="s">
        <v>7472</v>
      </c>
      <c r="AD1056" t="s">
        <v>114</v>
      </c>
      <c r="AE1056" s="63">
        <v>45272</v>
      </c>
      <c r="AF1056" t="s">
        <v>156</v>
      </c>
      <c r="AG1056" t="s">
        <v>112</v>
      </c>
      <c r="AH1056" t="s">
        <v>112</v>
      </c>
      <c r="AI1056" s="63">
        <v>41420</v>
      </c>
      <c r="AJ1056" s="63">
        <v>45657</v>
      </c>
      <c r="AK1056" t="s">
        <v>111</v>
      </c>
      <c r="AL1056" t="s">
        <v>111</v>
      </c>
      <c r="AM1056" t="s">
        <v>111</v>
      </c>
      <c r="AN1056">
        <v>8092</v>
      </c>
      <c r="AO1056" t="s">
        <v>122</v>
      </c>
      <c r="AP1056" t="s">
        <v>122</v>
      </c>
    </row>
    <row r="1057" spans="1:42" x14ac:dyDescent="0.25">
      <c r="A1057" s="28" t="str">
        <f>"1353"</f>
        <v>1353</v>
      </c>
      <c r="B1057">
        <v>1353</v>
      </c>
      <c r="C1057" t="s">
        <v>2488</v>
      </c>
      <c r="D1057" t="s">
        <v>121</v>
      </c>
      <c r="E1057" t="s">
        <v>584</v>
      </c>
      <c r="F1057" t="s">
        <v>120</v>
      </c>
      <c r="G1057" t="s">
        <v>546</v>
      </c>
      <c r="H1057" t="s">
        <v>643</v>
      </c>
      <c r="I1057" t="s">
        <v>7471</v>
      </c>
      <c r="J1057" t="s">
        <v>7</v>
      </c>
      <c r="K1057" s="63">
        <v>22894</v>
      </c>
      <c r="L1057" s="28">
        <f>DATEDIF(K1057,Zwift25!G$1,"Y")</f>
        <v>62</v>
      </c>
      <c r="M1057" s="67">
        <f>IF(J1057="m",VLOOKUP(L1057,'All Solo Adjustments'!A:D,4,FALSE),VLOOKUP(L1057,'All Solo Adjustments'!A:J,10,FALSE))</f>
        <v>3.7384259259259259E-3</v>
      </c>
      <c r="N1057" s="63"/>
      <c r="O1057" s="63"/>
      <c r="P1057" s="63"/>
      <c r="Q1057" s="63"/>
      <c r="R1057" t="s">
        <v>296</v>
      </c>
      <c r="S1057" t="s">
        <v>295</v>
      </c>
      <c r="T1057" t="s">
        <v>292</v>
      </c>
      <c r="U1057" t="s">
        <v>7470</v>
      </c>
      <c r="V1057" t="s">
        <v>1954</v>
      </c>
      <c r="W1057" t="s">
        <v>2034</v>
      </c>
      <c r="Y1057" t="s">
        <v>7469</v>
      </c>
      <c r="Z1057" t="str">
        <f>"07909 575722"</f>
        <v>07909 575722</v>
      </c>
      <c r="AA1057" t="str">
        <f>""</f>
        <v/>
      </c>
      <c r="AB1057" t="s">
        <v>1199</v>
      </c>
      <c r="AC1057" t="s">
        <v>7468</v>
      </c>
      <c r="AD1057" t="s">
        <v>114</v>
      </c>
      <c r="AE1057" s="63">
        <v>45265</v>
      </c>
      <c r="AF1057" t="s">
        <v>156</v>
      </c>
      <c r="AG1057" t="s">
        <v>112</v>
      </c>
      <c r="AH1057" t="s">
        <v>112</v>
      </c>
      <c r="AI1057" s="63">
        <v>40996</v>
      </c>
      <c r="AJ1057" s="63">
        <v>45657</v>
      </c>
      <c r="AK1057" t="s">
        <v>111</v>
      </c>
      <c r="AL1057" t="s">
        <v>111</v>
      </c>
      <c r="AM1057" t="s">
        <v>111</v>
      </c>
      <c r="AN1057">
        <v>9838</v>
      </c>
      <c r="AO1057" t="s">
        <v>110</v>
      </c>
      <c r="AP1057" t="s">
        <v>109</v>
      </c>
    </row>
    <row r="1058" spans="1:42" x14ac:dyDescent="0.25">
      <c r="A1058" s="28" t="str">
        <f>"4945"</f>
        <v>4945</v>
      </c>
      <c r="B1058">
        <v>4945</v>
      </c>
      <c r="C1058" t="s">
        <v>2488</v>
      </c>
      <c r="D1058" t="s">
        <v>130</v>
      </c>
      <c r="E1058" t="s">
        <v>584</v>
      </c>
      <c r="F1058" t="s">
        <v>149</v>
      </c>
      <c r="G1058" t="s">
        <v>7467</v>
      </c>
      <c r="I1058" t="s">
        <v>7466</v>
      </c>
      <c r="J1058" t="s">
        <v>126</v>
      </c>
      <c r="K1058" s="63">
        <v>24511</v>
      </c>
      <c r="L1058" s="28">
        <f>DATEDIF(K1058,Zwift25!G$1,"Y")</f>
        <v>57</v>
      </c>
      <c r="M1058" s="67">
        <f>IF(J1058="m",VLOOKUP(L1058,'All Solo Adjustments'!A:D,4,FALSE),VLOOKUP(L1058,'All Solo Adjustments'!A:J,10,FALSE))</f>
        <v>6.076388888888889E-3</v>
      </c>
      <c r="N1058" s="63"/>
      <c r="O1058" s="63"/>
      <c r="P1058" s="63"/>
      <c r="Q1058" s="63"/>
      <c r="R1058" t="s">
        <v>296</v>
      </c>
      <c r="S1058" t="s">
        <v>701</v>
      </c>
      <c r="T1058" t="s">
        <v>292</v>
      </c>
      <c r="U1058" t="s">
        <v>7465</v>
      </c>
      <c r="V1058" t="s">
        <v>1288</v>
      </c>
      <c r="W1058" t="s">
        <v>794</v>
      </c>
      <c r="Y1058" t="s">
        <v>7464</v>
      </c>
      <c r="Z1058" t="str">
        <f>"01383 822349"</f>
        <v>01383 822349</v>
      </c>
      <c r="AA1058" t="str">
        <f>""</f>
        <v/>
      </c>
      <c r="AB1058" t="s">
        <v>1070</v>
      </c>
      <c r="AC1058" t="s">
        <v>7463</v>
      </c>
      <c r="AD1058" t="s">
        <v>114</v>
      </c>
      <c r="AE1058" s="63">
        <v>45260</v>
      </c>
      <c r="AF1058" t="s">
        <v>156</v>
      </c>
      <c r="AG1058" t="s">
        <v>112</v>
      </c>
      <c r="AH1058" t="s">
        <v>112</v>
      </c>
      <c r="AI1058" s="63">
        <v>41696</v>
      </c>
      <c r="AJ1058" s="63">
        <v>45657</v>
      </c>
      <c r="AK1058" t="s">
        <v>111</v>
      </c>
      <c r="AL1058" t="s">
        <v>111</v>
      </c>
      <c r="AM1058" t="s">
        <v>111</v>
      </c>
      <c r="AN1058">
        <v>13472</v>
      </c>
      <c r="AO1058" t="s">
        <v>122</v>
      </c>
      <c r="AP1058" t="s">
        <v>122</v>
      </c>
    </row>
    <row r="1059" spans="1:42" x14ac:dyDescent="0.25">
      <c r="A1059" s="28" t="str">
        <f>"11170"</f>
        <v>11170</v>
      </c>
      <c r="B1059">
        <v>11170</v>
      </c>
      <c r="C1059" t="s">
        <v>2488</v>
      </c>
      <c r="D1059" t="s">
        <v>132</v>
      </c>
      <c r="E1059" t="s">
        <v>584</v>
      </c>
      <c r="F1059" t="s">
        <v>120</v>
      </c>
      <c r="G1059" t="s">
        <v>649</v>
      </c>
      <c r="I1059" t="s">
        <v>7466</v>
      </c>
      <c r="J1059" t="s">
        <v>7</v>
      </c>
      <c r="K1059" s="63">
        <v>23470</v>
      </c>
      <c r="L1059" s="28">
        <f>DATEDIF(K1059,Zwift25!G$1,"Y")</f>
        <v>60</v>
      </c>
      <c r="M1059" s="67">
        <f>IF(J1059="m",VLOOKUP(L1059,'All Solo Adjustments'!A:D,4,FALSE),VLOOKUP(L1059,'All Solo Adjustments'!A:J,10,FALSE))</f>
        <v>3.2060185185185186E-3</v>
      </c>
      <c r="N1059" s="63"/>
      <c r="O1059" s="63"/>
      <c r="P1059" s="63"/>
      <c r="Q1059" s="63"/>
      <c r="R1059" t="s">
        <v>296</v>
      </c>
      <c r="S1059" t="s">
        <v>701</v>
      </c>
      <c r="T1059" t="s">
        <v>292</v>
      </c>
      <c r="U1059" t="s">
        <v>7465</v>
      </c>
      <c r="V1059" t="s">
        <v>1288</v>
      </c>
      <c r="W1059" t="s">
        <v>794</v>
      </c>
      <c r="Y1059" t="s">
        <v>7464</v>
      </c>
      <c r="Z1059" t="str">
        <f>"01383 822349"</f>
        <v>01383 822349</v>
      </c>
      <c r="AA1059" t="str">
        <f>""</f>
        <v/>
      </c>
      <c r="AB1059" t="s">
        <v>1070</v>
      </c>
      <c r="AC1059" t="s">
        <v>7463</v>
      </c>
      <c r="AD1059" t="s">
        <v>114</v>
      </c>
      <c r="AE1059" s="63">
        <v>45260</v>
      </c>
      <c r="AF1059" t="s">
        <v>156</v>
      </c>
      <c r="AG1059" t="s">
        <v>112</v>
      </c>
      <c r="AH1059" t="s">
        <v>112</v>
      </c>
      <c r="AI1059" s="63">
        <v>41696</v>
      </c>
      <c r="AJ1059" s="63">
        <v>45657</v>
      </c>
      <c r="AK1059" t="s">
        <v>111</v>
      </c>
      <c r="AL1059" t="s">
        <v>111</v>
      </c>
      <c r="AM1059" t="s">
        <v>111</v>
      </c>
      <c r="AN1059">
        <v>24548</v>
      </c>
      <c r="AO1059" t="s">
        <v>110</v>
      </c>
      <c r="AP1059" t="s">
        <v>109</v>
      </c>
    </row>
    <row r="1060" spans="1:42" x14ac:dyDescent="0.25">
      <c r="A1060" s="28" t="str">
        <f>"3272"</f>
        <v>3272</v>
      </c>
      <c r="B1060">
        <v>3272</v>
      </c>
      <c r="C1060" t="s">
        <v>2488</v>
      </c>
      <c r="D1060" t="s">
        <v>121</v>
      </c>
      <c r="F1060" t="s">
        <v>120</v>
      </c>
      <c r="G1060" t="s">
        <v>206</v>
      </c>
      <c r="I1060" t="s">
        <v>7462</v>
      </c>
      <c r="J1060" t="s">
        <v>7</v>
      </c>
      <c r="K1060" s="63">
        <v>12643</v>
      </c>
      <c r="L1060" s="28">
        <f>DATEDIF(K1060,Zwift25!G$1,"Y")</f>
        <v>90</v>
      </c>
      <c r="M1060" s="67">
        <f>IF(J1060="m",VLOOKUP(L1060,'All Solo Adjustments'!A:D,4,FALSE),VLOOKUP(L1060,'All Solo Adjustments'!A:J,10,FALSE))</f>
        <v>1.8391203703703705E-2</v>
      </c>
      <c r="N1060" s="63"/>
      <c r="O1060" s="63"/>
      <c r="P1060" s="63"/>
      <c r="Q1060" s="63"/>
      <c r="R1060" t="s">
        <v>159</v>
      </c>
      <c r="S1060" t="s">
        <v>570</v>
      </c>
      <c r="T1060" t="s">
        <v>292</v>
      </c>
      <c r="U1060" t="s">
        <v>7461</v>
      </c>
      <c r="V1060" t="s">
        <v>1002</v>
      </c>
      <c r="W1060" t="s">
        <v>368</v>
      </c>
      <c r="Y1060" t="s">
        <v>7460</v>
      </c>
      <c r="Z1060" t="str">
        <f>"01529 461018"</f>
        <v>01529 461018</v>
      </c>
      <c r="AA1060" t="str">
        <f>""</f>
        <v/>
      </c>
      <c r="AB1060" t="s">
        <v>186</v>
      </c>
      <c r="AC1060" t="s">
        <v>7459</v>
      </c>
      <c r="AD1060" t="s">
        <v>151</v>
      </c>
      <c r="AF1060" t="s">
        <v>113</v>
      </c>
      <c r="AG1060" t="s">
        <v>111</v>
      </c>
      <c r="AH1060" t="s">
        <v>112</v>
      </c>
      <c r="AK1060" t="s">
        <v>111</v>
      </c>
      <c r="AL1060" t="s">
        <v>111</v>
      </c>
      <c r="AM1060" t="s">
        <v>111</v>
      </c>
      <c r="AN1060" t="s">
        <v>105</v>
      </c>
      <c r="AO1060" t="s">
        <v>110</v>
      </c>
      <c r="AP1060" t="s">
        <v>109</v>
      </c>
    </row>
    <row r="1061" spans="1:42" x14ac:dyDescent="0.25">
      <c r="A1061" s="28" t="str">
        <f>"1355"</f>
        <v>1355</v>
      </c>
      <c r="B1061">
        <v>1355</v>
      </c>
      <c r="C1061" t="s">
        <v>2488</v>
      </c>
      <c r="D1061" t="s">
        <v>121</v>
      </c>
      <c r="F1061" t="s">
        <v>120</v>
      </c>
      <c r="G1061" t="s">
        <v>300</v>
      </c>
      <c r="H1061" t="s">
        <v>359</v>
      </c>
      <c r="I1061" t="s">
        <v>639</v>
      </c>
      <c r="J1061" t="s">
        <v>7</v>
      </c>
      <c r="K1061" s="63">
        <v>22312</v>
      </c>
      <c r="L1061" s="28">
        <f>DATEDIF(K1061,Zwift25!G$1,"Y")</f>
        <v>63</v>
      </c>
      <c r="M1061" s="67">
        <f>IF(J1061="m",VLOOKUP(L1061,'All Solo Adjustments'!A:D,4,FALSE),VLOOKUP(L1061,'All Solo Adjustments'!A:J,10,FALSE))</f>
        <v>4.0277777777777777E-3</v>
      </c>
      <c r="N1061" s="63"/>
      <c r="O1061" s="63"/>
      <c r="P1061" s="63"/>
      <c r="Q1061" s="63"/>
      <c r="R1061" t="s">
        <v>154</v>
      </c>
      <c r="S1061" t="s">
        <v>153</v>
      </c>
      <c r="T1061" t="s">
        <v>292</v>
      </c>
      <c r="U1061" t="s">
        <v>7458</v>
      </c>
      <c r="V1061" t="s">
        <v>7457</v>
      </c>
      <c r="W1061" t="s">
        <v>7456</v>
      </c>
      <c r="X1061" t="s">
        <v>363</v>
      </c>
      <c r="Y1061" t="s">
        <v>7455</v>
      </c>
      <c r="Z1061" t="str">
        <f>"07977316775"</f>
        <v>07977316775</v>
      </c>
      <c r="AA1061" t="str">
        <f>"07977316775"</f>
        <v>07977316775</v>
      </c>
      <c r="AB1061" t="s">
        <v>7454</v>
      </c>
      <c r="AC1061" t="s">
        <v>7453</v>
      </c>
      <c r="AD1061" t="s">
        <v>114</v>
      </c>
      <c r="AE1061" s="63">
        <v>45292</v>
      </c>
      <c r="AF1061" t="s">
        <v>156</v>
      </c>
      <c r="AG1061" t="s">
        <v>112</v>
      </c>
      <c r="AH1061" t="s">
        <v>112</v>
      </c>
      <c r="AI1061" s="63">
        <v>36922</v>
      </c>
      <c r="AJ1061" s="63">
        <v>45657</v>
      </c>
      <c r="AK1061" t="s">
        <v>111</v>
      </c>
      <c r="AL1061" t="s">
        <v>111</v>
      </c>
      <c r="AM1061" t="s">
        <v>111</v>
      </c>
      <c r="AN1061">
        <v>4676</v>
      </c>
      <c r="AO1061" t="s">
        <v>110</v>
      </c>
      <c r="AP1061" t="s">
        <v>109</v>
      </c>
    </row>
    <row r="1062" spans="1:42" x14ac:dyDescent="0.25">
      <c r="A1062" s="28" t="str">
        <f>"5450"</f>
        <v>5450</v>
      </c>
      <c r="B1062">
        <v>5450</v>
      </c>
      <c r="C1062" t="s">
        <v>2488</v>
      </c>
      <c r="D1062" t="s">
        <v>121</v>
      </c>
      <c r="E1062" t="s">
        <v>584</v>
      </c>
      <c r="F1062" t="s">
        <v>120</v>
      </c>
      <c r="G1062" t="s">
        <v>556</v>
      </c>
      <c r="H1062" t="s">
        <v>1056</v>
      </c>
      <c r="I1062" t="s">
        <v>1763</v>
      </c>
      <c r="J1062" t="s">
        <v>7</v>
      </c>
      <c r="K1062" s="63">
        <v>25256</v>
      </c>
      <c r="L1062" s="28">
        <f>DATEDIF(K1062,Zwift25!G$1,"Y")</f>
        <v>55</v>
      </c>
      <c r="M1062" s="67">
        <f>IF(J1062="m",VLOOKUP(L1062,'All Solo Adjustments'!A:D,4,FALSE),VLOOKUP(L1062,'All Solo Adjustments'!A:J,10,FALSE))</f>
        <v>2.0601851851851853E-3</v>
      </c>
      <c r="N1062" s="63"/>
      <c r="O1062" s="63"/>
      <c r="P1062" s="63"/>
      <c r="Q1062" s="63"/>
      <c r="R1062" t="s">
        <v>180</v>
      </c>
      <c r="S1062" t="s">
        <v>179</v>
      </c>
      <c r="T1062" t="s">
        <v>292</v>
      </c>
      <c r="U1062" t="s">
        <v>7452</v>
      </c>
      <c r="V1062" t="s">
        <v>7451</v>
      </c>
      <c r="W1062" t="s">
        <v>368</v>
      </c>
      <c r="Y1062" t="s">
        <v>7450</v>
      </c>
      <c r="Z1062" t="str">
        <f>"01507 525362"</f>
        <v>01507 525362</v>
      </c>
      <c r="AA1062" t="str">
        <f>"01507 526547"</f>
        <v>01507 526547</v>
      </c>
      <c r="AB1062" t="s">
        <v>1866</v>
      </c>
      <c r="AC1062" t="s">
        <v>7449</v>
      </c>
      <c r="AD1062" t="s">
        <v>114</v>
      </c>
      <c r="AE1062" s="63">
        <v>45281</v>
      </c>
      <c r="AF1062" t="s">
        <v>113</v>
      </c>
      <c r="AG1062" t="s">
        <v>112</v>
      </c>
      <c r="AH1062" t="s">
        <v>112</v>
      </c>
      <c r="AI1062" s="63">
        <v>42118</v>
      </c>
      <c r="AJ1062" s="63">
        <v>45657</v>
      </c>
      <c r="AK1062" t="s">
        <v>111</v>
      </c>
      <c r="AL1062" t="s">
        <v>111</v>
      </c>
      <c r="AM1062" t="s">
        <v>111</v>
      </c>
      <c r="AN1062">
        <v>3944</v>
      </c>
      <c r="AO1062" t="s">
        <v>110</v>
      </c>
      <c r="AP1062" t="s">
        <v>109</v>
      </c>
    </row>
    <row r="1063" spans="1:42" x14ac:dyDescent="0.25">
      <c r="A1063" s="28" t="str">
        <f>"1356"</f>
        <v>1356</v>
      </c>
      <c r="B1063">
        <v>1356</v>
      </c>
      <c r="C1063" t="s">
        <v>2488</v>
      </c>
      <c r="D1063" t="s">
        <v>121</v>
      </c>
      <c r="F1063" t="s">
        <v>120</v>
      </c>
      <c r="G1063" t="s">
        <v>2164</v>
      </c>
      <c r="H1063" t="s">
        <v>284</v>
      </c>
      <c r="I1063" t="s">
        <v>1763</v>
      </c>
      <c r="J1063" t="s">
        <v>7</v>
      </c>
      <c r="K1063" s="63">
        <v>15818</v>
      </c>
      <c r="L1063" s="28">
        <f>DATEDIF(K1063,Zwift25!G$1,"Y")</f>
        <v>81</v>
      </c>
      <c r="M1063" s="67">
        <f>IF(J1063="m",VLOOKUP(L1063,'All Solo Adjustments'!A:D,4,FALSE),VLOOKUP(L1063,'All Solo Adjustments'!A:J,10,FALSE))</f>
        <v>1.1597222222222222E-2</v>
      </c>
      <c r="N1063" s="63"/>
      <c r="O1063" s="63"/>
      <c r="P1063" s="63"/>
      <c r="Q1063" s="63"/>
      <c r="R1063" t="s">
        <v>184</v>
      </c>
      <c r="S1063" t="s">
        <v>835</v>
      </c>
      <c r="T1063" t="s">
        <v>292</v>
      </c>
      <c r="U1063" t="s">
        <v>7448</v>
      </c>
      <c r="V1063" t="s">
        <v>2194</v>
      </c>
      <c r="W1063" t="s">
        <v>2194</v>
      </c>
      <c r="Y1063" t="s">
        <v>7447</v>
      </c>
      <c r="Z1063" t="str">
        <f>"01442266737"</f>
        <v>01442266737</v>
      </c>
      <c r="AA1063" t="str">
        <f>"01442266737"</f>
        <v>01442266737</v>
      </c>
      <c r="AB1063" t="s">
        <v>1361</v>
      </c>
      <c r="AC1063" t="s">
        <v>7446</v>
      </c>
      <c r="AD1063" t="s">
        <v>145</v>
      </c>
      <c r="AF1063" t="s">
        <v>156</v>
      </c>
      <c r="AG1063" t="s">
        <v>112</v>
      </c>
      <c r="AH1063" t="s">
        <v>112</v>
      </c>
      <c r="AI1063" s="63">
        <v>43469</v>
      </c>
      <c r="AK1063" t="s">
        <v>111</v>
      </c>
      <c r="AL1063" t="s">
        <v>111</v>
      </c>
      <c r="AM1063" t="s">
        <v>111</v>
      </c>
      <c r="AN1063">
        <v>1772</v>
      </c>
      <c r="AO1063" t="s">
        <v>110</v>
      </c>
      <c r="AP1063" t="s">
        <v>109</v>
      </c>
    </row>
    <row r="1064" spans="1:42" x14ac:dyDescent="0.25">
      <c r="A1064" s="28" t="str">
        <f>"15692"</f>
        <v>15692</v>
      </c>
      <c r="B1064">
        <v>15692</v>
      </c>
      <c r="C1064" t="s">
        <v>2488</v>
      </c>
      <c r="D1064" t="s">
        <v>121</v>
      </c>
      <c r="F1064" t="s">
        <v>120</v>
      </c>
      <c r="G1064" t="s">
        <v>952</v>
      </c>
      <c r="H1064" t="s">
        <v>284</v>
      </c>
      <c r="I1064" t="s">
        <v>7445</v>
      </c>
      <c r="J1064" t="s">
        <v>7</v>
      </c>
      <c r="K1064" s="63">
        <v>25965</v>
      </c>
      <c r="L1064" s="28">
        <f>DATEDIF(K1064,Zwift25!G$1,"Y")</f>
        <v>53</v>
      </c>
      <c r="M1064" s="67">
        <f>IF(J1064="m",VLOOKUP(L1064,'All Solo Adjustments'!A:D,4,FALSE),VLOOKUP(L1064,'All Solo Adjustments'!A:J,10,FALSE))</f>
        <v>1.6666666666666668E-3</v>
      </c>
      <c r="N1064" s="63"/>
      <c r="O1064" s="63"/>
      <c r="P1064" s="63"/>
      <c r="Q1064" s="63"/>
      <c r="R1064" t="s">
        <v>239</v>
      </c>
      <c r="S1064" t="s">
        <v>274</v>
      </c>
      <c r="T1064" t="s">
        <v>292</v>
      </c>
      <c r="U1064" t="s">
        <v>7444</v>
      </c>
      <c r="V1064" t="s">
        <v>569</v>
      </c>
      <c r="Y1064" t="s">
        <v>7443</v>
      </c>
      <c r="Z1064" t="str">
        <f>"07548129810"</f>
        <v>07548129810</v>
      </c>
      <c r="AA1064" t="str">
        <f>""</f>
        <v/>
      </c>
      <c r="AB1064" t="s">
        <v>568</v>
      </c>
      <c r="AC1064" t="s">
        <v>7442</v>
      </c>
      <c r="AD1064" t="s">
        <v>114</v>
      </c>
      <c r="AE1064" s="63">
        <v>45262</v>
      </c>
      <c r="AF1064" t="s">
        <v>156</v>
      </c>
      <c r="AG1064" t="s">
        <v>112</v>
      </c>
      <c r="AH1064" t="s">
        <v>112</v>
      </c>
      <c r="AI1064" s="63">
        <v>44974</v>
      </c>
      <c r="AJ1064" s="63">
        <v>45657</v>
      </c>
      <c r="AK1064" t="s">
        <v>112</v>
      </c>
      <c r="AL1064" t="s">
        <v>111</v>
      </c>
      <c r="AM1064" t="s">
        <v>111</v>
      </c>
      <c r="AN1064">
        <v>3489</v>
      </c>
      <c r="AO1064" t="s">
        <v>110</v>
      </c>
      <c r="AP1064" t="s">
        <v>109</v>
      </c>
    </row>
    <row r="1065" spans="1:42" x14ac:dyDescent="0.25">
      <c r="A1065" s="28" t="str">
        <f>"1360"</f>
        <v>1360</v>
      </c>
      <c r="B1065">
        <v>1360</v>
      </c>
      <c r="C1065" t="s">
        <v>2488</v>
      </c>
      <c r="D1065" t="s">
        <v>121</v>
      </c>
      <c r="F1065" t="s">
        <v>120</v>
      </c>
      <c r="G1065" t="s">
        <v>251</v>
      </c>
      <c r="I1065" t="s">
        <v>1762</v>
      </c>
      <c r="J1065" t="s">
        <v>7</v>
      </c>
      <c r="K1065" s="63">
        <v>13717</v>
      </c>
      <c r="L1065" s="28">
        <f>DATEDIF(K1065,Zwift25!G$1,"Y")</f>
        <v>87</v>
      </c>
      <c r="M1065" s="67">
        <f>IF(J1065="m",VLOOKUP(L1065,'All Solo Adjustments'!A:D,4,FALSE),VLOOKUP(L1065,'All Solo Adjustments'!A:J,10,FALSE))</f>
        <v>1.576388888888889E-2</v>
      </c>
      <c r="N1065" s="63"/>
      <c r="O1065" s="63"/>
      <c r="P1065" s="63"/>
      <c r="Q1065" s="63"/>
      <c r="R1065" t="s">
        <v>239</v>
      </c>
      <c r="S1065" t="s">
        <v>437</v>
      </c>
      <c r="T1065" t="s">
        <v>292</v>
      </c>
      <c r="U1065" t="s">
        <v>7441</v>
      </c>
      <c r="V1065" t="s">
        <v>7440</v>
      </c>
      <c r="Y1065" t="s">
        <v>1760</v>
      </c>
      <c r="Z1065" t="str">
        <f>""</f>
        <v/>
      </c>
      <c r="AA1065" t="str">
        <f>""</f>
        <v/>
      </c>
      <c r="AB1065" t="s">
        <v>1759</v>
      </c>
      <c r="AD1065" t="s">
        <v>145</v>
      </c>
      <c r="AF1065" t="s">
        <v>113</v>
      </c>
      <c r="AG1065" t="s">
        <v>112</v>
      </c>
      <c r="AH1065" t="s">
        <v>112</v>
      </c>
      <c r="AI1065" s="63">
        <v>28590</v>
      </c>
      <c r="AK1065" t="s">
        <v>111</v>
      </c>
      <c r="AL1065" t="s">
        <v>111</v>
      </c>
      <c r="AM1065" t="s">
        <v>111</v>
      </c>
      <c r="AN1065" t="s">
        <v>105</v>
      </c>
      <c r="AO1065" t="s">
        <v>110</v>
      </c>
      <c r="AP1065" t="s">
        <v>109</v>
      </c>
    </row>
    <row r="1066" spans="1:42" x14ac:dyDescent="0.25">
      <c r="A1066" s="28" t="str">
        <f>"1363"</f>
        <v>1363</v>
      </c>
      <c r="B1066">
        <v>1363</v>
      </c>
      <c r="C1066" t="s">
        <v>2488</v>
      </c>
      <c r="D1066" t="s">
        <v>121</v>
      </c>
      <c r="F1066" t="s">
        <v>120</v>
      </c>
      <c r="G1066" t="s">
        <v>241</v>
      </c>
      <c r="I1066" t="s">
        <v>1758</v>
      </c>
      <c r="J1066" t="s">
        <v>7</v>
      </c>
      <c r="K1066" s="63">
        <v>12633</v>
      </c>
      <c r="L1066" s="28">
        <f>DATEDIF(K1066,Zwift25!G$1,"Y")</f>
        <v>90</v>
      </c>
      <c r="M1066" s="67">
        <f>IF(J1066="m",VLOOKUP(L1066,'All Solo Adjustments'!A:D,4,FALSE),VLOOKUP(L1066,'All Solo Adjustments'!A:J,10,FALSE))</f>
        <v>1.8391203703703705E-2</v>
      </c>
      <c r="N1066" s="63"/>
      <c r="O1066" s="63"/>
      <c r="P1066" s="63"/>
      <c r="Q1066" s="63"/>
      <c r="R1066" t="s">
        <v>125</v>
      </c>
      <c r="S1066" t="s">
        <v>484</v>
      </c>
      <c r="T1066" t="s">
        <v>292</v>
      </c>
      <c r="U1066" t="s">
        <v>7439</v>
      </c>
      <c r="V1066" t="s">
        <v>2479</v>
      </c>
      <c r="W1066" t="s">
        <v>542</v>
      </c>
      <c r="X1066" t="s">
        <v>193</v>
      </c>
      <c r="Y1066" t="s">
        <v>7438</v>
      </c>
      <c r="Z1066" t="str">
        <f>"01553 672811"</f>
        <v>01553 672811</v>
      </c>
      <c r="AA1066" t="str">
        <f>""</f>
        <v/>
      </c>
      <c r="AB1066" t="s">
        <v>290</v>
      </c>
      <c r="AD1066" t="s">
        <v>151</v>
      </c>
      <c r="AF1066" t="s">
        <v>113</v>
      </c>
      <c r="AG1066" t="s">
        <v>112</v>
      </c>
      <c r="AH1066" t="s">
        <v>112</v>
      </c>
      <c r="AI1066" s="63">
        <v>29247</v>
      </c>
      <c r="AK1066" t="s">
        <v>111</v>
      </c>
      <c r="AL1066" t="s">
        <v>111</v>
      </c>
      <c r="AM1066" t="s">
        <v>111</v>
      </c>
      <c r="AN1066" t="s">
        <v>105</v>
      </c>
      <c r="AO1066" t="s">
        <v>110</v>
      </c>
      <c r="AP1066" t="s">
        <v>109</v>
      </c>
    </row>
    <row r="1067" spans="1:42" x14ac:dyDescent="0.25">
      <c r="A1067" s="28" t="str">
        <f>"16004"</f>
        <v>16004</v>
      </c>
      <c r="B1067">
        <v>16004</v>
      </c>
      <c r="C1067" t="s">
        <v>2488</v>
      </c>
      <c r="D1067" t="s">
        <v>121</v>
      </c>
      <c r="F1067" t="s">
        <v>120</v>
      </c>
      <c r="G1067" t="s">
        <v>1085</v>
      </c>
      <c r="I1067" t="s">
        <v>1758</v>
      </c>
      <c r="J1067" t="s">
        <v>7</v>
      </c>
      <c r="K1067" s="63">
        <v>26299</v>
      </c>
      <c r="L1067" s="28">
        <f>DATEDIF(K1067,Zwift25!G$1,"Y")</f>
        <v>52</v>
      </c>
      <c r="M1067" s="67">
        <f>IF(J1067="m",VLOOKUP(L1067,'All Solo Adjustments'!A:D,4,FALSE),VLOOKUP(L1067,'All Solo Adjustments'!A:J,10,FALSE))</f>
        <v>1.4814814814814816E-3</v>
      </c>
      <c r="N1067" s="63"/>
      <c r="O1067" s="63"/>
      <c r="P1067" s="63"/>
      <c r="Q1067" s="63"/>
      <c r="R1067" t="s">
        <v>137</v>
      </c>
      <c r="S1067" t="s">
        <v>136</v>
      </c>
      <c r="T1067" t="s">
        <v>292</v>
      </c>
      <c r="U1067" t="s">
        <v>7437</v>
      </c>
      <c r="W1067" t="s">
        <v>591</v>
      </c>
      <c r="Y1067" t="s">
        <v>7436</v>
      </c>
      <c r="Z1067" t="str">
        <f>"07920146616"</f>
        <v>07920146616</v>
      </c>
      <c r="AA1067" t="str">
        <f>""</f>
        <v/>
      </c>
      <c r="AB1067" t="s">
        <v>1986</v>
      </c>
      <c r="AC1067" t="s">
        <v>7435</v>
      </c>
      <c r="AD1067" t="s">
        <v>114</v>
      </c>
      <c r="AE1067" s="63">
        <v>45310</v>
      </c>
      <c r="AF1067" t="s">
        <v>156</v>
      </c>
      <c r="AG1067" t="s">
        <v>112</v>
      </c>
      <c r="AH1067" t="s">
        <v>112</v>
      </c>
      <c r="AI1067" s="63">
        <v>45310</v>
      </c>
      <c r="AJ1067" s="63">
        <v>45657</v>
      </c>
      <c r="AK1067" t="s">
        <v>112</v>
      </c>
      <c r="AL1067" t="s">
        <v>111</v>
      </c>
      <c r="AM1067" t="s">
        <v>111</v>
      </c>
      <c r="AN1067">
        <v>36066</v>
      </c>
      <c r="AO1067" t="s">
        <v>110</v>
      </c>
      <c r="AP1067" t="s">
        <v>109</v>
      </c>
    </row>
    <row r="1068" spans="1:42" x14ac:dyDescent="0.25">
      <c r="A1068" s="28" t="str">
        <f>"1368"</f>
        <v>1368</v>
      </c>
      <c r="B1068">
        <v>1368</v>
      </c>
      <c r="C1068" t="s">
        <v>2488</v>
      </c>
      <c r="D1068" t="s">
        <v>121</v>
      </c>
      <c r="F1068" t="s">
        <v>120</v>
      </c>
      <c r="G1068" t="s">
        <v>7413</v>
      </c>
      <c r="H1068" t="s">
        <v>1615</v>
      </c>
      <c r="I1068" t="s">
        <v>7434</v>
      </c>
      <c r="J1068" t="s">
        <v>7</v>
      </c>
      <c r="K1068" s="63">
        <v>16152</v>
      </c>
      <c r="L1068" s="28">
        <f>DATEDIF(K1068,Zwift25!G$1,"Y")</f>
        <v>80</v>
      </c>
      <c r="M1068" s="67">
        <f>IF(J1068="m",VLOOKUP(L1068,'All Solo Adjustments'!A:D,4,FALSE),VLOOKUP(L1068,'All Solo Adjustments'!A:J,10,FALSE))</f>
        <v>1.1018518518518518E-2</v>
      </c>
      <c r="N1068" s="63"/>
      <c r="O1068" s="63"/>
      <c r="P1068" s="63"/>
      <c r="Q1068" s="63"/>
      <c r="R1068" t="s">
        <v>283</v>
      </c>
      <c r="S1068" t="s">
        <v>530</v>
      </c>
      <c r="T1068" t="s">
        <v>292</v>
      </c>
      <c r="U1068" t="s">
        <v>7433</v>
      </c>
      <c r="V1068" t="s">
        <v>1945</v>
      </c>
      <c r="W1068" t="s">
        <v>1346</v>
      </c>
      <c r="Y1068" t="s">
        <v>7432</v>
      </c>
      <c r="Z1068" t="str">
        <f>"02476 404772"</f>
        <v>02476 404772</v>
      </c>
      <c r="AA1068" t="str">
        <f>"07795250271"</f>
        <v>07795250271</v>
      </c>
      <c r="AB1068" t="s">
        <v>278</v>
      </c>
      <c r="AC1068" t="s">
        <v>7431</v>
      </c>
      <c r="AD1068" t="s">
        <v>114</v>
      </c>
      <c r="AE1068" s="63">
        <v>45292</v>
      </c>
      <c r="AF1068" t="s">
        <v>156</v>
      </c>
      <c r="AG1068" t="s">
        <v>112</v>
      </c>
      <c r="AH1068" t="s">
        <v>112</v>
      </c>
      <c r="AI1068" s="63">
        <v>43438</v>
      </c>
      <c r="AJ1068" s="63">
        <v>45657</v>
      </c>
      <c r="AK1068" t="s">
        <v>111</v>
      </c>
      <c r="AL1068" t="s">
        <v>111</v>
      </c>
      <c r="AM1068" t="s">
        <v>111</v>
      </c>
      <c r="AN1068">
        <v>1567</v>
      </c>
      <c r="AO1068" t="s">
        <v>110</v>
      </c>
      <c r="AP1068" t="s">
        <v>109</v>
      </c>
    </row>
    <row r="1069" spans="1:42" x14ac:dyDescent="0.25">
      <c r="A1069" s="28" t="str">
        <f>"16140"</f>
        <v>16140</v>
      </c>
      <c r="B1069">
        <v>16140</v>
      </c>
      <c r="C1069" t="s">
        <v>2488</v>
      </c>
      <c r="D1069" t="s">
        <v>121</v>
      </c>
      <c r="F1069" t="s">
        <v>144</v>
      </c>
      <c r="G1069" t="s">
        <v>7430</v>
      </c>
      <c r="I1069" t="s">
        <v>1755</v>
      </c>
      <c r="J1069" t="s">
        <v>126</v>
      </c>
      <c r="K1069" s="63">
        <v>27237</v>
      </c>
      <c r="L1069" s="28">
        <f>DATEDIF(K1069,Zwift25!G$1,"Y")</f>
        <v>50</v>
      </c>
      <c r="M1069" s="67">
        <f>IF(J1069="m",VLOOKUP(L1069,'All Solo Adjustments'!A:D,4,FALSE),VLOOKUP(L1069,'All Solo Adjustments'!A:J,10,FALSE))</f>
        <v>4.9768518518518521E-3</v>
      </c>
      <c r="N1069" s="63"/>
      <c r="O1069" s="63"/>
      <c r="P1069" s="63"/>
      <c r="Q1069" s="63"/>
      <c r="R1069" t="s">
        <v>143</v>
      </c>
      <c r="S1069" t="s">
        <v>142</v>
      </c>
      <c r="T1069" t="s">
        <v>292</v>
      </c>
      <c r="U1069" t="s">
        <v>7429</v>
      </c>
      <c r="W1069" t="s">
        <v>1185</v>
      </c>
      <c r="X1069" t="s">
        <v>486</v>
      </c>
      <c r="Y1069" t="s">
        <v>7428</v>
      </c>
      <c r="Z1069" t="str">
        <f>"07886957877"</f>
        <v>07886957877</v>
      </c>
      <c r="AA1069" t="str">
        <f>""</f>
        <v/>
      </c>
      <c r="AB1069" t="s">
        <v>7427</v>
      </c>
      <c r="AC1069" t="s">
        <v>7426</v>
      </c>
      <c r="AD1069" t="s">
        <v>114</v>
      </c>
      <c r="AE1069" s="63">
        <v>45503</v>
      </c>
      <c r="AF1069" t="s">
        <v>156</v>
      </c>
      <c r="AG1069" t="s">
        <v>112</v>
      </c>
      <c r="AH1069" t="s">
        <v>112</v>
      </c>
      <c r="AI1069" s="63">
        <v>45503</v>
      </c>
      <c r="AJ1069" s="63">
        <v>45657</v>
      </c>
      <c r="AK1069" t="s">
        <v>112</v>
      </c>
      <c r="AL1069" t="s">
        <v>111</v>
      </c>
      <c r="AM1069" t="s">
        <v>111</v>
      </c>
      <c r="AN1069">
        <v>44300</v>
      </c>
      <c r="AO1069" t="s">
        <v>122</v>
      </c>
      <c r="AP1069" t="s">
        <v>122</v>
      </c>
    </row>
    <row r="1070" spans="1:42" x14ac:dyDescent="0.25">
      <c r="A1070" s="28" t="str">
        <f>"3987"</f>
        <v>3987</v>
      </c>
      <c r="B1070">
        <v>3987</v>
      </c>
      <c r="C1070" t="s">
        <v>2488</v>
      </c>
      <c r="D1070" t="s">
        <v>121</v>
      </c>
      <c r="F1070" t="s">
        <v>120</v>
      </c>
      <c r="G1070" t="s">
        <v>952</v>
      </c>
      <c r="H1070" t="s">
        <v>284</v>
      </c>
      <c r="I1070" t="s">
        <v>7425</v>
      </c>
      <c r="J1070" t="s">
        <v>7</v>
      </c>
      <c r="K1070" s="63">
        <v>25180</v>
      </c>
      <c r="L1070" s="28">
        <f>DATEDIF(K1070,Zwift25!G$1,"Y")</f>
        <v>55</v>
      </c>
      <c r="M1070" s="67">
        <f>IF(J1070="m",VLOOKUP(L1070,'All Solo Adjustments'!A:D,4,FALSE),VLOOKUP(L1070,'All Solo Adjustments'!A:J,10,FALSE))</f>
        <v>2.0601851851851853E-3</v>
      </c>
      <c r="N1070" s="63"/>
      <c r="O1070" s="63"/>
      <c r="P1070" s="63"/>
      <c r="Q1070" s="63"/>
      <c r="R1070" t="s">
        <v>137</v>
      </c>
      <c r="S1070" t="s">
        <v>136</v>
      </c>
      <c r="T1070" t="s">
        <v>292</v>
      </c>
      <c r="U1070" t="s">
        <v>7424</v>
      </c>
      <c r="V1070" t="s">
        <v>7423</v>
      </c>
      <c r="W1070" t="s">
        <v>208</v>
      </c>
      <c r="Y1070" t="s">
        <v>7422</v>
      </c>
      <c r="Z1070" t="str">
        <f>"07921078923"</f>
        <v>07921078923</v>
      </c>
      <c r="AA1070" t="str">
        <f>"01243389306"</f>
        <v>01243389306</v>
      </c>
      <c r="AB1070" t="s">
        <v>378</v>
      </c>
      <c r="AC1070" t="s">
        <v>7421</v>
      </c>
      <c r="AD1070" t="s">
        <v>114</v>
      </c>
      <c r="AE1070" s="63">
        <v>45317</v>
      </c>
      <c r="AF1070" t="s">
        <v>156</v>
      </c>
      <c r="AG1070" t="s">
        <v>112</v>
      </c>
      <c r="AH1070" t="s">
        <v>112</v>
      </c>
      <c r="AI1070" s="63">
        <v>40340</v>
      </c>
      <c r="AJ1070" s="63">
        <v>45657</v>
      </c>
      <c r="AK1070" t="s">
        <v>111</v>
      </c>
      <c r="AL1070" t="s">
        <v>111</v>
      </c>
      <c r="AM1070" t="s">
        <v>111</v>
      </c>
      <c r="AN1070">
        <v>1940</v>
      </c>
      <c r="AO1070" t="s">
        <v>110</v>
      </c>
      <c r="AP1070" t="s">
        <v>109</v>
      </c>
    </row>
    <row r="1071" spans="1:42" x14ac:dyDescent="0.25">
      <c r="A1071" s="28" t="str">
        <f>"15360"</f>
        <v>15360</v>
      </c>
      <c r="B1071">
        <v>15360</v>
      </c>
      <c r="C1071" t="s">
        <v>2488</v>
      </c>
      <c r="D1071" t="s">
        <v>121</v>
      </c>
      <c r="F1071" t="s">
        <v>120</v>
      </c>
      <c r="G1071" t="s">
        <v>489</v>
      </c>
      <c r="I1071" t="s">
        <v>1715</v>
      </c>
      <c r="J1071" t="s">
        <v>7</v>
      </c>
      <c r="K1071" s="63">
        <v>27385</v>
      </c>
      <c r="L1071" s="28">
        <f>DATEDIF(K1071,Zwift25!G$1,"Y")</f>
        <v>49</v>
      </c>
      <c r="M1071" s="67">
        <f>IF(J1071="m",VLOOKUP(L1071,'All Solo Adjustments'!A:D,4,FALSE),VLOOKUP(L1071,'All Solo Adjustments'!A:J,10,FALSE))</f>
        <v>9.837962962962962E-4</v>
      </c>
      <c r="N1071" s="63"/>
      <c r="O1071" s="63"/>
      <c r="P1071" s="63"/>
      <c r="Q1071" s="63"/>
      <c r="R1071" t="s">
        <v>137</v>
      </c>
      <c r="S1071" t="s">
        <v>136</v>
      </c>
      <c r="T1071" t="s">
        <v>292</v>
      </c>
      <c r="U1071" t="s">
        <v>7420</v>
      </c>
      <c r="W1071" t="s">
        <v>3913</v>
      </c>
      <c r="X1071" t="s">
        <v>564</v>
      </c>
      <c r="Y1071" t="s">
        <v>7419</v>
      </c>
      <c r="Z1071" t="str">
        <f>"07894437894"</f>
        <v>07894437894</v>
      </c>
      <c r="AA1071" t="str">
        <f>""</f>
        <v/>
      </c>
      <c r="AB1071" t="s">
        <v>1394</v>
      </c>
      <c r="AC1071" t="s">
        <v>7418</v>
      </c>
      <c r="AD1071" t="s">
        <v>114</v>
      </c>
      <c r="AE1071" s="63">
        <v>45304</v>
      </c>
      <c r="AF1071" t="s">
        <v>156</v>
      </c>
      <c r="AG1071" t="s">
        <v>112</v>
      </c>
      <c r="AH1071" t="s">
        <v>112</v>
      </c>
      <c r="AI1071" s="63">
        <v>44598</v>
      </c>
      <c r="AJ1071" s="63">
        <v>45657</v>
      </c>
      <c r="AK1071" t="s">
        <v>112</v>
      </c>
      <c r="AL1071" t="s">
        <v>111</v>
      </c>
      <c r="AM1071" t="s">
        <v>111</v>
      </c>
      <c r="AN1071">
        <v>27808</v>
      </c>
      <c r="AO1071" t="s">
        <v>110</v>
      </c>
      <c r="AP1071" t="s">
        <v>109</v>
      </c>
    </row>
    <row r="1072" spans="1:42" x14ac:dyDescent="0.25">
      <c r="A1072" s="28" t="str">
        <f>"4393"</f>
        <v>4393</v>
      </c>
      <c r="B1072">
        <v>4393</v>
      </c>
      <c r="C1072" t="s">
        <v>2488</v>
      </c>
      <c r="D1072" t="s">
        <v>121</v>
      </c>
      <c r="E1072" t="s">
        <v>584</v>
      </c>
      <c r="F1072" t="s">
        <v>120</v>
      </c>
      <c r="G1072" t="s">
        <v>546</v>
      </c>
      <c r="H1072" t="s">
        <v>359</v>
      </c>
      <c r="I1072" t="s">
        <v>7417</v>
      </c>
      <c r="J1072" t="s">
        <v>7</v>
      </c>
      <c r="K1072" s="63">
        <v>25806</v>
      </c>
      <c r="L1072" s="28">
        <f>DATEDIF(K1072,Zwift25!G$1,"Y")</f>
        <v>54</v>
      </c>
      <c r="M1072" s="67">
        <f>IF(J1072="m",VLOOKUP(L1072,'All Solo Adjustments'!A:D,4,FALSE),VLOOKUP(L1072,'All Solo Adjustments'!A:J,10,FALSE))</f>
        <v>1.8518518518518517E-3</v>
      </c>
      <c r="N1072" s="63"/>
      <c r="O1072" s="63"/>
      <c r="P1072" s="63"/>
      <c r="Q1072" s="63"/>
      <c r="R1072" t="s">
        <v>213</v>
      </c>
      <c r="S1072" t="s">
        <v>212</v>
      </c>
      <c r="T1072" t="s">
        <v>292</v>
      </c>
      <c r="U1072" t="s">
        <v>7416</v>
      </c>
      <c r="V1072" t="s">
        <v>671</v>
      </c>
      <c r="W1072" t="s">
        <v>213</v>
      </c>
      <c r="Y1072" t="s">
        <v>7415</v>
      </c>
      <c r="Z1072" t="str">
        <f>"07711448609"</f>
        <v>07711448609</v>
      </c>
      <c r="AA1072" t="str">
        <f>"0151 482 7359"</f>
        <v>0151 482 7359</v>
      </c>
      <c r="AB1072" t="s">
        <v>670</v>
      </c>
      <c r="AC1072" t="s">
        <v>7414</v>
      </c>
      <c r="AD1072" t="s">
        <v>114</v>
      </c>
      <c r="AE1072" s="63">
        <v>45346</v>
      </c>
      <c r="AF1072" t="s">
        <v>156</v>
      </c>
      <c r="AG1072" t="s">
        <v>112</v>
      </c>
      <c r="AH1072" t="s">
        <v>112</v>
      </c>
      <c r="AI1072" s="63">
        <v>40940</v>
      </c>
      <c r="AJ1072" s="63">
        <v>45657</v>
      </c>
      <c r="AK1072" t="s">
        <v>111</v>
      </c>
      <c r="AL1072" t="s">
        <v>111</v>
      </c>
      <c r="AM1072" t="s">
        <v>111</v>
      </c>
      <c r="AN1072">
        <v>504</v>
      </c>
      <c r="AO1072" t="s">
        <v>110</v>
      </c>
      <c r="AP1072" t="s">
        <v>109</v>
      </c>
    </row>
    <row r="1073" spans="1:42" x14ac:dyDescent="0.25">
      <c r="A1073" s="28" t="str">
        <f>"15008"</f>
        <v>15008</v>
      </c>
      <c r="B1073">
        <v>15008</v>
      </c>
      <c r="C1073" t="s">
        <v>2488</v>
      </c>
      <c r="D1073" t="s">
        <v>121</v>
      </c>
      <c r="E1073" t="s">
        <v>584</v>
      </c>
      <c r="F1073" t="s">
        <v>120</v>
      </c>
      <c r="G1073" t="s">
        <v>7413</v>
      </c>
      <c r="H1073" t="s">
        <v>7412</v>
      </c>
      <c r="I1073" t="s">
        <v>7411</v>
      </c>
      <c r="J1073" t="s">
        <v>7</v>
      </c>
      <c r="K1073" s="63">
        <v>16499</v>
      </c>
      <c r="L1073" s="28">
        <f>DATEDIF(K1073,Zwift25!G$1,"Y")</f>
        <v>79</v>
      </c>
      <c r="M1073" s="67">
        <f>IF(J1073="m",VLOOKUP(L1073,'All Solo Adjustments'!A:D,4,FALSE),VLOOKUP(L1073,'All Solo Adjustments'!A:J,10,FALSE))</f>
        <v>1.0451388888888889E-2</v>
      </c>
      <c r="N1073" s="63"/>
      <c r="O1073" s="63"/>
      <c r="P1073" s="63"/>
      <c r="Q1073" s="63"/>
      <c r="R1073" t="s">
        <v>154</v>
      </c>
      <c r="S1073" t="s">
        <v>153</v>
      </c>
      <c r="T1073" t="s">
        <v>292</v>
      </c>
      <c r="U1073" t="s">
        <v>7410</v>
      </c>
      <c r="V1073" t="s">
        <v>1182</v>
      </c>
      <c r="W1073" t="s">
        <v>7409</v>
      </c>
      <c r="X1073" t="s">
        <v>152</v>
      </c>
      <c r="Y1073" t="s">
        <v>7408</v>
      </c>
      <c r="Z1073" t="str">
        <f>"01761433377"</f>
        <v>01761433377</v>
      </c>
      <c r="AA1073" t="str">
        <f>"07854388716"</f>
        <v>07854388716</v>
      </c>
      <c r="AB1073" t="s">
        <v>7407</v>
      </c>
      <c r="AC1073" t="s">
        <v>7406</v>
      </c>
      <c r="AD1073" t="s">
        <v>114</v>
      </c>
      <c r="AE1073" s="63">
        <v>45297</v>
      </c>
      <c r="AF1073" t="s">
        <v>113</v>
      </c>
      <c r="AG1073" t="s">
        <v>112</v>
      </c>
      <c r="AH1073" t="s">
        <v>112</v>
      </c>
      <c r="AI1073" s="63">
        <v>44305</v>
      </c>
      <c r="AJ1073" s="63">
        <v>45657</v>
      </c>
      <c r="AK1073" t="s">
        <v>112</v>
      </c>
      <c r="AL1073" t="s">
        <v>111</v>
      </c>
      <c r="AM1073" t="s">
        <v>111</v>
      </c>
      <c r="AN1073">
        <v>4648</v>
      </c>
      <c r="AO1073" t="s">
        <v>110</v>
      </c>
      <c r="AP1073" t="s">
        <v>109</v>
      </c>
    </row>
    <row r="1074" spans="1:42" x14ac:dyDescent="0.25">
      <c r="A1074" s="28" t="str">
        <f>"15492"</f>
        <v>15492</v>
      </c>
      <c r="B1074">
        <v>15492</v>
      </c>
      <c r="C1074" t="s">
        <v>2488</v>
      </c>
      <c r="D1074" t="s">
        <v>121</v>
      </c>
      <c r="F1074" t="s">
        <v>120</v>
      </c>
      <c r="G1074" t="s">
        <v>536</v>
      </c>
      <c r="I1074" t="s">
        <v>1749</v>
      </c>
      <c r="J1074" t="s">
        <v>7</v>
      </c>
      <c r="K1074" s="63">
        <v>29931</v>
      </c>
      <c r="L1074" s="28">
        <f>DATEDIF(K1074,Zwift25!G$1,"Y")</f>
        <v>42</v>
      </c>
      <c r="M1074" s="67">
        <f>IF(J1074="m",VLOOKUP(L1074,'All Solo Adjustments'!A:D,4,FALSE),VLOOKUP(L1074,'All Solo Adjustments'!A:J,10,FALSE))</f>
        <v>1.5046296296296295E-4</v>
      </c>
      <c r="N1074" s="63"/>
      <c r="O1074" s="63"/>
      <c r="P1074" s="63"/>
      <c r="Q1074" s="63"/>
      <c r="R1074" t="s">
        <v>118</v>
      </c>
      <c r="S1074" t="s">
        <v>117</v>
      </c>
      <c r="T1074" t="s">
        <v>292</v>
      </c>
      <c r="U1074" t="s">
        <v>7405</v>
      </c>
      <c r="W1074" t="s">
        <v>4265</v>
      </c>
      <c r="X1074" t="s">
        <v>1170</v>
      </c>
      <c r="Y1074" t="s">
        <v>7404</v>
      </c>
      <c r="Z1074" t="str">
        <f>"07759808444"</f>
        <v>07759808444</v>
      </c>
      <c r="AA1074" t="str">
        <f>""</f>
        <v/>
      </c>
      <c r="AB1074" t="s">
        <v>7403</v>
      </c>
      <c r="AC1074" t="s">
        <v>7402</v>
      </c>
      <c r="AD1074" t="s">
        <v>114</v>
      </c>
      <c r="AE1074" s="63">
        <v>45279</v>
      </c>
      <c r="AF1074" t="s">
        <v>113</v>
      </c>
      <c r="AG1074" t="s">
        <v>112</v>
      </c>
      <c r="AH1074" t="s">
        <v>112</v>
      </c>
      <c r="AI1074" s="63">
        <v>44693</v>
      </c>
      <c r="AJ1074" s="63">
        <v>45657</v>
      </c>
      <c r="AK1074" t="s">
        <v>112</v>
      </c>
      <c r="AL1074" t="s">
        <v>111</v>
      </c>
      <c r="AM1074" t="s">
        <v>111</v>
      </c>
      <c r="AN1074">
        <v>4707</v>
      </c>
      <c r="AO1074" t="s">
        <v>110</v>
      </c>
      <c r="AP1074" t="s">
        <v>109</v>
      </c>
    </row>
    <row r="1075" spans="1:42" x14ac:dyDescent="0.25">
      <c r="A1075" s="28" t="str">
        <f>"15536"</f>
        <v>15536</v>
      </c>
      <c r="B1075">
        <v>15536</v>
      </c>
      <c r="C1075" t="s">
        <v>2488</v>
      </c>
      <c r="D1075" t="s">
        <v>121</v>
      </c>
      <c r="E1075" t="s">
        <v>584</v>
      </c>
      <c r="F1075" t="s">
        <v>120</v>
      </c>
      <c r="G1075" t="s">
        <v>6887</v>
      </c>
      <c r="I1075" t="s">
        <v>7401</v>
      </c>
      <c r="J1075" t="s">
        <v>7</v>
      </c>
      <c r="K1075" s="63">
        <v>26658</v>
      </c>
      <c r="L1075" s="28">
        <f>DATEDIF(K1075,Zwift25!G$1,"Y")</f>
        <v>51</v>
      </c>
      <c r="M1075" s="67">
        <f>IF(J1075="m",VLOOKUP(L1075,'All Solo Adjustments'!A:D,4,FALSE),VLOOKUP(L1075,'All Solo Adjustments'!A:J,10,FALSE))</f>
        <v>1.3078703703703703E-3</v>
      </c>
      <c r="N1075" s="63"/>
      <c r="O1075" s="63"/>
      <c r="P1075" s="63"/>
      <c r="Q1075" s="63"/>
      <c r="R1075" t="s">
        <v>184</v>
      </c>
      <c r="S1075" t="s">
        <v>183</v>
      </c>
      <c r="T1075" t="s">
        <v>292</v>
      </c>
      <c r="U1075" t="s">
        <v>7400</v>
      </c>
      <c r="V1075" t="s">
        <v>1573</v>
      </c>
      <c r="Y1075" t="s">
        <v>7399</v>
      </c>
      <c r="Z1075" t="str">
        <f>"07771725766"</f>
        <v>07771725766</v>
      </c>
      <c r="AA1075" t="str">
        <f>""</f>
        <v/>
      </c>
      <c r="AB1075" t="s">
        <v>7398</v>
      </c>
      <c r="AC1075" t="s">
        <v>7397</v>
      </c>
      <c r="AD1075" t="s">
        <v>114</v>
      </c>
      <c r="AE1075" s="63">
        <v>45292</v>
      </c>
      <c r="AF1075" t="s">
        <v>113</v>
      </c>
      <c r="AG1075" t="s">
        <v>112</v>
      </c>
      <c r="AH1075" t="s">
        <v>112</v>
      </c>
      <c r="AI1075" s="63">
        <v>44739</v>
      </c>
      <c r="AJ1075" s="63">
        <v>45657</v>
      </c>
      <c r="AK1075" t="s">
        <v>112</v>
      </c>
      <c r="AL1075" t="s">
        <v>111</v>
      </c>
      <c r="AM1075" t="s">
        <v>111</v>
      </c>
      <c r="AN1075">
        <v>38958</v>
      </c>
      <c r="AO1075" t="s">
        <v>110</v>
      </c>
      <c r="AP1075" t="s">
        <v>109</v>
      </c>
    </row>
    <row r="1076" spans="1:42" x14ac:dyDescent="0.25">
      <c r="A1076" s="28" t="str">
        <f>"15823"</f>
        <v>15823</v>
      </c>
      <c r="B1076">
        <v>15823</v>
      </c>
      <c r="C1076" t="s">
        <v>2488</v>
      </c>
      <c r="D1076" t="s">
        <v>121</v>
      </c>
      <c r="E1076" t="s">
        <v>584</v>
      </c>
      <c r="F1076" t="s">
        <v>120</v>
      </c>
      <c r="G1076" t="s">
        <v>332</v>
      </c>
      <c r="I1076" t="s">
        <v>7396</v>
      </c>
      <c r="J1076" t="s">
        <v>7</v>
      </c>
      <c r="K1076" s="63">
        <v>21328</v>
      </c>
      <c r="L1076" s="28">
        <f>DATEDIF(K1076,Zwift25!G$1,"Y")</f>
        <v>66</v>
      </c>
      <c r="M1076" s="67">
        <f>IF(J1076="m",VLOOKUP(L1076,'All Solo Adjustments'!A:D,4,FALSE),VLOOKUP(L1076,'All Solo Adjustments'!A:J,10,FALSE))</f>
        <v>4.9421296296296297E-3</v>
      </c>
      <c r="N1076" s="63"/>
      <c r="O1076" s="63"/>
      <c r="P1076" s="63"/>
      <c r="Q1076" s="63"/>
      <c r="R1076" t="s">
        <v>184</v>
      </c>
      <c r="S1076" t="s">
        <v>183</v>
      </c>
      <c r="T1076" t="s">
        <v>292</v>
      </c>
      <c r="U1076" t="s">
        <v>7395</v>
      </c>
      <c r="X1076" t="s">
        <v>271</v>
      </c>
      <c r="Y1076" t="s">
        <v>7394</v>
      </c>
      <c r="Z1076" t="str">
        <f>"07852270968"</f>
        <v>07852270968</v>
      </c>
      <c r="AA1076" t="str">
        <f>""</f>
        <v/>
      </c>
      <c r="AB1076" t="s">
        <v>2454</v>
      </c>
      <c r="AC1076" t="s">
        <v>7393</v>
      </c>
      <c r="AD1076" t="s">
        <v>114</v>
      </c>
      <c r="AE1076" s="63">
        <v>45263</v>
      </c>
      <c r="AF1076" t="s">
        <v>156</v>
      </c>
      <c r="AG1076" t="s">
        <v>112</v>
      </c>
      <c r="AH1076" t="s">
        <v>112</v>
      </c>
      <c r="AI1076" s="63">
        <v>45062</v>
      </c>
      <c r="AJ1076" s="63">
        <v>45657</v>
      </c>
      <c r="AK1076" t="s">
        <v>112</v>
      </c>
      <c r="AL1076" t="s">
        <v>111</v>
      </c>
      <c r="AM1076" t="s">
        <v>111</v>
      </c>
      <c r="AN1076">
        <v>42049</v>
      </c>
      <c r="AO1076" t="s">
        <v>110</v>
      </c>
      <c r="AP1076" t="s">
        <v>109</v>
      </c>
    </row>
    <row r="1077" spans="1:42" x14ac:dyDescent="0.25">
      <c r="A1077" s="28" t="str">
        <f>"16001"</f>
        <v>16001</v>
      </c>
      <c r="B1077">
        <v>16001</v>
      </c>
      <c r="C1077" t="s">
        <v>2488</v>
      </c>
      <c r="D1077" t="s">
        <v>121</v>
      </c>
      <c r="F1077" t="s">
        <v>120</v>
      </c>
      <c r="G1077" t="s">
        <v>251</v>
      </c>
      <c r="I1077" t="s">
        <v>1748</v>
      </c>
      <c r="J1077" t="s">
        <v>7</v>
      </c>
      <c r="K1077" s="63">
        <v>22990</v>
      </c>
      <c r="L1077" s="28">
        <f>DATEDIF(K1077,Zwift25!G$1,"Y")</f>
        <v>61</v>
      </c>
      <c r="M1077" s="67">
        <f>IF(J1077="m",VLOOKUP(L1077,'All Solo Adjustments'!A:D,4,FALSE),VLOOKUP(L1077,'All Solo Adjustments'!A:J,10,FALSE))</f>
        <v>3.4722222222222225E-3</v>
      </c>
      <c r="N1077" s="63"/>
      <c r="O1077" s="63"/>
      <c r="P1077" s="63"/>
      <c r="Q1077" s="63"/>
      <c r="R1077" t="s">
        <v>527</v>
      </c>
      <c r="S1077" t="s">
        <v>526</v>
      </c>
      <c r="T1077" t="s">
        <v>292</v>
      </c>
      <c r="U1077" t="s">
        <v>7392</v>
      </c>
      <c r="V1077" t="s">
        <v>7391</v>
      </c>
      <c r="Y1077" t="s">
        <v>7390</v>
      </c>
      <c r="Z1077" t="str">
        <f>"07711658233"</f>
        <v>07711658233</v>
      </c>
      <c r="AA1077" t="str">
        <f>""</f>
        <v/>
      </c>
      <c r="AB1077" t="s">
        <v>1627</v>
      </c>
      <c r="AC1077" t="s">
        <v>7389</v>
      </c>
      <c r="AD1077" t="s">
        <v>114</v>
      </c>
      <c r="AE1077" s="63">
        <v>45308</v>
      </c>
      <c r="AF1077" t="s">
        <v>156</v>
      </c>
      <c r="AG1077" t="s">
        <v>112</v>
      </c>
      <c r="AH1077" t="s">
        <v>112</v>
      </c>
      <c r="AI1077" s="63">
        <v>45308</v>
      </c>
      <c r="AJ1077" s="63">
        <v>45657</v>
      </c>
      <c r="AK1077" t="s">
        <v>112</v>
      </c>
      <c r="AL1077" t="s">
        <v>111</v>
      </c>
      <c r="AM1077" t="s">
        <v>111</v>
      </c>
      <c r="AN1077">
        <v>40982</v>
      </c>
      <c r="AO1077" t="s">
        <v>110</v>
      </c>
      <c r="AP1077" t="s">
        <v>109</v>
      </c>
    </row>
    <row r="1078" spans="1:42" x14ac:dyDescent="0.25">
      <c r="A1078" s="28" t="str">
        <f>"1377"</f>
        <v>1377</v>
      </c>
      <c r="B1078">
        <v>1377</v>
      </c>
      <c r="C1078" t="s">
        <v>2488</v>
      </c>
      <c r="D1078" t="s">
        <v>121</v>
      </c>
      <c r="F1078" t="s">
        <v>120</v>
      </c>
      <c r="G1078" t="s">
        <v>1847</v>
      </c>
      <c r="I1078" t="s">
        <v>7380</v>
      </c>
      <c r="J1078" t="s">
        <v>7</v>
      </c>
      <c r="K1078" s="63">
        <v>12699</v>
      </c>
      <c r="L1078" s="28">
        <f>DATEDIF(K1078,Zwift25!G$1,"Y")</f>
        <v>90</v>
      </c>
      <c r="M1078" s="67">
        <f>IF(J1078="m",VLOOKUP(L1078,'All Solo Adjustments'!A:D,4,FALSE),VLOOKUP(L1078,'All Solo Adjustments'!A:J,10,FALSE))</f>
        <v>1.8391203703703705E-2</v>
      </c>
      <c r="N1078" s="63"/>
      <c r="O1078" s="63"/>
      <c r="P1078" s="63"/>
      <c r="Q1078" s="63"/>
      <c r="R1078" t="s">
        <v>125</v>
      </c>
      <c r="S1078" t="s">
        <v>170</v>
      </c>
      <c r="T1078" t="s">
        <v>292</v>
      </c>
      <c r="U1078" t="s">
        <v>7388</v>
      </c>
      <c r="V1078" t="s">
        <v>7387</v>
      </c>
      <c r="W1078" t="s">
        <v>225</v>
      </c>
      <c r="X1078" t="s">
        <v>123</v>
      </c>
      <c r="Y1078" t="s">
        <v>7386</v>
      </c>
      <c r="Z1078" t="str">
        <f>"01206 241780"</f>
        <v>01206 241780</v>
      </c>
      <c r="AA1078" t="str">
        <f>""</f>
        <v/>
      </c>
      <c r="AB1078" t="s">
        <v>630</v>
      </c>
      <c r="AC1078" t="s">
        <v>7385</v>
      </c>
      <c r="AD1078" t="s">
        <v>114</v>
      </c>
      <c r="AE1078" s="63">
        <v>45262</v>
      </c>
      <c r="AF1078" t="s">
        <v>113</v>
      </c>
      <c r="AG1078" t="s">
        <v>112</v>
      </c>
      <c r="AH1078" t="s">
        <v>112</v>
      </c>
      <c r="AI1078" s="63">
        <v>37653</v>
      </c>
      <c r="AJ1078" s="63">
        <v>45657</v>
      </c>
      <c r="AK1078" t="s">
        <v>111</v>
      </c>
      <c r="AL1078" t="s">
        <v>111</v>
      </c>
      <c r="AM1078" t="s">
        <v>111</v>
      </c>
      <c r="AN1078">
        <v>25616</v>
      </c>
      <c r="AO1078" t="s">
        <v>110</v>
      </c>
      <c r="AP1078" t="s">
        <v>109</v>
      </c>
    </row>
    <row r="1079" spans="1:42" x14ac:dyDescent="0.25">
      <c r="A1079" s="28" t="str">
        <f>"14151"</f>
        <v>14151</v>
      </c>
      <c r="B1079">
        <v>14151</v>
      </c>
      <c r="C1079" t="s">
        <v>2488</v>
      </c>
      <c r="D1079" t="s">
        <v>121</v>
      </c>
      <c r="F1079" t="s">
        <v>120</v>
      </c>
      <c r="G1079" t="s">
        <v>400</v>
      </c>
      <c r="I1079" t="s">
        <v>7380</v>
      </c>
      <c r="J1079" t="s">
        <v>7</v>
      </c>
      <c r="K1079" s="63">
        <v>23784</v>
      </c>
      <c r="L1079" s="28">
        <f>DATEDIF(K1079,Zwift25!G$1,"Y")</f>
        <v>59</v>
      </c>
      <c r="M1079" s="67">
        <f>IF(J1079="m",VLOOKUP(L1079,'All Solo Adjustments'!A:D,4,FALSE),VLOOKUP(L1079,'All Solo Adjustments'!A:J,10,FALSE))</f>
        <v>2.9629629629629632E-3</v>
      </c>
      <c r="N1079" s="63"/>
      <c r="O1079" s="63"/>
      <c r="P1079" s="63"/>
      <c r="Q1079" s="63"/>
      <c r="R1079" t="s">
        <v>283</v>
      </c>
      <c r="S1079" t="s">
        <v>530</v>
      </c>
      <c r="T1079" t="s">
        <v>292</v>
      </c>
      <c r="U1079" t="s">
        <v>7384</v>
      </c>
      <c r="W1079" t="s">
        <v>1062</v>
      </c>
      <c r="X1079" t="s">
        <v>279</v>
      </c>
      <c r="Y1079" t="s">
        <v>7383</v>
      </c>
      <c r="Z1079" t="str">
        <f>"02476341065"</f>
        <v>02476341065</v>
      </c>
      <c r="AA1079" t="str">
        <f>"07855110061"</f>
        <v>07855110061</v>
      </c>
      <c r="AB1079" t="s">
        <v>7382</v>
      </c>
      <c r="AC1079" t="s">
        <v>7381</v>
      </c>
      <c r="AD1079" t="s">
        <v>114</v>
      </c>
      <c r="AE1079" s="63">
        <v>45373</v>
      </c>
      <c r="AF1079" t="s">
        <v>156</v>
      </c>
      <c r="AG1079" t="s">
        <v>112</v>
      </c>
      <c r="AH1079" t="s">
        <v>112</v>
      </c>
      <c r="AI1079" s="63">
        <v>43561</v>
      </c>
      <c r="AJ1079" s="63">
        <v>45657</v>
      </c>
      <c r="AK1079" t="s">
        <v>112</v>
      </c>
      <c r="AL1079" t="s">
        <v>111</v>
      </c>
      <c r="AM1079" t="s">
        <v>111</v>
      </c>
      <c r="AN1079">
        <v>2121</v>
      </c>
      <c r="AO1079" t="s">
        <v>110</v>
      </c>
      <c r="AP1079" t="s">
        <v>109</v>
      </c>
    </row>
    <row r="1080" spans="1:42" x14ac:dyDescent="0.25">
      <c r="A1080" s="28" t="str">
        <f>"15374"</f>
        <v>15374</v>
      </c>
      <c r="B1080">
        <v>15374</v>
      </c>
      <c r="C1080" t="s">
        <v>2488</v>
      </c>
      <c r="D1080" t="s">
        <v>121</v>
      </c>
      <c r="F1080" t="s">
        <v>120</v>
      </c>
      <c r="G1080" t="s">
        <v>164</v>
      </c>
      <c r="I1080" t="s">
        <v>7380</v>
      </c>
      <c r="J1080" t="s">
        <v>7</v>
      </c>
      <c r="K1080" s="63">
        <v>23895</v>
      </c>
      <c r="L1080" s="28">
        <f>DATEDIF(K1080,Zwift25!G$1,"Y")</f>
        <v>59</v>
      </c>
      <c r="M1080" s="67">
        <f>IF(J1080="m",VLOOKUP(L1080,'All Solo Adjustments'!A:D,4,FALSE),VLOOKUP(L1080,'All Solo Adjustments'!A:J,10,FALSE))</f>
        <v>2.9629629629629632E-3</v>
      </c>
      <c r="N1080" s="63"/>
      <c r="O1080" s="63"/>
      <c r="P1080" s="63"/>
      <c r="Q1080" s="63"/>
      <c r="R1080" t="s">
        <v>184</v>
      </c>
      <c r="S1080" t="s">
        <v>183</v>
      </c>
      <c r="T1080" t="s">
        <v>292</v>
      </c>
      <c r="U1080" t="s">
        <v>7379</v>
      </c>
      <c r="V1080" t="s">
        <v>829</v>
      </c>
      <c r="W1080" t="s">
        <v>828</v>
      </c>
      <c r="Y1080" t="s">
        <v>7378</v>
      </c>
      <c r="Z1080" t="str">
        <f>"07764 164913"</f>
        <v>07764 164913</v>
      </c>
      <c r="AA1080" t="str">
        <f>""</f>
        <v/>
      </c>
      <c r="AB1080" t="s">
        <v>290</v>
      </c>
      <c r="AC1080" t="s">
        <v>7377</v>
      </c>
      <c r="AD1080" t="s">
        <v>114</v>
      </c>
      <c r="AE1080" s="63">
        <v>45329</v>
      </c>
      <c r="AF1080" t="s">
        <v>156</v>
      </c>
      <c r="AG1080" t="s">
        <v>112</v>
      </c>
      <c r="AH1080" t="s">
        <v>112</v>
      </c>
      <c r="AI1080" s="63">
        <v>44610</v>
      </c>
      <c r="AJ1080" s="63">
        <v>45657</v>
      </c>
      <c r="AK1080" t="s">
        <v>112</v>
      </c>
      <c r="AL1080" t="s">
        <v>112</v>
      </c>
      <c r="AM1080" t="s">
        <v>112</v>
      </c>
      <c r="AN1080">
        <v>12493</v>
      </c>
      <c r="AO1080" t="s">
        <v>110</v>
      </c>
      <c r="AP1080" t="s">
        <v>109</v>
      </c>
    </row>
    <row r="1081" spans="1:42" x14ac:dyDescent="0.25">
      <c r="A1081" s="28" t="str">
        <f>"15445"</f>
        <v>15445</v>
      </c>
      <c r="B1081">
        <v>15445</v>
      </c>
      <c r="C1081" t="s">
        <v>2488</v>
      </c>
      <c r="D1081" t="s">
        <v>121</v>
      </c>
      <c r="F1081" t="s">
        <v>120</v>
      </c>
      <c r="G1081" t="s">
        <v>359</v>
      </c>
      <c r="I1081" t="s">
        <v>7376</v>
      </c>
      <c r="J1081" t="s">
        <v>7</v>
      </c>
      <c r="K1081" s="63">
        <v>27216</v>
      </c>
      <c r="L1081" s="28">
        <f>DATEDIF(K1081,Zwift25!G$1,"Y")</f>
        <v>50</v>
      </c>
      <c r="M1081" s="67">
        <f>IF(J1081="m",VLOOKUP(L1081,'All Solo Adjustments'!A:D,4,FALSE),VLOOKUP(L1081,'All Solo Adjustments'!A:J,10,FALSE))</f>
        <v>1.1342592592592591E-3</v>
      </c>
      <c r="N1081" s="63"/>
      <c r="O1081" s="63"/>
      <c r="P1081" s="63"/>
      <c r="Q1081" s="63"/>
      <c r="R1081" t="s">
        <v>125</v>
      </c>
      <c r="S1081" t="s">
        <v>170</v>
      </c>
      <c r="T1081" t="s">
        <v>292</v>
      </c>
      <c r="U1081" t="s">
        <v>7375</v>
      </c>
      <c r="V1081" t="s">
        <v>7374</v>
      </c>
      <c r="Y1081" t="s">
        <v>7373</v>
      </c>
      <c r="Z1081" t="str">
        <f>"07500343334"</f>
        <v>07500343334</v>
      </c>
      <c r="AA1081" t="str">
        <f>""</f>
        <v/>
      </c>
      <c r="AB1081" t="s">
        <v>7372</v>
      </c>
      <c r="AC1081" t="s">
        <v>7371</v>
      </c>
      <c r="AD1081" t="s">
        <v>114</v>
      </c>
      <c r="AE1081" s="63">
        <v>45293</v>
      </c>
      <c r="AF1081" t="s">
        <v>156</v>
      </c>
      <c r="AG1081" t="s">
        <v>112</v>
      </c>
      <c r="AH1081" t="s">
        <v>112</v>
      </c>
      <c r="AI1081" s="63">
        <v>44661</v>
      </c>
      <c r="AJ1081" s="63">
        <v>45657</v>
      </c>
      <c r="AK1081" t="s">
        <v>112</v>
      </c>
      <c r="AL1081" t="s">
        <v>111</v>
      </c>
      <c r="AM1081" t="s">
        <v>111</v>
      </c>
      <c r="AN1081">
        <v>38963</v>
      </c>
      <c r="AO1081" t="s">
        <v>110</v>
      </c>
      <c r="AP1081" t="s">
        <v>109</v>
      </c>
    </row>
    <row r="1082" spans="1:42" x14ac:dyDescent="0.25">
      <c r="A1082" s="28" t="str">
        <f>"15547"</f>
        <v>15547</v>
      </c>
      <c r="B1082">
        <v>15547</v>
      </c>
      <c r="C1082" t="s">
        <v>2488</v>
      </c>
      <c r="D1082" t="s">
        <v>121</v>
      </c>
      <c r="E1082" t="s">
        <v>584</v>
      </c>
      <c r="F1082" t="s">
        <v>120</v>
      </c>
      <c r="G1082" t="s">
        <v>171</v>
      </c>
      <c r="H1082" t="s">
        <v>359</v>
      </c>
      <c r="I1082" t="s">
        <v>1044</v>
      </c>
      <c r="J1082" t="s">
        <v>7</v>
      </c>
      <c r="K1082" s="63">
        <v>30135</v>
      </c>
      <c r="L1082" s="28">
        <f>DATEDIF(K1082,Zwift25!G$1,"Y")</f>
        <v>42</v>
      </c>
      <c r="M1082" s="67">
        <f>IF(J1082="m",VLOOKUP(L1082,'All Solo Adjustments'!A:D,4,FALSE),VLOOKUP(L1082,'All Solo Adjustments'!A:J,10,FALSE))</f>
        <v>1.5046296296296295E-4</v>
      </c>
      <c r="N1082" s="63"/>
      <c r="O1082" s="63"/>
      <c r="P1082" s="63"/>
      <c r="Q1082" s="63"/>
      <c r="R1082" t="s">
        <v>527</v>
      </c>
      <c r="S1082" t="s">
        <v>526</v>
      </c>
      <c r="T1082" t="s">
        <v>292</v>
      </c>
      <c r="U1082" t="s">
        <v>7370</v>
      </c>
      <c r="V1082" t="s">
        <v>1249</v>
      </c>
      <c r="W1082" t="s">
        <v>7369</v>
      </c>
      <c r="Y1082" t="s">
        <v>7368</v>
      </c>
      <c r="Z1082" t="str">
        <f>"07958288288"</f>
        <v>07958288288</v>
      </c>
      <c r="AA1082" t="str">
        <f>""</f>
        <v/>
      </c>
      <c r="AB1082" t="s">
        <v>1226</v>
      </c>
      <c r="AC1082" t="s">
        <v>7367</v>
      </c>
      <c r="AD1082" t="s">
        <v>114</v>
      </c>
      <c r="AE1082" s="63">
        <v>45299</v>
      </c>
      <c r="AF1082" t="s">
        <v>113</v>
      </c>
      <c r="AG1082" t="s">
        <v>112</v>
      </c>
      <c r="AH1082" t="s">
        <v>112</v>
      </c>
      <c r="AI1082" s="63">
        <v>44745</v>
      </c>
      <c r="AJ1082" s="63">
        <v>45657</v>
      </c>
      <c r="AK1082" t="s">
        <v>112</v>
      </c>
      <c r="AL1082" t="s">
        <v>111</v>
      </c>
      <c r="AM1082" t="s">
        <v>111</v>
      </c>
      <c r="AN1082">
        <v>38137</v>
      </c>
      <c r="AO1082" t="s">
        <v>110</v>
      </c>
      <c r="AP1082" t="s">
        <v>109</v>
      </c>
    </row>
    <row r="1083" spans="1:42" x14ac:dyDescent="0.25">
      <c r="A1083" s="28" t="str">
        <f>"15097"</f>
        <v>15097</v>
      </c>
      <c r="B1083">
        <v>15097</v>
      </c>
      <c r="C1083" t="s">
        <v>2488</v>
      </c>
      <c r="D1083" t="s">
        <v>121</v>
      </c>
      <c r="F1083" t="s">
        <v>120</v>
      </c>
      <c r="G1083" t="s">
        <v>442</v>
      </c>
      <c r="H1083" t="s">
        <v>705</v>
      </c>
      <c r="I1083" t="s">
        <v>7366</v>
      </c>
      <c r="J1083" t="s">
        <v>7</v>
      </c>
      <c r="K1083" s="63">
        <v>19892</v>
      </c>
      <c r="L1083" s="28">
        <f>DATEDIF(K1083,Zwift25!G$1,"Y")</f>
        <v>70</v>
      </c>
      <c r="M1083" s="67">
        <f>IF(J1083="m",VLOOKUP(L1083,'All Solo Adjustments'!A:D,4,FALSE),VLOOKUP(L1083,'All Solo Adjustments'!A:J,10,FALSE))</f>
        <v>6.3425925925925924E-3</v>
      </c>
      <c r="N1083" s="63"/>
      <c r="O1083" s="63"/>
      <c r="P1083" s="63"/>
      <c r="Q1083" s="63"/>
      <c r="R1083" t="s">
        <v>125</v>
      </c>
      <c r="S1083" t="s">
        <v>170</v>
      </c>
      <c r="T1083" t="s">
        <v>292</v>
      </c>
      <c r="U1083" t="s">
        <v>7365</v>
      </c>
      <c r="V1083" t="s">
        <v>7364</v>
      </c>
      <c r="W1083" t="s">
        <v>7363</v>
      </c>
      <c r="X1083" t="s">
        <v>123</v>
      </c>
      <c r="Y1083" t="s">
        <v>7362</v>
      </c>
      <c r="Z1083" t="str">
        <f>"01277823472"</f>
        <v>01277823472</v>
      </c>
      <c r="AA1083" t="str">
        <f>"07932646417"</f>
        <v>07932646417</v>
      </c>
      <c r="AB1083" t="s">
        <v>6916</v>
      </c>
      <c r="AC1083" t="s">
        <v>7361</v>
      </c>
      <c r="AD1083" t="s">
        <v>114</v>
      </c>
      <c r="AE1083" s="63">
        <v>45292</v>
      </c>
      <c r="AF1083" t="s">
        <v>156</v>
      </c>
      <c r="AG1083" t="s">
        <v>112</v>
      </c>
      <c r="AH1083" t="s">
        <v>112</v>
      </c>
      <c r="AI1083" s="63">
        <v>44347</v>
      </c>
      <c r="AJ1083" s="63">
        <v>45657</v>
      </c>
      <c r="AK1083" t="s">
        <v>112</v>
      </c>
      <c r="AL1083" t="s">
        <v>111</v>
      </c>
      <c r="AM1083" t="s">
        <v>111</v>
      </c>
      <c r="AN1083">
        <v>20595</v>
      </c>
      <c r="AO1083" t="s">
        <v>110</v>
      </c>
      <c r="AP1083" t="s">
        <v>109</v>
      </c>
    </row>
    <row r="1084" spans="1:42" x14ac:dyDescent="0.25">
      <c r="A1084" s="28" t="str">
        <f>"15874"</f>
        <v>15874</v>
      </c>
      <c r="B1084">
        <v>15874</v>
      </c>
      <c r="C1084" t="s">
        <v>2488</v>
      </c>
      <c r="D1084" t="s">
        <v>121</v>
      </c>
      <c r="E1084" t="s">
        <v>584</v>
      </c>
      <c r="F1084" t="s">
        <v>120</v>
      </c>
      <c r="G1084" t="s">
        <v>251</v>
      </c>
      <c r="I1084" t="s">
        <v>7360</v>
      </c>
      <c r="J1084" t="s">
        <v>7</v>
      </c>
      <c r="K1084" s="63">
        <v>23074</v>
      </c>
      <c r="L1084" s="28">
        <f>DATEDIF(K1084,Zwift25!G$1,"Y")</f>
        <v>61</v>
      </c>
      <c r="M1084" s="67">
        <f>IF(J1084="m",VLOOKUP(L1084,'All Solo Adjustments'!A:D,4,FALSE),VLOOKUP(L1084,'All Solo Adjustments'!A:J,10,FALSE))</f>
        <v>3.4722222222222225E-3</v>
      </c>
      <c r="N1084" s="63"/>
      <c r="O1084" s="63"/>
      <c r="P1084" s="63"/>
      <c r="Q1084" s="63"/>
      <c r="R1084" t="s">
        <v>180</v>
      </c>
      <c r="S1084" t="s">
        <v>179</v>
      </c>
      <c r="T1084" t="s">
        <v>292</v>
      </c>
      <c r="U1084" t="s">
        <v>7359</v>
      </c>
      <c r="V1084" t="s">
        <v>7358</v>
      </c>
      <c r="Y1084" t="s">
        <v>7357</v>
      </c>
      <c r="Z1084" t="str">
        <f>"07768272750"</f>
        <v>07768272750</v>
      </c>
      <c r="AA1084" t="str">
        <f>""</f>
        <v/>
      </c>
      <c r="AB1084" t="s">
        <v>4959</v>
      </c>
      <c r="AC1084" t="s">
        <v>7356</v>
      </c>
      <c r="AD1084" t="s">
        <v>114</v>
      </c>
      <c r="AE1084" s="63">
        <v>45263</v>
      </c>
      <c r="AF1084" t="s">
        <v>156</v>
      </c>
      <c r="AG1084" t="s">
        <v>112</v>
      </c>
      <c r="AH1084" t="s">
        <v>112</v>
      </c>
      <c r="AI1084" s="63">
        <v>45109</v>
      </c>
      <c r="AJ1084" s="63">
        <v>45657</v>
      </c>
      <c r="AK1084" t="s">
        <v>112</v>
      </c>
      <c r="AL1084" t="s">
        <v>111</v>
      </c>
      <c r="AM1084" t="s">
        <v>111</v>
      </c>
      <c r="AN1084">
        <v>15399</v>
      </c>
      <c r="AO1084" t="s">
        <v>110</v>
      </c>
      <c r="AP1084" t="s">
        <v>109</v>
      </c>
    </row>
    <row r="1085" spans="1:42" x14ac:dyDescent="0.25">
      <c r="A1085" s="28" t="str">
        <f>"6465"</f>
        <v>6465</v>
      </c>
      <c r="B1085">
        <v>6465</v>
      </c>
      <c r="C1085" t="s">
        <v>2488</v>
      </c>
      <c r="D1085" t="s">
        <v>121</v>
      </c>
      <c r="E1085" t="s">
        <v>584</v>
      </c>
      <c r="F1085" t="s">
        <v>120</v>
      </c>
      <c r="G1085" t="s">
        <v>5988</v>
      </c>
      <c r="H1085" t="s">
        <v>583</v>
      </c>
      <c r="I1085" t="s">
        <v>7355</v>
      </c>
      <c r="J1085" t="s">
        <v>7</v>
      </c>
      <c r="K1085" s="63">
        <v>23719</v>
      </c>
      <c r="L1085" s="28">
        <f>DATEDIF(K1085,Zwift25!G$1,"Y")</f>
        <v>59</v>
      </c>
      <c r="M1085" s="67">
        <f>IF(J1085="m",VLOOKUP(L1085,'All Solo Adjustments'!A:D,4,FALSE),VLOOKUP(L1085,'All Solo Adjustments'!A:J,10,FALSE))</f>
        <v>2.9629629629629632E-3</v>
      </c>
      <c r="N1085" s="63"/>
      <c r="O1085" s="63"/>
      <c r="P1085" s="63"/>
      <c r="Q1085" s="63"/>
      <c r="R1085" t="s">
        <v>213</v>
      </c>
      <c r="S1085" t="s">
        <v>212</v>
      </c>
      <c r="T1085" t="s">
        <v>292</v>
      </c>
      <c r="U1085" t="s">
        <v>7354</v>
      </c>
      <c r="V1085" t="s">
        <v>7353</v>
      </c>
      <c r="W1085" t="s">
        <v>4322</v>
      </c>
      <c r="X1085" t="s">
        <v>1225</v>
      </c>
      <c r="Y1085" t="s">
        <v>7352</v>
      </c>
      <c r="Z1085" t="str">
        <f>"07594952970"</f>
        <v>07594952970</v>
      </c>
      <c r="AA1085" t="str">
        <f>"07977244320"</f>
        <v>07977244320</v>
      </c>
      <c r="AB1085" t="s">
        <v>1113</v>
      </c>
      <c r="AC1085" t="s">
        <v>7351</v>
      </c>
      <c r="AD1085" t="s">
        <v>114</v>
      </c>
      <c r="AE1085" s="63">
        <v>45293</v>
      </c>
      <c r="AF1085" t="s">
        <v>156</v>
      </c>
      <c r="AG1085" t="s">
        <v>112</v>
      </c>
      <c r="AH1085" t="s">
        <v>112</v>
      </c>
      <c r="AI1085" s="63">
        <v>43167</v>
      </c>
      <c r="AJ1085" s="63">
        <v>45657</v>
      </c>
      <c r="AK1085" t="s">
        <v>111</v>
      </c>
      <c r="AL1085" t="s">
        <v>111</v>
      </c>
      <c r="AM1085" t="s">
        <v>111</v>
      </c>
      <c r="AN1085">
        <v>10113</v>
      </c>
      <c r="AO1085" t="s">
        <v>110</v>
      </c>
      <c r="AP1085" t="s">
        <v>109</v>
      </c>
    </row>
    <row r="1086" spans="1:42" x14ac:dyDescent="0.25">
      <c r="A1086" s="28" t="str">
        <f>"1386"</f>
        <v>1386</v>
      </c>
      <c r="B1086">
        <v>1386</v>
      </c>
      <c r="C1086" t="s">
        <v>2488</v>
      </c>
      <c r="D1086" t="s">
        <v>121</v>
      </c>
      <c r="F1086" t="s">
        <v>120</v>
      </c>
      <c r="G1086" t="s">
        <v>284</v>
      </c>
      <c r="I1086" t="s">
        <v>7345</v>
      </c>
      <c r="J1086" t="s">
        <v>7</v>
      </c>
      <c r="K1086" s="63">
        <v>10131</v>
      </c>
      <c r="L1086" s="28">
        <f>DATEDIF(K1086,Zwift25!G$1,"Y")</f>
        <v>97</v>
      </c>
      <c r="M1086" s="67">
        <f>IF(J1086="m",VLOOKUP(L1086,'All Solo Adjustments'!A:D,4,FALSE),VLOOKUP(L1086,'All Solo Adjustments'!A:J,10,FALSE))</f>
        <v>2.675925925925926E-2</v>
      </c>
      <c r="N1086" s="63"/>
      <c r="O1086" s="63"/>
      <c r="P1086" s="63"/>
      <c r="Q1086" s="63"/>
      <c r="R1086" t="s">
        <v>239</v>
      </c>
      <c r="S1086" t="s">
        <v>437</v>
      </c>
      <c r="T1086" t="s">
        <v>292</v>
      </c>
      <c r="U1086" t="s">
        <v>7350</v>
      </c>
      <c r="V1086" t="s">
        <v>627</v>
      </c>
      <c r="Y1086" t="s">
        <v>7349</v>
      </c>
      <c r="Z1086" t="str">
        <f>"0113 295 6916"</f>
        <v>0113 295 6916</v>
      </c>
      <c r="AA1086" t="str">
        <f>""</f>
        <v/>
      </c>
      <c r="AB1086" t="s">
        <v>7348</v>
      </c>
      <c r="AC1086" t="s">
        <v>7347</v>
      </c>
      <c r="AD1086" t="s">
        <v>151</v>
      </c>
      <c r="AF1086" t="s">
        <v>113</v>
      </c>
      <c r="AG1086" t="s">
        <v>112</v>
      </c>
      <c r="AH1086" t="s">
        <v>112</v>
      </c>
      <c r="AI1086" s="63">
        <v>28278</v>
      </c>
      <c r="AK1086" t="s">
        <v>111</v>
      </c>
      <c r="AL1086" t="s">
        <v>111</v>
      </c>
      <c r="AM1086" t="s">
        <v>111</v>
      </c>
      <c r="AN1086" t="s">
        <v>105</v>
      </c>
      <c r="AO1086" t="s">
        <v>110</v>
      </c>
      <c r="AP1086" t="s">
        <v>109</v>
      </c>
    </row>
    <row r="1087" spans="1:42" x14ac:dyDescent="0.25">
      <c r="A1087" s="28" t="str">
        <f>"14926"</f>
        <v>14926</v>
      </c>
      <c r="B1087">
        <v>14926</v>
      </c>
      <c r="C1087" t="s">
        <v>2488</v>
      </c>
      <c r="D1087" t="s">
        <v>121</v>
      </c>
      <c r="E1087" t="s">
        <v>3363</v>
      </c>
      <c r="F1087" t="s">
        <v>120</v>
      </c>
      <c r="G1087" t="s">
        <v>1731</v>
      </c>
      <c r="H1087" t="s">
        <v>7346</v>
      </c>
      <c r="I1087" t="s">
        <v>7345</v>
      </c>
      <c r="J1087" t="s">
        <v>7</v>
      </c>
      <c r="K1087" s="63">
        <v>19122</v>
      </c>
      <c r="L1087" s="28">
        <f>DATEDIF(K1087,Zwift25!G$1,"Y")</f>
        <v>72</v>
      </c>
      <c r="M1087" s="67">
        <f>IF(J1087="m",VLOOKUP(L1087,'All Solo Adjustments'!A:D,4,FALSE),VLOOKUP(L1087,'All Solo Adjustments'!A:J,10,FALSE))</f>
        <v>7.129629629629629E-3</v>
      </c>
      <c r="N1087" s="63"/>
      <c r="O1087" s="63"/>
      <c r="P1087" s="63"/>
      <c r="Q1087" s="63"/>
      <c r="R1087" t="s">
        <v>137</v>
      </c>
      <c r="S1087" t="s">
        <v>136</v>
      </c>
      <c r="T1087" t="s">
        <v>292</v>
      </c>
      <c r="U1087" t="s">
        <v>7344</v>
      </c>
      <c r="V1087" t="s">
        <v>7343</v>
      </c>
      <c r="W1087" t="s">
        <v>591</v>
      </c>
      <c r="X1087" t="s">
        <v>1228</v>
      </c>
      <c r="Y1087" t="s">
        <v>7342</v>
      </c>
      <c r="Z1087" t="str">
        <f>"07387269456"</f>
        <v>07387269456</v>
      </c>
      <c r="AA1087" t="str">
        <f>""</f>
        <v/>
      </c>
      <c r="AB1087" t="s">
        <v>6925</v>
      </c>
      <c r="AC1087" t="s">
        <v>7341</v>
      </c>
      <c r="AD1087" t="s">
        <v>114</v>
      </c>
      <c r="AE1087" s="63">
        <v>45264</v>
      </c>
      <c r="AF1087" t="s">
        <v>156</v>
      </c>
      <c r="AG1087" t="s">
        <v>112</v>
      </c>
      <c r="AH1087" t="s">
        <v>112</v>
      </c>
      <c r="AI1087" s="63">
        <v>44275</v>
      </c>
      <c r="AJ1087" s="63">
        <v>45657</v>
      </c>
      <c r="AK1087" t="s">
        <v>112</v>
      </c>
      <c r="AL1087" t="s">
        <v>111</v>
      </c>
      <c r="AM1087" t="s">
        <v>111</v>
      </c>
      <c r="AN1087">
        <v>37707</v>
      </c>
      <c r="AO1087" t="s">
        <v>110</v>
      </c>
      <c r="AP1087" t="s">
        <v>109</v>
      </c>
    </row>
    <row r="1088" spans="1:42" x14ac:dyDescent="0.25">
      <c r="A1088" s="28" t="str">
        <f>"5477"</f>
        <v>5477</v>
      </c>
      <c r="B1088">
        <v>5477</v>
      </c>
      <c r="C1088" t="s">
        <v>2488</v>
      </c>
      <c r="D1088" t="s">
        <v>121</v>
      </c>
      <c r="F1088" t="s">
        <v>120</v>
      </c>
      <c r="G1088" t="s">
        <v>884</v>
      </c>
      <c r="I1088" t="s">
        <v>7340</v>
      </c>
      <c r="J1088" t="s">
        <v>7</v>
      </c>
      <c r="K1088" s="63">
        <v>24511</v>
      </c>
      <c r="L1088" s="28">
        <f>DATEDIF(K1088,Zwift25!G$1,"Y")</f>
        <v>57</v>
      </c>
      <c r="M1088" s="67">
        <f>IF(J1088="m",VLOOKUP(L1088,'All Solo Adjustments'!A:D,4,FALSE),VLOOKUP(L1088,'All Solo Adjustments'!A:J,10,FALSE))</f>
        <v>2.488425925925926E-3</v>
      </c>
      <c r="N1088" s="63"/>
      <c r="O1088" s="63"/>
      <c r="P1088" s="63"/>
      <c r="Q1088" s="63"/>
      <c r="R1088" t="s">
        <v>125</v>
      </c>
      <c r="S1088" t="s">
        <v>170</v>
      </c>
      <c r="T1088" t="s">
        <v>292</v>
      </c>
      <c r="U1088" t="s">
        <v>7339</v>
      </c>
      <c r="V1088" t="s">
        <v>309</v>
      </c>
      <c r="W1088" t="s">
        <v>146</v>
      </c>
      <c r="Y1088" t="s">
        <v>7338</v>
      </c>
      <c r="Z1088" t="str">
        <f>"07919 913213"</f>
        <v>07919 913213</v>
      </c>
      <c r="AA1088" t="str">
        <f>""</f>
        <v/>
      </c>
      <c r="AB1088" t="s">
        <v>826</v>
      </c>
      <c r="AC1088" t="s">
        <v>7337</v>
      </c>
      <c r="AD1088" t="s">
        <v>114</v>
      </c>
      <c r="AE1088" s="63">
        <v>45292</v>
      </c>
      <c r="AF1088" t="s">
        <v>156</v>
      </c>
      <c r="AG1088" t="s">
        <v>111</v>
      </c>
      <c r="AH1088" t="s">
        <v>111</v>
      </c>
      <c r="AI1088" s="63">
        <v>42141</v>
      </c>
      <c r="AJ1088" s="63">
        <v>45657</v>
      </c>
      <c r="AK1088" t="s">
        <v>111</v>
      </c>
      <c r="AL1088" t="s">
        <v>111</v>
      </c>
      <c r="AM1088" t="s">
        <v>111</v>
      </c>
      <c r="AN1088">
        <v>4484</v>
      </c>
      <c r="AO1088" t="s">
        <v>110</v>
      </c>
      <c r="AP1088" t="s">
        <v>109</v>
      </c>
    </row>
    <row r="1089" spans="1:42" x14ac:dyDescent="0.25">
      <c r="A1089" s="28" t="str">
        <f>"5364"</f>
        <v>5364</v>
      </c>
      <c r="B1089">
        <v>5364</v>
      </c>
      <c r="C1089" t="s">
        <v>2488</v>
      </c>
      <c r="D1089" t="s">
        <v>121</v>
      </c>
      <c r="F1089" t="s">
        <v>120</v>
      </c>
      <c r="G1089" t="s">
        <v>241</v>
      </c>
      <c r="I1089" t="s">
        <v>7332</v>
      </c>
      <c r="J1089" t="s">
        <v>7</v>
      </c>
      <c r="K1089" s="63">
        <v>25620</v>
      </c>
      <c r="L1089" s="28">
        <f>DATEDIF(K1089,Zwift25!G$1,"Y")</f>
        <v>54</v>
      </c>
      <c r="M1089" s="67">
        <f>IF(J1089="m",VLOOKUP(L1089,'All Solo Adjustments'!A:D,4,FALSE),VLOOKUP(L1089,'All Solo Adjustments'!A:J,10,FALSE))</f>
        <v>1.8518518518518517E-3</v>
      </c>
      <c r="N1089" s="63"/>
      <c r="O1089" s="63"/>
      <c r="P1089" s="63"/>
      <c r="Q1089" s="63"/>
      <c r="R1089" t="s">
        <v>143</v>
      </c>
      <c r="S1089" t="s">
        <v>142</v>
      </c>
      <c r="T1089" t="s">
        <v>292</v>
      </c>
      <c r="U1089" t="s">
        <v>7336</v>
      </c>
      <c r="V1089" t="s">
        <v>7335</v>
      </c>
      <c r="W1089" t="s">
        <v>141</v>
      </c>
      <c r="Y1089" t="s">
        <v>7334</v>
      </c>
      <c r="Z1089" t="str">
        <f>"07986 805109"</f>
        <v>07986 805109</v>
      </c>
      <c r="AA1089" t="str">
        <f>""</f>
        <v/>
      </c>
      <c r="AB1089" t="s">
        <v>3047</v>
      </c>
      <c r="AC1089" t="s">
        <v>7333</v>
      </c>
      <c r="AD1089" t="s">
        <v>114</v>
      </c>
      <c r="AE1089" s="63">
        <v>45298</v>
      </c>
      <c r="AF1089" t="s">
        <v>156</v>
      </c>
      <c r="AG1089" t="s">
        <v>112</v>
      </c>
      <c r="AH1089" t="s">
        <v>112</v>
      </c>
      <c r="AI1089" s="63">
        <v>42080</v>
      </c>
      <c r="AJ1089" s="63">
        <v>45657</v>
      </c>
      <c r="AK1089" t="s">
        <v>111</v>
      </c>
      <c r="AL1089" t="s">
        <v>111</v>
      </c>
      <c r="AM1089" t="s">
        <v>111</v>
      </c>
      <c r="AN1089">
        <v>305</v>
      </c>
      <c r="AO1089" t="s">
        <v>110</v>
      </c>
      <c r="AP1089" t="s">
        <v>109</v>
      </c>
    </row>
    <row r="1090" spans="1:42" x14ac:dyDescent="0.25">
      <c r="A1090" s="28" t="str">
        <f>"4281"</f>
        <v>4281</v>
      </c>
      <c r="B1090">
        <v>4281</v>
      </c>
      <c r="C1090" t="s">
        <v>2488</v>
      </c>
      <c r="D1090" t="s">
        <v>121</v>
      </c>
      <c r="F1090" t="s">
        <v>120</v>
      </c>
      <c r="G1090" t="s">
        <v>231</v>
      </c>
      <c r="I1090" t="s">
        <v>7332</v>
      </c>
      <c r="J1090" t="s">
        <v>7</v>
      </c>
      <c r="K1090" s="63">
        <v>22793</v>
      </c>
      <c r="L1090" s="28">
        <f>DATEDIF(K1090,Zwift25!G$1,"Y")</f>
        <v>62</v>
      </c>
      <c r="M1090" s="67">
        <f>IF(J1090="m",VLOOKUP(L1090,'All Solo Adjustments'!A:D,4,FALSE),VLOOKUP(L1090,'All Solo Adjustments'!A:J,10,FALSE))</f>
        <v>3.7384259259259259E-3</v>
      </c>
      <c r="N1090" s="63"/>
      <c r="O1090" s="63"/>
      <c r="P1090" s="63"/>
      <c r="Q1090" s="63"/>
      <c r="R1090" t="s">
        <v>118</v>
      </c>
      <c r="S1090" t="s">
        <v>117</v>
      </c>
      <c r="T1090" t="s">
        <v>292</v>
      </c>
      <c r="U1090" t="s">
        <v>7331</v>
      </c>
      <c r="V1090" t="s">
        <v>7330</v>
      </c>
      <c r="W1090" t="s">
        <v>968</v>
      </c>
      <c r="Y1090" t="s">
        <v>7329</v>
      </c>
      <c r="Z1090" t="str">
        <f>"01298 25642"</f>
        <v>01298 25642</v>
      </c>
      <c r="AA1090" t="str">
        <f>"07731653019"</f>
        <v>07731653019</v>
      </c>
      <c r="AB1090" t="s">
        <v>1167</v>
      </c>
      <c r="AC1090" t="s">
        <v>7328</v>
      </c>
      <c r="AD1090" t="s">
        <v>114</v>
      </c>
      <c r="AE1090" s="63">
        <v>45262</v>
      </c>
      <c r="AF1090" t="s">
        <v>156</v>
      </c>
      <c r="AG1090" t="s">
        <v>112</v>
      </c>
      <c r="AH1090" t="s">
        <v>112</v>
      </c>
      <c r="AI1090" s="63">
        <v>40664</v>
      </c>
      <c r="AJ1090" s="63">
        <v>45657</v>
      </c>
      <c r="AK1090" t="s">
        <v>111</v>
      </c>
      <c r="AL1090" t="s">
        <v>111</v>
      </c>
      <c r="AM1090" t="s">
        <v>111</v>
      </c>
      <c r="AN1090">
        <v>266</v>
      </c>
      <c r="AO1090" t="s">
        <v>110</v>
      </c>
      <c r="AP1090" t="s">
        <v>109</v>
      </c>
    </row>
    <row r="1091" spans="1:42" x14ac:dyDescent="0.25">
      <c r="A1091" s="28" t="str">
        <f>"1390"</f>
        <v>1390</v>
      </c>
      <c r="B1091">
        <v>1390</v>
      </c>
      <c r="C1091" t="s">
        <v>2488</v>
      </c>
      <c r="D1091" t="s">
        <v>132</v>
      </c>
      <c r="F1091" t="s">
        <v>120</v>
      </c>
      <c r="G1091" t="s">
        <v>284</v>
      </c>
      <c r="H1091" t="s">
        <v>601</v>
      </c>
      <c r="I1091" t="s">
        <v>1744</v>
      </c>
      <c r="J1091" t="s">
        <v>7</v>
      </c>
      <c r="K1091" s="63">
        <v>16541</v>
      </c>
      <c r="L1091" s="28">
        <f>DATEDIF(K1091,Zwift25!G$1,"Y")</f>
        <v>79</v>
      </c>
      <c r="M1091" s="67">
        <f>IF(J1091="m",VLOOKUP(L1091,'All Solo Adjustments'!A:D,4,FALSE),VLOOKUP(L1091,'All Solo Adjustments'!A:J,10,FALSE))</f>
        <v>1.0451388888888889E-2</v>
      </c>
      <c r="N1091" s="63"/>
      <c r="O1091" s="63"/>
      <c r="P1091" s="63"/>
      <c r="Q1091" s="63"/>
      <c r="R1091" t="s">
        <v>328</v>
      </c>
      <c r="S1091" t="s">
        <v>741</v>
      </c>
      <c r="T1091" t="s">
        <v>292</v>
      </c>
      <c r="U1091" t="s">
        <v>7326</v>
      </c>
      <c r="V1091" t="s">
        <v>7325</v>
      </c>
      <c r="W1091" t="s">
        <v>1286</v>
      </c>
      <c r="X1091" t="s">
        <v>7324</v>
      </c>
      <c r="Y1091" t="s">
        <v>7323</v>
      </c>
      <c r="Z1091" t="str">
        <f>"01706 536551"</f>
        <v>01706 536551</v>
      </c>
      <c r="AA1091" t="str">
        <f>"07922013016"</f>
        <v>07922013016</v>
      </c>
      <c r="AB1091" t="s">
        <v>1246</v>
      </c>
      <c r="AC1091" t="s">
        <v>7327</v>
      </c>
      <c r="AD1091" t="s">
        <v>145</v>
      </c>
      <c r="AE1091" s="63">
        <v>45207</v>
      </c>
      <c r="AF1091" t="s">
        <v>113</v>
      </c>
      <c r="AG1091" t="s">
        <v>112</v>
      </c>
      <c r="AH1091" t="s">
        <v>112</v>
      </c>
      <c r="AI1091" s="63">
        <v>43408</v>
      </c>
      <c r="AJ1091" s="63">
        <v>45657</v>
      </c>
      <c r="AK1091" t="s">
        <v>111</v>
      </c>
      <c r="AL1091" t="s">
        <v>111</v>
      </c>
      <c r="AM1091" t="s">
        <v>111</v>
      </c>
      <c r="AN1091">
        <v>15263</v>
      </c>
      <c r="AO1091" t="s">
        <v>110</v>
      </c>
      <c r="AP1091" t="s">
        <v>109</v>
      </c>
    </row>
    <row r="1092" spans="1:42" x14ac:dyDescent="0.25">
      <c r="A1092" s="28" t="str">
        <f>"13150"</f>
        <v>13150</v>
      </c>
      <c r="B1092">
        <v>13150</v>
      </c>
      <c r="C1092" t="s">
        <v>2488</v>
      </c>
      <c r="D1092" t="s">
        <v>130</v>
      </c>
      <c r="F1092" t="s">
        <v>149</v>
      </c>
      <c r="G1092" t="s">
        <v>500</v>
      </c>
      <c r="I1092" t="s">
        <v>1744</v>
      </c>
      <c r="J1092" t="s">
        <v>126</v>
      </c>
      <c r="K1092" s="63">
        <v>17105</v>
      </c>
      <c r="L1092" s="28">
        <f>DATEDIF(K1092,Zwift25!G$1,"Y")</f>
        <v>77</v>
      </c>
      <c r="M1092" s="67">
        <f>IF(J1092="m",VLOOKUP(L1092,'All Solo Adjustments'!A:D,4,FALSE),VLOOKUP(L1092,'All Solo Adjustments'!A:J,10,FALSE))</f>
        <v>1.5011574074074075E-2</v>
      </c>
      <c r="N1092" s="63"/>
      <c r="O1092" s="63"/>
      <c r="P1092" s="63"/>
      <c r="Q1092" s="63"/>
      <c r="R1092" t="s">
        <v>328</v>
      </c>
      <c r="S1092" t="s">
        <v>741</v>
      </c>
      <c r="T1092" t="s">
        <v>292</v>
      </c>
      <c r="U1092" t="s">
        <v>7326</v>
      </c>
      <c r="V1092" t="s">
        <v>7325</v>
      </c>
      <c r="W1092" t="s">
        <v>1286</v>
      </c>
      <c r="X1092" t="s">
        <v>7324</v>
      </c>
      <c r="Y1092" t="s">
        <v>7323</v>
      </c>
      <c r="Z1092" t="str">
        <f>"01706 536551"</f>
        <v>01706 536551</v>
      </c>
      <c r="AA1092" t="str">
        <f>"07922013016"</f>
        <v>07922013016</v>
      </c>
      <c r="AB1092" t="s">
        <v>290</v>
      </c>
      <c r="AC1092" t="s">
        <v>7322</v>
      </c>
      <c r="AD1092" t="s">
        <v>145</v>
      </c>
      <c r="AE1092" s="63">
        <v>45207</v>
      </c>
      <c r="AF1092" t="s">
        <v>113</v>
      </c>
      <c r="AG1092" t="s">
        <v>111</v>
      </c>
      <c r="AH1092" t="s">
        <v>111</v>
      </c>
      <c r="AI1092" s="63">
        <v>43408</v>
      </c>
      <c r="AJ1092" s="63">
        <v>45657</v>
      </c>
      <c r="AK1092" t="s">
        <v>111</v>
      </c>
      <c r="AL1092" t="s">
        <v>111</v>
      </c>
      <c r="AM1092" t="s">
        <v>111</v>
      </c>
      <c r="AN1092" t="s">
        <v>105</v>
      </c>
      <c r="AO1092" t="s">
        <v>122</v>
      </c>
      <c r="AP1092" t="s">
        <v>122</v>
      </c>
    </row>
    <row r="1093" spans="1:42" x14ac:dyDescent="0.25">
      <c r="A1093" s="28" t="str">
        <f>"5645"</f>
        <v>5645</v>
      </c>
      <c r="B1093">
        <v>5645</v>
      </c>
      <c r="C1093" t="s">
        <v>2488</v>
      </c>
      <c r="D1093" t="s">
        <v>121</v>
      </c>
      <c r="F1093" t="s">
        <v>120</v>
      </c>
      <c r="G1093" t="s">
        <v>1189</v>
      </c>
      <c r="H1093" t="s">
        <v>1772</v>
      </c>
      <c r="I1093" t="s">
        <v>1744</v>
      </c>
      <c r="J1093" t="s">
        <v>7</v>
      </c>
      <c r="K1093" s="63">
        <v>27362</v>
      </c>
      <c r="L1093" s="28">
        <f>DATEDIF(K1093,Zwift25!G$1,"Y")</f>
        <v>49</v>
      </c>
      <c r="M1093" s="67">
        <f>IF(J1093="m",VLOOKUP(L1093,'All Solo Adjustments'!A:D,4,FALSE),VLOOKUP(L1093,'All Solo Adjustments'!A:J,10,FALSE))</f>
        <v>9.837962962962962E-4</v>
      </c>
      <c r="N1093" s="63"/>
      <c r="O1093" s="63"/>
      <c r="P1093" s="63"/>
      <c r="Q1093" s="63"/>
      <c r="R1093" t="s">
        <v>328</v>
      </c>
      <c r="S1093" t="s">
        <v>327</v>
      </c>
      <c r="T1093" t="s">
        <v>292</v>
      </c>
      <c r="U1093" t="s">
        <v>7321</v>
      </c>
      <c r="V1093" t="s">
        <v>1286</v>
      </c>
      <c r="W1093" t="s">
        <v>1285</v>
      </c>
      <c r="X1093" t="s">
        <v>325</v>
      </c>
      <c r="Y1093" t="s">
        <v>7320</v>
      </c>
      <c r="Z1093" t="str">
        <f>"01706 215629"</f>
        <v>01706 215629</v>
      </c>
      <c r="AA1093" t="str">
        <f>""</f>
        <v/>
      </c>
      <c r="AB1093" t="s">
        <v>2933</v>
      </c>
      <c r="AC1093" t="s">
        <v>7319</v>
      </c>
      <c r="AD1093" t="s">
        <v>114</v>
      </c>
      <c r="AE1093" s="63">
        <v>45572</v>
      </c>
      <c r="AF1093" t="s">
        <v>113</v>
      </c>
      <c r="AG1093" t="s">
        <v>112</v>
      </c>
      <c r="AH1093" t="s">
        <v>112</v>
      </c>
      <c r="AI1093" s="63">
        <v>42310</v>
      </c>
      <c r="AJ1093" s="63">
        <v>46022</v>
      </c>
      <c r="AK1093" t="s">
        <v>111</v>
      </c>
      <c r="AL1093" t="s">
        <v>111</v>
      </c>
      <c r="AM1093" t="s">
        <v>112</v>
      </c>
      <c r="AN1093">
        <v>33478</v>
      </c>
      <c r="AO1093" t="s">
        <v>110</v>
      </c>
      <c r="AP1093" t="s">
        <v>109</v>
      </c>
    </row>
    <row r="1094" spans="1:42" x14ac:dyDescent="0.25">
      <c r="A1094" s="28" t="str">
        <f>"5945"</f>
        <v>5945</v>
      </c>
      <c r="B1094">
        <v>5945</v>
      </c>
      <c r="C1094" t="s">
        <v>2488</v>
      </c>
      <c r="D1094" t="s">
        <v>121</v>
      </c>
      <c r="F1094" t="s">
        <v>120</v>
      </c>
      <c r="G1094" t="s">
        <v>165</v>
      </c>
      <c r="I1094" t="s">
        <v>7318</v>
      </c>
      <c r="J1094" t="s">
        <v>7</v>
      </c>
      <c r="K1094" s="63">
        <v>24319</v>
      </c>
      <c r="L1094" s="28">
        <f>DATEDIF(K1094,Zwift25!G$1,"Y")</f>
        <v>58</v>
      </c>
      <c r="M1094" s="67">
        <f>IF(J1094="m",VLOOKUP(L1094,'All Solo Adjustments'!A:D,4,FALSE),VLOOKUP(L1094,'All Solo Adjustments'!A:J,10,FALSE))</f>
        <v>2.7199074074074074E-3</v>
      </c>
      <c r="N1094" s="63"/>
      <c r="O1094" s="63"/>
      <c r="P1094" s="63"/>
      <c r="Q1094" s="63"/>
      <c r="R1094" t="s">
        <v>296</v>
      </c>
      <c r="S1094" t="s">
        <v>295</v>
      </c>
      <c r="T1094" t="s">
        <v>292</v>
      </c>
      <c r="U1094" t="s">
        <v>7317</v>
      </c>
      <c r="V1094" t="s">
        <v>6902</v>
      </c>
      <c r="W1094" t="s">
        <v>1801</v>
      </c>
      <c r="Y1094" t="s">
        <v>7316</v>
      </c>
      <c r="Z1094" t="str">
        <f>"07838 250177"</f>
        <v>07838 250177</v>
      </c>
      <c r="AA1094" t="str">
        <f>""</f>
        <v/>
      </c>
      <c r="AB1094" t="s">
        <v>7315</v>
      </c>
      <c r="AC1094" t="s">
        <v>7314</v>
      </c>
      <c r="AD1094" t="s">
        <v>114</v>
      </c>
      <c r="AE1094" s="63">
        <v>45306</v>
      </c>
      <c r="AF1094" t="s">
        <v>113</v>
      </c>
      <c r="AG1094" t="s">
        <v>112</v>
      </c>
      <c r="AH1094" t="s">
        <v>112</v>
      </c>
      <c r="AI1094" s="63">
        <v>42558</v>
      </c>
      <c r="AJ1094" s="63">
        <v>45657</v>
      </c>
      <c r="AK1094" t="s">
        <v>111</v>
      </c>
      <c r="AL1094" t="s">
        <v>111</v>
      </c>
      <c r="AM1094" t="s">
        <v>111</v>
      </c>
      <c r="AN1094">
        <v>5002</v>
      </c>
      <c r="AO1094" t="s">
        <v>110</v>
      </c>
      <c r="AP1094" t="s">
        <v>109</v>
      </c>
    </row>
    <row r="1095" spans="1:42" x14ac:dyDescent="0.25">
      <c r="A1095" s="28" t="str">
        <f>"16101"</f>
        <v>16101</v>
      </c>
      <c r="B1095">
        <v>16101</v>
      </c>
      <c r="C1095" t="s">
        <v>2488</v>
      </c>
      <c r="D1095" t="s">
        <v>121</v>
      </c>
      <c r="F1095" t="s">
        <v>120</v>
      </c>
      <c r="G1095" t="s">
        <v>284</v>
      </c>
      <c r="I1095" t="s">
        <v>7313</v>
      </c>
      <c r="J1095" t="s">
        <v>7</v>
      </c>
      <c r="K1095" s="63">
        <v>24006</v>
      </c>
      <c r="L1095" s="28">
        <f>DATEDIF(K1095,Zwift25!G$1,"Y")</f>
        <v>59</v>
      </c>
      <c r="M1095" s="67">
        <f>IF(J1095="m",VLOOKUP(L1095,'All Solo Adjustments'!A:D,4,FALSE),VLOOKUP(L1095,'All Solo Adjustments'!A:J,10,FALSE))</f>
        <v>2.9629629629629632E-3</v>
      </c>
      <c r="N1095" s="63"/>
      <c r="O1095" s="63"/>
      <c r="P1095" s="63"/>
      <c r="Q1095" s="63"/>
      <c r="R1095" t="s">
        <v>296</v>
      </c>
      <c r="S1095" t="s">
        <v>295</v>
      </c>
      <c r="T1095" t="s">
        <v>292</v>
      </c>
      <c r="U1095" t="s">
        <v>7312</v>
      </c>
      <c r="V1095" t="s">
        <v>7311</v>
      </c>
      <c r="W1095" t="s">
        <v>990</v>
      </c>
      <c r="Y1095" t="s">
        <v>7310</v>
      </c>
      <c r="Z1095" t="str">
        <f>"07802288375"</f>
        <v>07802288375</v>
      </c>
      <c r="AA1095" t="str">
        <f>""</f>
        <v/>
      </c>
      <c r="AB1095" t="s">
        <v>989</v>
      </c>
      <c r="AC1095" t="s">
        <v>7309</v>
      </c>
      <c r="AD1095" t="s">
        <v>114</v>
      </c>
      <c r="AE1095" s="63">
        <v>45397</v>
      </c>
      <c r="AF1095" t="s">
        <v>156</v>
      </c>
      <c r="AG1095" t="s">
        <v>112</v>
      </c>
      <c r="AH1095" t="s">
        <v>112</v>
      </c>
      <c r="AI1095" s="63">
        <v>45397</v>
      </c>
      <c r="AJ1095" s="63">
        <v>45657</v>
      </c>
      <c r="AK1095" t="s">
        <v>112</v>
      </c>
      <c r="AL1095" t="s">
        <v>111</v>
      </c>
      <c r="AM1095" t="s">
        <v>111</v>
      </c>
      <c r="AN1095">
        <v>46299</v>
      </c>
      <c r="AO1095" t="s">
        <v>110</v>
      </c>
      <c r="AP1095" t="s">
        <v>109</v>
      </c>
    </row>
    <row r="1096" spans="1:42" x14ac:dyDescent="0.25">
      <c r="A1096" s="28" t="str">
        <f>"6173"</f>
        <v>6173</v>
      </c>
      <c r="B1096">
        <v>6173</v>
      </c>
      <c r="C1096" t="s">
        <v>2488</v>
      </c>
      <c r="D1096" t="s">
        <v>121</v>
      </c>
      <c r="E1096" t="s">
        <v>584</v>
      </c>
      <c r="F1096" t="s">
        <v>120</v>
      </c>
      <c r="G1096" t="s">
        <v>251</v>
      </c>
      <c r="I1096" t="s">
        <v>7308</v>
      </c>
      <c r="J1096" t="s">
        <v>7</v>
      </c>
      <c r="K1096" s="63">
        <v>23264</v>
      </c>
      <c r="L1096" s="28">
        <f>DATEDIF(K1096,Zwift25!G$1,"Y")</f>
        <v>61</v>
      </c>
      <c r="M1096" s="67">
        <f>IF(J1096="m",VLOOKUP(L1096,'All Solo Adjustments'!A:D,4,FALSE),VLOOKUP(L1096,'All Solo Adjustments'!A:J,10,FALSE))</f>
        <v>3.4722222222222225E-3</v>
      </c>
      <c r="N1096" s="63"/>
      <c r="O1096" s="63"/>
      <c r="P1096" s="63"/>
      <c r="Q1096" s="63"/>
      <c r="R1096" t="s">
        <v>239</v>
      </c>
      <c r="S1096" t="s">
        <v>274</v>
      </c>
      <c r="T1096" t="s">
        <v>292</v>
      </c>
      <c r="U1096" t="s">
        <v>7307</v>
      </c>
      <c r="V1096" t="s">
        <v>7306</v>
      </c>
      <c r="W1096" t="s">
        <v>7305</v>
      </c>
      <c r="X1096" t="s">
        <v>569</v>
      </c>
      <c r="Y1096" t="s">
        <v>7304</v>
      </c>
      <c r="Z1096" t="str">
        <f>"07428 048010"</f>
        <v>07428 048010</v>
      </c>
      <c r="AA1096" t="str">
        <f>""</f>
        <v/>
      </c>
      <c r="AB1096" t="s">
        <v>1440</v>
      </c>
      <c r="AC1096" t="s">
        <v>7303</v>
      </c>
      <c r="AD1096" t="s">
        <v>114</v>
      </c>
      <c r="AE1096" s="63">
        <v>45360</v>
      </c>
      <c r="AF1096" t="s">
        <v>113</v>
      </c>
      <c r="AG1096" t="s">
        <v>112</v>
      </c>
      <c r="AH1096" t="s">
        <v>112</v>
      </c>
      <c r="AI1096" s="63">
        <v>42836</v>
      </c>
      <c r="AJ1096" s="63">
        <v>45657</v>
      </c>
      <c r="AK1096" t="s">
        <v>111</v>
      </c>
      <c r="AL1096" t="s">
        <v>111</v>
      </c>
      <c r="AM1096" t="s">
        <v>111</v>
      </c>
      <c r="AN1096">
        <v>1277</v>
      </c>
      <c r="AO1096" t="s">
        <v>110</v>
      </c>
      <c r="AP1096" t="s">
        <v>109</v>
      </c>
    </row>
    <row r="1097" spans="1:42" x14ac:dyDescent="0.25">
      <c r="A1097" s="28" t="str">
        <f>"1394"</f>
        <v>1394</v>
      </c>
      <c r="B1097">
        <v>1394</v>
      </c>
      <c r="C1097" t="s">
        <v>2488</v>
      </c>
      <c r="D1097" t="s">
        <v>121</v>
      </c>
      <c r="F1097" t="s">
        <v>120</v>
      </c>
      <c r="G1097" t="s">
        <v>284</v>
      </c>
      <c r="I1097" t="s">
        <v>219</v>
      </c>
      <c r="J1097" t="s">
        <v>7</v>
      </c>
      <c r="K1097" s="63">
        <v>10732</v>
      </c>
      <c r="L1097" s="28">
        <f>DATEDIF(K1097,Zwift25!G$1,"Y")</f>
        <v>95</v>
      </c>
      <c r="M1097" s="67">
        <f>IF(J1097="m",VLOOKUP(L1097,'All Solo Adjustments'!A:D,4,FALSE),VLOOKUP(L1097,'All Solo Adjustments'!A:J,10,FALSE))</f>
        <v>2.3946759259259258E-2</v>
      </c>
      <c r="N1097" s="63"/>
      <c r="O1097" s="63"/>
      <c r="P1097" s="63"/>
      <c r="Q1097" s="63"/>
      <c r="R1097" t="s">
        <v>184</v>
      </c>
      <c r="S1097" t="s">
        <v>835</v>
      </c>
      <c r="T1097" t="s">
        <v>292</v>
      </c>
      <c r="U1097" t="s">
        <v>7302</v>
      </c>
      <c r="V1097" t="s">
        <v>1481</v>
      </c>
      <c r="W1097" t="s">
        <v>735</v>
      </c>
      <c r="Y1097" t="s">
        <v>7301</v>
      </c>
      <c r="Z1097" t="str">
        <f>"01582 613797"</f>
        <v>01582 613797</v>
      </c>
      <c r="AA1097" t="str">
        <f>""</f>
        <v/>
      </c>
      <c r="AB1097" t="s">
        <v>1057</v>
      </c>
      <c r="AD1097" t="s">
        <v>151</v>
      </c>
      <c r="AF1097" t="s">
        <v>113</v>
      </c>
      <c r="AG1097" t="s">
        <v>112</v>
      </c>
      <c r="AH1097" t="s">
        <v>112</v>
      </c>
      <c r="AK1097" t="s">
        <v>111</v>
      </c>
      <c r="AL1097" t="s">
        <v>111</v>
      </c>
      <c r="AM1097" t="s">
        <v>111</v>
      </c>
      <c r="AN1097" t="s">
        <v>105</v>
      </c>
      <c r="AO1097" t="s">
        <v>110</v>
      </c>
      <c r="AP1097" t="s">
        <v>109</v>
      </c>
    </row>
    <row r="1098" spans="1:42" x14ac:dyDescent="0.25">
      <c r="A1098" s="28" t="str">
        <f>"14177"</f>
        <v>14177</v>
      </c>
      <c r="B1098">
        <v>14177</v>
      </c>
      <c r="C1098" t="s">
        <v>2488</v>
      </c>
      <c r="D1098" t="s">
        <v>121</v>
      </c>
      <c r="F1098" t="s">
        <v>144</v>
      </c>
      <c r="G1098" t="s">
        <v>681</v>
      </c>
      <c r="H1098" t="s">
        <v>1157</v>
      </c>
      <c r="I1098" t="s">
        <v>219</v>
      </c>
      <c r="J1098" t="s">
        <v>126</v>
      </c>
      <c r="K1098" s="63">
        <v>25748</v>
      </c>
      <c r="L1098" s="28">
        <f>DATEDIF(K1098,Zwift25!G$1,"Y")</f>
        <v>54</v>
      </c>
      <c r="M1098" s="67">
        <f>IF(J1098="m",VLOOKUP(L1098,'All Solo Adjustments'!A:D,4,FALSE),VLOOKUP(L1098,'All Solo Adjustments'!A:J,10,FALSE))</f>
        <v>5.4861111111111109E-3</v>
      </c>
      <c r="N1098" s="63"/>
      <c r="O1098" s="63"/>
      <c r="P1098" s="63"/>
      <c r="Q1098" s="63"/>
      <c r="R1098" t="s">
        <v>184</v>
      </c>
      <c r="S1098" t="s">
        <v>183</v>
      </c>
      <c r="T1098" t="s">
        <v>292</v>
      </c>
      <c r="U1098" t="s">
        <v>7300</v>
      </c>
      <c r="V1098" t="s">
        <v>7299</v>
      </c>
      <c r="W1098" t="s">
        <v>7298</v>
      </c>
      <c r="X1098" t="s">
        <v>123</v>
      </c>
      <c r="Y1098" t="s">
        <v>7297</v>
      </c>
      <c r="Z1098" t="str">
        <f>"07852946559"</f>
        <v>07852946559</v>
      </c>
      <c r="AA1098" t="str">
        <f>""</f>
        <v/>
      </c>
      <c r="AB1098" t="s">
        <v>505</v>
      </c>
      <c r="AC1098" t="s">
        <v>7296</v>
      </c>
      <c r="AD1098" t="s">
        <v>145</v>
      </c>
      <c r="AE1098" s="63">
        <v>45458</v>
      </c>
      <c r="AF1098" t="s">
        <v>156</v>
      </c>
      <c r="AG1098" t="s">
        <v>112</v>
      </c>
      <c r="AH1098" t="s">
        <v>112</v>
      </c>
      <c r="AI1098" s="63">
        <v>43572</v>
      </c>
      <c r="AJ1098" s="63">
        <v>45657</v>
      </c>
      <c r="AK1098" t="s">
        <v>112</v>
      </c>
      <c r="AL1098" t="s">
        <v>111</v>
      </c>
      <c r="AM1098" t="s">
        <v>111</v>
      </c>
      <c r="AN1098">
        <v>2346</v>
      </c>
      <c r="AO1098" t="s">
        <v>122</v>
      </c>
      <c r="AP1098" t="s">
        <v>122</v>
      </c>
    </row>
    <row r="1099" spans="1:42" x14ac:dyDescent="0.25">
      <c r="A1099" s="28" t="str">
        <f>"6050"</f>
        <v>6050</v>
      </c>
      <c r="B1099">
        <v>6050</v>
      </c>
      <c r="C1099" t="s">
        <v>2488</v>
      </c>
      <c r="D1099" t="s">
        <v>121</v>
      </c>
      <c r="F1099" t="s">
        <v>120</v>
      </c>
      <c r="G1099" t="s">
        <v>359</v>
      </c>
      <c r="H1099" t="s">
        <v>601</v>
      </c>
      <c r="I1099" t="s">
        <v>7295</v>
      </c>
      <c r="J1099" t="s">
        <v>7</v>
      </c>
      <c r="K1099" s="63">
        <v>25122</v>
      </c>
      <c r="L1099" s="28">
        <f>DATEDIF(K1099,Zwift25!G$1,"Y")</f>
        <v>56</v>
      </c>
      <c r="M1099" s="67">
        <f>IF(J1099="m",VLOOKUP(L1099,'All Solo Adjustments'!A:D,4,FALSE),VLOOKUP(L1099,'All Solo Adjustments'!A:J,10,FALSE))</f>
        <v>2.2685185185185182E-3</v>
      </c>
      <c r="N1099" s="63"/>
      <c r="O1099" s="63"/>
      <c r="P1099" s="63"/>
      <c r="Q1099" s="63"/>
      <c r="R1099" t="s">
        <v>283</v>
      </c>
      <c r="S1099" t="s">
        <v>530</v>
      </c>
      <c r="T1099" t="s">
        <v>292</v>
      </c>
      <c r="U1099" t="s">
        <v>7294</v>
      </c>
      <c r="V1099" t="s">
        <v>1062</v>
      </c>
      <c r="Y1099" t="s">
        <v>7293</v>
      </c>
      <c r="Z1099" t="str">
        <f>"07930 504596"</f>
        <v>07930 504596</v>
      </c>
      <c r="AA1099" t="str">
        <f>""</f>
        <v/>
      </c>
      <c r="AB1099" t="s">
        <v>1321</v>
      </c>
      <c r="AC1099" t="s">
        <v>7292</v>
      </c>
      <c r="AD1099" t="s">
        <v>114</v>
      </c>
      <c r="AE1099" s="63">
        <v>45230</v>
      </c>
      <c r="AF1099" t="s">
        <v>113</v>
      </c>
      <c r="AG1099" t="s">
        <v>112</v>
      </c>
      <c r="AH1099" t="s">
        <v>112</v>
      </c>
      <c r="AI1099" s="63">
        <v>42760</v>
      </c>
      <c r="AJ1099" s="63">
        <v>45657</v>
      </c>
      <c r="AK1099" t="s">
        <v>111</v>
      </c>
      <c r="AL1099" t="s">
        <v>111</v>
      </c>
      <c r="AM1099" t="s">
        <v>111</v>
      </c>
      <c r="AN1099">
        <v>14894</v>
      </c>
      <c r="AO1099" t="s">
        <v>110</v>
      </c>
      <c r="AP1099" t="s">
        <v>109</v>
      </c>
    </row>
    <row r="1100" spans="1:42" x14ac:dyDescent="0.25">
      <c r="A1100" s="28" t="str">
        <f>"15729"</f>
        <v>15729</v>
      </c>
      <c r="B1100">
        <v>15729</v>
      </c>
      <c r="C1100" t="s">
        <v>2488</v>
      </c>
      <c r="D1100" t="s">
        <v>121</v>
      </c>
      <c r="E1100" t="s">
        <v>584</v>
      </c>
      <c r="F1100" t="s">
        <v>120</v>
      </c>
      <c r="G1100" t="s">
        <v>392</v>
      </c>
      <c r="H1100" t="s">
        <v>1616</v>
      </c>
      <c r="I1100" t="s">
        <v>1740</v>
      </c>
      <c r="J1100" t="s">
        <v>7</v>
      </c>
      <c r="K1100" s="63">
        <v>25727</v>
      </c>
      <c r="L1100" s="28">
        <f>DATEDIF(K1100,Zwift25!G$1,"Y")</f>
        <v>54</v>
      </c>
      <c r="M1100" s="67">
        <f>IF(J1100="m",VLOOKUP(L1100,'All Solo Adjustments'!A:D,4,FALSE),VLOOKUP(L1100,'All Solo Adjustments'!A:J,10,FALSE))</f>
        <v>1.8518518518518517E-3</v>
      </c>
      <c r="N1100" s="63"/>
      <c r="O1100" s="63"/>
      <c r="P1100" s="63"/>
      <c r="Q1100" s="63"/>
      <c r="R1100" t="s">
        <v>137</v>
      </c>
      <c r="S1100" t="s">
        <v>136</v>
      </c>
      <c r="T1100" t="s">
        <v>292</v>
      </c>
      <c r="U1100" t="s">
        <v>7291</v>
      </c>
      <c r="V1100" t="s">
        <v>7290</v>
      </c>
      <c r="W1100" t="s">
        <v>564</v>
      </c>
      <c r="Y1100" t="s">
        <v>7289</v>
      </c>
      <c r="Z1100" t="str">
        <f>"07500573938"</f>
        <v>07500573938</v>
      </c>
      <c r="AA1100" t="str">
        <f>""</f>
        <v/>
      </c>
      <c r="AB1100" t="s">
        <v>439</v>
      </c>
      <c r="AC1100" t="s">
        <v>7288</v>
      </c>
      <c r="AD1100" t="s">
        <v>114</v>
      </c>
      <c r="AE1100" s="63">
        <v>45273</v>
      </c>
      <c r="AF1100" t="s">
        <v>156</v>
      </c>
      <c r="AG1100" t="s">
        <v>112</v>
      </c>
      <c r="AH1100" t="s">
        <v>112</v>
      </c>
      <c r="AI1100" s="63">
        <v>44997</v>
      </c>
      <c r="AJ1100" s="63">
        <v>45657</v>
      </c>
      <c r="AK1100" t="s">
        <v>112</v>
      </c>
      <c r="AL1100" t="s">
        <v>111</v>
      </c>
      <c r="AM1100" t="s">
        <v>111</v>
      </c>
      <c r="AN1100">
        <v>42140</v>
      </c>
      <c r="AO1100" t="s">
        <v>110</v>
      </c>
      <c r="AP1100" t="s">
        <v>109</v>
      </c>
    </row>
    <row r="1101" spans="1:42" x14ac:dyDescent="0.25">
      <c r="A1101" s="28" t="str">
        <f>"15920"</f>
        <v>15920</v>
      </c>
      <c r="B1101">
        <v>15920</v>
      </c>
      <c r="C1101" t="s">
        <v>2488</v>
      </c>
      <c r="D1101" t="s">
        <v>121</v>
      </c>
      <c r="F1101" t="s">
        <v>120</v>
      </c>
      <c r="G1101" t="s">
        <v>189</v>
      </c>
      <c r="H1101" t="s">
        <v>174</v>
      </c>
      <c r="I1101" t="s">
        <v>1740</v>
      </c>
      <c r="J1101" t="s">
        <v>7</v>
      </c>
      <c r="K1101" s="63">
        <v>23673</v>
      </c>
      <c r="L1101" s="28">
        <f>DATEDIF(K1101,Zwift25!G$1,"Y")</f>
        <v>59</v>
      </c>
      <c r="M1101" s="67">
        <f>IF(J1101="m",VLOOKUP(L1101,'All Solo Adjustments'!A:D,4,FALSE),VLOOKUP(L1101,'All Solo Adjustments'!A:J,10,FALSE))</f>
        <v>2.9629629629629632E-3</v>
      </c>
      <c r="N1101" s="63"/>
      <c r="O1101" s="63"/>
      <c r="P1101" s="63"/>
      <c r="Q1101" s="63"/>
      <c r="R1101" t="s">
        <v>154</v>
      </c>
      <c r="S1101" t="s">
        <v>153</v>
      </c>
      <c r="T1101" t="s">
        <v>292</v>
      </c>
      <c r="U1101" t="s">
        <v>7287</v>
      </c>
      <c r="V1101" t="s">
        <v>7286</v>
      </c>
      <c r="W1101" t="s">
        <v>7285</v>
      </c>
      <c r="X1101" t="s">
        <v>1017</v>
      </c>
      <c r="Y1101" t="s">
        <v>7284</v>
      </c>
      <c r="Z1101" t="str">
        <f>"07950658233"</f>
        <v>07950658233</v>
      </c>
      <c r="AA1101" t="str">
        <f>""</f>
        <v/>
      </c>
      <c r="AB1101" t="s">
        <v>408</v>
      </c>
      <c r="AC1101" t="s">
        <v>7283</v>
      </c>
      <c r="AD1101" t="s">
        <v>114</v>
      </c>
      <c r="AE1101" s="63">
        <v>45311</v>
      </c>
      <c r="AF1101" t="s">
        <v>156</v>
      </c>
      <c r="AG1101" t="s">
        <v>112</v>
      </c>
      <c r="AH1101" t="s">
        <v>112</v>
      </c>
      <c r="AI1101" s="63">
        <v>45163</v>
      </c>
      <c r="AJ1101" s="63">
        <v>45657</v>
      </c>
      <c r="AK1101" t="s">
        <v>112</v>
      </c>
      <c r="AL1101" t="s">
        <v>111</v>
      </c>
      <c r="AM1101" t="s">
        <v>111</v>
      </c>
      <c r="AN1101">
        <v>48459</v>
      </c>
      <c r="AO1101" t="s">
        <v>110</v>
      </c>
      <c r="AP1101" t="s">
        <v>109</v>
      </c>
    </row>
    <row r="1102" spans="1:42" x14ac:dyDescent="0.25">
      <c r="A1102" s="28" t="str">
        <f>"5005"</f>
        <v>5005</v>
      </c>
      <c r="B1102">
        <v>5005</v>
      </c>
      <c r="C1102" t="s">
        <v>2488</v>
      </c>
      <c r="D1102" t="s">
        <v>130</v>
      </c>
      <c r="E1102" t="s">
        <v>584</v>
      </c>
      <c r="F1102" t="s">
        <v>139</v>
      </c>
      <c r="G1102" t="s">
        <v>1119</v>
      </c>
      <c r="I1102" t="s">
        <v>7281</v>
      </c>
      <c r="J1102" t="s">
        <v>126</v>
      </c>
      <c r="K1102" s="63">
        <v>21849</v>
      </c>
      <c r="L1102" s="28">
        <f>DATEDIF(K1102,Zwift25!G$1,"Y")</f>
        <v>64</v>
      </c>
      <c r="M1102" s="67">
        <f>IF(J1102="m",VLOOKUP(L1102,'All Solo Adjustments'!A:D,4,FALSE),VLOOKUP(L1102,'All Solo Adjustments'!A:J,10,FALSE))</f>
        <v>8.4490740740740741E-3</v>
      </c>
      <c r="N1102" s="63"/>
      <c r="O1102" s="63"/>
      <c r="P1102" s="63"/>
      <c r="Q1102" s="63"/>
      <c r="R1102" t="s">
        <v>154</v>
      </c>
      <c r="S1102" t="s">
        <v>412</v>
      </c>
      <c r="T1102" t="s">
        <v>292</v>
      </c>
      <c r="U1102" t="s">
        <v>7280</v>
      </c>
      <c r="V1102" t="s">
        <v>2407</v>
      </c>
      <c r="W1102" t="s">
        <v>669</v>
      </c>
      <c r="Y1102" t="s">
        <v>2406</v>
      </c>
      <c r="Z1102" t="str">
        <f>"07870888597"</f>
        <v>07870888597</v>
      </c>
      <c r="AA1102" t="str">
        <f>""</f>
        <v/>
      </c>
      <c r="AB1102" t="s">
        <v>668</v>
      </c>
      <c r="AC1102" t="s">
        <v>7282</v>
      </c>
      <c r="AD1102" t="s">
        <v>114</v>
      </c>
      <c r="AE1102" s="63">
        <v>45293</v>
      </c>
      <c r="AF1102" t="s">
        <v>113</v>
      </c>
      <c r="AG1102" t="s">
        <v>112</v>
      </c>
      <c r="AH1102" t="s">
        <v>112</v>
      </c>
      <c r="AI1102" s="63">
        <v>42419</v>
      </c>
      <c r="AJ1102" s="63">
        <v>45657</v>
      </c>
      <c r="AK1102" t="s">
        <v>111</v>
      </c>
      <c r="AL1102" t="s">
        <v>111</v>
      </c>
      <c r="AM1102" t="s">
        <v>111</v>
      </c>
      <c r="AN1102">
        <v>3142</v>
      </c>
      <c r="AO1102" t="s">
        <v>122</v>
      </c>
      <c r="AP1102" t="s">
        <v>122</v>
      </c>
    </row>
    <row r="1103" spans="1:42" x14ac:dyDescent="0.25">
      <c r="A1103" s="28" t="str">
        <f>"10896"</f>
        <v>10896</v>
      </c>
      <c r="B1103">
        <v>10896</v>
      </c>
      <c r="C1103" t="s">
        <v>2488</v>
      </c>
      <c r="D1103" t="s">
        <v>132</v>
      </c>
      <c r="F1103" t="s">
        <v>120</v>
      </c>
      <c r="G1103" t="s">
        <v>952</v>
      </c>
      <c r="I1103" t="s">
        <v>7281</v>
      </c>
      <c r="J1103" t="s">
        <v>7</v>
      </c>
      <c r="K1103" s="63">
        <v>27803</v>
      </c>
      <c r="L1103" s="28">
        <f>DATEDIF(K1103,Zwift25!G$1,"Y")</f>
        <v>48</v>
      </c>
      <c r="M1103" s="67">
        <f>IF(J1103="m",VLOOKUP(L1103,'All Solo Adjustments'!A:D,4,FALSE),VLOOKUP(L1103,'All Solo Adjustments'!A:J,10,FALSE))</f>
        <v>8.3333333333333339E-4</v>
      </c>
      <c r="N1103" s="63"/>
      <c r="O1103" s="63"/>
      <c r="P1103" s="63"/>
      <c r="Q1103" s="63"/>
      <c r="R1103" t="s">
        <v>154</v>
      </c>
      <c r="S1103" t="s">
        <v>412</v>
      </c>
      <c r="T1103" t="s">
        <v>292</v>
      </c>
      <c r="U1103" t="s">
        <v>7280</v>
      </c>
      <c r="V1103" t="s">
        <v>2407</v>
      </c>
      <c r="W1103" t="s">
        <v>669</v>
      </c>
      <c r="Y1103" t="s">
        <v>2406</v>
      </c>
      <c r="Z1103" t="str">
        <f>"07870888597"</f>
        <v>07870888597</v>
      </c>
      <c r="AA1103" t="str">
        <f>""</f>
        <v/>
      </c>
      <c r="AB1103" t="s">
        <v>668</v>
      </c>
      <c r="AC1103" t="s">
        <v>7279</v>
      </c>
      <c r="AD1103" t="s">
        <v>114</v>
      </c>
      <c r="AE1103" s="63">
        <v>45293</v>
      </c>
      <c r="AF1103" t="s">
        <v>113</v>
      </c>
      <c r="AG1103" t="s">
        <v>112</v>
      </c>
      <c r="AH1103" t="s">
        <v>112</v>
      </c>
      <c r="AI1103" s="63">
        <v>42419</v>
      </c>
      <c r="AJ1103" s="63">
        <v>45657</v>
      </c>
      <c r="AK1103" t="s">
        <v>111</v>
      </c>
      <c r="AL1103" t="s">
        <v>111</v>
      </c>
      <c r="AM1103" t="s">
        <v>111</v>
      </c>
      <c r="AN1103">
        <v>475</v>
      </c>
      <c r="AO1103" t="s">
        <v>110</v>
      </c>
      <c r="AP1103" t="s">
        <v>109</v>
      </c>
    </row>
    <row r="1104" spans="1:42" x14ac:dyDescent="0.25">
      <c r="A1104" s="28" t="str">
        <f>"1406"</f>
        <v>1406</v>
      </c>
      <c r="B1104">
        <v>1406</v>
      </c>
      <c r="C1104" t="s">
        <v>2488</v>
      </c>
      <c r="D1104" t="s">
        <v>132</v>
      </c>
      <c r="F1104" t="s">
        <v>120</v>
      </c>
      <c r="G1104" t="s">
        <v>1598</v>
      </c>
      <c r="H1104" t="s">
        <v>805</v>
      </c>
      <c r="I1104" t="s">
        <v>7278</v>
      </c>
      <c r="J1104" t="s">
        <v>7</v>
      </c>
      <c r="K1104" s="63">
        <v>15970</v>
      </c>
      <c r="L1104" s="28">
        <f>DATEDIF(K1104,Zwift25!G$1,"Y")</f>
        <v>81</v>
      </c>
      <c r="M1104" s="67">
        <f>IF(J1104="m",VLOOKUP(L1104,'All Solo Adjustments'!A:D,4,FALSE),VLOOKUP(L1104,'All Solo Adjustments'!A:J,10,FALSE))</f>
        <v>1.1597222222222222E-2</v>
      </c>
      <c r="N1104" s="63"/>
      <c r="O1104" s="63"/>
      <c r="P1104" s="63"/>
      <c r="Q1104" s="63"/>
      <c r="R1104" t="s">
        <v>159</v>
      </c>
      <c r="S1104" t="s">
        <v>570</v>
      </c>
      <c r="T1104" t="s">
        <v>292</v>
      </c>
      <c r="U1104" t="s">
        <v>7277</v>
      </c>
      <c r="V1104" t="s">
        <v>277</v>
      </c>
      <c r="W1104" t="s">
        <v>167</v>
      </c>
      <c r="Y1104" t="s">
        <v>7276</v>
      </c>
      <c r="Z1104" t="str">
        <f>"0208 8572788"</f>
        <v>0208 8572788</v>
      </c>
      <c r="AA1104" t="str">
        <f>"07722049194"</f>
        <v>07722049194</v>
      </c>
      <c r="AB1104" t="s">
        <v>592</v>
      </c>
      <c r="AC1104" t="s">
        <v>7275</v>
      </c>
      <c r="AD1104" t="s">
        <v>145</v>
      </c>
      <c r="AF1104" t="s">
        <v>113</v>
      </c>
      <c r="AG1104" t="s">
        <v>112</v>
      </c>
      <c r="AH1104" t="s">
        <v>112</v>
      </c>
      <c r="AI1104" s="63">
        <v>43424</v>
      </c>
      <c r="AK1104" t="s">
        <v>111</v>
      </c>
      <c r="AL1104" t="s">
        <v>111</v>
      </c>
      <c r="AM1104" t="s">
        <v>111</v>
      </c>
      <c r="AN1104" t="s">
        <v>105</v>
      </c>
      <c r="AO1104" t="s">
        <v>110</v>
      </c>
      <c r="AP1104" t="s">
        <v>109</v>
      </c>
    </row>
    <row r="1105" spans="1:42" x14ac:dyDescent="0.25">
      <c r="A1105" s="28" t="str">
        <f>"15340"</f>
        <v>15340</v>
      </c>
      <c r="B1105">
        <v>15340</v>
      </c>
      <c r="C1105" t="s">
        <v>2488</v>
      </c>
      <c r="D1105" t="s">
        <v>121</v>
      </c>
      <c r="F1105" t="s">
        <v>403</v>
      </c>
      <c r="G1105" t="s">
        <v>601</v>
      </c>
      <c r="I1105" t="s">
        <v>7274</v>
      </c>
      <c r="J1105" t="s">
        <v>7</v>
      </c>
      <c r="K1105" s="63">
        <v>27802</v>
      </c>
      <c r="L1105" s="28">
        <f>DATEDIF(K1105,Zwift25!G$1,"Y")</f>
        <v>48</v>
      </c>
      <c r="M1105" s="67">
        <f>IF(J1105="m",VLOOKUP(L1105,'All Solo Adjustments'!A:D,4,FALSE),VLOOKUP(L1105,'All Solo Adjustments'!A:J,10,FALSE))</f>
        <v>8.3333333333333339E-4</v>
      </c>
      <c r="N1105" s="63"/>
      <c r="O1105" s="63"/>
      <c r="P1105" s="63"/>
      <c r="Q1105" s="63"/>
      <c r="R1105" t="s">
        <v>125</v>
      </c>
      <c r="S1105" t="s">
        <v>170</v>
      </c>
      <c r="T1105" t="s">
        <v>292</v>
      </c>
      <c r="U1105" t="s">
        <v>7273</v>
      </c>
      <c r="V1105" t="s">
        <v>7272</v>
      </c>
      <c r="W1105" t="s">
        <v>223</v>
      </c>
      <c r="X1105" t="s">
        <v>419</v>
      </c>
      <c r="Y1105" t="s">
        <v>7271</v>
      </c>
      <c r="Z1105" t="str">
        <f>"07423053174"</f>
        <v>07423053174</v>
      </c>
      <c r="AA1105" t="str">
        <f>"01223441303"</f>
        <v>01223441303</v>
      </c>
      <c r="AB1105" t="s">
        <v>222</v>
      </c>
      <c r="AC1105" t="s">
        <v>7270</v>
      </c>
      <c r="AD1105" t="s">
        <v>114</v>
      </c>
      <c r="AE1105" s="63">
        <v>45262</v>
      </c>
      <c r="AF1105" t="s">
        <v>156</v>
      </c>
      <c r="AG1105" t="s">
        <v>112</v>
      </c>
      <c r="AH1105" t="s">
        <v>112</v>
      </c>
      <c r="AI1105" s="63">
        <v>44575</v>
      </c>
      <c r="AJ1105" s="63">
        <v>45657</v>
      </c>
      <c r="AK1105" t="s">
        <v>112</v>
      </c>
      <c r="AL1105" t="s">
        <v>111</v>
      </c>
      <c r="AM1105" t="s">
        <v>111</v>
      </c>
      <c r="AN1105">
        <v>42285</v>
      </c>
      <c r="AO1105" t="s">
        <v>110</v>
      </c>
      <c r="AP1105" t="s">
        <v>109</v>
      </c>
    </row>
    <row r="1106" spans="1:42" x14ac:dyDescent="0.25">
      <c r="A1106" s="28" t="str">
        <f>"16123"</f>
        <v>16123</v>
      </c>
      <c r="B1106">
        <v>16123</v>
      </c>
      <c r="C1106" t="s">
        <v>2488</v>
      </c>
      <c r="D1106" t="s">
        <v>121</v>
      </c>
      <c r="F1106" t="s">
        <v>120</v>
      </c>
      <c r="G1106" t="s">
        <v>436</v>
      </c>
      <c r="I1106" t="s">
        <v>356</v>
      </c>
      <c r="J1106" t="s">
        <v>7</v>
      </c>
      <c r="K1106" s="63">
        <v>19520</v>
      </c>
      <c r="L1106" s="28">
        <f>DATEDIF(K1106,Zwift25!G$1,"Y")</f>
        <v>71</v>
      </c>
      <c r="M1106" s="67">
        <f>IF(J1106="m",VLOOKUP(L1106,'All Solo Adjustments'!A:D,4,FALSE),VLOOKUP(L1106,'All Solo Adjustments'!A:J,10,FALSE))</f>
        <v>6.7245370370370375E-3</v>
      </c>
      <c r="N1106" s="63"/>
      <c r="O1106" s="63"/>
      <c r="P1106" s="63"/>
      <c r="Q1106" s="63"/>
      <c r="R1106" t="s">
        <v>159</v>
      </c>
      <c r="S1106" t="s">
        <v>162</v>
      </c>
      <c r="T1106" t="s">
        <v>292</v>
      </c>
      <c r="U1106" t="s">
        <v>7269</v>
      </c>
      <c r="W1106" t="s">
        <v>791</v>
      </c>
      <c r="X1106" t="s">
        <v>159</v>
      </c>
      <c r="Y1106" t="s">
        <v>7268</v>
      </c>
      <c r="Z1106" t="str">
        <f>"07736518935"</f>
        <v>07736518935</v>
      </c>
      <c r="AA1106" t="str">
        <f>""</f>
        <v/>
      </c>
      <c r="AB1106" t="s">
        <v>7267</v>
      </c>
      <c r="AC1106" t="s">
        <v>7266</v>
      </c>
      <c r="AD1106" t="s">
        <v>114</v>
      </c>
      <c r="AE1106" s="63">
        <v>45411</v>
      </c>
      <c r="AF1106" t="s">
        <v>156</v>
      </c>
      <c r="AG1106" t="s">
        <v>112</v>
      </c>
      <c r="AH1106" t="s">
        <v>112</v>
      </c>
      <c r="AI1106" s="63">
        <v>45411</v>
      </c>
      <c r="AJ1106" s="63">
        <v>45657</v>
      </c>
      <c r="AK1106" t="s">
        <v>112</v>
      </c>
      <c r="AL1106" t="s">
        <v>111</v>
      </c>
      <c r="AM1106" t="s">
        <v>111</v>
      </c>
      <c r="AN1106">
        <v>50390</v>
      </c>
      <c r="AO1106" t="s">
        <v>110</v>
      </c>
      <c r="AP1106" t="s">
        <v>109</v>
      </c>
    </row>
    <row r="1107" spans="1:42" x14ac:dyDescent="0.25">
      <c r="A1107" s="28" t="str">
        <f>"14026"</f>
        <v>14026</v>
      </c>
      <c r="B1107">
        <v>14026</v>
      </c>
      <c r="C1107" t="s">
        <v>2488</v>
      </c>
      <c r="D1107" t="s">
        <v>121</v>
      </c>
      <c r="F1107" t="s">
        <v>120</v>
      </c>
      <c r="G1107" t="s">
        <v>377</v>
      </c>
      <c r="H1107" t="s">
        <v>251</v>
      </c>
      <c r="I1107" t="s">
        <v>7265</v>
      </c>
      <c r="J1107" t="s">
        <v>7</v>
      </c>
      <c r="K1107" s="63">
        <v>20402</v>
      </c>
      <c r="L1107" s="28">
        <f>DATEDIF(K1107,Zwift25!G$1,"Y")</f>
        <v>68</v>
      </c>
      <c r="M1107" s="67">
        <f>IF(J1107="m",VLOOKUP(L1107,'All Solo Adjustments'!A:D,4,FALSE),VLOOKUP(L1107,'All Solo Adjustments'!A:J,10,FALSE))</f>
        <v>5.6134259259259262E-3</v>
      </c>
      <c r="N1107" s="63"/>
      <c r="O1107" s="63"/>
      <c r="P1107" s="63"/>
      <c r="Q1107" s="63"/>
      <c r="R1107" t="s">
        <v>137</v>
      </c>
      <c r="S1107" t="s">
        <v>136</v>
      </c>
      <c r="T1107" t="s">
        <v>292</v>
      </c>
      <c r="U1107" t="s">
        <v>7264</v>
      </c>
      <c r="V1107" t="s">
        <v>7263</v>
      </c>
      <c r="W1107" t="s">
        <v>7262</v>
      </c>
      <c r="X1107" t="s">
        <v>134</v>
      </c>
      <c r="Y1107" t="s">
        <v>7261</v>
      </c>
      <c r="Z1107" t="str">
        <f>"01308 427711"</f>
        <v>01308 427711</v>
      </c>
      <c r="AA1107" t="str">
        <f>"07974 972423"</f>
        <v>07974 972423</v>
      </c>
      <c r="AB1107" t="s">
        <v>7260</v>
      </c>
      <c r="AC1107" t="s">
        <v>7259</v>
      </c>
      <c r="AD1107" t="s">
        <v>114</v>
      </c>
      <c r="AE1107" s="63">
        <v>45287</v>
      </c>
      <c r="AF1107" t="s">
        <v>113</v>
      </c>
      <c r="AG1107" t="s">
        <v>112</v>
      </c>
      <c r="AH1107" t="s">
        <v>112</v>
      </c>
      <c r="AI1107" s="63">
        <v>43497</v>
      </c>
      <c r="AJ1107" s="63">
        <v>45657</v>
      </c>
      <c r="AK1107" t="s">
        <v>112</v>
      </c>
      <c r="AL1107" t="s">
        <v>112</v>
      </c>
      <c r="AM1107" t="s">
        <v>112</v>
      </c>
      <c r="AN1107">
        <v>40191</v>
      </c>
      <c r="AO1107" t="s">
        <v>110</v>
      </c>
      <c r="AP1107" t="s">
        <v>109</v>
      </c>
    </row>
    <row r="1108" spans="1:42" x14ac:dyDescent="0.25">
      <c r="A1108" s="28" t="str">
        <f>"13617"</f>
        <v>13617</v>
      </c>
      <c r="B1108">
        <v>13617</v>
      </c>
      <c r="C1108" t="s">
        <v>2488</v>
      </c>
      <c r="D1108" t="s">
        <v>121</v>
      </c>
      <c r="F1108" t="s">
        <v>120</v>
      </c>
      <c r="G1108" t="s">
        <v>7258</v>
      </c>
      <c r="I1108" t="s">
        <v>7257</v>
      </c>
      <c r="J1108" t="s">
        <v>7</v>
      </c>
      <c r="K1108" s="63">
        <v>25262</v>
      </c>
      <c r="L1108" s="28">
        <f>DATEDIF(K1108,Zwift25!G$1,"Y")</f>
        <v>55</v>
      </c>
      <c r="M1108" s="67">
        <f>IF(J1108="m",VLOOKUP(L1108,'All Solo Adjustments'!A:D,4,FALSE),VLOOKUP(L1108,'All Solo Adjustments'!A:J,10,FALSE))</f>
        <v>2.0601851851851853E-3</v>
      </c>
      <c r="N1108" s="63"/>
      <c r="O1108" s="63"/>
      <c r="P1108" s="63"/>
      <c r="Q1108" s="63"/>
      <c r="R1108" t="s">
        <v>184</v>
      </c>
      <c r="S1108" t="s">
        <v>183</v>
      </c>
      <c r="T1108" t="s">
        <v>292</v>
      </c>
      <c r="U1108" t="s">
        <v>7256</v>
      </c>
      <c r="V1108" t="s">
        <v>1669</v>
      </c>
      <c r="W1108" t="s">
        <v>401</v>
      </c>
      <c r="Y1108" t="s">
        <v>7255</v>
      </c>
      <c r="Z1108" t="str">
        <f>"07920510511"</f>
        <v>07920510511</v>
      </c>
      <c r="AA1108" t="str">
        <f>"01707596534"</f>
        <v>01707596534</v>
      </c>
      <c r="AB1108" t="s">
        <v>2173</v>
      </c>
      <c r="AC1108" t="s">
        <v>7254</v>
      </c>
      <c r="AD1108" t="s">
        <v>114</v>
      </c>
      <c r="AE1108" s="63">
        <v>45276</v>
      </c>
      <c r="AF1108" t="s">
        <v>156</v>
      </c>
      <c r="AG1108" t="s">
        <v>112</v>
      </c>
      <c r="AH1108" t="s">
        <v>112</v>
      </c>
      <c r="AI1108" s="63">
        <v>43259</v>
      </c>
      <c r="AJ1108" s="63">
        <v>45657</v>
      </c>
      <c r="AK1108" t="s">
        <v>112</v>
      </c>
      <c r="AL1108" t="s">
        <v>111</v>
      </c>
      <c r="AM1108" t="s">
        <v>111</v>
      </c>
      <c r="AN1108">
        <v>8727</v>
      </c>
      <c r="AO1108" t="s">
        <v>110</v>
      </c>
      <c r="AP1108" t="s">
        <v>109</v>
      </c>
    </row>
    <row r="1109" spans="1:42" x14ac:dyDescent="0.25">
      <c r="A1109" s="28" t="str">
        <f>"6355"</f>
        <v>6355</v>
      </c>
      <c r="B1109">
        <v>6355</v>
      </c>
      <c r="C1109" t="s">
        <v>2488</v>
      </c>
      <c r="D1109" t="s">
        <v>121</v>
      </c>
      <c r="E1109" t="s">
        <v>584</v>
      </c>
      <c r="F1109" t="s">
        <v>120</v>
      </c>
      <c r="G1109" t="s">
        <v>649</v>
      </c>
      <c r="H1109" t="s">
        <v>709</v>
      </c>
      <c r="I1109" t="s">
        <v>1731</v>
      </c>
      <c r="J1109" t="s">
        <v>7</v>
      </c>
      <c r="K1109" s="63">
        <v>13909</v>
      </c>
      <c r="L1109" s="28">
        <f>DATEDIF(K1109,Zwift25!G$1,"Y")</f>
        <v>86</v>
      </c>
      <c r="M1109" s="67">
        <f>IF(J1109="m",VLOOKUP(L1109,'All Solo Adjustments'!A:D,4,FALSE),VLOOKUP(L1109,'All Solo Adjustments'!A:J,10,FALSE))</f>
        <v>1.4988425925925926E-2</v>
      </c>
      <c r="N1109" s="63"/>
      <c r="O1109" s="63"/>
      <c r="P1109" s="63"/>
      <c r="Q1109" s="63"/>
      <c r="R1109" t="s">
        <v>154</v>
      </c>
      <c r="S1109" t="s">
        <v>153</v>
      </c>
      <c r="T1109" t="s">
        <v>292</v>
      </c>
      <c r="U1109" t="s">
        <v>7253</v>
      </c>
      <c r="V1109" t="s">
        <v>1570</v>
      </c>
      <c r="W1109" t="s">
        <v>929</v>
      </c>
      <c r="Y1109" t="s">
        <v>7252</v>
      </c>
      <c r="Z1109" t="str">
        <f>"01869 571948"</f>
        <v>01869 571948</v>
      </c>
      <c r="AA1109" t="str">
        <f>"07563 692895"</f>
        <v>07563 692895</v>
      </c>
      <c r="AB1109" t="s">
        <v>7251</v>
      </c>
      <c r="AC1109" t="s">
        <v>7250</v>
      </c>
      <c r="AD1109" t="s">
        <v>114</v>
      </c>
      <c r="AE1109" s="63">
        <v>45292</v>
      </c>
      <c r="AF1109" t="s">
        <v>113</v>
      </c>
      <c r="AG1109" t="s">
        <v>112</v>
      </c>
      <c r="AH1109" t="s">
        <v>112</v>
      </c>
      <c r="AI1109" s="63">
        <v>42986</v>
      </c>
      <c r="AJ1109" s="63">
        <v>45657</v>
      </c>
      <c r="AK1109" t="s">
        <v>111</v>
      </c>
      <c r="AL1109" t="s">
        <v>111</v>
      </c>
      <c r="AM1109" t="s">
        <v>111</v>
      </c>
      <c r="AN1109">
        <v>25529</v>
      </c>
      <c r="AO1109" t="s">
        <v>110</v>
      </c>
      <c r="AP1109" t="s">
        <v>109</v>
      </c>
    </row>
    <row r="1110" spans="1:42" x14ac:dyDescent="0.25">
      <c r="A1110" s="28" t="str">
        <f>"1410"</f>
        <v>1410</v>
      </c>
      <c r="B1110">
        <v>1410</v>
      </c>
      <c r="C1110" t="s">
        <v>2488</v>
      </c>
      <c r="D1110" t="s">
        <v>121</v>
      </c>
      <c r="F1110" t="s">
        <v>120</v>
      </c>
      <c r="G1110" t="s">
        <v>7249</v>
      </c>
      <c r="H1110" t="s">
        <v>7248</v>
      </c>
      <c r="I1110" t="s">
        <v>7247</v>
      </c>
      <c r="J1110" t="s">
        <v>7</v>
      </c>
      <c r="K1110" s="63">
        <v>18009</v>
      </c>
      <c r="L1110" s="28">
        <f>DATEDIF(K1110,Zwift25!G$1,"Y")</f>
        <v>75</v>
      </c>
      <c r="M1110" s="67">
        <f>IF(J1110="m",VLOOKUP(L1110,'All Solo Adjustments'!A:D,4,FALSE),VLOOKUP(L1110,'All Solo Adjustments'!A:J,10,FALSE))</f>
        <v>8.4374999999999988E-3</v>
      </c>
      <c r="N1110" s="63"/>
      <c r="O1110" s="63"/>
      <c r="P1110" s="63"/>
      <c r="Q1110" s="63"/>
      <c r="R1110" t="s">
        <v>154</v>
      </c>
      <c r="S1110" t="s">
        <v>153</v>
      </c>
      <c r="T1110" t="s">
        <v>292</v>
      </c>
      <c r="U1110" t="s">
        <v>7246</v>
      </c>
      <c r="V1110" t="s">
        <v>926</v>
      </c>
      <c r="Y1110" t="s">
        <v>7245</v>
      </c>
      <c r="Z1110" t="str">
        <f>"01604 845737"</f>
        <v>01604 845737</v>
      </c>
      <c r="AA1110" t="str">
        <f>"07969523271"</f>
        <v>07969523271</v>
      </c>
      <c r="AB1110" t="s">
        <v>7244</v>
      </c>
      <c r="AC1110" t="s">
        <v>7243</v>
      </c>
      <c r="AD1110" t="s">
        <v>114</v>
      </c>
      <c r="AE1110" s="63">
        <v>45293</v>
      </c>
      <c r="AF1110" t="s">
        <v>113</v>
      </c>
      <c r="AG1110" t="s">
        <v>112</v>
      </c>
      <c r="AH1110" t="s">
        <v>112</v>
      </c>
      <c r="AI1110" s="63">
        <v>35125</v>
      </c>
      <c r="AJ1110" s="63">
        <v>45657</v>
      </c>
      <c r="AK1110" t="s">
        <v>111</v>
      </c>
      <c r="AL1110" t="s">
        <v>111</v>
      </c>
      <c r="AM1110" t="s">
        <v>111</v>
      </c>
      <c r="AN1110" t="s">
        <v>105</v>
      </c>
      <c r="AO1110" t="s">
        <v>110</v>
      </c>
      <c r="AP1110" t="s">
        <v>109</v>
      </c>
    </row>
    <row r="1111" spans="1:42" x14ac:dyDescent="0.25">
      <c r="A1111" s="28" t="str">
        <f>"1417"</f>
        <v>1417</v>
      </c>
      <c r="B1111">
        <v>1417</v>
      </c>
      <c r="C1111" t="s">
        <v>2488</v>
      </c>
      <c r="D1111" t="s">
        <v>132</v>
      </c>
      <c r="F1111" t="s">
        <v>120</v>
      </c>
      <c r="G1111" t="s">
        <v>251</v>
      </c>
      <c r="I1111" t="s">
        <v>1731</v>
      </c>
      <c r="J1111" t="s">
        <v>7</v>
      </c>
      <c r="K1111" s="63">
        <v>18468</v>
      </c>
      <c r="L1111" s="28">
        <f>DATEDIF(K1111,Zwift25!G$1,"Y")</f>
        <v>74</v>
      </c>
      <c r="M1111" s="67">
        <f>IF(J1111="m",VLOOKUP(L1111,'All Solo Adjustments'!A:D,4,FALSE),VLOOKUP(L1111,'All Solo Adjustments'!A:J,10,FALSE))</f>
        <v>7.9861111111111122E-3</v>
      </c>
      <c r="N1111" s="63"/>
      <c r="O1111" s="63"/>
      <c r="P1111" s="63"/>
      <c r="Q1111" s="63"/>
      <c r="R1111" t="s">
        <v>328</v>
      </c>
      <c r="S1111" t="s">
        <v>741</v>
      </c>
      <c r="T1111" t="s">
        <v>292</v>
      </c>
      <c r="U1111" t="s">
        <v>7242</v>
      </c>
      <c r="V1111" t="s">
        <v>1373</v>
      </c>
      <c r="W1111" t="s">
        <v>326</v>
      </c>
      <c r="Y1111" t="s">
        <v>7241</v>
      </c>
      <c r="Z1111" t="str">
        <f>"01995 603968"</f>
        <v>01995 603968</v>
      </c>
      <c r="AA1111" t="str">
        <f>""</f>
        <v/>
      </c>
      <c r="AB1111" t="s">
        <v>1673</v>
      </c>
      <c r="AD1111" t="s">
        <v>145</v>
      </c>
      <c r="AE1111" s="63">
        <v>45207</v>
      </c>
      <c r="AF1111" t="s">
        <v>113</v>
      </c>
      <c r="AG1111" t="s">
        <v>112</v>
      </c>
      <c r="AH1111" t="s">
        <v>112</v>
      </c>
      <c r="AI1111" s="63">
        <v>43408</v>
      </c>
      <c r="AJ1111" s="63">
        <v>45657</v>
      </c>
      <c r="AK1111" t="s">
        <v>111</v>
      </c>
      <c r="AL1111" t="s">
        <v>111</v>
      </c>
      <c r="AM1111" t="s">
        <v>111</v>
      </c>
      <c r="AN1111" t="s">
        <v>105</v>
      </c>
      <c r="AO1111" t="s">
        <v>110</v>
      </c>
      <c r="AP1111" t="s">
        <v>109</v>
      </c>
    </row>
    <row r="1112" spans="1:42" x14ac:dyDescent="0.25">
      <c r="A1112" s="28" t="str">
        <f>"13152"</f>
        <v>13152</v>
      </c>
      <c r="B1112">
        <v>13152</v>
      </c>
      <c r="C1112" t="s">
        <v>2488</v>
      </c>
      <c r="D1112" t="s">
        <v>130</v>
      </c>
      <c r="F1112" t="s">
        <v>139</v>
      </c>
      <c r="G1112" t="s">
        <v>1672</v>
      </c>
      <c r="I1112" t="s">
        <v>1633</v>
      </c>
      <c r="J1112" t="s">
        <v>126</v>
      </c>
      <c r="K1112" s="63">
        <v>12889</v>
      </c>
      <c r="L1112" s="28">
        <f>DATEDIF(K1112,Zwift25!G$1,"Y")</f>
        <v>89</v>
      </c>
      <c r="M1112" s="67">
        <f>IF(J1112="m",VLOOKUP(L1112,'All Solo Adjustments'!A:D,4,FALSE),VLOOKUP(L1112,'All Solo Adjustments'!A:J,10,FALSE))</f>
        <v>2.4097222222222221E-2</v>
      </c>
      <c r="N1112" s="63"/>
      <c r="O1112" s="63"/>
      <c r="P1112" s="63"/>
      <c r="Q1112" s="63"/>
      <c r="R1112" t="s">
        <v>328</v>
      </c>
      <c r="S1112" t="s">
        <v>741</v>
      </c>
      <c r="T1112" t="s">
        <v>292</v>
      </c>
      <c r="U1112" t="s">
        <v>7242</v>
      </c>
      <c r="V1112" t="s">
        <v>1373</v>
      </c>
      <c r="W1112" t="s">
        <v>326</v>
      </c>
      <c r="Y1112" t="s">
        <v>7241</v>
      </c>
      <c r="Z1112" t="str">
        <f>"01995 603968"</f>
        <v>01995 603968</v>
      </c>
      <c r="AA1112" t="str">
        <f>""</f>
        <v/>
      </c>
      <c r="AB1112" t="s">
        <v>290</v>
      </c>
      <c r="AD1112" t="s">
        <v>145</v>
      </c>
      <c r="AE1112" s="63">
        <v>45207</v>
      </c>
      <c r="AF1112" t="s">
        <v>113</v>
      </c>
      <c r="AG1112" t="s">
        <v>111</v>
      </c>
      <c r="AH1112" t="s">
        <v>111</v>
      </c>
      <c r="AI1112" s="63">
        <v>43408</v>
      </c>
      <c r="AJ1112" s="63">
        <v>45657</v>
      </c>
      <c r="AK1112" t="s">
        <v>111</v>
      </c>
      <c r="AL1112" t="s">
        <v>111</v>
      </c>
      <c r="AM1112" t="s">
        <v>111</v>
      </c>
      <c r="AN1112" t="s">
        <v>105</v>
      </c>
      <c r="AO1112" t="s">
        <v>122</v>
      </c>
      <c r="AP1112" t="s">
        <v>122</v>
      </c>
    </row>
    <row r="1113" spans="1:42" x14ac:dyDescent="0.25">
      <c r="A1113" s="28" t="str">
        <f>"1419"</f>
        <v>1419</v>
      </c>
      <c r="B1113">
        <v>1419</v>
      </c>
      <c r="C1113" t="s">
        <v>2488</v>
      </c>
      <c r="D1113" t="s">
        <v>121</v>
      </c>
      <c r="F1113" t="s">
        <v>120</v>
      </c>
      <c r="G1113" t="s">
        <v>573</v>
      </c>
      <c r="I1113" t="s">
        <v>7240</v>
      </c>
      <c r="J1113" t="s">
        <v>7</v>
      </c>
      <c r="K1113" s="63">
        <v>12408</v>
      </c>
      <c r="L1113" s="28">
        <f>DATEDIF(K1113,Zwift25!G$1,"Y")</f>
        <v>90</v>
      </c>
      <c r="M1113" s="67">
        <f>IF(J1113="m",VLOOKUP(L1113,'All Solo Adjustments'!A:D,4,FALSE),VLOOKUP(L1113,'All Solo Adjustments'!A:J,10,FALSE))</f>
        <v>1.8391203703703705E-2</v>
      </c>
      <c r="N1113" s="63"/>
      <c r="O1113" s="63"/>
      <c r="P1113" s="63"/>
      <c r="Q1113" s="63"/>
      <c r="R1113" t="s">
        <v>180</v>
      </c>
      <c r="S1113" t="s">
        <v>2288</v>
      </c>
      <c r="T1113" t="s">
        <v>292</v>
      </c>
      <c r="U1113" t="s">
        <v>7239</v>
      </c>
      <c r="V1113" t="s">
        <v>116</v>
      </c>
      <c r="Y1113" t="s">
        <v>7238</v>
      </c>
      <c r="Z1113" t="str">
        <f>"01522 878621"</f>
        <v>01522 878621</v>
      </c>
      <c r="AA1113" t="str">
        <f>""</f>
        <v/>
      </c>
      <c r="AB1113" t="s">
        <v>115</v>
      </c>
      <c r="AD1113" t="s">
        <v>151</v>
      </c>
      <c r="AF1113" t="s">
        <v>113</v>
      </c>
      <c r="AG1113" t="s">
        <v>112</v>
      </c>
      <c r="AH1113" t="s">
        <v>112</v>
      </c>
      <c r="AK1113" t="s">
        <v>111</v>
      </c>
      <c r="AL1113" t="s">
        <v>111</v>
      </c>
      <c r="AM1113" t="s">
        <v>111</v>
      </c>
      <c r="AN1113" t="s">
        <v>105</v>
      </c>
      <c r="AO1113" t="s">
        <v>110</v>
      </c>
      <c r="AP1113" t="s">
        <v>109</v>
      </c>
    </row>
    <row r="1114" spans="1:42" x14ac:dyDescent="0.25">
      <c r="A1114" s="28" t="str">
        <f>"16175"</f>
        <v>16175</v>
      </c>
      <c r="B1114">
        <v>16175</v>
      </c>
      <c r="C1114" t="s">
        <v>2488</v>
      </c>
      <c r="D1114" t="s">
        <v>121</v>
      </c>
      <c r="E1114" t="s">
        <v>584</v>
      </c>
      <c r="F1114" t="s">
        <v>144</v>
      </c>
      <c r="G1114" t="s">
        <v>424</v>
      </c>
      <c r="H1114" t="s">
        <v>2161</v>
      </c>
      <c r="I1114" t="s">
        <v>1729</v>
      </c>
      <c r="J1114" t="s">
        <v>126</v>
      </c>
      <c r="K1114" s="63">
        <v>27071</v>
      </c>
      <c r="L1114" s="28">
        <f>DATEDIF(K1114,Zwift25!G$1,"Y")</f>
        <v>50</v>
      </c>
      <c r="M1114" s="67">
        <f>IF(J1114="m",VLOOKUP(L1114,'All Solo Adjustments'!A:D,4,FALSE),VLOOKUP(L1114,'All Solo Adjustments'!A:J,10,FALSE))</f>
        <v>4.9768518518518521E-3</v>
      </c>
      <c r="N1114" s="63"/>
      <c r="O1114" s="63"/>
      <c r="P1114" s="63"/>
      <c r="Q1114" s="63"/>
      <c r="R1114" t="s">
        <v>137</v>
      </c>
      <c r="S1114" t="s">
        <v>136</v>
      </c>
      <c r="T1114" t="s">
        <v>292</v>
      </c>
      <c r="U1114" t="s">
        <v>7237</v>
      </c>
      <c r="W1114" t="s">
        <v>7236</v>
      </c>
      <c r="X1114" t="s">
        <v>134</v>
      </c>
      <c r="Y1114" t="s">
        <v>7235</v>
      </c>
      <c r="Z1114" t="str">
        <f>"07808811511"</f>
        <v>07808811511</v>
      </c>
      <c r="AA1114" t="str">
        <f>""</f>
        <v/>
      </c>
      <c r="AB1114" t="s">
        <v>7234</v>
      </c>
      <c r="AC1114" t="s">
        <v>7233</v>
      </c>
      <c r="AD1114" t="s">
        <v>114</v>
      </c>
      <c r="AE1114" s="63">
        <v>45480</v>
      </c>
      <c r="AF1114" t="s">
        <v>156</v>
      </c>
      <c r="AG1114" t="s">
        <v>112</v>
      </c>
      <c r="AH1114" t="s">
        <v>112</v>
      </c>
      <c r="AI1114" s="63">
        <v>45480</v>
      </c>
      <c r="AJ1114" s="63">
        <v>45657</v>
      </c>
      <c r="AK1114" t="s">
        <v>112</v>
      </c>
      <c r="AL1114" t="s">
        <v>111</v>
      </c>
      <c r="AM1114" t="s">
        <v>111</v>
      </c>
      <c r="AN1114">
        <v>40742</v>
      </c>
      <c r="AO1114" t="s">
        <v>122</v>
      </c>
      <c r="AP1114" t="s">
        <v>122</v>
      </c>
    </row>
    <row r="1115" spans="1:42" x14ac:dyDescent="0.25">
      <c r="A1115" s="28" t="str">
        <f>"15603"</f>
        <v>15603</v>
      </c>
      <c r="B1115">
        <v>15603</v>
      </c>
      <c r="C1115" t="s">
        <v>2488</v>
      </c>
      <c r="D1115" t="s">
        <v>121</v>
      </c>
      <c r="F1115" t="s">
        <v>120</v>
      </c>
      <c r="G1115" t="s">
        <v>2420</v>
      </c>
      <c r="I1115" t="s">
        <v>895</v>
      </c>
      <c r="J1115" t="s">
        <v>7</v>
      </c>
      <c r="K1115" s="63">
        <v>23669</v>
      </c>
      <c r="L1115" s="28">
        <f>DATEDIF(K1115,Zwift25!G$1,"Y")</f>
        <v>59</v>
      </c>
      <c r="M1115" s="67">
        <f>IF(J1115="m",VLOOKUP(L1115,'All Solo Adjustments'!A:D,4,FALSE),VLOOKUP(L1115,'All Solo Adjustments'!A:J,10,FALSE))</f>
        <v>2.9629629629629632E-3</v>
      </c>
      <c r="N1115" s="63"/>
      <c r="O1115" s="63"/>
      <c r="P1115" s="63"/>
      <c r="Q1115" s="63"/>
      <c r="R1115" t="s">
        <v>184</v>
      </c>
      <c r="S1115" t="s">
        <v>183</v>
      </c>
      <c r="T1115" t="s">
        <v>292</v>
      </c>
      <c r="U1115" t="s">
        <v>7232</v>
      </c>
      <c r="V1115" t="s">
        <v>6670</v>
      </c>
      <c r="W1115" t="s">
        <v>1573</v>
      </c>
      <c r="Y1115" t="s">
        <v>7231</v>
      </c>
      <c r="Z1115" t="str">
        <f>"07802 462429"</f>
        <v>07802 462429</v>
      </c>
      <c r="AA1115" t="str">
        <f>""</f>
        <v/>
      </c>
      <c r="AB1115" t="s">
        <v>232</v>
      </c>
      <c r="AC1115" t="s">
        <v>7230</v>
      </c>
      <c r="AD1115" t="s">
        <v>114</v>
      </c>
      <c r="AE1115" s="63">
        <v>45272</v>
      </c>
      <c r="AF1115" t="s">
        <v>156</v>
      </c>
      <c r="AG1115" t="s">
        <v>112</v>
      </c>
      <c r="AH1115" t="s">
        <v>112</v>
      </c>
      <c r="AI1115" s="63">
        <v>44841</v>
      </c>
      <c r="AJ1115" s="63">
        <v>45657</v>
      </c>
      <c r="AK1115" t="s">
        <v>112</v>
      </c>
      <c r="AL1115" t="s">
        <v>111</v>
      </c>
      <c r="AM1115" t="s">
        <v>111</v>
      </c>
      <c r="AN1115">
        <v>45225</v>
      </c>
      <c r="AO1115" t="s">
        <v>110</v>
      </c>
      <c r="AP1115" t="s">
        <v>109</v>
      </c>
    </row>
    <row r="1116" spans="1:42" x14ac:dyDescent="0.25">
      <c r="A1116" s="28" t="str">
        <f>"4436"</f>
        <v>4436</v>
      </c>
      <c r="B1116">
        <v>4436</v>
      </c>
      <c r="C1116" t="s">
        <v>2488</v>
      </c>
      <c r="D1116" t="s">
        <v>121</v>
      </c>
      <c r="F1116" t="s">
        <v>120</v>
      </c>
      <c r="G1116" t="s">
        <v>829</v>
      </c>
      <c r="I1116" t="s">
        <v>7229</v>
      </c>
      <c r="J1116" t="s">
        <v>7</v>
      </c>
      <c r="K1116" s="63">
        <v>17589</v>
      </c>
      <c r="L1116" s="28">
        <f>DATEDIF(K1116,Zwift25!G$1,"Y")</f>
        <v>76</v>
      </c>
      <c r="M1116" s="67">
        <f>IF(J1116="m",VLOOKUP(L1116,'All Solo Adjustments'!A:D,4,FALSE),VLOOKUP(L1116,'All Solo Adjustments'!A:J,10,FALSE))</f>
        <v>8.912037037037036E-3</v>
      </c>
      <c r="N1116" s="63"/>
      <c r="O1116" s="63"/>
      <c r="P1116" s="63"/>
      <c r="Q1116" s="63"/>
      <c r="R1116" t="s">
        <v>296</v>
      </c>
      <c r="S1116" t="s">
        <v>295</v>
      </c>
      <c r="T1116" t="s">
        <v>292</v>
      </c>
      <c r="U1116" t="s">
        <v>7228</v>
      </c>
      <c r="V1116" t="s">
        <v>7227</v>
      </c>
      <c r="W1116" t="s">
        <v>7226</v>
      </c>
      <c r="X1116" t="s">
        <v>1242</v>
      </c>
      <c r="Y1116" t="s">
        <v>7225</v>
      </c>
      <c r="Z1116" t="str">
        <f>"01467 681330"</f>
        <v>01467 681330</v>
      </c>
      <c r="AA1116" t="str">
        <f>"07867857221"</f>
        <v>07867857221</v>
      </c>
      <c r="AB1116" t="s">
        <v>1241</v>
      </c>
      <c r="AC1116" t="s">
        <v>7224</v>
      </c>
      <c r="AD1116" t="s">
        <v>114</v>
      </c>
      <c r="AE1116" s="63">
        <v>45292</v>
      </c>
      <c r="AF1116" t="s">
        <v>156</v>
      </c>
      <c r="AG1116" t="s">
        <v>112</v>
      </c>
      <c r="AH1116" t="s">
        <v>112</v>
      </c>
      <c r="AI1116" s="63">
        <v>32579</v>
      </c>
      <c r="AJ1116" s="63">
        <v>45657</v>
      </c>
      <c r="AK1116" t="s">
        <v>111</v>
      </c>
      <c r="AL1116" t="s">
        <v>111</v>
      </c>
      <c r="AM1116" t="s">
        <v>111</v>
      </c>
      <c r="AN1116" t="s">
        <v>105</v>
      </c>
      <c r="AO1116" t="s">
        <v>110</v>
      </c>
      <c r="AP1116" t="s">
        <v>109</v>
      </c>
    </row>
    <row r="1117" spans="1:42" x14ac:dyDescent="0.25">
      <c r="A1117" s="28" t="str">
        <f>"15738"</f>
        <v>15738</v>
      </c>
      <c r="B1117">
        <v>15738</v>
      </c>
      <c r="C1117" t="s">
        <v>2488</v>
      </c>
      <c r="D1117" t="s">
        <v>121</v>
      </c>
      <c r="F1117" t="s">
        <v>120</v>
      </c>
      <c r="G1117" t="s">
        <v>235</v>
      </c>
      <c r="H1117" t="s">
        <v>251</v>
      </c>
      <c r="I1117" t="s">
        <v>7223</v>
      </c>
      <c r="J1117" t="s">
        <v>7</v>
      </c>
      <c r="K1117" s="63">
        <v>25057</v>
      </c>
      <c r="L1117" s="28">
        <f>DATEDIF(K1117,Zwift25!G$1,"Y")</f>
        <v>56</v>
      </c>
      <c r="M1117" s="67">
        <f>IF(J1117="m",VLOOKUP(L1117,'All Solo Adjustments'!A:D,4,FALSE),VLOOKUP(L1117,'All Solo Adjustments'!A:J,10,FALSE))</f>
        <v>2.2685185185185182E-3</v>
      </c>
      <c r="N1117" s="63"/>
      <c r="O1117" s="63"/>
      <c r="P1117" s="63"/>
      <c r="Q1117" s="63"/>
      <c r="R1117" t="s">
        <v>283</v>
      </c>
      <c r="S1117" t="s">
        <v>530</v>
      </c>
      <c r="T1117" t="s">
        <v>292</v>
      </c>
      <c r="U1117">
        <v>28</v>
      </c>
      <c r="V1117" t="s">
        <v>7222</v>
      </c>
      <c r="X1117" t="s">
        <v>1156</v>
      </c>
      <c r="Y1117" t="s">
        <v>7221</v>
      </c>
      <c r="Z1117" t="str">
        <f>"07813904585"</f>
        <v>07813904585</v>
      </c>
      <c r="AA1117" t="str">
        <f>""</f>
        <v/>
      </c>
      <c r="AB1117" t="s">
        <v>1389</v>
      </c>
      <c r="AC1117" t="s">
        <v>7220</v>
      </c>
      <c r="AD1117" t="s">
        <v>114</v>
      </c>
      <c r="AE1117" s="63">
        <v>45384</v>
      </c>
      <c r="AF1117" t="s">
        <v>156</v>
      </c>
      <c r="AG1117" t="s">
        <v>112</v>
      </c>
      <c r="AH1117" t="s">
        <v>112</v>
      </c>
      <c r="AI1117" s="63">
        <v>45006</v>
      </c>
      <c r="AJ1117" s="63">
        <v>45657</v>
      </c>
      <c r="AK1117" t="s">
        <v>112</v>
      </c>
      <c r="AL1117" t="s">
        <v>111</v>
      </c>
      <c r="AM1117" t="s">
        <v>111</v>
      </c>
      <c r="AN1117">
        <v>3993</v>
      </c>
      <c r="AO1117" t="s">
        <v>110</v>
      </c>
      <c r="AP1117" t="s">
        <v>109</v>
      </c>
    </row>
    <row r="1118" spans="1:42" x14ac:dyDescent="0.25">
      <c r="A1118" s="28" t="str">
        <f>"15642"</f>
        <v>15642</v>
      </c>
      <c r="B1118">
        <v>15642</v>
      </c>
      <c r="C1118" t="s">
        <v>2488</v>
      </c>
      <c r="D1118" t="s">
        <v>121</v>
      </c>
      <c r="E1118" t="s">
        <v>584</v>
      </c>
      <c r="F1118" t="s">
        <v>120</v>
      </c>
      <c r="G1118" t="s">
        <v>165</v>
      </c>
      <c r="H1118" t="s">
        <v>573</v>
      </c>
      <c r="I1118" t="s">
        <v>7219</v>
      </c>
      <c r="J1118" t="s">
        <v>7</v>
      </c>
      <c r="K1118" s="63">
        <v>25201</v>
      </c>
      <c r="L1118" s="28">
        <f>DATEDIF(K1118,Zwift25!G$1,"Y")</f>
        <v>55</v>
      </c>
      <c r="M1118" s="67">
        <f>IF(J1118="m",VLOOKUP(L1118,'All Solo Adjustments'!A:D,4,FALSE),VLOOKUP(L1118,'All Solo Adjustments'!A:J,10,FALSE))</f>
        <v>2.0601851851851853E-3</v>
      </c>
      <c r="N1118" s="63"/>
      <c r="O1118" s="63"/>
      <c r="P1118" s="63"/>
      <c r="Q1118" s="63"/>
      <c r="R1118" t="s">
        <v>213</v>
      </c>
      <c r="S1118" t="s">
        <v>212</v>
      </c>
      <c r="T1118" t="s">
        <v>292</v>
      </c>
      <c r="U1118" t="s">
        <v>7218</v>
      </c>
      <c r="V1118" t="s">
        <v>7217</v>
      </c>
      <c r="W1118" t="s">
        <v>7216</v>
      </c>
      <c r="X1118" t="s">
        <v>1114</v>
      </c>
      <c r="Y1118" t="s">
        <v>7215</v>
      </c>
      <c r="Z1118" t="str">
        <f>"07824845372"</f>
        <v>07824845372</v>
      </c>
      <c r="AA1118" t="str">
        <f>""</f>
        <v/>
      </c>
      <c r="AB1118" t="s">
        <v>1113</v>
      </c>
      <c r="AC1118" t="s">
        <v>7214</v>
      </c>
      <c r="AD1118" t="s">
        <v>114</v>
      </c>
      <c r="AE1118" s="63">
        <v>45287</v>
      </c>
      <c r="AF1118" t="s">
        <v>113</v>
      </c>
      <c r="AG1118" t="s">
        <v>112</v>
      </c>
      <c r="AH1118" t="s">
        <v>112</v>
      </c>
      <c r="AI1118" s="63">
        <v>44929</v>
      </c>
      <c r="AJ1118" s="63">
        <v>45657</v>
      </c>
      <c r="AK1118" t="s">
        <v>112</v>
      </c>
      <c r="AL1118" t="s">
        <v>111</v>
      </c>
      <c r="AM1118" t="s">
        <v>111</v>
      </c>
      <c r="AN1118">
        <v>43618</v>
      </c>
      <c r="AO1118" t="s">
        <v>110</v>
      </c>
      <c r="AP1118" t="s">
        <v>109</v>
      </c>
    </row>
    <row r="1119" spans="1:42" x14ac:dyDescent="0.25">
      <c r="A1119" s="28" t="str">
        <f>"4766"</f>
        <v>4766</v>
      </c>
      <c r="B1119">
        <v>4766</v>
      </c>
      <c r="C1119" t="s">
        <v>2488</v>
      </c>
      <c r="D1119" t="s">
        <v>121</v>
      </c>
      <c r="F1119" t="s">
        <v>120</v>
      </c>
      <c r="G1119" t="s">
        <v>189</v>
      </c>
      <c r="I1119" t="s">
        <v>7210</v>
      </c>
      <c r="J1119" t="s">
        <v>7</v>
      </c>
      <c r="K1119" s="63">
        <v>19191</v>
      </c>
      <c r="L1119" s="28">
        <f>DATEDIF(K1119,Zwift25!G$1,"Y")</f>
        <v>72</v>
      </c>
      <c r="M1119" s="67">
        <f>IF(J1119="m",VLOOKUP(L1119,'All Solo Adjustments'!A:D,4,FALSE),VLOOKUP(L1119,'All Solo Adjustments'!A:J,10,FALSE))</f>
        <v>7.129629629629629E-3</v>
      </c>
      <c r="N1119" s="63"/>
      <c r="O1119" s="63"/>
      <c r="P1119" s="63"/>
      <c r="Q1119" s="63"/>
      <c r="R1119" t="s">
        <v>180</v>
      </c>
      <c r="S1119" t="s">
        <v>179</v>
      </c>
      <c r="T1119" t="s">
        <v>292</v>
      </c>
      <c r="U1119" t="s">
        <v>7213</v>
      </c>
      <c r="V1119" t="s">
        <v>1926</v>
      </c>
      <c r="W1119" t="s">
        <v>1112</v>
      </c>
      <c r="X1119" t="s">
        <v>368</v>
      </c>
      <c r="Y1119" t="s">
        <v>7212</v>
      </c>
      <c r="Z1119" t="str">
        <f>"01476 567616"</f>
        <v>01476 567616</v>
      </c>
      <c r="AA1119" t="str">
        <f>"07977 567615"</f>
        <v>07977 567615</v>
      </c>
      <c r="AB1119" t="s">
        <v>367</v>
      </c>
      <c r="AC1119" t="s">
        <v>7211</v>
      </c>
      <c r="AD1119" t="s">
        <v>114</v>
      </c>
      <c r="AE1119" s="63">
        <v>45262</v>
      </c>
      <c r="AF1119" t="s">
        <v>113</v>
      </c>
      <c r="AG1119" t="s">
        <v>112</v>
      </c>
      <c r="AH1119" t="s">
        <v>112</v>
      </c>
      <c r="AI1119" s="63">
        <v>41391</v>
      </c>
      <c r="AJ1119" s="63">
        <v>45657</v>
      </c>
      <c r="AK1119" t="s">
        <v>111</v>
      </c>
      <c r="AL1119" t="s">
        <v>111</v>
      </c>
      <c r="AM1119" t="s">
        <v>111</v>
      </c>
      <c r="AN1119">
        <v>5206</v>
      </c>
      <c r="AO1119" t="s">
        <v>110</v>
      </c>
      <c r="AP1119" t="s">
        <v>109</v>
      </c>
    </row>
    <row r="1120" spans="1:42" x14ac:dyDescent="0.25">
      <c r="A1120" s="28" t="str">
        <f>"14947"</f>
        <v>14947</v>
      </c>
      <c r="B1120">
        <v>14947</v>
      </c>
      <c r="C1120" t="s">
        <v>2488</v>
      </c>
      <c r="D1120" t="s">
        <v>121</v>
      </c>
      <c r="F1120" t="s">
        <v>120</v>
      </c>
      <c r="G1120" t="s">
        <v>1281</v>
      </c>
      <c r="I1120" t="s">
        <v>7210</v>
      </c>
      <c r="J1120" t="s">
        <v>7</v>
      </c>
      <c r="K1120" s="63">
        <v>29648</v>
      </c>
      <c r="L1120" s="28">
        <f>DATEDIF(K1120,Zwift25!G$1,"Y")</f>
        <v>43</v>
      </c>
      <c r="M1120" s="67">
        <f>IF(J1120="m",VLOOKUP(L1120,'All Solo Adjustments'!A:D,4,FALSE),VLOOKUP(L1120,'All Solo Adjustments'!A:J,10,FALSE))</f>
        <v>2.4305555555555555E-4</v>
      </c>
      <c r="N1120" s="63"/>
      <c r="O1120" s="63"/>
      <c r="P1120" s="63"/>
      <c r="Q1120" s="63"/>
      <c r="R1120" t="s">
        <v>159</v>
      </c>
      <c r="S1120" t="s">
        <v>162</v>
      </c>
      <c r="T1120" t="s">
        <v>292</v>
      </c>
      <c r="U1120" t="s">
        <v>7209</v>
      </c>
      <c r="V1120" t="s">
        <v>7208</v>
      </c>
      <c r="W1120" t="s">
        <v>7207</v>
      </c>
      <c r="Y1120" t="s">
        <v>7206</v>
      </c>
      <c r="Z1120" t="str">
        <f>"07780992747"</f>
        <v>07780992747</v>
      </c>
      <c r="AA1120" t="str">
        <f>""</f>
        <v/>
      </c>
      <c r="AB1120" t="s">
        <v>415</v>
      </c>
      <c r="AC1120" t="s">
        <v>7205</v>
      </c>
      <c r="AD1120" t="s">
        <v>114</v>
      </c>
      <c r="AE1120" s="63">
        <v>45250</v>
      </c>
      <c r="AF1120" t="s">
        <v>156</v>
      </c>
      <c r="AG1120" t="s">
        <v>112</v>
      </c>
      <c r="AH1120" t="s">
        <v>112</v>
      </c>
      <c r="AI1120" s="63">
        <v>44283</v>
      </c>
      <c r="AJ1120" s="63">
        <v>45657</v>
      </c>
      <c r="AK1120" t="s">
        <v>112</v>
      </c>
      <c r="AL1120" t="s">
        <v>111</v>
      </c>
      <c r="AM1120" t="s">
        <v>111</v>
      </c>
      <c r="AN1120">
        <v>16266</v>
      </c>
      <c r="AO1120" t="s">
        <v>110</v>
      </c>
      <c r="AP1120" t="s">
        <v>109</v>
      </c>
    </row>
    <row r="1121" spans="1:42" x14ac:dyDescent="0.25">
      <c r="A1121" s="28" t="str">
        <f>"1425"</f>
        <v>1425</v>
      </c>
      <c r="B1121">
        <v>1425</v>
      </c>
      <c r="C1121" t="s">
        <v>2488</v>
      </c>
      <c r="D1121" t="s">
        <v>121</v>
      </c>
      <c r="F1121" t="s">
        <v>120</v>
      </c>
      <c r="G1121" t="s">
        <v>220</v>
      </c>
      <c r="I1121" t="s">
        <v>624</v>
      </c>
      <c r="J1121" t="s">
        <v>7</v>
      </c>
      <c r="K1121" s="63">
        <v>12501</v>
      </c>
      <c r="L1121" s="28">
        <f>DATEDIF(K1121,Zwift25!G$1,"Y")</f>
        <v>90</v>
      </c>
      <c r="M1121" s="67">
        <f>IF(J1121="m",VLOOKUP(L1121,'All Solo Adjustments'!A:D,4,FALSE),VLOOKUP(L1121,'All Solo Adjustments'!A:J,10,FALSE))</f>
        <v>1.8391203703703705E-2</v>
      </c>
      <c r="N1121" s="63"/>
      <c r="O1121" s="63"/>
      <c r="P1121" s="63"/>
      <c r="Q1121" s="63"/>
      <c r="R1121" t="s">
        <v>198</v>
      </c>
      <c r="S1121" t="s">
        <v>476</v>
      </c>
      <c r="T1121" t="s">
        <v>292</v>
      </c>
      <c r="U1121" t="s">
        <v>622</v>
      </c>
      <c r="V1121" t="s">
        <v>621</v>
      </c>
      <c r="W1121" t="s">
        <v>620</v>
      </c>
      <c r="X1121" t="s">
        <v>495</v>
      </c>
      <c r="Y1121" t="s">
        <v>619</v>
      </c>
      <c r="Z1121" t="str">
        <f>"01782 504638"</f>
        <v>01782 504638</v>
      </c>
      <c r="AA1121" t="str">
        <f>""</f>
        <v/>
      </c>
      <c r="AB1121" t="s">
        <v>618</v>
      </c>
      <c r="AC1121" t="s">
        <v>7204</v>
      </c>
      <c r="AD1121" t="s">
        <v>151</v>
      </c>
      <c r="AF1121" t="s">
        <v>113</v>
      </c>
      <c r="AG1121" t="s">
        <v>112</v>
      </c>
      <c r="AH1121" t="s">
        <v>112</v>
      </c>
      <c r="AI1121" s="63">
        <v>29006</v>
      </c>
      <c r="AK1121" t="s">
        <v>111</v>
      </c>
      <c r="AL1121" t="s">
        <v>111</v>
      </c>
      <c r="AM1121" t="s">
        <v>111</v>
      </c>
      <c r="AN1121" t="s">
        <v>105</v>
      </c>
      <c r="AO1121" t="s">
        <v>110</v>
      </c>
      <c r="AP1121" t="s">
        <v>109</v>
      </c>
    </row>
    <row r="1122" spans="1:42" x14ac:dyDescent="0.25">
      <c r="A1122" s="28" t="str">
        <f>"16179"</f>
        <v>16179</v>
      </c>
      <c r="B1122">
        <v>16179</v>
      </c>
      <c r="C1122" t="s">
        <v>2488</v>
      </c>
      <c r="D1122" t="s">
        <v>121</v>
      </c>
      <c r="E1122" t="s">
        <v>584</v>
      </c>
      <c r="F1122" t="s">
        <v>120</v>
      </c>
      <c r="G1122" t="s">
        <v>513</v>
      </c>
      <c r="I1122" t="s">
        <v>624</v>
      </c>
      <c r="J1122" t="s">
        <v>7</v>
      </c>
      <c r="K1122" s="63">
        <v>25059</v>
      </c>
      <c r="L1122" s="28">
        <f>DATEDIF(K1122,Zwift25!G$1,"Y")</f>
        <v>56</v>
      </c>
      <c r="M1122" s="67">
        <f>IF(J1122="m",VLOOKUP(L1122,'All Solo Adjustments'!A:D,4,FALSE),VLOOKUP(L1122,'All Solo Adjustments'!A:J,10,FALSE))</f>
        <v>2.2685185185185182E-3</v>
      </c>
      <c r="N1122" s="63"/>
      <c r="O1122" s="63"/>
      <c r="P1122" s="63"/>
      <c r="Q1122" s="63"/>
      <c r="R1122" t="s">
        <v>527</v>
      </c>
      <c r="S1122" t="s">
        <v>526</v>
      </c>
      <c r="T1122" t="s">
        <v>292</v>
      </c>
      <c r="U1122" t="s">
        <v>7203</v>
      </c>
      <c r="V1122" t="s">
        <v>7202</v>
      </c>
      <c r="W1122" t="s">
        <v>767</v>
      </c>
      <c r="Y1122" t="s">
        <v>7201</v>
      </c>
      <c r="Z1122" t="str">
        <f>"07979141284"</f>
        <v>07979141284</v>
      </c>
      <c r="AA1122" t="str">
        <f>""</f>
        <v/>
      </c>
      <c r="AB1122" t="s">
        <v>408</v>
      </c>
      <c r="AC1122" t="s">
        <v>7200</v>
      </c>
      <c r="AD1122" t="s">
        <v>114</v>
      </c>
      <c r="AE1122" s="63">
        <v>45474</v>
      </c>
      <c r="AF1122" t="s">
        <v>156</v>
      </c>
      <c r="AG1122" t="s">
        <v>112</v>
      </c>
      <c r="AH1122" t="s">
        <v>112</v>
      </c>
      <c r="AI1122" s="63">
        <v>45474</v>
      </c>
      <c r="AJ1122" s="63">
        <v>45657</v>
      </c>
      <c r="AK1122" t="s">
        <v>112</v>
      </c>
      <c r="AL1122" t="s">
        <v>111</v>
      </c>
      <c r="AM1122" t="s">
        <v>111</v>
      </c>
      <c r="AN1122">
        <v>51108</v>
      </c>
      <c r="AO1122" t="s">
        <v>110</v>
      </c>
      <c r="AP1122" t="s">
        <v>109</v>
      </c>
    </row>
    <row r="1123" spans="1:42" x14ac:dyDescent="0.25">
      <c r="A1123" s="28" t="str">
        <f>"12676"</f>
        <v>12676</v>
      </c>
      <c r="B1123">
        <v>12676</v>
      </c>
      <c r="C1123" t="s">
        <v>2488</v>
      </c>
      <c r="D1123" t="s">
        <v>121</v>
      </c>
      <c r="F1123" t="s">
        <v>149</v>
      </c>
      <c r="G1123" t="s">
        <v>2327</v>
      </c>
      <c r="I1123" t="s">
        <v>2401</v>
      </c>
      <c r="J1123" t="s">
        <v>126</v>
      </c>
      <c r="K1123" s="63">
        <v>13288</v>
      </c>
      <c r="L1123" s="28">
        <f>DATEDIF(K1123,Zwift25!G$1,"Y")</f>
        <v>88</v>
      </c>
      <c r="M1123" s="67">
        <f>IF(J1123="m",VLOOKUP(L1123,'All Solo Adjustments'!A:D,4,FALSE),VLOOKUP(L1123,'All Solo Adjustments'!A:J,10,FALSE))</f>
        <v>2.3113425925925926E-2</v>
      </c>
      <c r="N1123" s="63"/>
      <c r="O1123" s="63"/>
      <c r="P1123" s="63"/>
      <c r="Q1123" s="63"/>
      <c r="R1123" t="s">
        <v>239</v>
      </c>
      <c r="S1123" t="s">
        <v>437</v>
      </c>
      <c r="T1123" t="s">
        <v>292</v>
      </c>
      <c r="U1123" t="s">
        <v>2400</v>
      </c>
      <c r="V1123" t="s">
        <v>975</v>
      </c>
      <c r="Y1123" t="s">
        <v>2399</v>
      </c>
      <c r="Z1123" t="str">
        <f>"01274 499182"</f>
        <v>01274 499182</v>
      </c>
      <c r="AA1123" t="str">
        <f>""</f>
        <v/>
      </c>
      <c r="AB1123" t="s">
        <v>974</v>
      </c>
      <c r="AD1123" t="s">
        <v>151</v>
      </c>
      <c r="AF1123" t="s">
        <v>113</v>
      </c>
      <c r="AG1123" t="s">
        <v>112</v>
      </c>
      <c r="AH1123" t="s">
        <v>112</v>
      </c>
      <c r="AI1123" s="63">
        <v>26997</v>
      </c>
      <c r="AK1123" t="s">
        <v>111</v>
      </c>
      <c r="AL1123" t="s">
        <v>111</v>
      </c>
      <c r="AM1123" t="s">
        <v>111</v>
      </c>
      <c r="AN1123" t="s">
        <v>105</v>
      </c>
      <c r="AO1123" t="s">
        <v>122</v>
      </c>
      <c r="AP1123" t="s">
        <v>122</v>
      </c>
    </row>
    <row r="1124" spans="1:42" x14ac:dyDescent="0.25">
      <c r="A1124" s="28" t="str">
        <f>"5197"</f>
        <v>5197</v>
      </c>
      <c r="B1124">
        <v>5197</v>
      </c>
      <c r="C1124" t="s">
        <v>2488</v>
      </c>
      <c r="D1124" t="s">
        <v>121</v>
      </c>
      <c r="F1124" t="s">
        <v>403</v>
      </c>
      <c r="G1124" t="s">
        <v>594</v>
      </c>
      <c r="H1124" t="s">
        <v>287</v>
      </c>
      <c r="I1124" t="s">
        <v>7199</v>
      </c>
      <c r="J1124" t="s">
        <v>7</v>
      </c>
      <c r="K1124" s="63">
        <v>20297</v>
      </c>
      <c r="L1124" s="28">
        <f>DATEDIF(K1124,Zwift25!G$1,"Y")</f>
        <v>69</v>
      </c>
      <c r="M1124" s="67">
        <f>IF(J1124="m",VLOOKUP(L1124,'All Solo Adjustments'!A:D,4,FALSE),VLOOKUP(L1124,'All Solo Adjustments'!A:J,10,FALSE))</f>
        <v>5.9722222222222225E-3</v>
      </c>
      <c r="N1124" s="63"/>
      <c r="O1124" s="63"/>
      <c r="P1124" s="63"/>
      <c r="Q1124" s="63"/>
      <c r="R1124" t="s">
        <v>125</v>
      </c>
      <c r="S1124" t="s">
        <v>170</v>
      </c>
      <c r="T1124" t="s">
        <v>292</v>
      </c>
      <c r="U1124" t="s">
        <v>7198</v>
      </c>
      <c r="V1124" t="s">
        <v>7197</v>
      </c>
      <c r="W1124" t="s">
        <v>223</v>
      </c>
      <c r="Y1124" t="s">
        <v>7196</v>
      </c>
      <c r="Z1124" t="str">
        <f>"01223 813713"</f>
        <v>01223 813713</v>
      </c>
      <c r="AA1124" t="str">
        <f>"07789 206 308"</f>
        <v>07789 206 308</v>
      </c>
      <c r="AB1124" t="s">
        <v>222</v>
      </c>
      <c r="AC1124" t="s">
        <v>7195</v>
      </c>
      <c r="AD1124" t="s">
        <v>114</v>
      </c>
      <c r="AE1124" s="63">
        <v>45296</v>
      </c>
      <c r="AF1124" t="s">
        <v>156</v>
      </c>
      <c r="AG1124" t="s">
        <v>112</v>
      </c>
      <c r="AH1124" t="s">
        <v>112</v>
      </c>
      <c r="AI1124" s="63">
        <v>42011</v>
      </c>
      <c r="AJ1124" s="63">
        <v>45657</v>
      </c>
      <c r="AK1124" t="s">
        <v>111</v>
      </c>
      <c r="AL1124" t="s">
        <v>111</v>
      </c>
      <c r="AM1124" t="s">
        <v>111</v>
      </c>
      <c r="AN1124">
        <v>211</v>
      </c>
      <c r="AO1124" t="s">
        <v>110</v>
      </c>
      <c r="AP1124" t="s">
        <v>109</v>
      </c>
    </row>
    <row r="1125" spans="1:42" x14ac:dyDescent="0.25">
      <c r="A1125" s="28" t="str">
        <f>"15139"</f>
        <v>15139</v>
      </c>
      <c r="B1125">
        <v>15139</v>
      </c>
      <c r="C1125" t="s">
        <v>2488</v>
      </c>
      <c r="D1125" t="s">
        <v>121</v>
      </c>
      <c r="F1125" t="s">
        <v>120</v>
      </c>
      <c r="G1125" t="s">
        <v>164</v>
      </c>
      <c r="H1125" t="s">
        <v>475</v>
      </c>
      <c r="I1125" t="s">
        <v>7194</v>
      </c>
      <c r="J1125" t="s">
        <v>7</v>
      </c>
      <c r="K1125" s="63">
        <v>26989</v>
      </c>
      <c r="L1125" s="28">
        <f>DATEDIF(K1125,Zwift25!G$1,"Y")</f>
        <v>50</v>
      </c>
      <c r="M1125" s="67">
        <f>IF(J1125="m",VLOOKUP(L1125,'All Solo Adjustments'!A:D,4,FALSE),VLOOKUP(L1125,'All Solo Adjustments'!A:J,10,FALSE))</f>
        <v>1.1342592592592591E-3</v>
      </c>
      <c r="N1125" s="63"/>
      <c r="O1125" s="63"/>
      <c r="P1125" s="63"/>
      <c r="Q1125" s="63"/>
      <c r="R1125" t="s">
        <v>137</v>
      </c>
      <c r="S1125" t="s">
        <v>136</v>
      </c>
      <c r="T1125" t="s">
        <v>292</v>
      </c>
      <c r="U1125" t="s">
        <v>7193</v>
      </c>
      <c r="Y1125" t="s">
        <v>7192</v>
      </c>
      <c r="Z1125" t="str">
        <f>"07889806202"</f>
        <v>07889806202</v>
      </c>
      <c r="AA1125" t="str">
        <f>""</f>
        <v/>
      </c>
      <c r="AB1125" t="s">
        <v>7191</v>
      </c>
      <c r="AC1125" t="s">
        <v>7190</v>
      </c>
      <c r="AD1125" t="s">
        <v>114</v>
      </c>
      <c r="AE1125" s="63">
        <v>45353</v>
      </c>
      <c r="AF1125" t="s">
        <v>156</v>
      </c>
      <c r="AG1125" t="s">
        <v>112</v>
      </c>
      <c r="AH1125" t="s">
        <v>112</v>
      </c>
      <c r="AI1125" s="63">
        <v>44375</v>
      </c>
      <c r="AJ1125" s="63">
        <v>45657</v>
      </c>
      <c r="AK1125" t="s">
        <v>112</v>
      </c>
      <c r="AL1125" t="s">
        <v>111</v>
      </c>
      <c r="AM1125" t="s">
        <v>111</v>
      </c>
      <c r="AN1125">
        <v>12351</v>
      </c>
      <c r="AO1125" t="s">
        <v>110</v>
      </c>
      <c r="AP1125" t="s">
        <v>109</v>
      </c>
    </row>
    <row r="1126" spans="1:42" x14ac:dyDescent="0.25">
      <c r="A1126" s="28" t="str">
        <f>"5920"</f>
        <v>5920</v>
      </c>
      <c r="B1126">
        <v>5920</v>
      </c>
      <c r="C1126" t="s">
        <v>2488</v>
      </c>
      <c r="D1126" t="s">
        <v>121</v>
      </c>
      <c r="F1126" t="s">
        <v>149</v>
      </c>
      <c r="G1126" t="s">
        <v>245</v>
      </c>
      <c r="I1126" t="s">
        <v>1724</v>
      </c>
      <c r="J1126" t="s">
        <v>7</v>
      </c>
      <c r="K1126" s="63">
        <v>25218</v>
      </c>
      <c r="L1126" s="28">
        <f>DATEDIF(K1126,Zwift25!G$1,"Y")</f>
        <v>55</v>
      </c>
      <c r="M1126" s="67">
        <f>IF(J1126="m",VLOOKUP(L1126,'All Solo Adjustments'!A:D,4,FALSE),VLOOKUP(L1126,'All Solo Adjustments'!A:J,10,FALSE))</f>
        <v>2.0601851851851853E-3</v>
      </c>
      <c r="N1126" s="63"/>
      <c r="O1126" s="63"/>
      <c r="P1126" s="63"/>
      <c r="Q1126" s="63"/>
      <c r="R1126" t="s">
        <v>239</v>
      </c>
      <c r="S1126" t="s">
        <v>274</v>
      </c>
      <c r="T1126" t="s">
        <v>292</v>
      </c>
      <c r="U1126" t="s">
        <v>7189</v>
      </c>
      <c r="V1126" t="s">
        <v>1129</v>
      </c>
      <c r="W1126" t="s">
        <v>236</v>
      </c>
      <c r="Y1126" t="s">
        <v>7188</v>
      </c>
      <c r="Z1126" t="str">
        <f>"07711 048691"</f>
        <v>07711 048691</v>
      </c>
      <c r="AA1126" t="str">
        <f>""</f>
        <v/>
      </c>
      <c r="AB1126" t="s">
        <v>679</v>
      </c>
      <c r="AC1126" t="s">
        <v>7187</v>
      </c>
      <c r="AD1126" t="s">
        <v>114</v>
      </c>
      <c r="AE1126" s="63">
        <v>45295</v>
      </c>
      <c r="AF1126" t="s">
        <v>156</v>
      </c>
      <c r="AG1126" t="s">
        <v>112</v>
      </c>
      <c r="AH1126" t="s">
        <v>112</v>
      </c>
      <c r="AI1126" s="63">
        <v>42552</v>
      </c>
      <c r="AJ1126" s="63">
        <v>45657</v>
      </c>
      <c r="AK1126" t="s">
        <v>111</v>
      </c>
      <c r="AL1126" t="s">
        <v>111</v>
      </c>
      <c r="AM1126" t="s">
        <v>111</v>
      </c>
      <c r="AN1126">
        <v>1045</v>
      </c>
      <c r="AO1126" t="s">
        <v>110</v>
      </c>
      <c r="AP1126" t="s">
        <v>109</v>
      </c>
    </row>
    <row r="1127" spans="1:42" x14ac:dyDescent="0.25">
      <c r="A1127" s="28" t="str">
        <f>"13914"</f>
        <v>13914</v>
      </c>
      <c r="B1127">
        <v>13914</v>
      </c>
      <c r="C1127" t="s">
        <v>2488</v>
      </c>
      <c r="D1127" t="s">
        <v>121</v>
      </c>
      <c r="E1127" t="s">
        <v>584</v>
      </c>
      <c r="F1127" t="s">
        <v>120</v>
      </c>
      <c r="G1127" t="s">
        <v>155</v>
      </c>
      <c r="H1127" t="s">
        <v>7186</v>
      </c>
      <c r="I1127" t="s">
        <v>1724</v>
      </c>
      <c r="J1127" t="s">
        <v>7</v>
      </c>
      <c r="K1127" s="63">
        <v>24783</v>
      </c>
      <c r="L1127" s="28">
        <f>DATEDIF(K1127,Zwift25!G$1,"Y")</f>
        <v>56</v>
      </c>
      <c r="M1127" s="67">
        <f>IF(J1127="m",VLOOKUP(L1127,'All Solo Adjustments'!A:D,4,FALSE),VLOOKUP(L1127,'All Solo Adjustments'!A:J,10,FALSE))</f>
        <v>2.2685185185185182E-3</v>
      </c>
      <c r="N1127" s="63"/>
      <c r="O1127" s="63"/>
      <c r="P1127" s="63"/>
      <c r="Q1127" s="63"/>
      <c r="R1127" t="s">
        <v>198</v>
      </c>
      <c r="S1127" t="s">
        <v>461</v>
      </c>
      <c r="T1127" t="s">
        <v>292</v>
      </c>
      <c r="U1127" t="s">
        <v>7185</v>
      </c>
      <c r="V1127" t="s">
        <v>2150</v>
      </c>
      <c r="W1127" t="s">
        <v>1859</v>
      </c>
      <c r="X1127" t="s">
        <v>968</v>
      </c>
      <c r="Y1127" t="s">
        <v>7184</v>
      </c>
      <c r="Z1127" t="str">
        <f>"07702612178"</f>
        <v>07702612178</v>
      </c>
      <c r="AA1127" t="str">
        <f>""</f>
        <v/>
      </c>
      <c r="AB1127" t="s">
        <v>1025</v>
      </c>
      <c r="AC1127" t="s">
        <v>7183</v>
      </c>
      <c r="AD1127" t="s">
        <v>114</v>
      </c>
      <c r="AE1127" s="63">
        <v>45299</v>
      </c>
      <c r="AF1127" t="s">
        <v>156</v>
      </c>
      <c r="AG1127" t="s">
        <v>112</v>
      </c>
      <c r="AH1127" t="s">
        <v>112</v>
      </c>
      <c r="AI1127" s="63">
        <v>43439</v>
      </c>
      <c r="AJ1127" s="63">
        <v>45657</v>
      </c>
      <c r="AK1127" t="s">
        <v>112</v>
      </c>
      <c r="AL1127" t="s">
        <v>111</v>
      </c>
      <c r="AM1127" t="s">
        <v>111</v>
      </c>
      <c r="AN1127">
        <v>14260</v>
      </c>
      <c r="AO1127" t="s">
        <v>110</v>
      </c>
      <c r="AP1127" t="s">
        <v>109</v>
      </c>
    </row>
    <row r="1128" spans="1:42" x14ac:dyDescent="0.25">
      <c r="A1128" s="28" t="str">
        <f>"15975"</f>
        <v>15975</v>
      </c>
      <c r="B1128">
        <v>15975</v>
      </c>
      <c r="C1128" t="s">
        <v>2488</v>
      </c>
      <c r="D1128" t="s">
        <v>121</v>
      </c>
      <c r="F1128" t="s">
        <v>120</v>
      </c>
      <c r="G1128" t="s">
        <v>601</v>
      </c>
      <c r="I1128" t="s">
        <v>1724</v>
      </c>
      <c r="J1128" t="s">
        <v>7</v>
      </c>
      <c r="K1128" s="63">
        <v>23687</v>
      </c>
      <c r="L1128" s="28">
        <f>DATEDIF(K1128,Zwift25!G$1,"Y")</f>
        <v>59</v>
      </c>
      <c r="M1128" s="67">
        <f>IF(J1128="m",VLOOKUP(L1128,'All Solo Adjustments'!A:D,4,FALSE),VLOOKUP(L1128,'All Solo Adjustments'!A:J,10,FALSE))</f>
        <v>2.9629629629629632E-3</v>
      </c>
      <c r="N1128" s="63"/>
      <c r="O1128" s="63"/>
      <c r="P1128" s="63"/>
      <c r="Q1128" s="63"/>
      <c r="R1128" t="s">
        <v>198</v>
      </c>
      <c r="S1128" t="s">
        <v>461</v>
      </c>
      <c r="T1128" t="s">
        <v>292</v>
      </c>
      <c r="U1128" t="s">
        <v>7182</v>
      </c>
      <c r="V1128" t="s">
        <v>7181</v>
      </c>
      <c r="W1128" t="s">
        <v>585</v>
      </c>
      <c r="Y1128" t="s">
        <v>7180</v>
      </c>
      <c r="Z1128" t="str">
        <f>"07931640057"</f>
        <v>07931640057</v>
      </c>
      <c r="AA1128" t="str">
        <f>""</f>
        <v/>
      </c>
      <c r="AB1128" t="s">
        <v>7179</v>
      </c>
      <c r="AC1128" t="s">
        <v>7178</v>
      </c>
      <c r="AD1128" t="s">
        <v>114</v>
      </c>
      <c r="AE1128" s="63">
        <v>45294</v>
      </c>
      <c r="AF1128" t="s">
        <v>156</v>
      </c>
      <c r="AG1128" t="s">
        <v>112</v>
      </c>
      <c r="AH1128" t="s">
        <v>112</v>
      </c>
      <c r="AI1128" s="63">
        <v>45294</v>
      </c>
      <c r="AJ1128" s="63">
        <v>45657</v>
      </c>
      <c r="AK1128" t="s">
        <v>112</v>
      </c>
      <c r="AL1128" t="s">
        <v>111</v>
      </c>
      <c r="AM1128" t="s">
        <v>111</v>
      </c>
      <c r="AN1128" t="s">
        <v>105</v>
      </c>
      <c r="AO1128" t="s">
        <v>110</v>
      </c>
      <c r="AP1128" t="s">
        <v>109</v>
      </c>
    </row>
    <row r="1129" spans="1:42" x14ac:dyDescent="0.25">
      <c r="A1129" s="28" t="str">
        <f>"1430"</f>
        <v>1430</v>
      </c>
      <c r="B1129">
        <v>1430</v>
      </c>
      <c r="C1129" t="s">
        <v>2488</v>
      </c>
      <c r="D1129" t="s">
        <v>121</v>
      </c>
      <c r="F1129" t="s">
        <v>120</v>
      </c>
      <c r="G1129" t="s">
        <v>181</v>
      </c>
      <c r="H1129" t="s">
        <v>481</v>
      </c>
      <c r="I1129" t="s">
        <v>7173</v>
      </c>
      <c r="J1129" t="s">
        <v>7</v>
      </c>
      <c r="K1129" s="63">
        <v>17188</v>
      </c>
      <c r="L1129" s="28">
        <f>DATEDIF(K1129,Zwift25!G$1,"Y")</f>
        <v>77</v>
      </c>
      <c r="M1129" s="67">
        <f>IF(J1129="m",VLOOKUP(L1129,'All Solo Adjustments'!A:D,4,FALSE),VLOOKUP(L1129,'All Solo Adjustments'!A:J,10,FALSE))</f>
        <v>9.3981481481481485E-3</v>
      </c>
      <c r="N1129" s="63"/>
      <c r="O1129" s="63"/>
      <c r="P1129" s="63"/>
      <c r="Q1129" s="63"/>
      <c r="R1129" t="s">
        <v>137</v>
      </c>
      <c r="S1129" t="s">
        <v>136</v>
      </c>
      <c r="T1129" t="s">
        <v>292</v>
      </c>
      <c r="U1129" t="s">
        <v>7177</v>
      </c>
      <c r="V1129" t="s">
        <v>1877</v>
      </c>
      <c r="W1129" t="s">
        <v>208</v>
      </c>
      <c r="Y1129" t="s">
        <v>7176</v>
      </c>
      <c r="Z1129" t="str">
        <f>"01256 323562"</f>
        <v>01256 323562</v>
      </c>
      <c r="AA1129" t="str">
        <f>"07931889536"</f>
        <v>07931889536</v>
      </c>
      <c r="AB1129" t="s">
        <v>7175</v>
      </c>
      <c r="AC1129" t="s">
        <v>7174</v>
      </c>
      <c r="AD1129" t="s">
        <v>145</v>
      </c>
      <c r="AE1129" s="63">
        <v>45345</v>
      </c>
      <c r="AF1129" t="s">
        <v>113</v>
      </c>
      <c r="AG1129" t="s">
        <v>112</v>
      </c>
      <c r="AH1129" t="s">
        <v>112</v>
      </c>
      <c r="AI1129" s="63">
        <v>33981</v>
      </c>
      <c r="AJ1129" s="63">
        <v>45657</v>
      </c>
      <c r="AK1129" t="s">
        <v>111</v>
      </c>
      <c r="AL1129" t="s">
        <v>111</v>
      </c>
      <c r="AM1129" t="s">
        <v>111</v>
      </c>
      <c r="AN1129" t="s">
        <v>105</v>
      </c>
      <c r="AO1129" t="s">
        <v>110</v>
      </c>
      <c r="AP1129" t="s">
        <v>109</v>
      </c>
    </row>
    <row r="1130" spans="1:42" x14ac:dyDescent="0.25">
      <c r="A1130" s="28" t="str">
        <f>"1431"</f>
        <v>1431</v>
      </c>
      <c r="B1130">
        <v>1431</v>
      </c>
      <c r="C1130" t="s">
        <v>2488</v>
      </c>
      <c r="D1130" t="s">
        <v>121</v>
      </c>
      <c r="F1130" t="s">
        <v>120</v>
      </c>
      <c r="G1130" t="s">
        <v>761</v>
      </c>
      <c r="I1130" t="s">
        <v>7173</v>
      </c>
      <c r="J1130" t="s">
        <v>7</v>
      </c>
      <c r="K1130" s="63">
        <v>12181</v>
      </c>
      <c r="L1130" s="28">
        <f>DATEDIF(K1130,Zwift25!G$1,"Y")</f>
        <v>91</v>
      </c>
      <c r="M1130" s="67">
        <f>IF(J1130="m",VLOOKUP(L1130,'All Solo Adjustments'!A:D,4,FALSE),VLOOKUP(L1130,'All Solo Adjustments'!A:J,10,FALSE))</f>
        <v>1.9363425925925926E-2</v>
      </c>
      <c r="N1130" s="63"/>
      <c r="O1130" s="63"/>
      <c r="P1130" s="63"/>
      <c r="Q1130" s="63"/>
      <c r="R1130" t="s">
        <v>159</v>
      </c>
      <c r="S1130" t="s">
        <v>570</v>
      </c>
      <c r="T1130" t="s">
        <v>292</v>
      </c>
      <c r="U1130" t="s">
        <v>7172</v>
      </c>
      <c r="V1130" t="s">
        <v>1231</v>
      </c>
      <c r="W1130" t="s">
        <v>159</v>
      </c>
      <c r="Y1130" t="s">
        <v>7171</v>
      </c>
      <c r="Z1130" t="str">
        <f>"01732 459789"</f>
        <v>01732 459789</v>
      </c>
      <c r="AA1130" t="str">
        <f>""</f>
        <v/>
      </c>
      <c r="AB1130" t="s">
        <v>953</v>
      </c>
      <c r="AC1130" t="s">
        <v>7170</v>
      </c>
      <c r="AD1130" t="s">
        <v>151</v>
      </c>
      <c r="AF1130" t="s">
        <v>113</v>
      </c>
      <c r="AG1130" t="s">
        <v>112</v>
      </c>
      <c r="AH1130" t="s">
        <v>112</v>
      </c>
      <c r="AK1130" t="s">
        <v>111</v>
      </c>
      <c r="AL1130" t="s">
        <v>111</v>
      </c>
      <c r="AM1130" t="s">
        <v>111</v>
      </c>
      <c r="AN1130">
        <v>5487</v>
      </c>
      <c r="AO1130" t="s">
        <v>110</v>
      </c>
      <c r="AP1130" t="s">
        <v>109</v>
      </c>
    </row>
    <row r="1131" spans="1:42" x14ac:dyDescent="0.25">
      <c r="A1131" s="28" t="str">
        <f>"15399"</f>
        <v>15399</v>
      </c>
      <c r="B1131">
        <v>15399</v>
      </c>
      <c r="C1131" t="s">
        <v>2488</v>
      </c>
      <c r="D1131" t="s">
        <v>121</v>
      </c>
      <c r="E1131" t="s">
        <v>584</v>
      </c>
      <c r="F1131" t="s">
        <v>120</v>
      </c>
      <c r="G1131" t="s">
        <v>1439</v>
      </c>
      <c r="I1131" t="s">
        <v>7169</v>
      </c>
      <c r="J1131" t="s">
        <v>7</v>
      </c>
      <c r="K1131" s="63">
        <v>26358</v>
      </c>
      <c r="L1131" s="28">
        <f>DATEDIF(K1131,Zwift25!G$1,"Y")</f>
        <v>52</v>
      </c>
      <c r="M1131" s="67">
        <f>IF(J1131="m",VLOOKUP(L1131,'All Solo Adjustments'!A:D,4,FALSE),VLOOKUP(L1131,'All Solo Adjustments'!A:J,10,FALSE))</f>
        <v>1.4814814814814816E-3</v>
      </c>
      <c r="N1131" s="63"/>
      <c r="O1131" s="63"/>
      <c r="P1131" s="63"/>
      <c r="Q1131" s="63"/>
      <c r="R1131" t="s">
        <v>143</v>
      </c>
      <c r="S1131" t="s">
        <v>142</v>
      </c>
      <c r="T1131" t="s">
        <v>292</v>
      </c>
      <c r="U1131" t="s">
        <v>7168</v>
      </c>
      <c r="V1131" t="s">
        <v>1840</v>
      </c>
      <c r="Y1131" t="s">
        <v>7167</v>
      </c>
      <c r="Z1131" t="str">
        <f>"07545 915319"</f>
        <v>07545 915319</v>
      </c>
      <c r="AA1131" t="str">
        <f>""</f>
        <v/>
      </c>
      <c r="AB1131" t="s">
        <v>7166</v>
      </c>
      <c r="AC1131" t="s">
        <v>7165</v>
      </c>
      <c r="AD1131" t="s">
        <v>114</v>
      </c>
      <c r="AE1131" s="63">
        <v>45507</v>
      </c>
      <c r="AF1131" t="s">
        <v>156</v>
      </c>
      <c r="AG1131" t="s">
        <v>112</v>
      </c>
      <c r="AH1131" t="s">
        <v>112</v>
      </c>
      <c r="AI1131" s="63">
        <v>44630</v>
      </c>
      <c r="AJ1131" s="63">
        <v>45657</v>
      </c>
      <c r="AK1131" t="s">
        <v>112</v>
      </c>
      <c r="AL1131" t="s">
        <v>111</v>
      </c>
      <c r="AM1131" t="s">
        <v>111</v>
      </c>
      <c r="AN1131">
        <v>16833</v>
      </c>
      <c r="AO1131" t="s">
        <v>110</v>
      </c>
      <c r="AP1131" t="s">
        <v>109</v>
      </c>
    </row>
    <row r="1132" spans="1:42" x14ac:dyDescent="0.25">
      <c r="A1132" s="28" t="str">
        <f>"14616"</f>
        <v>14616</v>
      </c>
      <c r="B1132">
        <v>14616</v>
      </c>
      <c r="C1132" t="s">
        <v>2488</v>
      </c>
      <c r="D1132" t="s">
        <v>121</v>
      </c>
      <c r="F1132" t="s">
        <v>120</v>
      </c>
      <c r="G1132" t="s">
        <v>231</v>
      </c>
      <c r="I1132" t="s">
        <v>7164</v>
      </c>
      <c r="J1132" t="s">
        <v>7</v>
      </c>
      <c r="K1132" s="63">
        <v>29343</v>
      </c>
      <c r="L1132" s="28">
        <f>DATEDIF(K1132,Zwift25!G$1,"Y")</f>
        <v>44</v>
      </c>
      <c r="M1132" s="67">
        <f>IF(J1132="m",VLOOKUP(L1132,'All Solo Adjustments'!A:D,4,FALSE),VLOOKUP(L1132,'All Solo Adjustments'!A:J,10,FALSE))</f>
        <v>3.3564814814814818E-4</v>
      </c>
      <c r="N1132" s="63"/>
      <c r="O1132" s="63"/>
      <c r="P1132" s="63"/>
      <c r="Q1132" s="63"/>
      <c r="R1132" t="s">
        <v>184</v>
      </c>
      <c r="S1132" t="s">
        <v>183</v>
      </c>
      <c r="T1132" t="s">
        <v>292</v>
      </c>
      <c r="U1132" t="s">
        <v>7163</v>
      </c>
      <c r="V1132" t="s">
        <v>7162</v>
      </c>
      <c r="X1132" t="s">
        <v>141</v>
      </c>
      <c r="Y1132" t="s">
        <v>7161</v>
      </c>
      <c r="Z1132" t="str">
        <f>"07817095966"</f>
        <v>07817095966</v>
      </c>
      <c r="AA1132" t="str">
        <f>"07817095966"</f>
        <v>07817095966</v>
      </c>
      <c r="AB1132" t="s">
        <v>2035</v>
      </c>
      <c r="AC1132" t="s">
        <v>7160</v>
      </c>
      <c r="AD1132" t="s">
        <v>114</v>
      </c>
      <c r="AE1132" s="63">
        <v>45364</v>
      </c>
      <c r="AF1132" t="s">
        <v>156</v>
      </c>
      <c r="AG1132" t="s">
        <v>112</v>
      </c>
      <c r="AH1132" t="s">
        <v>112</v>
      </c>
      <c r="AI1132" s="63">
        <v>44038</v>
      </c>
      <c r="AJ1132" s="63">
        <v>45657</v>
      </c>
      <c r="AK1132" t="s">
        <v>112</v>
      </c>
      <c r="AL1132" t="s">
        <v>111</v>
      </c>
      <c r="AM1132" t="s">
        <v>111</v>
      </c>
      <c r="AN1132">
        <v>10410</v>
      </c>
      <c r="AO1132" t="s">
        <v>110</v>
      </c>
      <c r="AP1132" t="s">
        <v>109</v>
      </c>
    </row>
    <row r="1133" spans="1:42" x14ac:dyDescent="0.25">
      <c r="A1133" s="28" t="str">
        <f>"3793"</f>
        <v>3793</v>
      </c>
      <c r="B1133">
        <v>3793</v>
      </c>
      <c r="C1133" t="s">
        <v>2488</v>
      </c>
      <c r="D1133" t="s">
        <v>121</v>
      </c>
      <c r="F1133" t="s">
        <v>120</v>
      </c>
      <c r="G1133" t="s">
        <v>481</v>
      </c>
      <c r="H1133" t="s">
        <v>1287</v>
      </c>
      <c r="I1133" t="s">
        <v>7159</v>
      </c>
      <c r="J1133" t="s">
        <v>7</v>
      </c>
      <c r="K1133" s="63">
        <v>24590</v>
      </c>
      <c r="L1133" s="28">
        <f>DATEDIF(K1133,Zwift25!G$1,"Y")</f>
        <v>57</v>
      </c>
      <c r="M1133" s="67">
        <f>IF(J1133="m",VLOOKUP(L1133,'All Solo Adjustments'!A:D,4,FALSE),VLOOKUP(L1133,'All Solo Adjustments'!A:J,10,FALSE))</f>
        <v>2.488425925925926E-3</v>
      </c>
      <c r="N1133" s="63"/>
      <c r="O1133" s="63"/>
      <c r="P1133" s="63"/>
      <c r="Q1133" s="63"/>
      <c r="R1133" t="s">
        <v>125</v>
      </c>
      <c r="S1133" t="s">
        <v>170</v>
      </c>
      <c r="T1133" t="s">
        <v>292</v>
      </c>
      <c r="U1133" t="s">
        <v>7158</v>
      </c>
      <c r="V1133" t="s">
        <v>7157</v>
      </c>
      <c r="W1133" t="s">
        <v>167</v>
      </c>
      <c r="Y1133" t="s">
        <v>7156</v>
      </c>
      <c r="Z1133" t="str">
        <f>"07812022013"</f>
        <v>07812022013</v>
      </c>
      <c r="AA1133" t="str">
        <f>""</f>
        <v/>
      </c>
      <c r="AB1133" t="s">
        <v>417</v>
      </c>
      <c r="AC1133" t="s">
        <v>7155</v>
      </c>
      <c r="AD1133" t="s">
        <v>114</v>
      </c>
      <c r="AE1133" s="63">
        <v>45292</v>
      </c>
      <c r="AF1133" t="s">
        <v>113</v>
      </c>
      <c r="AG1133" t="s">
        <v>112</v>
      </c>
      <c r="AH1133" t="s">
        <v>112</v>
      </c>
      <c r="AI1133" s="63">
        <v>40178</v>
      </c>
      <c r="AJ1133" s="63">
        <v>45657</v>
      </c>
      <c r="AK1133" t="s">
        <v>111</v>
      </c>
      <c r="AL1133" t="s">
        <v>111</v>
      </c>
      <c r="AM1133" t="s">
        <v>111</v>
      </c>
      <c r="AN1133" t="s">
        <v>105</v>
      </c>
      <c r="AO1133" t="s">
        <v>110</v>
      </c>
      <c r="AP1133" t="s">
        <v>109</v>
      </c>
    </row>
    <row r="1134" spans="1:42" x14ac:dyDescent="0.25">
      <c r="A1134" s="28" t="str">
        <f>"1437"</f>
        <v>1437</v>
      </c>
      <c r="B1134">
        <v>1437</v>
      </c>
      <c r="C1134" t="s">
        <v>2488</v>
      </c>
      <c r="D1134" t="s">
        <v>121</v>
      </c>
      <c r="F1134" t="s">
        <v>120</v>
      </c>
      <c r="G1134" t="s">
        <v>790</v>
      </c>
      <c r="I1134" t="s">
        <v>7151</v>
      </c>
      <c r="J1134" t="s">
        <v>7</v>
      </c>
      <c r="K1134" s="63">
        <v>11972</v>
      </c>
      <c r="L1134" s="28">
        <f>DATEDIF(K1134,Zwift25!G$1,"Y")</f>
        <v>92</v>
      </c>
      <c r="M1134" s="67">
        <f>IF(J1134="m",VLOOKUP(L1134,'All Solo Adjustments'!A:D,4,FALSE),VLOOKUP(L1134,'All Solo Adjustments'!A:J,10,FALSE))</f>
        <v>2.0405092592592593E-2</v>
      </c>
      <c r="N1134" s="63"/>
      <c r="O1134" s="63"/>
      <c r="P1134" s="63"/>
      <c r="Q1134" s="63"/>
      <c r="R1134" t="s">
        <v>137</v>
      </c>
      <c r="S1134" t="s">
        <v>2312</v>
      </c>
      <c r="T1134" t="s">
        <v>292</v>
      </c>
      <c r="U1134" t="s">
        <v>7154</v>
      </c>
      <c r="V1134" t="s">
        <v>7153</v>
      </c>
      <c r="W1134" t="s">
        <v>2114</v>
      </c>
      <c r="X1134" t="s">
        <v>1059</v>
      </c>
      <c r="Y1134" t="s">
        <v>7152</v>
      </c>
      <c r="Z1134" t="str">
        <f>"01980 610659"</f>
        <v>01980 610659</v>
      </c>
      <c r="AA1134" t="str">
        <f>""</f>
        <v/>
      </c>
      <c r="AB1134" t="s">
        <v>2113</v>
      </c>
      <c r="AD1134" t="s">
        <v>151</v>
      </c>
      <c r="AF1134" t="s">
        <v>113</v>
      </c>
      <c r="AG1134" t="s">
        <v>112</v>
      </c>
      <c r="AH1134" t="s">
        <v>112</v>
      </c>
      <c r="AK1134" t="s">
        <v>111</v>
      </c>
      <c r="AL1134" t="s">
        <v>111</v>
      </c>
      <c r="AM1134" t="s">
        <v>111</v>
      </c>
      <c r="AN1134" t="s">
        <v>105</v>
      </c>
      <c r="AO1134" t="s">
        <v>110</v>
      </c>
      <c r="AP1134" t="s">
        <v>109</v>
      </c>
    </row>
    <row r="1135" spans="1:42" x14ac:dyDescent="0.25">
      <c r="A1135" s="28" t="str">
        <f>"3178"</f>
        <v>3178</v>
      </c>
      <c r="B1135">
        <v>3178</v>
      </c>
      <c r="C1135" t="s">
        <v>2488</v>
      </c>
      <c r="D1135" t="s">
        <v>121</v>
      </c>
      <c r="E1135" t="s">
        <v>584</v>
      </c>
      <c r="F1135" t="s">
        <v>120</v>
      </c>
      <c r="G1135" t="s">
        <v>231</v>
      </c>
      <c r="I1135" t="s">
        <v>7151</v>
      </c>
      <c r="J1135" t="s">
        <v>7</v>
      </c>
      <c r="K1135" s="63">
        <v>20001</v>
      </c>
      <c r="L1135" s="28">
        <f>DATEDIF(K1135,Zwift25!G$1,"Y")</f>
        <v>70</v>
      </c>
      <c r="M1135" s="67">
        <f>IF(J1135="m",VLOOKUP(L1135,'All Solo Adjustments'!A:D,4,FALSE),VLOOKUP(L1135,'All Solo Adjustments'!A:J,10,FALSE))</f>
        <v>6.3425925925925924E-3</v>
      </c>
      <c r="N1135" s="63"/>
      <c r="O1135" s="63"/>
      <c r="P1135" s="63"/>
      <c r="Q1135" s="63"/>
      <c r="R1135" t="s">
        <v>125</v>
      </c>
      <c r="S1135" t="s">
        <v>170</v>
      </c>
      <c r="T1135" t="s">
        <v>292</v>
      </c>
      <c r="U1135" t="s">
        <v>7150</v>
      </c>
      <c r="V1135" t="s">
        <v>1043</v>
      </c>
      <c r="W1135" t="s">
        <v>167</v>
      </c>
      <c r="Y1135" t="s">
        <v>7149</v>
      </c>
      <c r="Z1135" t="str">
        <f>"07552225864"</f>
        <v>07552225864</v>
      </c>
      <c r="AA1135" t="str">
        <f>"02084584821"</f>
        <v>02084584821</v>
      </c>
      <c r="AB1135" t="s">
        <v>923</v>
      </c>
      <c r="AC1135" t="s">
        <v>7148</v>
      </c>
      <c r="AD1135" t="s">
        <v>114</v>
      </c>
      <c r="AE1135" s="63">
        <v>45294</v>
      </c>
      <c r="AF1135" t="s">
        <v>113</v>
      </c>
      <c r="AG1135" t="s">
        <v>112</v>
      </c>
      <c r="AH1135" t="s">
        <v>112</v>
      </c>
      <c r="AI1135" s="63">
        <v>39483</v>
      </c>
      <c r="AJ1135" s="63">
        <v>45657</v>
      </c>
      <c r="AK1135" t="s">
        <v>111</v>
      </c>
      <c r="AL1135" t="s">
        <v>111</v>
      </c>
      <c r="AM1135" t="s">
        <v>111</v>
      </c>
      <c r="AN1135">
        <v>1149</v>
      </c>
      <c r="AO1135" t="s">
        <v>110</v>
      </c>
      <c r="AP1135" t="s">
        <v>109</v>
      </c>
    </row>
    <row r="1136" spans="1:42" x14ac:dyDescent="0.25">
      <c r="A1136" s="28" t="str">
        <f>"1439"</f>
        <v>1439</v>
      </c>
      <c r="B1136">
        <v>1439</v>
      </c>
      <c r="C1136" t="s">
        <v>2488</v>
      </c>
      <c r="D1136" t="s">
        <v>121</v>
      </c>
      <c r="F1136" t="s">
        <v>120</v>
      </c>
      <c r="G1136" t="s">
        <v>1166</v>
      </c>
      <c r="I1136" t="s">
        <v>1720</v>
      </c>
      <c r="J1136" t="s">
        <v>7</v>
      </c>
      <c r="K1136" s="63">
        <v>11331</v>
      </c>
      <c r="L1136" s="28">
        <f>DATEDIF(K1136,Zwift25!G$1,"Y")</f>
        <v>93</v>
      </c>
      <c r="M1136" s="67">
        <f>IF(J1136="m",VLOOKUP(L1136,'All Solo Adjustments'!A:D,4,FALSE),VLOOKUP(L1136,'All Solo Adjustments'!A:J,10,FALSE))</f>
        <v>2.1516203703703704E-2</v>
      </c>
      <c r="N1136" s="63"/>
      <c r="O1136" s="63"/>
      <c r="P1136" s="63"/>
      <c r="Q1136" s="63"/>
      <c r="R1136" t="s">
        <v>296</v>
      </c>
      <c r="S1136" t="s">
        <v>2310</v>
      </c>
      <c r="T1136" t="s">
        <v>292</v>
      </c>
      <c r="U1136" t="s">
        <v>7147</v>
      </c>
      <c r="V1136" t="s">
        <v>2386</v>
      </c>
      <c r="Y1136" t="s">
        <v>7146</v>
      </c>
      <c r="Z1136" t="str">
        <f>"0141 7746063"</f>
        <v>0141 7746063</v>
      </c>
      <c r="AA1136" t="str">
        <f>""</f>
        <v/>
      </c>
      <c r="AB1136" t="s">
        <v>1201</v>
      </c>
      <c r="AD1136" t="s">
        <v>151</v>
      </c>
      <c r="AF1136" t="s">
        <v>113</v>
      </c>
      <c r="AG1136" t="s">
        <v>112</v>
      </c>
      <c r="AH1136" t="s">
        <v>112</v>
      </c>
      <c r="AI1136" s="63">
        <v>33373</v>
      </c>
      <c r="AK1136" t="s">
        <v>111</v>
      </c>
      <c r="AL1136" t="s">
        <v>111</v>
      </c>
      <c r="AM1136" t="s">
        <v>111</v>
      </c>
      <c r="AN1136" t="s">
        <v>105</v>
      </c>
      <c r="AO1136" t="s">
        <v>110</v>
      </c>
      <c r="AP1136" t="s">
        <v>109</v>
      </c>
    </row>
    <row r="1137" spans="1:42" x14ac:dyDescent="0.25">
      <c r="A1137" s="28" t="str">
        <f>"16118"</f>
        <v>16118</v>
      </c>
      <c r="B1137">
        <v>16118</v>
      </c>
      <c r="C1137" t="s">
        <v>2488</v>
      </c>
      <c r="D1137" t="s">
        <v>121</v>
      </c>
      <c r="E1137" t="s">
        <v>584</v>
      </c>
      <c r="F1137" t="s">
        <v>144</v>
      </c>
      <c r="G1137" t="s">
        <v>774</v>
      </c>
      <c r="I1137" t="s">
        <v>1720</v>
      </c>
      <c r="J1137" t="s">
        <v>126</v>
      </c>
      <c r="K1137" s="63">
        <v>23868</v>
      </c>
      <c r="L1137" s="28">
        <f>DATEDIF(K1137,Zwift25!G$1,"Y")</f>
        <v>59</v>
      </c>
      <c r="M1137" s="67">
        <f>IF(J1137="m",VLOOKUP(L1137,'All Solo Adjustments'!A:D,4,FALSE),VLOOKUP(L1137,'All Solo Adjustments'!A:J,10,FALSE))</f>
        <v>6.5972222222222222E-3</v>
      </c>
      <c r="N1137" s="63"/>
      <c r="O1137" s="63"/>
      <c r="P1137" s="63"/>
      <c r="Q1137" s="63"/>
      <c r="R1137" t="s">
        <v>296</v>
      </c>
      <c r="S1137" t="s">
        <v>295</v>
      </c>
      <c r="T1137" t="s">
        <v>292</v>
      </c>
      <c r="U1137" t="s">
        <v>1719</v>
      </c>
      <c r="V1137" t="s">
        <v>1293</v>
      </c>
      <c r="W1137" t="s">
        <v>2094</v>
      </c>
      <c r="Y1137" t="s">
        <v>7145</v>
      </c>
      <c r="Z1137" t="str">
        <f>"07754019198"</f>
        <v>07754019198</v>
      </c>
      <c r="AA1137" t="str">
        <f>""</f>
        <v/>
      </c>
      <c r="AB1137" t="s">
        <v>7144</v>
      </c>
      <c r="AC1137" t="s">
        <v>7143</v>
      </c>
      <c r="AD1137" t="s">
        <v>114</v>
      </c>
      <c r="AE1137" s="63">
        <v>45406</v>
      </c>
      <c r="AF1137" t="s">
        <v>156</v>
      </c>
      <c r="AG1137" t="s">
        <v>112</v>
      </c>
      <c r="AH1137" t="s">
        <v>112</v>
      </c>
      <c r="AI1137" s="63">
        <v>45406</v>
      </c>
      <c r="AJ1137" s="63">
        <v>45657</v>
      </c>
      <c r="AK1137" t="s">
        <v>112</v>
      </c>
      <c r="AL1137" t="s">
        <v>111</v>
      </c>
      <c r="AM1137" t="s">
        <v>111</v>
      </c>
      <c r="AN1137">
        <v>4107</v>
      </c>
      <c r="AO1137" t="s">
        <v>122</v>
      </c>
      <c r="AP1137" t="s">
        <v>122</v>
      </c>
    </row>
    <row r="1138" spans="1:42" x14ac:dyDescent="0.25">
      <c r="A1138" s="28" t="str">
        <f>"4969"</f>
        <v>4969</v>
      </c>
      <c r="B1138">
        <v>4969</v>
      </c>
      <c r="C1138" t="s">
        <v>2488</v>
      </c>
      <c r="D1138" t="s">
        <v>121</v>
      </c>
      <c r="E1138" t="s">
        <v>584</v>
      </c>
      <c r="F1138" t="s">
        <v>120</v>
      </c>
      <c r="G1138" t="s">
        <v>7142</v>
      </c>
      <c r="I1138" t="s">
        <v>1718</v>
      </c>
      <c r="J1138" t="s">
        <v>7</v>
      </c>
      <c r="K1138" s="63">
        <v>23641</v>
      </c>
      <c r="L1138" s="28">
        <f>DATEDIF(K1138,Zwift25!G$1,"Y")</f>
        <v>60</v>
      </c>
      <c r="M1138" s="67">
        <f>IF(J1138="m",VLOOKUP(L1138,'All Solo Adjustments'!A:D,4,FALSE),VLOOKUP(L1138,'All Solo Adjustments'!A:J,10,FALSE))</f>
        <v>3.2060185185185186E-3</v>
      </c>
      <c r="N1138" s="63"/>
      <c r="O1138" s="63"/>
      <c r="P1138" s="63"/>
      <c r="Q1138" s="63"/>
      <c r="R1138" t="s">
        <v>283</v>
      </c>
      <c r="S1138" t="s">
        <v>530</v>
      </c>
      <c r="T1138" t="s">
        <v>292</v>
      </c>
      <c r="U1138" t="s">
        <v>7141</v>
      </c>
      <c r="V1138" t="s">
        <v>7140</v>
      </c>
      <c r="W1138" t="s">
        <v>1061</v>
      </c>
      <c r="Y1138" t="s">
        <v>7139</v>
      </c>
      <c r="Z1138" t="str">
        <f>"07983 442147"</f>
        <v>07983 442147</v>
      </c>
      <c r="AA1138" t="str">
        <f>""</f>
        <v/>
      </c>
      <c r="AB1138" t="s">
        <v>1828</v>
      </c>
      <c r="AC1138" t="s">
        <v>7138</v>
      </c>
      <c r="AD1138" t="s">
        <v>114</v>
      </c>
      <c r="AE1138" s="63">
        <v>45408</v>
      </c>
      <c r="AF1138" t="s">
        <v>156</v>
      </c>
      <c r="AG1138" t="s">
        <v>112</v>
      </c>
      <c r="AH1138" t="s">
        <v>112</v>
      </c>
      <c r="AI1138" s="63">
        <v>41724</v>
      </c>
      <c r="AJ1138" s="63">
        <v>45657</v>
      </c>
      <c r="AK1138" t="s">
        <v>111</v>
      </c>
      <c r="AL1138" t="s">
        <v>111</v>
      </c>
      <c r="AM1138" t="s">
        <v>111</v>
      </c>
      <c r="AN1138">
        <v>2144</v>
      </c>
      <c r="AO1138" t="s">
        <v>110</v>
      </c>
      <c r="AP1138" t="s">
        <v>109</v>
      </c>
    </row>
    <row r="1139" spans="1:42" x14ac:dyDescent="0.25">
      <c r="A1139" s="28" t="str">
        <f>"15259"</f>
        <v>15259</v>
      </c>
      <c r="B1139">
        <v>15259</v>
      </c>
      <c r="C1139" t="s">
        <v>2488</v>
      </c>
      <c r="D1139" t="s">
        <v>121</v>
      </c>
      <c r="F1139" t="s">
        <v>139</v>
      </c>
      <c r="G1139" t="s">
        <v>1451</v>
      </c>
      <c r="I1139" t="s">
        <v>7137</v>
      </c>
      <c r="J1139" t="s">
        <v>126</v>
      </c>
      <c r="K1139" s="63">
        <v>28725</v>
      </c>
      <c r="L1139" s="28">
        <f>DATEDIF(K1139,Zwift25!G$1,"Y")</f>
        <v>46</v>
      </c>
      <c r="M1139" s="67">
        <f>IF(J1139="m",VLOOKUP(L1139,'All Solo Adjustments'!A:D,4,FALSE),VLOOKUP(L1139,'All Solo Adjustments'!A:J,10,FALSE))</f>
        <v>4.6759259259259263E-3</v>
      </c>
      <c r="N1139" s="63"/>
      <c r="O1139" s="63"/>
      <c r="P1139" s="63"/>
      <c r="Q1139" s="63"/>
      <c r="R1139" t="s">
        <v>143</v>
      </c>
      <c r="S1139" t="s">
        <v>142</v>
      </c>
      <c r="T1139" t="s">
        <v>292</v>
      </c>
      <c r="U1139" t="s">
        <v>7136</v>
      </c>
      <c r="W1139" t="s">
        <v>7135</v>
      </c>
      <c r="X1139" t="s">
        <v>172</v>
      </c>
      <c r="Y1139" t="s">
        <v>7134</v>
      </c>
      <c r="Z1139" t="str">
        <f>"07758148406"</f>
        <v>07758148406</v>
      </c>
      <c r="AA1139" t="str">
        <f>""</f>
        <v/>
      </c>
      <c r="AB1139" t="s">
        <v>7133</v>
      </c>
      <c r="AC1139" t="s">
        <v>7132</v>
      </c>
      <c r="AD1139" t="s">
        <v>114</v>
      </c>
      <c r="AE1139" s="63">
        <v>45348</v>
      </c>
      <c r="AF1139" t="s">
        <v>156</v>
      </c>
      <c r="AG1139" t="s">
        <v>112</v>
      </c>
      <c r="AH1139" t="s">
        <v>112</v>
      </c>
      <c r="AI1139" s="63">
        <v>44473</v>
      </c>
      <c r="AJ1139" s="63">
        <v>45657</v>
      </c>
      <c r="AK1139" t="s">
        <v>112</v>
      </c>
      <c r="AL1139" t="s">
        <v>111</v>
      </c>
      <c r="AM1139" t="s">
        <v>111</v>
      </c>
      <c r="AN1139">
        <v>41536</v>
      </c>
      <c r="AO1139" t="s">
        <v>122</v>
      </c>
      <c r="AP1139" t="s">
        <v>122</v>
      </c>
    </row>
    <row r="1140" spans="1:42" x14ac:dyDescent="0.25">
      <c r="A1140" s="28" t="str">
        <f>"1441"</f>
        <v>1441</v>
      </c>
      <c r="B1140">
        <v>1441</v>
      </c>
      <c r="C1140" t="s">
        <v>2488</v>
      </c>
      <c r="D1140" t="s">
        <v>121</v>
      </c>
      <c r="F1140" t="s">
        <v>120</v>
      </c>
      <c r="G1140" t="s">
        <v>481</v>
      </c>
      <c r="I1140" t="s">
        <v>7122</v>
      </c>
      <c r="J1140" t="s">
        <v>7</v>
      </c>
      <c r="K1140" s="63">
        <v>13444</v>
      </c>
      <c r="L1140" s="28">
        <f>DATEDIF(K1140,Zwift25!G$1,"Y")</f>
        <v>87</v>
      </c>
      <c r="M1140" s="67">
        <f>IF(J1140="m",VLOOKUP(L1140,'All Solo Adjustments'!A:D,4,FALSE),VLOOKUP(L1140,'All Solo Adjustments'!A:J,10,FALSE))</f>
        <v>1.576388888888889E-2</v>
      </c>
      <c r="N1140" s="63"/>
      <c r="O1140" s="63"/>
      <c r="P1140" s="63"/>
      <c r="Q1140" s="63"/>
      <c r="R1140" t="s">
        <v>184</v>
      </c>
      <c r="S1140" t="s">
        <v>835</v>
      </c>
      <c r="T1140" t="s">
        <v>292</v>
      </c>
      <c r="U1140" t="s">
        <v>7131</v>
      </c>
      <c r="V1140" t="s">
        <v>7130</v>
      </c>
      <c r="W1140" t="s">
        <v>2005</v>
      </c>
      <c r="X1140" t="s">
        <v>344</v>
      </c>
      <c r="Y1140" t="s">
        <v>7129</v>
      </c>
      <c r="Z1140" t="str">
        <f>"01494 443302"</f>
        <v>01494 443302</v>
      </c>
      <c r="AA1140" t="str">
        <f>""</f>
        <v/>
      </c>
      <c r="AB1140" t="s">
        <v>7128</v>
      </c>
      <c r="AD1140" t="s">
        <v>151</v>
      </c>
      <c r="AF1140" t="s">
        <v>113</v>
      </c>
      <c r="AG1140" t="s">
        <v>112</v>
      </c>
      <c r="AH1140" t="s">
        <v>112</v>
      </c>
      <c r="AI1140" s="63">
        <v>28592</v>
      </c>
      <c r="AK1140" t="s">
        <v>111</v>
      </c>
      <c r="AL1140" t="s">
        <v>111</v>
      </c>
      <c r="AM1140" t="s">
        <v>111</v>
      </c>
      <c r="AN1140" t="s">
        <v>105</v>
      </c>
      <c r="AO1140" t="s">
        <v>110</v>
      </c>
      <c r="AP1140" t="s">
        <v>109</v>
      </c>
    </row>
    <row r="1141" spans="1:42" x14ac:dyDescent="0.25">
      <c r="A1141" s="28" t="str">
        <f>"14259"</f>
        <v>14259</v>
      </c>
      <c r="B1141">
        <v>14259</v>
      </c>
      <c r="C1141" t="s">
        <v>2488</v>
      </c>
      <c r="D1141" t="s">
        <v>121</v>
      </c>
      <c r="F1141" t="s">
        <v>120</v>
      </c>
      <c r="G1141" t="s">
        <v>1862</v>
      </c>
      <c r="H1141" t="s">
        <v>174</v>
      </c>
      <c r="I1141" t="s">
        <v>7122</v>
      </c>
      <c r="J1141" t="s">
        <v>7</v>
      </c>
      <c r="K1141" s="63">
        <v>24228</v>
      </c>
      <c r="L1141" s="28">
        <f>DATEDIF(K1141,Zwift25!G$1,"Y")</f>
        <v>58</v>
      </c>
      <c r="M1141" s="67">
        <f>IF(J1141="m",VLOOKUP(L1141,'All Solo Adjustments'!A:D,4,FALSE),VLOOKUP(L1141,'All Solo Adjustments'!A:J,10,FALSE))</f>
        <v>2.7199074074074074E-3</v>
      </c>
      <c r="N1141" s="63"/>
      <c r="O1141" s="63"/>
      <c r="P1141" s="63"/>
      <c r="Q1141" s="63"/>
      <c r="R1141" t="s">
        <v>125</v>
      </c>
      <c r="S1141" t="s">
        <v>170</v>
      </c>
      <c r="T1141" t="s">
        <v>292</v>
      </c>
      <c r="U1141" t="s">
        <v>7127</v>
      </c>
      <c r="V1141" t="s">
        <v>7126</v>
      </c>
      <c r="W1141" t="s">
        <v>7125</v>
      </c>
      <c r="X1141" t="s">
        <v>123</v>
      </c>
      <c r="Y1141" t="s">
        <v>7124</v>
      </c>
      <c r="Z1141" t="str">
        <f>"07775008055"</f>
        <v>07775008055</v>
      </c>
      <c r="AA1141" t="str">
        <f>"07951261299"</f>
        <v>07951261299</v>
      </c>
      <c r="AB1141" t="s">
        <v>826</v>
      </c>
      <c r="AC1141" t="s">
        <v>7123</v>
      </c>
      <c r="AD1141" t="s">
        <v>114</v>
      </c>
      <c r="AE1141" s="63">
        <v>45295</v>
      </c>
      <c r="AF1141" t="s">
        <v>156</v>
      </c>
      <c r="AG1141" t="s">
        <v>112</v>
      </c>
      <c r="AH1141" t="s">
        <v>112</v>
      </c>
      <c r="AI1141" s="63">
        <v>43619</v>
      </c>
      <c r="AJ1141" s="63">
        <v>45657</v>
      </c>
      <c r="AK1141" t="s">
        <v>112</v>
      </c>
      <c r="AL1141" t="s">
        <v>111</v>
      </c>
      <c r="AM1141" t="s">
        <v>111</v>
      </c>
      <c r="AN1141">
        <v>20727</v>
      </c>
      <c r="AO1141" t="s">
        <v>110</v>
      </c>
      <c r="AP1141" t="s">
        <v>109</v>
      </c>
    </row>
    <row r="1142" spans="1:42" x14ac:dyDescent="0.25">
      <c r="A1142" s="28" t="str">
        <f>"15983"</f>
        <v>15983</v>
      </c>
      <c r="B1142">
        <v>15983</v>
      </c>
      <c r="C1142" t="s">
        <v>2488</v>
      </c>
      <c r="D1142" t="s">
        <v>121</v>
      </c>
      <c r="E1142" t="s">
        <v>584</v>
      </c>
      <c r="F1142" t="s">
        <v>120</v>
      </c>
      <c r="G1142" t="s">
        <v>392</v>
      </c>
      <c r="I1142" t="s">
        <v>7122</v>
      </c>
      <c r="J1142" t="s">
        <v>7</v>
      </c>
      <c r="K1142" s="63">
        <v>29106</v>
      </c>
      <c r="L1142" s="28">
        <f>DATEDIF(K1142,Zwift25!G$1,"Y")</f>
        <v>45</v>
      </c>
      <c r="M1142" s="67">
        <f>IF(J1142="m",VLOOKUP(L1142,'All Solo Adjustments'!A:D,4,FALSE),VLOOKUP(L1142,'All Solo Adjustments'!A:J,10,FALSE))</f>
        <v>4.5138888888888892E-4</v>
      </c>
      <c r="N1142" s="63"/>
      <c r="O1142" s="63"/>
      <c r="P1142" s="63"/>
      <c r="Q1142" s="63"/>
      <c r="R1142" t="s">
        <v>296</v>
      </c>
      <c r="S1142" t="s">
        <v>295</v>
      </c>
      <c r="T1142" t="s">
        <v>292</v>
      </c>
      <c r="U1142" t="s">
        <v>7121</v>
      </c>
      <c r="W1142" t="s">
        <v>1954</v>
      </c>
      <c r="Y1142" t="s">
        <v>7120</v>
      </c>
      <c r="Z1142" t="str">
        <f>"07552697699"</f>
        <v>07552697699</v>
      </c>
      <c r="AA1142" t="str">
        <f>""</f>
        <v/>
      </c>
      <c r="AB1142" t="s">
        <v>7119</v>
      </c>
      <c r="AC1142" t="s">
        <v>7118</v>
      </c>
      <c r="AD1142" t="s">
        <v>114</v>
      </c>
      <c r="AE1142" s="63">
        <v>45299</v>
      </c>
      <c r="AF1142" t="s">
        <v>156</v>
      </c>
      <c r="AG1142" t="s">
        <v>112</v>
      </c>
      <c r="AH1142" t="s">
        <v>112</v>
      </c>
      <c r="AI1142" s="63">
        <v>45299</v>
      </c>
      <c r="AJ1142" s="63">
        <v>45657</v>
      </c>
      <c r="AK1142" t="s">
        <v>112</v>
      </c>
      <c r="AL1142" t="s">
        <v>111</v>
      </c>
      <c r="AM1142" t="s">
        <v>111</v>
      </c>
      <c r="AN1142" t="s">
        <v>105</v>
      </c>
      <c r="AO1142" t="s">
        <v>110</v>
      </c>
      <c r="AP1142" t="s">
        <v>109</v>
      </c>
    </row>
    <row r="1143" spans="1:42" x14ac:dyDescent="0.25">
      <c r="A1143" s="28" t="str">
        <f>"1445"</f>
        <v>1445</v>
      </c>
      <c r="B1143">
        <v>1445</v>
      </c>
      <c r="C1143" t="s">
        <v>2488</v>
      </c>
      <c r="D1143" t="s">
        <v>132</v>
      </c>
      <c r="E1143" t="s">
        <v>584</v>
      </c>
      <c r="F1143" t="s">
        <v>120</v>
      </c>
      <c r="G1143" t="s">
        <v>3848</v>
      </c>
      <c r="H1143" t="s">
        <v>522</v>
      </c>
      <c r="I1143" t="s">
        <v>7116</v>
      </c>
      <c r="J1143" t="s">
        <v>7</v>
      </c>
      <c r="K1143" s="63">
        <v>20355</v>
      </c>
      <c r="L1143" s="28">
        <f>DATEDIF(K1143,Zwift25!G$1,"Y")</f>
        <v>69</v>
      </c>
      <c r="M1143" s="67">
        <f>IF(J1143="m",VLOOKUP(L1143,'All Solo Adjustments'!A:D,4,FALSE),VLOOKUP(L1143,'All Solo Adjustments'!A:J,10,FALSE))</f>
        <v>5.9722222222222225E-3</v>
      </c>
      <c r="N1143" s="63"/>
      <c r="O1143" s="63"/>
      <c r="P1143" s="63"/>
      <c r="Q1143" s="63"/>
      <c r="R1143" t="s">
        <v>137</v>
      </c>
      <c r="S1143" t="s">
        <v>703</v>
      </c>
      <c r="T1143" t="s">
        <v>292</v>
      </c>
      <c r="U1143" t="s">
        <v>7115</v>
      </c>
      <c r="V1143" t="s">
        <v>1677</v>
      </c>
      <c r="W1143" t="s">
        <v>1098</v>
      </c>
      <c r="X1143" t="s">
        <v>208</v>
      </c>
      <c r="Y1143" t="s">
        <v>7114</v>
      </c>
      <c r="Z1143" t="str">
        <f>"7759675589"</f>
        <v>7759675589</v>
      </c>
      <c r="AA1143" t="str">
        <f>"7759675589"</f>
        <v>7759675589</v>
      </c>
      <c r="AB1143" t="s">
        <v>3349</v>
      </c>
      <c r="AC1143" t="s">
        <v>7117</v>
      </c>
      <c r="AD1143" t="s">
        <v>114</v>
      </c>
      <c r="AE1143" s="63">
        <v>45339</v>
      </c>
      <c r="AF1143" t="s">
        <v>156</v>
      </c>
      <c r="AG1143" t="s">
        <v>112</v>
      </c>
      <c r="AH1143" t="s">
        <v>112</v>
      </c>
      <c r="AI1143" s="63">
        <v>35152</v>
      </c>
      <c r="AJ1143" s="63">
        <v>45657</v>
      </c>
      <c r="AK1143" t="s">
        <v>111</v>
      </c>
      <c r="AL1143" t="s">
        <v>111</v>
      </c>
      <c r="AM1143" t="s">
        <v>111</v>
      </c>
      <c r="AN1143" t="s">
        <v>105</v>
      </c>
      <c r="AO1143" t="s">
        <v>110</v>
      </c>
      <c r="AP1143" t="s">
        <v>109</v>
      </c>
    </row>
    <row r="1144" spans="1:42" x14ac:dyDescent="0.25">
      <c r="A1144" s="28" t="str">
        <f>"11120"</f>
        <v>11120</v>
      </c>
      <c r="B1144">
        <v>11120</v>
      </c>
      <c r="C1144" t="s">
        <v>2488</v>
      </c>
      <c r="D1144" t="s">
        <v>130</v>
      </c>
      <c r="F1144" t="s">
        <v>149</v>
      </c>
      <c r="G1144" t="s">
        <v>659</v>
      </c>
      <c r="I1144" t="s">
        <v>7116</v>
      </c>
      <c r="J1144" t="s">
        <v>126</v>
      </c>
      <c r="K1144" s="63">
        <v>21850</v>
      </c>
      <c r="L1144" s="28">
        <f>DATEDIF(K1144,Zwift25!G$1,"Y")</f>
        <v>64</v>
      </c>
      <c r="M1144" s="67">
        <f>IF(J1144="m",VLOOKUP(L1144,'All Solo Adjustments'!A:D,4,FALSE),VLOOKUP(L1144,'All Solo Adjustments'!A:J,10,FALSE))</f>
        <v>8.4490740740740741E-3</v>
      </c>
      <c r="N1144" s="63"/>
      <c r="O1144" s="63"/>
      <c r="P1144" s="63"/>
      <c r="Q1144" s="63"/>
      <c r="R1144" t="s">
        <v>137</v>
      </c>
      <c r="S1144" t="s">
        <v>703</v>
      </c>
      <c r="T1144" t="s">
        <v>292</v>
      </c>
      <c r="U1144" t="s">
        <v>7115</v>
      </c>
      <c r="V1144" t="s">
        <v>1677</v>
      </c>
      <c r="W1144" t="s">
        <v>1098</v>
      </c>
      <c r="X1144" t="s">
        <v>208</v>
      </c>
      <c r="Y1144" t="s">
        <v>7114</v>
      </c>
      <c r="Z1144" t="str">
        <f>"7759675589"</f>
        <v>7759675589</v>
      </c>
      <c r="AA1144" t="str">
        <f>"7759675589"</f>
        <v>7759675589</v>
      </c>
      <c r="AB1144" t="s">
        <v>3349</v>
      </c>
      <c r="AC1144" t="s">
        <v>7113</v>
      </c>
      <c r="AD1144" t="s">
        <v>114</v>
      </c>
      <c r="AE1144" s="63">
        <v>45339</v>
      </c>
      <c r="AF1144" t="s">
        <v>113</v>
      </c>
      <c r="AG1144" t="s">
        <v>111</v>
      </c>
      <c r="AH1144" t="s">
        <v>112</v>
      </c>
      <c r="AI1144" s="63">
        <v>35152</v>
      </c>
      <c r="AJ1144" s="63">
        <v>45657</v>
      </c>
      <c r="AK1144" t="s">
        <v>111</v>
      </c>
      <c r="AL1144" t="s">
        <v>111</v>
      </c>
      <c r="AM1144" t="s">
        <v>111</v>
      </c>
      <c r="AN1144" t="s">
        <v>105</v>
      </c>
      <c r="AO1144" t="s">
        <v>122</v>
      </c>
      <c r="AP1144" t="s">
        <v>122</v>
      </c>
    </row>
    <row r="1145" spans="1:42" x14ac:dyDescent="0.25">
      <c r="A1145" s="28" t="str">
        <f>"14962"</f>
        <v>14962</v>
      </c>
      <c r="B1145">
        <v>14962</v>
      </c>
      <c r="C1145" t="s">
        <v>2488</v>
      </c>
      <c r="D1145" t="s">
        <v>121</v>
      </c>
      <c r="F1145" t="s">
        <v>120</v>
      </c>
      <c r="G1145" t="s">
        <v>185</v>
      </c>
      <c r="H1145" t="s">
        <v>284</v>
      </c>
      <c r="I1145" t="s">
        <v>7112</v>
      </c>
      <c r="J1145" t="s">
        <v>7</v>
      </c>
      <c r="K1145" s="63">
        <v>24334</v>
      </c>
      <c r="L1145" s="28">
        <f>DATEDIF(K1145,Zwift25!G$1,"Y")</f>
        <v>58</v>
      </c>
      <c r="M1145" s="67">
        <f>IF(J1145="m",VLOOKUP(L1145,'All Solo Adjustments'!A:D,4,FALSE),VLOOKUP(L1145,'All Solo Adjustments'!A:J,10,FALSE))</f>
        <v>2.7199074074074074E-3</v>
      </c>
      <c r="N1145" s="63"/>
      <c r="O1145" s="63"/>
      <c r="P1145" s="63"/>
      <c r="Q1145" s="63"/>
      <c r="R1145" t="s">
        <v>125</v>
      </c>
      <c r="S1145" t="s">
        <v>170</v>
      </c>
      <c r="T1145" t="s">
        <v>292</v>
      </c>
      <c r="U1145" t="s">
        <v>7111</v>
      </c>
      <c r="V1145" t="s">
        <v>7110</v>
      </c>
      <c r="X1145" t="s">
        <v>1791</v>
      </c>
      <c r="Y1145" t="s">
        <v>7109</v>
      </c>
      <c r="Z1145" t="str">
        <f>"07936527437"</f>
        <v>07936527437</v>
      </c>
      <c r="AA1145" t="str">
        <f>""</f>
        <v/>
      </c>
      <c r="AB1145" t="s">
        <v>505</v>
      </c>
      <c r="AC1145" t="s">
        <v>7108</v>
      </c>
      <c r="AD1145" t="s">
        <v>114</v>
      </c>
      <c r="AE1145" s="63">
        <v>45226</v>
      </c>
      <c r="AF1145" t="s">
        <v>113</v>
      </c>
      <c r="AG1145" t="s">
        <v>112</v>
      </c>
      <c r="AH1145" t="s">
        <v>112</v>
      </c>
      <c r="AI1145" s="63">
        <v>44288</v>
      </c>
      <c r="AJ1145" s="63">
        <v>45657</v>
      </c>
      <c r="AK1145" t="s">
        <v>112</v>
      </c>
      <c r="AL1145" t="s">
        <v>111</v>
      </c>
      <c r="AM1145" t="s">
        <v>111</v>
      </c>
      <c r="AN1145">
        <v>1058</v>
      </c>
      <c r="AO1145" t="s">
        <v>110</v>
      </c>
      <c r="AP1145" t="s">
        <v>109</v>
      </c>
    </row>
    <row r="1146" spans="1:42" x14ac:dyDescent="0.25">
      <c r="A1146" s="28" t="str">
        <f>"4850"</f>
        <v>4850</v>
      </c>
      <c r="B1146">
        <v>4850</v>
      </c>
      <c r="C1146" t="s">
        <v>2488</v>
      </c>
      <c r="D1146" t="s">
        <v>121</v>
      </c>
      <c r="F1146" t="s">
        <v>120</v>
      </c>
      <c r="G1146" t="s">
        <v>685</v>
      </c>
      <c r="I1146" t="s">
        <v>7107</v>
      </c>
      <c r="J1146" t="s">
        <v>7</v>
      </c>
      <c r="K1146" s="63">
        <v>20615</v>
      </c>
      <c r="L1146" s="28">
        <f>DATEDIF(K1146,Zwift25!G$1,"Y")</f>
        <v>68</v>
      </c>
      <c r="M1146" s="67">
        <f>IF(J1146="m",VLOOKUP(L1146,'All Solo Adjustments'!A:D,4,FALSE),VLOOKUP(L1146,'All Solo Adjustments'!A:J,10,FALSE))</f>
        <v>5.6134259259259262E-3</v>
      </c>
      <c r="N1146" s="63"/>
      <c r="O1146" s="63"/>
      <c r="P1146" s="63"/>
      <c r="Q1146" s="63"/>
      <c r="R1146" t="s">
        <v>283</v>
      </c>
      <c r="S1146" t="s">
        <v>530</v>
      </c>
      <c r="T1146" t="s">
        <v>292</v>
      </c>
      <c r="U1146" t="s">
        <v>7106</v>
      </c>
      <c r="V1146" t="s">
        <v>7105</v>
      </c>
      <c r="W1146" t="s">
        <v>892</v>
      </c>
      <c r="Y1146" t="s">
        <v>7104</v>
      </c>
      <c r="Z1146" t="str">
        <f>"01827 331331"</f>
        <v>01827 331331</v>
      </c>
      <c r="AA1146" t="str">
        <f>"0791 905 4001"</f>
        <v>0791 905 4001</v>
      </c>
      <c r="AB1146" t="s">
        <v>2687</v>
      </c>
      <c r="AC1146" t="s">
        <v>7103</v>
      </c>
      <c r="AD1146" t="s">
        <v>114</v>
      </c>
      <c r="AE1146" s="63">
        <v>45292</v>
      </c>
      <c r="AF1146" t="s">
        <v>156</v>
      </c>
      <c r="AG1146" t="s">
        <v>112</v>
      </c>
      <c r="AH1146" t="s">
        <v>112</v>
      </c>
      <c r="AI1146" s="63">
        <v>41548</v>
      </c>
      <c r="AJ1146" s="63">
        <v>45657</v>
      </c>
      <c r="AK1146" t="s">
        <v>111</v>
      </c>
      <c r="AL1146" t="s">
        <v>111</v>
      </c>
      <c r="AM1146" t="s">
        <v>111</v>
      </c>
      <c r="AN1146">
        <v>302</v>
      </c>
      <c r="AO1146" t="s">
        <v>110</v>
      </c>
      <c r="AP1146" t="s">
        <v>109</v>
      </c>
    </row>
    <row r="1147" spans="1:42" x14ac:dyDescent="0.25">
      <c r="A1147" s="28" t="str">
        <f>"5534"</f>
        <v>5534</v>
      </c>
      <c r="B1147">
        <v>5534</v>
      </c>
      <c r="C1147" t="s">
        <v>2488</v>
      </c>
      <c r="D1147" t="s">
        <v>121</v>
      </c>
      <c r="E1147" t="s">
        <v>6681</v>
      </c>
      <c r="F1147" t="s">
        <v>120</v>
      </c>
      <c r="G1147" t="s">
        <v>231</v>
      </c>
      <c r="I1147" t="s">
        <v>7099</v>
      </c>
      <c r="J1147" t="s">
        <v>7</v>
      </c>
      <c r="K1147" s="63">
        <v>19258</v>
      </c>
      <c r="L1147" s="28">
        <f>DATEDIF(K1147,Zwift25!G$1,"Y")</f>
        <v>72</v>
      </c>
      <c r="M1147" s="67">
        <f>IF(J1147="m",VLOOKUP(L1147,'All Solo Adjustments'!A:D,4,FALSE),VLOOKUP(L1147,'All Solo Adjustments'!A:J,10,FALSE))</f>
        <v>7.129629629629629E-3</v>
      </c>
      <c r="N1147" s="63"/>
      <c r="O1147" s="63"/>
      <c r="P1147" s="63"/>
      <c r="Q1147" s="63"/>
      <c r="R1147" t="s">
        <v>143</v>
      </c>
      <c r="S1147" t="s">
        <v>142</v>
      </c>
      <c r="T1147" t="s">
        <v>292</v>
      </c>
      <c r="U1147" t="s">
        <v>7102</v>
      </c>
      <c r="V1147" t="s">
        <v>2132</v>
      </c>
      <c r="Y1147" t="s">
        <v>7101</v>
      </c>
      <c r="Z1147" t="str">
        <f>"07736354807"</f>
        <v>07736354807</v>
      </c>
      <c r="AA1147" t="str">
        <f>""</f>
        <v/>
      </c>
      <c r="AB1147" t="s">
        <v>758</v>
      </c>
      <c r="AC1147" t="s">
        <v>7100</v>
      </c>
      <c r="AD1147" t="s">
        <v>114</v>
      </c>
      <c r="AE1147" s="63">
        <v>45279</v>
      </c>
      <c r="AF1147" t="s">
        <v>156</v>
      </c>
      <c r="AG1147" t="s">
        <v>112</v>
      </c>
      <c r="AH1147" t="s">
        <v>112</v>
      </c>
      <c r="AI1147" s="63">
        <v>42176</v>
      </c>
      <c r="AJ1147" s="63">
        <v>45657</v>
      </c>
      <c r="AK1147" t="s">
        <v>111</v>
      </c>
      <c r="AL1147" t="s">
        <v>111</v>
      </c>
      <c r="AM1147" t="s">
        <v>111</v>
      </c>
      <c r="AN1147">
        <v>6603</v>
      </c>
      <c r="AO1147" t="s">
        <v>110</v>
      </c>
      <c r="AP1147" t="s">
        <v>109</v>
      </c>
    </row>
    <row r="1148" spans="1:42" x14ac:dyDescent="0.25">
      <c r="A1148" s="28" t="str">
        <f>"16038"</f>
        <v>16038</v>
      </c>
      <c r="B1148">
        <v>16038</v>
      </c>
      <c r="C1148" t="s">
        <v>2488</v>
      </c>
      <c r="D1148" t="s">
        <v>121</v>
      </c>
      <c r="F1148" t="s">
        <v>120</v>
      </c>
      <c r="G1148" t="s">
        <v>513</v>
      </c>
      <c r="I1148" t="s">
        <v>7099</v>
      </c>
      <c r="J1148" t="s">
        <v>7</v>
      </c>
      <c r="K1148" s="63">
        <v>22890</v>
      </c>
      <c r="L1148" s="28">
        <f>DATEDIF(K1148,Zwift25!G$1,"Y")</f>
        <v>62</v>
      </c>
      <c r="M1148" s="67">
        <f>IF(J1148="m",VLOOKUP(L1148,'All Solo Adjustments'!A:D,4,FALSE),VLOOKUP(L1148,'All Solo Adjustments'!A:J,10,FALSE))</f>
        <v>3.7384259259259259E-3</v>
      </c>
      <c r="N1148" s="63"/>
      <c r="O1148" s="63"/>
      <c r="P1148" s="63"/>
      <c r="Q1148" s="63"/>
      <c r="R1148" t="s">
        <v>180</v>
      </c>
      <c r="S1148" t="s">
        <v>179</v>
      </c>
      <c r="T1148" t="s">
        <v>292</v>
      </c>
      <c r="U1148" t="s">
        <v>7098</v>
      </c>
      <c r="V1148" t="s">
        <v>1472</v>
      </c>
      <c r="W1148" t="s">
        <v>1471</v>
      </c>
      <c r="X1148" t="s">
        <v>259</v>
      </c>
      <c r="Y1148" t="s">
        <v>7097</v>
      </c>
      <c r="Z1148" t="str">
        <f>"07368480278"</f>
        <v>07368480278</v>
      </c>
      <c r="AA1148" t="str">
        <f>""</f>
        <v/>
      </c>
      <c r="AB1148" t="s">
        <v>7096</v>
      </c>
      <c r="AC1148" t="s">
        <v>7095</v>
      </c>
      <c r="AD1148" t="s">
        <v>114</v>
      </c>
      <c r="AE1148" s="63">
        <v>45346</v>
      </c>
      <c r="AF1148" t="s">
        <v>156</v>
      </c>
      <c r="AG1148" t="s">
        <v>112</v>
      </c>
      <c r="AH1148" t="s">
        <v>112</v>
      </c>
      <c r="AI1148" s="63">
        <v>45346</v>
      </c>
      <c r="AJ1148" s="63">
        <v>45657</v>
      </c>
      <c r="AK1148" t="s">
        <v>112</v>
      </c>
      <c r="AL1148" t="s">
        <v>111</v>
      </c>
      <c r="AM1148" t="s">
        <v>111</v>
      </c>
      <c r="AN1148">
        <v>49724</v>
      </c>
      <c r="AO1148" t="s">
        <v>110</v>
      </c>
      <c r="AP1148" t="s">
        <v>109</v>
      </c>
    </row>
    <row r="1149" spans="1:42" x14ac:dyDescent="0.25">
      <c r="A1149" s="28" t="str">
        <f>"14402"</f>
        <v>14402</v>
      </c>
      <c r="B1149">
        <v>14402</v>
      </c>
      <c r="C1149" t="s">
        <v>2488</v>
      </c>
      <c r="D1149" t="s">
        <v>121</v>
      </c>
      <c r="F1149" t="s">
        <v>120</v>
      </c>
      <c r="G1149" t="s">
        <v>718</v>
      </c>
      <c r="I1149" t="s">
        <v>7094</v>
      </c>
      <c r="J1149" t="s">
        <v>7</v>
      </c>
      <c r="K1149" s="63">
        <v>28976</v>
      </c>
      <c r="L1149" s="28">
        <f>DATEDIF(K1149,Zwift25!G$1,"Y")</f>
        <v>45</v>
      </c>
      <c r="M1149" s="67">
        <f>IF(J1149="m",VLOOKUP(L1149,'All Solo Adjustments'!A:D,4,FALSE),VLOOKUP(L1149,'All Solo Adjustments'!A:J,10,FALSE))</f>
        <v>4.5138888888888892E-4</v>
      </c>
      <c r="N1149" s="63"/>
      <c r="O1149" s="63"/>
      <c r="P1149" s="63"/>
      <c r="Q1149" s="63"/>
      <c r="R1149" t="s">
        <v>213</v>
      </c>
      <c r="S1149" t="s">
        <v>212</v>
      </c>
      <c r="T1149" t="s">
        <v>292</v>
      </c>
      <c r="U1149" t="s">
        <v>7093</v>
      </c>
      <c r="V1149" t="s">
        <v>7092</v>
      </c>
      <c r="Y1149" t="s">
        <v>7091</v>
      </c>
      <c r="Z1149" t="str">
        <f>"07973764655"</f>
        <v>07973764655</v>
      </c>
      <c r="AA1149" t="str">
        <f>""</f>
        <v/>
      </c>
      <c r="AB1149" t="s">
        <v>1113</v>
      </c>
      <c r="AC1149" t="s">
        <v>7090</v>
      </c>
      <c r="AD1149" t="s">
        <v>114</v>
      </c>
      <c r="AE1149" s="63">
        <v>45415</v>
      </c>
      <c r="AF1149" t="s">
        <v>156</v>
      </c>
      <c r="AG1149" t="s">
        <v>112</v>
      </c>
      <c r="AH1149" t="s">
        <v>112</v>
      </c>
      <c r="AI1149" s="63">
        <v>43809</v>
      </c>
      <c r="AJ1149" s="63">
        <v>45657</v>
      </c>
      <c r="AK1149" t="s">
        <v>112</v>
      </c>
      <c r="AL1149" t="s">
        <v>111</v>
      </c>
      <c r="AM1149" t="s">
        <v>111</v>
      </c>
      <c r="AN1149">
        <v>22271</v>
      </c>
      <c r="AO1149" t="s">
        <v>110</v>
      </c>
      <c r="AP1149" t="s">
        <v>109</v>
      </c>
    </row>
    <row r="1150" spans="1:42" x14ac:dyDescent="0.25">
      <c r="A1150" s="28" t="str">
        <f>"1456"</f>
        <v>1456</v>
      </c>
      <c r="B1150">
        <v>1456</v>
      </c>
      <c r="C1150" t="s">
        <v>2488</v>
      </c>
      <c r="D1150" t="s">
        <v>121</v>
      </c>
      <c r="E1150" t="s">
        <v>584</v>
      </c>
      <c r="F1150" t="s">
        <v>120</v>
      </c>
      <c r="G1150" t="s">
        <v>231</v>
      </c>
      <c r="I1150" t="s">
        <v>610</v>
      </c>
      <c r="J1150" t="s">
        <v>7</v>
      </c>
      <c r="K1150" s="63">
        <v>21457</v>
      </c>
      <c r="L1150" s="28">
        <f>DATEDIF(K1150,Zwift25!G$1,"Y")</f>
        <v>66</v>
      </c>
      <c r="M1150" s="67">
        <f>IF(J1150="m",VLOOKUP(L1150,'All Solo Adjustments'!A:D,4,FALSE),VLOOKUP(L1150,'All Solo Adjustments'!A:J,10,FALSE))</f>
        <v>4.9421296296296297E-3</v>
      </c>
      <c r="N1150" s="63"/>
      <c r="O1150" s="63"/>
      <c r="P1150" s="63"/>
      <c r="Q1150" s="63"/>
      <c r="R1150" t="s">
        <v>154</v>
      </c>
      <c r="S1150" t="s">
        <v>153</v>
      </c>
      <c r="T1150" t="s">
        <v>292</v>
      </c>
      <c r="U1150" t="s">
        <v>7089</v>
      </c>
      <c r="V1150" t="s">
        <v>7088</v>
      </c>
      <c r="W1150" t="s">
        <v>591</v>
      </c>
      <c r="X1150" t="s">
        <v>1059</v>
      </c>
      <c r="Y1150" t="s">
        <v>7087</v>
      </c>
      <c r="Z1150" t="str">
        <f>"01793 764723"</f>
        <v>01793 764723</v>
      </c>
      <c r="AA1150" t="str">
        <f>"07971770600"</f>
        <v>07971770600</v>
      </c>
      <c r="AB1150" t="s">
        <v>6925</v>
      </c>
      <c r="AC1150" t="s">
        <v>7086</v>
      </c>
      <c r="AD1150" t="s">
        <v>114</v>
      </c>
      <c r="AE1150" s="63">
        <v>45293</v>
      </c>
      <c r="AF1150" t="s">
        <v>113</v>
      </c>
      <c r="AG1150" t="s">
        <v>112</v>
      </c>
      <c r="AH1150" t="s">
        <v>112</v>
      </c>
      <c r="AI1150" s="63">
        <v>36067</v>
      </c>
      <c r="AJ1150" s="63">
        <v>45657</v>
      </c>
      <c r="AK1150" t="s">
        <v>111</v>
      </c>
      <c r="AL1150" t="s">
        <v>111</v>
      </c>
      <c r="AM1150" t="s">
        <v>111</v>
      </c>
      <c r="AN1150">
        <v>4597</v>
      </c>
      <c r="AO1150" t="s">
        <v>110</v>
      </c>
      <c r="AP1150" t="s">
        <v>109</v>
      </c>
    </row>
    <row r="1151" spans="1:42" x14ac:dyDescent="0.25">
      <c r="A1151" s="28" t="str">
        <f>"15013"</f>
        <v>15013</v>
      </c>
      <c r="B1151">
        <v>15013</v>
      </c>
      <c r="C1151" t="s">
        <v>2488</v>
      </c>
      <c r="D1151" t="s">
        <v>132</v>
      </c>
      <c r="E1151" t="s">
        <v>584</v>
      </c>
      <c r="F1151" t="s">
        <v>149</v>
      </c>
      <c r="G1151" t="s">
        <v>200</v>
      </c>
      <c r="H1151" t="s">
        <v>329</v>
      </c>
      <c r="I1151" t="s">
        <v>610</v>
      </c>
      <c r="J1151" t="s">
        <v>126</v>
      </c>
      <c r="K1151" s="63">
        <v>25110</v>
      </c>
      <c r="L1151" s="28">
        <f>DATEDIF(K1151,Zwift25!G$1,"Y")</f>
        <v>56</v>
      </c>
      <c r="M1151" s="67">
        <f>IF(J1151="m",VLOOKUP(L1151,'All Solo Adjustments'!A:D,4,FALSE),VLOOKUP(L1151,'All Solo Adjustments'!A:J,10,FALSE))</f>
        <v>5.8564814814814807E-3</v>
      </c>
      <c r="N1151" s="63"/>
      <c r="O1151" s="63"/>
      <c r="P1151" s="63"/>
      <c r="Q1151" s="63"/>
      <c r="R1151" t="s">
        <v>198</v>
      </c>
      <c r="S1151" t="s">
        <v>197</v>
      </c>
      <c r="T1151" t="s">
        <v>292</v>
      </c>
      <c r="U1151" t="s">
        <v>609</v>
      </c>
      <c r="W1151" t="s">
        <v>608</v>
      </c>
      <c r="X1151" t="s">
        <v>495</v>
      </c>
      <c r="Y1151" t="s">
        <v>7084</v>
      </c>
      <c r="Z1151" t="str">
        <f>"07532309839"</f>
        <v>07532309839</v>
      </c>
      <c r="AA1151" t="str">
        <f>""</f>
        <v/>
      </c>
      <c r="AB1151" t="s">
        <v>3337</v>
      </c>
      <c r="AC1151" t="s">
        <v>7085</v>
      </c>
      <c r="AD1151" t="s">
        <v>114</v>
      </c>
      <c r="AE1151" s="63">
        <v>45300</v>
      </c>
      <c r="AF1151" t="s">
        <v>156</v>
      </c>
      <c r="AG1151" t="s">
        <v>112</v>
      </c>
      <c r="AH1151" t="s">
        <v>112</v>
      </c>
      <c r="AI1151" s="63">
        <v>44310</v>
      </c>
      <c r="AJ1151" s="63">
        <v>45657</v>
      </c>
      <c r="AK1151" t="s">
        <v>112</v>
      </c>
      <c r="AL1151" t="s">
        <v>111</v>
      </c>
      <c r="AM1151" t="s">
        <v>111</v>
      </c>
      <c r="AN1151">
        <v>27839</v>
      </c>
      <c r="AO1151" t="s">
        <v>122</v>
      </c>
      <c r="AP1151" t="s">
        <v>122</v>
      </c>
    </row>
    <row r="1152" spans="1:42" x14ac:dyDescent="0.25">
      <c r="A1152" s="28" t="str">
        <f>"15014"</f>
        <v>15014</v>
      </c>
      <c r="B1152">
        <v>15014</v>
      </c>
      <c r="C1152" t="s">
        <v>2488</v>
      </c>
      <c r="D1152" t="s">
        <v>130</v>
      </c>
      <c r="E1152" t="s">
        <v>584</v>
      </c>
      <c r="F1152" t="s">
        <v>120</v>
      </c>
      <c r="G1152" t="s">
        <v>185</v>
      </c>
      <c r="I1152" t="s">
        <v>610</v>
      </c>
      <c r="J1152" t="s">
        <v>7</v>
      </c>
      <c r="K1152" s="63">
        <v>24562</v>
      </c>
      <c r="L1152" s="28">
        <f>DATEDIF(K1152,Zwift25!G$1,"Y")</f>
        <v>57</v>
      </c>
      <c r="M1152" s="67">
        <f>IF(J1152="m",VLOOKUP(L1152,'All Solo Adjustments'!A:D,4,FALSE),VLOOKUP(L1152,'All Solo Adjustments'!A:J,10,FALSE))</f>
        <v>2.488425925925926E-3</v>
      </c>
      <c r="N1152" s="63"/>
      <c r="O1152" s="63"/>
      <c r="P1152" s="63"/>
      <c r="Q1152" s="63"/>
      <c r="R1152" t="s">
        <v>198</v>
      </c>
      <c r="S1152" t="s">
        <v>197</v>
      </c>
      <c r="T1152" t="s">
        <v>292</v>
      </c>
      <c r="U1152" t="s">
        <v>609</v>
      </c>
      <c r="W1152" t="s">
        <v>608</v>
      </c>
      <c r="X1152" t="s">
        <v>495</v>
      </c>
      <c r="Y1152" t="s">
        <v>7084</v>
      </c>
      <c r="Z1152" t="str">
        <f>"07532309839"</f>
        <v>07532309839</v>
      </c>
      <c r="AA1152" t="str">
        <f>""</f>
        <v/>
      </c>
      <c r="AB1152" t="s">
        <v>3337</v>
      </c>
      <c r="AC1152" t="s">
        <v>7083</v>
      </c>
      <c r="AD1152" t="s">
        <v>114</v>
      </c>
      <c r="AE1152" s="63">
        <v>45287</v>
      </c>
      <c r="AG1152" t="s">
        <v>112</v>
      </c>
      <c r="AH1152" t="s">
        <v>112</v>
      </c>
      <c r="AI1152" s="63">
        <v>44310</v>
      </c>
      <c r="AJ1152" s="63">
        <v>45657</v>
      </c>
      <c r="AK1152" t="s">
        <v>112</v>
      </c>
      <c r="AL1152" t="s">
        <v>111</v>
      </c>
      <c r="AM1152" t="s">
        <v>111</v>
      </c>
      <c r="AN1152">
        <v>31066</v>
      </c>
      <c r="AO1152" t="s">
        <v>110</v>
      </c>
      <c r="AP1152" t="s">
        <v>109</v>
      </c>
    </row>
    <row r="1153" spans="1:42" x14ac:dyDescent="0.25">
      <c r="A1153" s="28" t="str">
        <f>"15122"</f>
        <v>15122</v>
      </c>
      <c r="B1153">
        <v>15122</v>
      </c>
      <c r="C1153" t="s">
        <v>2488</v>
      </c>
      <c r="D1153" t="s">
        <v>121</v>
      </c>
      <c r="F1153" t="s">
        <v>120</v>
      </c>
      <c r="G1153" t="s">
        <v>1753</v>
      </c>
      <c r="I1153" t="s">
        <v>610</v>
      </c>
      <c r="J1153" t="s">
        <v>7</v>
      </c>
      <c r="K1153" s="63">
        <v>25434</v>
      </c>
      <c r="L1153" s="28">
        <f>DATEDIF(K1153,Zwift25!G$1,"Y")</f>
        <v>55</v>
      </c>
      <c r="M1153" s="67">
        <f>IF(J1153="m",VLOOKUP(L1153,'All Solo Adjustments'!A:D,4,FALSE),VLOOKUP(L1153,'All Solo Adjustments'!A:J,10,FALSE))</f>
        <v>2.0601851851851853E-3</v>
      </c>
      <c r="N1153" s="63"/>
      <c r="O1153" s="63"/>
      <c r="P1153" s="63"/>
      <c r="Q1153" s="63"/>
      <c r="R1153" t="s">
        <v>125</v>
      </c>
      <c r="S1153" t="s">
        <v>170</v>
      </c>
      <c r="T1153" t="s">
        <v>292</v>
      </c>
      <c r="U1153" t="s">
        <v>7082</v>
      </c>
      <c r="V1153" t="s">
        <v>1830</v>
      </c>
      <c r="W1153" t="s">
        <v>167</v>
      </c>
      <c r="X1153" t="s">
        <v>167</v>
      </c>
      <c r="Y1153" t="s">
        <v>7081</v>
      </c>
      <c r="Z1153" t="str">
        <f>"07432679406"</f>
        <v>07432679406</v>
      </c>
      <c r="AA1153" t="str">
        <f>""</f>
        <v/>
      </c>
      <c r="AB1153" t="s">
        <v>1482</v>
      </c>
      <c r="AC1153" t="s">
        <v>7080</v>
      </c>
      <c r="AD1153" t="s">
        <v>114</v>
      </c>
      <c r="AE1153" s="63">
        <v>45296</v>
      </c>
      <c r="AF1153" t="s">
        <v>156</v>
      </c>
      <c r="AG1153" t="s">
        <v>112</v>
      </c>
      <c r="AH1153" t="s">
        <v>112</v>
      </c>
      <c r="AI1153" s="63">
        <v>44369</v>
      </c>
      <c r="AJ1153" s="63">
        <v>45657</v>
      </c>
      <c r="AK1153" t="s">
        <v>112</v>
      </c>
      <c r="AL1153" t="s">
        <v>111</v>
      </c>
      <c r="AM1153" t="s">
        <v>111</v>
      </c>
      <c r="AN1153">
        <v>8681</v>
      </c>
      <c r="AO1153" t="s">
        <v>110</v>
      </c>
      <c r="AP1153" t="s">
        <v>109</v>
      </c>
    </row>
    <row r="1154" spans="1:42" x14ac:dyDescent="0.25">
      <c r="A1154" s="28" t="str">
        <f>"4792"</f>
        <v>4792</v>
      </c>
      <c r="B1154">
        <v>4792</v>
      </c>
      <c r="C1154" t="s">
        <v>2488</v>
      </c>
      <c r="D1154" t="s">
        <v>121</v>
      </c>
      <c r="F1154" t="s">
        <v>120</v>
      </c>
      <c r="G1154" t="s">
        <v>1336</v>
      </c>
      <c r="I1154" t="s">
        <v>7079</v>
      </c>
      <c r="J1154" t="s">
        <v>7</v>
      </c>
      <c r="K1154" s="63">
        <v>25450</v>
      </c>
      <c r="L1154" s="28">
        <f>DATEDIF(K1154,Zwift25!G$1,"Y")</f>
        <v>55</v>
      </c>
      <c r="M1154" s="67">
        <f>IF(J1154="m",VLOOKUP(L1154,'All Solo Adjustments'!A:D,4,FALSE),VLOOKUP(L1154,'All Solo Adjustments'!A:J,10,FALSE))</f>
        <v>2.0601851851851853E-3</v>
      </c>
      <c r="N1154" s="63"/>
      <c r="O1154" s="63"/>
      <c r="P1154" s="63"/>
      <c r="Q1154" s="63"/>
      <c r="R1154" t="s">
        <v>125</v>
      </c>
      <c r="S1154" t="s">
        <v>170</v>
      </c>
      <c r="T1154" t="s">
        <v>292</v>
      </c>
      <c r="U1154" t="s">
        <v>7078</v>
      </c>
      <c r="V1154" t="s">
        <v>597</v>
      </c>
      <c r="W1154" t="s">
        <v>652</v>
      </c>
      <c r="X1154" t="s">
        <v>123</v>
      </c>
      <c r="Y1154" t="s">
        <v>7077</v>
      </c>
      <c r="Z1154" t="str">
        <f>"07508 427658"</f>
        <v>07508 427658</v>
      </c>
      <c r="AA1154" t="str">
        <f>""</f>
        <v/>
      </c>
      <c r="AB1154" t="s">
        <v>3476</v>
      </c>
      <c r="AC1154" t="s">
        <v>7076</v>
      </c>
      <c r="AD1154" t="s">
        <v>114</v>
      </c>
      <c r="AE1154" s="63">
        <v>45309</v>
      </c>
      <c r="AF1154" t="s">
        <v>113</v>
      </c>
      <c r="AG1154" t="s">
        <v>112</v>
      </c>
      <c r="AH1154" t="s">
        <v>112</v>
      </c>
      <c r="AI1154" s="63">
        <v>41431</v>
      </c>
      <c r="AJ1154" s="63">
        <v>45657</v>
      </c>
      <c r="AK1154" t="s">
        <v>111</v>
      </c>
      <c r="AL1154" t="s">
        <v>112</v>
      </c>
      <c r="AM1154" t="s">
        <v>111</v>
      </c>
      <c r="AN1154">
        <v>4570</v>
      </c>
      <c r="AO1154" t="s">
        <v>110</v>
      </c>
      <c r="AP1154" t="s">
        <v>109</v>
      </c>
    </row>
    <row r="1155" spans="1:42" x14ac:dyDescent="0.25">
      <c r="A1155" s="28" t="str">
        <f>"1330"</f>
        <v>1330</v>
      </c>
      <c r="B1155">
        <v>1330</v>
      </c>
      <c r="C1155" t="s">
        <v>2488</v>
      </c>
      <c r="D1155" t="s">
        <v>121</v>
      </c>
      <c r="F1155" t="s">
        <v>120</v>
      </c>
      <c r="G1155" t="s">
        <v>1631</v>
      </c>
      <c r="I1155" t="s">
        <v>1709</v>
      </c>
      <c r="J1155" t="s">
        <v>7</v>
      </c>
      <c r="K1155" s="63">
        <v>15441</v>
      </c>
      <c r="L1155" s="28">
        <f>DATEDIF(K1155,Zwift25!G$1,"Y")</f>
        <v>82</v>
      </c>
      <c r="M1155" s="67">
        <f>IF(J1155="m",VLOOKUP(L1155,'All Solo Adjustments'!A:D,4,FALSE),VLOOKUP(L1155,'All Solo Adjustments'!A:J,10,FALSE))</f>
        <v>1.2210648148148148E-2</v>
      </c>
      <c r="N1155" s="63"/>
      <c r="O1155" s="63"/>
      <c r="P1155" s="63"/>
      <c r="Q1155" s="63"/>
      <c r="R1155" t="s">
        <v>527</v>
      </c>
      <c r="S1155" t="s">
        <v>612</v>
      </c>
      <c r="T1155" t="s">
        <v>292</v>
      </c>
      <c r="U1155" t="s">
        <v>7075</v>
      </c>
      <c r="V1155" t="s">
        <v>7074</v>
      </c>
      <c r="W1155" t="s">
        <v>854</v>
      </c>
      <c r="Y1155" t="s">
        <v>7073</v>
      </c>
      <c r="Z1155" t="str">
        <f>"01670 353682"</f>
        <v>01670 353682</v>
      </c>
      <c r="AA1155" t="str">
        <f>""</f>
        <v/>
      </c>
      <c r="AB1155" t="s">
        <v>7072</v>
      </c>
      <c r="AC1155" t="s">
        <v>7071</v>
      </c>
      <c r="AD1155" t="s">
        <v>145</v>
      </c>
      <c r="AF1155" t="s">
        <v>156</v>
      </c>
      <c r="AG1155" t="s">
        <v>112</v>
      </c>
      <c r="AH1155" t="s">
        <v>112</v>
      </c>
      <c r="AI1155" s="63">
        <v>39450</v>
      </c>
      <c r="AK1155" t="s">
        <v>111</v>
      </c>
      <c r="AL1155" t="s">
        <v>111</v>
      </c>
      <c r="AM1155" t="s">
        <v>111</v>
      </c>
      <c r="AN1155" t="s">
        <v>105</v>
      </c>
      <c r="AO1155" t="s">
        <v>110</v>
      </c>
      <c r="AP1155" t="s">
        <v>109</v>
      </c>
    </row>
    <row r="1156" spans="1:42" x14ac:dyDescent="0.25">
      <c r="A1156" s="28" t="str">
        <f>"5056"</f>
        <v>5056</v>
      </c>
      <c r="B1156">
        <v>5056</v>
      </c>
      <c r="C1156" t="s">
        <v>2488</v>
      </c>
      <c r="D1156" t="s">
        <v>121</v>
      </c>
      <c r="F1156" t="s">
        <v>120</v>
      </c>
      <c r="G1156" t="s">
        <v>634</v>
      </c>
      <c r="I1156" t="s">
        <v>7070</v>
      </c>
      <c r="J1156" t="s">
        <v>7</v>
      </c>
      <c r="K1156" s="63">
        <v>20969</v>
      </c>
      <c r="L1156" s="28">
        <f>DATEDIF(K1156,Zwift25!G$1,"Y")</f>
        <v>67</v>
      </c>
      <c r="M1156" s="67">
        <f>IF(J1156="m",VLOOKUP(L1156,'All Solo Adjustments'!A:D,4,FALSE),VLOOKUP(L1156,'All Solo Adjustments'!A:J,10,FALSE))</f>
        <v>5.2662037037037035E-3</v>
      </c>
      <c r="N1156" s="63"/>
      <c r="O1156" s="63"/>
      <c r="P1156" s="63"/>
      <c r="Q1156" s="63"/>
      <c r="R1156" t="s">
        <v>143</v>
      </c>
      <c r="S1156" t="s">
        <v>142</v>
      </c>
      <c r="T1156" t="s">
        <v>292</v>
      </c>
      <c r="U1156" t="s">
        <v>7069</v>
      </c>
      <c r="V1156" t="s">
        <v>7068</v>
      </c>
      <c r="W1156" t="s">
        <v>899</v>
      </c>
      <c r="X1156" t="s">
        <v>172</v>
      </c>
      <c r="Y1156" t="s">
        <v>7067</v>
      </c>
      <c r="Z1156" t="str">
        <f>"07880 712307"</f>
        <v>07880 712307</v>
      </c>
      <c r="AA1156" t="str">
        <f>"01903776069"</f>
        <v>01903776069</v>
      </c>
      <c r="AB1156" t="s">
        <v>817</v>
      </c>
      <c r="AC1156" t="s">
        <v>7066</v>
      </c>
      <c r="AD1156" t="s">
        <v>114</v>
      </c>
      <c r="AE1156" s="63">
        <v>45390</v>
      </c>
      <c r="AF1156" t="s">
        <v>156</v>
      </c>
      <c r="AG1156" t="s">
        <v>112</v>
      </c>
      <c r="AH1156" t="s">
        <v>112</v>
      </c>
      <c r="AI1156" s="63">
        <v>41785</v>
      </c>
      <c r="AJ1156" s="63">
        <v>45657</v>
      </c>
      <c r="AK1156" t="s">
        <v>111</v>
      </c>
      <c r="AL1156" t="s">
        <v>111</v>
      </c>
      <c r="AM1156" t="s">
        <v>111</v>
      </c>
      <c r="AN1156">
        <v>4817</v>
      </c>
      <c r="AO1156" t="s">
        <v>110</v>
      </c>
      <c r="AP1156" t="s">
        <v>109</v>
      </c>
    </row>
    <row r="1157" spans="1:42" x14ac:dyDescent="0.25">
      <c r="A1157" s="28" t="str">
        <f>"15942"</f>
        <v>15942</v>
      </c>
      <c r="B1157">
        <v>15942</v>
      </c>
      <c r="C1157" t="s">
        <v>2488</v>
      </c>
      <c r="D1157" t="s">
        <v>121</v>
      </c>
      <c r="E1157" t="s">
        <v>584</v>
      </c>
      <c r="F1157" t="s">
        <v>120</v>
      </c>
      <c r="G1157" t="s">
        <v>481</v>
      </c>
      <c r="I1157" t="s">
        <v>7065</v>
      </c>
      <c r="J1157" t="s">
        <v>7</v>
      </c>
      <c r="K1157" s="63">
        <v>23492</v>
      </c>
      <c r="L1157" s="28">
        <f>DATEDIF(K1157,Zwift25!G$1,"Y")</f>
        <v>60</v>
      </c>
      <c r="M1157" s="67">
        <f>IF(J1157="m",VLOOKUP(L1157,'All Solo Adjustments'!A:D,4,FALSE),VLOOKUP(L1157,'All Solo Adjustments'!A:J,10,FALSE))</f>
        <v>3.2060185185185186E-3</v>
      </c>
      <c r="N1157" s="63"/>
      <c r="O1157" s="63"/>
      <c r="P1157" s="63"/>
      <c r="Q1157" s="63"/>
      <c r="R1157" t="s">
        <v>184</v>
      </c>
      <c r="S1157" t="s">
        <v>183</v>
      </c>
      <c r="T1157" t="s">
        <v>292</v>
      </c>
      <c r="U1157" t="s">
        <v>7064</v>
      </c>
      <c r="W1157" t="s">
        <v>7063</v>
      </c>
      <c r="X1157" t="s">
        <v>141</v>
      </c>
      <c r="Y1157" t="s">
        <v>7062</v>
      </c>
      <c r="Z1157" t="str">
        <f>"07973413043"</f>
        <v>07973413043</v>
      </c>
      <c r="AA1157" t="str">
        <f>""</f>
        <v/>
      </c>
      <c r="AB1157" t="s">
        <v>7061</v>
      </c>
      <c r="AC1157" t="s">
        <v>7060</v>
      </c>
      <c r="AD1157" t="s">
        <v>114</v>
      </c>
      <c r="AE1157" s="63">
        <v>45264</v>
      </c>
      <c r="AF1157" t="s">
        <v>156</v>
      </c>
      <c r="AG1157" t="s">
        <v>112</v>
      </c>
      <c r="AH1157" t="s">
        <v>112</v>
      </c>
      <c r="AI1157" s="63">
        <v>45264</v>
      </c>
      <c r="AJ1157" s="63">
        <v>45657</v>
      </c>
      <c r="AK1157" t="s">
        <v>112</v>
      </c>
      <c r="AL1157" t="s">
        <v>111</v>
      </c>
      <c r="AM1157" t="s">
        <v>111</v>
      </c>
      <c r="AN1157">
        <v>49324</v>
      </c>
      <c r="AO1157" t="s">
        <v>110</v>
      </c>
      <c r="AP1157" t="s">
        <v>109</v>
      </c>
    </row>
    <row r="1158" spans="1:42" x14ac:dyDescent="0.25">
      <c r="A1158" s="28" t="str">
        <f>"14112"</f>
        <v>14112</v>
      </c>
      <c r="B1158">
        <v>14112</v>
      </c>
      <c r="C1158" t="s">
        <v>2488</v>
      </c>
      <c r="D1158" t="s">
        <v>132</v>
      </c>
      <c r="E1158" t="s">
        <v>6041</v>
      </c>
      <c r="F1158" t="s">
        <v>139</v>
      </c>
      <c r="G1158" t="s">
        <v>1739</v>
      </c>
      <c r="I1158" t="s">
        <v>7057</v>
      </c>
      <c r="J1158" t="s">
        <v>126</v>
      </c>
      <c r="K1158" s="63">
        <v>24833</v>
      </c>
      <c r="L1158" s="28">
        <f>DATEDIF(K1158,Zwift25!G$1,"Y")</f>
        <v>56</v>
      </c>
      <c r="M1158" s="67">
        <f>IF(J1158="m",VLOOKUP(L1158,'All Solo Adjustments'!A:D,4,FALSE),VLOOKUP(L1158,'All Solo Adjustments'!A:J,10,FALSE))</f>
        <v>5.8564814814814807E-3</v>
      </c>
      <c r="N1158" s="63"/>
      <c r="O1158" s="63"/>
      <c r="P1158" s="63"/>
      <c r="Q1158" s="63"/>
      <c r="R1158" t="s">
        <v>296</v>
      </c>
      <c r="S1158" t="s">
        <v>701</v>
      </c>
      <c r="T1158" t="s">
        <v>292</v>
      </c>
      <c r="U1158" t="s">
        <v>7056</v>
      </c>
      <c r="V1158" t="s">
        <v>6049</v>
      </c>
      <c r="W1158" t="s">
        <v>1647</v>
      </c>
      <c r="Y1158" t="s">
        <v>7055</v>
      </c>
      <c r="Z1158" t="str">
        <f>"07740586157"</f>
        <v>07740586157</v>
      </c>
      <c r="AA1158" t="str">
        <f>""</f>
        <v/>
      </c>
      <c r="AB1158" t="s">
        <v>7059</v>
      </c>
      <c r="AC1158" t="s">
        <v>7058</v>
      </c>
      <c r="AD1158" t="s">
        <v>114</v>
      </c>
      <c r="AE1158" s="63">
        <v>45264</v>
      </c>
      <c r="AF1158" t="s">
        <v>113</v>
      </c>
      <c r="AG1158" t="s">
        <v>112</v>
      </c>
      <c r="AH1158" t="s">
        <v>112</v>
      </c>
      <c r="AI1158" s="63">
        <v>43542</v>
      </c>
      <c r="AJ1158" s="63">
        <v>45657</v>
      </c>
      <c r="AK1158" t="s">
        <v>112</v>
      </c>
      <c r="AL1158" t="s">
        <v>111</v>
      </c>
      <c r="AM1158" t="s">
        <v>111</v>
      </c>
      <c r="AN1158">
        <v>25845</v>
      </c>
      <c r="AO1158" t="s">
        <v>122</v>
      </c>
      <c r="AP1158" t="s">
        <v>122</v>
      </c>
    </row>
    <row r="1159" spans="1:42" x14ac:dyDescent="0.25">
      <c r="A1159" s="28" t="str">
        <f>"14113"</f>
        <v>14113</v>
      </c>
      <c r="B1159">
        <v>14113</v>
      </c>
      <c r="C1159" t="s">
        <v>2488</v>
      </c>
      <c r="D1159" t="s">
        <v>130</v>
      </c>
      <c r="E1159" t="s">
        <v>6041</v>
      </c>
      <c r="F1159" t="s">
        <v>120</v>
      </c>
      <c r="G1159" t="s">
        <v>284</v>
      </c>
      <c r="I1159" t="s">
        <v>7057</v>
      </c>
      <c r="J1159" t="s">
        <v>7</v>
      </c>
      <c r="K1159" s="63">
        <v>22246</v>
      </c>
      <c r="L1159" s="28">
        <f>DATEDIF(K1159,Zwift25!G$1,"Y")</f>
        <v>63</v>
      </c>
      <c r="M1159" s="67">
        <f>IF(J1159="m",VLOOKUP(L1159,'All Solo Adjustments'!A:D,4,FALSE),VLOOKUP(L1159,'All Solo Adjustments'!A:J,10,FALSE))</f>
        <v>4.0277777777777777E-3</v>
      </c>
      <c r="N1159" s="63"/>
      <c r="O1159" s="63"/>
      <c r="P1159" s="63"/>
      <c r="Q1159" s="63"/>
      <c r="R1159" t="s">
        <v>296</v>
      </c>
      <c r="S1159" t="s">
        <v>701</v>
      </c>
      <c r="T1159" t="s">
        <v>292</v>
      </c>
      <c r="U1159" t="s">
        <v>7056</v>
      </c>
      <c r="V1159" t="s">
        <v>6049</v>
      </c>
      <c r="W1159" t="s">
        <v>1647</v>
      </c>
      <c r="Y1159" t="s">
        <v>7055</v>
      </c>
      <c r="Z1159" t="str">
        <f>"07740586157"</f>
        <v>07740586157</v>
      </c>
      <c r="AA1159" t="str">
        <f>""</f>
        <v/>
      </c>
      <c r="AB1159" t="s">
        <v>7054</v>
      </c>
      <c r="AC1159" t="s">
        <v>7053</v>
      </c>
      <c r="AD1159" t="s">
        <v>114</v>
      </c>
      <c r="AE1159" s="63">
        <v>45264</v>
      </c>
      <c r="AG1159" t="s">
        <v>112</v>
      </c>
      <c r="AH1159" t="s">
        <v>112</v>
      </c>
      <c r="AI1159" s="63">
        <v>43542</v>
      </c>
      <c r="AJ1159" s="63">
        <v>45657</v>
      </c>
      <c r="AK1159" t="s">
        <v>112</v>
      </c>
      <c r="AL1159" t="s">
        <v>111</v>
      </c>
      <c r="AM1159" t="s">
        <v>111</v>
      </c>
      <c r="AN1159">
        <v>25846</v>
      </c>
      <c r="AO1159" t="s">
        <v>110</v>
      </c>
      <c r="AP1159" t="s">
        <v>109</v>
      </c>
    </row>
    <row r="1160" spans="1:42" x14ac:dyDescent="0.25">
      <c r="A1160" s="28" t="str">
        <f>"4719"</f>
        <v>4719</v>
      </c>
      <c r="B1160">
        <v>4719</v>
      </c>
      <c r="C1160" t="s">
        <v>2488</v>
      </c>
      <c r="D1160" t="s">
        <v>121</v>
      </c>
      <c r="F1160" t="s">
        <v>120</v>
      </c>
      <c r="G1160" t="s">
        <v>234</v>
      </c>
      <c r="I1160" t="s">
        <v>7049</v>
      </c>
      <c r="J1160" t="s">
        <v>7</v>
      </c>
      <c r="K1160" s="63">
        <v>23413</v>
      </c>
      <c r="L1160" s="28">
        <f>DATEDIF(K1160,Zwift25!G$1,"Y")</f>
        <v>60</v>
      </c>
      <c r="M1160" s="67">
        <f>IF(J1160="m",VLOOKUP(L1160,'All Solo Adjustments'!A:D,4,FALSE),VLOOKUP(L1160,'All Solo Adjustments'!A:J,10,FALSE))</f>
        <v>3.2060185185185186E-3</v>
      </c>
      <c r="N1160" s="63"/>
      <c r="O1160" s="63"/>
      <c r="P1160" s="63"/>
      <c r="Q1160" s="63"/>
      <c r="R1160" t="s">
        <v>159</v>
      </c>
      <c r="S1160" t="s">
        <v>162</v>
      </c>
      <c r="T1160" t="s">
        <v>292</v>
      </c>
      <c r="U1160" t="s">
        <v>7052</v>
      </c>
      <c r="V1160" t="s">
        <v>2190</v>
      </c>
      <c r="W1160" t="s">
        <v>159</v>
      </c>
      <c r="Y1160" t="s">
        <v>7051</v>
      </c>
      <c r="Z1160" t="str">
        <f>"01322525133"</f>
        <v>01322525133</v>
      </c>
      <c r="AA1160" t="str">
        <f>""</f>
        <v/>
      </c>
      <c r="AB1160" t="s">
        <v>2189</v>
      </c>
      <c r="AC1160" t="s">
        <v>7050</v>
      </c>
      <c r="AD1160" t="s">
        <v>114</v>
      </c>
      <c r="AE1160" s="63">
        <v>45328</v>
      </c>
      <c r="AF1160" t="s">
        <v>113</v>
      </c>
      <c r="AG1160" t="s">
        <v>112</v>
      </c>
      <c r="AH1160" t="s">
        <v>112</v>
      </c>
      <c r="AI1160" s="63">
        <v>43531</v>
      </c>
      <c r="AJ1160" s="63">
        <v>45657</v>
      </c>
      <c r="AK1160" t="s">
        <v>111</v>
      </c>
      <c r="AL1160" t="s">
        <v>111</v>
      </c>
      <c r="AM1160" t="s">
        <v>111</v>
      </c>
      <c r="AN1160" t="s">
        <v>105</v>
      </c>
      <c r="AO1160" t="s">
        <v>110</v>
      </c>
      <c r="AP1160" t="s">
        <v>109</v>
      </c>
    </row>
    <row r="1161" spans="1:42" x14ac:dyDescent="0.25">
      <c r="A1161" s="28" t="str">
        <f>"15488"</f>
        <v>15488</v>
      </c>
      <c r="B1161">
        <v>15488</v>
      </c>
      <c r="C1161" t="s">
        <v>2488</v>
      </c>
      <c r="D1161" t="s">
        <v>121</v>
      </c>
      <c r="F1161" t="s">
        <v>120</v>
      </c>
      <c r="G1161" t="s">
        <v>1342</v>
      </c>
      <c r="I1161" t="s">
        <v>7049</v>
      </c>
      <c r="J1161" t="s">
        <v>7</v>
      </c>
      <c r="K1161" s="63">
        <v>29893</v>
      </c>
      <c r="L1161" s="28">
        <f>DATEDIF(K1161,Zwift25!G$1,"Y")</f>
        <v>42</v>
      </c>
      <c r="M1161" s="67">
        <f>IF(J1161="m",VLOOKUP(L1161,'All Solo Adjustments'!A:D,4,FALSE),VLOOKUP(L1161,'All Solo Adjustments'!A:J,10,FALSE))</f>
        <v>1.5046296296296295E-4</v>
      </c>
      <c r="N1161" s="63"/>
      <c r="O1161" s="63"/>
      <c r="P1161" s="63"/>
      <c r="Q1161" s="63"/>
      <c r="R1161" t="s">
        <v>184</v>
      </c>
      <c r="S1161" t="s">
        <v>183</v>
      </c>
      <c r="T1161" t="s">
        <v>292</v>
      </c>
      <c r="U1161" t="s">
        <v>7048</v>
      </c>
      <c r="V1161" t="s">
        <v>7047</v>
      </c>
      <c r="W1161" t="s">
        <v>7046</v>
      </c>
      <c r="Y1161" t="s">
        <v>7045</v>
      </c>
      <c r="Z1161" t="str">
        <f>"07769694999"</f>
        <v>07769694999</v>
      </c>
      <c r="AA1161" t="str">
        <f>""</f>
        <v/>
      </c>
      <c r="AB1161" t="s">
        <v>7044</v>
      </c>
      <c r="AC1161" t="s">
        <v>7043</v>
      </c>
      <c r="AD1161" t="s">
        <v>114</v>
      </c>
      <c r="AE1161" s="63">
        <v>45264</v>
      </c>
      <c r="AF1161" t="s">
        <v>156</v>
      </c>
      <c r="AG1161" t="s">
        <v>112</v>
      </c>
      <c r="AH1161" t="s">
        <v>112</v>
      </c>
      <c r="AI1161" s="63">
        <v>44691</v>
      </c>
      <c r="AJ1161" s="63">
        <v>45657</v>
      </c>
      <c r="AK1161" t="s">
        <v>112</v>
      </c>
      <c r="AL1161" t="s">
        <v>111</v>
      </c>
      <c r="AM1161" t="s">
        <v>111</v>
      </c>
      <c r="AN1161">
        <v>1901</v>
      </c>
      <c r="AO1161" t="s">
        <v>110</v>
      </c>
      <c r="AP1161" t="s">
        <v>109</v>
      </c>
    </row>
    <row r="1162" spans="1:42" x14ac:dyDescent="0.25">
      <c r="A1162" s="28" t="str">
        <f>"16178"</f>
        <v>16178</v>
      </c>
      <c r="B1162">
        <v>16178</v>
      </c>
      <c r="C1162" t="s">
        <v>2488</v>
      </c>
      <c r="D1162" t="s">
        <v>121</v>
      </c>
      <c r="F1162" t="s">
        <v>120</v>
      </c>
      <c r="G1162" t="s">
        <v>251</v>
      </c>
      <c r="H1162" t="s">
        <v>185</v>
      </c>
      <c r="I1162" t="s">
        <v>7042</v>
      </c>
      <c r="J1162" t="s">
        <v>7</v>
      </c>
      <c r="K1162" s="63">
        <v>29032</v>
      </c>
      <c r="L1162" s="28">
        <f>DATEDIF(K1162,Zwift25!G$1,"Y")</f>
        <v>45</v>
      </c>
      <c r="M1162" s="67">
        <f>IF(J1162="m",VLOOKUP(L1162,'All Solo Adjustments'!A:D,4,FALSE),VLOOKUP(L1162,'All Solo Adjustments'!A:J,10,FALSE))</f>
        <v>4.5138888888888892E-4</v>
      </c>
      <c r="N1162" s="63"/>
      <c r="O1162" s="63"/>
      <c r="P1162" s="63"/>
      <c r="Q1162" s="63"/>
      <c r="R1162" t="s">
        <v>283</v>
      </c>
      <c r="S1162" t="s">
        <v>530</v>
      </c>
      <c r="T1162" t="s">
        <v>292</v>
      </c>
      <c r="U1162" t="s">
        <v>7041</v>
      </c>
      <c r="V1162" t="s">
        <v>7040</v>
      </c>
      <c r="W1162" t="s">
        <v>7039</v>
      </c>
      <c r="Y1162" t="s">
        <v>7038</v>
      </c>
      <c r="Z1162" t="str">
        <f>"07747630494"</f>
        <v>07747630494</v>
      </c>
      <c r="AA1162" t="str">
        <f>""</f>
        <v/>
      </c>
      <c r="AB1162" t="s">
        <v>1608</v>
      </c>
      <c r="AC1162" t="s">
        <v>7037</v>
      </c>
      <c r="AD1162" t="s">
        <v>114</v>
      </c>
      <c r="AE1162" s="63">
        <v>45471</v>
      </c>
      <c r="AF1162" t="s">
        <v>156</v>
      </c>
      <c r="AG1162" t="s">
        <v>112</v>
      </c>
      <c r="AH1162" t="s">
        <v>112</v>
      </c>
      <c r="AI1162" s="63">
        <v>45471</v>
      </c>
      <c r="AJ1162" s="63">
        <v>45657</v>
      </c>
      <c r="AK1162" t="s">
        <v>112</v>
      </c>
      <c r="AL1162" t="s">
        <v>111</v>
      </c>
      <c r="AM1162" t="s">
        <v>111</v>
      </c>
      <c r="AN1162">
        <v>38560</v>
      </c>
      <c r="AO1162" t="s">
        <v>110</v>
      </c>
      <c r="AP1162" t="s">
        <v>109</v>
      </c>
    </row>
    <row r="1163" spans="1:42" x14ac:dyDescent="0.25">
      <c r="A1163" s="28" t="str">
        <f>"1466"</f>
        <v>1466</v>
      </c>
      <c r="B1163">
        <v>1466</v>
      </c>
      <c r="C1163" t="s">
        <v>2488</v>
      </c>
      <c r="D1163" t="s">
        <v>121</v>
      </c>
      <c r="F1163" t="s">
        <v>120</v>
      </c>
      <c r="G1163" t="s">
        <v>389</v>
      </c>
      <c r="I1163" t="s">
        <v>602</v>
      </c>
      <c r="J1163" t="s">
        <v>7</v>
      </c>
      <c r="K1163" s="63">
        <v>16987</v>
      </c>
      <c r="L1163" s="28">
        <f>DATEDIF(K1163,Zwift25!G$1,"Y")</f>
        <v>78</v>
      </c>
      <c r="M1163" s="67">
        <f>IF(J1163="m",VLOOKUP(L1163,'All Solo Adjustments'!A:D,4,FALSE),VLOOKUP(L1163,'All Solo Adjustments'!A:J,10,FALSE))</f>
        <v>9.9189814814814817E-3</v>
      </c>
      <c r="N1163" s="63"/>
      <c r="O1163" s="63"/>
      <c r="P1163" s="63"/>
      <c r="Q1163" s="63"/>
      <c r="R1163" t="s">
        <v>198</v>
      </c>
      <c r="S1163" t="s">
        <v>461</v>
      </c>
      <c r="T1163" t="s">
        <v>292</v>
      </c>
      <c r="U1163" t="s">
        <v>7036</v>
      </c>
      <c r="V1163" t="s">
        <v>7035</v>
      </c>
      <c r="W1163" t="s">
        <v>714</v>
      </c>
      <c r="X1163" t="s">
        <v>337</v>
      </c>
      <c r="Y1163" t="s">
        <v>7034</v>
      </c>
      <c r="Z1163" t="str">
        <f>"07717330009"</f>
        <v>07717330009</v>
      </c>
      <c r="AA1163" t="str">
        <f>"07717330009"</f>
        <v>07717330009</v>
      </c>
      <c r="AB1163" t="s">
        <v>7033</v>
      </c>
      <c r="AC1163" t="s">
        <v>7032</v>
      </c>
      <c r="AD1163" t="s">
        <v>114</v>
      </c>
      <c r="AE1163" s="63">
        <v>45258</v>
      </c>
      <c r="AF1163" t="s">
        <v>113</v>
      </c>
      <c r="AG1163" t="s">
        <v>112</v>
      </c>
      <c r="AH1163" t="s">
        <v>112</v>
      </c>
      <c r="AI1163" s="63">
        <v>31777</v>
      </c>
      <c r="AJ1163" s="63">
        <v>45657</v>
      </c>
      <c r="AK1163" t="s">
        <v>111</v>
      </c>
      <c r="AL1163" t="s">
        <v>111</v>
      </c>
      <c r="AM1163" t="s">
        <v>111</v>
      </c>
      <c r="AN1163">
        <v>32823</v>
      </c>
      <c r="AO1163" t="s">
        <v>110</v>
      </c>
      <c r="AP1163" t="s">
        <v>109</v>
      </c>
    </row>
    <row r="1164" spans="1:42" x14ac:dyDescent="0.25">
      <c r="A1164" s="28" t="str">
        <f>"14922"</f>
        <v>14922</v>
      </c>
      <c r="B1164">
        <v>14922</v>
      </c>
      <c r="C1164" t="s">
        <v>2488</v>
      </c>
      <c r="D1164" t="s">
        <v>121</v>
      </c>
      <c r="F1164" t="s">
        <v>120</v>
      </c>
      <c r="G1164" t="s">
        <v>1464</v>
      </c>
      <c r="H1164" t="s">
        <v>1690</v>
      </c>
      <c r="I1164" t="s">
        <v>7031</v>
      </c>
      <c r="J1164" t="s">
        <v>7</v>
      </c>
      <c r="K1164" s="63">
        <v>18347</v>
      </c>
      <c r="L1164" s="28">
        <f>DATEDIF(K1164,Zwift25!G$1,"Y")</f>
        <v>74</v>
      </c>
      <c r="M1164" s="67">
        <f>IF(J1164="m",VLOOKUP(L1164,'All Solo Adjustments'!A:D,4,FALSE),VLOOKUP(L1164,'All Solo Adjustments'!A:J,10,FALSE))</f>
        <v>7.9861111111111122E-3</v>
      </c>
      <c r="N1164" s="63"/>
      <c r="O1164" s="63"/>
      <c r="P1164" s="63"/>
      <c r="Q1164" s="63"/>
      <c r="R1164" t="s">
        <v>283</v>
      </c>
      <c r="S1164" t="s">
        <v>530</v>
      </c>
      <c r="T1164" t="s">
        <v>292</v>
      </c>
      <c r="U1164" t="s">
        <v>7030</v>
      </c>
      <c r="V1164" t="s">
        <v>7029</v>
      </c>
      <c r="W1164" t="s">
        <v>1878</v>
      </c>
      <c r="Y1164" t="s">
        <v>7028</v>
      </c>
      <c r="Z1164" t="str">
        <f>"07723465577"</f>
        <v>07723465577</v>
      </c>
      <c r="AA1164" t="str">
        <f>""</f>
        <v/>
      </c>
      <c r="AB1164" t="s">
        <v>771</v>
      </c>
      <c r="AC1164" t="s">
        <v>7027</v>
      </c>
      <c r="AD1164" t="s">
        <v>114</v>
      </c>
      <c r="AE1164" s="63">
        <v>45227</v>
      </c>
      <c r="AF1164" t="s">
        <v>113</v>
      </c>
      <c r="AG1164" t="s">
        <v>112</v>
      </c>
      <c r="AH1164" t="s">
        <v>112</v>
      </c>
      <c r="AI1164" s="63">
        <v>44272</v>
      </c>
      <c r="AJ1164" s="63">
        <v>45657</v>
      </c>
      <c r="AK1164" t="s">
        <v>112</v>
      </c>
      <c r="AL1164" t="s">
        <v>111</v>
      </c>
      <c r="AM1164" t="s">
        <v>111</v>
      </c>
      <c r="AN1164">
        <v>12085</v>
      </c>
      <c r="AO1164" t="s">
        <v>110</v>
      </c>
      <c r="AP1164" t="s">
        <v>109</v>
      </c>
    </row>
    <row r="1165" spans="1:42" x14ac:dyDescent="0.25">
      <c r="A1165" s="28" t="str">
        <f>"15728"</f>
        <v>15728</v>
      </c>
      <c r="B1165">
        <v>15728</v>
      </c>
      <c r="C1165" t="s">
        <v>2488</v>
      </c>
      <c r="D1165" t="s">
        <v>121</v>
      </c>
      <c r="E1165" t="s">
        <v>584</v>
      </c>
      <c r="F1165" t="s">
        <v>120</v>
      </c>
      <c r="G1165" t="s">
        <v>206</v>
      </c>
      <c r="H1165" t="s">
        <v>1160</v>
      </c>
      <c r="I1165" t="s">
        <v>1703</v>
      </c>
      <c r="J1165" t="s">
        <v>7</v>
      </c>
      <c r="K1165" s="63">
        <v>22018</v>
      </c>
      <c r="L1165" s="28">
        <f>DATEDIF(K1165,Zwift25!G$1,"Y")</f>
        <v>64</v>
      </c>
      <c r="M1165" s="67">
        <f>IF(J1165="m",VLOOKUP(L1165,'All Solo Adjustments'!A:D,4,FALSE),VLOOKUP(L1165,'All Solo Adjustments'!A:J,10,FALSE))</f>
        <v>4.31712962962963E-3</v>
      </c>
      <c r="N1165" s="63"/>
      <c r="O1165" s="63"/>
      <c r="P1165" s="63"/>
      <c r="Q1165" s="63"/>
      <c r="R1165" t="s">
        <v>296</v>
      </c>
      <c r="S1165" t="s">
        <v>295</v>
      </c>
      <c r="T1165" t="s">
        <v>292</v>
      </c>
      <c r="U1165" t="s">
        <v>7026</v>
      </c>
      <c r="V1165" t="s">
        <v>4378</v>
      </c>
      <c r="Y1165" t="s">
        <v>7025</v>
      </c>
      <c r="Z1165" t="str">
        <f>"07740541165"</f>
        <v>07740541165</v>
      </c>
      <c r="AA1165" t="str">
        <f>""</f>
        <v/>
      </c>
      <c r="AB1165" t="s">
        <v>7024</v>
      </c>
      <c r="AC1165" t="s">
        <v>7023</v>
      </c>
      <c r="AD1165" t="s">
        <v>114</v>
      </c>
      <c r="AE1165" s="63">
        <v>45296</v>
      </c>
      <c r="AF1165" t="s">
        <v>156</v>
      </c>
      <c r="AG1165" t="s">
        <v>112</v>
      </c>
      <c r="AH1165" t="s">
        <v>112</v>
      </c>
      <c r="AI1165" s="63">
        <v>44994</v>
      </c>
      <c r="AJ1165" s="63">
        <v>45657</v>
      </c>
      <c r="AK1165" t="s">
        <v>112</v>
      </c>
      <c r="AL1165" t="s">
        <v>111</v>
      </c>
      <c r="AM1165" t="s">
        <v>111</v>
      </c>
      <c r="AN1165">
        <v>26324</v>
      </c>
      <c r="AO1165" t="s">
        <v>110</v>
      </c>
      <c r="AP1165" t="s">
        <v>109</v>
      </c>
    </row>
    <row r="1166" spans="1:42" x14ac:dyDescent="0.25">
      <c r="A1166" s="28" t="str">
        <f>"6202"</f>
        <v>6202</v>
      </c>
      <c r="B1166">
        <v>6202</v>
      </c>
      <c r="C1166" t="s">
        <v>2488</v>
      </c>
      <c r="D1166" t="s">
        <v>121</v>
      </c>
      <c r="F1166" t="s">
        <v>120</v>
      </c>
      <c r="G1166" t="s">
        <v>857</v>
      </c>
      <c r="I1166" t="s">
        <v>1702</v>
      </c>
      <c r="J1166" t="s">
        <v>7</v>
      </c>
      <c r="K1166" s="63">
        <v>23444</v>
      </c>
      <c r="L1166" s="28">
        <f>DATEDIF(K1166,Zwift25!G$1,"Y")</f>
        <v>60</v>
      </c>
      <c r="M1166" s="67">
        <f>IF(J1166="m",VLOOKUP(L1166,'All Solo Adjustments'!A:D,4,FALSE),VLOOKUP(L1166,'All Solo Adjustments'!A:J,10,FALSE))</f>
        <v>3.2060185185185186E-3</v>
      </c>
      <c r="N1166" s="63"/>
      <c r="O1166" s="63"/>
      <c r="P1166" s="63"/>
      <c r="Q1166" s="63"/>
      <c r="R1166" t="s">
        <v>213</v>
      </c>
      <c r="S1166" t="s">
        <v>212</v>
      </c>
      <c r="T1166" t="s">
        <v>292</v>
      </c>
      <c r="U1166" t="s">
        <v>7022</v>
      </c>
      <c r="V1166" t="s">
        <v>7021</v>
      </c>
      <c r="W1166" t="s">
        <v>2204</v>
      </c>
      <c r="Y1166" t="s">
        <v>7020</v>
      </c>
      <c r="Z1166" t="str">
        <f>"07814 834447"</f>
        <v>07814 834447</v>
      </c>
      <c r="AA1166" t="str">
        <f>""</f>
        <v/>
      </c>
      <c r="AB1166" t="s">
        <v>210</v>
      </c>
      <c r="AC1166" t="s">
        <v>7019</v>
      </c>
      <c r="AD1166" t="s">
        <v>114</v>
      </c>
      <c r="AE1166" s="63">
        <v>45347</v>
      </c>
      <c r="AF1166" t="s">
        <v>113</v>
      </c>
      <c r="AG1166" t="s">
        <v>112</v>
      </c>
      <c r="AH1166" t="s">
        <v>112</v>
      </c>
      <c r="AI1166" s="63">
        <v>42770</v>
      </c>
      <c r="AJ1166" s="63">
        <v>45657</v>
      </c>
      <c r="AK1166" t="s">
        <v>111</v>
      </c>
      <c r="AL1166" t="s">
        <v>111</v>
      </c>
      <c r="AM1166" t="s">
        <v>111</v>
      </c>
      <c r="AN1166">
        <v>4797</v>
      </c>
      <c r="AO1166" t="s">
        <v>110</v>
      </c>
      <c r="AP1166" t="s">
        <v>109</v>
      </c>
    </row>
    <row r="1167" spans="1:42" x14ac:dyDescent="0.25">
      <c r="A1167" s="28" t="str">
        <f>"4816"</f>
        <v>4816</v>
      </c>
      <c r="B1167">
        <v>4816</v>
      </c>
      <c r="C1167" t="s">
        <v>2488</v>
      </c>
      <c r="D1167" t="s">
        <v>121</v>
      </c>
      <c r="E1167" t="s">
        <v>584</v>
      </c>
      <c r="F1167" t="s">
        <v>120</v>
      </c>
      <c r="G1167" t="s">
        <v>2047</v>
      </c>
      <c r="H1167" t="s">
        <v>7018</v>
      </c>
      <c r="I1167" t="s">
        <v>7017</v>
      </c>
      <c r="J1167" t="s">
        <v>7</v>
      </c>
      <c r="K1167" s="63">
        <v>23638</v>
      </c>
      <c r="L1167" s="28">
        <f>DATEDIF(K1167,Zwift25!G$1,"Y")</f>
        <v>60</v>
      </c>
      <c r="M1167" s="67">
        <f>IF(J1167="m",VLOOKUP(L1167,'All Solo Adjustments'!A:D,4,FALSE),VLOOKUP(L1167,'All Solo Adjustments'!A:J,10,FALSE))</f>
        <v>3.2060185185185186E-3</v>
      </c>
      <c r="N1167" s="63"/>
      <c r="O1167" s="63"/>
      <c r="P1167" s="63"/>
      <c r="Q1167" s="63"/>
      <c r="R1167" t="s">
        <v>143</v>
      </c>
      <c r="S1167" t="s">
        <v>142</v>
      </c>
      <c r="T1167" t="s">
        <v>292</v>
      </c>
      <c r="U1167" t="s">
        <v>7016</v>
      </c>
      <c r="V1167" t="s">
        <v>7015</v>
      </c>
      <c r="W1167" t="s">
        <v>264</v>
      </c>
      <c r="X1167" t="s">
        <v>141</v>
      </c>
      <c r="Y1167" t="s">
        <v>7014</v>
      </c>
      <c r="Z1167" t="str">
        <f>"07815 422535"</f>
        <v>07815 422535</v>
      </c>
      <c r="AA1167" t="str">
        <f>""</f>
        <v/>
      </c>
      <c r="AB1167" t="s">
        <v>470</v>
      </c>
      <c r="AC1167" t="s">
        <v>7013</v>
      </c>
      <c r="AD1167" t="s">
        <v>114</v>
      </c>
      <c r="AE1167" s="63">
        <v>45292</v>
      </c>
      <c r="AF1167" t="s">
        <v>156</v>
      </c>
      <c r="AG1167" t="s">
        <v>112</v>
      </c>
      <c r="AH1167" t="s">
        <v>112</v>
      </c>
      <c r="AI1167" s="63">
        <v>41471</v>
      </c>
      <c r="AJ1167" s="63">
        <v>45657</v>
      </c>
      <c r="AK1167" t="s">
        <v>111</v>
      </c>
      <c r="AL1167" t="s">
        <v>111</v>
      </c>
      <c r="AM1167" t="s">
        <v>111</v>
      </c>
      <c r="AN1167">
        <v>2461</v>
      </c>
      <c r="AO1167" t="s">
        <v>110</v>
      </c>
      <c r="AP1167" t="s">
        <v>109</v>
      </c>
    </row>
    <row r="1168" spans="1:42" x14ac:dyDescent="0.25">
      <c r="A1168" s="28" t="str">
        <f>"4691"</f>
        <v>4691</v>
      </c>
      <c r="B1168">
        <v>4691</v>
      </c>
      <c r="C1168" t="s">
        <v>2488</v>
      </c>
      <c r="D1168" t="s">
        <v>132</v>
      </c>
      <c r="F1168" t="s">
        <v>120</v>
      </c>
      <c r="G1168" t="s">
        <v>1310</v>
      </c>
      <c r="I1168" t="s">
        <v>7012</v>
      </c>
      <c r="J1168" t="s">
        <v>7</v>
      </c>
      <c r="K1168" s="63">
        <v>14829</v>
      </c>
      <c r="L1168" s="28">
        <f>DATEDIF(K1168,Zwift25!G$1,"Y")</f>
        <v>84</v>
      </c>
      <c r="M1168" s="67">
        <f>IF(J1168="m",VLOOKUP(L1168,'All Solo Adjustments'!A:D,4,FALSE),VLOOKUP(L1168,'All Solo Adjustments'!A:J,10,FALSE))</f>
        <v>1.3530092592592592E-2</v>
      </c>
      <c r="N1168" s="63"/>
      <c r="O1168" s="63"/>
      <c r="P1168" s="63"/>
      <c r="Q1168" s="63"/>
      <c r="R1168" t="s">
        <v>159</v>
      </c>
      <c r="S1168" t="s">
        <v>538</v>
      </c>
      <c r="T1168" t="s">
        <v>292</v>
      </c>
      <c r="U1168" t="s">
        <v>7009</v>
      </c>
      <c r="V1168" t="s">
        <v>4861</v>
      </c>
      <c r="W1168" t="s">
        <v>159</v>
      </c>
      <c r="Y1168" t="s">
        <v>7008</v>
      </c>
      <c r="Z1168" t="str">
        <f>"01474 702862"</f>
        <v>01474 702862</v>
      </c>
      <c r="AA1168" t="str">
        <f>""</f>
        <v/>
      </c>
      <c r="AB1168" t="s">
        <v>7011</v>
      </c>
      <c r="AC1168" t="s">
        <v>7007</v>
      </c>
      <c r="AD1168" t="s">
        <v>114</v>
      </c>
      <c r="AE1168" s="63">
        <v>45293</v>
      </c>
      <c r="AF1168" t="s">
        <v>113</v>
      </c>
      <c r="AG1168" t="s">
        <v>112</v>
      </c>
      <c r="AH1168" t="s">
        <v>112</v>
      </c>
      <c r="AI1168" s="63">
        <v>43520</v>
      </c>
      <c r="AJ1168" s="63">
        <v>45657</v>
      </c>
      <c r="AK1168" t="s">
        <v>111</v>
      </c>
      <c r="AL1168" t="s">
        <v>111</v>
      </c>
      <c r="AM1168" t="s">
        <v>111</v>
      </c>
      <c r="AN1168" t="s">
        <v>105</v>
      </c>
      <c r="AO1168" t="s">
        <v>110</v>
      </c>
      <c r="AP1168" t="s">
        <v>109</v>
      </c>
    </row>
    <row r="1169" spans="1:42" x14ac:dyDescent="0.25">
      <c r="A1169" s="28" t="str">
        <f>"12548"</f>
        <v>12548</v>
      </c>
      <c r="B1169">
        <v>12548</v>
      </c>
      <c r="C1169" t="s">
        <v>2488</v>
      </c>
      <c r="D1169" t="s">
        <v>130</v>
      </c>
      <c r="F1169" t="s">
        <v>149</v>
      </c>
      <c r="G1169" t="s">
        <v>148</v>
      </c>
      <c r="I1169" t="s">
        <v>7010</v>
      </c>
      <c r="J1169" t="s">
        <v>126</v>
      </c>
      <c r="K1169" s="63">
        <v>16166</v>
      </c>
      <c r="L1169" s="28">
        <f>DATEDIF(K1169,Zwift25!G$1,"Y")</f>
        <v>80</v>
      </c>
      <c r="M1169" s="67">
        <f>IF(J1169="m",VLOOKUP(L1169,'All Solo Adjustments'!A:D,4,FALSE),VLOOKUP(L1169,'All Solo Adjustments'!A:J,10,FALSE))</f>
        <v>1.6828703703703703E-2</v>
      </c>
      <c r="N1169" s="63"/>
      <c r="O1169" s="63"/>
      <c r="P1169" s="63"/>
      <c r="Q1169" s="63"/>
      <c r="R1169" t="s">
        <v>159</v>
      </c>
      <c r="S1169" t="s">
        <v>538</v>
      </c>
      <c r="T1169" t="s">
        <v>292</v>
      </c>
      <c r="U1169" t="s">
        <v>7009</v>
      </c>
      <c r="V1169" t="s">
        <v>4861</v>
      </c>
      <c r="W1169" t="s">
        <v>159</v>
      </c>
      <c r="Y1169" t="s">
        <v>7008</v>
      </c>
      <c r="Z1169" t="str">
        <f>"01474 702862"</f>
        <v>01474 702862</v>
      </c>
      <c r="AA1169" t="str">
        <f>""</f>
        <v/>
      </c>
      <c r="AB1169" t="s">
        <v>2353</v>
      </c>
      <c r="AC1169" t="s">
        <v>7007</v>
      </c>
      <c r="AD1169" t="s">
        <v>114</v>
      </c>
      <c r="AE1169" s="63">
        <v>45293</v>
      </c>
      <c r="AF1169" t="s">
        <v>113</v>
      </c>
      <c r="AG1169" t="s">
        <v>112</v>
      </c>
      <c r="AH1169" t="s">
        <v>112</v>
      </c>
      <c r="AI1169" s="63">
        <v>43520</v>
      </c>
      <c r="AJ1169" s="63">
        <v>45657</v>
      </c>
      <c r="AK1169" t="s">
        <v>111</v>
      </c>
      <c r="AL1169" t="s">
        <v>111</v>
      </c>
      <c r="AM1169" t="s">
        <v>111</v>
      </c>
      <c r="AN1169" t="s">
        <v>105</v>
      </c>
      <c r="AO1169" t="s">
        <v>122</v>
      </c>
      <c r="AP1169" t="s">
        <v>122</v>
      </c>
    </row>
    <row r="1170" spans="1:42" x14ac:dyDescent="0.25">
      <c r="A1170" s="28" t="str">
        <f>"6336"</f>
        <v>6336</v>
      </c>
      <c r="B1170">
        <v>6336</v>
      </c>
      <c r="C1170" t="s">
        <v>2488</v>
      </c>
      <c r="D1170" t="s">
        <v>121</v>
      </c>
      <c r="E1170" t="s">
        <v>584</v>
      </c>
      <c r="F1170" t="s">
        <v>144</v>
      </c>
      <c r="G1170" t="s">
        <v>1942</v>
      </c>
      <c r="I1170" t="s">
        <v>2398</v>
      </c>
      <c r="J1170" t="s">
        <v>126</v>
      </c>
      <c r="K1170" s="63">
        <v>28271</v>
      </c>
      <c r="L1170" s="28">
        <f>DATEDIF(K1170,Zwift25!G$1,"Y")</f>
        <v>47</v>
      </c>
      <c r="M1170" s="67">
        <f>IF(J1170="m",VLOOKUP(L1170,'All Solo Adjustments'!A:D,4,FALSE),VLOOKUP(L1170,'All Solo Adjustments'!A:J,10,FALSE))</f>
        <v>4.7337962962962958E-3</v>
      </c>
      <c r="N1170" s="63"/>
      <c r="O1170" s="63"/>
      <c r="P1170" s="63"/>
      <c r="Q1170" s="63"/>
      <c r="R1170" t="s">
        <v>296</v>
      </c>
      <c r="S1170" t="s">
        <v>295</v>
      </c>
      <c r="T1170" t="s">
        <v>292</v>
      </c>
      <c r="U1170" t="s">
        <v>7006</v>
      </c>
      <c r="V1170" t="s">
        <v>7005</v>
      </c>
      <c r="W1170" t="s">
        <v>1645</v>
      </c>
      <c r="Y1170" t="s">
        <v>7004</v>
      </c>
      <c r="Z1170" t="str">
        <f>"07555285079"</f>
        <v>07555285079</v>
      </c>
      <c r="AA1170" t="str">
        <f>""</f>
        <v/>
      </c>
      <c r="AB1170" t="s">
        <v>1158</v>
      </c>
      <c r="AC1170" t="s">
        <v>7003</v>
      </c>
      <c r="AD1170" t="s">
        <v>114</v>
      </c>
      <c r="AE1170" s="63">
        <v>45275</v>
      </c>
      <c r="AF1170" t="s">
        <v>156</v>
      </c>
      <c r="AG1170" t="s">
        <v>112</v>
      </c>
      <c r="AH1170" t="s">
        <v>112</v>
      </c>
      <c r="AI1170" s="63">
        <v>42949</v>
      </c>
      <c r="AJ1170" s="63">
        <v>45657</v>
      </c>
      <c r="AK1170" t="s">
        <v>111</v>
      </c>
      <c r="AL1170" t="s">
        <v>111</v>
      </c>
      <c r="AM1170" t="s">
        <v>111</v>
      </c>
      <c r="AN1170">
        <v>18061</v>
      </c>
      <c r="AO1170" t="s">
        <v>122</v>
      </c>
      <c r="AP1170" t="s">
        <v>122</v>
      </c>
    </row>
    <row r="1171" spans="1:42" x14ac:dyDescent="0.25">
      <c r="A1171" s="28" t="str">
        <f>"5193"</f>
        <v>5193</v>
      </c>
      <c r="B1171">
        <v>5193</v>
      </c>
      <c r="C1171" t="s">
        <v>2488</v>
      </c>
      <c r="D1171" t="s">
        <v>121</v>
      </c>
      <c r="F1171" t="s">
        <v>120</v>
      </c>
      <c r="G1171" t="s">
        <v>300</v>
      </c>
      <c r="I1171" t="s">
        <v>7002</v>
      </c>
      <c r="J1171" t="s">
        <v>7</v>
      </c>
      <c r="K1171" s="63">
        <v>23551</v>
      </c>
      <c r="L1171" s="28">
        <f>DATEDIF(K1171,Zwift25!G$1,"Y")</f>
        <v>60</v>
      </c>
      <c r="M1171" s="67">
        <f>IF(J1171="m",VLOOKUP(L1171,'All Solo Adjustments'!A:D,4,FALSE),VLOOKUP(L1171,'All Solo Adjustments'!A:J,10,FALSE))</f>
        <v>3.2060185185185186E-3</v>
      </c>
      <c r="N1171" s="63"/>
      <c r="O1171" s="63"/>
      <c r="P1171" s="63"/>
      <c r="Q1171" s="63"/>
      <c r="R1171" t="s">
        <v>125</v>
      </c>
      <c r="S1171" t="s">
        <v>170</v>
      </c>
      <c r="T1171" t="s">
        <v>292</v>
      </c>
      <c r="U1171" t="s">
        <v>7001</v>
      </c>
      <c r="V1171" t="s">
        <v>1481</v>
      </c>
      <c r="Y1171" t="s">
        <v>7000</v>
      </c>
      <c r="Z1171" t="str">
        <f>"01582 751924"</f>
        <v>01582 751924</v>
      </c>
      <c r="AA1171" t="str">
        <f>""</f>
        <v/>
      </c>
      <c r="AB1171" t="s">
        <v>232</v>
      </c>
      <c r="AC1171" t="s">
        <v>6999</v>
      </c>
      <c r="AD1171" t="s">
        <v>145</v>
      </c>
      <c r="AE1171" s="63">
        <v>45299</v>
      </c>
      <c r="AF1171" t="s">
        <v>113</v>
      </c>
      <c r="AG1171" t="s">
        <v>112</v>
      </c>
      <c r="AH1171" t="s">
        <v>112</v>
      </c>
      <c r="AI1171" s="63">
        <v>42007</v>
      </c>
      <c r="AJ1171" s="63">
        <v>45657</v>
      </c>
      <c r="AK1171" t="s">
        <v>111</v>
      </c>
      <c r="AL1171" t="s">
        <v>111</v>
      </c>
      <c r="AM1171" t="s">
        <v>111</v>
      </c>
      <c r="AN1171" t="s">
        <v>105</v>
      </c>
      <c r="AO1171" t="s">
        <v>110</v>
      </c>
      <c r="AP1171" t="s">
        <v>109</v>
      </c>
    </row>
    <row r="1172" spans="1:42" x14ac:dyDescent="0.25">
      <c r="A1172" s="28" t="str">
        <f>"1472"</f>
        <v>1472</v>
      </c>
      <c r="B1172">
        <v>1472</v>
      </c>
      <c r="C1172" t="s">
        <v>2488</v>
      </c>
      <c r="D1172" t="s">
        <v>121</v>
      </c>
      <c r="F1172" t="s">
        <v>120</v>
      </c>
      <c r="G1172" t="s">
        <v>2326</v>
      </c>
      <c r="I1172" t="s">
        <v>6993</v>
      </c>
      <c r="J1172" t="s">
        <v>7</v>
      </c>
      <c r="K1172" s="63">
        <v>14516</v>
      </c>
      <c r="L1172" s="28">
        <f>DATEDIF(K1172,Zwift25!G$1,"Y")</f>
        <v>85</v>
      </c>
      <c r="M1172" s="67">
        <f>IF(J1172="m",VLOOKUP(L1172,'All Solo Adjustments'!A:D,4,FALSE),VLOOKUP(L1172,'All Solo Adjustments'!A:J,10,FALSE))</f>
        <v>1.4236111111111111E-2</v>
      </c>
      <c r="N1172" s="63"/>
      <c r="O1172" s="63"/>
      <c r="P1172" s="63"/>
      <c r="Q1172" s="63"/>
      <c r="R1172" t="s">
        <v>159</v>
      </c>
      <c r="S1172" t="s">
        <v>570</v>
      </c>
      <c r="T1172" t="s">
        <v>292</v>
      </c>
      <c r="U1172" t="s">
        <v>6996</v>
      </c>
      <c r="V1172" t="s">
        <v>6995</v>
      </c>
      <c r="W1172" t="s">
        <v>159</v>
      </c>
      <c r="Y1172" t="s">
        <v>6994</v>
      </c>
      <c r="Z1172" t="str">
        <f>"01634 683991"</f>
        <v>01634 683991</v>
      </c>
      <c r="AA1172" t="str">
        <f>""</f>
        <v/>
      </c>
      <c r="AB1172" t="s">
        <v>2607</v>
      </c>
      <c r="AC1172" t="s">
        <v>6998</v>
      </c>
      <c r="AD1172" t="s">
        <v>145</v>
      </c>
      <c r="AF1172" t="s">
        <v>113</v>
      </c>
      <c r="AG1172" t="s">
        <v>112</v>
      </c>
      <c r="AH1172" t="s">
        <v>112</v>
      </c>
      <c r="AI1172" s="63">
        <v>43445</v>
      </c>
      <c r="AK1172" t="s">
        <v>111</v>
      </c>
      <c r="AL1172" t="s">
        <v>111</v>
      </c>
      <c r="AM1172" t="s">
        <v>111</v>
      </c>
      <c r="AN1172" t="s">
        <v>105</v>
      </c>
      <c r="AO1172" t="s">
        <v>110</v>
      </c>
      <c r="AP1172" t="s">
        <v>109</v>
      </c>
    </row>
    <row r="1173" spans="1:42" x14ac:dyDescent="0.25">
      <c r="A1173" s="28" t="str">
        <f>"12550"</f>
        <v>12550</v>
      </c>
      <c r="B1173">
        <v>12550</v>
      </c>
      <c r="C1173" t="s">
        <v>2488</v>
      </c>
      <c r="D1173" t="s">
        <v>121</v>
      </c>
      <c r="F1173" t="s">
        <v>149</v>
      </c>
      <c r="G1173" t="s">
        <v>6997</v>
      </c>
      <c r="I1173" t="s">
        <v>6993</v>
      </c>
      <c r="J1173" t="s">
        <v>126</v>
      </c>
      <c r="K1173" s="63">
        <v>1</v>
      </c>
      <c r="L1173" s="28">
        <f>DATEDIF(K1173,Zwift25!G$1,"Y")</f>
        <v>124</v>
      </c>
      <c r="M1173" s="67" t="e">
        <f>IF(J1173="m",VLOOKUP(L1173,'All Solo Adjustments'!A:D,4,FALSE),VLOOKUP(L1173,'All Solo Adjustments'!A:J,10,FALSE))</f>
        <v>#N/A</v>
      </c>
      <c r="N1173" s="63"/>
      <c r="O1173" s="63"/>
      <c r="P1173" s="63"/>
      <c r="Q1173" s="63"/>
      <c r="R1173" t="s">
        <v>159</v>
      </c>
      <c r="S1173" t="s">
        <v>980</v>
      </c>
      <c r="T1173" t="s">
        <v>292</v>
      </c>
      <c r="U1173" t="s">
        <v>6996</v>
      </c>
      <c r="V1173" t="s">
        <v>6995</v>
      </c>
      <c r="W1173" t="s">
        <v>159</v>
      </c>
      <c r="Y1173" t="s">
        <v>6994</v>
      </c>
      <c r="Z1173" t="str">
        <f>"01634 683991"</f>
        <v>01634 683991</v>
      </c>
      <c r="AA1173" t="str">
        <f>""</f>
        <v/>
      </c>
      <c r="AB1173" t="s">
        <v>2607</v>
      </c>
      <c r="AD1173" t="s">
        <v>145</v>
      </c>
      <c r="AF1173" t="s">
        <v>113</v>
      </c>
      <c r="AG1173" t="s">
        <v>111</v>
      </c>
      <c r="AH1173" t="s">
        <v>111</v>
      </c>
      <c r="AI1173" s="63">
        <v>43445</v>
      </c>
      <c r="AJ1173" s="63">
        <v>45657</v>
      </c>
      <c r="AK1173" t="s">
        <v>111</v>
      </c>
      <c r="AL1173" t="s">
        <v>111</v>
      </c>
      <c r="AM1173" t="s">
        <v>111</v>
      </c>
      <c r="AN1173" t="s">
        <v>105</v>
      </c>
      <c r="AO1173" t="s">
        <v>122</v>
      </c>
      <c r="AP1173" t="s">
        <v>122</v>
      </c>
    </row>
    <row r="1174" spans="1:42" x14ac:dyDescent="0.25">
      <c r="A1174" s="28" t="str">
        <f>"14115"</f>
        <v>14115</v>
      </c>
      <c r="B1174">
        <v>14115</v>
      </c>
      <c r="C1174" t="s">
        <v>2488</v>
      </c>
      <c r="D1174" t="s">
        <v>121</v>
      </c>
      <c r="E1174" t="s">
        <v>584</v>
      </c>
      <c r="F1174" t="s">
        <v>120</v>
      </c>
      <c r="G1174" t="s">
        <v>251</v>
      </c>
      <c r="H1174" t="s">
        <v>230</v>
      </c>
      <c r="I1174" t="s">
        <v>6993</v>
      </c>
      <c r="J1174" t="s">
        <v>7</v>
      </c>
      <c r="K1174" s="63">
        <v>26015</v>
      </c>
      <c r="L1174" s="28">
        <f>DATEDIF(K1174,Zwift25!G$1,"Y")</f>
        <v>53</v>
      </c>
      <c r="M1174" s="67">
        <f>IF(J1174="m",VLOOKUP(L1174,'All Solo Adjustments'!A:D,4,FALSE),VLOOKUP(L1174,'All Solo Adjustments'!A:J,10,FALSE))</f>
        <v>1.6666666666666668E-3</v>
      </c>
      <c r="N1174" s="63"/>
      <c r="O1174" s="63"/>
      <c r="P1174" s="63"/>
      <c r="Q1174" s="63"/>
      <c r="R1174" t="s">
        <v>159</v>
      </c>
      <c r="S1174" t="s">
        <v>162</v>
      </c>
      <c r="T1174" t="s">
        <v>292</v>
      </c>
      <c r="U1174" t="s">
        <v>6992</v>
      </c>
      <c r="V1174" t="s">
        <v>1171</v>
      </c>
      <c r="W1174" t="s">
        <v>159</v>
      </c>
      <c r="Y1174" t="s">
        <v>6991</v>
      </c>
      <c r="Z1174" t="str">
        <f>"01634 684026"</f>
        <v>01634 684026</v>
      </c>
      <c r="AA1174" t="str">
        <f>"07913658336"</f>
        <v>07913658336</v>
      </c>
      <c r="AB1174" t="s">
        <v>2607</v>
      </c>
      <c r="AC1174" t="s">
        <v>6990</v>
      </c>
      <c r="AD1174" t="s">
        <v>145</v>
      </c>
      <c r="AE1174" s="63">
        <v>45301</v>
      </c>
      <c r="AF1174" t="s">
        <v>156</v>
      </c>
      <c r="AG1174" t="s">
        <v>112</v>
      </c>
      <c r="AH1174" t="s">
        <v>112</v>
      </c>
      <c r="AI1174" s="63">
        <v>43543</v>
      </c>
      <c r="AJ1174" s="63">
        <v>45657</v>
      </c>
      <c r="AK1174" t="s">
        <v>112</v>
      </c>
      <c r="AL1174" t="s">
        <v>111</v>
      </c>
      <c r="AM1174" t="s">
        <v>111</v>
      </c>
      <c r="AN1174">
        <v>15031</v>
      </c>
      <c r="AO1174" t="s">
        <v>110</v>
      </c>
      <c r="AP1174" t="s">
        <v>109</v>
      </c>
    </row>
    <row r="1175" spans="1:42" x14ac:dyDescent="0.25">
      <c r="A1175" s="28" t="str">
        <f>"14806"</f>
        <v>14806</v>
      </c>
      <c r="B1175">
        <v>14806</v>
      </c>
      <c r="C1175" t="s">
        <v>2488</v>
      </c>
      <c r="D1175" t="s">
        <v>121</v>
      </c>
      <c r="E1175" t="s">
        <v>584</v>
      </c>
      <c r="F1175" t="s">
        <v>139</v>
      </c>
      <c r="G1175" t="s">
        <v>6989</v>
      </c>
      <c r="I1175" t="s">
        <v>6988</v>
      </c>
      <c r="J1175" t="s">
        <v>126</v>
      </c>
      <c r="K1175" s="63">
        <v>22225</v>
      </c>
      <c r="L1175" s="28">
        <f>DATEDIF(K1175,Zwift25!G$1,"Y")</f>
        <v>63</v>
      </c>
      <c r="M1175" s="67">
        <f>IF(J1175="m",VLOOKUP(L1175,'All Solo Adjustments'!A:D,4,FALSE),VLOOKUP(L1175,'All Solo Adjustments'!A:J,10,FALSE))</f>
        <v>8.0092592592592594E-3</v>
      </c>
      <c r="N1175" s="63"/>
      <c r="O1175" s="63"/>
      <c r="P1175" s="63"/>
      <c r="Q1175" s="63"/>
      <c r="R1175" t="s">
        <v>283</v>
      </c>
      <c r="S1175" t="s">
        <v>530</v>
      </c>
      <c r="T1175" t="s">
        <v>292</v>
      </c>
      <c r="U1175" t="s">
        <v>6987</v>
      </c>
      <c r="V1175" t="s">
        <v>1922</v>
      </c>
      <c r="W1175" t="s">
        <v>1346</v>
      </c>
      <c r="Y1175" t="s">
        <v>6986</v>
      </c>
      <c r="Z1175" t="str">
        <f>"07999148586"</f>
        <v>07999148586</v>
      </c>
      <c r="AA1175" t="str">
        <f>""</f>
        <v/>
      </c>
      <c r="AB1175" t="s">
        <v>6985</v>
      </c>
      <c r="AC1175" t="s">
        <v>6984</v>
      </c>
      <c r="AD1175" t="s">
        <v>114</v>
      </c>
      <c r="AE1175" s="63">
        <v>45292</v>
      </c>
      <c r="AF1175" t="s">
        <v>113</v>
      </c>
      <c r="AG1175" t="s">
        <v>112</v>
      </c>
      <c r="AH1175" t="s">
        <v>112</v>
      </c>
      <c r="AI1175" s="63">
        <v>44200</v>
      </c>
      <c r="AJ1175" s="63">
        <v>45657</v>
      </c>
      <c r="AK1175" t="s">
        <v>112</v>
      </c>
      <c r="AL1175" t="s">
        <v>111</v>
      </c>
      <c r="AM1175" t="s">
        <v>111</v>
      </c>
      <c r="AN1175">
        <v>7907</v>
      </c>
      <c r="AO1175" t="s">
        <v>122</v>
      </c>
      <c r="AP1175" t="s">
        <v>122</v>
      </c>
    </row>
    <row r="1176" spans="1:42" x14ac:dyDescent="0.25">
      <c r="A1176" s="28" t="str">
        <f>"1474"</f>
        <v>1474</v>
      </c>
      <c r="B1176">
        <v>1474</v>
      </c>
      <c r="C1176" t="s">
        <v>2488</v>
      </c>
      <c r="D1176" t="s">
        <v>121</v>
      </c>
      <c r="F1176" t="s">
        <v>120</v>
      </c>
      <c r="G1176" t="s">
        <v>481</v>
      </c>
      <c r="H1176" t="s">
        <v>469</v>
      </c>
      <c r="I1176" t="s">
        <v>6983</v>
      </c>
      <c r="J1176" t="s">
        <v>7</v>
      </c>
      <c r="K1176" s="63">
        <v>15710</v>
      </c>
      <c r="L1176" s="28">
        <f>DATEDIF(K1176,Zwift25!G$1,"Y")</f>
        <v>81</v>
      </c>
      <c r="M1176" s="67">
        <f>IF(J1176="m",VLOOKUP(L1176,'All Solo Adjustments'!A:D,4,FALSE),VLOOKUP(L1176,'All Solo Adjustments'!A:J,10,FALSE))</f>
        <v>1.1597222222222222E-2</v>
      </c>
      <c r="N1176" s="63"/>
      <c r="O1176" s="63"/>
      <c r="P1176" s="63"/>
      <c r="Q1176" s="63"/>
      <c r="R1176" t="s">
        <v>239</v>
      </c>
      <c r="S1176" t="s">
        <v>274</v>
      </c>
      <c r="T1176" t="s">
        <v>292</v>
      </c>
      <c r="U1176" t="s">
        <v>6982</v>
      </c>
      <c r="V1176" t="s">
        <v>795</v>
      </c>
      <c r="W1176" t="s">
        <v>627</v>
      </c>
      <c r="Y1176" t="s">
        <v>6981</v>
      </c>
      <c r="Z1176" t="str">
        <f>"01132609690"</f>
        <v>01132609690</v>
      </c>
      <c r="AA1176" t="str">
        <f>"4407956 812487"</f>
        <v>4407956 812487</v>
      </c>
      <c r="AB1176" t="s">
        <v>868</v>
      </c>
      <c r="AC1176" t="s">
        <v>6980</v>
      </c>
      <c r="AD1176" t="s">
        <v>114</v>
      </c>
      <c r="AE1176" s="63">
        <v>45264</v>
      </c>
      <c r="AF1176" t="s">
        <v>113</v>
      </c>
      <c r="AG1176" t="s">
        <v>112</v>
      </c>
      <c r="AH1176" t="s">
        <v>112</v>
      </c>
      <c r="AI1176" s="63">
        <v>30328</v>
      </c>
      <c r="AJ1176" s="63">
        <v>45657</v>
      </c>
      <c r="AK1176" t="s">
        <v>111</v>
      </c>
      <c r="AL1176" t="s">
        <v>111</v>
      </c>
      <c r="AM1176" t="s">
        <v>111</v>
      </c>
      <c r="AN1176">
        <v>6896</v>
      </c>
      <c r="AO1176" t="s">
        <v>110</v>
      </c>
      <c r="AP1176" t="s">
        <v>109</v>
      </c>
    </row>
    <row r="1177" spans="1:42" x14ac:dyDescent="0.25">
      <c r="A1177" s="28" t="str">
        <f>"5925"</f>
        <v>5925</v>
      </c>
      <c r="B1177">
        <v>5925</v>
      </c>
      <c r="C1177" t="s">
        <v>2488</v>
      </c>
      <c r="D1177" t="s">
        <v>121</v>
      </c>
      <c r="F1177" t="s">
        <v>120</v>
      </c>
      <c r="G1177" t="s">
        <v>489</v>
      </c>
      <c r="I1177" t="s">
        <v>6979</v>
      </c>
      <c r="J1177" t="s">
        <v>7</v>
      </c>
      <c r="K1177" s="63">
        <v>23227</v>
      </c>
      <c r="L1177" s="28">
        <f>DATEDIF(K1177,Zwift25!G$1,"Y")</f>
        <v>61</v>
      </c>
      <c r="M1177" s="67">
        <f>IF(J1177="m",VLOOKUP(L1177,'All Solo Adjustments'!A:D,4,FALSE),VLOOKUP(L1177,'All Solo Adjustments'!A:J,10,FALSE))</f>
        <v>3.4722222222222225E-3</v>
      </c>
      <c r="N1177" s="63"/>
      <c r="O1177" s="63"/>
      <c r="P1177" s="63"/>
      <c r="Q1177" s="63"/>
      <c r="R1177" t="s">
        <v>137</v>
      </c>
      <c r="S1177" t="s">
        <v>136</v>
      </c>
      <c r="T1177" t="s">
        <v>292</v>
      </c>
      <c r="U1177" t="s">
        <v>6978</v>
      </c>
      <c r="V1177" t="s">
        <v>350</v>
      </c>
      <c r="W1177" t="s">
        <v>208</v>
      </c>
      <c r="Y1177" t="s">
        <v>6977</v>
      </c>
      <c r="Z1177" t="str">
        <f>"07785 234667"</f>
        <v>07785 234667</v>
      </c>
      <c r="AA1177" t="str">
        <f>""</f>
        <v/>
      </c>
      <c r="AB1177" t="s">
        <v>378</v>
      </c>
      <c r="AC1177" t="s">
        <v>6976</v>
      </c>
      <c r="AD1177" t="s">
        <v>114</v>
      </c>
      <c r="AE1177" s="63">
        <v>45292</v>
      </c>
      <c r="AF1177" t="s">
        <v>156</v>
      </c>
      <c r="AG1177" t="s">
        <v>112</v>
      </c>
      <c r="AH1177" t="s">
        <v>112</v>
      </c>
      <c r="AI1177" s="63">
        <v>42552</v>
      </c>
      <c r="AJ1177" s="63">
        <v>45657</v>
      </c>
      <c r="AK1177" t="s">
        <v>111</v>
      </c>
      <c r="AL1177" t="s">
        <v>111</v>
      </c>
      <c r="AM1177" t="s">
        <v>111</v>
      </c>
      <c r="AN1177">
        <v>5104</v>
      </c>
      <c r="AO1177" t="s">
        <v>110</v>
      </c>
      <c r="AP1177" t="s">
        <v>109</v>
      </c>
    </row>
    <row r="1178" spans="1:42" x14ac:dyDescent="0.25">
      <c r="A1178" s="28" t="str">
        <f>"1475"</f>
        <v>1475</v>
      </c>
      <c r="B1178">
        <v>1475</v>
      </c>
      <c r="C1178" t="s">
        <v>2488</v>
      </c>
      <c r="D1178" t="s">
        <v>121</v>
      </c>
      <c r="F1178" t="s">
        <v>120</v>
      </c>
      <c r="G1178" t="s">
        <v>1369</v>
      </c>
      <c r="I1178" t="s">
        <v>6975</v>
      </c>
      <c r="J1178" t="s">
        <v>7</v>
      </c>
      <c r="K1178" s="63">
        <v>13570</v>
      </c>
      <c r="L1178" s="28">
        <f>DATEDIF(K1178,Zwift25!G$1,"Y")</f>
        <v>87</v>
      </c>
      <c r="M1178" s="67">
        <f>IF(J1178="m",VLOOKUP(L1178,'All Solo Adjustments'!A:D,4,FALSE),VLOOKUP(L1178,'All Solo Adjustments'!A:J,10,FALSE))</f>
        <v>1.576388888888889E-2</v>
      </c>
      <c r="N1178" s="63"/>
      <c r="O1178" s="63"/>
      <c r="P1178" s="63"/>
      <c r="Q1178" s="63"/>
      <c r="R1178" t="s">
        <v>118</v>
      </c>
      <c r="S1178" t="s">
        <v>873</v>
      </c>
      <c r="T1178" t="s">
        <v>292</v>
      </c>
      <c r="U1178" t="s">
        <v>6974</v>
      </c>
      <c r="V1178" t="s">
        <v>6973</v>
      </c>
      <c r="W1178" t="s">
        <v>275</v>
      </c>
      <c r="Y1178" t="s">
        <v>6972</v>
      </c>
      <c r="Z1178" t="str">
        <f>"07770781249"</f>
        <v>07770781249</v>
      </c>
      <c r="AA1178" t="str">
        <f>"01777816021"</f>
        <v>01777816021</v>
      </c>
      <c r="AB1178" t="s">
        <v>1099</v>
      </c>
      <c r="AC1178" t="s">
        <v>6971</v>
      </c>
      <c r="AD1178" t="s">
        <v>151</v>
      </c>
      <c r="AF1178" t="s">
        <v>156</v>
      </c>
      <c r="AG1178" t="s">
        <v>112</v>
      </c>
      <c r="AH1178" t="s">
        <v>112</v>
      </c>
      <c r="AI1178" s="63">
        <v>35431</v>
      </c>
      <c r="AK1178" t="s">
        <v>111</v>
      </c>
      <c r="AL1178" t="s">
        <v>111</v>
      </c>
      <c r="AM1178" t="s">
        <v>111</v>
      </c>
      <c r="AN1178" t="s">
        <v>105</v>
      </c>
      <c r="AO1178" t="s">
        <v>110</v>
      </c>
      <c r="AP1178" t="s">
        <v>109</v>
      </c>
    </row>
    <row r="1179" spans="1:42" x14ac:dyDescent="0.25">
      <c r="A1179" s="28" t="str">
        <f>"15804"</f>
        <v>15804</v>
      </c>
      <c r="B1179">
        <v>15804</v>
      </c>
      <c r="C1179" t="s">
        <v>2488</v>
      </c>
      <c r="D1179" t="s">
        <v>121</v>
      </c>
      <c r="E1179" t="s">
        <v>584</v>
      </c>
      <c r="F1179" t="s">
        <v>120</v>
      </c>
      <c r="G1179" t="s">
        <v>251</v>
      </c>
      <c r="H1179" t="s">
        <v>756</v>
      </c>
      <c r="I1179" t="s">
        <v>1700</v>
      </c>
      <c r="J1179" t="s">
        <v>7</v>
      </c>
      <c r="K1179" s="63">
        <v>30209</v>
      </c>
      <c r="L1179" s="28">
        <f>DATEDIF(K1179,Zwift25!G$1,"Y")</f>
        <v>42</v>
      </c>
      <c r="M1179" s="67">
        <f>IF(J1179="m",VLOOKUP(L1179,'All Solo Adjustments'!A:D,4,FALSE),VLOOKUP(L1179,'All Solo Adjustments'!A:J,10,FALSE))</f>
        <v>1.5046296296296295E-4</v>
      </c>
      <c r="N1179" s="63"/>
      <c r="O1179" s="63"/>
      <c r="P1179" s="63"/>
      <c r="Q1179" s="63"/>
      <c r="R1179" t="s">
        <v>296</v>
      </c>
      <c r="S1179" t="s">
        <v>295</v>
      </c>
      <c r="T1179" t="s">
        <v>292</v>
      </c>
      <c r="U1179" t="s">
        <v>6970</v>
      </c>
      <c r="V1179" t="s">
        <v>6969</v>
      </c>
      <c r="W1179" t="s">
        <v>794</v>
      </c>
      <c r="Y1179" t="s">
        <v>6968</v>
      </c>
      <c r="Z1179" t="str">
        <f>"07736296837"</f>
        <v>07736296837</v>
      </c>
      <c r="AA1179" t="str">
        <f>""</f>
        <v/>
      </c>
      <c r="AB1179" t="s">
        <v>598</v>
      </c>
      <c r="AC1179" t="s">
        <v>6967</v>
      </c>
      <c r="AD1179" t="s">
        <v>114</v>
      </c>
      <c r="AE1179" s="63">
        <v>45355</v>
      </c>
      <c r="AF1179" t="s">
        <v>156</v>
      </c>
      <c r="AG1179" t="s">
        <v>112</v>
      </c>
      <c r="AH1179" t="s">
        <v>112</v>
      </c>
      <c r="AI1179" s="63">
        <v>45043</v>
      </c>
      <c r="AJ1179" s="63">
        <v>45657</v>
      </c>
      <c r="AK1179" t="s">
        <v>112</v>
      </c>
      <c r="AL1179" t="s">
        <v>111</v>
      </c>
      <c r="AM1179" t="s">
        <v>111</v>
      </c>
      <c r="AN1179">
        <v>30548</v>
      </c>
      <c r="AO1179" t="s">
        <v>110</v>
      </c>
      <c r="AP1179" t="s">
        <v>109</v>
      </c>
    </row>
    <row r="1180" spans="1:42" x14ac:dyDescent="0.25">
      <c r="A1180" s="28" t="str">
        <f>"5376"</f>
        <v>5376</v>
      </c>
      <c r="B1180">
        <v>5376</v>
      </c>
      <c r="C1180" t="s">
        <v>2488</v>
      </c>
      <c r="D1180" t="s">
        <v>121</v>
      </c>
      <c r="F1180" t="s">
        <v>120</v>
      </c>
      <c r="G1180" t="s">
        <v>685</v>
      </c>
      <c r="H1180" t="s">
        <v>284</v>
      </c>
      <c r="I1180" t="s">
        <v>2975</v>
      </c>
      <c r="J1180" t="s">
        <v>7</v>
      </c>
      <c r="K1180" s="63">
        <v>22460</v>
      </c>
      <c r="L1180" s="28">
        <f>DATEDIF(K1180,Zwift25!G$1,"Y")</f>
        <v>63</v>
      </c>
      <c r="M1180" s="67">
        <f>IF(J1180="m",VLOOKUP(L1180,'All Solo Adjustments'!A:D,4,FALSE),VLOOKUP(L1180,'All Solo Adjustments'!A:J,10,FALSE))</f>
        <v>4.0277777777777777E-3</v>
      </c>
      <c r="N1180" s="63"/>
      <c r="O1180" s="63"/>
      <c r="P1180" s="63"/>
      <c r="Q1180" s="63"/>
      <c r="R1180" t="s">
        <v>527</v>
      </c>
      <c r="S1180" t="s">
        <v>526</v>
      </c>
      <c r="T1180" t="s">
        <v>292</v>
      </c>
      <c r="U1180" t="s">
        <v>6966</v>
      </c>
      <c r="V1180" t="s">
        <v>6965</v>
      </c>
      <c r="W1180" t="s">
        <v>1880</v>
      </c>
      <c r="X1180" t="s">
        <v>1392</v>
      </c>
      <c r="Y1180" t="s">
        <v>6964</v>
      </c>
      <c r="Z1180" t="str">
        <f>""</f>
        <v/>
      </c>
      <c r="AA1180" t="str">
        <f>"07710014508"</f>
        <v>07710014508</v>
      </c>
      <c r="AB1180" t="s">
        <v>2754</v>
      </c>
      <c r="AC1180" t="s">
        <v>6963</v>
      </c>
      <c r="AD1180" t="s">
        <v>114</v>
      </c>
      <c r="AE1180" s="63">
        <v>45263</v>
      </c>
      <c r="AF1180" t="s">
        <v>113</v>
      </c>
      <c r="AG1180" t="s">
        <v>112</v>
      </c>
      <c r="AH1180" t="s">
        <v>112</v>
      </c>
      <c r="AI1180" s="63">
        <v>42089</v>
      </c>
      <c r="AJ1180" s="63">
        <v>45657</v>
      </c>
      <c r="AK1180" t="s">
        <v>111</v>
      </c>
      <c r="AL1180" t="s">
        <v>111</v>
      </c>
      <c r="AM1180" t="s">
        <v>111</v>
      </c>
      <c r="AN1180">
        <v>6023</v>
      </c>
      <c r="AO1180" t="s">
        <v>110</v>
      </c>
      <c r="AP1180" t="s">
        <v>109</v>
      </c>
    </row>
    <row r="1181" spans="1:42" x14ac:dyDescent="0.25">
      <c r="A1181" s="28" t="str">
        <f>"15443"</f>
        <v>15443</v>
      </c>
      <c r="B1181">
        <v>15443</v>
      </c>
      <c r="C1181" t="s">
        <v>2488</v>
      </c>
      <c r="D1181" t="s">
        <v>121</v>
      </c>
      <c r="E1181" t="s">
        <v>584</v>
      </c>
      <c r="F1181" t="s">
        <v>120</v>
      </c>
      <c r="G1181" t="s">
        <v>171</v>
      </c>
      <c r="I1181" t="s">
        <v>6962</v>
      </c>
      <c r="J1181" t="s">
        <v>7</v>
      </c>
      <c r="K1181" s="63">
        <v>19944</v>
      </c>
      <c r="L1181" s="28">
        <f>DATEDIF(K1181,Zwift25!G$1,"Y")</f>
        <v>70</v>
      </c>
      <c r="M1181" s="67">
        <f>IF(J1181="m",VLOOKUP(L1181,'All Solo Adjustments'!A:D,4,FALSE),VLOOKUP(L1181,'All Solo Adjustments'!A:J,10,FALSE))</f>
        <v>6.3425925925925924E-3</v>
      </c>
      <c r="N1181" s="63"/>
      <c r="O1181" s="63"/>
      <c r="P1181" s="63"/>
      <c r="Q1181" s="63"/>
      <c r="R1181" t="s">
        <v>198</v>
      </c>
      <c r="S1181" t="s">
        <v>461</v>
      </c>
      <c r="T1181" t="s">
        <v>292</v>
      </c>
      <c r="U1181" t="s">
        <v>6961</v>
      </c>
      <c r="V1181" t="s">
        <v>6960</v>
      </c>
      <c r="W1181" t="s">
        <v>1247</v>
      </c>
      <c r="Y1181" t="s">
        <v>6959</v>
      </c>
      <c r="Z1181" t="str">
        <f>"07860550567"</f>
        <v>07860550567</v>
      </c>
      <c r="AA1181" t="str">
        <f>""</f>
        <v/>
      </c>
      <c r="AB1181" t="s">
        <v>6958</v>
      </c>
      <c r="AC1181" t="s">
        <v>6957</v>
      </c>
      <c r="AD1181" t="s">
        <v>114</v>
      </c>
      <c r="AE1181" s="63">
        <v>45262</v>
      </c>
      <c r="AF1181" t="s">
        <v>156</v>
      </c>
      <c r="AG1181" t="s">
        <v>112</v>
      </c>
      <c r="AH1181" t="s">
        <v>112</v>
      </c>
      <c r="AI1181" s="63">
        <v>44660</v>
      </c>
      <c r="AJ1181" s="63">
        <v>45657</v>
      </c>
      <c r="AK1181" t="s">
        <v>112</v>
      </c>
      <c r="AL1181" t="s">
        <v>111</v>
      </c>
      <c r="AM1181" t="s">
        <v>111</v>
      </c>
      <c r="AN1181">
        <v>42470</v>
      </c>
      <c r="AO1181" t="s">
        <v>110</v>
      </c>
      <c r="AP1181" t="s">
        <v>109</v>
      </c>
    </row>
    <row r="1182" spans="1:42" x14ac:dyDescent="0.25">
      <c r="A1182" s="28" t="str">
        <f>"14258"</f>
        <v>14258</v>
      </c>
      <c r="B1182">
        <v>14258</v>
      </c>
      <c r="C1182" t="s">
        <v>2488</v>
      </c>
      <c r="D1182" t="s">
        <v>121</v>
      </c>
      <c r="F1182" t="s">
        <v>120</v>
      </c>
      <c r="G1182" t="s">
        <v>1967</v>
      </c>
      <c r="H1182" t="s">
        <v>469</v>
      </c>
      <c r="I1182" t="s">
        <v>6956</v>
      </c>
      <c r="J1182" t="s">
        <v>7</v>
      </c>
      <c r="K1182" s="63">
        <v>28348</v>
      </c>
      <c r="L1182" s="28">
        <f>DATEDIF(K1182,Zwift25!G$1,"Y")</f>
        <v>47</v>
      </c>
      <c r="M1182" s="67">
        <f>IF(J1182="m",VLOOKUP(L1182,'All Solo Adjustments'!A:D,4,FALSE),VLOOKUP(L1182,'All Solo Adjustments'!A:J,10,FALSE))</f>
        <v>6.9444444444444436E-4</v>
      </c>
      <c r="N1182" s="63"/>
      <c r="O1182" s="63"/>
      <c r="P1182" s="63"/>
      <c r="Q1182" s="63"/>
      <c r="R1182" t="s">
        <v>184</v>
      </c>
      <c r="S1182" t="s">
        <v>183</v>
      </c>
      <c r="T1182" t="s">
        <v>292</v>
      </c>
      <c r="U1182" t="s">
        <v>6955</v>
      </c>
      <c r="V1182" t="s">
        <v>6954</v>
      </c>
      <c r="W1182" t="s">
        <v>167</v>
      </c>
      <c r="X1182" t="s">
        <v>167</v>
      </c>
      <c r="Y1182" t="s">
        <v>6953</v>
      </c>
      <c r="Z1182" t="str">
        <f>"07751544062"</f>
        <v>07751544062</v>
      </c>
      <c r="AA1182" t="str">
        <f>""</f>
        <v/>
      </c>
      <c r="AB1182" t="s">
        <v>203</v>
      </c>
      <c r="AC1182" t="s">
        <v>6952</v>
      </c>
      <c r="AD1182" t="s">
        <v>145</v>
      </c>
      <c r="AE1182" s="63">
        <v>45394</v>
      </c>
      <c r="AF1182" t="s">
        <v>113</v>
      </c>
      <c r="AG1182" t="s">
        <v>112</v>
      </c>
      <c r="AH1182" t="s">
        <v>112</v>
      </c>
      <c r="AI1182" s="63">
        <v>43618</v>
      </c>
      <c r="AJ1182" s="63">
        <v>45657</v>
      </c>
      <c r="AK1182" t="s">
        <v>112</v>
      </c>
      <c r="AL1182" t="s">
        <v>111</v>
      </c>
      <c r="AM1182" t="s">
        <v>111</v>
      </c>
      <c r="AN1182">
        <v>4481</v>
      </c>
      <c r="AO1182" t="s">
        <v>110</v>
      </c>
      <c r="AP1182" t="s">
        <v>109</v>
      </c>
    </row>
    <row r="1183" spans="1:42" x14ac:dyDescent="0.25">
      <c r="A1183" s="28" t="str">
        <f>"6184"</f>
        <v>6184</v>
      </c>
      <c r="B1183">
        <v>6184</v>
      </c>
      <c r="C1183" t="s">
        <v>2488</v>
      </c>
      <c r="D1183" t="s">
        <v>121</v>
      </c>
      <c r="E1183" t="s">
        <v>584</v>
      </c>
      <c r="F1183" t="s">
        <v>120</v>
      </c>
      <c r="G1183" t="s">
        <v>359</v>
      </c>
      <c r="I1183" t="s">
        <v>6951</v>
      </c>
      <c r="J1183" t="s">
        <v>7</v>
      </c>
      <c r="K1183" s="63">
        <v>27837</v>
      </c>
      <c r="L1183" s="28">
        <f>DATEDIF(K1183,Zwift25!G$1,"Y")</f>
        <v>48</v>
      </c>
      <c r="M1183" s="67">
        <f>IF(J1183="m",VLOOKUP(L1183,'All Solo Adjustments'!A:D,4,FALSE),VLOOKUP(L1183,'All Solo Adjustments'!A:J,10,FALSE))</f>
        <v>8.3333333333333339E-4</v>
      </c>
      <c r="N1183" s="63"/>
      <c r="O1183" s="63"/>
      <c r="P1183" s="63"/>
      <c r="Q1183" s="63"/>
      <c r="R1183" t="s">
        <v>184</v>
      </c>
      <c r="S1183" t="s">
        <v>183</v>
      </c>
      <c r="T1183" t="s">
        <v>292</v>
      </c>
      <c r="U1183" t="s">
        <v>6950</v>
      </c>
      <c r="W1183" t="s">
        <v>860</v>
      </c>
      <c r="X1183" t="s">
        <v>347</v>
      </c>
      <c r="Y1183" t="s">
        <v>6949</v>
      </c>
      <c r="Z1183" t="str">
        <f>"07957791163"</f>
        <v>07957791163</v>
      </c>
      <c r="AA1183" t="str">
        <f>""</f>
        <v/>
      </c>
      <c r="AC1183" t="s">
        <v>6948</v>
      </c>
      <c r="AD1183" t="s">
        <v>114</v>
      </c>
      <c r="AE1183" s="63">
        <v>45460</v>
      </c>
      <c r="AF1183" t="s">
        <v>156</v>
      </c>
      <c r="AG1183" t="s">
        <v>112</v>
      </c>
      <c r="AH1183" t="s">
        <v>112</v>
      </c>
      <c r="AI1183" s="63">
        <v>42843</v>
      </c>
      <c r="AJ1183" s="63">
        <v>45657</v>
      </c>
      <c r="AK1183" t="s">
        <v>111</v>
      </c>
      <c r="AL1183" t="s">
        <v>111</v>
      </c>
      <c r="AM1183" t="s">
        <v>111</v>
      </c>
      <c r="AN1183">
        <v>16715</v>
      </c>
      <c r="AO1183" t="s">
        <v>110</v>
      </c>
      <c r="AP1183" t="s">
        <v>109</v>
      </c>
    </row>
    <row r="1184" spans="1:42" x14ac:dyDescent="0.25">
      <c r="A1184" s="28" t="str">
        <f>"15178"</f>
        <v>15178</v>
      </c>
      <c r="B1184">
        <v>15178</v>
      </c>
      <c r="C1184" t="s">
        <v>2488</v>
      </c>
      <c r="D1184" t="s">
        <v>121</v>
      </c>
      <c r="F1184" t="s">
        <v>120</v>
      </c>
      <c r="G1184" t="s">
        <v>481</v>
      </c>
      <c r="I1184" t="s">
        <v>6947</v>
      </c>
      <c r="J1184" t="s">
        <v>7</v>
      </c>
      <c r="K1184" s="63">
        <v>23972</v>
      </c>
      <c r="L1184" s="28">
        <f>DATEDIF(K1184,Zwift25!G$1,"Y")</f>
        <v>59</v>
      </c>
      <c r="M1184" s="67">
        <f>IF(J1184="m",VLOOKUP(L1184,'All Solo Adjustments'!A:D,4,FALSE),VLOOKUP(L1184,'All Solo Adjustments'!A:J,10,FALSE))</f>
        <v>2.9629629629629632E-3</v>
      </c>
      <c r="N1184" s="63"/>
      <c r="O1184" s="63"/>
      <c r="P1184" s="63"/>
      <c r="Q1184" s="63"/>
      <c r="R1184" t="s">
        <v>125</v>
      </c>
      <c r="S1184" t="s">
        <v>170</v>
      </c>
      <c r="T1184" t="s">
        <v>292</v>
      </c>
      <c r="U1184" t="s">
        <v>6946</v>
      </c>
      <c r="Y1184" t="s">
        <v>6945</v>
      </c>
      <c r="Z1184" t="str">
        <f>"07765 717673"</f>
        <v>07765 717673</v>
      </c>
      <c r="AA1184" t="str">
        <f>""</f>
        <v/>
      </c>
      <c r="AB1184" t="s">
        <v>592</v>
      </c>
      <c r="AC1184" t="s">
        <v>6944</v>
      </c>
      <c r="AD1184" t="s">
        <v>114</v>
      </c>
      <c r="AE1184" s="63">
        <v>45392</v>
      </c>
      <c r="AF1184" t="s">
        <v>156</v>
      </c>
      <c r="AG1184" t="s">
        <v>112</v>
      </c>
      <c r="AH1184" t="s">
        <v>112</v>
      </c>
      <c r="AI1184" s="63">
        <v>44392</v>
      </c>
      <c r="AJ1184" s="63">
        <v>45657</v>
      </c>
      <c r="AK1184" t="s">
        <v>112</v>
      </c>
      <c r="AL1184" t="s">
        <v>111</v>
      </c>
      <c r="AM1184" t="s">
        <v>111</v>
      </c>
      <c r="AN1184">
        <v>38653</v>
      </c>
      <c r="AO1184" t="s">
        <v>110</v>
      </c>
      <c r="AP1184" t="s">
        <v>109</v>
      </c>
    </row>
    <row r="1185" spans="1:42" x14ac:dyDescent="0.25">
      <c r="A1185" s="28" t="str">
        <f>"1486"</f>
        <v>1486</v>
      </c>
      <c r="B1185">
        <v>1486</v>
      </c>
      <c r="C1185" t="s">
        <v>2488</v>
      </c>
      <c r="D1185" t="s">
        <v>121</v>
      </c>
      <c r="F1185" t="s">
        <v>120</v>
      </c>
      <c r="G1185" t="s">
        <v>6943</v>
      </c>
      <c r="I1185" t="s">
        <v>6942</v>
      </c>
      <c r="J1185" t="s">
        <v>7</v>
      </c>
      <c r="K1185" s="63">
        <v>14067</v>
      </c>
      <c r="L1185" s="28">
        <f>DATEDIF(K1185,Zwift25!G$1,"Y")</f>
        <v>86</v>
      </c>
      <c r="M1185" s="67">
        <f>IF(J1185="m",VLOOKUP(L1185,'All Solo Adjustments'!A:D,4,FALSE),VLOOKUP(L1185,'All Solo Adjustments'!A:J,10,FALSE))</f>
        <v>1.4988425925925926E-2</v>
      </c>
      <c r="N1185" s="63"/>
      <c r="O1185" s="63"/>
      <c r="P1185" s="63"/>
      <c r="Q1185" s="63"/>
      <c r="R1185" t="s">
        <v>159</v>
      </c>
      <c r="S1185" t="s">
        <v>570</v>
      </c>
      <c r="T1185" t="s">
        <v>292</v>
      </c>
      <c r="U1185" t="s">
        <v>6941</v>
      </c>
      <c r="V1185" t="s">
        <v>3072</v>
      </c>
      <c r="W1185" t="s">
        <v>159</v>
      </c>
      <c r="Y1185" t="s">
        <v>6940</v>
      </c>
      <c r="Z1185" t="str">
        <f>"01634 404611"</f>
        <v>01634 404611</v>
      </c>
      <c r="AA1185" t="str">
        <f>""</f>
        <v/>
      </c>
      <c r="AB1185" t="s">
        <v>186</v>
      </c>
      <c r="AC1185" t="s">
        <v>6939</v>
      </c>
      <c r="AD1185" t="s">
        <v>145</v>
      </c>
      <c r="AF1185" t="s">
        <v>156</v>
      </c>
      <c r="AG1185" t="s">
        <v>112</v>
      </c>
      <c r="AH1185" t="s">
        <v>112</v>
      </c>
      <c r="AI1185" s="63">
        <v>43454</v>
      </c>
      <c r="AK1185" t="s">
        <v>111</v>
      </c>
      <c r="AL1185" t="s">
        <v>111</v>
      </c>
      <c r="AM1185" t="s">
        <v>111</v>
      </c>
      <c r="AN1185" t="s">
        <v>105</v>
      </c>
      <c r="AO1185" t="s">
        <v>110</v>
      </c>
      <c r="AP1185" t="s">
        <v>109</v>
      </c>
    </row>
    <row r="1186" spans="1:42" x14ac:dyDescent="0.25">
      <c r="A1186" s="28" t="str">
        <f>"16058"</f>
        <v>16058</v>
      </c>
      <c r="B1186">
        <v>16058</v>
      </c>
      <c r="C1186" t="s">
        <v>2488</v>
      </c>
      <c r="D1186" t="s">
        <v>121</v>
      </c>
      <c r="F1186" t="s">
        <v>120</v>
      </c>
      <c r="G1186" t="s">
        <v>165</v>
      </c>
      <c r="I1186" t="s">
        <v>6938</v>
      </c>
      <c r="J1186" t="s">
        <v>7</v>
      </c>
      <c r="K1186" s="63">
        <v>21544</v>
      </c>
      <c r="L1186" s="28">
        <f>DATEDIF(K1186,Zwift25!G$1,"Y")</f>
        <v>65</v>
      </c>
      <c r="M1186" s="67">
        <f>IF(J1186="m",VLOOKUP(L1186,'All Solo Adjustments'!A:D,4,FALSE),VLOOKUP(L1186,'All Solo Adjustments'!A:J,10,FALSE))</f>
        <v>4.6180555555555558E-3</v>
      </c>
      <c r="N1186" s="63"/>
      <c r="O1186" s="63"/>
      <c r="P1186" s="63"/>
      <c r="Q1186" s="63"/>
      <c r="R1186" t="s">
        <v>180</v>
      </c>
      <c r="S1186" t="s">
        <v>179</v>
      </c>
      <c r="T1186" t="s">
        <v>292</v>
      </c>
      <c r="U1186" t="s">
        <v>6937</v>
      </c>
      <c r="V1186" t="s">
        <v>1472</v>
      </c>
      <c r="W1186" t="s">
        <v>1471</v>
      </c>
      <c r="X1186" t="s">
        <v>259</v>
      </c>
      <c r="Y1186" t="s">
        <v>6936</v>
      </c>
      <c r="Z1186" t="str">
        <f>"07732798500"</f>
        <v>07732798500</v>
      </c>
      <c r="AA1186" t="str">
        <f>""</f>
        <v/>
      </c>
      <c r="AB1186" t="s">
        <v>6935</v>
      </c>
      <c r="AC1186" t="s">
        <v>6934</v>
      </c>
      <c r="AD1186" t="s">
        <v>114</v>
      </c>
      <c r="AE1186" s="63">
        <v>45358</v>
      </c>
      <c r="AF1186" t="s">
        <v>156</v>
      </c>
      <c r="AG1186" t="s">
        <v>112</v>
      </c>
      <c r="AH1186" t="s">
        <v>112</v>
      </c>
      <c r="AI1186" s="63">
        <v>45358</v>
      </c>
      <c r="AJ1186" s="63">
        <v>45657</v>
      </c>
      <c r="AK1186" t="s">
        <v>112</v>
      </c>
      <c r="AL1186" t="s">
        <v>111</v>
      </c>
      <c r="AM1186" t="s">
        <v>112</v>
      </c>
      <c r="AN1186">
        <v>49862</v>
      </c>
      <c r="AO1186" t="s">
        <v>110</v>
      </c>
      <c r="AP1186" t="s">
        <v>109</v>
      </c>
    </row>
    <row r="1187" spans="1:42" x14ac:dyDescent="0.25">
      <c r="A1187" s="28" t="str">
        <f>"16143"</f>
        <v>16143</v>
      </c>
      <c r="B1187">
        <v>16143</v>
      </c>
      <c r="C1187" t="s">
        <v>2488</v>
      </c>
      <c r="D1187" t="s">
        <v>121</v>
      </c>
      <c r="F1187" t="s">
        <v>120</v>
      </c>
      <c r="G1187" t="s">
        <v>284</v>
      </c>
      <c r="I1187" t="s">
        <v>6933</v>
      </c>
      <c r="J1187" t="s">
        <v>7</v>
      </c>
      <c r="K1187" s="63">
        <v>17062</v>
      </c>
      <c r="L1187" s="28">
        <f>DATEDIF(K1187,Zwift25!G$1,"Y")</f>
        <v>78</v>
      </c>
      <c r="M1187" s="67">
        <f>IF(J1187="m",VLOOKUP(L1187,'All Solo Adjustments'!A:D,4,FALSE),VLOOKUP(L1187,'All Solo Adjustments'!A:J,10,FALSE))</f>
        <v>9.9189814814814817E-3</v>
      </c>
      <c r="N1187" s="63"/>
      <c r="O1187" s="63"/>
      <c r="P1187" s="63"/>
      <c r="Q1187" s="63"/>
      <c r="R1187" t="s">
        <v>283</v>
      </c>
      <c r="S1187" t="s">
        <v>530</v>
      </c>
      <c r="T1187" t="s">
        <v>292</v>
      </c>
      <c r="U1187">
        <v>49</v>
      </c>
      <c r="V1187" t="s">
        <v>6932</v>
      </c>
      <c r="W1187" t="s">
        <v>6931</v>
      </c>
      <c r="X1187" t="s">
        <v>1609</v>
      </c>
      <c r="Y1187" t="s">
        <v>6930</v>
      </c>
      <c r="Z1187" t="str">
        <f>"07543199627"</f>
        <v>07543199627</v>
      </c>
      <c r="AA1187" t="str">
        <f>""</f>
        <v/>
      </c>
      <c r="AB1187" t="s">
        <v>408</v>
      </c>
      <c r="AC1187" t="s">
        <v>6929</v>
      </c>
      <c r="AD1187" t="s">
        <v>114</v>
      </c>
      <c r="AE1187" s="63">
        <v>45435</v>
      </c>
      <c r="AF1187" t="s">
        <v>156</v>
      </c>
      <c r="AG1187" t="s">
        <v>112</v>
      </c>
      <c r="AH1187" t="s">
        <v>112</v>
      </c>
      <c r="AI1187" s="63">
        <v>45435</v>
      </c>
      <c r="AJ1187" s="63">
        <v>45657</v>
      </c>
      <c r="AK1187" t="s">
        <v>112</v>
      </c>
      <c r="AL1187" t="s">
        <v>111</v>
      </c>
      <c r="AM1187" t="s">
        <v>111</v>
      </c>
      <c r="AN1187">
        <v>50677</v>
      </c>
      <c r="AO1187" t="s">
        <v>110</v>
      </c>
      <c r="AP1187" t="s">
        <v>109</v>
      </c>
    </row>
    <row r="1188" spans="1:42" x14ac:dyDescent="0.25">
      <c r="A1188" s="28" t="str">
        <f>"14698"</f>
        <v>14698</v>
      </c>
      <c r="B1188">
        <v>14698</v>
      </c>
      <c r="C1188" t="s">
        <v>2488</v>
      </c>
      <c r="D1188" t="s">
        <v>121</v>
      </c>
      <c r="F1188" t="s">
        <v>120</v>
      </c>
      <c r="G1188" t="s">
        <v>433</v>
      </c>
      <c r="I1188" t="s">
        <v>6928</v>
      </c>
      <c r="J1188" t="s">
        <v>7</v>
      </c>
      <c r="K1188" s="63">
        <v>26247</v>
      </c>
      <c r="L1188" s="28">
        <f>DATEDIF(K1188,Zwift25!G$1,"Y")</f>
        <v>52</v>
      </c>
      <c r="M1188" s="67">
        <f>IF(J1188="m",VLOOKUP(L1188,'All Solo Adjustments'!A:D,4,FALSE),VLOOKUP(L1188,'All Solo Adjustments'!A:J,10,FALSE))</f>
        <v>1.4814814814814816E-3</v>
      </c>
      <c r="N1188" s="63"/>
      <c r="O1188" s="63"/>
      <c r="P1188" s="63"/>
      <c r="Q1188" s="63"/>
      <c r="R1188" t="s">
        <v>154</v>
      </c>
      <c r="S1188" t="s">
        <v>153</v>
      </c>
      <c r="T1188" t="s">
        <v>292</v>
      </c>
      <c r="U1188" t="s">
        <v>6927</v>
      </c>
      <c r="V1188" t="s">
        <v>1383</v>
      </c>
      <c r="W1188" t="s">
        <v>591</v>
      </c>
      <c r="X1188" t="s">
        <v>1059</v>
      </c>
      <c r="Y1188" t="s">
        <v>6926</v>
      </c>
      <c r="Z1188" t="str">
        <f>"07539245307"</f>
        <v>07539245307</v>
      </c>
      <c r="AA1188" t="str">
        <f>""</f>
        <v/>
      </c>
      <c r="AB1188" t="s">
        <v>6925</v>
      </c>
      <c r="AC1188" t="s">
        <v>6924</v>
      </c>
      <c r="AD1188" t="s">
        <v>114</v>
      </c>
      <c r="AE1188" s="63">
        <v>45292</v>
      </c>
      <c r="AF1188" t="s">
        <v>113</v>
      </c>
      <c r="AG1188" t="s">
        <v>112</v>
      </c>
      <c r="AH1188" t="s">
        <v>112</v>
      </c>
      <c r="AI1188" s="63">
        <v>44071</v>
      </c>
      <c r="AJ1188" s="63">
        <v>45657</v>
      </c>
      <c r="AK1188" t="s">
        <v>112</v>
      </c>
      <c r="AL1188" t="s">
        <v>111</v>
      </c>
      <c r="AM1188" t="s">
        <v>111</v>
      </c>
      <c r="AN1188">
        <v>35558</v>
      </c>
      <c r="AO1188" t="s">
        <v>110</v>
      </c>
      <c r="AP1188" t="s">
        <v>109</v>
      </c>
    </row>
    <row r="1189" spans="1:42" x14ac:dyDescent="0.25">
      <c r="A1189" s="28" t="str">
        <f>"5850"</f>
        <v>5850</v>
      </c>
      <c r="B1189">
        <v>5850</v>
      </c>
      <c r="C1189" t="s">
        <v>2488</v>
      </c>
      <c r="D1189" t="s">
        <v>121</v>
      </c>
      <c r="F1189" t="s">
        <v>120</v>
      </c>
      <c r="G1189" t="s">
        <v>284</v>
      </c>
      <c r="I1189" t="s">
        <v>6923</v>
      </c>
      <c r="J1189" t="s">
        <v>7</v>
      </c>
      <c r="K1189" s="63">
        <v>25063</v>
      </c>
      <c r="L1189" s="28">
        <f>DATEDIF(K1189,Zwift25!G$1,"Y")</f>
        <v>56</v>
      </c>
      <c r="M1189" s="67">
        <f>IF(J1189="m",VLOOKUP(L1189,'All Solo Adjustments'!A:D,4,FALSE),VLOOKUP(L1189,'All Solo Adjustments'!A:J,10,FALSE))</f>
        <v>2.2685185185185182E-3</v>
      </c>
      <c r="N1189" s="63"/>
      <c r="O1189" s="63"/>
      <c r="P1189" s="63"/>
      <c r="Q1189" s="63"/>
      <c r="R1189" t="s">
        <v>125</v>
      </c>
      <c r="S1189" t="s">
        <v>170</v>
      </c>
      <c r="T1189" t="s">
        <v>292</v>
      </c>
      <c r="U1189" t="s">
        <v>6922</v>
      </c>
      <c r="V1189" t="s">
        <v>730</v>
      </c>
      <c r="W1189" t="s">
        <v>435</v>
      </c>
      <c r="Y1189" t="s">
        <v>6921</v>
      </c>
      <c r="Z1189" t="str">
        <f>"07818715809"</f>
        <v>07818715809</v>
      </c>
      <c r="AA1189" t="str">
        <f>""</f>
        <v/>
      </c>
      <c r="AB1189" t="s">
        <v>434</v>
      </c>
      <c r="AC1189" t="s">
        <v>6920</v>
      </c>
      <c r="AD1189" t="s">
        <v>114</v>
      </c>
      <c r="AE1189" s="63">
        <v>45293</v>
      </c>
      <c r="AF1189" t="s">
        <v>113</v>
      </c>
      <c r="AG1189" t="s">
        <v>112</v>
      </c>
      <c r="AH1189" t="s">
        <v>112</v>
      </c>
      <c r="AI1189" s="63">
        <v>42496</v>
      </c>
      <c r="AJ1189" s="63">
        <v>45657</v>
      </c>
      <c r="AK1189" t="s">
        <v>111</v>
      </c>
      <c r="AL1189" t="s">
        <v>111</v>
      </c>
      <c r="AM1189" t="s">
        <v>111</v>
      </c>
      <c r="AN1189">
        <v>2685</v>
      </c>
      <c r="AO1189" t="s">
        <v>110</v>
      </c>
      <c r="AP1189" t="s">
        <v>109</v>
      </c>
    </row>
    <row r="1190" spans="1:42" x14ac:dyDescent="0.25">
      <c r="A1190" s="28" t="str">
        <f>"15510"</f>
        <v>15510</v>
      </c>
      <c r="B1190">
        <v>15510</v>
      </c>
      <c r="C1190" t="s">
        <v>2488</v>
      </c>
      <c r="D1190" t="s">
        <v>121</v>
      </c>
      <c r="F1190" t="s">
        <v>120</v>
      </c>
      <c r="G1190" t="s">
        <v>442</v>
      </c>
      <c r="H1190" t="s">
        <v>164</v>
      </c>
      <c r="I1190" t="s">
        <v>1695</v>
      </c>
      <c r="J1190" t="s">
        <v>7</v>
      </c>
      <c r="K1190" s="63">
        <v>17935</v>
      </c>
      <c r="L1190" s="28">
        <f>DATEDIF(K1190,Zwift25!G$1,"Y")</f>
        <v>75</v>
      </c>
      <c r="M1190" s="67">
        <f>IF(J1190="m",VLOOKUP(L1190,'All Solo Adjustments'!A:D,4,FALSE),VLOOKUP(L1190,'All Solo Adjustments'!A:J,10,FALSE))</f>
        <v>8.4374999999999988E-3</v>
      </c>
      <c r="N1190" s="63"/>
      <c r="O1190" s="63"/>
      <c r="P1190" s="63"/>
      <c r="Q1190" s="63"/>
      <c r="R1190" t="s">
        <v>125</v>
      </c>
      <c r="S1190" t="s">
        <v>170</v>
      </c>
      <c r="T1190" t="s">
        <v>292</v>
      </c>
      <c r="U1190" t="s">
        <v>6919</v>
      </c>
      <c r="V1190" t="s">
        <v>6918</v>
      </c>
      <c r="W1190" t="s">
        <v>1600</v>
      </c>
      <c r="X1190" t="s">
        <v>123</v>
      </c>
      <c r="Y1190" t="s">
        <v>6917</v>
      </c>
      <c r="Z1190" t="str">
        <f>"01277823286"</f>
        <v>01277823286</v>
      </c>
      <c r="AA1190" t="str">
        <f>"07717833736"</f>
        <v>07717833736</v>
      </c>
      <c r="AB1190" t="s">
        <v>6916</v>
      </c>
      <c r="AC1190" t="s">
        <v>6915</v>
      </c>
      <c r="AD1190" t="s">
        <v>114</v>
      </c>
      <c r="AE1190" s="63">
        <v>45262</v>
      </c>
      <c r="AF1190" t="s">
        <v>113</v>
      </c>
      <c r="AG1190" t="s">
        <v>112</v>
      </c>
      <c r="AH1190" t="s">
        <v>112</v>
      </c>
      <c r="AI1190" s="63">
        <v>44715</v>
      </c>
      <c r="AJ1190" s="63">
        <v>45657</v>
      </c>
      <c r="AK1190" t="s">
        <v>112</v>
      </c>
      <c r="AL1190" t="s">
        <v>111</v>
      </c>
      <c r="AM1190" t="s">
        <v>111</v>
      </c>
      <c r="AN1190">
        <v>1977</v>
      </c>
      <c r="AO1190" t="s">
        <v>110</v>
      </c>
      <c r="AP1190" t="s">
        <v>109</v>
      </c>
    </row>
    <row r="1191" spans="1:42" x14ac:dyDescent="0.25">
      <c r="A1191" s="28" t="str">
        <f>"1494"</f>
        <v>1494</v>
      </c>
      <c r="B1191">
        <v>1494</v>
      </c>
      <c r="C1191" t="s">
        <v>2488</v>
      </c>
      <c r="D1191" t="s">
        <v>121</v>
      </c>
      <c r="F1191" t="s">
        <v>120</v>
      </c>
      <c r="G1191" t="s">
        <v>481</v>
      </c>
      <c r="I1191" t="s">
        <v>6914</v>
      </c>
      <c r="J1191" t="s">
        <v>7</v>
      </c>
      <c r="K1191" s="63">
        <v>13726</v>
      </c>
      <c r="L1191" s="28">
        <f>DATEDIF(K1191,Zwift25!G$1,"Y")</f>
        <v>87</v>
      </c>
      <c r="M1191" s="67">
        <f>IF(J1191="m",VLOOKUP(L1191,'All Solo Adjustments'!A:D,4,FALSE),VLOOKUP(L1191,'All Solo Adjustments'!A:J,10,FALSE))</f>
        <v>1.576388888888889E-2</v>
      </c>
      <c r="N1191" s="63"/>
      <c r="O1191" s="63"/>
      <c r="P1191" s="63"/>
      <c r="Q1191" s="63"/>
      <c r="R1191" t="s">
        <v>527</v>
      </c>
      <c r="S1191" t="s">
        <v>612</v>
      </c>
      <c r="T1191" t="s">
        <v>292</v>
      </c>
      <c r="U1191" t="s">
        <v>6913</v>
      </c>
      <c r="V1191" t="s">
        <v>6912</v>
      </c>
      <c r="W1191" t="s">
        <v>6911</v>
      </c>
      <c r="X1191" t="s">
        <v>854</v>
      </c>
      <c r="Y1191" t="s">
        <v>6910</v>
      </c>
      <c r="Z1191" t="str">
        <f>"01670 811404"</f>
        <v>01670 811404</v>
      </c>
      <c r="AA1191" t="str">
        <f>""</f>
        <v/>
      </c>
      <c r="AB1191" t="s">
        <v>290</v>
      </c>
      <c r="AD1191" t="s">
        <v>151</v>
      </c>
      <c r="AF1191" t="s">
        <v>113</v>
      </c>
      <c r="AG1191" t="s">
        <v>112</v>
      </c>
      <c r="AH1191" t="s">
        <v>112</v>
      </c>
      <c r="AK1191" t="s">
        <v>111</v>
      </c>
      <c r="AL1191" t="s">
        <v>111</v>
      </c>
      <c r="AM1191" t="s">
        <v>111</v>
      </c>
      <c r="AN1191" t="s">
        <v>105</v>
      </c>
      <c r="AO1191" t="s">
        <v>110</v>
      </c>
      <c r="AP1191" t="s">
        <v>109</v>
      </c>
    </row>
    <row r="1192" spans="1:42" x14ac:dyDescent="0.25">
      <c r="A1192" s="28" t="str">
        <f>"16187"</f>
        <v>16187</v>
      </c>
      <c r="B1192">
        <v>16187</v>
      </c>
      <c r="C1192" t="s">
        <v>2488</v>
      </c>
      <c r="D1192" t="s">
        <v>121</v>
      </c>
      <c r="E1192" t="s">
        <v>584</v>
      </c>
      <c r="F1192" t="s">
        <v>149</v>
      </c>
      <c r="G1192" t="s">
        <v>6909</v>
      </c>
      <c r="I1192" t="s">
        <v>1833</v>
      </c>
      <c r="J1192" t="s">
        <v>126</v>
      </c>
      <c r="K1192" s="63">
        <v>25028</v>
      </c>
      <c r="L1192" s="28">
        <f>DATEDIF(K1192,Zwift25!G$1,"Y")</f>
        <v>56</v>
      </c>
      <c r="M1192" s="67">
        <f>IF(J1192="m",VLOOKUP(L1192,'All Solo Adjustments'!A:D,4,FALSE),VLOOKUP(L1192,'All Solo Adjustments'!A:J,10,FALSE))</f>
        <v>5.8564814814814807E-3</v>
      </c>
      <c r="N1192" s="63"/>
      <c r="O1192" s="63"/>
      <c r="P1192" s="63"/>
      <c r="Q1192" s="63"/>
      <c r="R1192" t="s">
        <v>283</v>
      </c>
      <c r="S1192" t="s">
        <v>530</v>
      </c>
      <c r="T1192" t="s">
        <v>292</v>
      </c>
      <c r="U1192" t="s">
        <v>6908</v>
      </c>
      <c r="V1192" t="s">
        <v>1891</v>
      </c>
      <c r="W1192" t="s">
        <v>1609</v>
      </c>
      <c r="Y1192" t="s">
        <v>6907</v>
      </c>
      <c r="Z1192" t="str">
        <f>"07854842950"</f>
        <v>07854842950</v>
      </c>
      <c r="AA1192" t="str">
        <f>""</f>
        <v/>
      </c>
      <c r="AB1192" t="s">
        <v>6906</v>
      </c>
      <c r="AC1192" t="s">
        <v>6905</v>
      </c>
      <c r="AD1192" t="s">
        <v>114</v>
      </c>
      <c r="AE1192" s="63">
        <v>45486</v>
      </c>
      <c r="AF1192" t="s">
        <v>156</v>
      </c>
      <c r="AG1192" t="s">
        <v>112</v>
      </c>
      <c r="AH1192" t="s">
        <v>112</v>
      </c>
      <c r="AI1192" s="63">
        <v>45486</v>
      </c>
      <c r="AJ1192" s="63">
        <v>45657</v>
      </c>
      <c r="AK1192" t="s">
        <v>112</v>
      </c>
      <c r="AL1192" t="s">
        <v>111</v>
      </c>
      <c r="AM1192" t="s">
        <v>111</v>
      </c>
      <c r="AN1192">
        <v>38109</v>
      </c>
      <c r="AO1192" t="s">
        <v>122</v>
      </c>
      <c r="AP1192" t="s">
        <v>122</v>
      </c>
    </row>
    <row r="1193" spans="1:42" x14ac:dyDescent="0.25">
      <c r="A1193" s="28" t="str">
        <f>"14165"</f>
        <v>14165</v>
      </c>
      <c r="B1193">
        <v>14165</v>
      </c>
      <c r="C1193" t="s">
        <v>2488</v>
      </c>
      <c r="D1193" t="s">
        <v>121</v>
      </c>
      <c r="E1193" t="s">
        <v>584</v>
      </c>
      <c r="F1193" t="s">
        <v>120</v>
      </c>
      <c r="G1193" t="s">
        <v>492</v>
      </c>
      <c r="I1193" t="s">
        <v>6904</v>
      </c>
      <c r="J1193" t="s">
        <v>7</v>
      </c>
      <c r="K1193" s="63">
        <v>23273</v>
      </c>
      <c r="L1193" s="28">
        <f>DATEDIF(K1193,Zwift25!G$1,"Y")</f>
        <v>61</v>
      </c>
      <c r="M1193" s="67">
        <f>IF(J1193="m",VLOOKUP(L1193,'All Solo Adjustments'!A:D,4,FALSE),VLOOKUP(L1193,'All Solo Adjustments'!A:J,10,FALSE))</f>
        <v>3.4722222222222225E-3</v>
      </c>
      <c r="N1193" s="63"/>
      <c r="O1193" s="63"/>
      <c r="P1193" s="63"/>
      <c r="Q1193" s="63"/>
      <c r="R1193" t="s">
        <v>296</v>
      </c>
      <c r="S1193" t="s">
        <v>295</v>
      </c>
      <c r="T1193" t="s">
        <v>292</v>
      </c>
      <c r="U1193" t="s">
        <v>6903</v>
      </c>
      <c r="V1193" t="s">
        <v>6902</v>
      </c>
      <c r="Y1193" t="s">
        <v>6901</v>
      </c>
      <c r="Z1193" t="str">
        <f>"07919 920 801"</f>
        <v>07919 920 801</v>
      </c>
      <c r="AA1193" t="str">
        <f>""</f>
        <v/>
      </c>
      <c r="AB1193" t="s">
        <v>294</v>
      </c>
      <c r="AC1193" t="s">
        <v>6900</v>
      </c>
      <c r="AD1193" t="s">
        <v>114</v>
      </c>
      <c r="AE1193" s="63">
        <v>45284</v>
      </c>
      <c r="AF1193" t="s">
        <v>156</v>
      </c>
      <c r="AG1193" t="s">
        <v>112</v>
      </c>
      <c r="AH1193" t="s">
        <v>112</v>
      </c>
      <c r="AI1193" s="63">
        <v>43564</v>
      </c>
      <c r="AJ1193" s="63">
        <v>45657</v>
      </c>
      <c r="AK1193" t="s">
        <v>112</v>
      </c>
      <c r="AL1193" t="s">
        <v>111</v>
      </c>
      <c r="AM1193" t="s">
        <v>111</v>
      </c>
      <c r="AN1193">
        <v>29842</v>
      </c>
      <c r="AO1193" t="s">
        <v>110</v>
      </c>
      <c r="AP1193" t="s">
        <v>109</v>
      </c>
    </row>
    <row r="1194" spans="1:42" x14ac:dyDescent="0.25">
      <c r="A1194" s="28" t="str">
        <f>"1498"</f>
        <v>1498</v>
      </c>
      <c r="B1194">
        <v>1498</v>
      </c>
      <c r="C1194" t="s">
        <v>2488</v>
      </c>
      <c r="D1194" t="s">
        <v>121</v>
      </c>
      <c r="F1194" t="s">
        <v>120</v>
      </c>
      <c r="G1194" t="s">
        <v>185</v>
      </c>
      <c r="H1194" t="s">
        <v>492</v>
      </c>
      <c r="I1194" t="s">
        <v>6899</v>
      </c>
      <c r="J1194" t="s">
        <v>7</v>
      </c>
      <c r="K1194" s="63">
        <v>23322</v>
      </c>
      <c r="L1194" s="28">
        <f>DATEDIF(K1194,Zwift25!G$1,"Y")</f>
        <v>60</v>
      </c>
      <c r="M1194" s="67">
        <f>IF(J1194="m",VLOOKUP(L1194,'All Solo Adjustments'!A:D,4,FALSE),VLOOKUP(L1194,'All Solo Adjustments'!A:J,10,FALSE))</f>
        <v>3.2060185185185186E-3</v>
      </c>
      <c r="N1194" s="63"/>
      <c r="O1194" s="63"/>
      <c r="P1194" s="63"/>
      <c r="Q1194" s="63"/>
      <c r="R1194" t="s">
        <v>118</v>
      </c>
      <c r="S1194" t="s">
        <v>117</v>
      </c>
      <c r="T1194" t="s">
        <v>292</v>
      </c>
      <c r="U1194" t="s">
        <v>6898</v>
      </c>
      <c r="V1194" t="s">
        <v>786</v>
      </c>
      <c r="W1194" t="s">
        <v>1289</v>
      </c>
      <c r="X1194" t="s">
        <v>968</v>
      </c>
      <c r="Y1194" t="s">
        <v>6897</v>
      </c>
      <c r="Z1194" t="str">
        <f>"07946274051"</f>
        <v>07946274051</v>
      </c>
      <c r="AA1194" t="str">
        <f>"01246 232010"</f>
        <v>01246 232010</v>
      </c>
      <c r="AB1194" t="s">
        <v>650</v>
      </c>
      <c r="AC1194" t="s">
        <v>6896</v>
      </c>
      <c r="AD1194" t="s">
        <v>114</v>
      </c>
      <c r="AE1194" s="63">
        <v>45315</v>
      </c>
      <c r="AF1194" t="s">
        <v>113</v>
      </c>
      <c r="AG1194" t="s">
        <v>112</v>
      </c>
      <c r="AH1194" t="s">
        <v>112</v>
      </c>
      <c r="AI1194" s="63">
        <v>38759</v>
      </c>
      <c r="AJ1194" s="63">
        <v>45657</v>
      </c>
      <c r="AK1194" t="s">
        <v>111</v>
      </c>
      <c r="AL1194" t="s">
        <v>111</v>
      </c>
      <c r="AM1194" t="s">
        <v>111</v>
      </c>
      <c r="AN1194">
        <v>14396</v>
      </c>
      <c r="AO1194" t="s">
        <v>110</v>
      </c>
      <c r="AP1194" t="s">
        <v>109</v>
      </c>
    </row>
    <row r="1195" spans="1:42" x14ac:dyDescent="0.25">
      <c r="A1195" s="28" t="str">
        <f>"1499"</f>
        <v>1499</v>
      </c>
      <c r="B1195">
        <v>1499</v>
      </c>
      <c r="C1195" t="s">
        <v>2488</v>
      </c>
      <c r="D1195" t="s">
        <v>121</v>
      </c>
      <c r="F1195" t="s">
        <v>120</v>
      </c>
      <c r="G1195" t="s">
        <v>185</v>
      </c>
      <c r="I1195" t="s">
        <v>6895</v>
      </c>
      <c r="J1195" t="s">
        <v>7</v>
      </c>
      <c r="K1195" s="63">
        <v>18362</v>
      </c>
      <c r="L1195" s="28">
        <f>DATEDIF(K1195,Zwift25!G$1,"Y")</f>
        <v>74</v>
      </c>
      <c r="M1195" s="67">
        <f>IF(J1195="m",VLOOKUP(L1195,'All Solo Adjustments'!A:D,4,FALSE),VLOOKUP(L1195,'All Solo Adjustments'!A:J,10,FALSE))</f>
        <v>7.9861111111111122E-3</v>
      </c>
      <c r="N1195" s="63"/>
      <c r="O1195" s="63"/>
      <c r="P1195" s="63"/>
      <c r="Q1195" s="63"/>
      <c r="R1195" t="s">
        <v>184</v>
      </c>
      <c r="S1195" t="s">
        <v>183</v>
      </c>
      <c r="T1195" t="s">
        <v>292</v>
      </c>
      <c r="U1195" t="s">
        <v>6894</v>
      </c>
      <c r="V1195" t="s">
        <v>1175</v>
      </c>
      <c r="Y1195" t="s">
        <v>6893</v>
      </c>
      <c r="Z1195" t="str">
        <f>""</f>
        <v/>
      </c>
      <c r="AA1195" t="str">
        <f>"07976828411"</f>
        <v>07976828411</v>
      </c>
      <c r="AB1195" t="s">
        <v>1076</v>
      </c>
      <c r="AC1195" t="s">
        <v>6892</v>
      </c>
      <c r="AD1195" t="s">
        <v>145</v>
      </c>
      <c r="AE1195" s="63">
        <v>45269</v>
      </c>
      <c r="AF1195" t="s">
        <v>113</v>
      </c>
      <c r="AG1195" t="s">
        <v>112</v>
      </c>
      <c r="AH1195" t="s">
        <v>112</v>
      </c>
      <c r="AI1195" s="63">
        <v>43483</v>
      </c>
      <c r="AJ1195" s="63">
        <v>45657</v>
      </c>
      <c r="AK1195" t="s">
        <v>111</v>
      </c>
      <c r="AL1195" t="s">
        <v>111</v>
      </c>
      <c r="AM1195" t="s">
        <v>111</v>
      </c>
      <c r="AN1195" t="s">
        <v>105</v>
      </c>
      <c r="AO1195" t="s">
        <v>110</v>
      </c>
      <c r="AP1195" t="s">
        <v>109</v>
      </c>
    </row>
    <row r="1196" spans="1:42" x14ac:dyDescent="0.25">
      <c r="A1196" s="28" t="str">
        <f>"5384"</f>
        <v>5384</v>
      </c>
      <c r="B1196">
        <v>5384</v>
      </c>
      <c r="C1196" t="s">
        <v>2488</v>
      </c>
      <c r="D1196" t="s">
        <v>121</v>
      </c>
      <c r="E1196" t="s">
        <v>5803</v>
      </c>
      <c r="F1196" t="s">
        <v>120</v>
      </c>
      <c r="G1196" t="s">
        <v>284</v>
      </c>
      <c r="I1196" t="s">
        <v>6891</v>
      </c>
      <c r="J1196" t="s">
        <v>7</v>
      </c>
      <c r="K1196" s="63">
        <v>23864</v>
      </c>
      <c r="L1196" s="28">
        <f>DATEDIF(K1196,Zwift25!G$1,"Y")</f>
        <v>59</v>
      </c>
      <c r="M1196" s="67">
        <f>IF(J1196="m",VLOOKUP(L1196,'All Solo Adjustments'!A:D,4,FALSE),VLOOKUP(L1196,'All Solo Adjustments'!A:J,10,FALSE))</f>
        <v>2.9629629629629632E-3</v>
      </c>
      <c r="N1196" s="63"/>
      <c r="O1196" s="63"/>
      <c r="P1196" s="63"/>
      <c r="Q1196" s="63"/>
      <c r="R1196" t="s">
        <v>143</v>
      </c>
      <c r="S1196" t="s">
        <v>142</v>
      </c>
      <c r="T1196" t="s">
        <v>292</v>
      </c>
      <c r="U1196" t="s">
        <v>6890</v>
      </c>
      <c r="V1196" t="s">
        <v>1854</v>
      </c>
      <c r="W1196" t="s">
        <v>486</v>
      </c>
      <c r="Y1196" t="s">
        <v>6889</v>
      </c>
      <c r="Z1196" t="str">
        <f>"07780 762283"</f>
        <v>07780 762283</v>
      </c>
      <c r="AA1196" t="str">
        <f>""</f>
        <v/>
      </c>
      <c r="AB1196" t="s">
        <v>305</v>
      </c>
      <c r="AC1196" t="s">
        <v>6888</v>
      </c>
      <c r="AD1196" t="s">
        <v>114</v>
      </c>
      <c r="AE1196" s="63">
        <v>45289</v>
      </c>
      <c r="AF1196" t="s">
        <v>113</v>
      </c>
      <c r="AG1196" t="s">
        <v>112</v>
      </c>
      <c r="AH1196" t="s">
        <v>112</v>
      </c>
      <c r="AI1196" s="63">
        <v>42094</v>
      </c>
      <c r="AJ1196" s="63">
        <v>45657</v>
      </c>
      <c r="AK1196" t="s">
        <v>111</v>
      </c>
      <c r="AL1196" t="s">
        <v>111</v>
      </c>
      <c r="AM1196" t="s">
        <v>111</v>
      </c>
      <c r="AN1196">
        <v>5705</v>
      </c>
      <c r="AO1196" t="s">
        <v>110</v>
      </c>
      <c r="AP1196" t="s">
        <v>109</v>
      </c>
    </row>
    <row r="1197" spans="1:42" x14ac:dyDescent="0.25">
      <c r="A1197" s="28" t="str">
        <f>"4883"</f>
        <v>4883</v>
      </c>
      <c r="B1197">
        <v>4883</v>
      </c>
      <c r="C1197" t="s">
        <v>2488</v>
      </c>
      <c r="D1197" t="s">
        <v>121</v>
      </c>
      <c r="F1197" t="s">
        <v>120</v>
      </c>
      <c r="G1197" t="s">
        <v>6887</v>
      </c>
      <c r="I1197" t="s">
        <v>6886</v>
      </c>
      <c r="J1197" t="s">
        <v>7</v>
      </c>
      <c r="K1197" s="63">
        <v>24247</v>
      </c>
      <c r="L1197" s="28">
        <f>DATEDIF(K1197,Zwift25!G$1,"Y")</f>
        <v>58</v>
      </c>
      <c r="M1197" s="67">
        <f>IF(J1197="m",VLOOKUP(L1197,'All Solo Adjustments'!A:D,4,FALSE),VLOOKUP(L1197,'All Solo Adjustments'!A:J,10,FALSE))</f>
        <v>2.7199074074074074E-3</v>
      </c>
      <c r="N1197" s="63"/>
      <c r="O1197" s="63"/>
      <c r="P1197" s="63"/>
      <c r="Q1197" s="63"/>
      <c r="R1197" t="s">
        <v>383</v>
      </c>
      <c r="S1197" t="s">
        <v>382</v>
      </c>
      <c r="T1197" t="s">
        <v>292</v>
      </c>
      <c r="U1197" t="s">
        <v>6885</v>
      </c>
      <c r="V1197" t="s">
        <v>1319</v>
      </c>
      <c r="Y1197" t="s">
        <v>6884</v>
      </c>
      <c r="Z1197" t="str">
        <f>"07876 748301"</f>
        <v>07876 748301</v>
      </c>
      <c r="AA1197" t="str">
        <f>""</f>
        <v/>
      </c>
      <c r="AB1197" t="s">
        <v>6883</v>
      </c>
      <c r="AC1197" t="s">
        <v>6882</v>
      </c>
      <c r="AD1197" t="s">
        <v>114</v>
      </c>
      <c r="AE1197" s="63">
        <v>45284</v>
      </c>
      <c r="AF1197" t="s">
        <v>156</v>
      </c>
      <c r="AG1197" t="s">
        <v>112</v>
      </c>
      <c r="AH1197" t="s">
        <v>112</v>
      </c>
      <c r="AI1197" s="63">
        <v>41657</v>
      </c>
      <c r="AJ1197" s="63">
        <v>45657</v>
      </c>
      <c r="AK1197" t="s">
        <v>111</v>
      </c>
      <c r="AL1197" t="s">
        <v>111</v>
      </c>
      <c r="AM1197" t="s">
        <v>111</v>
      </c>
      <c r="AN1197">
        <v>5568</v>
      </c>
      <c r="AO1197" t="s">
        <v>110</v>
      </c>
      <c r="AP1197" t="s">
        <v>109</v>
      </c>
    </row>
    <row r="1198" spans="1:42" x14ac:dyDescent="0.25">
      <c r="A1198" s="28" t="str">
        <f>"15670"</f>
        <v>15670</v>
      </c>
      <c r="B1198">
        <v>15670</v>
      </c>
      <c r="C1198" t="s">
        <v>2488</v>
      </c>
      <c r="D1198" t="s">
        <v>121</v>
      </c>
      <c r="E1198" t="s">
        <v>584</v>
      </c>
      <c r="F1198" t="s">
        <v>120</v>
      </c>
      <c r="G1198" t="s">
        <v>6881</v>
      </c>
      <c r="I1198" t="s">
        <v>6880</v>
      </c>
      <c r="J1198" t="s">
        <v>7</v>
      </c>
      <c r="K1198" s="63">
        <v>24948</v>
      </c>
      <c r="L1198" s="28">
        <f>DATEDIF(K1198,Zwift25!G$1,"Y")</f>
        <v>56</v>
      </c>
      <c r="M1198" s="67">
        <f>IF(J1198="m",VLOOKUP(L1198,'All Solo Adjustments'!A:D,4,FALSE),VLOOKUP(L1198,'All Solo Adjustments'!A:J,10,FALSE))</f>
        <v>2.2685185185185182E-3</v>
      </c>
      <c r="N1198" s="63"/>
      <c r="O1198" s="63"/>
      <c r="P1198" s="63"/>
      <c r="Q1198" s="63"/>
      <c r="R1198" t="s">
        <v>296</v>
      </c>
      <c r="S1198" t="s">
        <v>295</v>
      </c>
      <c r="T1198" t="s">
        <v>292</v>
      </c>
      <c r="U1198" t="s">
        <v>6879</v>
      </c>
      <c r="V1198" t="s">
        <v>1701</v>
      </c>
      <c r="W1198" t="s">
        <v>804</v>
      </c>
      <c r="Y1198" t="s">
        <v>6878</v>
      </c>
      <c r="Z1198" t="str">
        <f>"07909748758"</f>
        <v>07909748758</v>
      </c>
      <c r="AA1198" t="str">
        <f>""</f>
        <v/>
      </c>
      <c r="AB1198" t="s">
        <v>803</v>
      </c>
      <c r="AC1198" t="s">
        <v>6877</v>
      </c>
      <c r="AD1198" t="s">
        <v>114</v>
      </c>
      <c r="AE1198" s="63">
        <v>45275</v>
      </c>
      <c r="AF1198" t="s">
        <v>156</v>
      </c>
      <c r="AG1198" t="s">
        <v>111</v>
      </c>
      <c r="AH1198" t="s">
        <v>112</v>
      </c>
      <c r="AI1198" s="63">
        <v>44952</v>
      </c>
      <c r="AJ1198" s="63">
        <v>45657</v>
      </c>
      <c r="AK1198" t="s">
        <v>112</v>
      </c>
      <c r="AL1198" t="s">
        <v>111</v>
      </c>
      <c r="AM1198" t="s">
        <v>111</v>
      </c>
      <c r="AN1198">
        <v>9269</v>
      </c>
      <c r="AO1198" t="s">
        <v>110</v>
      </c>
      <c r="AP1198" t="s">
        <v>109</v>
      </c>
    </row>
    <row r="1199" spans="1:42" x14ac:dyDescent="0.25">
      <c r="A1199" s="28" t="str">
        <f>"6335"</f>
        <v>6335</v>
      </c>
      <c r="B1199">
        <v>6335</v>
      </c>
      <c r="C1199" t="s">
        <v>2488</v>
      </c>
      <c r="D1199" t="s">
        <v>121</v>
      </c>
      <c r="F1199" t="s">
        <v>120</v>
      </c>
      <c r="G1199" t="s">
        <v>1537</v>
      </c>
      <c r="H1199" t="s">
        <v>433</v>
      </c>
      <c r="I1199" t="s">
        <v>6876</v>
      </c>
      <c r="J1199" t="s">
        <v>7</v>
      </c>
      <c r="K1199" s="63">
        <v>25636</v>
      </c>
      <c r="L1199" s="28">
        <f>DATEDIF(K1199,Zwift25!G$1,"Y")</f>
        <v>54</v>
      </c>
      <c r="M1199" s="67">
        <f>IF(J1199="m",VLOOKUP(L1199,'All Solo Adjustments'!A:D,4,FALSE),VLOOKUP(L1199,'All Solo Adjustments'!A:J,10,FALSE))</f>
        <v>1.8518518518518517E-3</v>
      </c>
      <c r="N1199" s="63"/>
      <c r="O1199" s="63"/>
      <c r="P1199" s="63"/>
      <c r="Q1199" s="63"/>
      <c r="R1199" t="s">
        <v>125</v>
      </c>
      <c r="S1199" t="s">
        <v>170</v>
      </c>
      <c r="T1199" t="s">
        <v>292</v>
      </c>
      <c r="U1199" t="s">
        <v>6875</v>
      </c>
      <c r="V1199" t="s">
        <v>1572</v>
      </c>
      <c r="W1199" t="s">
        <v>167</v>
      </c>
      <c r="Y1199" t="s">
        <v>6874</v>
      </c>
      <c r="Z1199" t="str">
        <f>"07802 834700"</f>
        <v>07802 834700</v>
      </c>
      <c r="AA1199" t="str">
        <f>""</f>
        <v/>
      </c>
      <c r="AB1199" t="s">
        <v>923</v>
      </c>
      <c r="AC1199" t="s">
        <v>6873</v>
      </c>
      <c r="AD1199" t="s">
        <v>145</v>
      </c>
      <c r="AE1199" s="63">
        <v>45300</v>
      </c>
      <c r="AF1199" t="s">
        <v>113</v>
      </c>
      <c r="AG1199" t="s">
        <v>112</v>
      </c>
      <c r="AH1199" t="s">
        <v>112</v>
      </c>
      <c r="AI1199" s="63">
        <v>42955</v>
      </c>
      <c r="AJ1199" s="63">
        <v>45657</v>
      </c>
      <c r="AK1199" t="s">
        <v>111</v>
      </c>
      <c r="AL1199" t="s">
        <v>111</v>
      </c>
      <c r="AM1199" t="s">
        <v>111</v>
      </c>
      <c r="AN1199">
        <v>5647</v>
      </c>
      <c r="AO1199" t="s">
        <v>110</v>
      </c>
      <c r="AP1199" t="s">
        <v>109</v>
      </c>
    </row>
    <row r="1200" spans="1:42" x14ac:dyDescent="0.25">
      <c r="A1200" s="28" t="str">
        <f>"1507"</f>
        <v>1507</v>
      </c>
      <c r="B1200">
        <v>1507</v>
      </c>
      <c r="C1200" t="s">
        <v>2488</v>
      </c>
      <c r="D1200" t="s">
        <v>121</v>
      </c>
      <c r="F1200" t="s">
        <v>120</v>
      </c>
      <c r="G1200" t="s">
        <v>977</v>
      </c>
      <c r="I1200" t="s">
        <v>1686</v>
      </c>
      <c r="J1200" t="s">
        <v>7</v>
      </c>
      <c r="K1200" s="63">
        <v>10980</v>
      </c>
      <c r="L1200" s="28">
        <f>DATEDIF(K1200,Zwift25!G$1,"Y")</f>
        <v>94</v>
      </c>
      <c r="M1200" s="67">
        <f>IF(J1200="m",VLOOKUP(L1200,'All Solo Adjustments'!A:D,4,FALSE),VLOOKUP(L1200,'All Solo Adjustments'!A:J,10,FALSE))</f>
        <v>2.2685185185185187E-2</v>
      </c>
      <c r="N1200" s="63"/>
      <c r="O1200" s="63"/>
      <c r="P1200" s="63"/>
      <c r="Q1200" s="63"/>
      <c r="R1200" t="s">
        <v>125</v>
      </c>
      <c r="S1200" t="s">
        <v>484</v>
      </c>
      <c r="T1200" t="s">
        <v>292</v>
      </c>
      <c r="U1200" t="s">
        <v>6872</v>
      </c>
      <c r="V1200" t="s">
        <v>266</v>
      </c>
      <c r="W1200" t="s">
        <v>123</v>
      </c>
      <c r="Y1200" t="s">
        <v>6871</v>
      </c>
      <c r="Z1200" t="str">
        <f>"01702 528329"</f>
        <v>01702 528329</v>
      </c>
      <c r="AA1200" t="str">
        <f>""</f>
        <v/>
      </c>
      <c r="AB1200" t="s">
        <v>596</v>
      </c>
      <c r="AD1200" t="s">
        <v>151</v>
      </c>
      <c r="AF1200" t="s">
        <v>113</v>
      </c>
      <c r="AG1200" t="s">
        <v>112</v>
      </c>
      <c r="AH1200" t="s">
        <v>112</v>
      </c>
      <c r="AI1200" s="63">
        <v>25715</v>
      </c>
      <c r="AK1200" t="s">
        <v>111</v>
      </c>
      <c r="AL1200" t="s">
        <v>111</v>
      </c>
      <c r="AM1200" t="s">
        <v>111</v>
      </c>
      <c r="AN1200" t="s">
        <v>105</v>
      </c>
      <c r="AO1200" t="s">
        <v>110</v>
      </c>
      <c r="AP1200" t="s">
        <v>109</v>
      </c>
    </row>
    <row r="1201" spans="1:42" x14ac:dyDescent="0.25">
      <c r="A1201" s="28" t="str">
        <f>"1509"</f>
        <v>1509</v>
      </c>
      <c r="B1201">
        <v>1509</v>
      </c>
      <c r="C1201" t="s">
        <v>2488</v>
      </c>
      <c r="D1201" t="s">
        <v>121</v>
      </c>
      <c r="F1201" t="s">
        <v>120</v>
      </c>
      <c r="G1201" t="s">
        <v>227</v>
      </c>
      <c r="I1201" t="s">
        <v>593</v>
      </c>
      <c r="J1201" t="s">
        <v>7</v>
      </c>
      <c r="K1201" s="63">
        <v>15128</v>
      </c>
      <c r="L1201" s="28">
        <f>DATEDIF(K1201,Zwift25!G$1,"Y")</f>
        <v>83</v>
      </c>
      <c r="M1201" s="67">
        <f>IF(J1201="m",VLOOKUP(L1201,'All Solo Adjustments'!A:D,4,FALSE),VLOOKUP(L1201,'All Solo Adjustments'!A:J,10,FALSE))</f>
        <v>1.2858796296296297E-2</v>
      </c>
      <c r="N1201" s="63"/>
      <c r="O1201" s="63"/>
      <c r="P1201" s="63"/>
      <c r="Q1201" s="63"/>
      <c r="R1201" t="s">
        <v>184</v>
      </c>
      <c r="S1201" t="s">
        <v>835</v>
      </c>
      <c r="T1201" t="s">
        <v>292</v>
      </c>
      <c r="U1201" t="s">
        <v>6870</v>
      </c>
      <c r="V1201" t="s">
        <v>6869</v>
      </c>
      <c r="W1201" t="s">
        <v>264</v>
      </c>
      <c r="Y1201" t="s">
        <v>6868</v>
      </c>
      <c r="Z1201" t="str">
        <f>"01483 473319"</f>
        <v>01483 473319</v>
      </c>
      <c r="AA1201" t="str">
        <f>""</f>
        <v/>
      </c>
      <c r="AB1201" t="s">
        <v>2343</v>
      </c>
      <c r="AC1201" t="s">
        <v>6867</v>
      </c>
      <c r="AD1201" t="s">
        <v>145</v>
      </c>
      <c r="AF1201" t="s">
        <v>113</v>
      </c>
      <c r="AG1201" t="s">
        <v>112</v>
      </c>
      <c r="AH1201" t="s">
        <v>112</v>
      </c>
      <c r="AI1201" s="63">
        <v>43523</v>
      </c>
      <c r="AK1201" t="s">
        <v>111</v>
      </c>
      <c r="AL1201" t="s">
        <v>111</v>
      </c>
      <c r="AM1201" t="s">
        <v>111</v>
      </c>
      <c r="AN1201" t="s">
        <v>105</v>
      </c>
      <c r="AO1201" t="s">
        <v>110</v>
      </c>
      <c r="AP1201" t="s">
        <v>109</v>
      </c>
    </row>
    <row r="1202" spans="1:42" x14ac:dyDescent="0.25">
      <c r="A1202" s="28" t="str">
        <f>"5397"</f>
        <v>5397</v>
      </c>
      <c r="B1202">
        <v>5397</v>
      </c>
      <c r="C1202" t="s">
        <v>2488</v>
      </c>
      <c r="D1202" t="s">
        <v>121</v>
      </c>
      <c r="F1202" t="s">
        <v>120</v>
      </c>
      <c r="G1202" t="s">
        <v>995</v>
      </c>
      <c r="H1202" t="s">
        <v>705</v>
      </c>
      <c r="I1202" t="s">
        <v>6866</v>
      </c>
      <c r="J1202" t="s">
        <v>7</v>
      </c>
      <c r="K1202" s="63">
        <v>23871</v>
      </c>
      <c r="L1202" s="28">
        <f>DATEDIF(K1202,Zwift25!G$1,"Y")</f>
        <v>59</v>
      </c>
      <c r="M1202" s="67">
        <f>IF(J1202="m",VLOOKUP(L1202,'All Solo Adjustments'!A:D,4,FALSE),VLOOKUP(L1202,'All Solo Adjustments'!A:J,10,FALSE))</f>
        <v>2.9629629629629632E-3</v>
      </c>
      <c r="N1202" s="63"/>
      <c r="O1202" s="63"/>
      <c r="P1202" s="63"/>
      <c r="Q1202" s="63"/>
      <c r="R1202" t="s">
        <v>184</v>
      </c>
      <c r="S1202" t="s">
        <v>183</v>
      </c>
      <c r="T1202" t="s">
        <v>292</v>
      </c>
      <c r="U1202" t="s">
        <v>6865</v>
      </c>
      <c r="V1202" t="s">
        <v>6864</v>
      </c>
      <c r="W1202" t="s">
        <v>1077</v>
      </c>
      <c r="Y1202" t="s">
        <v>6863</v>
      </c>
      <c r="Z1202" t="str">
        <f>"07828471021"</f>
        <v>07828471021</v>
      </c>
      <c r="AA1202" t="str">
        <f>""</f>
        <v/>
      </c>
      <c r="AB1202" t="s">
        <v>1361</v>
      </c>
      <c r="AC1202" t="s">
        <v>6862</v>
      </c>
      <c r="AD1202" t="s">
        <v>114</v>
      </c>
      <c r="AE1202" s="63">
        <v>45262</v>
      </c>
      <c r="AF1202" t="s">
        <v>156</v>
      </c>
      <c r="AG1202" t="s">
        <v>112</v>
      </c>
      <c r="AH1202" t="s">
        <v>112</v>
      </c>
      <c r="AI1202" s="63">
        <v>42098</v>
      </c>
      <c r="AJ1202" s="63">
        <v>45657</v>
      </c>
      <c r="AK1202" t="s">
        <v>111</v>
      </c>
      <c r="AL1202" t="s">
        <v>111</v>
      </c>
      <c r="AM1202" t="s">
        <v>111</v>
      </c>
      <c r="AN1202">
        <v>4596</v>
      </c>
      <c r="AO1202" t="s">
        <v>110</v>
      </c>
      <c r="AP1202" t="s">
        <v>109</v>
      </c>
    </row>
    <row r="1203" spans="1:42" x14ac:dyDescent="0.25">
      <c r="A1203" s="28" t="str">
        <f>"15327"</f>
        <v>15327</v>
      </c>
      <c r="B1203">
        <v>15327</v>
      </c>
      <c r="C1203" t="s">
        <v>2488</v>
      </c>
      <c r="D1203" t="s">
        <v>121</v>
      </c>
      <c r="E1203" t="s">
        <v>584</v>
      </c>
      <c r="F1203" t="s">
        <v>120</v>
      </c>
      <c r="G1203" t="s">
        <v>744</v>
      </c>
      <c r="I1203" t="s">
        <v>593</v>
      </c>
      <c r="J1203" t="s">
        <v>7</v>
      </c>
      <c r="K1203" s="63">
        <v>27926</v>
      </c>
      <c r="L1203" s="28">
        <f>DATEDIF(K1203,Zwift25!G$1,"Y")</f>
        <v>48</v>
      </c>
      <c r="M1203" s="67">
        <f>IF(J1203="m",VLOOKUP(L1203,'All Solo Adjustments'!A:D,4,FALSE),VLOOKUP(L1203,'All Solo Adjustments'!A:J,10,FALSE))</f>
        <v>8.3333333333333339E-4</v>
      </c>
      <c r="N1203" s="63"/>
      <c r="O1203" s="63"/>
      <c r="P1203" s="63"/>
      <c r="Q1203" s="63"/>
      <c r="R1203" t="s">
        <v>198</v>
      </c>
      <c r="S1203" t="s">
        <v>461</v>
      </c>
      <c r="T1203" t="s">
        <v>292</v>
      </c>
      <c r="U1203" t="s">
        <v>6861</v>
      </c>
      <c r="V1203" t="s">
        <v>6044</v>
      </c>
      <c r="W1203" t="s">
        <v>999</v>
      </c>
      <c r="X1203" t="s">
        <v>196</v>
      </c>
      <c r="Y1203" t="s">
        <v>6860</v>
      </c>
      <c r="Z1203" t="str">
        <f>"07813342736"</f>
        <v>07813342736</v>
      </c>
      <c r="AA1203" t="str">
        <f>""</f>
        <v/>
      </c>
      <c r="AB1203" t="s">
        <v>514</v>
      </c>
      <c r="AC1203" t="s">
        <v>6859</v>
      </c>
      <c r="AD1203" t="s">
        <v>114</v>
      </c>
      <c r="AE1203" s="63">
        <v>45292</v>
      </c>
      <c r="AF1203" t="s">
        <v>156</v>
      </c>
      <c r="AG1203" t="s">
        <v>112</v>
      </c>
      <c r="AH1203" t="s">
        <v>112</v>
      </c>
      <c r="AI1203" s="63">
        <v>44575</v>
      </c>
      <c r="AJ1203" s="63">
        <v>45657</v>
      </c>
      <c r="AK1203" t="s">
        <v>112</v>
      </c>
      <c r="AL1203" t="s">
        <v>111</v>
      </c>
      <c r="AM1203" t="s">
        <v>111</v>
      </c>
      <c r="AN1203">
        <v>2036</v>
      </c>
      <c r="AO1203" t="s">
        <v>110</v>
      </c>
      <c r="AP1203" t="s">
        <v>109</v>
      </c>
    </row>
    <row r="1204" spans="1:42" x14ac:dyDescent="0.25">
      <c r="A1204" s="28" t="str">
        <f>"15702"</f>
        <v>15702</v>
      </c>
      <c r="B1204">
        <v>15702</v>
      </c>
      <c r="C1204" t="s">
        <v>2488</v>
      </c>
      <c r="D1204" t="s">
        <v>121</v>
      </c>
      <c r="E1204" t="s">
        <v>584</v>
      </c>
      <c r="F1204" t="s">
        <v>120</v>
      </c>
      <c r="G1204" t="s">
        <v>230</v>
      </c>
      <c r="I1204" t="s">
        <v>593</v>
      </c>
      <c r="J1204" t="s">
        <v>7</v>
      </c>
      <c r="K1204" s="63">
        <v>26244</v>
      </c>
      <c r="L1204" s="28">
        <f>DATEDIF(K1204,Zwift25!G$1,"Y")</f>
        <v>52</v>
      </c>
      <c r="M1204" s="67">
        <f>IF(J1204="m",VLOOKUP(L1204,'All Solo Adjustments'!A:D,4,FALSE),VLOOKUP(L1204,'All Solo Adjustments'!A:J,10,FALSE))</f>
        <v>1.4814814814814816E-3</v>
      </c>
      <c r="N1204" s="63"/>
      <c r="O1204" s="63"/>
      <c r="P1204" s="63"/>
      <c r="Q1204" s="63"/>
      <c r="R1204" t="s">
        <v>296</v>
      </c>
      <c r="S1204" t="s">
        <v>295</v>
      </c>
      <c r="T1204" t="s">
        <v>292</v>
      </c>
      <c r="U1204" t="s">
        <v>6858</v>
      </c>
      <c r="W1204" t="s">
        <v>1452</v>
      </c>
      <c r="Y1204" t="s">
        <v>3317</v>
      </c>
      <c r="Z1204" t="str">
        <f>"07816534778"</f>
        <v>07816534778</v>
      </c>
      <c r="AA1204" t="str">
        <f>""</f>
        <v/>
      </c>
      <c r="AB1204" t="s">
        <v>6857</v>
      </c>
      <c r="AC1204" t="s">
        <v>6856</v>
      </c>
      <c r="AD1204" t="s">
        <v>114</v>
      </c>
      <c r="AE1204" s="63">
        <v>45348</v>
      </c>
      <c r="AF1204" t="s">
        <v>156</v>
      </c>
      <c r="AG1204" t="s">
        <v>112</v>
      </c>
      <c r="AH1204" t="s">
        <v>112</v>
      </c>
      <c r="AI1204" s="63">
        <v>44979</v>
      </c>
      <c r="AJ1204" s="63">
        <v>45657</v>
      </c>
      <c r="AK1204" t="s">
        <v>112</v>
      </c>
      <c r="AL1204" t="s">
        <v>111</v>
      </c>
      <c r="AM1204" t="s">
        <v>111</v>
      </c>
      <c r="AN1204">
        <v>23552</v>
      </c>
      <c r="AO1204" t="s">
        <v>110</v>
      </c>
      <c r="AP1204" t="s">
        <v>109</v>
      </c>
    </row>
    <row r="1205" spans="1:42" x14ac:dyDescent="0.25">
      <c r="A1205" s="28" t="str">
        <f>"15985"</f>
        <v>15985</v>
      </c>
      <c r="B1205">
        <v>15985</v>
      </c>
      <c r="C1205" t="s">
        <v>2488</v>
      </c>
      <c r="D1205" t="s">
        <v>121</v>
      </c>
      <c r="E1205" t="s">
        <v>584</v>
      </c>
      <c r="F1205" t="s">
        <v>120</v>
      </c>
      <c r="G1205" t="s">
        <v>164</v>
      </c>
      <c r="I1205" t="s">
        <v>593</v>
      </c>
      <c r="J1205" t="s">
        <v>7</v>
      </c>
      <c r="K1205" s="63">
        <v>27494</v>
      </c>
      <c r="L1205" s="28">
        <f>DATEDIF(K1205,Zwift25!G$1,"Y")</f>
        <v>49</v>
      </c>
      <c r="M1205" s="67">
        <f>IF(J1205="m",VLOOKUP(L1205,'All Solo Adjustments'!A:D,4,FALSE),VLOOKUP(L1205,'All Solo Adjustments'!A:J,10,FALSE))</f>
        <v>9.837962962962962E-4</v>
      </c>
      <c r="N1205" s="63"/>
      <c r="O1205" s="63"/>
      <c r="P1205" s="63"/>
      <c r="Q1205" s="63"/>
      <c r="R1205" t="s">
        <v>198</v>
      </c>
      <c r="S1205" t="s">
        <v>461</v>
      </c>
      <c r="T1205" t="s">
        <v>292</v>
      </c>
      <c r="U1205" t="s">
        <v>6855</v>
      </c>
      <c r="V1205" t="s">
        <v>6855</v>
      </c>
      <c r="W1205" t="s">
        <v>5189</v>
      </c>
      <c r="Y1205" t="s">
        <v>6854</v>
      </c>
      <c r="Z1205" t="str">
        <f>"2b Ashes Lane"</f>
        <v>2b Ashes Lane</v>
      </c>
      <c r="AA1205" t="str">
        <f>""</f>
        <v/>
      </c>
      <c r="AB1205" t="s">
        <v>6853</v>
      </c>
      <c r="AC1205" t="s">
        <v>6852</v>
      </c>
      <c r="AD1205" t="s">
        <v>114</v>
      </c>
      <c r="AE1205" s="63">
        <v>45461</v>
      </c>
      <c r="AF1205" t="s">
        <v>156</v>
      </c>
      <c r="AG1205" t="s">
        <v>112</v>
      </c>
      <c r="AH1205" t="s">
        <v>112</v>
      </c>
      <c r="AI1205" s="63">
        <v>45461</v>
      </c>
      <c r="AJ1205" s="63">
        <v>45657</v>
      </c>
      <c r="AK1205" t="s">
        <v>112</v>
      </c>
      <c r="AL1205" t="s">
        <v>111</v>
      </c>
      <c r="AM1205" t="s">
        <v>111</v>
      </c>
      <c r="AN1205">
        <v>34385</v>
      </c>
      <c r="AO1205" t="s">
        <v>110</v>
      </c>
      <c r="AP1205" t="s">
        <v>109</v>
      </c>
    </row>
    <row r="1206" spans="1:42" x14ac:dyDescent="0.25">
      <c r="A1206" s="28" t="str">
        <f>"1518"</f>
        <v>1518</v>
      </c>
      <c r="B1206">
        <v>1518</v>
      </c>
      <c r="C1206" t="s">
        <v>2488</v>
      </c>
      <c r="D1206" t="s">
        <v>121</v>
      </c>
      <c r="F1206" t="s">
        <v>120</v>
      </c>
      <c r="G1206" t="s">
        <v>185</v>
      </c>
      <c r="H1206" t="s">
        <v>284</v>
      </c>
      <c r="I1206" t="s">
        <v>189</v>
      </c>
      <c r="J1206" t="s">
        <v>7</v>
      </c>
      <c r="K1206" s="63">
        <v>21864</v>
      </c>
      <c r="L1206" s="28">
        <f>DATEDIF(K1206,Zwift25!G$1,"Y")</f>
        <v>64</v>
      </c>
      <c r="M1206" s="67">
        <f>IF(J1206="m",VLOOKUP(L1206,'All Solo Adjustments'!A:D,4,FALSE),VLOOKUP(L1206,'All Solo Adjustments'!A:J,10,FALSE))</f>
        <v>4.31712962962963E-3</v>
      </c>
      <c r="N1206" s="63"/>
      <c r="O1206" s="63"/>
      <c r="P1206" s="63"/>
      <c r="Q1206" s="63"/>
      <c r="R1206" t="s">
        <v>180</v>
      </c>
      <c r="S1206" t="s">
        <v>179</v>
      </c>
      <c r="T1206" t="s">
        <v>292</v>
      </c>
      <c r="U1206" t="s">
        <v>6851</v>
      </c>
      <c r="V1206" t="s">
        <v>6850</v>
      </c>
      <c r="W1206" t="s">
        <v>6849</v>
      </c>
      <c r="Y1206" t="s">
        <v>6848</v>
      </c>
      <c r="Z1206" t="str">
        <f>"07815979371"</f>
        <v>07815979371</v>
      </c>
      <c r="AA1206" t="str">
        <f>"01332700993"</f>
        <v>01332700993</v>
      </c>
      <c r="AB1206" t="s">
        <v>2023</v>
      </c>
      <c r="AC1206" t="s">
        <v>6847</v>
      </c>
      <c r="AD1206" t="s">
        <v>114</v>
      </c>
      <c r="AE1206" s="63">
        <v>45292</v>
      </c>
      <c r="AF1206" t="s">
        <v>156</v>
      </c>
      <c r="AG1206" t="s">
        <v>112</v>
      </c>
      <c r="AH1206" t="s">
        <v>112</v>
      </c>
      <c r="AI1206" s="63">
        <v>42751</v>
      </c>
      <c r="AJ1206" s="63">
        <v>45657</v>
      </c>
      <c r="AK1206" t="s">
        <v>111</v>
      </c>
      <c r="AL1206" t="s">
        <v>111</v>
      </c>
      <c r="AM1206" t="s">
        <v>111</v>
      </c>
      <c r="AN1206">
        <v>2561</v>
      </c>
      <c r="AO1206" t="s">
        <v>110</v>
      </c>
      <c r="AP1206" t="s">
        <v>109</v>
      </c>
    </row>
    <row r="1207" spans="1:42" x14ac:dyDescent="0.25">
      <c r="A1207" s="28" t="str">
        <f>"4580"</f>
        <v>4580</v>
      </c>
      <c r="B1207">
        <v>4580</v>
      </c>
      <c r="C1207" t="s">
        <v>2488</v>
      </c>
      <c r="D1207" t="s">
        <v>121</v>
      </c>
      <c r="F1207" t="s">
        <v>120</v>
      </c>
      <c r="G1207" t="s">
        <v>366</v>
      </c>
      <c r="H1207" t="s">
        <v>2821</v>
      </c>
      <c r="I1207" t="s">
        <v>189</v>
      </c>
      <c r="J1207" t="s">
        <v>7</v>
      </c>
      <c r="K1207" s="63">
        <v>21554</v>
      </c>
      <c r="L1207" s="28">
        <f>DATEDIF(K1207,Zwift25!G$1,"Y")</f>
        <v>65</v>
      </c>
      <c r="M1207" s="67">
        <f>IF(J1207="m",VLOOKUP(L1207,'All Solo Adjustments'!A:D,4,FALSE),VLOOKUP(L1207,'All Solo Adjustments'!A:J,10,FALSE))</f>
        <v>4.6180555555555558E-3</v>
      </c>
      <c r="N1207" s="63"/>
      <c r="O1207" s="63"/>
      <c r="P1207" s="63"/>
      <c r="Q1207" s="63"/>
      <c r="R1207" t="s">
        <v>184</v>
      </c>
      <c r="S1207" t="s">
        <v>183</v>
      </c>
      <c r="T1207" t="s">
        <v>292</v>
      </c>
      <c r="U1207" t="s">
        <v>6846</v>
      </c>
      <c r="V1207" t="s">
        <v>6845</v>
      </c>
      <c r="Y1207" t="s">
        <v>6844</v>
      </c>
      <c r="Z1207" t="str">
        <f>"07826 505439"</f>
        <v>07826 505439</v>
      </c>
      <c r="AA1207" t="str">
        <f>""</f>
        <v/>
      </c>
      <c r="AB1207" t="s">
        <v>1617</v>
      </c>
      <c r="AC1207" t="s">
        <v>6843</v>
      </c>
      <c r="AD1207" t="s">
        <v>114</v>
      </c>
      <c r="AE1207" s="63">
        <v>45313</v>
      </c>
      <c r="AF1207" t="s">
        <v>156</v>
      </c>
      <c r="AG1207" t="s">
        <v>112</v>
      </c>
      <c r="AH1207" t="s">
        <v>112</v>
      </c>
      <c r="AI1207" s="63">
        <v>41083</v>
      </c>
      <c r="AJ1207" s="63">
        <v>45657</v>
      </c>
      <c r="AK1207" t="s">
        <v>111</v>
      </c>
      <c r="AL1207" t="s">
        <v>111</v>
      </c>
      <c r="AM1207" t="s">
        <v>111</v>
      </c>
      <c r="AN1207">
        <v>4610</v>
      </c>
      <c r="AO1207" t="s">
        <v>110</v>
      </c>
      <c r="AP1207" t="s">
        <v>109</v>
      </c>
    </row>
    <row r="1208" spans="1:42" x14ac:dyDescent="0.25">
      <c r="A1208" s="28" t="str">
        <f>"4803"</f>
        <v>4803</v>
      </c>
      <c r="B1208">
        <v>4803</v>
      </c>
      <c r="C1208" t="s">
        <v>2488</v>
      </c>
      <c r="D1208" t="s">
        <v>121</v>
      </c>
      <c r="E1208" t="s">
        <v>2500</v>
      </c>
      <c r="F1208" t="s">
        <v>120</v>
      </c>
      <c r="G1208" t="s">
        <v>195</v>
      </c>
      <c r="H1208" t="s">
        <v>410</v>
      </c>
      <c r="I1208" t="s">
        <v>189</v>
      </c>
      <c r="J1208" t="s">
        <v>7</v>
      </c>
      <c r="K1208" s="63">
        <v>23684</v>
      </c>
      <c r="L1208" s="28">
        <f>DATEDIF(K1208,Zwift25!G$1,"Y")</f>
        <v>59</v>
      </c>
      <c r="M1208" s="67">
        <f>IF(J1208="m",VLOOKUP(L1208,'All Solo Adjustments'!A:D,4,FALSE),VLOOKUP(L1208,'All Solo Adjustments'!A:J,10,FALSE))</f>
        <v>2.9629629629629632E-3</v>
      </c>
      <c r="N1208" s="63"/>
      <c r="O1208" s="63"/>
      <c r="P1208" s="63"/>
      <c r="Q1208" s="63"/>
      <c r="R1208" t="s">
        <v>125</v>
      </c>
      <c r="S1208" t="s">
        <v>170</v>
      </c>
      <c r="T1208" t="s">
        <v>292</v>
      </c>
      <c r="U1208" t="s">
        <v>6842</v>
      </c>
      <c r="V1208" t="s">
        <v>1276</v>
      </c>
      <c r="W1208" t="s">
        <v>146</v>
      </c>
      <c r="Y1208" t="s">
        <v>6841</v>
      </c>
      <c r="Z1208" t="str">
        <f>"07873 707826"</f>
        <v>07873 707826</v>
      </c>
      <c r="AA1208" t="str">
        <f>""</f>
        <v/>
      </c>
      <c r="AB1208" t="s">
        <v>682</v>
      </c>
      <c r="AC1208" t="s">
        <v>6840</v>
      </c>
      <c r="AD1208" t="s">
        <v>114</v>
      </c>
      <c r="AE1208" s="63">
        <v>45578</v>
      </c>
      <c r="AF1208" t="s">
        <v>113</v>
      </c>
      <c r="AG1208" t="s">
        <v>112</v>
      </c>
      <c r="AH1208" t="s">
        <v>112</v>
      </c>
      <c r="AI1208" s="63">
        <v>41445</v>
      </c>
      <c r="AJ1208" s="63">
        <v>46022</v>
      </c>
      <c r="AK1208" t="s">
        <v>111</v>
      </c>
      <c r="AL1208" t="s">
        <v>111</v>
      </c>
      <c r="AM1208" t="s">
        <v>111</v>
      </c>
      <c r="AN1208">
        <v>972</v>
      </c>
      <c r="AO1208" t="s">
        <v>110</v>
      </c>
      <c r="AP1208" t="s">
        <v>109</v>
      </c>
    </row>
    <row r="1209" spans="1:42" x14ac:dyDescent="0.25">
      <c r="A1209" s="28" t="str">
        <f>"1515"</f>
        <v>1515</v>
      </c>
      <c r="B1209">
        <v>1515</v>
      </c>
      <c r="C1209" t="s">
        <v>2488</v>
      </c>
      <c r="D1209" t="s">
        <v>121</v>
      </c>
      <c r="F1209" t="s">
        <v>120</v>
      </c>
      <c r="G1209" t="s">
        <v>649</v>
      </c>
      <c r="I1209" t="s">
        <v>189</v>
      </c>
      <c r="J1209" t="s">
        <v>7</v>
      </c>
      <c r="K1209" s="63">
        <v>18042</v>
      </c>
      <c r="L1209" s="28">
        <f>DATEDIF(K1209,Zwift25!G$1,"Y")</f>
        <v>75</v>
      </c>
      <c r="M1209" s="67">
        <f>IF(J1209="m",VLOOKUP(L1209,'All Solo Adjustments'!A:D,4,FALSE),VLOOKUP(L1209,'All Solo Adjustments'!A:J,10,FALSE))</f>
        <v>8.4374999999999988E-3</v>
      </c>
      <c r="N1209" s="63"/>
      <c r="O1209" s="63"/>
      <c r="P1209" s="63"/>
      <c r="Q1209" s="63"/>
      <c r="R1209" t="s">
        <v>125</v>
      </c>
      <c r="S1209" t="s">
        <v>170</v>
      </c>
      <c r="T1209" t="s">
        <v>292</v>
      </c>
      <c r="U1209" t="s">
        <v>6839</v>
      </c>
      <c r="V1209" t="s">
        <v>6838</v>
      </c>
      <c r="W1209" t="s">
        <v>6837</v>
      </c>
      <c r="X1209" t="s">
        <v>123</v>
      </c>
      <c r="Y1209" t="s">
        <v>6836</v>
      </c>
      <c r="Z1209" t="str">
        <f>"01376 583857"</f>
        <v>01376 583857</v>
      </c>
      <c r="AA1209" t="str">
        <f>""</f>
        <v/>
      </c>
      <c r="AB1209" t="s">
        <v>596</v>
      </c>
      <c r="AC1209" t="s">
        <v>6835</v>
      </c>
      <c r="AD1209" t="s">
        <v>145</v>
      </c>
      <c r="AE1209" s="63">
        <v>45266</v>
      </c>
      <c r="AF1209" t="s">
        <v>113</v>
      </c>
      <c r="AG1209" t="s">
        <v>112</v>
      </c>
      <c r="AH1209" t="s">
        <v>112</v>
      </c>
      <c r="AI1209" s="63">
        <v>32923</v>
      </c>
      <c r="AJ1209" s="63">
        <v>45657</v>
      </c>
      <c r="AK1209" t="s">
        <v>111</v>
      </c>
      <c r="AL1209" t="s">
        <v>111</v>
      </c>
      <c r="AM1209" t="s">
        <v>111</v>
      </c>
      <c r="AN1209">
        <v>10090</v>
      </c>
      <c r="AO1209" t="s">
        <v>110</v>
      </c>
      <c r="AP1209" t="s">
        <v>109</v>
      </c>
    </row>
    <row r="1210" spans="1:42" x14ac:dyDescent="0.25">
      <c r="A1210" s="28" t="str">
        <f>"1520"</f>
        <v>1520</v>
      </c>
      <c r="B1210">
        <v>1520</v>
      </c>
      <c r="C1210" t="s">
        <v>2488</v>
      </c>
      <c r="D1210" t="s">
        <v>121</v>
      </c>
      <c r="F1210" t="s">
        <v>120</v>
      </c>
      <c r="G1210" t="s">
        <v>284</v>
      </c>
      <c r="I1210" t="s">
        <v>189</v>
      </c>
      <c r="J1210" t="s">
        <v>7</v>
      </c>
      <c r="K1210" s="63">
        <v>11279</v>
      </c>
      <c r="L1210" s="28">
        <f>DATEDIF(K1210,Zwift25!G$1,"Y")</f>
        <v>93</v>
      </c>
      <c r="M1210" s="67">
        <f>IF(J1210="m",VLOOKUP(L1210,'All Solo Adjustments'!A:D,4,FALSE),VLOOKUP(L1210,'All Solo Adjustments'!A:J,10,FALSE))</f>
        <v>2.1516203703703704E-2</v>
      </c>
      <c r="N1210" s="63"/>
      <c r="O1210" s="63"/>
      <c r="P1210" s="63"/>
      <c r="Q1210" s="63"/>
      <c r="R1210" t="s">
        <v>239</v>
      </c>
      <c r="S1210" t="s">
        <v>437</v>
      </c>
      <c r="T1210" t="s">
        <v>292</v>
      </c>
      <c r="U1210" t="s">
        <v>6834</v>
      </c>
      <c r="V1210" t="s">
        <v>6833</v>
      </c>
      <c r="W1210" t="s">
        <v>898</v>
      </c>
      <c r="Y1210" t="s">
        <v>6832</v>
      </c>
      <c r="Z1210" t="str">
        <f>"01482 491717"</f>
        <v>01482 491717</v>
      </c>
      <c r="AA1210" t="str">
        <f>""</f>
        <v/>
      </c>
      <c r="AB1210" t="s">
        <v>450</v>
      </c>
      <c r="AD1210" t="s">
        <v>151</v>
      </c>
      <c r="AF1210" t="s">
        <v>113</v>
      </c>
      <c r="AG1210" t="s">
        <v>112</v>
      </c>
      <c r="AH1210" t="s">
        <v>112</v>
      </c>
      <c r="AI1210" s="63">
        <v>32041</v>
      </c>
      <c r="AK1210" t="s">
        <v>111</v>
      </c>
      <c r="AL1210" t="s">
        <v>111</v>
      </c>
      <c r="AM1210" t="s">
        <v>111</v>
      </c>
      <c r="AN1210" t="s">
        <v>105</v>
      </c>
      <c r="AO1210" t="s">
        <v>110</v>
      </c>
      <c r="AP1210" t="s">
        <v>109</v>
      </c>
    </row>
    <row r="1211" spans="1:42" x14ac:dyDescent="0.25">
      <c r="A1211" s="28" t="str">
        <f>"1516"</f>
        <v>1516</v>
      </c>
      <c r="B1211">
        <v>1516</v>
      </c>
      <c r="C1211" t="s">
        <v>2488</v>
      </c>
      <c r="D1211" t="s">
        <v>121</v>
      </c>
      <c r="F1211" t="s">
        <v>120</v>
      </c>
      <c r="G1211" t="s">
        <v>284</v>
      </c>
      <c r="H1211" t="s">
        <v>952</v>
      </c>
      <c r="I1211" t="s">
        <v>189</v>
      </c>
      <c r="J1211" t="s">
        <v>7</v>
      </c>
      <c r="K1211" s="63">
        <v>22734</v>
      </c>
      <c r="L1211" s="28">
        <f>DATEDIF(K1211,Zwift25!G$1,"Y")</f>
        <v>62</v>
      </c>
      <c r="M1211" s="67">
        <f>IF(J1211="m",VLOOKUP(L1211,'All Solo Adjustments'!A:D,4,FALSE),VLOOKUP(L1211,'All Solo Adjustments'!A:J,10,FALSE))</f>
        <v>3.7384259259259259E-3</v>
      </c>
      <c r="N1211" s="63"/>
      <c r="O1211" s="63"/>
      <c r="P1211" s="63"/>
      <c r="Q1211" s="63"/>
      <c r="R1211" t="s">
        <v>118</v>
      </c>
      <c r="S1211" t="s">
        <v>117</v>
      </c>
      <c r="T1211" t="s">
        <v>292</v>
      </c>
      <c r="U1211" t="s">
        <v>6831</v>
      </c>
      <c r="V1211" t="s">
        <v>1397</v>
      </c>
      <c r="W1211" t="s">
        <v>1324</v>
      </c>
      <c r="X1211">
        <v>44</v>
      </c>
      <c r="Y1211" t="s">
        <v>6830</v>
      </c>
      <c r="Z1211" t="str">
        <f>"07579212822"</f>
        <v>07579212822</v>
      </c>
      <c r="AA1211" t="str">
        <f>""</f>
        <v/>
      </c>
      <c r="AB1211" t="s">
        <v>252</v>
      </c>
      <c r="AC1211" t="s">
        <v>6829</v>
      </c>
      <c r="AD1211" t="s">
        <v>114</v>
      </c>
      <c r="AE1211" s="63">
        <v>45309</v>
      </c>
      <c r="AF1211" t="s">
        <v>156</v>
      </c>
      <c r="AG1211" t="s">
        <v>112</v>
      </c>
      <c r="AH1211" t="s">
        <v>112</v>
      </c>
      <c r="AI1211" s="63">
        <v>37987</v>
      </c>
      <c r="AJ1211" s="63">
        <v>45657</v>
      </c>
      <c r="AK1211" t="s">
        <v>111</v>
      </c>
      <c r="AL1211" t="s">
        <v>111</v>
      </c>
      <c r="AM1211" t="s">
        <v>111</v>
      </c>
      <c r="AN1211">
        <v>8812</v>
      </c>
      <c r="AO1211" t="s">
        <v>110</v>
      </c>
      <c r="AP1211" t="s">
        <v>109</v>
      </c>
    </row>
    <row r="1212" spans="1:42" x14ac:dyDescent="0.25">
      <c r="A1212" s="28" t="str">
        <f>"15460"</f>
        <v>15460</v>
      </c>
      <c r="B1212">
        <v>15460</v>
      </c>
      <c r="C1212" t="s">
        <v>2488</v>
      </c>
      <c r="D1212" t="s">
        <v>121</v>
      </c>
      <c r="E1212" t="s">
        <v>584</v>
      </c>
      <c r="F1212" t="s">
        <v>149</v>
      </c>
      <c r="G1212" t="s">
        <v>500</v>
      </c>
      <c r="I1212" t="s">
        <v>189</v>
      </c>
      <c r="J1212" t="s">
        <v>126</v>
      </c>
      <c r="K1212" s="63">
        <v>24409</v>
      </c>
      <c r="L1212" s="28">
        <f>DATEDIF(K1212,Zwift25!G$1,"Y")</f>
        <v>57</v>
      </c>
      <c r="M1212" s="67">
        <f>IF(J1212="m",VLOOKUP(L1212,'All Solo Adjustments'!A:D,4,FALSE),VLOOKUP(L1212,'All Solo Adjustments'!A:J,10,FALSE))</f>
        <v>6.076388888888889E-3</v>
      </c>
      <c r="N1212" s="63"/>
      <c r="O1212" s="63"/>
      <c r="P1212" s="63"/>
      <c r="Q1212" s="63"/>
      <c r="R1212" t="s">
        <v>296</v>
      </c>
      <c r="S1212" t="s">
        <v>295</v>
      </c>
      <c r="T1212" t="s">
        <v>292</v>
      </c>
      <c r="U1212" t="s">
        <v>6547</v>
      </c>
      <c r="W1212" t="s">
        <v>1684</v>
      </c>
      <c r="X1212" t="s">
        <v>1647</v>
      </c>
      <c r="Y1212" t="s">
        <v>6546</v>
      </c>
      <c r="Z1212" t="str">
        <f>"07590051736"</f>
        <v>07590051736</v>
      </c>
      <c r="AA1212" t="str">
        <f>""</f>
        <v/>
      </c>
      <c r="AB1212" t="s">
        <v>6828</v>
      </c>
      <c r="AC1212" t="s">
        <v>6827</v>
      </c>
      <c r="AD1212" t="s">
        <v>114</v>
      </c>
      <c r="AE1212" s="63">
        <v>45292</v>
      </c>
      <c r="AF1212" t="s">
        <v>156</v>
      </c>
      <c r="AG1212" t="s">
        <v>112</v>
      </c>
      <c r="AH1212" t="s">
        <v>112</v>
      </c>
      <c r="AI1212" s="63">
        <v>44672</v>
      </c>
      <c r="AJ1212" s="63">
        <v>45657</v>
      </c>
      <c r="AK1212" t="s">
        <v>112</v>
      </c>
      <c r="AL1212" t="s">
        <v>111</v>
      </c>
      <c r="AM1212" t="s">
        <v>111</v>
      </c>
      <c r="AN1212">
        <v>4247</v>
      </c>
      <c r="AO1212" t="s">
        <v>122</v>
      </c>
      <c r="AP1212" t="s">
        <v>122</v>
      </c>
    </row>
    <row r="1213" spans="1:42" x14ac:dyDescent="0.25">
      <c r="A1213" s="28" t="str">
        <f>"12089"</f>
        <v>12089</v>
      </c>
      <c r="B1213">
        <v>12089</v>
      </c>
      <c r="C1213" t="s">
        <v>2488</v>
      </c>
      <c r="D1213" t="s">
        <v>121</v>
      </c>
      <c r="F1213" t="s">
        <v>120</v>
      </c>
      <c r="G1213" t="s">
        <v>221</v>
      </c>
      <c r="H1213" t="s">
        <v>185</v>
      </c>
      <c r="I1213" t="s">
        <v>6826</v>
      </c>
      <c r="J1213" t="s">
        <v>7</v>
      </c>
      <c r="K1213" s="63">
        <v>24565</v>
      </c>
      <c r="L1213" s="28">
        <f>DATEDIF(K1213,Zwift25!G$1,"Y")</f>
        <v>57</v>
      </c>
      <c r="M1213" s="67">
        <f>IF(J1213="m",VLOOKUP(L1213,'All Solo Adjustments'!A:D,4,FALSE),VLOOKUP(L1213,'All Solo Adjustments'!A:J,10,FALSE))</f>
        <v>2.488425925925926E-3</v>
      </c>
      <c r="N1213" s="63"/>
      <c r="O1213" s="63"/>
      <c r="P1213" s="63"/>
      <c r="Q1213" s="63"/>
      <c r="R1213" t="s">
        <v>184</v>
      </c>
      <c r="S1213" t="s">
        <v>183</v>
      </c>
      <c r="T1213" t="s">
        <v>292</v>
      </c>
      <c r="U1213" t="s">
        <v>6825</v>
      </c>
      <c r="V1213" t="s">
        <v>1506</v>
      </c>
      <c r="W1213" t="s">
        <v>1195</v>
      </c>
      <c r="Y1213" t="s">
        <v>6824</v>
      </c>
      <c r="Z1213" t="str">
        <f>"01295 250445"</f>
        <v>01295 250445</v>
      </c>
      <c r="AA1213" t="str">
        <f>"07531 781294"</f>
        <v>07531 781294</v>
      </c>
      <c r="AB1213" t="s">
        <v>1863</v>
      </c>
      <c r="AC1213" t="s">
        <v>6823</v>
      </c>
      <c r="AD1213" t="s">
        <v>114</v>
      </c>
      <c r="AE1213" s="63">
        <v>45288</v>
      </c>
      <c r="AF1213" t="s">
        <v>156</v>
      </c>
      <c r="AG1213" t="s">
        <v>112</v>
      </c>
      <c r="AH1213" t="s">
        <v>112</v>
      </c>
      <c r="AI1213" s="63">
        <v>43212</v>
      </c>
      <c r="AJ1213" s="63">
        <v>45657</v>
      </c>
      <c r="AK1213" t="s">
        <v>112</v>
      </c>
      <c r="AL1213" t="s">
        <v>111</v>
      </c>
      <c r="AM1213" t="s">
        <v>111</v>
      </c>
      <c r="AN1213">
        <v>8330</v>
      </c>
      <c r="AO1213" t="s">
        <v>110</v>
      </c>
      <c r="AP1213" t="s">
        <v>109</v>
      </c>
    </row>
    <row r="1214" spans="1:42" x14ac:dyDescent="0.25">
      <c r="A1214" s="28" t="str">
        <f>"12553"</f>
        <v>12553</v>
      </c>
      <c r="B1214">
        <v>12553</v>
      </c>
      <c r="C1214" t="s">
        <v>2488</v>
      </c>
      <c r="D1214" t="s">
        <v>121</v>
      </c>
      <c r="F1214" t="s">
        <v>149</v>
      </c>
      <c r="G1214" t="s">
        <v>6822</v>
      </c>
      <c r="I1214" t="s">
        <v>590</v>
      </c>
      <c r="J1214" t="s">
        <v>126</v>
      </c>
      <c r="K1214" s="63">
        <v>1</v>
      </c>
      <c r="L1214" s="28">
        <f>DATEDIF(K1214,Zwift25!G$1,"Y")</f>
        <v>124</v>
      </c>
      <c r="M1214" s="67" t="e">
        <f>IF(J1214="m",VLOOKUP(L1214,'All Solo Adjustments'!A:D,4,FALSE),VLOOKUP(L1214,'All Solo Adjustments'!A:J,10,FALSE))</f>
        <v>#N/A</v>
      </c>
      <c r="N1214" s="63"/>
      <c r="O1214" s="63"/>
      <c r="P1214" s="63"/>
      <c r="Q1214" s="63"/>
      <c r="R1214" t="s">
        <v>159</v>
      </c>
      <c r="S1214" t="s">
        <v>980</v>
      </c>
      <c r="T1214" t="s">
        <v>292</v>
      </c>
      <c r="U1214" t="s">
        <v>2394</v>
      </c>
      <c r="V1214" t="s">
        <v>2393</v>
      </c>
      <c r="W1214" t="s">
        <v>710</v>
      </c>
      <c r="Y1214" t="s">
        <v>2392</v>
      </c>
      <c r="Z1214" t="str">
        <f>"01432 890292"</f>
        <v>01432 890292</v>
      </c>
      <c r="AA1214" t="str">
        <f>""</f>
        <v/>
      </c>
      <c r="AB1214" t="s">
        <v>157</v>
      </c>
      <c r="AC1214" t="s">
        <v>2391</v>
      </c>
      <c r="AD1214" t="s">
        <v>145</v>
      </c>
      <c r="AF1214" t="s">
        <v>156</v>
      </c>
      <c r="AG1214" t="s">
        <v>111</v>
      </c>
      <c r="AH1214" t="s">
        <v>111</v>
      </c>
      <c r="AI1214" s="63">
        <v>43515</v>
      </c>
      <c r="AJ1214" s="63">
        <v>45657</v>
      </c>
      <c r="AK1214" t="s">
        <v>111</v>
      </c>
      <c r="AL1214" t="s">
        <v>111</v>
      </c>
      <c r="AM1214" t="s">
        <v>111</v>
      </c>
      <c r="AN1214" t="s">
        <v>105</v>
      </c>
      <c r="AO1214" t="s">
        <v>122</v>
      </c>
      <c r="AP1214" t="s">
        <v>122</v>
      </c>
    </row>
    <row r="1215" spans="1:42" x14ac:dyDescent="0.25">
      <c r="A1215" s="28" t="str">
        <f>"13851"</f>
        <v>13851</v>
      </c>
      <c r="B1215">
        <v>13851</v>
      </c>
      <c r="C1215" t="s">
        <v>2488</v>
      </c>
      <c r="D1215" t="s">
        <v>121</v>
      </c>
      <c r="F1215" t="s">
        <v>120</v>
      </c>
      <c r="G1215" t="s">
        <v>251</v>
      </c>
      <c r="H1215" t="s">
        <v>6821</v>
      </c>
      <c r="I1215" t="s">
        <v>590</v>
      </c>
      <c r="J1215" t="s">
        <v>7</v>
      </c>
      <c r="K1215" s="63">
        <v>27014</v>
      </c>
      <c r="L1215" s="28">
        <f>DATEDIF(K1215,Zwift25!G$1,"Y")</f>
        <v>50</v>
      </c>
      <c r="M1215" s="67">
        <f>IF(J1215="m",VLOOKUP(L1215,'All Solo Adjustments'!A:D,4,FALSE),VLOOKUP(L1215,'All Solo Adjustments'!A:J,10,FALSE))</f>
        <v>1.1342592592592591E-3</v>
      </c>
      <c r="N1215" s="63"/>
      <c r="O1215" s="63"/>
      <c r="P1215" s="63"/>
      <c r="Q1215" s="63"/>
      <c r="R1215" t="s">
        <v>180</v>
      </c>
      <c r="S1215" t="s">
        <v>179</v>
      </c>
      <c r="T1215" t="s">
        <v>292</v>
      </c>
      <c r="U1215" t="s">
        <v>6820</v>
      </c>
      <c r="V1215" t="s">
        <v>6819</v>
      </c>
      <c r="W1215" t="s">
        <v>6818</v>
      </c>
      <c r="X1215" t="s">
        <v>6817</v>
      </c>
      <c r="Y1215" t="s">
        <v>6816</v>
      </c>
      <c r="Z1215" t="str">
        <f>"07792314760"</f>
        <v>07792314760</v>
      </c>
      <c r="AA1215" t="str">
        <f>""</f>
        <v/>
      </c>
      <c r="AB1215" t="s">
        <v>115</v>
      </c>
      <c r="AC1215" t="s">
        <v>6815</v>
      </c>
      <c r="AD1215" t="s">
        <v>114</v>
      </c>
      <c r="AE1215" s="63">
        <v>45282</v>
      </c>
      <c r="AF1215" t="s">
        <v>113</v>
      </c>
      <c r="AG1215" t="s">
        <v>112</v>
      </c>
      <c r="AH1215" t="s">
        <v>112</v>
      </c>
      <c r="AI1215" s="63">
        <v>43384</v>
      </c>
      <c r="AJ1215" s="63">
        <v>45657</v>
      </c>
      <c r="AK1215" t="s">
        <v>112</v>
      </c>
      <c r="AL1215" t="s">
        <v>111</v>
      </c>
      <c r="AM1215" t="s">
        <v>111</v>
      </c>
      <c r="AN1215">
        <v>27767</v>
      </c>
      <c r="AO1215" t="s">
        <v>110</v>
      </c>
      <c r="AP1215" t="s">
        <v>109</v>
      </c>
    </row>
    <row r="1216" spans="1:42" x14ac:dyDescent="0.25">
      <c r="A1216" s="28" t="str">
        <f>"14225"</f>
        <v>14225</v>
      </c>
      <c r="B1216">
        <v>14225</v>
      </c>
      <c r="C1216" t="s">
        <v>2488</v>
      </c>
      <c r="D1216" t="s">
        <v>121</v>
      </c>
      <c r="F1216" t="s">
        <v>120</v>
      </c>
      <c r="G1216" t="s">
        <v>6814</v>
      </c>
      <c r="H1216" t="s">
        <v>185</v>
      </c>
      <c r="I1216" t="s">
        <v>590</v>
      </c>
      <c r="J1216" t="s">
        <v>7</v>
      </c>
      <c r="K1216" s="63">
        <v>26902</v>
      </c>
      <c r="L1216" s="28">
        <f>DATEDIF(K1216,Zwift25!G$1,"Y")</f>
        <v>51</v>
      </c>
      <c r="M1216" s="67">
        <f>IF(J1216="m",VLOOKUP(L1216,'All Solo Adjustments'!A:D,4,FALSE),VLOOKUP(L1216,'All Solo Adjustments'!A:J,10,FALSE))</f>
        <v>1.3078703703703703E-3</v>
      </c>
      <c r="N1216" s="63"/>
      <c r="O1216" s="63"/>
      <c r="P1216" s="63"/>
      <c r="Q1216" s="63"/>
      <c r="R1216" t="s">
        <v>125</v>
      </c>
      <c r="S1216" t="s">
        <v>170</v>
      </c>
      <c r="T1216" t="s">
        <v>292</v>
      </c>
      <c r="U1216" t="s">
        <v>6813</v>
      </c>
      <c r="V1216" t="s">
        <v>1400</v>
      </c>
      <c r="W1216" t="s">
        <v>401</v>
      </c>
      <c r="Y1216" t="s">
        <v>6812</v>
      </c>
      <c r="Z1216" t="str">
        <f>"07900367780"</f>
        <v>07900367780</v>
      </c>
      <c r="AA1216" t="str">
        <f>""</f>
        <v/>
      </c>
      <c r="AB1216" t="s">
        <v>2463</v>
      </c>
      <c r="AC1216" t="s">
        <v>6811</v>
      </c>
      <c r="AD1216" t="s">
        <v>114</v>
      </c>
      <c r="AE1216" s="63">
        <v>45305</v>
      </c>
      <c r="AF1216" t="s">
        <v>156</v>
      </c>
      <c r="AG1216" t="s">
        <v>112</v>
      </c>
      <c r="AH1216" t="s">
        <v>112</v>
      </c>
      <c r="AI1216" s="63">
        <v>43602</v>
      </c>
      <c r="AJ1216" s="63">
        <v>45657</v>
      </c>
      <c r="AK1216" t="s">
        <v>112</v>
      </c>
      <c r="AL1216" t="s">
        <v>111</v>
      </c>
      <c r="AM1216" t="s">
        <v>111</v>
      </c>
      <c r="AN1216">
        <v>26025</v>
      </c>
      <c r="AO1216" t="s">
        <v>110</v>
      </c>
      <c r="AP1216" t="s">
        <v>109</v>
      </c>
    </row>
    <row r="1217" spans="1:42" x14ac:dyDescent="0.25">
      <c r="A1217" s="28" t="str">
        <f>"14277"</f>
        <v>14277</v>
      </c>
      <c r="B1217">
        <v>14277</v>
      </c>
      <c r="C1217" t="s">
        <v>2488</v>
      </c>
      <c r="D1217" t="s">
        <v>121</v>
      </c>
      <c r="F1217" t="s">
        <v>120</v>
      </c>
      <c r="G1217" t="s">
        <v>6810</v>
      </c>
      <c r="I1217" t="s">
        <v>6809</v>
      </c>
      <c r="J1217" t="s">
        <v>7</v>
      </c>
      <c r="K1217" s="63">
        <v>23919</v>
      </c>
      <c r="L1217" s="28">
        <f>DATEDIF(K1217,Zwift25!G$1,"Y")</f>
        <v>59</v>
      </c>
      <c r="M1217" s="67">
        <f>IF(J1217="m",VLOOKUP(L1217,'All Solo Adjustments'!A:D,4,FALSE),VLOOKUP(L1217,'All Solo Adjustments'!A:J,10,FALSE))</f>
        <v>2.9629629629629632E-3</v>
      </c>
      <c r="N1217" s="63"/>
      <c r="O1217" s="63"/>
      <c r="P1217" s="63"/>
      <c r="Q1217" s="63"/>
      <c r="R1217" t="s">
        <v>328</v>
      </c>
      <c r="S1217" t="s">
        <v>327</v>
      </c>
      <c r="T1217" t="s">
        <v>292</v>
      </c>
      <c r="U1217" t="s">
        <v>6808</v>
      </c>
      <c r="W1217" t="s">
        <v>6807</v>
      </c>
      <c r="X1217" t="s">
        <v>196</v>
      </c>
      <c r="Y1217" t="s">
        <v>6806</v>
      </c>
      <c r="Z1217" t="str">
        <f>"07783344673"</f>
        <v>07783344673</v>
      </c>
      <c r="AA1217" t="str">
        <f>""</f>
        <v/>
      </c>
      <c r="AB1217" t="s">
        <v>6805</v>
      </c>
      <c r="AC1217" t="s">
        <v>6804</v>
      </c>
      <c r="AD1217" t="s">
        <v>114</v>
      </c>
      <c r="AE1217" s="63">
        <v>45355</v>
      </c>
      <c r="AF1217" t="s">
        <v>156</v>
      </c>
      <c r="AG1217" t="s">
        <v>112</v>
      </c>
      <c r="AH1217" t="s">
        <v>112</v>
      </c>
      <c r="AI1217" s="63">
        <v>43631</v>
      </c>
      <c r="AJ1217" s="63">
        <v>45657</v>
      </c>
      <c r="AK1217" t="s">
        <v>112</v>
      </c>
      <c r="AL1217" t="s">
        <v>111</v>
      </c>
      <c r="AM1217" t="s">
        <v>111</v>
      </c>
      <c r="AN1217">
        <v>1437</v>
      </c>
      <c r="AO1217" t="s">
        <v>110</v>
      </c>
      <c r="AP1217" t="s">
        <v>109</v>
      </c>
    </row>
    <row r="1218" spans="1:42" x14ac:dyDescent="0.25">
      <c r="A1218" s="28" t="str">
        <f>"1528"</f>
        <v>1528</v>
      </c>
      <c r="B1218">
        <v>1528</v>
      </c>
      <c r="C1218" t="s">
        <v>2488</v>
      </c>
      <c r="D1218" t="s">
        <v>121</v>
      </c>
      <c r="F1218" t="s">
        <v>120</v>
      </c>
      <c r="G1218" t="s">
        <v>506</v>
      </c>
      <c r="I1218" t="s">
        <v>6803</v>
      </c>
      <c r="J1218" t="s">
        <v>7</v>
      </c>
      <c r="K1218" s="63">
        <v>11915</v>
      </c>
      <c r="L1218" s="28">
        <f>DATEDIF(K1218,Zwift25!G$1,"Y")</f>
        <v>92</v>
      </c>
      <c r="M1218" s="67">
        <f>IF(J1218="m",VLOOKUP(L1218,'All Solo Adjustments'!A:D,4,FALSE),VLOOKUP(L1218,'All Solo Adjustments'!A:J,10,FALSE))</f>
        <v>2.0405092592592593E-2</v>
      </c>
      <c r="N1218" s="63"/>
      <c r="O1218" s="63"/>
      <c r="P1218" s="63"/>
      <c r="Q1218" s="63"/>
      <c r="R1218" t="s">
        <v>239</v>
      </c>
      <c r="S1218" t="s">
        <v>437</v>
      </c>
      <c r="T1218" t="s">
        <v>292</v>
      </c>
      <c r="U1218" t="s">
        <v>6802</v>
      </c>
      <c r="V1218" t="s">
        <v>6801</v>
      </c>
      <c r="W1218" t="s">
        <v>517</v>
      </c>
      <c r="Y1218" t="s">
        <v>6800</v>
      </c>
      <c r="Z1218" t="str">
        <f>""</f>
        <v/>
      </c>
      <c r="AA1218" t="str">
        <f>""</f>
        <v/>
      </c>
      <c r="AB1218" t="s">
        <v>516</v>
      </c>
      <c r="AC1218" t="s">
        <v>6799</v>
      </c>
      <c r="AD1218" t="s">
        <v>151</v>
      </c>
      <c r="AF1218" t="s">
        <v>113</v>
      </c>
      <c r="AG1218" t="s">
        <v>112</v>
      </c>
      <c r="AH1218" t="s">
        <v>112</v>
      </c>
      <c r="AI1218" s="63">
        <v>29335</v>
      </c>
      <c r="AK1218" t="s">
        <v>111</v>
      </c>
      <c r="AL1218" t="s">
        <v>111</v>
      </c>
      <c r="AM1218" t="s">
        <v>111</v>
      </c>
      <c r="AN1218" t="s">
        <v>105</v>
      </c>
      <c r="AO1218" t="s">
        <v>110</v>
      </c>
      <c r="AP1218" t="s">
        <v>109</v>
      </c>
    </row>
    <row r="1219" spans="1:42" x14ac:dyDescent="0.25">
      <c r="A1219" s="28" t="str">
        <f>"1530"</f>
        <v>1530</v>
      </c>
      <c r="B1219">
        <v>1530</v>
      </c>
      <c r="C1219" t="s">
        <v>2488</v>
      </c>
      <c r="D1219" t="s">
        <v>121</v>
      </c>
      <c r="E1219" t="s">
        <v>6798</v>
      </c>
      <c r="F1219" t="s">
        <v>120</v>
      </c>
      <c r="G1219" t="s">
        <v>251</v>
      </c>
      <c r="I1219" t="s">
        <v>6797</v>
      </c>
      <c r="J1219" t="s">
        <v>7</v>
      </c>
      <c r="K1219" s="63">
        <v>19296</v>
      </c>
      <c r="L1219" s="28">
        <f>DATEDIF(K1219,Zwift25!G$1,"Y")</f>
        <v>71</v>
      </c>
      <c r="M1219" s="67">
        <f>IF(J1219="m",VLOOKUP(L1219,'All Solo Adjustments'!A:D,4,FALSE),VLOOKUP(L1219,'All Solo Adjustments'!A:J,10,FALSE))</f>
        <v>6.7245370370370375E-3</v>
      </c>
      <c r="N1219" s="63"/>
      <c r="O1219" s="63"/>
      <c r="P1219" s="63"/>
      <c r="Q1219" s="63"/>
      <c r="R1219" t="s">
        <v>159</v>
      </c>
      <c r="S1219" t="s">
        <v>162</v>
      </c>
      <c r="T1219" t="s">
        <v>292</v>
      </c>
      <c r="U1219" t="s">
        <v>6796</v>
      </c>
      <c r="V1219" t="s">
        <v>416</v>
      </c>
      <c r="W1219" t="s">
        <v>159</v>
      </c>
      <c r="Y1219" t="s">
        <v>6795</v>
      </c>
      <c r="Z1219" t="str">
        <f>"01843 596774"</f>
        <v>01843 596774</v>
      </c>
      <c r="AA1219" t="str">
        <f>""</f>
        <v/>
      </c>
      <c r="AB1219" t="s">
        <v>415</v>
      </c>
      <c r="AC1219" t="s">
        <v>6794</v>
      </c>
      <c r="AD1219" t="s">
        <v>114</v>
      </c>
      <c r="AE1219" s="63">
        <v>45283</v>
      </c>
      <c r="AF1219" t="s">
        <v>156</v>
      </c>
      <c r="AG1219" t="s">
        <v>112</v>
      </c>
      <c r="AH1219" t="s">
        <v>112</v>
      </c>
      <c r="AI1219" s="63">
        <v>43447</v>
      </c>
      <c r="AJ1219" s="63">
        <v>45657</v>
      </c>
      <c r="AK1219" t="s">
        <v>111</v>
      </c>
      <c r="AL1219" t="s">
        <v>111</v>
      </c>
      <c r="AM1219" t="s">
        <v>111</v>
      </c>
      <c r="AN1219">
        <v>370</v>
      </c>
      <c r="AO1219" t="s">
        <v>110</v>
      </c>
      <c r="AP1219" t="s">
        <v>109</v>
      </c>
    </row>
    <row r="1220" spans="1:42" x14ac:dyDescent="0.25">
      <c r="A1220" s="28" t="str">
        <f>"5104"</f>
        <v>5104</v>
      </c>
      <c r="B1220">
        <v>5104</v>
      </c>
      <c r="C1220" t="s">
        <v>2488</v>
      </c>
      <c r="D1220" t="s">
        <v>121</v>
      </c>
      <c r="E1220" t="s">
        <v>6793</v>
      </c>
      <c r="F1220" t="s">
        <v>149</v>
      </c>
      <c r="G1220" t="s">
        <v>224</v>
      </c>
      <c r="H1220" t="s">
        <v>1382</v>
      </c>
      <c r="I1220" t="s">
        <v>1671</v>
      </c>
      <c r="J1220" t="s">
        <v>126</v>
      </c>
      <c r="K1220" s="63">
        <v>22040</v>
      </c>
      <c r="L1220" s="28">
        <f>DATEDIF(K1220,Zwift25!G$1,"Y")</f>
        <v>64</v>
      </c>
      <c r="M1220" s="67">
        <f>IF(J1220="m",VLOOKUP(L1220,'All Solo Adjustments'!A:D,4,FALSE),VLOOKUP(L1220,'All Solo Adjustments'!A:J,10,FALSE))</f>
        <v>8.4490740740740741E-3</v>
      </c>
      <c r="N1220" s="63"/>
      <c r="O1220" s="63"/>
      <c r="P1220" s="63"/>
      <c r="Q1220" s="63"/>
      <c r="R1220" t="s">
        <v>137</v>
      </c>
      <c r="S1220" t="s">
        <v>136</v>
      </c>
      <c r="T1220" t="s">
        <v>292</v>
      </c>
      <c r="U1220" t="s">
        <v>6792</v>
      </c>
      <c r="V1220" t="s">
        <v>5276</v>
      </c>
      <c r="W1220" t="s">
        <v>1900</v>
      </c>
      <c r="Y1220" t="s">
        <v>6791</v>
      </c>
      <c r="Z1220" t="str">
        <f>"07718584811"</f>
        <v>07718584811</v>
      </c>
      <c r="AA1220" t="str">
        <f>"01428652872"</f>
        <v>01428652872</v>
      </c>
      <c r="AB1220" t="s">
        <v>378</v>
      </c>
      <c r="AC1220" t="s">
        <v>6790</v>
      </c>
      <c r="AD1220" t="s">
        <v>114</v>
      </c>
      <c r="AE1220" s="63">
        <v>45217</v>
      </c>
      <c r="AF1220" t="s">
        <v>156</v>
      </c>
      <c r="AG1220" t="s">
        <v>112</v>
      </c>
      <c r="AH1220" t="s">
        <v>112</v>
      </c>
      <c r="AI1220" s="63">
        <v>41812</v>
      </c>
      <c r="AJ1220" s="63">
        <v>45657</v>
      </c>
      <c r="AK1220" t="s">
        <v>111</v>
      </c>
      <c r="AL1220" t="s">
        <v>111</v>
      </c>
      <c r="AM1220" t="s">
        <v>111</v>
      </c>
      <c r="AN1220">
        <v>2675</v>
      </c>
      <c r="AO1220" t="s">
        <v>122</v>
      </c>
      <c r="AP1220" t="s">
        <v>122</v>
      </c>
    </row>
    <row r="1221" spans="1:42" x14ac:dyDescent="0.25">
      <c r="A1221" s="28" t="str">
        <f>"1538"</f>
        <v>1538</v>
      </c>
      <c r="B1221">
        <v>1538</v>
      </c>
      <c r="C1221" t="s">
        <v>2488</v>
      </c>
      <c r="D1221" t="s">
        <v>130</v>
      </c>
      <c r="F1221" t="s">
        <v>149</v>
      </c>
      <c r="G1221" t="s">
        <v>1339</v>
      </c>
      <c r="H1221" t="s">
        <v>1157</v>
      </c>
      <c r="I1221" t="s">
        <v>6789</v>
      </c>
      <c r="J1221" t="s">
        <v>126</v>
      </c>
      <c r="K1221" s="63">
        <v>15364</v>
      </c>
      <c r="L1221" s="28">
        <f>DATEDIF(K1221,Zwift25!G$1,"Y")</f>
        <v>82</v>
      </c>
      <c r="M1221" s="67">
        <f>IF(J1221="m",VLOOKUP(L1221,'All Solo Adjustments'!A:D,4,FALSE),VLOOKUP(L1221,'All Solo Adjustments'!A:J,10,FALSE))</f>
        <v>1.818287037037037E-2</v>
      </c>
      <c r="N1221" s="63"/>
      <c r="O1221" s="63"/>
      <c r="P1221" s="63"/>
      <c r="Q1221" s="63"/>
      <c r="R1221" t="s">
        <v>328</v>
      </c>
      <c r="S1221" t="s">
        <v>2290</v>
      </c>
      <c r="T1221" t="s">
        <v>292</v>
      </c>
      <c r="U1221" t="s">
        <v>6788</v>
      </c>
      <c r="V1221" t="s">
        <v>6787</v>
      </c>
      <c r="W1221" t="s">
        <v>1918</v>
      </c>
      <c r="X1221" t="s">
        <v>325</v>
      </c>
      <c r="Y1221" t="s">
        <v>6786</v>
      </c>
      <c r="Z1221" t="str">
        <f>"01524 732611"</f>
        <v>01524 732611</v>
      </c>
      <c r="AA1221" t="str">
        <f>""</f>
        <v/>
      </c>
      <c r="AB1221" t="s">
        <v>1984</v>
      </c>
      <c r="AC1221" t="s">
        <v>6785</v>
      </c>
      <c r="AD1221" t="s">
        <v>145</v>
      </c>
      <c r="AF1221" t="s">
        <v>113</v>
      </c>
      <c r="AG1221" t="s">
        <v>112</v>
      </c>
      <c r="AH1221" t="s">
        <v>111</v>
      </c>
      <c r="AI1221" s="63">
        <v>43445</v>
      </c>
      <c r="AK1221" t="s">
        <v>111</v>
      </c>
      <c r="AL1221" t="s">
        <v>111</v>
      </c>
      <c r="AM1221" t="s">
        <v>111</v>
      </c>
      <c r="AN1221" t="s">
        <v>105</v>
      </c>
      <c r="AO1221" t="s">
        <v>122</v>
      </c>
      <c r="AP1221" t="s">
        <v>122</v>
      </c>
    </row>
    <row r="1222" spans="1:42" x14ac:dyDescent="0.25">
      <c r="A1222" s="28" t="str">
        <f>"13160"</f>
        <v>13160</v>
      </c>
      <c r="B1222">
        <v>13160</v>
      </c>
      <c r="C1222" t="s">
        <v>2488</v>
      </c>
      <c r="D1222" t="s">
        <v>132</v>
      </c>
      <c r="F1222" t="s">
        <v>120</v>
      </c>
      <c r="G1222" t="s">
        <v>475</v>
      </c>
      <c r="I1222" t="s">
        <v>6789</v>
      </c>
      <c r="J1222" t="s">
        <v>7</v>
      </c>
      <c r="K1222" s="63">
        <v>15901</v>
      </c>
      <c r="L1222" s="28">
        <f>DATEDIF(K1222,Zwift25!G$1,"Y")</f>
        <v>81</v>
      </c>
      <c r="M1222" s="67">
        <f>IF(J1222="m",VLOOKUP(L1222,'All Solo Adjustments'!A:D,4,FALSE),VLOOKUP(L1222,'All Solo Adjustments'!A:J,10,FALSE))</f>
        <v>1.1597222222222222E-2</v>
      </c>
      <c r="N1222" s="63"/>
      <c r="O1222" s="63"/>
      <c r="P1222" s="63"/>
      <c r="Q1222" s="63"/>
      <c r="R1222" t="s">
        <v>328</v>
      </c>
      <c r="S1222" t="s">
        <v>2290</v>
      </c>
      <c r="T1222" t="s">
        <v>292</v>
      </c>
      <c r="U1222" t="s">
        <v>6788</v>
      </c>
      <c r="V1222" t="s">
        <v>6787</v>
      </c>
      <c r="W1222" t="s">
        <v>1918</v>
      </c>
      <c r="X1222" t="s">
        <v>325</v>
      </c>
      <c r="Y1222" t="s">
        <v>6786</v>
      </c>
      <c r="Z1222" t="str">
        <f>"01524 732611"</f>
        <v>01524 732611</v>
      </c>
      <c r="AA1222" t="str">
        <f>""</f>
        <v/>
      </c>
      <c r="AB1222" t="s">
        <v>1984</v>
      </c>
      <c r="AC1222" t="s">
        <v>6785</v>
      </c>
      <c r="AD1222" t="s">
        <v>145</v>
      </c>
      <c r="AF1222" t="s">
        <v>113</v>
      </c>
      <c r="AG1222" t="s">
        <v>112</v>
      </c>
      <c r="AH1222" t="s">
        <v>112</v>
      </c>
      <c r="AI1222" s="63">
        <v>43445</v>
      </c>
      <c r="AK1222" t="s">
        <v>111</v>
      </c>
      <c r="AL1222" t="s">
        <v>111</v>
      </c>
      <c r="AM1222" t="s">
        <v>111</v>
      </c>
      <c r="AN1222" t="s">
        <v>105</v>
      </c>
      <c r="AO1222" t="s">
        <v>110</v>
      </c>
      <c r="AP1222" t="s">
        <v>109</v>
      </c>
    </row>
    <row r="1223" spans="1:42" x14ac:dyDescent="0.25">
      <c r="A1223" s="28" t="str">
        <f>"16115"</f>
        <v>16115</v>
      </c>
      <c r="B1223">
        <v>16115</v>
      </c>
      <c r="C1223" t="s">
        <v>2488</v>
      </c>
      <c r="D1223" t="s">
        <v>121</v>
      </c>
      <c r="E1223" t="s">
        <v>584</v>
      </c>
      <c r="F1223" t="s">
        <v>120</v>
      </c>
      <c r="G1223" t="s">
        <v>164</v>
      </c>
      <c r="I1223" t="s">
        <v>6784</v>
      </c>
      <c r="J1223" t="s">
        <v>7</v>
      </c>
      <c r="K1223" s="63">
        <v>28784</v>
      </c>
      <c r="L1223" s="28">
        <f>DATEDIF(K1223,Zwift25!G$1,"Y")</f>
        <v>45</v>
      </c>
      <c r="M1223" s="67">
        <f>IF(J1223="m",VLOOKUP(L1223,'All Solo Adjustments'!A:D,4,FALSE),VLOOKUP(L1223,'All Solo Adjustments'!A:J,10,FALSE))</f>
        <v>4.5138888888888892E-4</v>
      </c>
      <c r="N1223" s="63"/>
      <c r="O1223" s="63"/>
      <c r="P1223" s="63"/>
      <c r="Q1223" s="63"/>
      <c r="R1223" t="s">
        <v>527</v>
      </c>
      <c r="S1223" t="s">
        <v>526</v>
      </c>
      <c r="T1223" t="s">
        <v>292</v>
      </c>
      <c r="U1223" t="s">
        <v>6783</v>
      </c>
      <c r="W1223" t="s">
        <v>2979</v>
      </c>
      <c r="X1223" t="s">
        <v>325</v>
      </c>
      <c r="Y1223" t="s">
        <v>6782</v>
      </c>
      <c r="Z1223" t="str">
        <f>"07875944081"</f>
        <v>07875944081</v>
      </c>
      <c r="AA1223" t="str">
        <f>""</f>
        <v/>
      </c>
      <c r="AB1223" t="s">
        <v>408</v>
      </c>
      <c r="AC1223" t="s">
        <v>6781</v>
      </c>
      <c r="AD1223" t="s">
        <v>114</v>
      </c>
      <c r="AE1223" s="63">
        <v>45412</v>
      </c>
      <c r="AF1223" t="s">
        <v>156</v>
      </c>
      <c r="AG1223" t="s">
        <v>112</v>
      </c>
      <c r="AH1223" t="s">
        <v>112</v>
      </c>
      <c r="AI1223" s="63">
        <v>45412</v>
      </c>
      <c r="AJ1223" s="63">
        <v>45657</v>
      </c>
      <c r="AK1223" t="s">
        <v>112</v>
      </c>
      <c r="AL1223" t="s">
        <v>112</v>
      </c>
      <c r="AM1223" t="s">
        <v>112</v>
      </c>
      <c r="AN1223">
        <v>50224</v>
      </c>
      <c r="AO1223" t="s">
        <v>110</v>
      </c>
      <c r="AP1223" t="s">
        <v>109</v>
      </c>
    </row>
    <row r="1224" spans="1:42" x14ac:dyDescent="0.25">
      <c r="A1224" s="28" t="str">
        <f>"1543"</f>
        <v>1543</v>
      </c>
      <c r="B1224">
        <v>1543</v>
      </c>
      <c r="C1224" t="s">
        <v>2488</v>
      </c>
      <c r="D1224" t="s">
        <v>121</v>
      </c>
      <c r="F1224" t="s">
        <v>120</v>
      </c>
      <c r="G1224" t="s">
        <v>614</v>
      </c>
      <c r="I1224" t="s">
        <v>6780</v>
      </c>
      <c r="J1224" t="s">
        <v>7</v>
      </c>
      <c r="K1224" s="63">
        <v>11896</v>
      </c>
      <c r="L1224" s="28">
        <f>DATEDIF(K1224,Zwift25!G$1,"Y")</f>
        <v>92</v>
      </c>
      <c r="M1224" s="67">
        <f>IF(J1224="m",VLOOKUP(L1224,'All Solo Adjustments'!A:D,4,FALSE),VLOOKUP(L1224,'All Solo Adjustments'!A:J,10,FALSE))</f>
        <v>2.0405092592592593E-2</v>
      </c>
      <c r="N1224" s="63"/>
      <c r="O1224" s="63"/>
      <c r="P1224" s="63"/>
      <c r="Q1224" s="63"/>
      <c r="R1224" t="s">
        <v>137</v>
      </c>
      <c r="S1224" t="s">
        <v>2312</v>
      </c>
      <c r="T1224" t="s">
        <v>292</v>
      </c>
      <c r="U1224" t="s">
        <v>6779</v>
      </c>
      <c r="V1224" t="s">
        <v>6778</v>
      </c>
      <c r="W1224" t="s">
        <v>603</v>
      </c>
      <c r="Y1224" t="s">
        <v>6777</v>
      </c>
      <c r="Z1224" t="str">
        <f>""</f>
        <v/>
      </c>
      <c r="AA1224" t="str">
        <f>""</f>
        <v/>
      </c>
      <c r="AB1224" t="s">
        <v>1394</v>
      </c>
      <c r="AD1224" t="s">
        <v>151</v>
      </c>
      <c r="AF1224" t="s">
        <v>113</v>
      </c>
      <c r="AG1224" t="s">
        <v>112</v>
      </c>
      <c r="AH1224" t="s">
        <v>112</v>
      </c>
      <c r="AI1224" s="63">
        <v>28887</v>
      </c>
      <c r="AK1224" t="s">
        <v>111</v>
      </c>
      <c r="AL1224" t="s">
        <v>111</v>
      </c>
      <c r="AM1224" t="s">
        <v>111</v>
      </c>
      <c r="AN1224" t="s">
        <v>105</v>
      </c>
      <c r="AO1224" t="s">
        <v>110</v>
      </c>
      <c r="AP1224" t="s">
        <v>109</v>
      </c>
    </row>
    <row r="1225" spans="1:42" x14ac:dyDescent="0.25">
      <c r="A1225" s="28" t="str">
        <f>"14474"</f>
        <v>14474</v>
      </c>
      <c r="B1225">
        <v>14474</v>
      </c>
      <c r="C1225" t="s">
        <v>2488</v>
      </c>
      <c r="D1225" t="s">
        <v>121</v>
      </c>
      <c r="E1225" t="s">
        <v>584</v>
      </c>
      <c r="F1225" t="s">
        <v>120</v>
      </c>
      <c r="G1225" t="s">
        <v>721</v>
      </c>
      <c r="I1225" t="s">
        <v>6774</v>
      </c>
      <c r="J1225" t="s">
        <v>7</v>
      </c>
      <c r="K1225" s="63">
        <v>17664</v>
      </c>
      <c r="L1225" s="28">
        <f>DATEDIF(K1225,Zwift25!G$1,"Y")</f>
        <v>76</v>
      </c>
      <c r="M1225" s="67">
        <f>IF(J1225="m",VLOOKUP(L1225,'All Solo Adjustments'!A:D,4,FALSE),VLOOKUP(L1225,'All Solo Adjustments'!A:J,10,FALSE))</f>
        <v>8.912037037037036E-3</v>
      </c>
      <c r="N1225" s="63"/>
      <c r="O1225" s="63"/>
      <c r="P1225" s="63"/>
      <c r="Q1225" s="63"/>
      <c r="R1225" t="s">
        <v>328</v>
      </c>
      <c r="S1225" t="s">
        <v>327</v>
      </c>
      <c r="T1225" t="s">
        <v>292</v>
      </c>
      <c r="U1225" t="s">
        <v>6773</v>
      </c>
      <c r="V1225" t="s">
        <v>786</v>
      </c>
      <c r="W1225" t="s">
        <v>810</v>
      </c>
      <c r="Y1225" t="s">
        <v>6772</v>
      </c>
      <c r="Z1225" t="str">
        <f>"07776 358 922"</f>
        <v>07776 358 922</v>
      </c>
      <c r="AA1225" t="str">
        <f>""</f>
        <v/>
      </c>
      <c r="AB1225" t="s">
        <v>1979</v>
      </c>
      <c r="AC1225" t="s">
        <v>6771</v>
      </c>
      <c r="AD1225" t="s">
        <v>114</v>
      </c>
      <c r="AE1225" s="63">
        <v>45265</v>
      </c>
      <c r="AF1225" t="s">
        <v>156</v>
      </c>
      <c r="AG1225" t="s">
        <v>112</v>
      </c>
      <c r="AH1225" t="s">
        <v>112</v>
      </c>
      <c r="AI1225" s="63">
        <v>43870</v>
      </c>
      <c r="AJ1225" s="63">
        <v>45657</v>
      </c>
      <c r="AK1225" t="s">
        <v>112</v>
      </c>
      <c r="AL1225" t="s">
        <v>111</v>
      </c>
      <c r="AM1225" t="s">
        <v>111</v>
      </c>
      <c r="AN1225">
        <v>7233</v>
      </c>
      <c r="AO1225" t="s">
        <v>110</v>
      </c>
      <c r="AP1225" t="s">
        <v>109</v>
      </c>
    </row>
    <row r="1226" spans="1:42" x14ac:dyDescent="0.25">
      <c r="A1226" s="28" t="str">
        <f>"15051"</f>
        <v>15051</v>
      </c>
      <c r="B1226">
        <v>15051</v>
      </c>
      <c r="C1226" t="s">
        <v>2488</v>
      </c>
      <c r="D1226" t="s">
        <v>132</v>
      </c>
      <c r="E1226" t="s">
        <v>2500</v>
      </c>
      <c r="F1226" t="s">
        <v>149</v>
      </c>
      <c r="G1226" t="s">
        <v>6776</v>
      </c>
      <c r="I1226" t="s">
        <v>6774</v>
      </c>
      <c r="J1226" t="s">
        <v>126</v>
      </c>
      <c r="K1226" s="63">
        <v>25540</v>
      </c>
      <c r="L1226" s="28">
        <f>DATEDIF(K1226,Zwift25!G$1,"Y")</f>
        <v>54</v>
      </c>
      <c r="M1226" s="67">
        <f>IF(J1226="m",VLOOKUP(L1226,'All Solo Adjustments'!A:D,4,FALSE),VLOOKUP(L1226,'All Solo Adjustments'!A:J,10,FALSE))</f>
        <v>5.4861111111111109E-3</v>
      </c>
      <c r="N1226" s="63"/>
      <c r="O1226" s="63"/>
      <c r="P1226" s="63"/>
      <c r="Q1226" s="63"/>
      <c r="R1226" t="s">
        <v>328</v>
      </c>
      <c r="S1226" t="s">
        <v>741</v>
      </c>
      <c r="T1226" t="s">
        <v>292</v>
      </c>
      <c r="U1226" t="s">
        <v>6773</v>
      </c>
      <c r="W1226" t="s">
        <v>786</v>
      </c>
      <c r="X1226" t="s">
        <v>810</v>
      </c>
      <c r="Y1226" t="s">
        <v>6772</v>
      </c>
      <c r="Z1226" t="str">
        <f>"07813361038"</f>
        <v>07813361038</v>
      </c>
      <c r="AA1226" t="str">
        <f>""</f>
        <v/>
      </c>
      <c r="AB1226" t="s">
        <v>1979</v>
      </c>
      <c r="AC1226" t="s">
        <v>6775</v>
      </c>
      <c r="AD1226" t="s">
        <v>114</v>
      </c>
      <c r="AE1226" s="63">
        <v>45571</v>
      </c>
      <c r="AF1226" t="s">
        <v>113</v>
      </c>
      <c r="AG1226" t="s">
        <v>112</v>
      </c>
      <c r="AH1226" t="s">
        <v>112</v>
      </c>
      <c r="AI1226" s="63">
        <v>44319</v>
      </c>
      <c r="AJ1226" s="63">
        <v>46022</v>
      </c>
      <c r="AK1226" t="s">
        <v>112</v>
      </c>
      <c r="AL1226" t="s">
        <v>111</v>
      </c>
      <c r="AM1226" t="s">
        <v>111</v>
      </c>
      <c r="AN1226">
        <v>39023</v>
      </c>
      <c r="AO1226" t="s">
        <v>122</v>
      </c>
      <c r="AP1226" t="s">
        <v>122</v>
      </c>
    </row>
    <row r="1227" spans="1:42" x14ac:dyDescent="0.25">
      <c r="A1227" s="28" t="str">
        <f>"16219"</f>
        <v>16219</v>
      </c>
      <c r="B1227">
        <v>16219</v>
      </c>
      <c r="C1227" t="s">
        <v>2488</v>
      </c>
      <c r="D1227" t="s">
        <v>130</v>
      </c>
      <c r="E1227" t="s">
        <v>584</v>
      </c>
      <c r="F1227" t="s">
        <v>120</v>
      </c>
      <c r="G1227" t="s">
        <v>721</v>
      </c>
      <c r="I1227" t="s">
        <v>6774</v>
      </c>
      <c r="J1227" t="s">
        <v>7</v>
      </c>
      <c r="K1227" s="63">
        <v>17664</v>
      </c>
      <c r="L1227" s="28">
        <f>DATEDIF(K1227,Zwift25!G$1,"Y")</f>
        <v>76</v>
      </c>
      <c r="M1227" s="67">
        <f>IF(J1227="m",VLOOKUP(L1227,'All Solo Adjustments'!A:D,4,FALSE),VLOOKUP(L1227,'All Solo Adjustments'!A:J,10,FALSE))</f>
        <v>8.912037037037036E-3</v>
      </c>
      <c r="N1227" s="63"/>
      <c r="O1227" s="63"/>
      <c r="P1227" s="63"/>
      <c r="Q1227" s="63"/>
      <c r="R1227" t="s">
        <v>328</v>
      </c>
      <c r="S1227" t="s">
        <v>741</v>
      </c>
      <c r="T1227" t="s">
        <v>292</v>
      </c>
      <c r="U1227" t="s">
        <v>6773</v>
      </c>
      <c r="W1227" t="s">
        <v>786</v>
      </c>
      <c r="X1227" t="s">
        <v>810</v>
      </c>
      <c r="Y1227" t="s">
        <v>6772</v>
      </c>
      <c r="Z1227" t="str">
        <f>"07813361038"</f>
        <v>07813361038</v>
      </c>
      <c r="AA1227" t="str">
        <f>""</f>
        <v/>
      </c>
      <c r="AB1227" t="s">
        <v>1979</v>
      </c>
      <c r="AC1227" t="s">
        <v>6771</v>
      </c>
      <c r="AD1227" t="s">
        <v>114</v>
      </c>
      <c r="AE1227" s="63">
        <v>45571</v>
      </c>
      <c r="AG1227" t="s">
        <v>112</v>
      </c>
      <c r="AH1227" t="s">
        <v>112</v>
      </c>
      <c r="AI1227" s="63">
        <v>45571</v>
      </c>
      <c r="AJ1227" s="63">
        <v>46022</v>
      </c>
      <c r="AK1227" t="s">
        <v>112</v>
      </c>
      <c r="AL1227" t="s">
        <v>111</v>
      </c>
      <c r="AM1227" t="s">
        <v>111</v>
      </c>
      <c r="AN1227" t="s">
        <v>105</v>
      </c>
      <c r="AO1227" t="s">
        <v>110</v>
      </c>
      <c r="AP1227" t="s">
        <v>109</v>
      </c>
    </row>
    <row r="1228" spans="1:42" x14ac:dyDescent="0.25">
      <c r="A1228" s="28" t="str">
        <f>"6423"</f>
        <v>6423</v>
      </c>
      <c r="B1228">
        <v>6423</v>
      </c>
      <c r="C1228" t="s">
        <v>2488</v>
      </c>
      <c r="D1228" t="s">
        <v>121</v>
      </c>
      <c r="E1228" t="s">
        <v>584</v>
      </c>
      <c r="F1228" t="s">
        <v>120</v>
      </c>
      <c r="G1228" t="s">
        <v>744</v>
      </c>
      <c r="I1228" t="s">
        <v>589</v>
      </c>
      <c r="J1228" t="s">
        <v>7</v>
      </c>
      <c r="K1228" s="63">
        <v>28554</v>
      </c>
      <c r="L1228" s="28">
        <f>DATEDIF(K1228,Zwift25!G$1,"Y")</f>
        <v>46</v>
      </c>
      <c r="M1228" s="67">
        <f>IF(J1228="m",VLOOKUP(L1228,'All Solo Adjustments'!A:D,4,FALSE),VLOOKUP(L1228,'All Solo Adjustments'!A:J,10,FALSE))</f>
        <v>5.6712962962962956E-4</v>
      </c>
      <c r="N1228" s="63"/>
      <c r="O1228" s="63"/>
      <c r="P1228" s="63"/>
      <c r="Q1228" s="63"/>
      <c r="R1228" t="s">
        <v>283</v>
      </c>
      <c r="S1228" t="s">
        <v>530</v>
      </c>
      <c r="T1228" t="s">
        <v>292</v>
      </c>
      <c r="U1228" t="s">
        <v>6770</v>
      </c>
      <c r="V1228" t="s">
        <v>6769</v>
      </c>
      <c r="X1228" t="s">
        <v>1878</v>
      </c>
      <c r="Y1228" t="s">
        <v>6768</v>
      </c>
      <c r="Z1228" t="str">
        <f>"07986 633739"</f>
        <v>07986 633739</v>
      </c>
      <c r="AA1228" t="str">
        <f>""</f>
        <v/>
      </c>
      <c r="AB1228" t="s">
        <v>629</v>
      </c>
      <c r="AC1228" t="s">
        <v>6767</v>
      </c>
      <c r="AD1228" t="s">
        <v>114</v>
      </c>
      <c r="AE1228" s="63">
        <v>45292</v>
      </c>
      <c r="AF1228" t="s">
        <v>156</v>
      </c>
      <c r="AG1228" t="s">
        <v>112</v>
      </c>
      <c r="AH1228" t="s">
        <v>112</v>
      </c>
      <c r="AI1228" s="63">
        <v>43117</v>
      </c>
      <c r="AJ1228" s="63">
        <v>45657</v>
      </c>
      <c r="AK1228" t="s">
        <v>111</v>
      </c>
      <c r="AL1228" t="s">
        <v>111</v>
      </c>
      <c r="AM1228" t="s">
        <v>111</v>
      </c>
      <c r="AN1228">
        <v>3638</v>
      </c>
      <c r="AO1228" t="s">
        <v>110</v>
      </c>
      <c r="AP1228" t="s">
        <v>109</v>
      </c>
    </row>
    <row r="1229" spans="1:42" x14ac:dyDescent="0.25">
      <c r="A1229" s="28" t="str">
        <f>"5052"</f>
        <v>5052</v>
      </c>
      <c r="B1229">
        <v>5052</v>
      </c>
      <c r="C1229" t="s">
        <v>2488</v>
      </c>
      <c r="D1229" t="s">
        <v>121</v>
      </c>
      <c r="E1229" t="s">
        <v>584</v>
      </c>
      <c r="F1229" t="s">
        <v>403</v>
      </c>
      <c r="G1229" t="s">
        <v>1967</v>
      </c>
      <c r="H1229" t="s">
        <v>409</v>
      </c>
      <c r="I1229" t="s">
        <v>589</v>
      </c>
      <c r="J1229" t="s">
        <v>7</v>
      </c>
      <c r="K1229" s="63">
        <v>27069</v>
      </c>
      <c r="L1229" s="28">
        <f>DATEDIF(K1229,Zwift25!G$1,"Y")</f>
        <v>50</v>
      </c>
      <c r="M1229" s="67">
        <f>IF(J1229="m",VLOOKUP(L1229,'All Solo Adjustments'!A:D,4,FALSE),VLOOKUP(L1229,'All Solo Adjustments'!A:J,10,FALSE))</f>
        <v>1.1342592592592591E-3</v>
      </c>
      <c r="N1229" s="63"/>
      <c r="O1229" s="63"/>
      <c r="P1229" s="63"/>
      <c r="Q1229" s="63"/>
      <c r="R1229" t="s">
        <v>118</v>
      </c>
      <c r="S1229" t="s">
        <v>117</v>
      </c>
      <c r="T1229" t="s">
        <v>292</v>
      </c>
      <c r="U1229" t="s">
        <v>6766</v>
      </c>
      <c r="V1229" t="s">
        <v>875</v>
      </c>
      <c r="W1229" t="s">
        <v>1215</v>
      </c>
      <c r="Y1229" t="s">
        <v>6765</v>
      </c>
      <c r="Z1229" t="str">
        <f>"07879 428223"</f>
        <v>07879 428223</v>
      </c>
      <c r="AA1229" t="str">
        <f>""</f>
        <v/>
      </c>
      <c r="AB1229" t="s">
        <v>6764</v>
      </c>
      <c r="AC1229" t="s">
        <v>6763</v>
      </c>
      <c r="AD1229" t="s">
        <v>114</v>
      </c>
      <c r="AE1229" s="63">
        <v>45343</v>
      </c>
      <c r="AF1229" t="s">
        <v>156</v>
      </c>
      <c r="AG1229" t="s">
        <v>112</v>
      </c>
      <c r="AH1229" t="s">
        <v>112</v>
      </c>
      <c r="AI1229" s="63">
        <v>41687</v>
      </c>
      <c r="AJ1229" s="63">
        <v>45657</v>
      </c>
      <c r="AK1229" t="s">
        <v>111</v>
      </c>
      <c r="AL1229" t="s">
        <v>111</v>
      </c>
      <c r="AM1229" t="s">
        <v>111</v>
      </c>
      <c r="AN1229">
        <v>18</v>
      </c>
      <c r="AO1229" t="s">
        <v>110</v>
      </c>
      <c r="AP1229" t="s">
        <v>109</v>
      </c>
    </row>
    <row r="1230" spans="1:42" x14ac:dyDescent="0.25">
      <c r="A1230" s="28" t="str">
        <f>"14031"</f>
        <v>14031</v>
      </c>
      <c r="B1230">
        <v>14031</v>
      </c>
      <c r="C1230" t="s">
        <v>2488</v>
      </c>
      <c r="D1230" t="s">
        <v>121</v>
      </c>
      <c r="F1230" t="s">
        <v>120</v>
      </c>
      <c r="G1230" t="s">
        <v>164</v>
      </c>
      <c r="H1230" t="s">
        <v>2059</v>
      </c>
      <c r="I1230" t="s">
        <v>589</v>
      </c>
      <c r="J1230" t="s">
        <v>7</v>
      </c>
      <c r="K1230" s="63">
        <v>26031</v>
      </c>
      <c r="L1230" s="28">
        <f>DATEDIF(K1230,Zwift25!G$1,"Y")</f>
        <v>53</v>
      </c>
      <c r="M1230" s="67">
        <f>IF(J1230="m",VLOOKUP(L1230,'All Solo Adjustments'!A:D,4,FALSE),VLOOKUP(L1230,'All Solo Adjustments'!A:J,10,FALSE))</f>
        <v>1.6666666666666668E-3</v>
      </c>
      <c r="N1230" s="63"/>
      <c r="O1230" s="63"/>
      <c r="P1230" s="63"/>
      <c r="Q1230" s="63"/>
      <c r="R1230" t="s">
        <v>184</v>
      </c>
      <c r="S1230" t="s">
        <v>183</v>
      </c>
      <c r="T1230" t="s">
        <v>292</v>
      </c>
      <c r="U1230" t="s">
        <v>6762</v>
      </c>
      <c r="V1230" t="s">
        <v>6761</v>
      </c>
      <c r="W1230" t="s">
        <v>167</v>
      </c>
      <c r="Y1230" t="s">
        <v>6760</v>
      </c>
      <c r="Z1230" t="str">
        <f>"07581491193"</f>
        <v>07581491193</v>
      </c>
      <c r="AA1230" t="str">
        <f>""</f>
        <v/>
      </c>
      <c r="AB1230" t="s">
        <v>1699</v>
      </c>
      <c r="AC1230" t="s">
        <v>6759</v>
      </c>
      <c r="AD1230" t="s">
        <v>114</v>
      </c>
      <c r="AE1230" s="63">
        <v>45262</v>
      </c>
      <c r="AF1230" t="s">
        <v>156</v>
      </c>
      <c r="AG1230" t="s">
        <v>112</v>
      </c>
      <c r="AH1230" t="s">
        <v>112</v>
      </c>
      <c r="AI1230" s="63">
        <v>43500</v>
      </c>
      <c r="AJ1230" s="63">
        <v>45657</v>
      </c>
      <c r="AK1230" t="s">
        <v>112</v>
      </c>
      <c r="AL1230" t="s">
        <v>112</v>
      </c>
      <c r="AM1230" t="s">
        <v>111</v>
      </c>
      <c r="AN1230">
        <v>2770</v>
      </c>
      <c r="AO1230" t="s">
        <v>110</v>
      </c>
      <c r="AP1230" t="s">
        <v>109</v>
      </c>
    </row>
    <row r="1231" spans="1:42" x14ac:dyDescent="0.25">
      <c r="A1231" s="28" t="str">
        <f>"1545"</f>
        <v>1545</v>
      </c>
      <c r="B1231">
        <v>1545</v>
      </c>
      <c r="C1231" t="s">
        <v>2488</v>
      </c>
      <c r="D1231" t="s">
        <v>121</v>
      </c>
      <c r="F1231" t="s">
        <v>120</v>
      </c>
      <c r="G1231" t="s">
        <v>1126</v>
      </c>
      <c r="I1231" t="s">
        <v>589</v>
      </c>
      <c r="J1231" t="s">
        <v>7</v>
      </c>
      <c r="K1231" s="63">
        <v>12686</v>
      </c>
      <c r="L1231" s="28">
        <f>DATEDIF(K1231,Zwift25!G$1,"Y")</f>
        <v>90</v>
      </c>
      <c r="M1231" s="67">
        <f>IF(J1231="m",VLOOKUP(L1231,'All Solo Adjustments'!A:D,4,FALSE),VLOOKUP(L1231,'All Solo Adjustments'!A:J,10,FALSE))</f>
        <v>1.8391203703703705E-2</v>
      </c>
      <c r="N1231" s="63"/>
      <c r="O1231" s="63"/>
      <c r="P1231" s="63"/>
      <c r="Q1231" s="63"/>
      <c r="R1231" t="s">
        <v>184</v>
      </c>
      <c r="S1231" t="s">
        <v>2477</v>
      </c>
      <c r="T1231" t="s">
        <v>292</v>
      </c>
      <c r="U1231" t="s">
        <v>6758</v>
      </c>
      <c r="V1231" t="s">
        <v>6757</v>
      </c>
      <c r="W1231" t="s">
        <v>2116</v>
      </c>
      <c r="X1231" t="s">
        <v>344</v>
      </c>
      <c r="Y1231" t="s">
        <v>6756</v>
      </c>
      <c r="Z1231" t="str">
        <f>"01753888861"</f>
        <v>01753888861</v>
      </c>
      <c r="AA1231" t="str">
        <f>""</f>
        <v/>
      </c>
      <c r="AB1231" t="s">
        <v>1875</v>
      </c>
      <c r="AC1231" t="s">
        <v>6755</v>
      </c>
      <c r="AD1231" t="s">
        <v>145</v>
      </c>
      <c r="AF1231" t="s">
        <v>113</v>
      </c>
      <c r="AG1231" t="s">
        <v>112</v>
      </c>
      <c r="AH1231" t="s">
        <v>112</v>
      </c>
      <c r="AI1231" s="63">
        <v>43515</v>
      </c>
      <c r="AK1231" t="s">
        <v>112</v>
      </c>
      <c r="AL1231" t="s">
        <v>112</v>
      </c>
      <c r="AM1231" t="s">
        <v>111</v>
      </c>
      <c r="AN1231" t="s">
        <v>105</v>
      </c>
      <c r="AO1231" t="s">
        <v>110</v>
      </c>
      <c r="AP1231" t="s">
        <v>109</v>
      </c>
    </row>
    <row r="1232" spans="1:42" x14ac:dyDescent="0.25">
      <c r="A1232" s="28" t="str">
        <f>"14074"</f>
        <v>14074</v>
      </c>
      <c r="B1232">
        <v>14074</v>
      </c>
      <c r="C1232" t="s">
        <v>2488</v>
      </c>
      <c r="D1232" t="s">
        <v>121</v>
      </c>
      <c r="F1232" t="s">
        <v>149</v>
      </c>
      <c r="G1232" t="s">
        <v>2334</v>
      </c>
      <c r="I1232" t="s">
        <v>589</v>
      </c>
      <c r="J1232" t="s">
        <v>126</v>
      </c>
      <c r="K1232" s="63">
        <v>12233</v>
      </c>
      <c r="L1232" s="28">
        <f>DATEDIF(K1232,Zwift25!G$1,"Y")</f>
        <v>91</v>
      </c>
      <c r="M1232" s="67">
        <f>IF(J1232="m",VLOOKUP(L1232,'All Solo Adjustments'!A:D,4,FALSE),VLOOKUP(L1232,'All Solo Adjustments'!A:J,10,FALSE))</f>
        <v>2.6238425925925925E-2</v>
      </c>
      <c r="N1232" s="63"/>
      <c r="O1232" s="63"/>
      <c r="P1232" s="63"/>
      <c r="Q1232" s="63"/>
      <c r="R1232" t="s">
        <v>184</v>
      </c>
      <c r="S1232" t="s">
        <v>835</v>
      </c>
      <c r="T1232" t="s">
        <v>292</v>
      </c>
      <c r="U1232" t="s">
        <v>6758</v>
      </c>
      <c r="V1232" t="s">
        <v>6757</v>
      </c>
      <c r="W1232" t="s">
        <v>2116</v>
      </c>
      <c r="X1232" t="s">
        <v>344</v>
      </c>
      <c r="Y1232" t="s">
        <v>6756</v>
      </c>
      <c r="Z1232" t="str">
        <f>"01753888861"</f>
        <v>01753888861</v>
      </c>
      <c r="AA1232" t="str">
        <f>"01753888861"</f>
        <v>01753888861</v>
      </c>
      <c r="AB1232" t="s">
        <v>1875</v>
      </c>
      <c r="AC1232" t="s">
        <v>6755</v>
      </c>
      <c r="AD1232" t="s">
        <v>145</v>
      </c>
      <c r="AF1232" t="s">
        <v>113</v>
      </c>
      <c r="AG1232" t="s">
        <v>111</v>
      </c>
      <c r="AH1232" t="s">
        <v>111</v>
      </c>
      <c r="AI1232" s="63">
        <v>43515</v>
      </c>
      <c r="AK1232" t="s">
        <v>112</v>
      </c>
      <c r="AL1232" t="s">
        <v>112</v>
      </c>
      <c r="AM1232" t="s">
        <v>112</v>
      </c>
      <c r="AN1232" t="s">
        <v>105</v>
      </c>
      <c r="AO1232" t="s">
        <v>122</v>
      </c>
      <c r="AP1232" t="s">
        <v>122</v>
      </c>
    </row>
    <row r="1233" spans="1:42" x14ac:dyDescent="0.25">
      <c r="A1233" s="28" t="str">
        <f>"4760"</f>
        <v>4760</v>
      </c>
      <c r="B1233">
        <v>4760</v>
      </c>
      <c r="C1233" t="s">
        <v>2488</v>
      </c>
      <c r="D1233" t="s">
        <v>121</v>
      </c>
      <c r="F1233" t="s">
        <v>120</v>
      </c>
      <c r="G1233" t="s">
        <v>6754</v>
      </c>
      <c r="H1233" t="s">
        <v>6753</v>
      </c>
      <c r="I1233" t="s">
        <v>6752</v>
      </c>
      <c r="J1233" t="s">
        <v>7</v>
      </c>
      <c r="K1233" s="63">
        <v>26421</v>
      </c>
      <c r="L1233" s="28">
        <f>DATEDIF(K1233,Zwift25!G$1,"Y")</f>
        <v>52</v>
      </c>
      <c r="M1233" s="67">
        <f>IF(J1233="m",VLOOKUP(L1233,'All Solo Adjustments'!A:D,4,FALSE),VLOOKUP(L1233,'All Solo Adjustments'!A:J,10,FALSE))</f>
        <v>1.4814814814814816E-3</v>
      </c>
      <c r="N1233" s="63"/>
      <c r="O1233" s="63"/>
      <c r="P1233" s="63"/>
      <c r="Q1233" s="63"/>
      <c r="R1233" t="s">
        <v>184</v>
      </c>
      <c r="S1233" t="s">
        <v>183</v>
      </c>
      <c r="T1233" t="s">
        <v>292</v>
      </c>
      <c r="U1233" t="s">
        <v>6751</v>
      </c>
      <c r="V1233" t="s">
        <v>6750</v>
      </c>
      <c r="W1233" t="s">
        <v>6749</v>
      </c>
      <c r="X1233" t="s">
        <v>141</v>
      </c>
      <c r="Y1233" t="s">
        <v>6748</v>
      </c>
      <c r="Z1233" t="str">
        <f>"07850 854688"</f>
        <v>07850 854688</v>
      </c>
      <c r="AA1233" t="str">
        <f>"07545283623"</f>
        <v>07545283623</v>
      </c>
      <c r="AB1233" t="s">
        <v>1045</v>
      </c>
      <c r="AC1233" t="s">
        <v>6747</v>
      </c>
      <c r="AD1233" t="s">
        <v>114</v>
      </c>
      <c r="AE1233" s="63">
        <v>45417</v>
      </c>
      <c r="AF1233" t="s">
        <v>156</v>
      </c>
      <c r="AG1233" t="s">
        <v>112</v>
      </c>
      <c r="AH1233" t="s">
        <v>112</v>
      </c>
      <c r="AI1233" s="63">
        <v>41403</v>
      </c>
      <c r="AJ1233" s="63">
        <v>45657</v>
      </c>
      <c r="AK1233" t="s">
        <v>111</v>
      </c>
      <c r="AL1233" t="s">
        <v>111</v>
      </c>
      <c r="AM1233" t="s">
        <v>111</v>
      </c>
      <c r="AN1233">
        <v>679</v>
      </c>
      <c r="AO1233" t="s">
        <v>110</v>
      </c>
      <c r="AP1233" t="s">
        <v>109</v>
      </c>
    </row>
    <row r="1234" spans="1:42" x14ac:dyDescent="0.25">
      <c r="A1234" s="28" t="str">
        <f>"1546"</f>
        <v>1546</v>
      </c>
      <c r="B1234">
        <v>1546</v>
      </c>
      <c r="C1234" t="s">
        <v>2488</v>
      </c>
      <c r="D1234" t="s">
        <v>121</v>
      </c>
      <c r="F1234" t="s">
        <v>120</v>
      </c>
      <c r="G1234" t="s">
        <v>2455</v>
      </c>
      <c r="H1234" t="s">
        <v>284</v>
      </c>
      <c r="I1234" t="s">
        <v>6746</v>
      </c>
      <c r="J1234" t="s">
        <v>7</v>
      </c>
      <c r="K1234" s="63">
        <v>16618</v>
      </c>
      <c r="L1234" s="28">
        <f>DATEDIF(K1234,Zwift25!G$1,"Y")</f>
        <v>79</v>
      </c>
      <c r="M1234" s="67">
        <f>IF(J1234="m",VLOOKUP(L1234,'All Solo Adjustments'!A:D,4,FALSE),VLOOKUP(L1234,'All Solo Adjustments'!A:J,10,FALSE))</f>
        <v>1.0451388888888889E-2</v>
      </c>
      <c r="N1234" s="63"/>
      <c r="O1234" s="63"/>
      <c r="P1234" s="63"/>
      <c r="Q1234" s="63"/>
      <c r="R1234" t="s">
        <v>159</v>
      </c>
      <c r="S1234" t="s">
        <v>162</v>
      </c>
      <c r="T1234" t="s">
        <v>292</v>
      </c>
      <c r="U1234" t="s">
        <v>6745</v>
      </c>
      <c r="V1234" t="s">
        <v>842</v>
      </c>
      <c r="W1234" t="s">
        <v>160</v>
      </c>
      <c r="X1234" t="s">
        <v>159</v>
      </c>
      <c r="Y1234" t="s">
        <v>6744</v>
      </c>
      <c r="Z1234" t="str">
        <f>"01233 502844"</f>
        <v>01233 502844</v>
      </c>
      <c r="AA1234" t="str">
        <f>""</f>
        <v/>
      </c>
      <c r="AB1234" t="s">
        <v>644</v>
      </c>
      <c r="AC1234" t="s">
        <v>6743</v>
      </c>
      <c r="AD1234" t="s">
        <v>114</v>
      </c>
      <c r="AE1234" s="63">
        <v>45287</v>
      </c>
      <c r="AF1234" t="s">
        <v>113</v>
      </c>
      <c r="AG1234" t="s">
        <v>112</v>
      </c>
      <c r="AH1234" t="s">
        <v>112</v>
      </c>
      <c r="AI1234" s="63">
        <v>43420</v>
      </c>
      <c r="AJ1234" s="63">
        <v>45657</v>
      </c>
      <c r="AK1234" t="s">
        <v>111</v>
      </c>
      <c r="AL1234" t="s">
        <v>111</v>
      </c>
      <c r="AM1234" t="s">
        <v>111</v>
      </c>
      <c r="AN1234" t="s">
        <v>105</v>
      </c>
      <c r="AO1234" t="s">
        <v>110</v>
      </c>
      <c r="AP1234" t="s">
        <v>109</v>
      </c>
    </row>
    <row r="1235" spans="1:42" x14ac:dyDescent="0.25">
      <c r="A1235" s="28" t="str">
        <f>"3097"</f>
        <v>3097</v>
      </c>
      <c r="B1235">
        <v>3097</v>
      </c>
      <c r="C1235" t="s">
        <v>2488</v>
      </c>
      <c r="D1235" t="s">
        <v>121</v>
      </c>
      <c r="F1235" t="s">
        <v>120</v>
      </c>
      <c r="G1235" t="s">
        <v>475</v>
      </c>
      <c r="I1235" t="s">
        <v>6742</v>
      </c>
      <c r="J1235" t="s">
        <v>7</v>
      </c>
      <c r="K1235" s="63">
        <v>23252</v>
      </c>
      <c r="L1235" s="28">
        <f>DATEDIF(K1235,Zwift25!G$1,"Y")</f>
        <v>61</v>
      </c>
      <c r="M1235" s="67">
        <f>IF(J1235="m",VLOOKUP(L1235,'All Solo Adjustments'!A:D,4,FALSE),VLOOKUP(L1235,'All Solo Adjustments'!A:J,10,FALSE))</f>
        <v>3.4722222222222225E-3</v>
      </c>
      <c r="N1235" s="63"/>
      <c r="O1235" s="63"/>
      <c r="P1235" s="63"/>
      <c r="Q1235" s="63"/>
      <c r="R1235" t="s">
        <v>118</v>
      </c>
      <c r="S1235" t="s">
        <v>117</v>
      </c>
      <c r="T1235" t="s">
        <v>292</v>
      </c>
      <c r="U1235" t="s">
        <v>6741</v>
      </c>
      <c r="V1235" t="s">
        <v>6740</v>
      </c>
      <c r="W1235" t="s">
        <v>253</v>
      </c>
      <c r="X1235" t="s">
        <v>985</v>
      </c>
      <c r="Y1235" t="s">
        <v>6739</v>
      </c>
      <c r="Z1235" t="str">
        <f>"01226 370242"</f>
        <v>01226 370242</v>
      </c>
      <c r="AA1235" t="str">
        <f>"07391796488"</f>
        <v>07391796488</v>
      </c>
      <c r="AB1235" t="s">
        <v>1899</v>
      </c>
      <c r="AC1235" t="s">
        <v>6738</v>
      </c>
      <c r="AD1235" t="s">
        <v>114</v>
      </c>
      <c r="AE1235" s="63">
        <v>45295</v>
      </c>
      <c r="AF1235" t="s">
        <v>156</v>
      </c>
      <c r="AG1235" t="s">
        <v>112</v>
      </c>
      <c r="AH1235" t="s">
        <v>112</v>
      </c>
      <c r="AI1235" s="63">
        <v>39288</v>
      </c>
      <c r="AJ1235" s="63">
        <v>45657</v>
      </c>
      <c r="AK1235" t="s">
        <v>111</v>
      </c>
      <c r="AL1235" t="s">
        <v>111</v>
      </c>
      <c r="AM1235" t="s">
        <v>111</v>
      </c>
      <c r="AN1235">
        <v>1155</v>
      </c>
      <c r="AO1235" t="s">
        <v>110</v>
      </c>
      <c r="AP1235" t="s">
        <v>109</v>
      </c>
    </row>
    <row r="1236" spans="1:42" x14ac:dyDescent="0.25">
      <c r="A1236" s="28" t="str">
        <f>"6320"</f>
        <v>6320</v>
      </c>
      <c r="B1236">
        <v>6320</v>
      </c>
      <c r="C1236" t="s">
        <v>2488</v>
      </c>
      <c r="D1236" t="s">
        <v>121</v>
      </c>
      <c r="F1236" t="s">
        <v>120</v>
      </c>
      <c r="G1236" t="s">
        <v>1287</v>
      </c>
      <c r="I1236" t="s">
        <v>1667</v>
      </c>
      <c r="J1236" t="s">
        <v>7</v>
      </c>
      <c r="K1236" s="63">
        <v>20451</v>
      </c>
      <c r="L1236" s="28">
        <f>DATEDIF(K1236,Zwift25!G$1,"Y")</f>
        <v>68</v>
      </c>
      <c r="M1236" s="67">
        <f>IF(J1236="m",VLOOKUP(L1236,'All Solo Adjustments'!A:D,4,FALSE),VLOOKUP(L1236,'All Solo Adjustments'!A:J,10,FALSE))</f>
        <v>5.6134259259259262E-3</v>
      </c>
      <c r="N1236" s="63"/>
      <c r="O1236" s="63"/>
      <c r="P1236" s="63"/>
      <c r="Q1236" s="63"/>
      <c r="R1236" t="s">
        <v>296</v>
      </c>
      <c r="S1236" t="s">
        <v>295</v>
      </c>
      <c r="T1236" t="s">
        <v>292</v>
      </c>
      <c r="U1236" t="s">
        <v>6737</v>
      </c>
      <c r="V1236" t="s">
        <v>4072</v>
      </c>
      <c r="W1236" t="s">
        <v>1647</v>
      </c>
      <c r="Y1236" t="s">
        <v>6736</v>
      </c>
      <c r="Z1236" t="str">
        <f>"07765 297291"</f>
        <v>07765 297291</v>
      </c>
      <c r="AA1236" t="str">
        <f>"01292 316336"</f>
        <v>01292 316336</v>
      </c>
      <c r="AB1236" t="s">
        <v>1657</v>
      </c>
      <c r="AC1236" t="s">
        <v>6735</v>
      </c>
      <c r="AD1236" t="s">
        <v>114</v>
      </c>
      <c r="AE1236" s="63">
        <v>45264</v>
      </c>
      <c r="AF1236" t="s">
        <v>156</v>
      </c>
      <c r="AG1236" t="s">
        <v>112</v>
      </c>
      <c r="AH1236" t="s">
        <v>112</v>
      </c>
      <c r="AI1236" s="63">
        <v>42927</v>
      </c>
      <c r="AJ1236" s="63">
        <v>45657</v>
      </c>
      <c r="AK1236" t="s">
        <v>111</v>
      </c>
      <c r="AL1236" t="s">
        <v>111</v>
      </c>
      <c r="AM1236" t="s">
        <v>111</v>
      </c>
      <c r="AN1236">
        <v>7783</v>
      </c>
      <c r="AO1236" t="s">
        <v>110</v>
      </c>
      <c r="AP1236" t="s">
        <v>109</v>
      </c>
    </row>
    <row r="1237" spans="1:42" x14ac:dyDescent="0.25">
      <c r="A1237" s="28" t="str">
        <f>"3766"</f>
        <v>3766</v>
      </c>
      <c r="B1237">
        <v>3766</v>
      </c>
      <c r="C1237" t="s">
        <v>2488</v>
      </c>
      <c r="D1237" t="s">
        <v>121</v>
      </c>
      <c r="F1237" t="s">
        <v>120</v>
      </c>
      <c r="G1237" t="s">
        <v>1456</v>
      </c>
      <c r="I1237" t="s">
        <v>2390</v>
      </c>
      <c r="J1237" t="s">
        <v>7</v>
      </c>
      <c r="K1237" s="63">
        <v>23234</v>
      </c>
      <c r="L1237" s="28">
        <f>DATEDIF(K1237,Zwift25!G$1,"Y")</f>
        <v>61</v>
      </c>
      <c r="M1237" s="67">
        <f>IF(J1237="m",VLOOKUP(L1237,'All Solo Adjustments'!A:D,4,FALSE),VLOOKUP(L1237,'All Solo Adjustments'!A:J,10,FALSE))</f>
        <v>3.4722222222222225E-3</v>
      </c>
      <c r="N1237" s="63"/>
      <c r="O1237" s="63"/>
      <c r="P1237" s="63"/>
      <c r="Q1237" s="63"/>
      <c r="R1237" t="s">
        <v>296</v>
      </c>
      <c r="S1237" t="s">
        <v>295</v>
      </c>
      <c r="T1237" t="s">
        <v>292</v>
      </c>
      <c r="U1237" t="s">
        <v>6734</v>
      </c>
      <c r="V1237" t="s">
        <v>6733</v>
      </c>
      <c r="W1237" t="s">
        <v>6732</v>
      </c>
      <c r="X1237" t="s">
        <v>1242</v>
      </c>
      <c r="Y1237" t="s">
        <v>6731</v>
      </c>
      <c r="Z1237" t="str">
        <f>"01561 320828"</f>
        <v>01561 320828</v>
      </c>
      <c r="AA1237" t="str">
        <f>""</f>
        <v/>
      </c>
      <c r="AB1237" t="s">
        <v>1660</v>
      </c>
      <c r="AC1237" t="s">
        <v>6730</v>
      </c>
      <c r="AD1237" t="s">
        <v>114</v>
      </c>
      <c r="AE1237" s="63">
        <v>45264</v>
      </c>
      <c r="AF1237" t="s">
        <v>113</v>
      </c>
      <c r="AG1237" t="s">
        <v>112</v>
      </c>
      <c r="AH1237" t="s">
        <v>112</v>
      </c>
      <c r="AI1237" s="63">
        <v>39916</v>
      </c>
      <c r="AJ1237" s="63">
        <v>45657</v>
      </c>
      <c r="AK1237" t="s">
        <v>111</v>
      </c>
      <c r="AL1237" t="s">
        <v>111</v>
      </c>
      <c r="AM1237" t="s">
        <v>111</v>
      </c>
      <c r="AN1237">
        <v>4903</v>
      </c>
      <c r="AO1237" t="s">
        <v>110</v>
      </c>
      <c r="AP1237" t="s">
        <v>109</v>
      </c>
    </row>
    <row r="1238" spans="1:42" x14ac:dyDescent="0.25">
      <c r="A1238" s="28" t="str">
        <f>"1552"</f>
        <v>1552</v>
      </c>
      <c r="B1238">
        <v>1552</v>
      </c>
      <c r="C1238" t="s">
        <v>2488</v>
      </c>
      <c r="D1238" t="s">
        <v>121</v>
      </c>
      <c r="F1238" t="s">
        <v>120</v>
      </c>
      <c r="G1238" t="s">
        <v>952</v>
      </c>
      <c r="H1238" t="s">
        <v>546</v>
      </c>
      <c r="I1238" t="s">
        <v>6729</v>
      </c>
      <c r="J1238" t="s">
        <v>7</v>
      </c>
      <c r="K1238" s="63">
        <v>19903</v>
      </c>
      <c r="L1238" s="28">
        <f>DATEDIF(K1238,Zwift25!G$1,"Y")</f>
        <v>70</v>
      </c>
      <c r="M1238" s="67">
        <f>IF(J1238="m",VLOOKUP(L1238,'All Solo Adjustments'!A:D,4,FALSE),VLOOKUP(L1238,'All Solo Adjustments'!A:J,10,FALSE))</f>
        <v>6.3425925925925924E-3</v>
      </c>
      <c r="N1238" s="63"/>
      <c r="O1238" s="63"/>
      <c r="P1238" s="63"/>
      <c r="Q1238" s="63"/>
      <c r="R1238" t="s">
        <v>159</v>
      </c>
      <c r="S1238" t="s">
        <v>162</v>
      </c>
      <c r="T1238" t="s">
        <v>292</v>
      </c>
      <c r="U1238" t="s">
        <v>6728</v>
      </c>
      <c r="V1238" t="s">
        <v>2246</v>
      </c>
      <c r="W1238" t="s">
        <v>159</v>
      </c>
      <c r="Y1238" t="s">
        <v>6727</v>
      </c>
      <c r="Z1238" t="str">
        <f>"01843 832903"</f>
        <v>01843 832903</v>
      </c>
      <c r="AA1238" t="str">
        <f>""</f>
        <v/>
      </c>
      <c r="AB1238" t="s">
        <v>415</v>
      </c>
      <c r="AC1238" t="s">
        <v>6726</v>
      </c>
      <c r="AD1238" t="s">
        <v>114</v>
      </c>
      <c r="AE1238" s="63">
        <v>45293</v>
      </c>
      <c r="AF1238" t="s">
        <v>156</v>
      </c>
      <c r="AG1238" t="s">
        <v>112</v>
      </c>
      <c r="AH1238" t="s">
        <v>112</v>
      </c>
      <c r="AI1238" s="63">
        <v>43468</v>
      </c>
      <c r="AJ1238" s="63">
        <v>45657</v>
      </c>
      <c r="AK1238" t="s">
        <v>111</v>
      </c>
      <c r="AL1238" t="s">
        <v>111</v>
      </c>
      <c r="AM1238" t="s">
        <v>111</v>
      </c>
      <c r="AN1238">
        <v>5270</v>
      </c>
      <c r="AO1238" t="s">
        <v>110</v>
      </c>
      <c r="AP1238" t="s">
        <v>109</v>
      </c>
    </row>
    <row r="1239" spans="1:42" x14ac:dyDescent="0.25">
      <c r="A1239" s="28" t="str">
        <f>"15280"</f>
        <v>15280</v>
      </c>
      <c r="B1239">
        <v>15280</v>
      </c>
      <c r="C1239" t="s">
        <v>2488</v>
      </c>
      <c r="D1239" t="s">
        <v>121</v>
      </c>
      <c r="F1239" t="s">
        <v>120</v>
      </c>
      <c r="G1239" t="s">
        <v>790</v>
      </c>
      <c r="I1239" t="s">
        <v>6725</v>
      </c>
      <c r="J1239" t="s">
        <v>7</v>
      </c>
      <c r="K1239" s="63">
        <v>15548</v>
      </c>
      <c r="L1239" s="28">
        <f>DATEDIF(K1239,Zwift25!G$1,"Y")</f>
        <v>82</v>
      </c>
      <c r="M1239" s="67">
        <f>IF(J1239="m",VLOOKUP(L1239,'All Solo Adjustments'!A:D,4,FALSE),VLOOKUP(L1239,'All Solo Adjustments'!A:J,10,FALSE))</f>
        <v>1.2210648148148148E-2</v>
      </c>
      <c r="N1239" s="63"/>
      <c r="O1239" s="63"/>
      <c r="P1239" s="63"/>
      <c r="Q1239" s="63"/>
      <c r="R1239" t="s">
        <v>143</v>
      </c>
      <c r="S1239" t="s">
        <v>142</v>
      </c>
      <c r="T1239" t="s">
        <v>292</v>
      </c>
      <c r="U1239" t="s">
        <v>6724</v>
      </c>
      <c r="V1239" t="s">
        <v>6723</v>
      </c>
      <c r="W1239" t="s">
        <v>141</v>
      </c>
      <c r="Y1239" t="s">
        <v>6722</v>
      </c>
      <c r="Z1239" t="str">
        <f>"07711463072"</f>
        <v>07711463072</v>
      </c>
      <c r="AA1239" t="str">
        <f>""</f>
        <v/>
      </c>
      <c r="AB1239" t="s">
        <v>6721</v>
      </c>
      <c r="AC1239" t="s">
        <v>6720</v>
      </c>
      <c r="AD1239" t="s">
        <v>114</v>
      </c>
      <c r="AE1239" s="63">
        <v>45273</v>
      </c>
      <c r="AF1239" t="s">
        <v>156</v>
      </c>
      <c r="AG1239" t="s">
        <v>112</v>
      </c>
      <c r="AH1239" t="s">
        <v>112</v>
      </c>
      <c r="AI1239" s="63">
        <v>44499</v>
      </c>
      <c r="AJ1239" s="63">
        <v>45657</v>
      </c>
      <c r="AK1239" t="s">
        <v>112</v>
      </c>
      <c r="AL1239" t="s">
        <v>111</v>
      </c>
      <c r="AM1239" t="s">
        <v>111</v>
      </c>
      <c r="AN1239">
        <v>41993</v>
      </c>
      <c r="AO1239" t="s">
        <v>110</v>
      </c>
      <c r="AP1239" t="s">
        <v>109</v>
      </c>
    </row>
    <row r="1240" spans="1:42" x14ac:dyDescent="0.25">
      <c r="A1240" s="28" t="str">
        <f>"1553"</f>
        <v>1553</v>
      </c>
      <c r="B1240">
        <v>1553</v>
      </c>
      <c r="C1240" t="s">
        <v>2488</v>
      </c>
      <c r="D1240" t="s">
        <v>121</v>
      </c>
      <c r="F1240" t="s">
        <v>120</v>
      </c>
      <c r="G1240" t="s">
        <v>181</v>
      </c>
      <c r="I1240" t="s">
        <v>6719</v>
      </c>
      <c r="J1240" t="s">
        <v>7</v>
      </c>
      <c r="K1240" s="63">
        <v>14049</v>
      </c>
      <c r="L1240" s="28">
        <f>DATEDIF(K1240,Zwift25!G$1,"Y")</f>
        <v>86</v>
      </c>
      <c r="M1240" s="67">
        <f>IF(J1240="m",VLOOKUP(L1240,'All Solo Adjustments'!A:D,4,FALSE),VLOOKUP(L1240,'All Solo Adjustments'!A:J,10,FALSE))</f>
        <v>1.4988425925925926E-2</v>
      </c>
      <c r="N1240" s="63"/>
      <c r="O1240" s="63"/>
      <c r="P1240" s="63"/>
      <c r="Q1240" s="63"/>
      <c r="R1240" t="s">
        <v>296</v>
      </c>
      <c r="S1240" t="s">
        <v>2310</v>
      </c>
      <c r="T1240" t="s">
        <v>292</v>
      </c>
      <c r="U1240" t="s">
        <v>6718</v>
      </c>
      <c r="V1240" t="s">
        <v>6717</v>
      </c>
      <c r="W1240" t="s">
        <v>4530</v>
      </c>
      <c r="Y1240" t="s">
        <v>6716</v>
      </c>
      <c r="Z1240" t="str">
        <f>"01382 814089"</f>
        <v>01382 814089</v>
      </c>
      <c r="AA1240" t="str">
        <f>""</f>
        <v/>
      </c>
      <c r="AB1240" t="s">
        <v>4528</v>
      </c>
      <c r="AD1240" t="s">
        <v>151</v>
      </c>
      <c r="AE1240" s="63">
        <v>43097</v>
      </c>
      <c r="AF1240" t="s">
        <v>113</v>
      </c>
      <c r="AG1240" t="s">
        <v>112</v>
      </c>
      <c r="AH1240" t="s">
        <v>112</v>
      </c>
      <c r="AI1240" s="63">
        <v>28502</v>
      </c>
      <c r="AK1240" t="s">
        <v>111</v>
      </c>
      <c r="AL1240" t="s">
        <v>111</v>
      </c>
      <c r="AM1240" t="s">
        <v>111</v>
      </c>
      <c r="AN1240" t="s">
        <v>105</v>
      </c>
      <c r="AO1240" t="s">
        <v>110</v>
      </c>
      <c r="AP1240" t="s">
        <v>109</v>
      </c>
    </row>
    <row r="1241" spans="1:42" x14ac:dyDescent="0.25">
      <c r="A1241" s="28" t="str">
        <f>"16149"</f>
        <v>16149</v>
      </c>
      <c r="B1241">
        <v>16149</v>
      </c>
      <c r="C1241" t="s">
        <v>2488</v>
      </c>
      <c r="D1241" t="s">
        <v>121</v>
      </c>
      <c r="F1241" t="s">
        <v>120</v>
      </c>
      <c r="G1241" t="s">
        <v>6634</v>
      </c>
      <c r="H1241" t="s">
        <v>284</v>
      </c>
      <c r="I1241" t="s">
        <v>2388</v>
      </c>
      <c r="J1241" t="s">
        <v>7</v>
      </c>
      <c r="K1241" s="63">
        <v>22315</v>
      </c>
      <c r="L1241" s="28">
        <f>DATEDIF(K1241,Zwift25!G$1,"Y")</f>
        <v>63</v>
      </c>
      <c r="M1241" s="67">
        <f>IF(J1241="m",VLOOKUP(L1241,'All Solo Adjustments'!A:D,4,FALSE),VLOOKUP(L1241,'All Solo Adjustments'!A:J,10,FALSE))</f>
        <v>4.0277777777777777E-3</v>
      </c>
      <c r="N1241" s="63"/>
      <c r="O1241" s="63"/>
      <c r="P1241" s="63"/>
      <c r="Q1241" s="63"/>
      <c r="R1241" t="s">
        <v>184</v>
      </c>
      <c r="S1241" t="s">
        <v>183</v>
      </c>
      <c r="T1241" t="s">
        <v>292</v>
      </c>
      <c r="U1241" t="s">
        <v>6715</v>
      </c>
      <c r="V1241" t="s">
        <v>6714</v>
      </c>
      <c r="W1241" t="s">
        <v>167</v>
      </c>
      <c r="Y1241" t="s">
        <v>6713</v>
      </c>
      <c r="Z1241" t="str">
        <f>"07967479519"</f>
        <v>07967479519</v>
      </c>
      <c r="AA1241" t="str">
        <f>"07967479519"</f>
        <v>07967479519</v>
      </c>
      <c r="AB1241" t="s">
        <v>6712</v>
      </c>
      <c r="AC1241" t="s">
        <v>6711</v>
      </c>
      <c r="AD1241" t="s">
        <v>114</v>
      </c>
      <c r="AE1241" s="63">
        <v>45441</v>
      </c>
      <c r="AF1241" t="s">
        <v>156</v>
      </c>
      <c r="AG1241" t="s">
        <v>112</v>
      </c>
      <c r="AH1241" t="s">
        <v>112</v>
      </c>
      <c r="AI1241" s="63">
        <v>45441</v>
      </c>
      <c r="AJ1241" s="63">
        <v>45657</v>
      </c>
      <c r="AK1241" t="s">
        <v>112</v>
      </c>
      <c r="AL1241" t="s">
        <v>111</v>
      </c>
      <c r="AM1241" t="s">
        <v>111</v>
      </c>
      <c r="AN1241" t="s">
        <v>105</v>
      </c>
      <c r="AO1241" t="s">
        <v>110</v>
      </c>
      <c r="AP1241" t="s">
        <v>109</v>
      </c>
    </row>
    <row r="1242" spans="1:42" x14ac:dyDescent="0.25">
      <c r="A1242" s="28" t="str">
        <f>"1556"</f>
        <v>1556</v>
      </c>
      <c r="B1242">
        <v>1556</v>
      </c>
      <c r="C1242" t="s">
        <v>2488</v>
      </c>
      <c r="D1242" t="s">
        <v>132</v>
      </c>
      <c r="F1242" t="s">
        <v>120</v>
      </c>
      <c r="G1242" t="s">
        <v>678</v>
      </c>
      <c r="I1242" t="s">
        <v>6710</v>
      </c>
      <c r="J1242" t="s">
        <v>7</v>
      </c>
      <c r="K1242" s="63">
        <v>14140</v>
      </c>
      <c r="L1242" s="28">
        <f>DATEDIF(K1242,Zwift25!G$1,"Y")</f>
        <v>86</v>
      </c>
      <c r="M1242" s="67">
        <f>IF(J1242="m",VLOOKUP(L1242,'All Solo Adjustments'!A:D,4,FALSE),VLOOKUP(L1242,'All Solo Adjustments'!A:J,10,FALSE))</f>
        <v>1.4988425925925926E-2</v>
      </c>
      <c r="N1242" s="63"/>
      <c r="O1242" s="63"/>
      <c r="P1242" s="63"/>
      <c r="Q1242" s="63"/>
      <c r="R1242" t="s">
        <v>296</v>
      </c>
      <c r="S1242" t="s">
        <v>4410</v>
      </c>
      <c r="T1242" t="s">
        <v>292</v>
      </c>
      <c r="U1242" t="s">
        <v>6708</v>
      </c>
      <c r="V1242" t="s">
        <v>5596</v>
      </c>
      <c r="W1242" t="s">
        <v>1341</v>
      </c>
      <c r="Y1242" t="s">
        <v>5595</v>
      </c>
      <c r="Z1242" t="str">
        <f>"01324 880000"</f>
        <v>01324 880000</v>
      </c>
      <c r="AA1242" t="str">
        <f>""</f>
        <v/>
      </c>
      <c r="AB1242" t="s">
        <v>1420</v>
      </c>
      <c r="AD1242" t="s">
        <v>145</v>
      </c>
      <c r="AF1242" t="s">
        <v>113</v>
      </c>
      <c r="AG1242" t="s">
        <v>111</v>
      </c>
      <c r="AH1242" t="s">
        <v>112</v>
      </c>
      <c r="AI1242" s="63">
        <v>35163</v>
      </c>
      <c r="AJ1242" s="63">
        <v>45657</v>
      </c>
      <c r="AK1242" t="s">
        <v>111</v>
      </c>
      <c r="AL1242" t="s">
        <v>111</v>
      </c>
      <c r="AM1242" t="s">
        <v>111</v>
      </c>
      <c r="AN1242" t="s">
        <v>105</v>
      </c>
      <c r="AO1242" t="s">
        <v>110</v>
      </c>
      <c r="AP1242" t="s">
        <v>109</v>
      </c>
    </row>
    <row r="1243" spans="1:42" x14ac:dyDescent="0.25">
      <c r="A1243" s="28" t="str">
        <f>"11253"</f>
        <v>11253</v>
      </c>
      <c r="B1243">
        <v>11253</v>
      </c>
      <c r="C1243" t="s">
        <v>2488</v>
      </c>
      <c r="D1243" t="s">
        <v>130</v>
      </c>
      <c r="F1243" t="s">
        <v>149</v>
      </c>
      <c r="G1243" t="s">
        <v>1579</v>
      </c>
      <c r="I1243" t="s">
        <v>6710</v>
      </c>
      <c r="J1243" t="s">
        <v>126</v>
      </c>
      <c r="K1243" s="63">
        <v>17081</v>
      </c>
      <c r="L1243" s="28">
        <f>DATEDIF(K1243,Zwift25!G$1,"Y")</f>
        <v>78</v>
      </c>
      <c r="M1243" s="67">
        <f>IF(J1243="m",VLOOKUP(L1243,'All Solo Adjustments'!A:D,4,FALSE),VLOOKUP(L1243,'All Solo Adjustments'!A:J,10,FALSE))</f>
        <v>1.5590277777777778E-2</v>
      </c>
      <c r="N1243" s="63"/>
      <c r="O1243" s="63"/>
      <c r="P1243" s="63"/>
      <c r="Q1243" s="63"/>
      <c r="R1243" t="s">
        <v>296</v>
      </c>
      <c r="S1243" t="s">
        <v>6709</v>
      </c>
      <c r="T1243" t="s">
        <v>292</v>
      </c>
      <c r="U1243" t="s">
        <v>6708</v>
      </c>
      <c r="V1243" t="s">
        <v>5596</v>
      </c>
      <c r="W1243" t="s">
        <v>1341</v>
      </c>
      <c r="Y1243" t="s">
        <v>5595</v>
      </c>
      <c r="Z1243" t="str">
        <f>"01324 880000"</f>
        <v>01324 880000</v>
      </c>
      <c r="AA1243" t="str">
        <f>""</f>
        <v/>
      </c>
      <c r="AB1243" t="s">
        <v>1420</v>
      </c>
      <c r="AD1243" t="s">
        <v>151</v>
      </c>
      <c r="AF1243" t="s">
        <v>113</v>
      </c>
      <c r="AG1243" t="s">
        <v>111</v>
      </c>
      <c r="AH1243" t="s">
        <v>112</v>
      </c>
      <c r="AI1243" s="63">
        <v>35163</v>
      </c>
      <c r="AK1243" t="s">
        <v>111</v>
      </c>
      <c r="AL1243" t="s">
        <v>111</v>
      </c>
      <c r="AM1243" t="s">
        <v>111</v>
      </c>
      <c r="AN1243" t="s">
        <v>105</v>
      </c>
      <c r="AO1243" t="s">
        <v>122</v>
      </c>
      <c r="AP1243" t="s">
        <v>122</v>
      </c>
    </row>
    <row r="1244" spans="1:42" x14ac:dyDescent="0.25">
      <c r="A1244" s="28" t="str">
        <f>"1557"</f>
        <v>1557</v>
      </c>
      <c r="B1244">
        <v>1557</v>
      </c>
      <c r="C1244" t="s">
        <v>2488</v>
      </c>
      <c r="D1244" t="s">
        <v>121</v>
      </c>
      <c r="F1244" t="s">
        <v>120</v>
      </c>
      <c r="G1244" t="s">
        <v>359</v>
      </c>
      <c r="I1244" t="s">
        <v>1664</v>
      </c>
      <c r="J1244" t="s">
        <v>7</v>
      </c>
      <c r="K1244" s="63">
        <v>16282</v>
      </c>
      <c r="L1244" s="28">
        <f>DATEDIF(K1244,Zwift25!G$1,"Y")</f>
        <v>80</v>
      </c>
      <c r="M1244" s="67">
        <f>IF(J1244="m",VLOOKUP(L1244,'All Solo Adjustments'!A:D,4,FALSE),VLOOKUP(L1244,'All Solo Adjustments'!A:J,10,FALSE))</f>
        <v>1.1018518518518518E-2</v>
      </c>
      <c r="N1244" s="63"/>
      <c r="O1244" s="63"/>
      <c r="P1244" s="63"/>
      <c r="Q1244" s="63"/>
      <c r="R1244" t="s">
        <v>296</v>
      </c>
      <c r="S1244" t="s">
        <v>2310</v>
      </c>
      <c r="T1244" t="s">
        <v>292</v>
      </c>
      <c r="U1244" t="s">
        <v>6707</v>
      </c>
      <c r="V1244" t="s">
        <v>6706</v>
      </c>
      <c r="W1244" t="s">
        <v>2064</v>
      </c>
      <c r="X1244" t="s">
        <v>296</v>
      </c>
      <c r="Y1244" t="s">
        <v>6705</v>
      </c>
      <c r="Z1244" t="str">
        <f>"01360 440749"</f>
        <v>01360 440749</v>
      </c>
      <c r="AA1244" t="str">
        <f>""</f>
        <v/>
      </c>
      <c r="AB1244" t="s">
        <v>1422</v>
      </c>
      <c r="AC1244" t="s">
        <v>6704</v>
      </c>
      <c r="AD1244" t="s">
        <v>145</v>
      </c>
      <c r="AF1244" t="s">
        <v>113</v>
      </c>
      <c r="AG1244" t="s">
        <v>112</v>
      </c>
      <c r="AH1244" t="s">
        <v>112</v>
      </c>
      <c r="AI1244" s="63">
        <v>35181</v>
      </c>
      <c r="AK1244" t="s">
        <v>111</v>
      </c>
      <c r="AL1244" t="s">
        <v>111</v>
      </c>
      <c r="AM1244" t="s">
        <v>111</v>
      </c>
      <c r="AN1244" t="s">
        <v>105</v>
      </c>
      <c r="AO1244" t="s">
        <v>110</v>
      </c>
      <c r="AP1244" t="s">
        <v>109</v>
      </c>
    </row>
    <row r="1245" spans="1:42" x14ac:dyDescent="0.25">
      <c r="A1245" s="28" t="str">
        <f>"6145"</f>
        <v>6145</v>
      </c>
      <c r="B1245">
        <v>6145</v>
      </c>
      <c r="C1245" t="s">
        <v>2488</v>
      </c>
      <c r="D1245" t="s">
        <v>121</v>
      </c>
      <c r="F1245" t="s">
        <v>120</v>
      </c>
      <c r="G1245" t="s">
        <v>718</v>
      </c>
      <c r="I1245" t="s">
        <v>6703</v>
      </c>
      <c r="J1245" t="s">
        <v>7</v>
      </c>
      <c r="K1245" s="63">
        <v>27492</v>
      </c>
      <c r="L1245" s="28">
        <f>DATEDIF(K1245,Zwift25!G$1,"Y")</f>
        <v>49</v>
      </c>
      <c r="M1245" s="67">
        <f>IF(J1245="m",VLOOKUP(L1245,'All Solo Adjustments'!A:D,4,FALSE),VLOOKUP(L1245,'All Solo Adjustments'!A:J,10,FALSE))</f>
        <v>9.837962962962962E-4</v>
      </c>
      <c r="N1245" s="63"/>
      <c r="O1245" s="63"/>
      <c r="P1245" s="63"/>
      <c r="Q1245" s="63"/>
      <c r="R1245" t="s">
        <v>198</v>
      </c>
      <c r="S1245" t="s">
        <v>461</v>
      </c>
      <c r="T1245" t="s">
        <v>292</v>
      </c>
      <c r="U1245" t="s">
        <v>6702</v>
      </c>
      <c r="V1245" t="s">
        <v>6701</v>
      </c>
      <c r="W1245" t="s">
        <v>6700</v>
      </c>
      <c r="X1245" t="s">
        <v>534</v>
      </c>
      <c r="Y1245" t="s">
        <v>6699</v>
      </c>
      <c r="Z1245" t="str">
        <f>"07713 259298"</f>
        <v>07713 259298</v>
      </c>
      <c r="AA1245" t="str">
        <f>""</f>
        <v/>
      </c>
      <c r="AB1245" t="s">
        <v>1232</v>
      </c>
      <c r="AC1245" t="s">
        <v>6698</v>
      </c>
      <c r="AD1245" t="s">
        <v>114</v>
      </c>
      <c r="AE1245" s="63">
        <v>45309</v>
      </c>
      <c r="AF1245" t="s">
        <v>156</v>
      </c>
      <c r="AG1245" t="s">
        <v>112</v>
      </c>
      <c r="AH1245" t="s">
        <v>112</v>
      </c>
      <c r="AI1245" s="63">
        <v>42818</v>
      </c>
      <c r="AJ1245" s="63">
        <v>45657</v>
      </c>
      <c r="AK1245" t="s">
        <v>111</v>
      </c>
      <c r="AL1245" t="s">
        <v>111</v>
      </c>
      <c r="AM1245" t="s">
        <v>111</v>
      </c>
      <c r="AN1245">
        <v>10950</v>
      </c>
      <c r="AO1245" t="s">
        <v>110</v>
      </c>
      <c r="AP1245" t="s">
        <v>109</v>
      </c>
    </row>
    <row r="1246" spans="1:42" x14ac:dyDescent="0.25">
      <c r="A1246" s="28" t="str">
        <f>"16029"</f>
        <v>16029</v>
      </c>
      <c r="B1246">
        <v>16029</v>
      </c>
      <c r="C1246" t="s">
        <v>2488</v>
      </c>
      <c r="D1246" t="s">
        <v>121</v>
      </c>
      <c r="E1246" t="s">
        <v>584</v>
      </c>
      <c r="F1246" t="s">
        <v>120</v>
      </c>
      <c r="G1246" t="s">
        <v>601</v>
      </c>
      <c r="I1246" t="s">
        <v>1658</v>
      </c>
      <c r="J1246" t="s">
        <v>7</v>
      </c>
      <c r="K1246" s="63">
        <v>24829</v>
      </c>
      <c r="L1246" s="28">
        <f>DATEDIF(K1246,Zwift25!G$1,"Y")</f>
        <v>56</v>
      </c>
      <c r="M1246" s="67">
        <f>IF(J1246="m",VLOOKUP(L1246,'All Solo Adjustments'!A:D,4,FALSE),VLOOKUP(L1246,'All Solo Adjustments'!A:J,10,FALSE))</f>
        <v>2.2685185185185182E-3</v>
      </c>
      <c r="N1246" s="63"/>
      <c r="O1246" s="63"/>
      <c r="P1246" s="63"/>
      <c r="Q1246" s="63"/>
      <c r="R1246" t="s">
        <v>213</v>
      </c>
      <c r="S1246" t="s">
        <v>212</v>
      </c>
      <c r="T1246" t="s">
        <v>292</v>
      </c>
      <c r="U1246" t="s">
        <v>582</v>
      </c>
      <c r="V1246" t="s">
        <v>581</v>
      </c>
      <c r="W1246" t="s">
        <v>211</v>
      </c>
      <c r="X1246" t="s">
        <v>196</v>
      </c>
      <c r="Y1246" t="s">
        <v>580</v>
      </c>
      <c r="Z1246" t="str">
        <f>"07966695982"</f>
        <v>07966695982</v>
      </c>
      <c r="AA1246" t="str">
        <f>""</f>
        <v/>
      </c>
      <c r="AB1246" t="s">
        <v>579</v>
      </c>
      <c r="AC1246" t="s">
        <v>6697</v>
      </c>
      <c r="AD1246" t="s">
        <v>114</v>
      </c>
      <c r="AE1246" s="63">
        <v>45337</v>
      </c>
      <c r="AF1246" t="s">
        <v>156</v>
      </c>
      <c r="AG1246" t="s">
        <v>112</v>
      </c>
      <c r="AH1246" t="s">
        <v>112</v>
      </c>
      <c r="AI1246" s="63">
        <v>45337</v>
      </c>
      <c r="AJ1246" s="63">
        <v>45657</v>
      </c>
      <c r="AK1246" t="s">
        <v>112</v>
      </c>
      <c r="AL1246" t="s">
        <v>111</v>
      </c>
      <c r="AM1246" t="s">
        <v>111</v>
      </c>
      <c r="AN1246">
        <v>1953</v>
      </c>
      <c r="AO1246" t="s">
        <v>110</v>
      </c>
      <c r="AP1246" t="s">
        <v>109</v>
      </c>
    </row>
    <row r="1247" spans="1:42" x14ac:dyDescent="0.25">
      <c r="A1247" s="28" t="str">
        <f>"1561"</f>
        <v>1561</v>
      </c>
      <c r="B1247">
        <v>1561</v>
      </c>
      <c r="C1247" t="s">
        <v>2488</v>
      </c>
      <c r="D1247" t="s">
        <v>121</v>
      </c>
      <c r="F1247" t="s">
        <v>120</v>
      </c>
      <c r="G1247" t="s">
        <v>1166</v>
      </c>
      <c r="I1247" t="s">
        <v>6696</v>
      </c>
      <c r="J1247" t="s">
        <v>7</v>
      </c>
      <c r="K1247" s="63">
        <v>16868</v>
      </c>
      <c r="L1247" s="28">
        <f>DATEDIF(K1247,Zwift25!G$1,"Y")</f>
        <v>78</v>
      </c>
      <c r="M1247" s="67">
        <f>IF(J1247="m",VLOOKUP(L1247,'All Solo Adjustments'!A:D,4,FALSE),VLOOKUP(L1247,'All Solo Adjustments'!A:J,10,FALSE))</f>
        <v>9.9189814814814817E-3</v>
      </c>
      <c r="N1247" s="63"/>
      <c r="O1247" s="63"/>
      <c r="P1247" s="63"/>
      <c r="Q1247" s="63"/>
      <c r="R1247" t="s">
        <v>296</v>
      </c>
      <c r="S1247" t="s">
        <v>295</v>
      </c>
      <c r="T1247" t="s">
        <v>292</v>
      </c>
      <c r="U1247" t="s">
        <v>6695</v>
      </c>
      <c r="V1247" t="s">
        <v>6694</v>
      </c>
      <c r="W1247" t="s">
        <v>1341</v>
      </c>
      <c r="Y1247" t="s">
        <v>6693</v>
      </c>
      <c r="Z1247" t="str">
        <f>"07968 819252"</f>
        <v>07968 819252</v>
      </c>
      <c r="AA1247" t="str">
        <f>""</f>
        <v/>
      </c>
      <c r="AB1247" t="s">
        <v>1379</v>
      </c>
      <c r="AC1247" t="s">
        <v>6692</v>
      </c>
      <c r="AD1247" t="s">
        <v>114</v>
      </c>
      <c r="AE1247" s="63">
        <v>45282</v>
      </c>
      <c r="AF1247" t="s">
        <v>156</v>
      </c>
      <c r="AG1247" t="s">
        <v>112</v>
      </c>
      <c r="AH1247" t="s">
        <v>112</v>
      </c>
      <c r="AI1247" s="63">
        <v>42336</v>
      </c>
      <c r="AJ1247" s="63">
        <v>45657</v>
      </c>
      <c r="AK1247" t="s">
        <v>111</v>
      </c>
      <c r="AL1247" t="s">
        <v>111</v>
      </c>
      <c r="AM1247" t="s">
        <v>111</v>
      </c>
      <c r="AN1247" t="s">
        <v>105</v>
      </c>
      <c r="AO1247" t="s">
        <v>110</v>
      </c>
      <c r="AP1247" t="s">
        <v>109</v>
      </c>
    </row>
    <row r="1248" spans="1:42" x14ac:dyDescent="0.25">
      <c r="A1248" s="28" t="str">
        <f>"6456"</f>
        <v>6456</v>
      </c>
      <c r="B1248">
        <v>6456</v>
      </c>
      <c r="C1248" t="s">
        <v>2488</v>
      </c>
      <c r="D1248" t="s">
        <v>121</v>
      </c>
      <c r="F1248" t="s">
        <v>120</v>
      </c>
      <c r="G1248" t="s">
        <v>1160</v>
      </c>
      <c r="H1248" t="s">
        <v>6691</v>
      </c>
      <c r="I1248" t="s">
        <v>6690</v>
      </c>
      <c r="J1248" t="s">
        <v>7</v>
      </c>
      <c r="K1248" s="63">
        <v>22572</v>
      </c>
      <c r="L1248" s="28">
        <f>DATEDIF(K1248,Zwift25!G$1,"Y")</f>
        <v>62</v>
      </c>
      <c r="M1248" s="67">
        <f>IF(J1248="m",VLOOKUP(L1248,'All Solo Adjustments'!A:D,4,FALSE),VLOOKUP(L1248,'All Solo Adjustments'!A:J,10,FALSE))</f>
        <v>3.7384259259259259E-3</v>
      </c>
      <c r="N1248" s="63"/>
      <c r="O1248" s="63"/>
      <c r="P1248" s="63"/>
      <c r="Q1248" s="63"/>
      <c r="R1248" t="s">
        <v>198</v>
      </c>
      <c r="S1248" t="s">
        <v>461</v>
      </c>
      <c r="T1248" t="s">
        <v>292</v>
      </c>
      <c r="U1248" t="s">
        <v>6689</v>
      </c>
      <c r="V1248" t="s">
        <v>1527</v>
      </c>
      <c r="W1248" t="s">
        <v>196</v>
      </c>
      <c r="Y1248" t="s">
        <v>6688</v>
      </c>
      <c r="Z1248" t="str">
        <f>"0161 969 4539"</f>
        <v>0161 969 4539</v>
      </c>
      <c r="AA1248" t="str">
        <f>"07513364737"</f>
        <v>07513364737</v>
      </c>
      <c r="AB1248" t="s">
        <v>615</v>
      </c>
      <c r="AC1248" t="s">
        <v>6687</v>
      </c>
      <c r="AD1248" t="s">
        <v>114</v>
      </c>
      <c r="AE1248" s="63">
        <v>45337</v>
      </c>
      <c r="AF1248" t="s">
        <v>156</v>
      </c>
      <c r="AG1248" t="s">
        <v>112</v>
      </c>
      <c r="AH1248" t="s">
        <v>112</v>
      </c>
      <c r="AI1248" s="63">
        <v>43132</v>
      </c>
      <c r="AJ1248" s="63">
        <v>45657</v>
      </c>
      <c r="AK1248" t="s">
        <v>111</v>
      </c>
      <c r="AL1248" t="s">
        <v>111</v>
      </c>
      <c r="AM1248" t="s">
        <v>111</v>
      </c>
      <c r="AN1248">
        <v>3277</v>
      </c>
      <c r="AO1248" t="s">
        <v>110</v>
      </c>
      <c r="AP1248" t="s">
        <v>109</v>
      </c>
    </row>
    <row r="1249" spans="1:42" x14ac:dyDescent="0.25">
      <c r="A1249" s="28" t="str">
        <f>"15387"</f>
        <v>15387</v>
      </c>
      <c r="B1249">
        <v>15387</v>
      </c>
      <c r="C1249" t="s">
        <v>2488</v>
      </c>
      <c r="D1249" t="s">
        <v>121</v>
      </c>
      <c r="F1249" t="s">
        <v>120</v>
      </c>
      <c r="G1249" t="s">
        <v>185</v>
      </c>
      <c r="I1249" t="s">
        <v>6686</v>
      </c>
      <c r="J1249" t="s">
        <v>7</v>
      </c>
      <c r="K1249" s="63">
        <v>25270</v>
      </c>
      <c r="L1249" s="28">
        <f>DATEDIF(K1249,Zwift25!G$1,"Y")</f>
        <v>55</v>
      </c>
      <c r="M1249" s="67">
        <f>IF(J1249="m",VLOOKUP(L1249,'All Solo Adjustments'!A:D,4,FALSE),VLOOKUP(L1249,'All Solo Adjustments'!A:J,10,FALSE))</f>
        <v>2.0601851851851853E-3</v>
      </c>
      <c r="N1249" s="63"/>
      <c r="O1249" s="63"/>
      <c r="P1249" s="63"/>
      <c r="Q1249" s="63"/>
      <c r="R1249" t="s">
        <v>143</v>
      </c>
      <c r="S1249" t="s">
        <v>142</v>
      </c>
      <c r="T1249" t="s">
        <v>292</v>
      </c>
      <c r="U1249" t="s">
        <v>6685</v>
      </c>
      <c r="V1249" t="s">
        <v>6684</v>
      </c>
      <c r="W1249" t="s">
        <v>1884</v>
      </c>
      <c r="X1249" t="s">
        <v>486</v>
      </c>
      <c r="Y1249" t="s">
        <v>6683</v>
      </c>
      <c r="Z1249" t="str">
        <f>"07768004506"</f>
        <v>07768004506</v>
      </c>
      <c r="AA1249" t="str">
        <f>""</f>
        <v/>
      </c>
      <c r="AB1249" t="s">
        <v>765</v>
      </c>
      <c r="AC1249" t="s">
        <v>6682</v>
      </c>
      <c r="AD1249" t="s">
        <v>114</v>
      </c>
      <c r="AE1249" s="63">
        <v>45292</v>
      </c>
      <c r="AF1249" t="s">
        <v>156</v>
      </c>
      <c r="AG1249" t="s">
        <v>112</v>
      </c>
      <c r="AH1249" t="s">
        <v>112</v>
      </c>
      <c r="AI1249" s="63">
        <v>44620</v>
      </c>
      <c r="AJ1249" s="63">
        <v>45657</v>
      </c>
      <c r="AK1249" t="s">
        <v>112</v>
      </c>
      <c r="AL1249" t="s">
        <v>111</v>
      </c>
      <c r="AM1249" t="s">
        <v>111</v>
      </c>
      <c r="AN1249">
        <v>40097</v>
      </c>
      <c r="AO1249" t="s">
        <v>110</v>
      </c>
      <c r="AP1249" t="s">
        <v>109</v>
      </c>
    </row>
    <row r="1250" spans="1:42" x14ac:dyDescent="0.25">
      <c r="A1250" s="28" t="str">
        <f>"14505"</f>
        <v>14505</v>
      </c>
      <c r="B1250">
        <v>14505</v>
      </c>
      <c r="C1250" t="s">
        <v>2488</v>
      </c>
      <c r="D1250" t="s">
        <v>121</v>
      </c>
      <c r="E1250" t="s">
        <v>6681</v>
      </c>
      <c r="F1250" t="s">
        <v>120</v>
      </c>
      <c r="G1250" t="s">
        <v>594</v>
      </c>
      <c r="I1250" t="s">
        <v>6677</v>
      </c>
      <c r="J1250" t="s">
        <v>7</v>
      </c>
      <c r="K1250" s="63">
        <v>24700</v>
      </c>
      <c r="L1250" s="28">
        <f>DATEDIF(K1250,Zwift25!G$1,"Y")</f>
        <v>57</v>
      </c>
      <c r="M1250" s="67">
        <f>IF(J1250="m",VLOOKUP(L1250,'All Solo Adjustments'!A:D,4,FALSE),VLOOKUP(L1250,'All Solo Adjustments'!A:J,10,FALSE))</f>
        <v>2.488425925925926E-3</v>
      </c>
      <c r="N1250" s="63"/>
      <c r="O1250" s="63"/>
      <c r="P1250" s="63"/>
      <c r="Q1250" s="63"/>
      <c r="R1250" t="s">
        <v>143</v>
      </c>
      <c r="S1250" t="s">
        <v>142</v>
      </c>
      <c r="T1250" t="s">
        <v>292</v>
      </c>
      <c r="U1250" t="s">
        <v>6680</v>
      </c>
      <c r="V1250" t="s">
        <v>1621</v>
      </c>
      <c r="W1250" t="s">
        <v>141</v>
      </c>
      <c r="X1250" t="s">
        <v>141</v>
      </c>
      <c r="Y1250" t="s">
        <v>6679</v>
      </c>
      <c r="Z1250" t="str">
        <f>"07799505546"</f>
        <v>07799505546</v>
      </c>
      <c r="AA1250" t="str">
        <f>""</f>
        <v/>
      </c>
      <c r="AB1250" t="s">
        <v>2430</v>
      </c>
      <c r="AC1250" t="s">
        <v>6678</v>
      </c>
      <c r="AD1250" t="s">
        <v>114</v>
      </c>
      <c r="AE1250" s="63">
        <v>45278</v>
      </c>
      <c r="AF1250" t="s">
        <v>156</v>
      </c>
      <c r="AG1250" t="s">
        <v>112</v>
      </c>
      <c r="AH1250" t="s">
        <v>112</v>
      </c>
      <c r="AI1250" s="63">
        <v>43889</v>
      </c>
      <c r="AJ1250" s="63">
        <v>45657</v>
      </c>
      <c r="AK1250" t="s">
        <v>112</v>
      </c>
      <c r="AL1250" t="s">
        <v>111</v>
      </c>
      <c r="AM1250" t="s">
        <v>111</v>
      </c>
      <c r="AN1250">
        <v>5747</v>
      </c>
      <c r="AO1250" t="s">
        <v>110</v>
      </c>
      <c r="AP1250" t="s">
        <v>109</v>
      </c>
    </row>
    <row r="1251" spans="1:42" x14ac:dyDescent="0.25">
      <c r="A1251" s="28" t="str">
        <f>"15148"</f>
        <v>15148</v>
      </c>
      <c r="B1251">
        <v>15148</v>
      </c>
      <c r="C1251" t="s">
        <v>2488</v>
      </c>
      <c r="D1251" t="s">
        <v>121</v>
      </c>
      <c r="F1251" t="s">
        <v>149</v>
      </c>
      <c r="G1251" t="s">
        <v>307</v>
      </c>
      <c r="I1251" t="s">
        <v>6677</v>
      </c>
      <c r="J1251" t="s">
        <v>126</v>
      </c>
      <c r="K1251" s="63">
        <v>28478</v>
      </c>
      <c r="L1251" s="28">
        <f>DATEDIF(K1251,Zwift25!G$1,"Y")</f>
        <v>46</v>
      </c>
      <c r="M1251" s="67">
        <f>IF(J1251="m",VLOOKUP(L1251,'All Solo Adjustments'!A:D,4,FALSE),VLOOKUP(L1251,'All Solo Adjustments'!A:J,10,FALSE))</f>
        <v>4.6759259259259263E-3</v>
      </c>
      <c r="N1251" s="63"/>
      <c r="O1251" s="63"/>
      <c r="P1251" s="63"/>
      <c r="Q1251" s="63"/>
      <c r="R1251" t="s">
        <v>184</v>
      </c>
      <c r="S1251" t="s">
        <v>183</v>
      </c>
      <c r="T1251" t="s">
        <v>292</v>
      </c>
      <c r="U1251" t="s">
        <v>6676</v>
      </c>
      <c r="V1251" t="s">
        <v>5325</v>
      </c>
      <c r="W1251" t="s">
        <v>1228</v>
      </c>
      <c r="Y1251" t="s">
        <v>6675</v>
      </c>
      <c r="Z1251" t="str">
        <f>"07764 432 177"</f>
        <v>07764 432 177</v>
      </c>
      <c r="AA1251" t="str">
        <f>""</f>
        <v/>
      </c>
      <c r="AB1251" t="s">
        <v>6674</v>
      </c>
      <c r="AC1251" t="s">
        <v>6673</v>
      </c>
      <c r="AD1251" t="s">
        <v>114</v>
      </c>
      <c r="AE1251" s="63">
        <v>45418</v>
      </c>
      <c r="AF1251" t="s">
        <v>156</v>
      </c>
      <c r="AG1251" t="s">
        <v>112</v>
      </c>
      <c r="AH1251" t="s">
        <v>112</v>
      </c>
      <c r="AI1251" s="63">
        <v>44376</v>
      </c>
      <c r="AJ1251" s="63">
        <v>45657</v>
      </c>
      <c r="AK1251" t="s">
        <v>112</v>
      </c>
      <c r="AL1251" t="s">
        <v>111</v>
      </c>
      <c r="AM1251" t="s">
        <v>111</v>
      </c>
      <c r="AN1251">
        <v>19714</v>
      </c>
      <c r="AO1251" t="s">
        <v>122</v>
      </c>
      <c r="AP1251" t="s">
        <v>122</v>
      </c>
    </row>
    <row r="1252" spans="1:42" x14ac:dyDescent="0.25">
      <c r="A1252" s="28" t="str">
        <f>"15836"</f>
        <v>15836</v>
      </c>
      <c r="B1252">
        <v>15836</v>
      </c>
      <c r="C1252" t="s">
        <v>2488</v>
      </c>
      <c r="D1252" t="s">
        <v>121</v>
      </c>
      <c r="E1252" t="s">
        <v>584</v>
      </c>
      <c r="F1252" t="s">
        <v>120</v>
      </c>
      <c r="G1252" t="s">
        <v>433</v>
      </c>
      <c r="I1252" t="s">
        <v>6672</v>
      </c>
      <c r="J1252" t="s">
        <v>7</v>
      </c>
      <c r="K1252" s="63">
        <v>26461</v>
      </c>
      <c r="L1252" s="28">
        <f>DATEDIF(K1252,Zwift25!G$1,"Y")</f>
        <v>52</v>
      </c>
      <c r="M1252" s="67">
        <f>IF(J1252="m",VLOOKUP(L1252,'All Solo Adjustments'!A:D,4,FALSE),VLOOKUP(L1252,'All Solo Adjustments'!A:J,10,FALSE))</f>
        <v>1.4814814814814816E-3</v>
      </c>
      <c r="N1252" s="63"/>
      <c r="O1252" s="63"/>
      <c r="P1252" s="63"/>
      <c r="Q1252" s="63"/>
      <c r="R1252" t="s">
        <v>184</v>
      </c>
      <c r="S1252" t="s">
        <v>183</v>
      </c>
      <c r="T1252" t="s">
        <v>292</v>
      </c>
      <c r="U1252" t="s">
        <v>6671</v>
      </c>
      <c r="V1252" t="s">
        <v>6670</v>
      </c>
      <c r="W1252" t="s">
        <v>828</v>
      </c>
      <c r="Y1252" t="s">
        <v>6669</v>
      </c>
      <c r="Z1252" t="str">
        <f>"07958083951"</f>
        <v>07958083951</v>
      </c>
      <c r="AA1252" t="str">
        <f>""</f>
        <v/>
      </c>
      <c r="AB1252" t="s">
        <v>232</v>
      </c>
      <c r="AC1252" t="s">
        <v>6668</v>
      </c>
      <c r="AD1252" t="s">
        <v>114</v>
      </c>
      <c r="AE1252" s="63">
        <v>45275</v>
      </c>
      <c r="AF1252" t="s">
        <v>156</v>
      </c>
      <c r="AG1252" t="s">
        <v>112</v>
      </c>
      <c r="AH1252" t="s">
        <v>112</v>
      </c>
      <c r="AI1252" s="63">
        <v>45071</v>
      </c>
      <c r="AJ1252" s="63">
        <v>45657</v>
      </c>
      <c r="AK1252" t="s">
        <v>112</v>
      </c>
      <c r="AL1252" t="s">
        <v>111</v>
      </c>
      <c r="AM1252" t="s">
        <v>111</v>
      </c>
      <c r="AN1252">
        <v>32162</v>
      </c>
      <c r="AO1252" t="s">
        <v>110</v>
      </c>
      <c r="AP1252" t="s">
        <v>109</v>
      </c>
    </row>
    <row r="1253" spans="1:42" x14ac:dyDescent="0.25">
      <c r="A1253" s="28" t="str">
        <f>"1570"</f>
        <v>1570</v>
      </c>
      <c r="B1253">
        <v>1570</v>
      </c>
      <c r="C1253" t="s">
        <v>2488</v>
      </c>
      <c r="D1253" t="s">
        <v>121</v>
      </c>
      <c r="F1253" t="s">
        <v>120</v>
      </c>
      <c r="G1253" t="s">
        <v>489</v>
      </c>
      <c r="I1253" t="s">
        <v>6662</v>
      </c>
      <c r="J1253" t="s">
        <v>7</v>
      </c>
      <c r="K1253" s="63">
        <v>16327</v>
      </c>
      <c r="L1253" s="28">
        <f>DATEDIF(K1253,Zwift25!G$1,"Y")</f>
        <v>80</v>
      </c>
      <c r="M1253" s="67">
        <f>IF(J1253="m",VLOOKUP(L1253,'All Solo Adjustments'!A:D,4,FALSE),VLOOKUP(L1253,'All Solo Adjustments'!A:J,10,FALSE))</f>
        <v>1.1018518518518518E-2</v>
      </c>
      <c r="N1253" s="63"/>
      <c r="O1253" s="63"/>
      <c r="P1253" s="63"/>
      <c r="Q1253" s="63"/>
      <c r="R1253" t="s">
        <v>296</v>
      </c>
      <c r="S1253" t="s">
        <v>295</v>
      </c>
      <c r="T1253" t="s">
        <v>292</v>
      </c>
      <c r="U1253" t="s">
        <v>6667</v>
      </c>
      <c r="V1253" t="s">
        <v>6666</v>
      </c>
      <c r="W1253" t="s">
        <v>6665</v>
      </c>
      <c r="X1253" t="s">
        <v>804</v>
      </c>
      <c r="Y1253" t="s">
        <v>6664</v>
      </c>
      <c r="Z1253" t="str">
        <f>"07758 340856"</f>
        <v>07758 340856</v>
      </c>
      <c r="AA1253" t="str">
        <f>""</f>
        <v/>
      </c>
      <c r="AB1253" t="s">
        <v>1422</v>
      </c>
      <c r="AC1253" t="s">
        <v>6663</v>
      </c>
      <c r="AD1253" t="s">
        <v>114</v>
      </c>
      <c r="AE1253" s="63">
        <v>45356</v>
      </c>
      <c r="AF1253" t="s">
        <v>156</v>
      </c>
      <c r="AG1253" t="s">
        <v>112</v>
      </c>
      <c r="AH1253" t="s">
        <v>112</v>
      </c>
      <c r="AI1253" s="63">
        <v>38025</v>
      </c>
      <c r="AJ1253" s="63">
        <v>45657</v>
      </c>
      <c r="AK1253" t="s">
        <v>111</v>
      </c>
      <c r="AL1253" t="s">
        <v>111</v>
      </c>
      <c r="AM1253" t="s">
        <v>111</v>
      </c>
      <c r="AN1253" t="s">
        <v>105</v>
      </c>
      <c r="AO1253" t="s">
        <v>110</v>
      </c>
      <c r="AP1253" t="s">
        <v>109</v>
      </c>
    </row>
    <row r="1254" spans="1:42" x14ac:dyDescent="0.25">
      <c r="A1254" s="28" t="str">
        <f>"15167"</f>
        <v>15167</v>
      </c>
      <c r="B1254">
        <v>15167</v>
      </c>
      <c r="C1254" t="s">
        <v>2488</v>
      </c>
      <c r="D1254" t="s">
        <v>121</v>
      </c>
      <c r="E1254" t="s">
        <v>584</v>
      </c>
      <c r="F1254" t="s">
        <v>144</v>
      </c>
      <c r="G1254" t="s">
        <v>659</v>
      </c>
      <c r="I1254" t="s">
        <v>6662</v>
      </c>
      <c r="J1254" t="s">
        <v>126</v>
      </c>
      <c r="K1254" s="63">
        <v>29269</v>
      </c>
      <c r="L1254" s="28">
        <f>DATEDIF(K1254,Zwift25!G$1,"Y")</f>
        <v>44</v>
      </c>
      <c r="M1254" s="67">
        <f>IF(J1254="m",VLOOKUP(L1254,'All Solo Adjustments'!A:D,4,FALSE),VLOOKUP(L1254,'All Solo Adjustments'!A:J,10,FALSE))</f>
        <v>4.5717592592592598E-3</v>
      </c>
      <c r="N1254" s="63"/>
      <c r="O1254" s="63"/>
      <c r="P1254" s="63"/>
      <c r="Q1254" s="63"/>
      <c r="R1254" t="s">
        <v>239</v>
      </c>
      <c r="S1254" t="s">
        <v>274</v>
      </c>
      <c r="T1254" t="s">
        <v>292</v>
      </c>
      <c r="U1254" t="s">
        <v>6661</v>
      </c>
      <c r="V1254" t="s">
        <v>6660</v>
      </c>
      <c r="W1254" t="s">
        <v>127</v>
      </c>
      <c r="Y1254" t="s">
        <v>6659</v>
      </c>
      <c r="Z1254" t="str">
        <f>"07788255364"</f>
        <v>07788255364</v>
      </c>
      <c r="AA1254" t="str">
        <f>""</f>
        <v/>
      </c>
      <c r="AB1254" t="s">
        <v>1453</v>
      </c>
      <c r="AC1254" t="s">
        <v>6658</v>
      </c>
      <c r="AD1254" t="s">
        <v>114</v>
      </c>
      <c r="AE1254" s="63">
        <v>45292</v>
      </c>
      <c r="AF1254" t="s">
        <v>156</v>
      </c>
      <c r="AG1254" t="s">
        <v>112</v>
      </c>
      <c r="AH1254" t="s">
        <v>112</v>
      </c>
      <c r="AI1254" s="63">
        <v>44386</v>
      </c>
      <c r="AJ1254" s="63">
        <v>45657</v>
      </c>
      <c r="AK1254" t="s">
        <v>112</v>
      </c>
      <c r="AL1254" t="s">
        <v>111</v>
      </c>
      <c r="AM1254" t="s">
        <v>111</v>
      </c>
      <c r="AN1254">
        <v>15387</v>
      </c>
      <c r="AO1254" t="s">
        <v>122</v>
      </c>
      <c r="AP1254" t="s">
        <v>122</v>
      </c>
    </row>
    <row r="1255" spans="1:42" x14ac:dyDescent="0.25">
      <c r="A1255" s="28" t="str">
        <f>"4690"</f>
        <v>4690</v>
      </c>
      <c r="B1255">
        <v>4690</v>
      </c>
      <c r="C1255" t="s">
        <v>2488</v>
      </c>
      <c r="D1255" t="s">
        <v>121</v>
      </c>
      <c r="F1255" t="s">
        <v>120</v>
      </c>
      <c r="G1255" t="s">
        <v>284</v>
      </c>
      <c r="H1255" t="s">
        <v>164</v>
      </c>
      <c r="I1255" t="s">
        <v>6657</v>
      </c>
      <c r="J1255" t="s">
        <v>7</v>
      </c>
      <c r="K1255" s="63">
        <v>18788</v>
      </c>
      <c r="L1255" s="28">
        <f>DATEDIF(K1255,Zwift25!G$1,"Y")</f>
        <v>73</v>
      </c>
      <c r="M1255" s="67">
        <f>IF(J1255="m",VLOOKUP(L1255,'All Solo Adjustments'!A:D,4,FALSE),VLOOKUP(L1255,'All Solo Adjustments'!A:J,10,FALSE))</f>
        <v>7.5462962962962966E-3</v>
      </c>
      <c r="N1255" s="63"/>
      <c r="O1255" s="63"/>
      <c r="P1255" s="63"/>
      <c r="Q1255" s="63"/>
      <c r="R1255" t="s">
        <v>159</v>
      </c>
      <c r="S1255" t="s">
        <v>162</v>
      </c>
      <c r="T1255" t="s">
        <v>292</v>
      </c>
      <c r="U1255" t="s">
        <v>6656</v>
      </c>
      <c r="V1255" t="s">
        <v>6655</v>
      </c>
      <c r="W1255" t="s">
        <v>6654</v>
      </c>
      <c r="X1255" t="s">
        <v>159</v>
      </c>
      <c r="Y1255" t="s">
        <v>6653</v>
      </c>
      <c r="Z1255" t="str">
        <f>"07828 161890"</f>
        <v>07828 161890</v>
      </c>
      <c r="AA1255" t="str">
        <f>""</f>
        <v/>
      </c>
      <c r="AB1255" t="s">
        <v>722</v>
      </c>
      <c r="AC1255" t="s">
        <v>6652</v>
      </c>
      <c r="AD1255" t="s">
        <v>114</v>
      </c>
      <c r="AE1255" s="63">
        <v>45293</v>
      </c>
      <c r="AF1255" t="s">
        <v>113</v>
      </c>
      <c r="AG1255" t="s">
        <v>112</v>
      </c>
      <c r="AH1255" t="s">
        <v>112</v>
      </c>
      <c r="AI1255" s="63">
        <v>43420</v>
      </c>
      <c r="AJ1255" s="63">
        <v>45657</v>
      </c>
      <c r="AK1255" t="s">
        <v>111</v>
      </c>
      <c r="AL1255" t="s">
        <v>111</v>
      </c>
      <c r="AM1255" t="s">
        <v>111</v>
      </c>
      <c r="AN1255">
        <v>5818</v>
      </c>
      <c r="AO1255" t="s">
        <v>110</v>
      </c>
      <c r="AP1255" t="s">
        <v>109</v>
      </c>
    </row>
    <row r="1256" spans="1:42" x14ac:dyDescent="0.25">
      <c r="A1256" s="28" t="str">
        <f>"14620"</f>
        <v>14620</v>
      </c>
      <c r="B1256">
        <v>14620</v>
      </c>
      <c r="C1256" t="s">
        <v>2488</v>
      </c>
      <c r="D1256" t="s">
        <v>121</v>
      </c>
      <c r="F1256" t="s">
        <v>120</v>
      </c>
      <c r="G1256" t="s">
        <v>6651</v>
      </c>
      <c r="I1256" t="s">
        <v>6650</v>
      </c>
      <c r="J1256" t="s">
        <v>7</v>
      </c>
      <c r="K1256" s="63">
        <v>26274</v>
      </c>
      <c r="L1256" s="28">
        <f>DATEDIF(K1256,Zwift25!G$1,"Y")</f>
        <v>52</v>
      </c>
      <c r="M1256" s="67">
        <f>IF(J1256="m",VLOOKUP(L1256,'All Solo Adjustments'!A:D,4,FALSE),VLOOKUP(L1256,'All Solo Adjustments'!A:J,10,FALSE))</f>
        <v>1.4814814814814816E-3</v>
      </c>
      <c r="N1256" s="63"/>
      <c r="O1256" s="63"/>
      <c r="P1256" s="63"/>
      <c r="Q1256" s="63"/>
      <c r="R1256" t="s">
        <v>154</v>
      </c>
      <c r="S1256" t="s">
        <v>153</v>
      </c>
      <c r="T1256" t="s">
        <v>292</v>
      </c>
      <c r="U1256" t="s">
        <v>6649</v>
      </c>
      <c r="V1256" t="s">
        <v>6648</v>
      </c>
      <c r="W1256" t="s">
        <v>1017</v>
      </c>
      <c r="Y1256" t="s">
        <v>6647</v>
      </c>
      <c r="Z1256" t="str">
        <f>"07460032433"</f>
        <v>07460032433</v>
      </c>
      <c r="AA1256" t="str">
        <f>""</f>
        <v/>
      </c>
      <c r="AB1256" t="s">
        <v>6646</v>
      </c>
      <c r="AC1256" t="s">
        <v>6645</v>
      </c>
      <c r="AD1256" t="s">
        <v>114</v>
      </c>
      <c r="AE1256" s="63">
        <v>45456</v>
      </c>
      <c r="AF1256" t="s">
        <v>156</v>
      </c>
      <c r="AG1256" t="s">
        <v>112</v>
      </c>
      <c r="AH1256" t="s">
        <v>112</v>
      </c>
      <c r="AI1256" s="63">
        <v>44039</v>
      </c>
      <c r="AJ1256" s="63">
        <v>45657</v>
      </c>
      <c r="AK1256" t="s">
        <v>112</v>
      </c>
      <c r="AL1256" t="s">
        <v>111</v>
      </c>
      <c r="AM1256" t="s">
        <v>111</v>
      </c>
      <c r="AN1256">
        <v>257</v>
      </c>
      <c r="AO1256" t="s">
        <v>110</v>
      </c>
      <c r="AP1256" t="s">
        <v>109</v>
      </c>
    </row>
    <row r="1257" spans="1:42" x14ac:dyDescent="0.25">
      <c r="A1257" s="28" t="str">
        <f>"15441"</f>
        <v>15441</v>
      </c>
      <c r="B1257">
        <v>15441</v>
      </c>
      <c r="C1257" t="s">
        <v>2488</v>
      </c>
      <c r="D1257" t="s">
        <v>121</v>
      </c>
      <c r="F1257" t="s">
        <v>149</v>
      </c>
      <c r="G1257" t="s">
        <v>424</v>
      </c>
      <c r="H1257" t="s">
        <v>1157</v>
      </c>
      <c r="I1257" t="s">
        <v>6644</v>
      </c>
      <c r="J1257" t="s">
        <v>126</v>
      </c>
      <c r="K1257" s="63">
        <v>26246</v>
      </c>
      <c r="L1257" s="28">
        <f>DATEDIF(K1257,Zwift25!G$1,"Y")</f>
        <v>52</v>
      </c>
      <c r="M1257" s="67">
        <f>IF(J1257="m",VLOOKUP(L1257,'All Solo Adjustments'!A:D,4,FALSE),VLOOKUP(L1257,'All Solo Adjustments'!A:J,10,FALSE))</f>
        <v>5.1967592592592595E-3</v>
      </c>
      <c r="N1257" s="63"/>
      <c r="O1257" s="63"/>
      <c r="P1257" s="63"/>
      <c r="Q1257" s="63"/>
      <c r="R1257" t="s">
        <v>184</v>
      </c>
      <c r="S1257" t="s">
        <v>183</v>
      </c>
      <c r="T1257" t="s">
        <v>292</v>
      </c>
      <c r="U1257" t="s">
        <v>6643</v>
      </c>
      <c r="V1257" t="s">
        <v>6642</v>
      </c>
      <c r="W1257" t="s">
        <v>6641</v>
      </c>
      <c r="X1257" t="s">
        <v>1195</v>
      </c>
      <c r="Y1257" t="s">
        <v>6640</v>
      </c>
      <c r="Z1257" t="str">
        <f>"07786314900"</f>
        <v>07786314900</v>
      </c>
      <c r="AA1257" t="str">
        <f>""</f>
        <v/>
      </c>
      <c r="AB1257" t="s">
        <v>6639</v>
      </c>
      <c r="AC1257" t="s">
        <v>6638</v>
      </c>
      <c r="AD1257" t="s">
        <v>114</v>
      </c>
      <c r="AE1257" s="63">
        <v>45271</v>
      </c>
      <c r="AF1257" t="s">
        <v>156</v>
      </c>
      <c r="AG1257" t="s">
        <v>112</v>
      </c>
      <c r="AH1257" t="s">
        <v>112</v>
      </c>
      <c r="AI1257" s="63">
        <v>44658</v>
      </c>
      <c r="AJ1257" s="63">
        <v>45657</v>
      </c>
      <c r="AK1257" t="s">
        <v>112</v>
      </c>
      <c r="AL1257" t="s">
        <v>111</v>
      </c>
      <c r="AM1257" t="s">
        <v>111</v>
      </c>
      <c r="AN1257">
        <v>43203</v>
      </c>
      <c r="AO1257" t="s">
        <v>122</v>
      </c>
      <c r="AP1257" t="s">
        <v>122</v>
      </c>
    </row>
    <row r="1258" spans="1:42" x14ac:dyDescent="0.25">
      <c r="A1258" s="28" t="str">
        <f>"13965"</f>
        <v>13965</v>
      </c>
      <c r="B1258">
        <v>13965</v>
      </c>
      <c r="C1258" t="s">
        <v>2488</v>
      </c>
      <c r="D1258" t="s">
        <v>121</v>
      </c>
      <c r="E1258" t="s">
        <v>584</v>
      </c>
      <c r="F1258" t="s">
        <v>120</v>
      </c>
      <c r="G1258" t="s">
        <v>492</v>
      </c>
      <c r="I1258" t="s">
        <v>6633</v>
      </c>
      <c r="J1258" t="s">
        <v>7</v>
      </c>
      <c r="K1258" s="63">
        <v>23727</v>
      </c>
      <c r="L1258" s="28">
        <f>DATEDIF(K1258,Zwift25!G$1,"Y")</f>
        <v>59</v>
      </c>
      <c r="M1258" s="67">
        <f>IF(J1258="m",VLOOKUP(L1258,'All Solo Adjustments'!A:D,4,FALSE),VLOOKUP(L1258,'All Solo Adjustments'!A:J,10,FALSE))</f>
        <v>2.9629629629629632E-3</v>
      </c>
      <c r="N1258" s="63"/>
      <c r="O1258" s="63"/>
      <c r="P1258" s="63"/>
      <c r="Q1258" s="63"/>
      <c r="R1258" t="s">
        <v>125</v>
      </c>
      <c r="S1258" t="s">
        <v>170</v>
      </c>
      <c r="T1258" t="s">
        <v>292</v>
      </c>
      <c r="U1258" t="s">
        <v>6637</v>
      </c>
      <c r="V1258" t="s">
        <v>397</v>
      </c>
      <c r="W1258" t="s">
        <v>169</v>
      </c>
      <c r="Y1258" t="s">
        <v>6636</v>
      </c>
      <c r="Z1258" t="str">
        <f>"01394 282502"</f>
        <v>01394 282502</v>
      </c>
      <c r="AA1258" t="str">
        <f>""</f>
        <v/>
      </c>
      <c r="AB1258" t="s">
        <v>950</v>
      </c>
      <c r="AC1258" t="s">
        <v>6635</v>
      </c>
      <c r="AD1258" t="s">
        <v>114</v>
      </c>
      <c r="AE1258" s="63">
        <v>45209</v>
      </c>
      <c r="AF1258" t="s">
        <v>156</v>
      </c>
      <c r="AG1258" t="s">
        <v>112</v>
      </c>
      <c r="AH1258" t="s">
        <v>112</v>
      </c>
      <c r="AI1258" s="63">
        <v>43468</v>
      </c>
      <c r="AJ1258" s="63">
        <v>45657</v>
      </c>
      <c r="AK1258" t="s">
        <v>112</v>
      </c>
      <c r="AL1258" t="s">
        <v>111</v>
      </c>
      <c r="AM1258" t="s">
        <v>111</v>
      </c>
      <c r="AN1258">
        <v>19839</v>
      </c>
      <c r="AO1258" t="s">
        <v>110</v>
      </c>
      <c r="AP1258" t="s">
        <v>109</v>
      </c>
    </row>
    <row r="1259" spans="1:42" x14ac:dyDescent="0.25">
      <c r="A1259" s="28" t="str">
        <f>"14223"</f>
        <v>14223</v>
      </c>
      <c r="B1259">
        <v>14223</v>
      </c>
      <c r="C1259" t="s">
        <v>2488</v>
      </c>
      <c r="D1259" t="s">
        <v>121</v>
      </c>
      <c r="E1259" t="s">
        <v>584</v>
      </c>
      <c r="F1259" t="s">
        <v>403</v>
      </c>
      <c r="G1259" t="s">
        <v>6634</v>
      </c>
      <c r="I1259" t="s">
        <v>6633</v>
      </c>
      <c r="J1259" t="s">
        <v>7</v>
      </c>
      <c r="K1259" s="63">
        <v>22401</v>
      </c>
      <c r="L1259" s="28">
        <f>DATEDIF(K1259,Zwift25!G$1,"Y")</f>
        <v>63</v>
      </c>
      <c r="M1259" s="67">
        <f>IF(J1259="m",VLOOKUP(L1259,'All Solo Adjustments'!A:D,4,FALSE),VLOOKUP(L1259,'All Solo Adjustments'!A:J,10,FALSE))</f>
        <v>4.0277777777777777E-3</v>
      </c>
      <c r="N1259" s="63"/>
      <c r="O1259" s="63"/>
      <c r="P1259" s="63"/>
      <c r="Q1259" s="63"/>
      <c r="R1259" t="s">
        <v>296</v>
      </c>
      <c r="S1259" t="s">
        <v>295</v>
      </c>
      <c r="T1259" t="s">
        <v>292</v>
      </c>
      <c r="U1259" t="s">
        <v>6632</v>
      </c>
      <c r="V1259" t="s">
        <v>6631</v>
      </c>
      <c r="W1259" t="s">
        <v>1041</v>
      </c>
      <c r="Y1259" t="s">
        <v>6630</v>
      </c>
      <c r="Z1259" t="str">
        <f>"07720893487"</f>
        <v>07720893487</v>
      </c>
      <c r="AA1259" t="str">
        <f>""</f>
        <v/>
      </c>
      <c r="AB1259" t="s">
        <v>6629</v>
      </c>
      <c r="AC1259" t="s">
        <v>6628</v>
      </c>
      <c r="AD1259" t="s">
        <v>114</v>
      </c>
      <c r="AE1259" s="63">
        <v>45348</v>
      </c>
      <c r="AF1259" t="s">
        <v>156</v>
      </c>
      <c r="AG1259" t="s">
        <v>112</v>
      </c>
      <c r="AH1259" t="s">
        <v>112</v>
      </c>
      <c r="AI1259" s="63">
        <v>43602</v>
      </c>
      <c r="AJ1259" s="63">
        <v>45657</v>
      </c>
      <c r="AK1259" t="s">
        <v>112</v>
      </c>
      <c r="AL1259" t="s">
        <v>111</v>
      </c>
      <c r="AM1259" t="s">
        <v>111</v>
      </c>
      <c r="AN1259">
        <v>30607</v>
      </c>
      <c r="AO1259" t="s">
        <v>110</v>
      </c>
      <c r="AP1259" t="s">
        <v>109</v>
      </c>
    </row>
    <row r="1260" spans="1:42" x14ac:dyDescent="0.25">
      <c r="A1260" s="28" t="str">
        <f>"15415"</f>
        <v>15415</v>
      </c>
      <c r="B1260">
        <v>15415</v>
      </c>
      <c r="C1260" t="s">
        <v>2488</v>
      </c>
      <c r="D1260" t="s">
        <v>121</v>
      </c>
      <c r="F1260" t="s">
        <v>120</v>
      </c>
      <c r="G1260" t="s">
        <v>221</v>
      </c>
      <c r="H1260" t="s">
        <v>1007</v>
      </c>
      <c r="I1260" t="s">
        <v>6627</v>
      </c>
      <c r="J1260" t="s">
        <v>7</v>
      </c>
      <c r="K1260" s="63">
        <v>27754</v>
      </c>
      <c r="L1260" s="28">
        <f>DATEDIF(K1260,Zwift25!G$1,"Y")</f>
        <v>48</v>
      </c>
      <c r="M1260" s="67">
        <f>IF(J1260="m",VLOOKUP(L1260,'All Solo Adjustments'!A:D,4,FALSE),VLOOKUP(L1260,'All Solo Adjustments'!A:J,10,FALSE))</f>
        <v>8.3333333333333339E-4</v>
      </c>
      <c r="N1260" s="63"/>
      <c r="O1260" s="63"/>
      <c r="P1260" s="63"/>
      <c r="Q1260" s="63"/>
      <c r="R1260" t="s">
        <v>125</v>
      </c>
      <c r="S1260" t="s">
        <v>170</v>
      </c>
      <c r="T1260" t="s">
        <v>292</v>
      </c>
      <c r="U1260" t="s">
        <v>6626</v>
      </c>
      <c r="W1260" t="s">
        <v>420</v>
      </c>
      <c r="X1260" t="s">
        <v>419</v>
      </c>
      <c r="Y1260" t="s">
        <v>6625</v>
      </c>
      <c r="Z1260" t="str">
        <f>"01383724629"</f>
        <v>01383724629</v>
      </c>
      <c r="AA1260" t="str">
        <f>""</f>
        <v/>
      </c>
      <c r="AB1260" t="s">
        <v>1340</v>
      </c>
      <c r="AC1260" t="s">
        <v>6624</v>
      </c>
      <c r="AD1260" t="s">
        <v>114</v>
      </c>
      <c r="AE1260" s="63">
        <v>45305</v>
      </c>
      <c r="AF1260" t="s">
        <v>113</v>
      </c>
      <c r="AG1260" t="s">
        <v>112</v>
      </c>
      <c r="AH1260" t="s">
        <v>112</v>
      </c>
      <c r="AI1260" s="63">
        <v>44647</v>
      </c>
      <c r="AJ1260" s="63">
        <v>45657</v>
      </c>
      <c r="AK1260" t="s">
        <v>112</v>
      </c>
      <c r="AL1260" t="s">
        <v>111</v>
      </c>
      <c r="AM1260" t="s">
        <v>111</v>
      </c>
      <c r="AN1260">
        <v>4684</v>
      </c>
      <c r="AO1260" t="s">
        <v>110</v>
      </c>
      <c r="AP1260" t="s">
        <v>109</v>
      </c>
    </row>
    <row r="1261" spans="1:42" x14ac:dyDescent="0.25">
      <c r="A1261" s="28" t="str">
        <f>"1577"</f>
        <v>1577</v>
      </c>
      <c r="B1261">
        <v>1577</v>
      </c>
      <c r="C1261" t="s">
        <v>2488</v>
      </c>
      <c r="D1261" t="s">
        <v>121</v>
      </c>
      <c r="F1261" t="s">
        <v>120</v>
      </c>
      <c r="G1261" t="s">
        <v>284</v>
      </c>
      <c r="I1261" t="s">
        <v>6623</v>
      </c>
      <c r="J1261" t="s">
        <v>7</v>
      </c>
      <c r="K1261" s="63">
        <v>12292</v>
      </c>
      <c r="L1261" s="28">
        <f>DATEDIF(K1261,Zwift25!G$1,"Y")</f>
        <v>91</v>
      </c>
      <c r="M1261" s="67">
        <f>IF(J1261="m",VLOOKUP(L1261,'All Solo Adjustments'!A:D,4,FALSE),VLOOKUP(L1261,'All Solo Adjustments'!A:J,10,FALSE))</f>
        <v>1.9363425925925926E-2</v>
      </c>
      <c r="N1261" s="63"/>
      <c r="O1261" s="63"/>
      <c r="P1261" s="63"/>
      <c r="Q1261" s="63"/>
      <c r="R1261" t="s">
        <v>296</v>
      </c>
      <c r="S1261" t="s">
        <v>2310</v>
      </c>
      <c r="T1261" t="s">
        <v>292</v>
      </c>
      <c r="U1261" t="s">
        <v>6622</v>
      </c>
      <c r="V1261" t="s">
        <v>6222</v>
      </c>
      <c r="W1261" t="s">
        <v>804</v>
      </c>
      <c r="Y1261" t="s">
        <v>6621</v>
      </c>
      <c r="Z1261" t="str">
        <f>"0141 5630863"</f>
        <v>0141 5630863</v>
      </c>
      <c r="AA1261" t="str">
        <f>""</f>
        <v/>
      </c>
      <c r="AB1261" t="s">
        <v>6620</v>
      </c>
      <c r="AC1261" t="s">
        <v>6619</v>
      </c>
      <c r="AD1261" t="s">
        <v>151</v>
      </c>
      <c r="AF1261" t="s">
        <v>113</v>
      </c>
      <c r="AG1261" t="s">
        <v>112</v>
      </c>
      <c r="AH1261" t="s">
        <v>112</v>
      </c>
      <c r="AI1261" s="63">
        <v>29884</v>
      </c>
      <c r="AK1261" t="s">
        <v>111</v>
      </c>
      <c r="AL1261" t="s">
        <v>111</v>
      </c>
      <c r="AM1261" t="s">
        <v>111</v>
      </c>
      <c r="AN1261" t="s">
        <v>105</v>
      </c>
      <c r="AO1261" t="s">
        <v>110</v>
      </c>
      <c r="AP1261" t="s">
        <v>109</v>
      </c>
    </row>
    <row r="1262" spans="1:42" x14ac:dyDescent="0.25">
      <c r="A1262" s="28" t="str">
        <f>"6289"</f>
        <v>6289</v>
      </c>
      <c r="B1262">
        <v>6289</v>
      </c>
      <c r="C1262" t="s">
        <v>2488</v>
      </c>
      <c r="D1262" t="s">
        <v>121</v>
      </c>
      <c r="F1262" t="s">
        <v>144</v>
      </c>
      <c r="G1262" t="s">
        <v>128</v>
      </c>
      <c r="I1262" t="s">
        <v>6618</v>
      </c>
      <c r="J1262" t="s">
        <v>126</v>
      </c>
      <c r="K1262" s="63">
        <v>25251</v>
      </c>
      <c r="L1262" s="28">
        <f>DATEDIF(K1262,Zwift25!G$1,"Y")</f>
        <v>55</v>
      </c>
      <c r="M1262" s="67">
        <f>IF(J1262="m",VLOOKUP(L1262,'All Solo Adjustments'!A:D,4,FALSE),VLOOKUP(L1262,'All Solo Adjustments'!A:J,10,FALSE))</f>
        <v>5.6597222222222222E-3</v>
      </c>
      <c r="N1262" s="63"/>
      <c r="O1262" s="63"/>
      <c r="P1262" s="63"/>
      <c r="Q1262" s="63"/>
      <c r="R1262" t="s">
        <v>184</v>
      </c>
      <c r="S1262" t="s">
        <v>183</v>
      </c>
      <c r="T1262" t="s">
        <v>292</v>
      </c>
      <c r="U1262" t="s">
        <v>6617</v>
      </c>
      <c r="V1262" t="s">
        <v>146</v>
      </c>
      <c r="Y1262" t="s">
        <v>6616</v>
      </c>
      <c r="Z1262" t="str">
        <f>"07713 165541"</f>
        <v>07713 165541</v>
      </c>
      <c r="AA1262" t="str">
        <f>""</f>
        <v/>
      </c>
      <c r="AB1262" t="s">
        <v>6615</v>
      </c>
      <c r="AC1262" t="s">
        <v>6614</v>
      </c>
      <c r="AD1262" t="s">
        <v>114</v>
      </c>
      <c r="AE1262" s="63">
        <v>45290</v>
      </c>
      <c r="AF1262" t="s">
        <v>156</v>
      </c>
      <c r="AG1262" t="s">
        <v>111</v>
      </c>
      <c r="AH1262" t="s">
        <v>112</v>
      </c>
      <c r="AI1262" s="63">
        <v>42900</v>
      </c>
      <c r="AJ1262" s="63">
        <v>45657</v>
      </c>
      <c r="AK1262" t="s">
        <v>111</v>
      </c>
      <c r="AL1262" t="s">
        <v>111</v>
      </c>
      <c r="AM1262" t="s">
        <v>111</v>
      </c>
      <c r="AN1262">
        <v>17012</v>
      </c>
      <c r="AO1262" t="s">
        <v>122</v>
      </c>
      <c r="AP1262" t="s">
        <v>122</v>
      </c>
    </row>
    <row r="1263" spans="1:42" x14ac:dyDescent="0.25">
      <c r="A1263" s="28" t="str">
        <f>"1582"</f>
        <v>1582</v>
      </c>
      <c r="B1263">
        <v>1582</v>
      </c>
      <c r="C1263" t="s">
        <v>2488</v>
      </c>
      <c r="D1263" t="s">
        <v>121</v>
      </c>
      <c r="F1263" t="s">
        <v>120</v>
      </c>
      <c r="G1263" t="s">
        <v>343</v>
      </c>
      <c r="I1263" t="s">
        <v>6613</v>
      </c>
      <c r="J1263" t="s">
        <v>7</v>
      </c>
      <c r="K1263" s="63">
        <v>11983</v>
      </c>
      <c r="L1263" s="28">
        <f>DATEDIF(K1263,Zwift25!G$1,"Y")</f>
        <v>91</v>
      </c>
      <c r="M1263" s="67">
        <f>IF(J1263="m",VLOOKUP(L1263,'All Solo Adjustments'!A:D,4,FALSE),VLOOKUP(L1263,'All Solo Adjustments'!A:J,10,FALSE))</f>
        <v>1.9363425925925926E-2</v>
      </c>
      <c r="N1263" s="63"/>
      <c r="O1263" s="63"/>
      <c r="P1263" s="63"/>
      <c r="Q1263" s="63"/>
      <c r="R1263" t="s">
        <v>213</v>
      </c>
      <c r="S1263" t="s">
        <v>2309</v>
      </c>
      <c r="T1263" t="s">
        <v>292</v>
      </c>
      <c r="U1263" t="s">
        <v>6612</v>
      </c>
      <c r="V1263" t="s">
        <v>6611</v>
      </c>
      <c r="W1263" t="s">
        <v>1134</v>
      </c>
      <c r="X1263" t="s">
        <v>196</v>
      </c>
      <c r="Y1263" t="s">
        <v>6610</v>
      </c>
      <c r="Z1263" t="str">
        <f>"0151 4236679"</f>
        <v>0151 4236679</v>
      </c>
      <c r="AA1263" t="str">
        <f>""</f>
        <v/>
      </c>
      <c r="AB1263" t="s">
        <v>2308</v>
      </c>
      <c r="AD1263" t="s">
        <v>151</v>
      </c>
      <c r="AF1263" t="s">
        <v>113</v>
      </c>
      <c r="AG1263" t="s">
        <v>112</v>
      </c>
      <c r="AH1263" t="s">
        <v>112</v>
      </c>
      <c r="AI1263" s="63">
        <v>28208</v>
      </c>
      <c r="AK1263" t="s">
        <v>111</v>
      </c>
      <c r="AL1263" t="s">
        <v>111</v>
      </c>
      <c r="AM1263" t="s">
        <v>111</v>
      </c>
      <c r="AN1263" t="s">
        <v>105</v>
      </c>
      <c r="AO1263" t="s">
        <v>110</v>
      </c>
      <c r="AP1263" t="s">
        <v>109</v>
      </c>
    </row>
    <row r="1264" spans="1:42" x14ac:dyDescent="0.25">
      <c r="A1264" s="28" t="str">
        <f>"1583"</f>
        <v>1583</v>
      </c>
      <c r="B1264">
        <v>1583</v>
      </c>
      <c r="C1264" t="s">
        <v>2488</v>
      </c>
      <c r="D1264" t="s">
        <v>121</v>
      </c>
      <c r="F1264" t="s">
        <v>120</v>
      </c>
      <c r="G1264" t="s">
        <v>506</v>
      </c>
      <c r="I1264" t="s">
        <v>6609</v>
      </c>
      <c r="J1264" t="s">
        <v>7</v>
      </c>
      <c r="K1264" s="63">
        <v>15256</v>
      </c>
      <c r="L1264" s="28">
        <f>DATEDIF(K1264,Zwift25!G$1,"Y")</f>
        <v>83</v>
      </c>
      <c r="M1264" s="67">
        <f>IF(J1264="m",VLOOKUP(L1264,'All Solo Adjustments'!A:D,4,FALSE),VLOOKUP(L1264,'All Solo Adjustments'!A:J,10,FALSE))</f>
        <v>1.2858796296296297E-2</v>
      </c>
      <c r="N1264" s="63"/>
      <c r="O1264" s="63"/>
      <c r="P1264" s="63"/>
      <c r="Q1264" s="63"/>
      <c r="R1264" t="s">
        <v>296</v>
      </c>
      <c r="S1264" t="s">
        <v>6608</v>
      </c>
      <c r="T1264" t="s">
        <v>292</v>
      </c>
      <c r="U1264" t="s">
        <v>6607</v>
      </c>
      <c r="V1264" t="s">
        <v>6606</v>
      </c>
      <c r="W1264" t="s">
        <v>2614</v>
      </c>
      <c r="Y1264" t="s">
        <v>6605</v>
      </c>
      <c r="Z1264" t="str">
        <f>"01698 374201"</f>
        <v>01698 374201</v>
      </c>
      <c r="AA1264" t="str">
        <f>""</f>
        <v/>
      </c>
      <c r="AB1264" t="s">
        <v>1780</v>
      </c>
      <c r="AC1264" t="s">
        <v>6604</v>
      </c>
      <c r="AD1264" t="s">
        <v>145</v>
      </c>
      <c r="AF1264" t="s">
        <v>156</v>
      </c>
      <c r="AG1264" t="s">
        <v>112</v>
      </c>
      <c r="AH1264" t="s">
        <v>112</v>
      </c>
      <c r="AI1264" s="63">
        <v>29893</v>
      </c>
      <c r="AK1264" t="s">
        <v>111</v>
      </c>
      <c r="AL1264" t="s">
        <v>111</v>
      </c>
      <c r="AM1264" t="s">
        <v>111</v>
      </c>
      <c r="AN1264">
        <v>13494</v>
      </c>
      <c r="AO1264" t="s">
        <v>110</v>
      </c>
      <c r="AP1264" t="s">
        <v>109</v>
      </c>
    </row>
    <row r="1265" spans="1:42" x14ac:dyDescent="0.25">
      <c r="A1265" s="28" t="str">
        <f>"3241"</f>
        <v>3241</v>
      </c>
      <c r="B1265">
        <v>3241</v>
      </c>
      <c r="C1265" t="s">
        <v>2488</v>
      </c>
      <c r="D1265" t="s">
        <v>121</v>
      </c>
      <c r="F1265" t="s">
        <v>149</v>
      </c>
      <c r="G1265" t="s">
        <v>148</v>
      </c>
      <c r="I1265" t="s">
        <v>6599</v>
      </c>
      <c r="J1265" t="s">
        <v>126</v>
      </c>
      <c r="K1265" s="63">
        <v>22320</v>
      </c>
      <c r="L1265" s="28">
        <f>DATEDIF(K1265,Zwift25!G$1,"Y")</f>
        <v>63</v>
      </c>
      <c r="M1265" s="67">
        <f>IF(J1265="m",VLOOKUP(L1265,'All Solo Adjustments'!A:D,4,FALSE),VLOOKUP(L1265,'All Solo Adjustments'!A:J,10,FALSE))</f>
        <v>8.0092592592592594E-3</v>
      </c>
      <c r="N1265" s="63"/>
      <c r="O1265" s="63"/>
      <c r="P1265" s="63"/>
      <c r="Q1265" s="63"/>
      <c r="R1265" t="s">
        <v>296</v>
      </c>
      <c r="S1265" t="s">
        <v>295</v>
      </c>
      <c r="T1265" t="s">
        <v>292</v>
      </c>
      <c r="U1265" t="s">
        <v>6603</v>
      </c>
      <c r="V1265" t="s">
        <v>6602</v>
      </c>
      <c r="W1265" t="s">
        <v>5111</v>
      </c>
      <c r="Y1265" t="s">
        <v>6601</v>
      </c>
      <c r="Z1265" t="str">
        <f>"07901 735114"</f>
        <v>07901 735114</v>
      </c>
      <c r="AA1265" t="str">
        <f>""</f>
        <v/>
      </c>
      <c r="AB1265" t="s">
        <v>5109</v>
      </c>
      <c r="AC1265" t="s">
        <v>6600</v>
      </c>
      <c r="AD1265" t="s">
        <v>114</v>
      </c>
      <c r="AE1265" s="63">
        <v>45354</v>
      </c>
      <c r="AF1265" t="s">
        <v>156</v>
      </c>
      <c r="AG1265" t="s">
        <v>112</v>
      </c>
      <c r="AH1265" t="s">
        <v>112</v>
      </c>
      <c r="AI1265" s="63">
        <v>39523</v>
      </c>
      <c r="AJ1265" s="63">
        <v>45657</v>
      </c>
      <c r="AK1265" t="s">
        <v>111</v>
      </c>
      <c r="AL1265" t="s">
        <v>111</v>
      </c>
      <c r="AM1265" t="s">
        <v>111</v>
      </c>
      <c r="AN1265">
        <v>10098</v>
      </c>
      <c r="AO1265" t="s">
        <v>122</v>
      </c>
      <c r="AP1265" t="s">
        <v>122</v>
      </c>
    </row>
    <row r="1266" spans="1:42" x14ac:dyDescent="0.25">
      <c r="A1266" s="28" t="str">
        <f>"5931"</f>
        <v>5931</v>
      </c>
      <c r="B1266">
        <v>5931</v>
      </c>
      <c r="C1266" t="s">
        <v>2488</v>
      </c>
      <c r="D1266" t="s">
        <v>121</v>
      </c>
      <c r="F1266" t="s">
        <v>120</v>
      </c>
      <c r="G1266" t="s">
        <v>1395</v>
      </c>
      <c r="I1266" t="s">
        <v>6599</v>
      </c>
      <c r="J1266" t="s">
        <v>7</v>
      </c>
      <c r="K1266" s="63">
        <v>21995</v>
      </c>
      <c r="L1266" s="28">
        <f>DATEDIF(K1266,Zwift25!G$1,"Y")</f>
        <v>64</v>
      </c>
      <c r="M1266" s="67">
        <f>IF(J1266="m",VLOOKUP(L1266,'All Solo Adjustments'!A:D,4,FALSE),VLOOKUP(L1266,'All Solo Adjustments'!A:J,10,FALSE))</f>
        <v>4.31712962962963E-3</v>
      </c>
      <c r="N1266" s="63"/>
      <c r="O1266" s="63"/>
      <c r="P1266" s="63"/>
      <c r="Q1266" s="63"/>
      <c r="R1266" t="s">
        <v>296</v>
      </c>
      <c r="S1266" t="s">
        <v>295</v>
      </c>
      <c r="T1266" t="s">
        <v>292</v>
      </c>
      <c r="U1266" t="s">
        <v>6598</v>
      </c>
      <c r="V1266" t="s">
        <v>6597</v>
      </c>
      <c r="W1266" t="s">
        <v>6596</v>
      </c>
      <c r="X1266" t="s">
        <v>1931</v>
      </c>
      <c r="Y1266" t="s">
        <v>6595</v>
      </c>
      <c r="Z1266" t="str">
        <f>"07515 551220"</f>
        <v>07515 551220</v>
      </c>
      <c r="AA1266" t="str">
        <f>""</f>
        <v/>
      </c>
      <c r="AB1266" t="s">
        <v>6594</v>
      </c>
      <c r="AC1266" t="s">
        <v>6593</v>
      </c>
      <c r="AD1266" t="s">
        <v>114</v>
      </c>
      <c r="AE1266" s="63">
        <v>45287</v>
      </c>
      <c r="AF1266" t="s">
        <v>113</v>
      </c>
      <c r="AG1266" t="s">
        <v>112</v>
      </c>
      <c r="AH1266" t="s">
        <v>112</v>
      </c>
      <c r="AI1266" s="63">
        <v>42557</v>
      </c>
      <c r="AJ1266" s="63">
        <v>45657</v>
      </c>
      <c r="AK1266" t="s">
        <v>111</v>
      </c>
      <c r="AL1266" t="s">
        <v>111</v>
      </c>
      <c r="AM1266" t="s">
        <v>111</v>
      </c>
      <c r="AN1266">
        <v>4889</v>
      </c>
      <c r="AO1266" t="s">
        <v>110</v>
      </c>
      <c r="AP1266" t="s">
        <v>109</v>
      </c>
    </row>
    <row r="1267" spans="1:42" x14ac:dyDescent="0.25">
      <c r="A1267" s="28" t="str">
        <f>"4395"</f>
        <v>4395</v>
      </c>
      <c r="B1267">
        <v>4395</v>
      </c>
      <c r="C1267" t="s">
        <v>2488</v>
      </c>
      <c r="D1267" t="s">
        <v>121</v>
      </c>
      <c r="F1267" t="s">
        <v>120</v>
      </c>
      <c r="G1267" t="s">
        <v>513</v>
      </c>
      <c r="I1267" t="s">
        <v>6592</v>
      </c>
      <c r="J1267" t="s">
        <v>7</v>
      </c>
      <c r="K1267" s="63">
        <v>20169</v>
      </c>
      <c r="L1267" s="28">
        <f>DATEDIF(K1267,Zwift25!G$1,"Y")</f>
        <v>69</v>
      </c>
      <c r="M1267" s="67">
        <f>IF(J1267="m",VLOOKUP(L1267,'All Solo Adjustments'!A:D,4,FALSE),VLOOKUP(L1267,'All Solo Adjustments'!A:J,10,FALSE))</f>
        <v>5.9722222222222225E-3</v>
      </c>
      <c r="N1267" s="63"/>
      <c r="O1267" s="63"/>
      <c r="P1267" s="63"/>
      <c r="Q1267" s="63"/>
      <c r="R1267" t="s">
        <v>239</v>
      </c>
      <c r="S1267" t="s">
        <v>274</v>
      </c>
      <c r="T1267" t="s">
        <v>292</v>
      </c>
      <c r="U1267" t="s">
        <v>6591</v>
      </c>
      <c r="V1267" t="s">
        <v>6590</v>
      </c>
      <c r="W1267" t="s">
        <v>1777</v>
      </c>
      <c r="Y1267" t="s">
        <v>6589</v>
      </c>
      <c r="Z1267" t="str">
        <f>"01964 562747"</f>
        <v>01964 562747</v>
      </c>
      <c r="AA1267" t="str">
        <f>"07910319414"</f>
        <v>07910319414</v>
      </c>
      <c r="AB1267" t="s">
        <v>1412</v>
      </c>
      <c r="AC1267" t="s">
        <v>6588</v>
      </c>
      <c r="AD1267" t="s">
        <v>114</v>
      </c>
      <c r="AE1267" s="63">
        <v>45352</v>
      </c>
      <c r="AF1267" t="s">
        <v>156</v>
      </c>
      <c r="AG1267" t="s">
        <v>112</v>
      </c>
      <c r="AH1267" t="s">
        <v>112</v>
      </c>
      <c r="AI1267" s="63">
        <v>40942</v>
      </c>
      <c r="AJ1267" s="63">
        <v>45657</v>
      </c>
      <c r="AK1267" t="s">
        <v>111</v>
      </c>
      <c r="AL1267" t="s">
        <v>111</v>
      </c>
      <c r="AM1267" t="s">
        <v>111</v>
      </c>
      <c r="AN1267">
        <v>1860</v>
      </c>
      <c r="AO1267" t="s">
        <v>110</v>
      </c>
      <c r="AP1267" t="s">
        <v>109</v>
      </c>
    </row>
    <row r="1268" spans="1:42" x14ac:dyDescent="0.25">
      <c r="A1268" s="28" t="str">
        <f>"6102"</f>
        <v>6102</v>
      </c>
      <c r="B1268">
        <v>6102</v>
      </c>
      <c r="C1268" t="s">
        <v>2488</v>
      </c>
      <c r="D1268" t="s">
        <v>121</v>
      </c>
      <c r="F1268" t="s">
        <v>120</v>
      </c>
      <c r="G1268" t="s">
        <v>251</v>
      </c>
      <c r="I1268" t="s">
        <v>6583</v>
      </c>
      <c r="J1268" t="s">
        <v>7</v>
      </c>
      <c r="K1268" s="63">
        <v>25774</v>
      </c>
      <c r="L1268" s="28">
        <f>DATEDIF(K1268,Zwift25!G$1,"Y")</f>
        <v>54</v>
      </c>
      <c r="M1268" s="67">
        <f>IF(J1268="m",VLOOKUP(L1268,'All Solo Adjustments'!A:D,4,FALSE),VLOOKUP(L1268,'All Solo Adjustments'!A:J,10,FALSE))</f>
        <v>1.8518518518518517E-3</v>
      </c>
      <c r="N1268" s="63"/>
      <c r="O1268" s="63"/>
      <c r="P1268" s="63"/>
      <c r="Q1268" s="63"/>
      <c r="R1268" t="s">
        <v>296</v>
      </c>
      <c r="S1268" t="s">
        <v>295</v>
      </c>
      <c r="T1268" t="s">
        <v>292</v>
      </c>
      <c r="U1268" t="s">
        <v>6587</v>
      </c>
      <c r="V1268" t="s">
        <v>6586</v>
      </c>
      <c r="W1268" t="s">
        <v>1648</v>
      </c>
      <c r="X1268" t="s">
        <v>1647</v>
      </c>
      <c r="Y1268" t="s">
        <v>6585</v>
      </c>
      <c r="Z1268" t="str">
        <f>"01294 834637"</f>
        <v>01294 834637</v>
      </c>
      <c r="AA1268" t="str">
        <f>"07931 562 262"</f>
        <v>07931 562 262</v>
      </c>
      <c r="AB1268" t="s">
        <v>1682</v>
      </c>
      <c r="AC1268" t="s">
        <v>6584</v>
      </c>
      <c r="AD1268" t="s">
        <v>114</v>
      </c>
      <c r="AE1268" s="63">
        <v>45264</v>
      </c>
      <c r="AF1268" t="s">
        <v>113</v>
      </c>
      <c r="AG1268" t="s">
        <v>112</v>
      </c>
      <c r="AH1268" t="s">
        <v>112</v>
      </c>
      <c r="AI1268" s="63">
        <v>42788</v>
      </c>
      <c r="AJ1268" s="63">
        <v>45657</v>
      </c>
      <c r="AK1268" t="s">
        <v>111</v>
      </c>
      <c r="AL1268" t="s">
        <v>111</v>
      </c>
      <c r="AM1268" t="s">
        <v>111</v>
      </c>
      <c r="AN1268">
        <v>20529</v>
      </c>
      <c r="AO1268" t="s">
        <v>110</v>
      </c>
      <c r="AP1268" t="s">
        <v>109</v>
      </c>
    </row>
    <row r="1269" spans="1:42" x14ac:dyDescent="0.25">
      <c r="A1269" s="28" t="str">
        <f>"15861"</f>
        <v>15861</v>
      </c>
      <c r="B1269">
        <v>15861</v>
      </c>
      <c r="C1269" t="s">
        <v>2488</v>
      </c>
      <c r="D1269" t="s">
        <v>121</v>
      </c>
      <c r="E1269" t="s">
        <v>584</v>
      </c>
      <c r="F1269" t="s">
        <v>120</v>
      </c>
      <c r="G1269" t="s">
        <v>2812</v>
      </c>
      <c r="I1269" t="s">
        <v>6583</v>
      </c>
      <c r="J1269" t="s">
        <v>7</v>
      </c>
      <c r="K1269" s="63">
        <v>26377</v>
      </c>
      <c r="L1269" s="28">
        <f>DATEDIF(K1269,Zwift25!G$1,"Y")</f>
        <v>52</v>
      </c>
      <c r="M1269" s="67">
        <f>IF(J1269="m",VLOOKUP(L1269,'All Solo Adjustments'!A:D,4,FALSE),VLOOKUP(L1269,'All Solo Adjustments'!A:J,10,FALSE))</f>
        <v>1.4814814814814816E-3</v>
      </c>
      <c r="N1269" s="63"/>
      <c r="O1269" s="63"/>
      <c r="P1269" s="63"/>
      <c r="Q1269" s="63"/>
      <c r="R1269" t="s">
        <v>527</v>
      </c>
      <c r="S1269" t="s">
        <v>526</v>
      </c>
      <c r="T1269" t="s">
        <v>292</v>
      </c>
      <c r="U1269" t="s">
        <v>6582</v>
      </c>
      <c r="V1269" t="s">
        <v>6581</v>
      </c>
      <c r="Y1269" t="s">
        <v>6580</v>
      </c>
      <c r="Z1269" t="str">
        <f>"07801915565"</f>
        <v>07801915565</v>
      </c>
      <c r="AA1269" t="str">
        <f>""</f>
        <v/>
      </c>
      <c r="AB1269" t="s">
        <v>2240</v>
      </c>
      <c r="AC1269" t="s">
        <v>6579</v>
      </c>
      <c r="AD1269" t="s">
        <v>114</v>
      </c>
      <c r="AE1269" s="63">
        <v>45264</v>
      </c>
      <c r="AF1269" t="s">
        <v>156</v>
      </c>
      <c r="AG1269" t="s">
        <v>112</v>
      </c>
      <c r="AH1269" t="s">
        <v>112</v>
      </c>
      <c r="AI1269" s="63">
        <v>45099</v>
      </c>
      <c r="AJ1269" s="63">
        <v>45657</v>
      </c>
      <c r="AK1269" t="s">
        <v>112</v>
      </c>
      <c r="AL1269" t="s">
        <v>111</v>
      </c>
      <c r="AM1269" t="s">
        <v>111</v>
      </c>
      <c r="AN1269">
        <v>20505</v>
      </c>
      <c r="AO1269" t="s">
        <v>110</v>
      </c>
      <c r="AP1269" t="s">
        <v>109</v>
      </c>
    </row>
    <row r="1270" spans="1:42" x14ac:dyDescent="0.25">
      <c r="A1270" s="28" t="str">
        <f>"2949"</f>
        <v>2949</v>
      </c>
      <c r="B1270">
        <v>2949</v>
      </c>
      <c r="C1270" t="s">
        <v>2488</v>
      </c>
      <c r="D1270" t="s">
        <v>121</v>
      </c>
      <c r="E1270" t="s">
        <v>584</v>
      </c>
      <c r="F1270" t="s">
        <v>120</v>
      </c>
      <c r="G1270" t="s">
        <v>1252</v>
      </c>
      <c r="I1270" t="s">
        <v>6578</v>
      </c>
      <c r="J1270" t="s">
        <v>7</v>
      </c>
      <c r="K1270" s="63">
        <v>14027</v>
      </c>
      <c r="L1270" s="28">
        <f>DATEDIF(K1270,Zwift25!G$1,"Y")</f>
        <v>86</v>
      </c>
      <c r="M1270" s="67">
        <f>IF(J1270="m",VLOOKUP(L1270,'All Solo Adjustments'!A:D,4,FALSE),VLOOKUP(L1270,'All Solo Adjustments'!A:J,10,FALSE))</f>
        <v>1.4988425925925926E-2</v>
      </c>
      <c r="N1270" s="63"/>
      <c r="O1270" s="63"/>
      <c r="P1270" s="63"/>
      <c r="Q1270" s="63"/>
      <c r="R1270" t="s">
        <v>296</v>
      </c>
      <c r="S1270" t="s">
        <v>2310</v>
      </c>
      <c r="T1270" t="s">
        <v>292</v>
      </c>
      <c r="U1270" t="s">
        <v>6577</v>
      </c>
      <c r="V1270" t="s">
        <v>2125</v>
      </c>
      <c r="W1270" t="s">
        <v>2064</v>
      </c>
      <c r="Y1270" t="s">
        <v>6576</v>
      </c>
      <c r="Z1270" t="str">
        <f>"01324 813112"</f>
        <v>01324 813112</v>
      </c>
      <c r="AA1270" t="str">
        <f>"07799271892"</f>
        <v>07799271892</v>
      </c>
      <c r="AB1270" t="s">
        <v>294</v>
      </c>
      <c r="AC1270" t="s">
        <v>6575</v>
      </c>
      <c r="AD1270" t="s">
        <v>145</v>
      </c>
      <c r="AF1270" t="s">
        <v>113</v>
      </c>
      <c r="AG1270" t="s">
        <v>112</v>
      </c>
      <c r="AH1270" t="s">
        <v>112</v>
      </c>
      <c r="AI1270" s="63">
        <v>39140</v>
      </c>
      <c r="AK1270" t="s">
        <v>111</v>
      </c>
      <c r="AL1270" t="s">
        <v>111</v>
      </c>
      <c r="AM1270" t="s">
        <v>111</v>
      </c>
      <c r="AN1270">
        <v>3992</v>
      </c>
      <c r="AO1270" t="s">
        <v>110</v>
      </c>
      <c r="AP1270" t="s">
        <v>109</v>
      </c>
    </row>
    <row r="1271" spans="1:42" x14ac:dyDescent="0.25">
      <c r="A1271" s="28" t="str">
        <f>"6500"</f>
        <v>6500</v>
      </c>
      <c r="B1271">
        <v>6500</v>
      </c>
      <c r="C1271" t="s">
        <v>2488</v>
      </c>
      <c r="D1271" t="s">
        <v>121</v>
      </c>
      <c r="E1271" t="s">
        <v>5372</v>
      </c>
      <c r="F1271" t="s">
        <v>120</v>
      </c>
      <c r="G1271" t="s">
        <v>410</v>
      </c>
      <c r="I1271" t="s">
        <v>6566</v>
      </c>
      <c r="J1271" t="s">
        <v>7</v>
      </c>
      <c r="K1271" s="63">
        <v>17461</v>
      </c>
      <c r="L1271" s="28">
        <f>DATEDIF(K1271,Zwift25!G$1,"Y")</f>
        <v>76</v>
      </c>
      <c r="M1271" s="67">
        <f>IF(J1271="m",VLOOKUP(L1271,'All Solo Adjustments'!A:D,4,FALSE),VLOOKUP(L1271,'All Solo Adjustments'!A:J,10,FALSE))</f>
        <v>8.912037037037036E-3</v>
      </c>
      <c r="N1271" s="63"/>
      <c r="O1271" s="63"/>
      <c r="P1271" s="63"/>
      <c r="Q1271" s="63"/>
      <c r="R1271" t="s">
        <v>296</v>
      </c>
      <c r="S1271" t="s">
        <v>295</v>
      </c>
      <c r="T1271" t="s">
        <v>292</v>
      </c>
      <c r="U1271" t="s">
        <v>6574</v>
      </c>
      <c r="V1271" t="s">
        <v>6573</v>
      </c>
      <c r="W1271" t="s">
        <v>1646</v>
      </c>
      <c r="Y1271" t="s">
        <v>6572</v>
      </c>
      <c r="Z1271" t="str">
        <f>"01475 569782"</f>
        <v>01475 569782</v>
      </c>
      <c r="AA1271" t="str">
        <f>"07562741190"</f>
        <v>07562741190</v>
      </c>
      <c r="AB1271" t="s">
        <v>2008</v>
      </c>
      <c r="AC1271" t="s">
        <v>6571</v>
      </c>
      <c r="AD1271" t="s">
        <v>114</v>
      </c>
      <c r="AE1271" s="63">
        <v>45292</v>
      </c>
      <c r="AF1271" t="s">
        <v>156</v>
      </c>
      <c r="AG1271" t="s">
        <v>112</v>
      </c>
      <c r="AH1271" t="s">
        <v>112</v>
      </c>
      <c r="AI1271" s="63">
        <v>43150</v>
      </c>
      <c r="AJ1271" s="63">
        <v>45657</v>
      </c>
      <c r="AK1271" t="s">
        <v>111</v>
      </c>
      <c r="AL1271" t="s">
        <v>111</v>
      </c>
      <c r="AM1271" t="s">
        <v>111</v>
      </c>
      <c r="AN1271">
        <v>126</v>
      </c>
      <c r="AO1271" t="s">
        <v>110</v>
      </c>
      <c r="AP1271" t="s">
        <v>109</v>
      </c>
    </row>
    <row r="1272" spans="1:42" x14ac:dyDescent="0.25">
      <c r="A1272" s="28" t="str">
        <f>"4539"</f>
        <v>4539</v>
      </c>
      <c r="B1272">
        <v>4539</v>
      </c>
      <c r="C1272" t="s">
        <v>2488</v>
      </c>
      <c r="D1272" t="s">
        <v>121</v>
      </c>
      <c r="F1272" t="s">
        <v>120</v>
      </c>
      <c r="G1272" t="s">
        <v>436</v>
      </c>
      <c r="I1272" t="s">
        <v>6566</v>
      </c>
      <c r="J1272" t="s">
        <v>7</v>
      </c>
      <c r="K1272" s="63">
        <v>22110</v>
      </c>
      <c r="L1272" s="28">
        <f>DATEDIF(K1272,Zwift25!G$1,"Y")</f>
        <v>64</v>
      </c>
      <c r="M1272" s="67">
        <f>IF(J1272="m",VLOOKUP(L1272,'All Solo Adjustments'!A:D,4,FALSE),VLOOKUP(L1272,'All Solo Adjustments'!A:J,10,FALSE))</f>
        <v>4.31712962962963E-3</v>
      </c>
      <c r="N1272" s="63"/>
      <c r="O1272" s="63"/>
      <c r="P1272" s="63"/>
      <c r="Q1272" s="63"/>
      <c r="R1272" t="s">
        <v>296</v>
      </c>
      <c r="S1272" t="s">
        <v>295</v>
      </c>
      <c r="T1272" t="s">
        <v>292</v>
      </c>
      <c r="U1272" t="s">
        <v>6570</v>
      </c>
      <c r="V1272" t="s">
        <v>6569</v>
      </c>
      <c r="W1272" t="s">
        <v>1597</v>
      </c>
      <c r="Y1272" t="s">
        <v>6568</v>
      </c>
      <c r="Z1272" t="str">
        <f>"01355 244394"</f>
        <v>01355 244394</v>
      </c>
      <c r="AA1272" t="str">
        <f>""</f>
        <v/>
      </c>
      <c r="AB1272" t="s">
        <v>2828</v>
      </c>
      <c r="AC1272" t="s">
        <v>6567</v>
      </c>
      <c r="AD1272" t="s">
        <v>114</v>
      </c>
      <c r="AE1272" s="63">
        <v>45302</v>
      </c>
      <c r="AF1272" t="s">
        <v>113</v>
      </c>
      <c r="AG1272" t="s">
        <v>112</v>
      </c>
      <c r="AH1272" t="s">
        <v>112</v>
      </c>
      <c r="AI1272" s="63">
        <v>41011</v>
      </c>
      <c r="AJ1272" s="63">
        <v>45657</v>
      </c>
      <c r="AK1272" t="s">
        <v>111</v>
      </c>
      <c r="AL1272" t="s">
        <v>111</v>
      </c>
      <c r="AM1272" t="s">
        <v>111</v>
      </c>
      <c r="AN1272">
        <v>5696</v>
      </c>
      <c r="AO1272" t="s">
        <v>110</v>
      </c>
      <c r="AP1272" t="s">
        <v>109</v>
      </c>
    </row>
    <row r="1273" spans="1:42" x14ac:dyDescent="0.25">
      <c r="A1273" s="28" t="str">
        <f>"14104"</f>
        <v>14104</v>
      </c>
      <c r="B1273">
        <v>14104</v>
      </c>
      <c r="C1273" t="s">
        <v>2488</v>
      </c>
      <c r="D1273" t="s">
        <v>121</v>
      </c>
      <c r="E1273" t="s">
        <v>4082</v>
      </c>
      <c r="F1273" t="s">
        <v>139</v>
      </c>
      <c r="G1273" t="s">
        <v>478</v>
      </c>
      <c r="I1273" t="s">
        <v>6566</v>
      </c>
      <c r="J1273" t="s">
        <v>126</v>
      </c>
      <c r="K1273" s="63">
        <v>23474</v>
      </c>
      <c r="L1273" s="28">
        <f>DATEDIF(K1273,Zwift25!G$1,"Y")</f>
        <v>60</v>
      </c>
      <c r="M1273" s="67">
        <f>IF(J1273="m",VLOOKUP(L1273,'All Solo Adjustments'!A:D,4,FALSE),VLOOKUP(L1273,'All Solo Adjustments'!A:J,10,FALSE))</f>
        <v>6.898148148148148E-3</v>
      </c>
      <c r="N1273" s="63"/>
      <c r="O1273" s="63"/>
      <c r="P1273" s="63"/>
      <c r="Q1273" s="63"/>
      <c r="R1273" t="s">
        <v>296</v>
      </c>
      <c r="S1273" t="s">
        <v>295</v>
      </c>
      <c r="T1273" t="s">
        <v>292</v>
      </c>
      <c r="U1273" t="s">
        <v>6565</v>
      </c>
      <c r="V1273" t="s">
        <v>1279</v>
      </c>
      <c r="Y1273" t="s">
        <v>6564</v>
      </c>
      <c r="Z1273" t="str">
        <f>"07780552977"</f>
        <v>07780552977</v>
      </c>
      <c r="AA1273" t="str">
        <f>""</f>
        <v/>
      </c>
      <c r="AB1273" t="s">
        <v>1241</v>
      </c>
      <c r="AC1273" t="s">
        <v>6563</v>
      </c>
      <c r="AD1273" t="s">
        <v>114</v>
      </c>
      <c r="AE1273" s="63">
        <v>45208</v>
      </c>
      <c r="AF1273" t="s">
        <v>113</v>
      </c>
      <c r="AG1273" t="s">
        <v>112</v>
      </c>
      <c r="AH1273" t="s">
        <v>112</v>
      </c>
      <c r="AI1273" s="63">
        <v>43538</v>
      </c>
      <c r="AJ1273" s="63">
        <v>45657</v>
      </c>
      <c r="AK1273" t="s">
        <v>112</v>
      </c>
      <c r="AL1273" t="s">
        <v>111</v>
      </c>
      <c r="AM1273" t="s">
        <v>111</v>
      </c>
      <c r="AN1273">
        <v>29631</v>
      </c>
      <c r="AO1273" t="s">
        <v>122</v>
      </c>
      <c r="AP1273" t="s">
        <v>122</v>
      </c>
    </row>
    <row r="1274" spans="1:42" x14ac:dyDescent="0.25">
      <c r="A1274" s="28" t="str">
        <f>"1589"</f>
        <v>1589</v>
      </c>
      <c r="B1274">
        <v>1589</v>
      </c>
      <c r="C1274" t="s">
        <v>2488</v>
      </c>
      <c r="D1274" t="s">
        <v>121</v>
      </c>
      <c r="F1274" t="s">
        <v>120</v>
      </c>
      <c r="G1274" t="s">
        <v>481</v>
      </c>
      <c r="I1274" t="s">
        <v>6562</v>
      </c>
      <c r="J1274" t="s">
        <v>7</v>
      </c>
      <c r="K1274" s="63">
        <v>14490</v>
      </c>
      <c r="L1274" s="28">
        <f>DATEDIF(K1274,Zwift25!G$1,"Y")</f>
        <v>85</v>
      </c>
      <c r="M1274" s="67">
        <f>IF(J1274="m",VLOOKUP(L1274,'All Solo Adjustments'!A:D,4,FALSE),VLOOKUP(L1274,'All Solo Adjustments'!A:J,10,FALSE))</f>
        <v>1.4236111111111111E-2</v>
      </c>
      <c r="N1274" s="63"/>
      <c r="O1274" s="63"/>
      <c r="P1274" s="63"/>
      <c r="Q1274" s="63"/>
      <c r="R1274" t="s">
        <v>118</v>
      </c>
      <c r="S1274" t="s">
        <v>873</v>
      </c>
      <c r="T1274" t="s">
        <v>292</v>
      </c>
      <c r="U1274" t="s">
        <v>6561</v>
      </c>
      <c r="V1274" t="s">
        <v>6560</v>
      </c>
      <c r="W1274" t="s">
        <v>1430</v>
      </c>
      <c r="Y1274" t="s">
        <v>6559</v>
      </c>
      <c r="Z1274" t="str">
        <f>"01709 817078"</f>
        <v>01709 817078</v>
      </c>
      <c r="AA1274" t="str">
        <f>""</f>
        <v/>
      </c>
      <c r="AB1274" t="s">
        <v>1745</v>
      </c>
      <c r="AC1274" t="s">
        <v>6558</v>
      </c>
      <c r="AD1274" t="s">
        <v>145</v>
      </c>
      <c r="AF1274" t="s">
        <v>113</v>
      </c>
      <c r="AG1274" t="s">
        <v>112</v>
      </c>
      <c r="AH1274" t="s">
        <v>112</v>
      </c>
      <c r="AI1274" s="63">
        <v>35431</v>
      </c>
      <c r="AK1274" t="s">
        <v>111</v>
      </c>
      <c r="AL1274" t="s">
        <v>111</v>
      </c>
      <c r="AM1274" t="s">
        <v>111</v>
      </c>
      <c r="AN1274" t="s">
        <v>105</v>
      </c>
      <c r="AO1274" t="s">
        <v>110</v>
      </c>
      <c r="AP1274" t="s">
        <v>109</v>
      </c>
    </row>
    <row r="1275" spans="1:42" x14ac:dyDescent="0.25">
      <c r="A1275" s="28" t="str">
        <f>"15475"</f>
        <v>15475</v>
      </c>
      <c r="B1275">
        <v>15475</v>
      </c>
      <c r="C1275" t="s">
        <v>2488</v>
      </c>
      <c r="D1275" t="s">
        <v>121</v>
      </c>
      <c r="F1275" t="s">
        <v>120</v>
      </c>
      <c r="G1275" t="s">
        <v>400</v>
      </c>
      <c r="H1275" t="s">
        <v>481</v>
      </c>
      <c r="I1275" t="s">
        <v>1644</v>
      </c>
      <c r="J1275" t="s">
        <v>7</v>
      </c>
      <c r="K1275" s="63">
        <v>27478</v>
      </c>
      <c r="L1275" s="28">
        <f>DATEDIF(K1275,Zwift25!G$1,"Y")</f>
        <v>49</v>
      </c>
      <c r="M1275" s="67">
        <f>IF(J1275="m",VLOOKUP(L1275,'All Solo Adjustments'!A:D,4,FALSE),VLOOKUP(L1275,'All Solo Adjustments'!A:J,10,FALSE))</f>
        <v>9.837962962962962E-4</v>
      </c>
      <c r="N1275" s="63"/>
      <c r="O1275" s="63"/>
      <c r="P1275" s="63"/>
      <c r="Q1275" s="63"/>
      <c r="R1275" t="s">
        <v>143</v>
      </c>
      <c r="S1275" t="s">
        <v>142</v>
      </c>
      <c r="T1275" t="s">
        <v>292</v>
      </c>
      <c r="U1275" t="s">
        <v>6557</v>
      </c>
      <c r="V1275" t="s">
        <v>6556</v>
      </c>
      <c r="W1275" t="s">
        <v>6555</v>
      </c>
      <c r="X1275" t="s">
        <v>1264</v>
      </c>
      <c r="Y1275" t="s">
        <v>6554</v>
      </c>
      <c r="Z1275" t="str">
        <f>"07890 588424"</f>
        <v>07890 588424</v>
      </c>
      <c r="AA1275" t="str">
        <f>""</f>
        <v/>
      </c>
      <c r="AB1275" t="s">
        <v>6553</v>
      </c>
      <c r="AC1275" t="s">
        <v>6552</v>
      </c>
      <c r="AD1275" t="s">
        <v>114</v>
      </c>
      <c r="AE1275" s="63">
        <v>45399</v>
      </c>
      <c r="AF1275" t="s">
        <v>156</v>
      </c>
      <c r="AG1275" t="s">
        <v>112</v>
      </c>
      <c r="AH1275" t="s">
        <v>112</v>
      </c>
      <c r="AI1275" s="63">
        <v>44683</v>
      </c>
      <c r="AJ1275" s="63">
        <v>45657</v>
      </c>
      <c r="AK1275" t="s">
        <v>112</v>
      </c>
      <c r="AL1275" t="s">
        <v>111</v>
      </c>
      <c r="AM1275" t="s">
        <v>111</v>
      </c>
      <c r="AN1275">
        <v>3479</v>
      </c>
      <c r="AO1275" t="s">
        <v>110</v>
      </c>
      <c r="AP1275" t="s">
        <v>109</v>
      </c>
    </row>
    <row r="1276" spans="1:42" x14ac:dyDescent="0.25">
      <c r="A1276" s="28" t="str">
        <f>"14707"</f>
        <v>14707</v>
      </c>
      <c r="B1276">
        <v>14707</v>
      </c>
      <c r="C1276" t="s">
        <v>2488</v>
      </c>
      <c r="D1276" t="s">
        <v>121</v>
      </c>
      <c r="F1276" t="s">
        <v>120</v>
      </c>
      <c r="G1276" t="s">
        <v>234</v>
      </c>
      <c r="I1276" t="s">
        <v>6551</v>
      </c>
      <c r="J1276" t="s">
        <v>7</v>
      </c>
      <c r="K1276" s="63">
        <v>26426</v>
      </c>
      <c r="L1276" s="28">
        <f>DATEDIF(K1276,Zwift25!G$1,"Y")</f>
        <v>52</v>
      </c>
      <c r="M1276" s="67">
        <f>IF(J1276="m",VLOOKUP(L1276,'All Solo Adjustments'!A:D,4,FALSE),VLOOKUP(L1276,'All Solo Adjustments'!A:J,10,FALSE))</f>
        <v>1.4814814814814816E-3</v>
      </c>
      <c r="N1276" s="63"/>
      <c r="O1276" s="63"/>
      <c r="P1276" s="63"/>
      <c r="Q1276" s="63"/>
      <c r="R1276" t="s">
        <v>296</v>
      </c>
      <c r="S1276" t="s">
        <v>295</v>
      </c>
      <c r="T1276" t="s">
        <v>292</v>
      </c>
      <c r="U1276" t="s">
        <v>6550</v>
      </c>
      <c r="V1276" t="s">
        <v>804</v>
      </c>
      <c r="Y1276" t="s">
        <v>6549</v>
      </c>
      <c r="Z1276" t="str">
        <f>"07809477778"</f>
        <v>07809477778</v>
      </c>
      <c r="AA1276" t="str">
        <f>""</f>
        <v/>
      </c>
      <c r="AB1276" t="s">
        <v>294</v>
      </c>
      <c r="AC1276" t="s">
        <v>6548</v>
      </c>
      <c r="AD1276" t="s">
        <v>114</v>
      </c>
      <c r="AE1276" s="63">
        <v>45264</v>
      </c>
      <c r="AF1276" t="s">
        <v>156</v>
      </c>
      <c r="AG1276" t="s">
        <v>112</v>
      </c>
      <c r="AH1276" t="s">
        <v>112</v>
      </c>
      <c r="AI1276" s="63">
        <v>44074</v>
      </c>
      <c r="AJ1276" s="63">
        <v>45657</v>
      </c>
      <c r="AK1276" t="s">
        <v>112</v>
      </c>
      <c r="AL1276" t="s">
        <v>111</v>
      </c>
      <c r="AM1276" t="s">
        <v>111</v>
      </c>
      <c r="AN1276">
        <v>20429</v>
      </c>
      <c r="AO1276" t="s">
        <v>110</v>
      </c>
      <c r="AP1276" t="s">
        <v>109</v>
      </c>
    </row>
    <row r="1277" spans="1:42" x14ac:dyDescent="0.25">
      <c r="A1277" s="28" t="str">
        <f>"15564"</f>
        <v>15564</v>
      </c>
      <c r="B1277">
        <v>15564</v>
      </c>
      <c r="C1277" t="s">
        <v>2488</v>
      </c>
      <c r="D1277" t="s">
        <v>121</v>
      </c>
      <c r="E1277" t="s">
        <v>584</v>
      </c>
      <c r="F1277" t="s">
        <v>120</v>
      </c>
      <c r="G1277" t="s">
        <v>1166</v>
      </c>
      <c r="I1277" t="s">
        <v>1685</v>
      </c>
      <c r="J1277" t="s">
        <v>7</v>
      </c>
      <c r="K1277" s="63">
        <v>22576</v>
      </c>
      <c r="L1277" s="28">
        <f>DATEDIF(K1277,Zwift25!G$1,"Y")</f>
        <v>62</v>
      </c>
      <c r="M1277" s="67">
        <f>IF(J1277="m",VLOOKUP(L1277,'All Solo Adjustments'!A:D,4,FALSE),VLOOKUP(L1277,'All Solo Adjustments'!A:J,10,FALSE))</f>
        <v>3.7384259259259259E-3</v>
      </c>
      <c r="N1277" s="63"/>
      <c r="O1277" s="63"/>
      <c r="P1277" s="63"/>
      <c r="Q1277" s="63"/>
      <c r="R1277" t="s">
        <v>296</v>
      </c>
      <c r="S1277" t="s">
        <v>295</v>
      </c>
      <c r="T1277" t="s">
        <v>292</v>
      </c>
      <c r="U1277" t="s">
        <v>6547</v>
      </c>
      <c r="V1277" t="s">
        <v>1684</v>
      </c>
      <c r="W1277" t="s">
        <v>1647</v>
      </c>
      <c r="Y1277" t="s">
        <v>6546</v>
      </c>
      <c r="Z1277" t="str">
        <f>"07768064445"</f>
        <v>07768064445</v>
      </c>
      <c r="AA1277" t="str">
        <f>"07950051736"</f>
        <v>07950051736</v>
      </c>
      <c r="AB1277" t="s">
        <v>6545</v>
      </c>
      <c r="AC1277" t="s">
        <v>1681</v>
      </c>
      <c r="AD1277" t="s">
        <v>114</v>
      </c>
      <c r="AE1277" s="63">
        <v>45294</v>
      </c>
      <c r="AF1277" t="s">
        <v>156</v>
      </c>
      <c r="AG1277" t="s">
        <v>112</v>
      </c>
      <c r="AH1277" t="s">
        <v>112</v>
      </c>
      <c r="AI1277" s="63">
        <v>44757</v>
      </c>
      <c r="AJ1277" s="63">
        <v>45657</v>
      </c>
      <c r="AK1277" t="s">
        <v>112</v>
      </c>
      <c r="AL1277" t="s">
        <v>111</v>
      </c>
      <c r="AM1277" t="s">
        <v>111</v>
      </c>
      <c r="AN1277">
        <v>2680</v>
      </c>
      <c r="AO1277" t="s">
        <v>110</v>
      </c>
      <c r="AP1277" t="s">
        <v>109</v>
      </c>
    </row>
    <row r="1278" spans="1:42" x14ac:dyDescent="0.25">
      <c r="A1278" s="28" t="str">
        <f>"14875"</f>
        <v>14875</v>
      </c>
      <c r="B1278">
        <v>14875</v>
      </c>
      <c r="C1278" t="s">
        <v>2488</v>
      </c>
      <c r="D1278" t="s">
        <v>121</v>
      </c>
      <c r="E1278" t="s">
        <v>584</v>
      </c>
      <c r="F1278" t="s">
        <v>144</v>
      </c>
      <c r="G1278" t="s">
        <v>1294</v>
      </c>
      <c r="I1278" t="s">
        <v>6544</v>
      </c>
      <c r="J1278" t="s">
        <v>126</v>
      </c>
      <c r="K1278" s="63">
        <v>29512</v>
      </c>
      <c r="L1278" s="28">
        <f>DATEDIF(K1278,Zwift25!G$1,"Y")</f>
        <v>43</v>
      </c>
      <c r="M1278" s="67">
        <f>IF(J1278="m",VLOOKUP(L1278,'All Solo Adjustments'!A:D,4,FALSE),VLOOKUP(L1278,'All Solo Adjustments'!A:J,10,FALSE))</f>
        <v>4.5254629629629629E-3</v>
      </c>
      <c r="N1278" s="63"/>
      <c r="O1278" s="63"/>
      <c r="P1278" s="63"/>
      <c r="Q1278" s="63"/>
      <c r="R1278" t="s">
        <v>137</v>
      </c>
      <c r="S1278" t="s">
        <v>136</v>
      </c>
      <c r="T1278" t="s">
        <v>292</v>
      </c>
      <c r="U1278" t="s">
        <v>6543</v>
      </c>
      <c r="V1278" t="s">
        <v>6542</v>
      </c>
      <c r="W1278" t="s">
        <v>350</v>
      </c>
      <c r="X1278" t="s">
        <v>564</v>
      </c>
      <c r="Y1278" t="s">
        <v>6541</v>
      </c>
      <c r="Z1278" t="str">
        <f>"07786853827"</f>
        <v>07786853827</v>
      </c>
      <c r="AA1278" t="str">
        <f>""</f>
        <v/>
      </c>
      <c r="AB1278" t="s">
        <v>378</v>
      </c>
      <c r="AC1278" t="s">
        <v>6540</v>
      </c>
      <c r="AD1278" t="s">
        <v>114</v>
      </c>
      <c r="AE1278" s="63">
        <v>45351</v>
      </c>
      <c r="AF1278" t="s">
        <v>113</v>
      </c>
      <c r="AG1278" t="s">
        <v>112</v>
      </c>
      <c r="AH1278" t="s">
        <v>112</v>
      </c>
      <c r="AI1278" s="63">
        <v>44257</v>
      </c>
      <c r="AJ1278" s="63">
        <v>45657</v>
      </c>
      <c r="AK1278" t="s">
        <v>112</v>
      </c>
      <c r="AL1278" t="s">
        <v>111</v>
      </c>
      <c r="AM1278" t="s">
        <v>111</v>
      </c>
      <c r="AN1278">
        <v>16558</v>
      </c>
      <c r="AO1278" t="s">
        <v>122</v>
      </c>
      <c r="AP1278" t="s">
        <v>122</v>
      </c>
    </row>
    <row r="1279" spans="1:42" x14ac:dyDescent="0.25">
      <c r="A1279" s="28" t="str">
        <f>"13931"</f>
        <v>13931</v>
      </c>
      <c r="B1279">
        <v>13931</v>
      </c>
      <c r="C1279" t="s">
        <v>2488</v>
      </c>
      <c r="D1279" t="s">
        <v>132</v>
      </c>
      <c r="F1279" t="s">
        <v>149</v>
      </c>
      <c r="G1279" t="s">
        <v>565</v>
      </c>
      <c r="H1279" t="s">
        <v>478</v>
      </c>
      <c r="I1279" t="s">
        <v>6538</v>
      </c>
      <c r="J1279" t="s">
        <v>126</v>
      </c>
      <c r="K1279" s="63">
        <v>22866</v>
      </c>
      <c r="L1279" s="28">
        <f>DATEDIF(K1279,Zwift25!G$1,"Y")</f>
        <v>62</v>
      </c>
      <c r="M1279" s="67">
        <f>IF(J1279="m",VLOOKUP(L1279,'All Solo Adjustments'!A:D,4,FALSE),VLOOKUP(L1279,'All Solo Adjustments'!A:J,10,FALSE))</f>
        <v>7.6041666666666662E-3</v>
      </c>
      <c r="N1279" s="63"/>
      <c r="O1279" s="63"/>
      <c r="P1279" s="63"/>
      <c r="Q1279" s="63"/>
      <c r="R1279" t="s">
        <v>296</v>
      </c>
      <c r="S1279" t="s">
        <v>4410</v>
      </c>
      <c r="T1279" t="s">
        <v>292</v>
      </c>
      <c r="U1279" t="s">
        <v>6537</v>
      </c>
      <c r="V1279" t="s">
        <v>6536</v>
      </c>
      <c r="W1279" t="s">
        <v>5529</v>
      </c>
      <c r="X1279" t="s">
        <v>1381</v>
      </c>
      <c r="Y1279" t="s">
        <v>6539</v>
      </c>
      <c r="Z1279" t="str">
        <f>"07767457672"</f>
        <v>07767457672</v>
      </c>
      <c r="AA1279" t="str">
        <f>""</f>
        <v/>
      </c>
      <c r="AB1279" t="s">
        <v>6534</v>
      </c>
      <c r="AC1279" t="s">
        <v>6533</v>
      </c>
      <c r="AD1279" t="s">
        <v>114</v>
      </c>
      <c r="AE1279" s="63">
        <v>45264</v>
      </c>
      <c r="AF1279" t="s">
        <v>113</v>
      </c>
      <c r="AG1279" t="s">
        <v>112</v>
      </c>
      <c r="AH1279" t="s">
        <v>112</v>
      </c>
      <c r="AI1279" s="63">
        <v>43513</v>
      </c>
      <c r="AJ1279" s="63">
        <v>45657</v>
      </c>
      <c r="AK1279" t="s">
        <v>112</v>
      </c>
      <c r="AL1279" t="s">
        <v>111</v>
      </c>
      <c r="AM1279" t="s">
        <v>111</v>
      </c>
      <c r="AN1279">
        <v>27782</v>
      </c>
      <c r="AO1279" t="s">
        <v>122</v>
      </c>
      <c r="AP1279" t="s">
        <v>122</v>
      </c>
    </row>
    <row r="1280" spans="1:42" x14ac:dyDescent="0.25">
      <c r="A1280" s="28" t="str">
        <f>"14059"</f>
        <v>14059</v>
      </c>
      <c r="B1280">
        <v>14059</v>
      </c>
      <c r="C1280" t="s">
        <v>2488</v>
      </c>
      <c r="D1280" t="s">
        <v>132</v>
      </c>
      <c r="F1280" t="s">
        <v>120</v>
      </c>
      <c r="G1280" t="s">
        <v>164</v>
      </c>
      <c r="H1280" t="s">
        <v>410</v>
      </c>
      <c r="I1280" t="s">
        <v>6538</v>
      </c>
      <c r="J1280" t="s">
        <v>7</v>
      </c>
      <c r="K1280" s="63">
        <v>14753</v>
      </c>
      <c r="L1280" s="28">
        <f>DATEDIF(K1280,Zwift25!G$1,"Y")</f>
        <v>84</v>
      </c>
      <c r="M1280" s="67">
        <f>IF(J1280="m",VLOOKUP(L1280,'All Solo Adjustments'!A:D,4,FALSE),VLOOKUP(L1280,'All Solo Adjustments'!A:J,10,FALSE))</f>
        <v>1.3530092592592592E-2</v>
      </c>
      <c r="N1280" s="63"/>
      <c r="O1280" s="63"/>
      <c r="P1280" s="63"/>
      <c r="Q1280" s="63"/>
      <c r="R1280" t="s">
        <v>296</v>
      </c>
      <c r="S1280" t="s">
        <v>2310</v>
      </c>
      <c r="T1280" t="s">
        <v>292</v>
      </c>
      <c r="U1280" t="s">
        <v>6537</v>
      </c>
      <c r="V1280" t="s">
        <v>6536</v>
      </c>
      <c r="W1280" t="s">
        <v>5529</v>
      </c>
      <c r="X1280" t="s">
        <v>5528</v>
      </c>
      <c r="Y1280" t="s">
        <v>6535</v>
      </c>
      <c r="Z1280" t="str">
        <f>"07767457672"</f>
        <v>07767457672</v>
      </c>
      <c r="AA1280" t="str">
        <f>"07767457672"</f>
        <v>07767457672</v>
      </c>
      <c r="AB1280" t="s">
        <v>6534</v>
      </c>
      <c r="AC1280" t="s">
        <v>6533</v>
      </c>
      <c r="AD1280" t="s">
        <v>145</v>
      </c>
      <c r="AF1280" t="s">
        <v>113</v>
      </c>
      <c r="AG1280" t="s">
        <v>112</v>
      </c>
      <c r="AH1280" t="s">
        <v>112</v>
      </c>
      <c r="AI1280" s="63">
        <v>43512</v>
      </c>
      <c r="AK1280" t="s">
        <v>112</v>
      </c>
      <c r="AL1280" t="s">
        <v>111</v>
      </c>
      <c r="AM1280" t="s">
        <v>111</v>
      </c>
      <c r="AN1280" t="s">
        <v>105</v>
      </c>
      <c r="AO1280" t="s">
        <v>110</v>
      </c>
      <c r="AP1280" t="s">
        <v>109</v>
      </c>
    </row>
    <row r="1281" spans="1:42" x14ac:dyDescent="0.25">
      <c r="A1281" s="28" t="str">
        <f>"16021"</f>
        <v>16021</v>
      </c>
      <c r="B1281">
        <v>16021</v>
      </c>
      <c r="C1281" t="s">
        <v>2488</v>
      </c>
      <c r="D1281" t="s">
        <v>121</v>
      </c>
      <c r="F1281" t="s">
        <v>149</v>
      </c>
      <c r="G1281" t="s">
        <v>1408</v>
      </c>
      <c r="I1281" t="s">
        <v>1642</v>
      </c>
      <c r="J1281" t="s">
        <v>126</v>
      </c>
      <c r="K1281" s="63">
        <v>22404</v>
      </c>
      <c r="L1281" s="28">
        <f>DATEDIF(K1281,Zwift25!G$1,"Y")</f>
        <v>63</v>
      </c>
      <c r="M1281" s="67">
        <f>IF(J1281="m",VLOOKUP(L1281,'All Solo Adjustments'!A:D,4,FALSE),VLOOKUP(L1281,'All Solo Adjustments'!A:J,10,FALSE))</f>
        <v>8.0092592592592594E-3</v>
      </c>
      <c r="N1281" s="63"/>
      <c r="O1281" s="63"/>
      <c r="P1281" s="63"/>
      <c r="Q1281" s="63"/>
      <c r="R1281" t="s">
        <v>239</v>
      </c>
      <c r="S1281" t="s">
        <v>274</v>
      </c>
      <c r="T1281" t="s">
        <v>292</v>
      </c>
      <c r="U1281" t="s">
        <v>1641</v>
      </c>
      <c r="V1281" t="s">
        <v>6532</v>
      </c>
      <c r="W1281" t="s">
        <v>547</v>
      </c>
      <c r="X1281" t="s">
        <v>6531</v>
      </c>
      <c r="Y1281" t="s">
        <v>1640</v>
      </c>
      <c r="Z1281" t="str">
        <f>"07971672728"</f>
        <v>07971672728</v>
      </c>
      <c r="AA1281" t="str">
        <f>""</f>
        <v/>
      </c>
      <c r="AB1281" t="s">
        <v>6140</v>
      </c>
      <c r="AC1281" t="s">
        <v>6530</v>
      </c>
      <c r="AD1281" t="s">
        <v>114</v>
      </c>
      <c r="AE1281" s="63">
        <v>45329</v>
      </c>
      <c r="AF1281" t="s">
        <v>156</v>
      </c>
      <c r="AG1281" t="s">
        <v>112</v>
      </c>
      <c r="AH1281" t="s">
        <v>112</v>
      </c>
      <c r="AI1281" s="63">
        <v>45329</v>
      </c>
      <c r="AJ1281" s="63">
        <v>45657</v>
      </c>
      <c r="AK1281" t="s">
        <v>112</v>
      </c>
      <c r="AL1281" t="s">
        <v>112</v>
      </c>
      <c r="AM1281" t="s">
        <v>111</v>
      </c>
      <c r="AN1281">
        <v>49603</v>
      </c>
      <c r="AO1281" t="s">
        <v>122</v>
      </c>
      <c r="AP1281" t="s">
        <v>122</v>
      </c>
    </row>
    <row r="1282" spans="1:42" x14ac:dyDescent="0.25">
      <c r="A1282" s="28" t="str">
        <f>"16013"</f>
        <v>16013</v>
      </c>
      <c r="B1282">
        <v>16013</v>
      </c>
      <c r="C1282" t="s">
        <v>2488</v>
      </c>
      <c r="D1282" t="s">
        <v>121</v>
      </c>
      <c r="F1282" t="s">
        <v>144</v>
      </c>
      <c r="G1282" t="s">
        <v>890</v>
      </c>
      <c r="I1282" t="s">
        <v>1639</v>
      </c>
      <c r="J1282" t="s">
        <v>126</v>
      </c>
      <c r="K1282" s="63">
        <v>27097</v>
      </c>
      <c r="L1282" s="28">
        <f>DATEDIF(K1282,Zwift25!G$1,"Y")</f>
        <v>50</v>
      </c>
      <c r="M1282" s="67">
        <f>IF(J1282="m",VLOOKUP(L1282,'All Solo Adjustments'!A:D,4,FALSE),VLOOKUP(L1282,'All Solo Adjustments'!A:J,10,FALSE))</f>
        <v>4.9768518518518521E-3</v>
      </c>
      <c r="N1282" s="63"/>
      <c r="O1282" s="63"/>
      <c r="P1282" s="63"/>
      <c r="Q1282" s="63"/>
      <c r="R1282" t="s">
        <v>383</v>
      </c>
      <c r="S1282" t="s">
        <v>382</v>
      </c>
      <c r="T1282" t="s">
        <v>292</v>
      </c>
      <c r="U1282" t="s">
        <v>6529</v>
      </c>
      <c r="V1282" t="s">
        <v>6528</v>
      </c>
      <c r="W1282" t="s">
        <v>6527</v>
      </c>
      <c r="X1282" t="s">
        <v>6526</v>
      </c>
      <c r="Y1282" t="s">
        <v>6525</v>
      </c>
      <c r="Z1282" t="str">
        <f>" 07538281166"</f>
        <v xml:space="preserve"> 07538281166</v>
      </c>
      <c r="AA1282" t="str">
        <f>""</f>
        <v/>
      </c>
      <c r="AB1282" t="s">
        <v>6524</v>
      </c>
      <c r="AC1282" t="s">
        <v>6523</v>
      </c>
      <c r="AD1282" t="s">
        <v>114</v>
      </c>
      <c r="AE1282" s="63">
        <v>45378</v>
      </c>
      <c r="AF1282" t="s">
        <v>156</v>
      </c>
      <c r="AG1282" t="s">
        <v>112</v>
      </c>
      <c r="AH1282" t="s">
        <v>112</v>
      </c>
      <c r="AI1282" s="63">
        <v>45378</v>
      </c>
      <c r="AJ1282" s="63">
        <v>45657</v>
      </c>
      <c r="AK1282" t="s">
        <v>112</v>
      </c>
      <c r="AL1282" t="s">
        <v>111</v>
      </c>
      <c r="AM1282" t="s">
        <v>111</v>
      </c>
      <c r="AN1282">
        <v>45836</v>
      </c>
      <c r="AO1282" t="s">
        <v>122</v>
      </c>
      <c r="AP1282" t="s">
        <v>122</v>
      </c>
    </row>
    <row r="1283" spans="1:42" x14ac:dyDescent="0.25">
      <c r="A1283" s="28" t="str">
        <f>"14800"</f>
        <v>14800</v>
      </c>
      <c r="B1283">
        <v>14800</v>
      </c>
      <c r="C1283" t="s">
        <v>2488</v>
      </c>
      <c r="D1283" t="s">
        <v>121</v>
      </c>
      <c r="E1283" t="s">
        <v>584</v>
      </c>
      <c r="F1283" t="s">
        <v>120</v>
      </c>
      <c r="G1283" t="s">
        <v>181</v>
      </c>
      <c r="I1283" t="s">
        <v>6522</v>
      </c>
      <c r="J1283" t="s">
        <v>7</v>
      </c>
      <c r="K1283" s="63">
        <v>21781</v>
      </c>
      <c r="L1283" s="28">
        <f>DATEDIF(K1283,Zwift25!G$1,"Y")</f>
        <v>65</v>
      </c>
      <c r="M1283" s="67">
        <f>IF(J1283="m",VLOOKUP(L1283,'All Solo Adjustments'!A:D,4,FALSE),VLOOKUP(L1283,'All Solo Adjustments'!A:J,10,FALSE))</f>
        <v>4.6180555555555558E-3</v>
      </c>
      <c r="N1283" s="63"/>
      <c r="O1283" s="63"/>
      <c r="P1283" s="63"/>
      <c r="Q1283" s="63"/>
      <c r="R1283" t="s">
        <v>180</v>
      </c>
      <c r="S1283" t="s">
        <v>179</v>
      </c>
      <c r="T1283" t="s">
        <v>292</v>
      </c>
      <c r="U1283" t="s">
        <v>6521</v>
      </c>
      <c r="V1283" t="s">
        <v>2167</v>
      </c>
      <c r="W1283" t="s">
        <v>983</v>
      </c>
      <c r="X1283" t="s">
        <v>177</v>
      </c>
      <c r="Y1283" t="s">
        <v>6520</v>
      </c>
      <c r="Z1283" t="str">
        <f>"07933212843"</f>
        <v>07933212843</v>
      </c>
      <c r="AA1283" t="str">
        <f>""</f>
        <v/>
      </c>
      <c r="AB1283" t="s">
        <v>1203</v>
      </c>
      <c r="AC1283" t="s">
        <v>6519</v>
      </c>
      <c r="AD1283" t="s">
        <v>114</v>
      </c>
      <c r="AE1283" s="63">
        <v>45320</v>
      </c>
      <c r="AF1283" t="s">
        <v>113</v>
      </c>
      <c r="AG1283" t="s">
        <v>112</v>
      </c>
      <c r="AH1283" t="s">
        <v>112</v>
      </c>
      <c r="AI1283" s="63">
        <v>44194</v>
      </c>
      <c r="AJ1283" s="63">
        <v>45657</v>
      </c>
      <c r="AK1283" t="s">
        <v>112</v>
      </c>
      <c r="AL1283" t="s">
        <v>111</v>
      </c>
      <c r="AM1283" t="s">
        <v>111</v>
      </c>
      <c r="AN1283">
        <v>36713</v>
      </c>
      <c r="AO1283" t="s">
        <v>110</v>
      </c>
      <c r="AP1283" t="s">
        <v>109</v>
      </c>
    </row>
    <row r="1284" spans="1:42" x14ac:dyDescent="0.25">
      <c r="A1284" s="28" t="str">
        <f>"1595"</f>
        <v>1595</v>
      </c>
      <c r="B1284">
        <v>1595</v>
      </c>
      <c r="C1284" t="s">
        <v>2488</v>
      </c>
      <c r="D1284" t="s">
        <v>121</v>
      </c>
      <c r="F1284" t="s">
        <v>120</v>
      </c>
      <c r="G1284" t="s">
        <v>251</v>
      </c>
      <c r="I1284" t="s">
        <v>6518</v>
      </c>
      <c r="J1284" t="s">
        <v>7</v>
      </c>
      <c r="K1284" s="63">
        <v>15999</v>
      </c>
      <c r="L1284" s="28">
        <f>DATEDIF(K1284,Zwift25!G$1,"Y")</f>
        <v>80</v>
      </c>
      <c r="M1284" s="67">
        <f>IF(J1284="m",VLOOKUP(L1284,'All Solo Adjustments'!A:D,4,FALSE),VLOOKUP(L1284,'All Solo Adjustments'!A:J,10,FALSE))</f>
        <v>1.1018518518518518E-2</v>
      </c>
      <c r="N1284" s="63"/>
      <c r="O1284" s="63"/>
      <c r="P1284" s="63"/>
      <c r="Q1284" s="63"/>
      <c r="R1284" t="s">
        <v>184</v>
      </c>
      <c r="S1284" t="s">
        <v>183</v>
      </c>
      <c r="T1284" t="s">
        <v>292</v>
      </c>
      <c r="U1284" t="s">
        <v>6517</v>
      </c>
      <c r="V1284" t="s">
        <v>1260</v>
      </c>
      <c r="Y1284" t="s">
        <v>6516</v>
      </c>
      <c r="Z1284" t="str">
        <f>"01494 724874"</f>
        <v>01494 724874</v>
      </c>
      <c r="AA1284" t="str">
        <f>"o7538912143"</f>
        <v>o7538912143</v>
      </c>
      <c r="AB1284" t="s">
        <v>6515</v>
      </c>
      <c r="AC1284" t="s">
        <v>6514</v>
      </c>
      <c r="AD1284" t="s">
        <v>114</v>
      </c>
      <c r="AE1284" s="63">
        <v>45267</v>
      </c>
      <c r="AF1284" t="s">
        <v>113</v>
      </c>
      <c r="AG1284" t="s">
        <v>112</v>
      </c>
      <c r="AH1284" t="s">
        <v>112</v>
      </c>
      <c r="AI1284" s="63">
        <v>43480</v>
      </c>
      <c r="AJ1284" s="63">
        <v>45657</v>
      </c>
      <c r="AK1284" t="s">
        <v>111</v>
      </c>
      <c r="AL1284" t="s">
        <v>111</v>
      </c>
      <c r="AM1284" t="s">
        <v>111</v>
      </c>
      <c r="AN1284" t="s">
        <v>105</v>
      </c>
      <c r="AO1284" t="s">
        <v>110</v>
      </c>
      <c r="AP1284" t="s">
        <v>109</v>
      </c>
    </row>
    <row r="1285" spans="1:42" x14ac:dyDescent="0.25">
      <c r="A1285" s="28" t="str">
        <f>"1596"</f>
        <v>1596</v>
      </c>
      <c r="B1285">
        <v>1596</v>
      </c>
      <c r="C1285" t="s">
        <v>2488</v>
      </c>
      <c r="D1285" t="s">
        <v>121</v>
      </c>
      <c r="F1285" t="s">
        <v>403</v>
      </c>
      <c r="G1285" t="s">
        <v>952</v>
      </c>
      <c r="H1285" t="s">
        <v>3622</v>
      </c>
      <c r="I1285" t="s">
        <v>6513</v>
      </c>
      <c r="J1285" t="s">
        <v>7</v>
      </c>
      <c r="K1285" s="63">
        <v>24270</v>
      </c>
      <c r="L1285" s="28">
        <f>DATEDIF(K1285,Zwift25!G$1,"Y")</f>
        <v>58</v>
      </c>
      <c r="M1285" s="67">
        <f>IF(J1285="m",VLOOKUP(L1285,'All Solo Adjustments'!A:D,4,FALSE),VLOOKUP(L1285,'All Solo Adjustments'!A:J,10,FALSE))</f>
        <v>2.7199074074074074E-3</v>
      </c>
      <c r="N1285" s="63"/>
      <c r="O1285" s="63"/>
      <c r="P1285" s="63"/>
      <c r="Q1285" s="63"/>
      <c r="R1285" t="s">
        <v>159</v>
      </c>
      <c r="S1285" t="s">
        <v>162</v>
      </c>
      <c r="T1285" t="s">
        <v>292</v>
      </c>
      <c r="U1285" t="s">
        <v>6512</v>
      </c>
      <c r="V1285" t="s">
        <v>6511</v>
      </c>
      <c r="W1285" t="s">
        <v>6510</v>
      </c>
      <c r="X1285" t="s">
        <v>159</v>
      </c>
      <c r="Y1285" t="s">
        <v>6509</v>
      </c>
      <c r="Z1285" t="str">
        <f>"07793 822365"</f>
        <v>07793 822365</v>
      </c>
      <c r="AA1285" t="str">
        <f>""</f>
        <v/>
      </c>
      <c r="AB1285" t="s">
        <v>3442</v>
      </c>
      <c r="AC1285" t="s">
        <v>6508</v>
      </c>
      <c r="AD1285" t="s">
        <v>114</v>
      </c>
      <c r="AE1285" s="63">
        <v>45316</v>
      </c>
      <c r="AF1285" t="s">
        <v>156</v>
      </c>
      <c r="AG1285" t="s">
        <v>112</v>
      </c>
      <c r="AH1285" t="s">
        <v>112</v>
      </c>
      <c r="AI1285" s="63">
        <v>43454</v>
      </c>
      <c r="AJ1285" s="63">
        <v>45657</v>
      </c>
      <c r="AK1285" t="s">
        <v>111</v>
      </c>
      <c r="AL1285" t="s">
        <v>111</v>
      </c>
      <c r="AM1285" t="s">
        <v>111</v>
      </c>
      <c r="AN1285">
        <v>4519</v>
      </c>
      <c r="AO1285" t="s">
        <v>110</v>
      </c>
      <c r="AP1285" t="s">
        <v>109</v>
      </c>
    </row>
    <row r="1286" spans="1:42" x14ac:dyDescent="0.25">
      <c r="A1286" s="28" t="str">
        <f>"14418"</f>
        <v>14418</v>
      </c>
      <c r="B1286">
        <v>14418</v>
      </c>
      <c r="C1286" t="s">
        <v>2488</v>
      </c>
      <c r="D1286" t="s">
        <v>121</v>
      </c>
      <c r="E1286" t="s">
        <v>584</v>
      </c>
      <c r="F1286" t="s">
        <v>403</v>
      </c>
      <c r="G1286" t="s">
        <v>359</v>
      </c>
      <c r="H1286" t="s">
        <v>251</v>
      </c>
      <c r="I1286" t="s">
        <v>6507</v>
      </c>
      <c r="J1286" t="s">
        <v>7</v>
      </c>
      <c r="K1286" s="63">
        <v>29213</v>
      </c>
      <c r="L1286" s="28">
        <f>DATEDIF(K1286,Zwift25!G$1,"Y")</f>
        <v>44</v>
      </c>
      <c r="M1286" s="67">
        <f>IF(J1286="m",VLOOKUP(L1286,'All Solo Adjustments'!A:D,4,FALSE),VLOOKUP(L1286,'All Solo Adjustments'!A:J,10,FALSE))</f>
        <v>3.3564814814814818E-4</v>
      </c>
      <c r="N1286" s="63"/>
      <c r="O1286" s="63"/>
      <c r="P1286" s="63"/>
      <c r="Q1286" s="63"/>
      <c r="R1286" t="s">
        <v>213</v>
      </c>
      <c r="S1286" t="s">
        <v>212</v>
      </c>
      <c r="T1286" t="s">
        <v>292</v>
      </c>
      <c r="U1286" t="s">
        <v>6506</v>
      </c>
      <c r="V1286" t="s">
        <v>2099</v>
      </c>
      <c r="W1286" t="s">
        <v>393</v>
      </c>
      <c r="X1286" t="s">
        <v>213</v>
      </c>
      <c r="Y1286" t="s">
        <v>6505</v>
      </c>
      <c r="Z1286" t="str">
        <f>"07967601865"</f>
        <v>07967601865</v>
      </c>
      <c r="AA1286" t="str">
        <f>"0151 281 3381"</f>
        <v>0151 281 3381</v>
      </c>
      <c r="AB1286" t="s">
        <v>4423</v>
      </c>
      <c r="AC1286" t="s">
        <v>6504</v>
      </c>
      <c r="AD1286" t="s">
        <v>114</v>
      </c>
      <c r="AE1286" s="63">
        <v>45263</v>
      </c>
      <c r="AF1286" t="s">
        <v>113</v>
      </c>
      <c r="AG1286" t="s">
        <v>112</v>
      </c>
      <c r="AH1286" t="s">
        <v>112</v>
      </c>
      <c r="AI1286" s="63">
        <v>43834</v>
      </c>
      <c r="AJ1286" s="63">
        <v>45657</v>
      </c>
      <c r="AK1286" t="s">
        <v>112</v>
      </c>
      <c r="AL1286" t="s">
        <v>111</v>
      </c>
      <c r="AM1286" t="s">
        <v>111</v>
      </c>
      <c r="AN1286">
        <v>6080</v>
      </c>
      <c r="AO1286" t="s">
        <v>110</v>
      </c>
      <c r="AP1286" t="s">
        <v>109</v>
      </c>
    </row>
    <row r="1287" spans="1:42" x14ac:dyDescent="0.25">
      <c r="A1287" s="28" t="str">
        <f>"14314"</f>
        <v>14314</v>
      </c>
      <c r="B1287">
        <v>14314</v>
      </c>
      <c r="C1287" t="s">
        <v>2488</v>
      </c>
      <c r="D1287" t="s">
        <v>121</v>
      </c>
      <c r="F1287" t="s">
        <v>120</v>
      </c>
      <c r="G1287" t="s">
        <v>164</v>
      </c>
      <c r="I1287" t="s">
        <v>576</v>
      </c>
      <c r="J1287" t="s">
        <v>7</v>
      </c>
      <c r="K1287" s="63">
        <v>25308</v>
      </c>
      <c r="L1287" s="28">
        <f>DATEDIF(K1287,Zwift25!G$1,"Y")</f>
        <v>55</v>
      </c>
      <c r="M1287" s="67">
        <f>IF(J1287="m",VLOOKUP(L1287,'All Solo Adjustments'!A:D,4,FALSE),VLOOKUP(L1287,'All Solo Adjustments'!A:J,10,FALSE))</f>
        <v>2.0601851851851853E-3</v>
      </c>
      <c r="N1287" s="63"/>
      <c r="O1287" s="63"/>
      <c r="P1287" s="63"/>
      <c r="Q1287" s="63"/>
      <c r="R1287" t="s">
        <v>125</v>
      </c>
      <c r="S1287" t="s">
        <v>170</v>
      </c>
      <c r="T1287" t="s">
        <v>292</v>
      </c>
      <c r="U1287" t="s">
        <v>6503</v>
      </c>
      <c r="V1287" t="s">
        <v>6502</v>
      </c>
      <c r="X1287" t="s">
        <v>6501</v>
      </c>
      <c r="Y1287" t="s">
        <v>6500</v>
      </c>
      <c r="Z1287" t="str">
        <f>"07411214626"</f>
        <v>07411214626</v>
      </c>
      <c r="AA1287" t="str">
        <f>""</f>
        <v/>
      </c>
      <c r="AB1287" t="s">
        <v>216</v>
      </c>
      <c r="AC1287" t="s">
        <v>6499</v>
      </c>
      <c r="AD1287" t="s">
        <v>114</v>
      </c>
      <c r="AE1287" s="63">
        <v>45375</v>
      </c>
      <c r="AF1287" t="s">
        <v>156</v>
      </c>
      <c r="AG1287" t="s">
        <v>112</v>
      </c>
      <c r="AH1287" t="s">
        <v>112</v>
      </c>
      <c r="AI1287" s="63">
        <v>43654</v>
      </c>
      <c r="AJ1287" s="63">
        <v>45657</v>
      </c>
      <c r="AK1287" t="s">
        <v>112</v>
      </c>
      <c r="AL1287" t="s">
        <v>111</v>
      </c>
      <c r="AM1287" t="s">
        <v>111</v>
      </c>
      <c r="AN1287">
        <v>4531</v>
      </c>
      <c r="AO1287" t="s">
        <v>110</v>
      </c>
      <c r="AP1287" t="s">
        <v>109</v>
      </c>
    </row>
    <row r="1288" spans="1:42" x14ac:dyDescent="0.25">
      <c r="A1288" s="28" t="str">
        <f>"1600"</f>
        <v>1600</v>
      </c>
      <c r="B1288">
        <v>1600</v>
      </c>
      <c r="C1288" t="s">
        <v>2488</v>
      </c>
      <c r="D1288" t="s">
        <v>121</v>
      </c>
      <c r="F1288" t="s">
        <v>120</v>
      </c>
      <c r="G1288" t="s">
        <v>402</v>
      </c>
      <c r="I1288" t="s">
        <v>6498</v>
      </c>
      <c r="J1288" t="s">
        <v>7</v>
      </c>
      <c r="K1288" s="63">
        <v>16352</v>
      </c>
      <c r="L1288" s="28">
        <f>DATEDIF(K1288,Zwift25!G$1,"Y")</f>
        <v>80</v>
      </c>
      <c r="M1288" s="67">
        <f>IF(J1288="m",VLOOKUP(L1288,'All Solo Adjustments'!A:D,4,FALSE),VLOOKUP(L1288,'All Solo Adjustments'!A:J,10,FALSE))</f>
        <v>1.1018518518518518E-2</v>
      </c>
      <c r="N1288" s="63"/>
      <c r="O1288" s="63"/>
      <c r="P1288" s="63"/>
      <c r="Q1288" s="63"/>
      <c r="R1288" t="s">
        <v>184</v>
      </c>
      <c r="S1288" t="s">
        <v>835</v>
      </c>
      <c r="T1288" t="s">
        <v>292</v>
      </c>
      <c r="U1288" t="s">
        <v>6497</v>
      </c>
      <c r="V1288" t="s">
        <v>6496</v>
      </c>
      <c r="W1288" t="s">
        <v>1362</v>
      </c>
      <c r="Y1288" t="s">
        <v>6495</v>
      </c>
      <c r="Z1288" t="str">
        <f>"07881 785696"</f>
        <v>07881 785696</v>
      </c>
      <c r="AA1288" t="str">
        <f>""</f>
        <v/>
      </c>
      <c r="AB1288" t="s">
        <v>1192</v>
      </c>
      <c r="AC1288" t="s">
        <v>6494</v>
      </c>
      <c r="AD1288" t="s">
        <v>145</v>
      </c>
      <c r="AF1288" t="s">
        <v>156</v>
      </c>
      <c r="AG1288" t="s">
        <v>112</v>
      </c>
      <c r="AH1288" t="s">
        <v>112</v>
      </c>
      <c r="AI1288" s="63">
        <v>31159</v>
      </c>
      <c r="AK1288" t="s">
        <v>111</v>
      </c>
      <c r="AL1288" t="s">
        <v>111</v>
      </c>
      <c r="AM1288" t="s">
        <v>111</v>
      </c>
      <c r="AN1288" t="s">
        <v>105</v>
      </c>
      <c r="AO1288" t="s">
        <v>110</v>
      </c>
      <c r="AP1288" t="s">
        <v>109</v>
      </c>
    </row>
    <row r="1289" spans="1:42" x14ac:dyDescent="0.25">
      <c r="A1289" s="28" t="str">
        <f>"16150"</f>
        <v>16150</v>
      </c>
      <c r="B1289">
        <v>16150</v>
      </c>
      <c r="C1289" t="s">
        <v>2488</v>
      </c>
      <c r="D1289" t="s">
        <v>121</v>
      </c>
      <c r="E1289" t="s">
        <v>584</v>
      </c>
      <c r="F1289" t="s">
        <v>120</v>
      </c>
      <c r="G1289" t="s">
        <v>427</v>
      </c>
      <c r="I1289" t="s">
        <v>2219</v>
      </c>
      <c r="J1289" t="s">
        <v>7</v>
      </c>
      <c r="K1289" s="63">
        <v>25104</v>
      </c>
      <c r="L1289" s="28">
        <f>DATEDIF(K1289,Zwift25!G$1,"Y")</f>
        <v>56</v>
      </c>
      <c r="M1289" s="67">
        <f>IF(J1289="m",VLOOKUP(L1289,'All Solo Adjustments'!A:D,4,FALSE),VLOOKUP(L1289,'All Solo Adjustments'!A:J,10,FALSE))</f>
        <v>2.2685185185185182E-3</v>
      </c>
      <c r="N1289" s="63"/>
      <c r="O1289" s="63"/>
      <c r="P1289" s="63"/>
      <c r="Q1289" s="63"/>
      <c r="R1289" t="s">
        <v>198</v>
      </c>
      <c r="S1289" t="s">
        <v>461</v>
      </c>
      <c r="T1289" t="s">
        <v>292</v>
      </c>
      <c r="U1289" t="s">
        <v>6493</v>
      </c>
      <c r="V1289" t="s">
        <v>6492</v>
      </c>
      <c r="W1289" t="s">
        <v>460</v>
      </c>
      <c r="Y1289" t="s">
        <v>6491</v>
      </c>
      <c r="Z1289" t="str">
        <f>"07527818237"</f>
        <v>07527818237</v>
      </c>
      <c r="AA1289" t="str">
        <f>""</f>
        <v/>
      </c>
      <c r="AB1289" t="s">
        <v>2118</v>
      </c>
      <c r="AC1289" t="s">
        <v>6490</v>
      </c>
      <c r="AD1289" t="s">
        <v>114</v>
      </c>
      <c r="AE1289" s="63">
        <v>45442</v>
      </c>
      <c r="AF1289" t="s">
        <v>156</v>
      </c>
      <c r="AG1289" t="s">
        <v>112</v>
      </c>
      <c r="AH1289" t="s">
        <v>112</v>
      </c>
      <c r="AI1289" s="63">
        <v>45442</v>
      </c>
      <c r="AJ1289" s="63">
        <v>45657</v>
      </c>
      <c r="AK1289" t="s">
        <v>112</v>
      </c>
      <c r="AL1289" t="s">
        <v>111</v>
      </c>
      <c r="AM1289" t="s">
        <v>111</v>
      </c>
      <c r="AN1289">
        <v>50686</v>
      </c>
      <c r="AO1289" t="s">
        <v>110</v>
      </c>
      <c r="AP1289" t="s">
        <v>109</v>
      </c>
    </row>
    <row r="1290" spans="1:42" x14ac:dyDescent="0.25">
      <c r="A1290" s="28" t="str">
        <f>"6517"</f>
        <v>6517</v>
      </c>
      <c r="B1290">
        <v>6517</v>
      </c>
      <c r="C1290" t="s">
        <v>2488</v>
      </c>
      <c r="D1290" t="s">
        <v>132</v>
      </c>
      <c r="F1290" t="s">
        <v>120</v>
      </c>
      <c r="G1290" t="s">
        <v>185</v>
      </c>
      <c r="I1290" t="s">
        <v>6488</v>
      </c>
      <c r="J1290" t="s">
        <v>7</v>
      </c>
      <c r="K1290" s="63">
        <v>18264</v>
      </c>
      <c r="L1290" s="28">
        <f>DATEDIF(K1290,Zwift25!G$1,"Y")</f>
        <v>74</v>
      </c>
      <c r="M1290" s="67">
        <f>IF(J1290="m",VLOOKUP(L1290,'All Solo Adjustments'!A:D,4,FALSE),VLOOKUP(L1290,'All Solo Adjustments'!A:J,10,FALSE))</f>
        <v>7.9861111111111122E-3</v>
      </c>
      <c r="N1290" s="63"/>
      <c r="O1290" s="63"/>
      <c r="P1290" s="63"/>
      <c r="Q1290" s="63"/>
      <c r="R1290" t="s">
        <v>159</v>
      </c>
      <c r="S1290" t="s">
        <v>162</v>
      </c>
      <c r="T1290" t="s">
        <v>292</v>
      </c>
      <c r="U1290" t="s">
        <v>6487</v>
      </c>
      <c r="V1290" t="s">
        <v>2342</v>
      </c>
      <c r="W1290" t="s">
        <v>159</v>
      </c>
      <c r="Y1290" t="s">
        <v>6486</v>
      </c>
      <c r="Z1290" t="str">
        <f>"01474 351884"</f>
        <v>01474 351884</v>
      </c>
      <c r="AA1290" t="str">
        <f>""</f>
        <v/>
      </c>
      <c r="AB1290" t="s">
        <v>290</v>
      </c>
      <c r="AC1290" t="s">
        <v>6489</v>
      </c>
      <c r="AD1290" t="s">
        <v>145</v>
      </c>
      <c r="AE1290" s="63">
        <v>45310</v>
      </c>
      <c r="AF1290" t="s">
        <v>113</v>
      </c>
      <c r="AG1290" t="s">
        <v>112</v>
      </c>
      <c r="AH1290" t="s">
        <v>112</v>
      </c>
      <c r="AI1290" s="63">
        <v>43451</v>
      </c>
      <c r="AJ1290" s="63">
        <v>45657</v>
      </c>
      <c r="AK1290" t="s">
        <v>111</v>
      </c>
      <c r="AL1290" t="s">
        <v>111</v>
      </c>
      <c r="AM1290" t="s">
        <v>111</v>
      </c>
      <c r="AN1290" t="s">
        <v>105</v>
      </c>
      <c r="AO1290" t="s">
        <v>110</v>
      </c>
      <c r="AP1290" t="s">
        <v>109</v>
      </c>
    </row>
    <row r="1291" spans="1:42" x14ac:dyDescent="0.25">
      <c r="A1291" s="28" t="str">
        <f>"1604"</f>
        <v>1604</v>
      </c>
      <c r="B1291">
        <v>1604</v>
      </c>
      <c r="C1291" t="s">
        <v>2488</v>
      </c>
      <c r="D1291" t="s">
        <v>121</v>
      </c>
      <c r="F1291" t="s">
        <v>120</v>
      </c>
      <c r="G1291" t="s">
        <v>469</v>
      </c>
      <c r="I1291" t="s">
        <v>575</v>
      </c>
      <c r="J1291" t="s">
        <v>7</v>
      </c>
      <c r="K1291" s="63">
        <v>13389</v>
      </c>
      <c r="L1291" s="28">
        <f>DATEDIF(K1291,Zwift25!G$1,"Y")</f>
        <v>88</v>
      </c>
      <c r="M1291" s="67">
        <f>IF(J1291="m",VLOOKUP(L1291,'All Solo Adjustments'!A:D,4,FALSE),VLOOKUP(L1291,'All Solo Adjustments'!A:J,10,FALSE))</f>
        <v>1.6597222222222222E-2</v>
      </c>
      <c r="N1291" s="63"/>
      <c r="O1291" s="63"/>
      <c r="P1291" s="63"/>
      <c r="Q1291" s="63"/>
      <c r="R1291" t="s">
        <v>328</v>
      </c>
      <c r="S1291" t="s">
        <v>2290</v>
      </c>
      <c r="T1291" t="s">
        <v>292</v>
      </c>
      <c r="U1291" t="s">
        <v>6485</v>
      </c>
      <c r="V1291" t="s">
        <v>3584</v>
      </c>
      <c r="W1291" t="s">
        <v>1223</v>
      </c>
      <c r="X1291" t="s">
        <v>325</v>
      </c>
      <c r="Y1291" t="s">
        <v>6484</v>
      </c>
      <c r="Z1291" t="str">
        <f>"01282 779046"</f>
        <v>01282 779046</v>
      </c>
      <c r="AA1291" t="str">
        <f>""</f>
        <v/>
      </c>
      <c r="AB1291" t="s">
        <v>6483</v>
      </c>
      <c r="AD1291" t="s">
        <v>151</v>
      </c>
      <c r="AF1291" t="s">
        <v>113</v>
      </c>
      <c r="AG1291" t="s">
        <v>112</v>
      </c>
      <c r="AH1291" t="s">
        <v>112</v>
      </c>
      <c r="AK1291" t="s">
        <v>111</v>
      </c>
      <c r="AL1291" t="s">
        <v>111</v>
      </c>
      <c r="AM1291" t="s">
        <v>111</v>
      </c>
      <c r="AN1291" t="s">
        <v>105</v>
      </c>
      <c r="AO1291" t="s">
        <v>110</v>
      </c>
      <c r="AP1291" t="s">
        <v>109</v>
      </c>
    </row>
    <row r="1292" spans="1:42" x14ac:dyDescent="0.25">
      <c r="A1292" s="28" t="str">
        <f>"15080"</f>
        <v>15080</v>
      </c>
      <c r="B1292">
        <v>15080</v>
      </c>
      <c r="C1292" t="s">
        <v>2488</v>
      </c>
      <c r="D1292" t="s">
        <v>121</v>
      </c>
      <c r="E1292" t="s">
        <v>584</v>
      </c>
      <c r="F1292" t="s">
        <v>120</v>
      </c>
      <c r="G1292" t="s">
        <v>1342</v>
      </c>
      <c r="H1292" t="s">
        <v>245</v>
      </c>
      <c r="I1292" t="s">
        <v>6482</v>
      </c>
      <c r="J1292" t="s">
        <v>7</v>
      </c>
      <c r="K1292" s="63">
        <v>25751</v>
      </c>
      <c r="L1292" s="28">
        <f>DATEDIF(K1292,Zwift25!G$1,"Y")</f>
        <v>54</v>
      </c>
      <c r="M1292" s="67">
        <f>IF(J1292="m",VLOOKUP(L1292,'All Solo Adjustments'!A:D,4,FALSE),VLOOKUP(L1292,'All Solo Adjustments'!A:J,10,FALSE))</f>
        <v>1.8518518518518517E-3</v>
      </c>
      <c r="N1292" s="63"/>
      <c r="O1292" s="63"/>
      <c r="P1292" s="63"/>
      <c r="Q1292" s="63"/>
      <c r="R1292" t="s">
        <v>184</v>
      </c>
      <c r="S1292" t="s">
        <v>183</v>
      </c>
      <c r="T1292" t="s">
        <v>292</v>
      </c>
      <c r="U1292" t="s">
        <v>6481</v>
      </c>
      <c r="V1292" t="s">
        <v>2272</v>
      </c>
      <c r="W1292" t="s">
        <v>1714</v>
      </c>
      <c r="X1292" t="s">
        <v>834</v>
      </c>
      <c r="Y1292" t="s">
        <v>6480</v>
      </c>
      <c r="Z1292" t="str">
        <f>"07503061061"</f>
        <v>07503061061</v>
      </c>
      <c r="AA1292" t="str">
        <f>""</f>
        <v/>
      </c>
      <c r="AB1292" t="s">
        <v>1757</v>
      </c>
      <c r="AC1292" t="s">
        <v>6479</v>
      </c>
      <c r="AD1292" t="s">
        <v>114</v>
      </c>
      <c r="AE1292" s="63">
        <v>45271</v>
      </c>
      <c r="AF1292" t="s">
        <v>156</v>
      </c>
      <c r="AG1292" t="s">
        <v>112</v>
      </c>
      <c r="AH1292" t="s">
        <v>112</v>
      </c>
      <c r="AI1292" s="63">
        <v>44336</v>
      </c>
      <c r="AJ1292" s="63">
        <v>45657</v>
      </c>
      <c r="AK1292" t="s">
        <v>112</v>
      </c>
      <c r="AL1292" t="s">
        <v>111</v>
      </c>
      <c r="AM1292" t="s">
        <v>111</v>
      </c>
      <c r="AN1292">
        <v>10785</v>
      </c>
      <c r="AO1292" t="s">
        <v>110</v>
      </c>
      <c r="AP1292" t="s">
        <v>109</v>
      </c>
    </row>
    <row r="1293" spans="1:42" x14ac:dyDescent="0.25">
      <c r="A1293" s="28" t="str">
        <f>"16204"</f>
        <v>16204</v>
      </c>
      <c r="B1293">
        <v>16204</v>
      </c>
      <c r="C1293" t="s">
        <v>2488</v>
      </c>
      <c r="D1293" t="s">
        <v>121</v>
      </c>
      <c r="F1293" t="s">
        <v>120</v>
      </c>
      <c r="G1293" t="s">
        <v>952</v>
      </c>
      <c r="H1293" t="s">
        <v>189</v>
      </c>
      <c r="I1293" t="s">
        <v>6478</v>
      </c>
      <c r="J1293" t="s">
        <v>7</v>
      </c>
      <c r="K1293" s="63">
        <v>25946</v>
      </c>
      <c r="L1293" s="28">
        <f>DATEDIF(K1293,Zwift25!G$1,"Y")</f>
        <v>53</v>
      </c>
      <c r="M1293" s="67">
        <f>IF(J1293="m",VLOOKUP(L1293,'All Solo Adjustments'!A:D,4,FALSE),VLOOKUP(L1293,'All Solo Adjustments'!A:J,10,FALSE))</f>
        <v>1.6666666666666668E-3</v>
      </c>
      <c r="N1293" s="63"/>
      <c r="O1293" s="63"/>
      <c r="P1293" s="63"/>
      <c r="Q1293" s="63"/>
      <c r="R1293" t="s">
        <v>154</v>
      </c>
      <c r="S1293" t="s">
        <v>153</v>
      </c>
      <c r="T1293" t="s">
        <v>292</v>
      </c>
      <c r="U1293" t="s">
        <v>6477</v>
      </c>
      <c r="V1293" t="s">
        <v>669</v>
      </c>
      <c r="Y1293" t="s">
        <v>6476</v>
      </c>
      <c r="Z1293" t="str">
        <f>"07548738324"</f>
        <v>07548738324</v>
      </c>
      <c r="AA1293" t="str">
        <f>""</f>
        <v/>
      </c>
      <c r="AB1293" t="s">
        <v>1951</v>
      </c>
      <c r="AC1293" t="s">
        <v>6475</v>
      </c>
      <c r="AD1293" t="s">
        <v>114</v>
      </c>
      <c r="AE1293" s="63">
        <v>45523</v>
      </c>
      <c r="AF1293" t="s">
        <v>156</v>
      </c>
      <c r="AG1293" t="s">
        <v>112</v>
      </c>
      <c r="AH1293" t="s">
        <v>112</v>
      </c>
      <c r="AI1293" s="63">
        <v>45523</v>
      </c>
      <c r="AJ1293" s="63">
        <v>45657</v>
      </c>
      <c r="AK1293" t="s">
        <v>112</v>
      </c>
      <c r="AL1293" t="s">
        <v>111</v>
      </c>
      <c r="AM1293" t="s">
        <v>111</v>
      </c>
      <c r="AN1293">
        <v>26714</v>
      </c>
      <c r="AO1293" t="s">
        <v>110</v>
      </c>
      <c r="AP1293" t="s">
        <v>109</v>
      </c>
    </row>
    <row r="1294" spans="1:42" x14ac:dyDescent="0.25">
      <c r="A1294" s="28" t="str">
        <f>"5793"</f>
        <v>5793</v>
      </c>
      <c r="B1294">
        <v>5793</v>
      </c>
      <c r="C1294" t="s">
        <v>2488</v>
      </c>
      <c r="D1294" t="s">
        <v>121</v>
      </c>
      <c r="E1294" t="s">
        <v>5372</v>
      </c>
      <c r="F1294" t="s">
        <v>149</v>
      </c>
      <c r="G1294" t="s">
        <v>519</v>
      </c>
      <c r="H1294" t="s">
        <v>478</v>
      </c>
      <c r="I1294" t="s">
        <v>1633</v>
      </c>
      <c r="J1294" t="s">
        <v>126</v>
      </c>
      <c r="K1294" s="63">
        <v>21854</v>
      </c>
      <c r="L1294" s="28">
        <f>DATEDIF(K1294,Zwift25!G$1,"Y")</f>
        <v>64</v>
      </c>
      <c r="M1294" s="67">
        <f>IF(J1294="m",VLOOKUP(L1294,'All Solo Adjustments'!A:D,4,FALSE),VLOOKUP(L1294,'All Solo Adjustments'!A:J,10,FALSE))</f>
        <v>8.4490740740740741E-3</v>
      </c>
      <c r="N1294" s="63"/>
      <c r="O1294" s="63"/>
      <c r="P1294" s="63"/>
      <c r="Q1294" s="63"/>
      <c r="R1294" t="s">
        <v>296</v>
      </c>
      <c r="S1294" t="s">
        <v>295</v>
      </c>
      <c r="T1294" t="s">
        <v>292</v>
      </c>
      <c r="U1294" t="s">
        <v>1675</v>
      </c>
      <c r="V1294" t="s">
        <v>6474</v>
      </c>
      <c r="W1294" t="s">
        <v>6473</v>
      </c>
      <c r="X1294" t="s">
        <v>1242</v>
      </c>
      <c r="Y1294" t="s">
        <v>6472</v>
      </c>
      <c r="Z1294" t="str">
        <f>"07890844486"</f>
        <v>07890844486</v>
      </c>
      <c r="AA1294" t="str">
        <f>"01651851662"</f>
        <v>01651851662</v>
      </c>
      <c r="AB1294" t="s">
        <v>822</v>
      </c>
      <c r="AC1294" t="s">
        <v>6471</v>
      </c>
      <c r="AD1294" t="s">
        <v>114</v>
      </c>
      <c r="AE1294" s="63">
        <v>45278</v>
      </c>
      <c r="AF1294" t="s">
        <v>113</v>
      </c>
      <c r="AG1294" t="s">
        <v>112</v>
      </c>
      <c r="AH1294" t="s">
        <v>112</v>
      </c>
      <c r="AI1294" s="63">
        <v>42451</v>
      </c>
      <c r="AJ1294" s="63">
        <v>45657</v>
      </c>
      <c r="AK1294" t="s">
        <v>111</v>
      </c>
      <c r="AL1294" t="s">
        <v>111</v>
      </c>
      <c r="AM1294" t="s">
        <v>111</v>
      </c>
      <c r="AN1294">
        <v>3852</v>
      </c>
      <c r="AO1294" t="s">
        <v>122</v>
      </c>
      <c r="AP1294" t="s">
        <v>122</v>
      </c>
    </row>
    <row r="1295" spans="1:42" x14ac:dyDescent="0.25">
      <c r="A1295" s="28" t="str">
        <f>"1610"</f>
        <v>1610</v>
      </c>
      <c r="B1295">
        <v>1610</v>
      </c>
      <c r="C1295" t="s">
        <v>2488</v>
      </c>
      <c r="D1295" t="s">
        <v>121</v>
      </c>
      <c r="E1295" t="s">
        <v>584</v>
      </c>
      <c r="F1295" t="s">
        <v>120</v>
      </c>
      <c r="G1295" t="s">
        <v>131</v>
      </c>
      <c r="H1295" t="s">
        <v>744</v>
      </c>
      <c r="I1295" t="s">
        <v>572</v>
      </c>
      <c r="J1295" t="s">
        <v>7</v>
      </c>
      <c r="K1295" s="63">
        <v>16990</v>
      </c>
      <c r="L1295" s="28">
        <f>DATEDIF(K1295,Zwift25!G$1,"Y")</f>
        <v>78</v>
      </c>
      <c r="M1295" s="67">
        <f>IF(J1295="m",VLOOKUP(L1295,'All Solo Adjustments'!A:D,4,FALSE),VLOOKUP(L1295,'All Solo Adjustments'!A:J,10,FALSE))</f>
        <v>9.9189814814814817E-3</v>
      </c>
      <c r="N1295" s="63"/>
      <c r="O1295" s="63"/>
      <c r="P1295" s="63"/>
      <c r="Q1295" s="63"/>
      <c r="R1295" t="s">
        <v>143</v>
      </c>
      <c r="S1295" t="s">
        <v>142</v>
      </c>
      <c r="T1295" t="s">
        <v>292</v>
      </c>
      <c r="U1295" t="s">
        <v>6470</v>
      </c>
      <c r="V1295" t="s">
        <v>1473</v>
      </c>
      <c r="W1295" t="s">
        <v>486</v>
      </c>
      <c r="Y1295" t="s">
        <v>6469</v>
      </c>
      <c r="Z1295" t="str">
        <f>"01424 433608"</f>
        <v>01424 433608</v>
      </c>
      <c r="AA1295" t="str">
        <f>"07941 012188"</f>
        <v>07941 012188</v>
      </c>
      <c r="AB1295" t="s">
        <v>1868</v>
      </c>
      <c r="AC1295" t="s">
        <v>6468</v>
      </c>
      <c r="AD1295" t="s">
        <v>114</v>
      </c>
      <c r="AE1295" s="63">
        <v>45256</v>
      </c>
      <c r="AF1295" t="s">
        <v>113</v>
      </c>
      <c r="AG1295" t="s">
        <v>112</v>
      </c>
      <c r="AH1295" t="s">
        <v>112</v>
      </c>
      <c r="AI1295" s="63">
        <v>35431</v>
      </c>
      <c r="AJ1295" s="63">
        <v>45657</v>
      </c>
      <c r="AK1295" t="s">
        <v>111</v>
      </c>
      <c r="AL1295" t="s">
        <v>111</v>
      </c>
      <c r="AM1295" t="s">
        <v>111</v>
      </c>
      <c r="AN1295">
        <v>5490</v>
      </c>
      <c r="AO1295" t="s">
        <v>110</v>
      </c>
      <c r="AP1295" t="s">
        <v>109</v>
      </c>
    </row>
    <row r="1296" spans="1:42" x14ac:dyDescent="0.25">
      <c r="A1296" s="28" t="str">
        <f>"4000"</f>
        <v>4000</v>
      </c>
      <c r="B1296">
        <v>4000</v>
      </c>
      <c r="C1296" t="s">
        <v>2488</v>
      </c>
      <c r="D1296" t="s">
        <v>121</v>
      </c>
      <c r="F1296" t="s">
        <v>120</v>
      </c>
      <c r="G1296" t="s">
        <v>685</v>
      </c>
      <c r="I1296" t="s">
        <v>572</v>
      </c>
      <c r="J1296" t="s">
        <v>7</v>
      </c>
      <c r="K1296" s="63">
        <v>22111</v>
      </c>
      <c r="L1296" s="28">
        <f>DATEDIF(K1296,Zwift25!G$1,"Y")</f>
        <v>64</v>
      </c>
      <c r="M1296" s="67">
        <f>IF(J1296="m",VLOOKUP(L1296,'All Solo Adjustments'!A:D,4,FALSE),VLOOKUP(L1296,'All Solo Adjustments'!A:J,10,FALSE))</f>
        <v>4.31712962962963E-3</v>
      </c>
      <c r="N1296" s="63"/>
      <c r="O1296" s="63"/>
      <c r="P1296" s="63"/>
      <c r="Q1296" s="63"/>
      <c r="R1296" t="s">
        <v>125</v>
      </c>
      <c r="S1296" t="s">
        <v>170</v>
      </c>
      <c r="T1296" t="s">
        <v>292</v>
      </c>
      <c r="U1296" t="s">
        <v>6467</v>
      </c>
      <c r="V1296" t="s">
        <v>6466</v>
      </c>
      <c r="W1296" t="s">
        <v>6466</v>
      </c>
      <c r="X1296" t="s">
        <v>401</v>
      </c>
      <c r="Y1296" t="s">
        <v>6465</v>
      </c>
      <c r="Z1296" t="str">
        <f>"07910540069"</f>
        <v>07910540069</v>
      </c>
      <c r="AA1296" t="str">
        <f>""</f>
        <v/>
      </c>
      <c r="AB1296" t="s">
        <v>682</v>
      </c>
      <c r="AC1296" t="s">
        <v>6464</v>
      </c>
      <c r="AD1296" t="s">
        <v>114</v>
      </c>
      <c r="AE1296" s="63">
        <v>45294</v>
      </c>
      <c r="AF1296" t="s">
        <v>156</v>
      </c>
      <c r="AG1296" t="s">
        <v>112</v>
      </c>
      <c r="AH1296" t="s">
        <v>112</v>
      </c>
      <c r="AI1296" s="63">
        <v>40359</v>
      </c>
      <c r="AJ1296" s="63">
        <v>45657</v>
      </c>
      <c r="AK1296" t="s">
        <v>111</v>
      </c>
      <c r="AL1296" t="s">
        <v>111</v>
      </c>
      <c r="AM1296" t="s">
        <v>111</v>
      </c>
      <c r="AN1296">
        <v>1082</v>
      </c>
      <c r="AO1296" t="s">
        <v>110</v>
      </c>
      <c r="AP1296" t="s">
        <v>109</v>
      </c>
    </row>
    <row r="1297" spans="1:42" x14ac:dyDescent="0.25">
      <c r="A1297" s="28" t="str">
        <f>"1613"</f>
        <v>1613</v>
      </c>
      <c r="B1297">
        <v>1613</v>
      </c>
      <c r="C1297" t="s">
        <v>2488</v>
      </c>
      <c r="D1297" t="s">
        <v>121</v>
      </c>
      <c r="F1297" t="s">
        <v>120</v>
      </c>
      <c r="G1297" t="s">
        <v>941</v>
      </c>
      <c r="H1297" t="s">
        <v>3</v>
      </c>
      <c r="I1297" t="s">
        <v>6454</v>
      </c>
      <c r="J1297" t="s">
        <v>7</v>
      </c>
      <c r="K1297" s="63">
        <v>10953</v>
      </c>
      <c r="L1297" s="28">
        <f>DATEDIF(K1297,Zwift25!G$1,"Y")</f>
        <v>94</v>
      </c>
      <c r="M1297" s="67">
        <f>IF(J1297="m",VLOOKUP(L1297,'All Solo Adjustments'!A:D,4,FALSE),VLOOKUP(L1297,'All Solo Adjustments'!A:J,10,FALSE))</f>
        <v>2.2685185185185187E-2</v>
      </c>
      <c r="N1297" s="63"/>
      <c r="O1297" s="63"/>
      <c r="P1297" s="63"/>
      <c r="Q1297" s="63"/>
      <c r="R1297" t="s">
        <v>296</v>
      </c>
      <c r="S1297" t="s">
        <v>2310</v>
      </c>
      <c r="T1297" t="s">
        <v>292</v>
      </c>
      <c r="U1297" t="s">
        <v>6463</v>
      </c>
      <c r="V1297" t="s">
        <v>6462</v>
      </c>
      <c r="W1297" t="s">
        <v>6461</v>
      </c>
      <c r="Y1297" t="s">
        <v>6460</v>
      </c>
      <c r="Z1297" t="str">
        <f>"01307 462572"</f>
        <v>01307 462572</v>
      </c>
      <c r="AA1297" t="str">
        <f>""</f>
        <v/>
      </c>
      <c r="AB1297" t="s">
        <v>4528</v>
      </c>
      <c r="AC1297" t="s">
        <v>6459</v>
      </c>
      <c r="AD1297" t="s">
        <v>151</v>
      </c>
      <c r="AF1297" t="s">
        <v>113</v>
      </c>
      <c r="AG1297" t="s">
        <v>112</v>
      </c>
      <c r="AH1297" t="s">
        <v>112</v>
      </c>
      <c r="AI1297" s="63">
        <v>30403</v>
      </c>
      <c r="AK1297" t="s">
        <v>111</v>
      </c>
      <c r="AL1297" t="s">
        <v>111</v>
      </c>
      <c r="AM1297" t="s">
        <v>111</v>
      </c>
      <c r="AN1297" t="s">
        <v>105</v>
      </c>
      <c r="AO1297" t="s">
        <v>110</v>
      </c>
      <c r="AP1297" t="s">
        <v>109</v>
      </c>
    </row>
    <row r="1298" spans="1:42" x14ac:dyDescent="0.25">
      <c r="A1298" s="28" t="str">
        <f>"1612"</f>
        <v>1612</v>
      </c>
      <c r="B1298">
        <v>1612</v>
      </c>
      <c r="C1298" t="s">
        <v>2488</v>
      </c>
      <c r="D1298" t="s">
        <v>121</v>
      </c>
      <c r="F1298" t="s">
        <v>120</v>
      </c>
      <c r="G1298" t="s">
        <v>251</v>
      </c>
      <c r="I1298" t="s">
        <v>6454</v>
      </c>
      <c r="J1298" t="s">
        <v>7</v>
      </c>
      <c r="K1298" s="63">
        <v>16703</v>
      </c>
      <c r="L1298" s="28">
        <f>DATEDIF(K1298,Zwift25!G$1,"Y")</f>
        <v>79</v>
      </c>
      <c r="M1298" s="67">
        <f>IF(J1298="m",VLOOKUP(L1298,'All Solo Adjustments'!A:D,4,FALSE),VLOOKUP(L1298,'All Solo Adjustments'!A:J,10,FALSE))</f>
        <v>1.0451388888888889E-2</v>
      </c>
      <c r="N1298" s="63"/>
      <c r="O1298" s="63"/>
      <c r="P1298" s="63"/>
      <c r="Q1298" s="63"/>
      <c r="R1298" t="s">
        <v>296</v>
      </c>
      <c r="S1298" t="s">
        <v>295</v>
      </c>
      <c r="T1298" t="s">
        <v>292</v>
      </c>
      <c r="U1298" t="s">
        <v>6458</v>
      </c>
      <c r="V1298" t="s">
        <v>6457</v>
      </c>
      <c r="Y1298" t="s">
        <v>6456</v>
      </c>
      <c r="Z1298" t="str">
        <f>"07477028868"</f>
        <v>07477028868</v>
      </c>
      <c r="AA1298" t="str">
        <f>""</f>
        <v/>
      </c>
      <c r="AB1298" t="s">
        <v>294</v>
      </c>
      <c r="AC1298" t="s">
        <v>6455</v>
      </c>
      <c r="AD1298" t="s">
        <v>114</v>
      </c>
      <c r="AE1298" s="63">
        <v>45264</v>
      </c>
      <c r="AF1298" t="s">
        <v>113</v>
      </c>
      <c r="AG1298" t="s">
        <v>112</v>
      </c>
      <c r="AH1298" t="s">
        <v>112</v>
      </c>
      <c r="AI1298" s="63">
        <v>31313</v>
      </c>
      <c r="AJ1298" s="63">
        <v>45657</v>
      </c>
      <c r="AK1298" t="s">
        <v>111</v>
      </c>
      <c r="AL1298" t="s">
        <v>111</v>
      </c>
      <c r="AM1298" t="s">
        <v>111</v>
      </c>
      <c r="AN1298" t="s">
        <v>105</v>
      </c>
      <c r="AO1298" t="s">
        <v>110</v>
      </c>
      <c r="AP1298" t="s">
        <v>109</v>
      </c>
    </row>
    <row r="1299" spans="1:42" x14ac:dyDescent="0.25">
      <c r="A1299" s="28" t="str">
        <f>"15849"</f>
        <v>15849</v>
      </c>
      <c r="B1299">
        <v>15849</v>
      </c>
      <c r="C1299" t="s">
        <v>2488</v>
      </c>
      <c r="D1299" t="s">
        <v>121</v>
      </c>
      <c r="F1299" t="s">
        <v>120</v>
      </c>
      <c r="G1299" t="s">
        <v>241</v>
      </c>
      <c r="I1299" t="s">
        <v>6454</v>
      </c>
      <c r="J1299" t="s">
        <v>7</v>
      </c>
      <c r="K1299" s="63">
        <v>22168</v>
      </c>
      <c r="L1299" s="28">
        <f>DATEDIF(K1299,Zwift25!G$1,"Y")</f>
        <v>64</v>
      </c>
      <c r="M1299" s="67">
        <f>IF(J1299="m",VLOOKUP(L1299,'All Solo Adjustments'!A:D,4,FALSE),VLOOKUP(L1299,'All Solo Adjustments'!A:J,10,FALSE))</f>
        <v>4.31712962962963E-3</v>
      </c>
      <c r="N1299" s="63"/>
      <c r="O1299" s="63"/>
      <c r="P1299" s="63"/>
      <c r="Q1299" s="63"/>
      <c r="R1299" t="s">
        <v>137</v>
      </c>
      <c r="S1299" t="s">
        <v>136</v>
      </c>
      <c r="T1299" t="s">
        <v>292</v>
      </c>
      <c r="U1299" t="s">
        <v>6453</v>
      </c>
      <c r="W1299" t="s">
        <v>1877</v>
      </c>
      <c r="X1299" t="s">
        <v>564</v>
      </c>
      <c r="Y1299" t="s">
        <v>6452</v>
      </c>
      <c r="Z1299" t="str">
        <f>"07896254523"</f>
        <v>07896254523</v>
      </c>
      <c r="AA1299" t="str">
        <f>""</f>
        <v/>
      </c>
      <c r="AB1299" t="s">
        <v>6451</v>
      </c>
      <c r="AC1299" t="s">
        <v>6450</v>
      </c>
      <c r="AD1299" t="s">
        <v>114</v>
      </c>
      <c r="AE1299" s="63">
        <v>45349</v>
      </c>
      <c r="AF1299" t="s">
        <v>156</v>
      </c>
      <c r="AG1299" t="s">
        <v>112</v>
      </c>
      <c r="AH1299" t="s">
        <v>112</v>
      </c>
      <c r="AI1299" s="63">
        <v>45091</v>
      </c>
      <c r="AJ1299" s="63">
        <v>45657</v>
      </c>
      <c r="AK1299" t="s">
        <v>112</v>
      </c>
      <c r="AL1299" t="s">
        <v>111</v>
      </c>
      <c r="AM1299" t="s">
        <v>111</v>
      </c>
      <c r="AN1299">
        <v>43263</v>
      </c>
      <c r="AO1299" t="s">
        <v>110</v>
      </c>
      <c r="AP1299" t="s">
        <v>109</v>
      </c>
    </row>
    <row r="1300" spans="1:42" x14ac:dyDescent="0.25">
      <c r="A1300" s="28" t="str">
        <f>"1614"</f>
        <v>1614</v>
      </c>
      <c r="B1300">
        <v>1614</v>
      </c>
      <c r="C1300" t="s">
        <v>2488</v>
      </c>
      <c r="D1300" t="s">
        <v>121</v>
      </c>
      <c r="F1300" t="s">
        <v>120</v>
      </c>
      <c r="G1300" t="s">
        <v>3551</v>
      </c>
      <c r="H1300" t="s">
        <v>6449</v>
      </c>
      <c r="I1300" t="s">
        <v>6448</v>
      </c>
      <c r="J1300" t="s">
        <v>7</v>
      </c>
      <c r="K1300" s="63">
        <v>16309</v>
      </c>
      <c r="L1300" s="28">
        <f>DATEDIF(K1300,Zwift25!G$1,"Y")</f>
        <v>80</v>
      </c>
      <c r="M1300" s="67">
        <f>IF(J1300="m",VLOOKUP(L1300,'All Solo Adjustments'!A:D,4,FALSE),VLOOKUP(L1300,'All Solo Adjustments'!A:J,10,FALSE))</f>
        <v>1.1018518518518518E-2</v>
      </c>
      <c r="N1300" s="63"/>
      <c r="O1300" s="63"/>
      <c r="P1300" s="63"/>
      <c r="Q1300" s="63"/>
      <c r="R1300" t="s">
        <v>137</v>
      </c>
      <c r="S1300" t="s">
        <v>2404</v>
      </c>
      <c r="T1300" t="s">
        <v>292</v>
      </c>
      <c r="U1300" t="s">
        <v>6447</v>
      </c>
      <c r="V1300" t="s">
        <v>317</v>
      </c>
      <c r="W1300" t="s">
        <v>141</v>
      </c>
      <c r="Y1300" t="s">
        <v>6446</v>
      </c>
      <c r="Z1300" t="str">
        <f>"01483 836760"</f>
        <v>01483 836760</v>
      </c>
      <c r="AA1300" t="str">
        <f>""</f>
        <v/>
      </c>
      <c r="AB1300" t="s">
        <v>263</v>
      </c>
      <c r="AC1300" t="s">
        <v>6445</v>
      </c>
      <c r="AD1300" t="s">
        <v>145</v>
      </c>
      <c r="AF1300" t="s">
        <v>113</v>
      </c>
      <c r="AG1300" t="s">
        <v>112</v>
      </c>
      <c r="AH1300" t="s">
        <v>112</v>
      </c>
      <c r="AI1300" s="63">
        <v>31079</v>
      </c>
      <c r="AK1300" t="s">
        <v>111</v>
      </c>
      <c r="AL1300" t="s">
        <v>111</v>
      </c>
      <c r="AM1300" t="s">
        <v>111</v>
      </c>
      <c r="AN1300">
        <v>13777</v>
      </c>
      <c r="AO1300" t="s">
        <v>110</v>
      </c>
      <c r="AP1300" t="s">
        <v>109</v>
      </c>
    </row>
    <row r="1301" spans="1:42" x14ac:dyDescent="0.25">
      <c r="A1301" s="28" t="str">
        <f>"14084"</f>
        <v>14084</v>
      </c>
      <c r="B1301">
        <v>14084</v>
      </c>
      <c r="C1301" t="s">
        <v>2488</v>
      </c>
      <c r="D1301" t="s">
        <v>121</v>
      </c>
      <c r="F1301" t="s">
        <v>120</v>
      </c>
      <c r="G1301" t="s">
        <v>805</v>
      </c>
      <c r="I1301" t="s">
        <v>571</v>
      </c>
      <c r="J1301" t="s">
        <v>7</v>
      </c>
      <c r="K1301" s="63">
        <v>15828</v>
      </c>
      <c r="L1301" s="28">
        <f>DATEDIF(K1301,Zwift25!G$1,"Y")</f>
        <v>81</v>
      </c>
      <c r="M1301" s="67">
        <f>IF(J1301="m",VLOOKUP(L1301,'All Solo Adjustments'!A:D,4,FALSE),VLOOKUP(L1301,'All Solo Adjustments'!A:J,10,FALSE))</f>
        <v>1.1597222222222222E-2</v>
      </c>
      <c r="N1301" s="63"/>
      <c r="O1301" s="63"/>
      <c r="P1301" s="63"/>
      <c r="Q1301" s="63"/>
      <c r="R1301" t="s">
        <v>137</v>
      </c>
      <c r="S1301" t="s">
        <v>136</v>
      </c>
      <c r="T1301" t="s">
        <v>292</v>
      </c>
      <c r="U1301" t="s">
        <v>6444</v>
      </c>
      <c r="V1301" t="s">
        <v>6443</v>
      </c>
      <c r="W1301" t="s">
        <v>6442</v>
      </c>
      <c r="X1301" t="s">
        <v>1027</v>
      </c>
      <c r="Y1301" t="s">
        <v>6441</v>
      </c>
      <c r="Z1301" t="str">
        <f>"01534 749374"</f>
        <v>01534 749374</v>
      </c>
      <c r="AA1301" t="str">
        <f>""</f>
        <v/>
      </c>
      <c r="AB1301" t="s">
        <v>6440</v>
      </c>
      <c r="AC1301" t="s">
        <v>6439</v>
      </c>
      <c r="AD1301" t="s">
        <v>145</v>
      </c>
      <c r="AE1301" s="63">
        <v>45350</v>
      </c>
      <c r="AF1301" t="s">
        <v>113</v>
      </c>
      <c r="AG1301" t="s">
        <v>112</v>
      </c>
      <c r="AH1301" t="s">
        <v>112</v>
      </c>
      <c r="AI1301" s="63">
        <v>43524</v>
      </c>
      <c r="AJ1301" s="63">
        <v>45657</v>
      </c>
      <c r="AK1301" t="s">
        <v>112</v>
      </c>
      <c r="AL1301" t="s">
        <v>112</v>
      </c>
      <c r="AM1301" t="s">
        <v>112</v>
      </c>
      <c r="AN1301" t="s">
        <v>105</v>
      </c>
      <c r="AO1301" t="s">
        <v>110</v>
      </c>
      <c r="AP1301" t="s">
        <v>109</v>
      </c>
    </row>
    <row r="1302" spans="1:42" x14ac:dyDescent="0.25">
      <c r="A1302" s="28" t="str">
        <f>"15517"</f>
        <v>15517</v>
      </c>
      <c r="B1302">
        <v>15517</v>
      </c>
      <c r="C1302" t="s">
        <v>2488</v>
      </c>
      <c r="D1302" t="s">
        <v>121</v>
      </c>
      <c r="F1302" t="s">
        <v>120</v>
      </c>
      <c r="G1302" t="s">
        <v>952</v>
      </c>
      <c r="H1302" t="s">
        <v>284</v>
      </c>
      <c r="I1302" t="s">
        <v>571</v>
      </c>
      <c r="J1302" t="s">
        <v>7</v>
      </c>
      <c r="K1302" s="63">
        <v>28620</v>
      </c>
      <c r="L1302" s="28">
        <f>DATEDIF(K1302,Zwift25!G$1,"Y")</f>
        <v>46</v>
      </c>
      <c r="M1302" s="67">
        <f>IF(J1302="m",VLOOKUP(L1302,'All Solo Adjustments'!A:D,4,FALSE),VLOOKUP(L1302,'All Solo Adjustments'!A:J,10,FALSE))</f>
        <v>5.6712962962962956E-4</v>
      </c>
      <c r="N1302" s="63"/>
      <c r="O1302" s="63"/>
      <c r="P1302" s="63"/>
      <c r="Q1302" s="63"/>
      <c r="R1302" t="s">
        <v>239</v>
      </c>
      <c r="S1302" t="s">
        <v>274</v>
      </c>
      <c r="T1302" t="s">
        <v>292</v>
      </c>
      <c r="U1302" t="s">
        <v>6438</v>
      </c>
      <c r="V1302" t="s">
        <v>6437</v>
      </c>
      <c r="W1302" t="s">
        <v>6436</v>
      </c>
      <c r="Y1302" t="s">
        <v>6435</v>
      </c>
      <c r="Z1302" t="str">
        <f>"07771812870"</f>
        <v>07771812870</v>
      </c>
      <c r="AA1302" t="str">
        <f>"07771812870"</f>
        <v>07771812870</v>
      </c>
      <c r="AB1302" t="s">
        <v>2536</v>
      </c>
      <c r="AC1302" t="s">
        <v>6434</v>
      </c>
      <c r="AD1302" t="s">
        <v>114</v>
      </c>
      <c r="AE1302" s="63">
        <v>45363</v>
      </c>
      <c r="AF1302" t="s">
        <v>156</v>
      </c>
      <c r="AG1302" t="s">
        <v>112</v>
      </c>
      <c r="AH1302" t="s">
        <v>112</v>
      </c>
      <c r="AI1302" s="63">
        <v>44719</v>
      </c>
      <c r="AJ1302" s="63">
        <v>45657</v>
      </c>
      <c r="AK1302" t="s">
        <v>112</v>
      </c>
      <c r="AL1302" t="s">
        <v>111</v>
      </c>
      <c r="AM1302" t="s">
        <v>111</v>
      </c>
      <c r="AN1302">
        <v>15991</v>
      </c>
      <c r="AO1302" t="s">
        <v>110</v>
      </c>
      <c r="AP1302" t="s">
        <v>109</v>
      </c>
    </row>
    <row r="1303" spans="1:42" x14ac:dyDescent="0.25">
      <c r="A1303" s="28" t="str">
        <f>"1623"</f>
        <v>1623</v>
      </c>
      <c r="B1303">
        <v>1623</v>
      </c>
      <c r="C1303" t="s">
        <v>2488</v>
      </c>
      <c r="D1303" t="s">
        <v>121</v>
      </c>
      <c r="F1303" t="s">
        <v>120</v>
      </c>
      <c r="G1303" t="s">
        <v>6433</v>
      </c>
      <c r="H1303" t="s">
        <v>941</v>
      </c>
      <c r="I1303" t="s">
        <v>6432</v>
      </c>
      <c r="J1303" t="s">
        <v>7</v>
      </c>
      <c r="K1303" s="63">
        <v>14518</v>
      </c>
      <c r="L1303" s="28">
        <f>DATEDIF(K1303,Zwift25!G$1,"Y")</f>
        <v>85</v>
      </c>
      <c r="M1303" s="67">
        <f>IF(J1303="m",VLOOKUP(L1303,'All Solo Adjustments'!A:D,4,FALSE),VLOOKUP(L1303,'All Solo Adjustments'!A:J,10,FALSE))</f>
        <v>1.4236111111111111E-2</v>
      </c>
      <c r="N1303" s="63"/>
      <c r="O1303" s="63"/>
      <c r="P1303" s="63"/>
      <c r="Q1303" s="63"/>
      <c r="R1303" t="s">
        <v>198</v>
      </c>
      <c r="S1303" t="s">
        <v>476</v>
      </c>
      <c r="T1303" t="s">
        <v>292</v>
      </c>
      <c r="U1303" t="s">
        <v>6431</v>
      </c>
      <c r="V1303" t="s">
        <v>6430</v>
      </c>
      <c r="W1303" t="s">
        <v>460</v>
      </c>
      <c r="X1303" t="s">
        <v>196</v>
      </c>
      <c r="Y1303" t="s">
        <v>6429</v>
      </c>
      <c r="Z1303" t="str">
        <f>"01663 763357"</f>
        <v>01663 763357</v>
      </c>
      <c r="AA1303" t="str">
        <f>""</f>
        <v/>
      </c>
      <c r="AB1303" t="s">
        <v>1167</v>
      </c>
      <c r="AC1303" t="s">
        <v>6428</v>
      </c>
      <c r="AD1303" t="s">
        <v>145</v>
      </c>
      <c r="AF1303" t="s">
        <v>113</v>
      </c>
      <c r="AG1303" t="s">
        <v>112</v>
      </c>
      <c r="AH1303" t="s">
        <v>112</v>
      </c>
      <c r="AI1303" s="63">
        <v>29251</v>
      </c>
      <c r="AK1303" t="s">
        <v>111</v>
      </c>
      <c r="AL1303" t="s">
        <v>111</v>
      </c>
      <c r="AM1303" t="s">
        <v>111</v>
      </c>
      <c r="AN1303">
        <v>3376</v>
      </c>
      <c r="AO1303" t="s">
        <v>110</v>
      </c>
      <c r="AP1303" t="s">
        <v>109</v>
      </c>
    </row>
    <row r="1304" spans="1:42" x14ac:dyDescent="0.25">
      <c r="A1304" s="28" t="str">
        <f>"15040"</f>
        <v>15040</v>
      </c>
      <c r="B1304">
        <v>15040</v>
      </c>
      <c r="C1304" t="s">
        <v>2488</v>
      </c>
      <c r="D1304" t="s">
        <v>121</v>
      </c>
      <c r="F1304" t="s">
        <v>120</v>
      </c>
      <c r="G1304" t="s">
        <v>6427</v>
      </c>
      <c r="I1304" t="s">
        <v>6426</v>
      </c>
      <c r="J1304" t="s">
        <v>7</v>
      </c>
      <c r="K1304" s="63">
        <v>28468</v>
      </c>
      <c r="L1304" s="28">
        <f>DATEDIF(K1304,Zwift25!G$1,"Y")</f>
        <v>46</v>
      </c>
      <c r="M1304" s="67">
        <f>IF(J1304="m",VLOOKUP(L1304,'All Solo Adjustments'!A:D,4,FALSE),VLOOKUP(L1304,'All Solo Adjustments'!A:J,10,FALSE))</f>
        <v>5.6712962962962956E-4</v>
      </c>
      <c r="N1304" s="63"/>
      <c r="O1304" s="63"/>
      <c r="P1304" s="63"/>
      <c r="Q1304" s="63"/>
      <c r="R1304" t="s">
        <v>180</v>
      </c>
      <c r="S1304" t="s">
        <v>179</v>
      </c>
      <c r="T1304" t="s">
        <v>292</v>
      </c>
      <c r="U1304" t="s">
        <v>6425</v>
      </c>
      <c r="V1304" t="s">
        <v>6424</v>
      </c>
      <c r="W1304" t="s">
        <v>259</v>
      </c>
      <c r="Y1304" t="s">
        <v>1774</v>
      </c>
      <c r="Z1304" t="str">
        <f>"07977573244"</f>
        <v>07977573244</v>
      </c>
      <c r="AA1304" t="str">
        <f>""</f>
        <v/>
      </c>
      <c r="AB1304" t="s">
        <v>3017</v>
      </c>
      <c r="AC1304" t="s">
        <v>6423</v>
      </c>
      <c r="AD1304" t="s">
        <v>114</v>
      </c>
      <c r="AE1304" s="63">
        <v>45292</v>
      </c>
      <c r="AF1304" t="s">
        <v>156</v>
      </c>
      <c r="AG1304" t="s">
        <v>112</v>
      </c>
      <c r="AH1304" t="s">
        <v>112</v>
      </c>
      <c r="AI1304" s="63">
        <v>44316</v>
      </c>
      <c r="AJ1304" s="63">
        <v>45657</v>
      </c>
      <c r="AK1304" t="s">
        <v>112</v>
      </c>
      <c r="AL1304" t="s">
        <v>111</v>
      </c>
      <c r="AM1304" t="s">
        <v>111</v>
      </c>
      <c r="AN1304">
        <v>37319</v>
      </c>
      <c r="AO1304" t="s">
        <v>110</v>
      </c>
      <c r="AP1304" t="s">
        <v>109</v>
      </c>
    </row>
    <row r="1305" spans="1:42" x14ac:dyDescent="0.25">
      <c r="A1305" s="28" t="str">
        <f>"1626"</f>
        <v>1626</v>
      </c>
      <c r="B1305">
        <v>1626</v>
      </c>
      <c r="C1305" t="s">
        <v>2488</v>
      </c>
      <c r="D1305" t="s">
        <v>121</v>
      </c>
      <c r="F1305" t="s">
        <v>120</v>
      </c>
      <c r="G1305" t="s">
        <v>2341</v>
      </c>
      <c r="I1305" t="s">
        <v>1630</v>
      </c>
      <c r="J1305" t="s">
        <v>7</v>
      </c>
      <c r="K1305" s="63">
        <v>15900</v>
      </c>
      <c r="L1305" s="28">
        <f>DATEDIF(K1305,Zwift25!G$1,"Y")</f>
        <v>81</v>
      </c>
      <c r="M1305" s="67">
        <f>IF(J1305="m",VLOOKUP(L1305,'All Solo Adjustments'!A:D,4,FALSE),VLOOKUP(L1305,'All Solo Adjustments'!A:J,10,FALSE))</f>
        <v>1.1597222222222222E-2</v>
      </c>
      <c r="N1305" s="63"/>
      <c r="O1305" s="63"/>
      <c r="P1305" s="63"/>
      <c r="Q1305" s="63"/>
      <c r="R1305" t="s">
        <v>239</v>
      </c>
      <c r="S1305" t="s">
        <v>2338</v>
      </c>
      <c r="T1305" t="s">
        <v>292</v>
      </c>
      <c r="U1305" t="s">
        <v>6422</v>
      </c>
      <c r="V1305" t="s">
        <v>6421</v>
      </c>
      <c r="W1305" t="s">
        <v>127</v>
      </c>
      <c r="Y1305" t="s">
        <v>6420</v>
      </c>
      <c r="Z1305" t="str">
        <f>"01904 769409"</f>
        <v>01904 769409</v>
      </c>
      <c r="AA1305" t="str">
        <f>""</f>
        <v/>
      </c>
      <c r="AB1305" t="s">
        <v>868</v>
      </c>
      <c r="AD1305" t="s">
        <v>151</v>
      </c>
      <c r="AF1305" t="s">
        <v>113</v>
      </c>
      <c r="AG1305" t="s">
        <v>112</v>
      </c>
      <c r="AH1305" t="s">
        <v>112</v>
      </c>
      <c r="AI1305" s="63">
        <v>32307</v>
      </c>
      <c r="AK1305" t="s">
        <v>111</v>
      </c>
      <c r="AL1305" t="s">
        <v>111</v>
      </c>
      <c r="AM1305" t="s">
        <v>111</v>
      </c>
      <c r="AN1305" t="s">
        <v>105</v>
      </c>
      <c r="AO1305" t="s">
        <v>110</v>
      </c>
      <c r="AP1305" t="s">
        <v>109</v>
      </c>
    </row>
    <row r="1306" spans="1:42" x14ac:dyDescent="0.25">
      <c r="A1306" s="28" t="str">
        <f>"15979"</f>
        <v>15979</v>
      </c>
      <c r="B1306">
        <v>15979</v>
      </c>
      <c r="C1306" t="s">
        <v>2488</v>
      </c>
      <c r="D1306" t="s">
        <v>121</v>
      </c>
      <c r="E1306" t="s">
        <v>584</v>
      </c>
      <c r="F1306" t="s">
        <v>120</v>
      </c>
      <c r="G1306" t="s">
        <v>995</v>
      </c>
      <c r="I1306" t="s">
        <v>6419</v>
      </c>
      <c r="J1306" t="s">
        <v>7</v>
      </c>
      <c r="K1306" s="63">
        <v>21642</v>
      </c>
      <c r="L1306" s="28">
        <f>DATEDIF(K1306,Zwift25!G$1,"Y")</f>
        <v>65</v>
      </c>
      <c r="M1306" s="67">
        <f>IF(J1306="m",VLOOKUP(L1306,'All Solo Adjustments'!A:D,4,FALSE),VLOOKUP(L1306,'All Solo Adjustments'!A:J,10,FALSE))</f>
        <v>4.6180555555555558E-3</v>
      </c>
      <c r="N1306" s="63"/>
      <c r="O1306" s="63"/>
      <c r="P1306" s="63"/>
      <c r="Q1306" s="63"/>
      <c r="R1306" t="s">
        <v>125</v>
      </c>
      <c r="S1306" t="s">
        <v>170</v>
      </c>
      <c r="T1306" t="s">
        <v>292</v>
      </c>
      <c r="U1306" t="s">
        <v>6418</v>
      </c>
      <c r="V1306" t="s">
        <v>6417</v>
      </c>
      <c r="W1306" t="s">
        <v>1767</v>
      </c>
      <c r="X1306" t="s">
        <v>1791</v>
      </c>
      <c r="Y1306" t="s">
        <v>6416</v>
      </c>
      <c r="Z1306" t="str">
        <f>"07921805210"</f>
        <v>07921805210</v>
      </c>
      <c r="AA1306" t="str">
        <f>""</f>
        <v/>
      </c>
      <c r="AB1306" t="s">
        <v>505</v>
      </c>
      <c r="AC1306" t="s">
        <v>6415</v>
      </c>
      <c r="AD1306" t="s">
        <v>114</v>
      </c>
      <c r="AE1306" s="63">
        <v>45313</v>
      </c>
      <c r="AF1306" t="s">
        <v>156</v>
      </c>
      <c r="AG1306" t="s">
        <v>112</v>
      </c>
      <c r="AH1306" t="s">
        <v>112</v>
      </c>
      <c r="AI1306" s="63">
        <v>45313</v>
      </c>
      <c r="AJ1306" s="63">
        <v>45657</v>
      </c>
      <c r="AK1306" t="s">
        <v>112</v>
      </c>
      <c r="AL1306" t="s">
        <v>111</v>
      </c>
      <c r="AM1306" t="s">
        <v>111</v>
      </c>
      <c r="AN1306">
        <v>5074</v>
      </c>
      <c r="AO1306" t="s">
        <v>110</v>
      </c>
      <c r="AP1306" t="s">
        <v>109</v>
      </c>
    </row>
    <row r="1307" spans="1:42" x14ac:dyDescent="0.25">
      <c r="A1307" s="28" t="str">
        <f>"14682"</f>
        <v>14682</v>
      </c>
      <c r="B1307">
        <v>14682</v>
      </c>
      <c r="C1307" t="s">
        <v>2488</v>
      </c>
      <c r="D1307" t="s">
        <v>121</v>
      </c>
      <c r="E1307" t="s">
        <v>584</v>
      </c>
      <c r="F1307" t="s">
        <v>120</v>
      </c>
      <c r="G1307" t="s">
        <v>155</v>
      </c>
      <c r="I1307" t="s">
        <v>6414</v>
      </c>
      <c r="J1307" t="s">
        <v>7</v>
      </c>
      <c r="K1307" s="63">
        <v>26538</v>
      </c>
      <c r="L1307" s="28">
        <f>DATEDIF(K1307,Zwift25!G$1,"Y")</f>
        <v>52</v>
      </c>
      <c r="M1307" s="67">
        <f>IF(J1307="m",VLOOKUP(L1307,'All Solo Adjustments'!A:D,4,FALSE),VLOOKUP(L1307,'All Solo Adjustments'!A:J,10,FALSE))</f>
        <v>1.4814814814814816E-3</v>
      </c>
      <c r="N1307" s="63"/>
      <c r="O1307" s="63"/>
      <c r="P1307" s="63"/>
      <c r="Q1307" s="63"/>
      <c r="R1307" t="s">
        <v>213</v>
      </c>
      <c r="S1307" t="s">
        <v>212</v>
      </c>
      <c r="T1307" t="s">
        <v>292</v>
      </c>
      <c r="U1307" t="s">
        <v>6413</v>
      </c>
      <c r="V1307" t="s">
        <v>6412</v>
      </c>
      <c r="W1307" t="s">
        <v>1871</v>
      </c>
      <c r="X1307" t="s">
        <v>6411</v>
      </c>
      <c r="Y1307" t="s">
        <v>6410</v>
      </c>
      <c r="Z1307" t="str">
        <f>"07970969031"</f>
        <v>07970969031</v>
      </c>
      <c r="AA1307" t="str">
        <f>""</f>
        <v/>
      </c>
      <c r="AB1307" t="s">
        <v>1541</v>
      </c>
      <c r="AC1307" t="s">
        <v>6409</v>
      </c>
      <c r="AD1307" t="s">
        <v>114</v>
      </c>
      <c r="AE1307" s="63">
        <v>45315</v>
      </c>
      <c r="AF1307" t="s">
        <v>113</v>
      </c>
      <c r="AG1307" t="s">
        <v>112</v>
      </c>
      <c r="AH1307" t="s">
        <v>112</v>
      </c>
      <c r="AI1307" s="63">
        <v>44066</v>
      </c>
      <c r="AJ1307" s="63">
        <v>45657</v>
      </c>
      <c r="AK1307" t="s">
        <v>112</v>
      </c>
      <c r="AL1307" t="s">
        <v>111</v>
      </c>
      <c r="AM1307" t="s">
        <v>111</v>
      </c>
      <c r="AN1307">
        <v>30846</v>
      </c>
      <c r="AO1307" t="s">
        <v>110</v>
      </c>
      <c r="AP1307" t="s">
        <v>109</v>
      </c>
    </row>
    <row r="1308" spans="1:42" x14ac:dyDescent="0.25">
      <c r="A1308" s="28" t="str">
        <f>"1627"</f>
        <v>1627</v>
      </c>
      <c r="B1308">
        <v>1627</v>
      </c>
      <c r="C1308" t="s">
        <v>2488</v>
      </c>
      <c r="D1308" t="s">
        <v>121</v>
      </c>
      <c r="F1308" t="s">
        <v>120</v>
      </c>
      <c r="G1308" t="s">
        <v>284</v>
      </c>
      <c r="I1308" t="s">
        <v>6408</v>
      </c>
      <c r="J1308" t="s">
        <v>7</v>
      </c>
      <c r="K1308" s="63">
        <v>12948</v>
      </c>
      <c r="L1308" s="28">
        <f>DATEDIF(K1308,Zwift25!G$1,"Y")</f>
        <v>89</v>
      </c>
      <c r="M1308" s="67">
        <f>IF(J1308="m",VLOOKUP(L1308,'All Solo Adjustments'!A:D,4,FALSE),VLOOKUP(L1308,'All Solo Adjustments'!A:J,10,FALSE))</f>
        <v>1.7465277777777777E-2</v>
      </c>
      <c r="N1308" s="63"/>
      <c r="O1308" s="63"/>
      <c r="P1308" s="63"/>
      <c r="Q1308" s="63"/>
      <c r="R1308" t="s">
        <v>296</v>
      </c>
      <c r="S1308" t="s">
        <v>2310</v>
      </c>
      <c r="T1308" t="s">
        <v>292</v>
      </c>
      <c r="U1308" t="s">
        <v>6407</v>
      </c>
      <c r="V1308" t="s">
        <v>4408</v>
      </c>
      <c r="W1308" t="s">
        <v>2064</v>
      </c>
      <c r="Y1308" t="s">
        <v>6406</v>
      </c>
      <c r="Z1308" t="str">
        <f>"01324 485771"</f>
        <v>01324 485771</v>
      </c>
      <c r="AA1308" t="str">
        <f>""</f>
        <v/>
      </c>
      <c r="AB1308" t="s">
        <v>1158</v>
      </c>
      <c r="AD1308" t="s">
        <v>151</v>
      </c>
      <c r="AF1308" t="s">
        <v>113</v>
      </c>
      <c r="AG1308" t="s">
        <v>112</v>
      </c>
      <c r="AH1308" t="s">
        <v>112</v>
      </c>
      <c r="AI1308" s="63">
        <v>28128</v>
      </c>
      <c r="AK1308" t="s">
        <v>111</v>
      </c>
      <c r="AL1308" t="s">
        <v>111</v>
      </c>
      <c r="AM1308" t="s">
        <v>111</v>
      </c>
      <c r="AN1308" t="s">
        <v>105</v>
      </c>
      <c r="AO1308" t="s">
        <v>110</v>
      </c>
      <c r="AP1308" t="s">
        <v>109</v>
      </c>
    </row>
    <row r="1309" spans="1:42" x14ac:dyDescent="0.25">
      <c r="A1309" s="28" t="str">
        <f>"1630"</f>
        <v>1630</v>
      </c>
      <c r="B1309">
        <v>1630</v>
      </c>
      <c r="C1309" t="s">
        <v>2488</v>
      </c>
      <c r="D1309" t="s">
        <v>121</v>
      </c>
      <c r="F1309" t="s">
        <v>120</v>
      </c>
      <c r="G1309" t="s">
        <v>1413</v>
      </c>
      <c r="I1309" t="s">
        <v>6405</v>
      </c>
      <c r="J1309" t="s">
        <v>7</v>
      </c>
      <c r="K1309" s="63">
        <v>10276</v>
      </c>
      <c r="L1309" s="28">
        <f>DATEDIF(K1309,Zwift25!G$1,"Y")</f>
        <v>96</v>
      </c>
      <c r="M1309" s="67">
        <f>IF(J1309="m",VLOOKUP(L1309,'All Solo Adjustments'!A:D,4,FALSE),VLOOKUP(L1309,'All Solo Adjustments'!A:J,10,FALSE))</f>
        <v>2.5300925925925925E-2</v>
      </c>
      <c r="N1309" s="63"/>
      <c r="O1309" s="63"/>
      <c r="P1309" s="63"/>
      <c r="Q1309" s="63"/>
      <c r="R1309" t="s">
        <v>213</v>
      </c>
      <c r="S1309" t="s">
        <v>2309</v>
      </c>
      <c r="T1309" t="s">
        <v>292</v>
      </c>
      <c r="U1309" t="s">
        <v>6404</v>
      </c>
      <c r="V1309" t="s">
        <v>535</v>
      </c>
      <c r="W1309" t="s">
        <v>1787</v>
      </c>
      <c r="Y1309" t="s">
        <v>6403</v>
      </c>
      <c r="Z1309" t="str">
        <f>"01743 236320"</f>
        <v>01743 236320</v>
      </c>
      <c r="AA1309" t="str">
        <f>""</f>
        <v/>
      </c>
      <c r="AB1309" t="s">
        <v>533</v>
      </c>
      <c r="AD1309" t="s">
        <v>151</v>
      </c>
      <c r="AF1309" t="s">
        <v>113</v>
      </c>
      <c r="AG1309" t="s">
        <v>112</v>
      </c>
      <c r="AH1309" t="s">
        <v>112</v>
      </c>
      <c r="AI1309" s="63">
        <v>31159</v>
      </c>
      <c r="AK1309" t="s">
        <v>111</v>
      </c>
      <c r="AL1309" t="s">
        <v>111</v>
      </c>
      <c r="AM1309" t="s">
        <v>111</v>
      </c>
      <c r="AN1309" t="s">
        <v>105</v>
      </c>
      <c r="AO1309" t="s">
        <v>110</v>
      </c>
      <c r="AP1309" t="s">
        <v>109</v>
      </c>
    </row>
    <row r="1310" spans="1:42" x14ac:dyDescent="0.25">
      <c r="A1310" s="28" t="str">
        <f>"15675"</f>
        <v>15675</v>
      </c>
      <c r="B1310">
        <v>15675</v>
      </c>
      <c r="C1310" t="s">
        <v>2488</v>
      </c>
      <c r="D1310" t="s">
        <v>130</v>
      </c>
      <c r="F1310" t="s">
        <v>403</v>
      </c>
      <c r="G1310" t="s">
        <v>231</v>
      </c>
      <c r="I1310" t="s">
        <v>1628</v>
      </c>
      <c r="J1310" t="s">
        <v>7</v>
      </c>
      <c r="K1310" s="63">
        <v>25852</v>
      </c>
      <c r="L1310" s="28">
        <f>DATEDIF(K1310,Zwift25!G$1,"Y")</f>
        <v>54</v>
      </c>
      <c r="M1310" s="67">
        <f>IF(J1310="m",VLOOKUP(L1310,'All Solo Adjustments'!A:D,4,FALSE),VLOOKUP(L1310,'All Solo Adjustments'!A:J,10,FALSE))</f>
        <v>1.8518518518518517E-3</v>
      </c>
      <c r="N1310" s="63"/>
      <c r="O1310" s="63"/>
      <c r="P1310" s="63"/>
      <c r="Q1310" s="63"/>
      <c r="R1310" t="s">
        <v>180</v>
      </c>
      <c r="S1310" t="s">
        <v>1741</v>
      </c>
      <c r="T1310" t="s">
        <v>292</v>
      </c>
      <c r="U1310" t="s">
        <v>6400</v>
      </c>
      <c r="V1310" t="s">
        <v>1471</v>
      </c>
      <c r="W1310" t="s">
        <v>6399</v>
      </c>
      <c r="X1310" t="s">
        <v>259</v>
      </c>
      <c r="Y1310" t="s">
        <v>6398</v>
      </c>
      <c r="Z1310" t="str">
        <f>"07950 455085"</f>
        <v>07950 455085</v>
      </c>
      <c r="AA1310" t="str">
        <f>""</f>
        <v/>
      </c>
      <c r="AB1310" t="s">
        <v>6397</v>
      </c>
      <c r="AC1310" t="s">
        <v>6402</v>
      </c>
      <c r="AD1310" t="s">
        <v>114</v>
      </c>
      <c r="AE1310" s="63">
        <v>45295</v>
      </c>
      <c r="AG1310" t="s">
        <v>112</v>
      </c>
      <c r="AH1310" t="s">
        <v>112</v>
      </c>
      <c r="AI1310" s="63">
        <v>44958</v>
      </c>
      <c r="AJ1310" s="63">
        <v>45657</v>
      </c>
      <c r="AK1310" t="s">
        <v>112</v>
      </c>
      <c r="AL1310" t="s">
        <v>111</v>
      </c>
      <c r="AM1310" t="s">
        <v>111</v>
      </c>
      <c r="AN1310" t="s">
        <v>105</v>
      </c>
      <c r="AO1310" t="s">
        <v>110</v>
      </c>
      <c r="AP1310" t="s">
        <v>109</v>
      </c>
    </row>
    <row r="1311" spans="1:42" x14ac:dyDescent="0.25">
      <c r="A1311" s="28" t="str">
        <f>"15674"</f>
        <v>15674</v>
      </c>
      <c r="B1311">
        <v>15674</v>
      </c>
      <c r="C1311" t="s">
        <v>2488</v>
      </c>
      <c r="D1311" t="s">
        <v>132</v>
      </c>
      <c r="F1311" t="s">
        <v>139</v>
      </c>
      <c r="G1311" t="s">
        <v>1518</v>
      </c>
      <c r="I1311" t="s">
        <v>6401</v>
      </c>
      <c r="J1311" t="s">
        <v>126</v>
      </c>
      <c r="K1311" s="63">
        <v>23354</v>
      </c>
      <c r="L1311" s="28">
        <f>DATEDIF(K1311,Zwift25!G$1,"Y")</f>
        <v>60</v>
      </c>
      <c r="M1311" s="67">
        <f>IF(J1311="m",VLOOKUP(L1311,'All Solo Adjustments'!A:D,4,FALSE),VLOOKUP(L1311,'All Solo Adjustments'!A:J,10,FALSE))</f>
        <v>6.898148148148148E-3</v>
      </c>
      <c r="N1311" s="63"/>
      <c r="O1311" s="63"/>
      <c r="P1311" s="63"/>
      <c r="Q1311" s="63"/>
      <c r="R1311" t="s">
        <v>180</v>
      </c>
      <c r="S1311" t="s">
        <v>1741</v>
      </c>
      <c r="T1311" t="s">
        <v>292</v>
      </c>
      <c r="U1311" t="s">
        <v>6400</v>
      </c>
      <c r="V1311" t="s">
        <v>1471</v>
      </c>
      <c r="W1311" t="s">
        <v>6399</v>
      </c>
      <c r="X1311" t="s">
        <v>259</v>
      </c>
      <c r="Y1311" t="s">
        <v>6398</v>
      </c>
      <c r="Z1311" t="str">
        <f>"07950 455085"</f>
        <v>07950 455085</v>
      </c>
      <c r="AA1311" t="str">
        <f>""</f>
        <v/>
      </c>
      <c r="AB1311" t="s">
        <v>6397</v>
      </c>
      <c r="AC1311" t="s">
        <v>6396</v>
      </c>
      <c r="AD1311" t="s">
        <v>114</v>
      </c>
      <c r="AE1311" s="63">
        <v>45295</v>
      </c>
      <c r="AF1311" t="s">
        <v>113</v>
      </c>
      <c r="AG1311" t="s">
        <v>112</v>
      </c>
      <c r="AH1311" t="s">
        <v>112</v>
      </c>
      <c r="AI1311" s="63">
        <v>44958</v>
      </c>
      <c r="AJ1311" s="63">
        <v>45657</v>
      </c>
      <c r="AK1311" t="s">
        <v>112</v>
      </c>
      <c r="AL1311" t="s">
        <v>111</v>
      </c>
      <c r="AM1311" t="s">
        <v>111</v>
      </c>
      <c r="AN1311">
        <v>22606</v>
      </c>
      <c r="AO1311" t="s">
        <v>122</v>
      </c>
      <c r="AP1311" t="s">
        <v>122</v>
      </c>
    </row>
    <row r="1312" spans="1:42" x14ac:dyDescent="0.25">
      <c r="A1312" s="28" t="str">
        <f>"1639"</f>
        <v>1639</v>
      </c>
      <c r="B1312">
        <v>1639</v>
      </c>
      <c r="C1312" t="s">
        <v>2488</v>
      </c>
      <c r="D1312" t="s">
        <v>121</v>
      </c>
      <c r="E1312" t="s">
        <v>584</v>
      </c>
      <c r="F1312" t="s">
        <v>120</v>
      </c>
      <c r="G1312" t="s">
        <v>643</v>
      </c>
      <c r="I1312" t="s">
        <v>561</v>
      </c>
      <c r="J1312" t="s">
        <v>7</v>
      </c>
      <c r="K1312" s="63">
        <v>14461</v>
      </c>
      <c r="L1312" s="28">
        <f>DATEDIF(K1312,Zwift25!G$1,"Y")</f>
        <v>85</v>
      </c>
      <c r="M1312" s="67">
        <f>IF(J1312="m",VLOOKUP(L1312,'All Solo Adjustments'!A:D,4,FALSE),VLOOKUP(L1312,'All Solo Adjustments'!A:J,10,FALSE))</f>
        <v>1.4236111111111111E-2</v>
      </c>
      <c r="N1312" s="63"/>
      <c r="O1312" s="63"/>
      <c r="P1312" s="63"/>
      <c r="Q1312" s="63"/>
      <c r="R1312" t="s">
        <v>296</v>
      </c>
      <c r="S1312" t="s">
        <v>2310</v>
      </c>
      <c r="T1312" t="s">
        <v>292</v>
      </c>
      <c r="U1312" t="s">
        <v>6395</v>
      </c>
      <c r="V1312" t="s">
        <v>6394</v>
      </c>
      <c r="W1312" t="s">
        <v>1242</v>
      </c>
      <c r="Y1312" t="s">
        <v>6393</v>
      </c>
      <c r="Z1312" t="str">
        <f>"01569 762200"</f>
        <v>01569 762200</v>
      </c>
      <c r="AA1312" t="str">
        <f>""</f>
        <v/>
      </c>
      <c r="AB1312" t="s">
        <v>1241</v>
      </c>
      <c r="AC1312" t="s">
        <v>6392</v>
      </c>
      <c r="AD1312" t="s">
        <v>145</v>
      </c>
      <c r="AF1312" t="s">
        <v>113</v>
      </c>
      <c r="AG1312" t="s">
        <v>112</v>
      </c>
      <c r="AH1312" t="s">
        <v>112</v>
      </c>
      <c r="AI1312" s="63">
        <v>29149</v>
      </c>
      <c r="AK1312" t="s">
        <v>111</v>
      </c>
      <c r="AL1312" t="s">
        <v>111</v>
      </c>
      <c r="AM1312" t="s">
        <v>111</v>
      </c>
      <c r="AN1312">
        <v>18240</v>
      </c>
      <c r="AO1312" t="s">
        <v>110</v>
      </c>
      <c r="AP1312" t="s">
        <v>109</v>
      </c>
    </row>
    <row r="1313" spans="1:42" x14ac:dyDescent="0.25">
      <c r="A1313" s="28" t="str">
        <f>"1634"</f>
        <v>1634</v>
      </c>
      <c r="B1313">
        <v>1634</v>
      </c>
      <c r="C1313" t="s">
        <v>2488</v>
      </c>
      <c r="D1313" t="s">
        <v>121</v>
      </c>
      <c r="F1313" t="s">
        <v>120</v>
      </c>
      <c r="G1313" t="s">
        <v>221</v>
      </c>
      <c r="I1313" t="s">
        <v>561</v>
      </c>
      <c r="J1313" t="s">
        <v>7</v>
      </c>
      <c r="K1313" s="63">
        <v>15898</v>
      </c>
      <c r="L1313" s="28">
        <f>DATEDIF(K1313,Zwift25!G$1,"Y")</f>
        <v>81</v>
      </c>
      <c r="M1313" s="67">
        <f>IF(J1313="m",VLOOKUP(L1313,'All Solo Adjustments'!A:D,4,FALSE),VLOOKUP(L1313,'All Solo Adjustments'!A:J,10,FALSE))</f>
        <v>1.1597222222222222E-2</v>
      </c>
      <c r="N1313" s="63"/>
      <c r="O1313" s="63"/>
      <c r="P1313" s="63"/>
      <c r="Q1313" s="63"/>
      <c r="R1313" t="s">
        <v>184</v>
      </c>
      <c r="S1313" t="s">
        <v>183</v>
      </c>
      <c r="T1313" t="s">
        <v>292</v>
      </c>
      <c r="U1313" t="s">
        <v>6391</v>
      </c>
      <c r="V1313" t="s">
        <v>6390</v>
      </c>
      <c r="W1313" t="s">
        <v>6389</v>
      </c>
      <c r="X1313" t="s">
        <v>167</v>
      </c>
      <c r="Y1313" t="s">
        <v>6388</v>
      </c>
      <c r="Z1313" t="str">
        <f>"071 833 0318"</f>
        <v>071 833 0318</v>
      </c>
      <c r="AA1313" t="str">
        <f>""</f>
        <v/>
      </c>
      <c r="AB1313" t="s">
        <v>290</v>
      </c>
      <c r="AC1313" t="s">
        <v>6387</v>
      </c>
      <c r="AD1313" t="s">
        <v>145</v>
      </c>
      <c r="AE1313" s="63">
        <v>45294</v>
      </c>
      <c r="AF1313" t="s">
        <v>113</v>
      </c>
      <c r="AG1313" t="s">
        <v>112</v>
      </c>
      <c r="AH1313" t="s">
        <v>112</v>
      </c>
      <c r="AI1313" s="63">
        <v>43420</v>
      </c>
      <c r="AJ1313" s="63">
        <v>45657</v>
      </c>
      <c r="AK1313" t="s">
        <v>111</v>
      </c>
      <c r="AL1313" t="s">
        <v>111</v>
      </c>
      <c r="AM1313" t="s">
        <v>111</v>
      </c>
      <c r="AN1313" t="s">
        <v>105</v>
      </c>
      <c r="AO1313" t="s">
        <v>110</v>
      </c>
      <c r="AP1313" t="s">
        <v>109</v>
      </c>
    </row>
    <row r="1314" spans="1:42" x14ac:dyDescent="0.25">
      <c r="A1314" s="28" t="str">
        <f>"13854"</f>
        <v>13854</v>
      </c>
      <c r="B1314">
        <v>13854</v>
      </c>
      <c r="C1314" t="s">
        <v>2488</v>
      </c>
      <c r="D1314" t="s">
        <v>121</v>
      </c>
      <c r="F1314" t="s">
        <v>120</v>
      </c>
      <c r="G1314" t="s">
        <v>251</v>
      </c>
      <c r="I1314" t="s">
        <v>561</v>
      </c>
      <c r="J1314" t="s">
        <v>7</v>
      </c>
      <c r="K1314" s="63">
        <v>15349</v>
      </c>
      <c r="L1314" s="28">
        <f>DATEDIF(K1314,Zwift25!G$1,"Y")</f>
        <v>82</v>
      </c>
      <c r="M1314" s="67">
        <f>IF(J1314="m",VLOOKUP(L1314,'All Solo Adjustments'!A:D,4,FALSE),VLOOKUP(L1314,'All Solo Adjustments'!A:J,10,FALSE))</f>
        <v>1.2210648148148148E-2</v>
      </c>
      <c r="N1314" s="63"/>
      <c r="O1314" s="63"/>
      <c r="P1314" s="63"/>
      <c r="Q1314" s="63"/>
      <c r="R1314" t="s">
        <v>296</v>
      </c>
      <c r="S1314" t="s">
        <v>295</v>
      </c>
      <c r="T1314" t="s">
        <v>292</v>
      </c>
      <c r="U1314" t="s">
        <v>6386</v>
      </c>
      <c r="V1314" t="s">
        <v>2447</v>
      </c>
      <c r="Y1314" t="s">
        <v>6385</v>
      </c>
      <c r="Z1314" t="str">
        <f>"01738620959"</f>
        <v>01738620959</v>
      </c>
      <c r="AA1314" t="str">
        <f>""</f>
        <v/>
      </c>
      <c r="AB1314" t="s">
        <v>6384</v>
      </c>
      <c r="AC1314" t="s">
        <v>6383</v>
      </c>
      <c r="AD1314" t="s">
        <v>145</v>
      </c>
      <c r="AE1314" s="63">
        <v>45306</v>
      </c>
      <c r="AF1314" t="s">
        <v>113</v>
      </c>
      <c r="AG1314" t="s">
        <v>112</v>
      </c>
      <c r="AH1314" t="s">
        <v>112</v>
      </c>
      <c r="AI1314" s="63">
        <v>43394</v>
      </c>
      <c r="AJ1314" s="63">
        <v>45657</v>
      </c>
      <c r="AK1314" t="s">
        <v>112</v>
      </c>
      <c r="AL1314" t="s">
        <v>111</v>
      </c>
      <c r="AM1314" t="s">
        <v>112</v>
      </c>
      <c r="AN1314" t="s">
        <v>105</v>
      </c>
      <c r="AO1314" t="s">
        <v>110</v>
      </c>
      <c r="AP1314" t="s">
        <v>109</v>
      </c>
    </row>
    <row r="1315" spans="1:42" x14ac:dyDescent="0.25">
      <c r="A1315" s="28" t="str">
        <f>"15385"</f>
        <v>15385</v>
      </c>
      <c r="B1315">
        <v>15385</v>
      </c>
      <c r="C1315" t="s">
        <v>2488</v>
      </c>
      <c r="D1315" t="s">
        <v>121</v>
      </c>
      <c r="E1315" t="s">
        <v>584</v>
      </c>
      <c r="F1315" t="s">
        <v>120</v>
      </c>
      <c r="G1315" t="s">
        <v>6382</v>
      </c>
      <c r="I1315" t="s">
        <v>561</v>
      </c>
      <c r="J1315" t="s">
        <v>7</v>
      </c>
      <c r="K1315" s="63">
        <v>29627</v>
      </c>
      <c r="L1315" s="28">
        <f>DATEDIF(K1315,Zwift25!G$1,"Y")</f>
        <v>43</v>
      </c>
      <c r="M1315" s="67">
        <f>IF(J1315="m",VLOOKUP(L1315,'All Solo Adjustments'!A:D,4,FALSE),VLOOKUP(L1315,'All Solo Adjustments'!A:J,10,FALSE))</f>
        <v>2.4305555555555555E-4</v>
      </c>
      <c r="N1315" s="63"/>
      <c r="O1315" s="63"/>
      <c r="P1315" s="63"/>
      <c r="Q1315" s="63"/>
      <c r="R1315" t="s">
        <v>296</v>
      </c>
      <c r="S1315" t="s">
        <v>295</v>
      </c>
      <c r="T1315" t="s">
        <v>292</v>
      </c>
      <c r="U1315" t="s">
        <v>6381</v>
      </c>
      <c r="V1315" t="s">
        <v>6380</v>
      </c>
      <c r="X1315" t="s">
        <v>5398</v>
      </c>
      <c r="Y1315" t="s">
        <v>6379</v>
      </c>
      <c r="Z1315" t="str">
        <f>"07813005435"</f>
        <v>07813005435</v>
      </c>
      <c r="AA1315" t="str">
        <f>""</f>
        <v/>
      </c>
      <c r="AB1315" t="s">
        <v>6378</v>
      </c>
      <c r="AC1315" t="s">
        <v>6377</v>
      </c>
      <c r="AD1315" t="s">
        <v>114</v>
      </c>
      <c r="AE1315" s="63">
        <v>45313</v>
      </c>
      <c r="AF1315" t="s">
        <v>156</v>
      </c>
      <c r="AG1315" t="s">
        <v>112</v>
      </c>
      <c r="AH1315" t="s">
        <v>112</v>
      </c>
      <c r="AI1315" s="63">
        <v>44620</v>
      </c>
      <c r="AJ1315" s="63">
        <v>45657</v>
      </c>
      <c r="AK1315" t="s">
        <v>112</v>
      </c>
      <c r="AL1315" t="s">
        <v>111</v>
      </c>
      <c r="AM1315" t="s">
        <v>111</v>
      </c>
      <c r="AN1315">
        <v>24952</v>
      </c>
      <c r="AO1315" t="s">
        <v>110</v>
      </c>
      <c r="AP1315" t="s">
        <v>109</v>
      </c>
    </row>
    <row r="1316" spans="1:42" x14ac:dyDescent="0.25">
      <c r="A1316" s="28" t="str">
        <f>"15444"</f>
        <v>15444</v>
      </c>
      <c r="B1316">
        <v>15444</v>
      </c>
      <c r="C1316" t="s">
        <v>2488</v>
      </c>
      <c r="D1316" t="s">
        <v>121</v>
      </c>
      <c r="E1316" t="s">
        <v>584</v>
      </c>
      <c r="F1316" t="s">
        <v>120</v>
      </c>
      <c r="G1316" t="s">
        <v>932</v>
      </c>
      <c r="I1316" t="s">
        <v>561</v>
      </c>
      <c r="J1316" t="s">
        <v>7</v>
      </c>
      <c r="K1316" s="63">
        <v>23087</v>
      </c>
      <c r="L1316" s="28">
        <f>DATEDIF(K1316,Zwift25!G$1,"Y")</f>
        <v>61</v>
      </c>
      <c r="M1316" s="67">
        <f>IF(J1316="m",VLOOKUP(L1316,'All Solo Adjustments'!A:D,4,FALSE),VLOOKUP(L1316,'All Solo Adjustments'!A:J,10,FALSE))</f>
        <v>3.4722222222222225E-3</v>
      </c>
      <c r="N1316" s="63"/>
      <c r="O1316" s="63"/>
      <c r="P1316" s="63"/>
      <c r="Q1316" s="63"/>
      <c r="R1316" t="s">
        <v>296</v>
      </c>
      <c r="S1316" t="s">
        <v>295</v>
      </c>
      <c r="T1316" t="s">
        <v>292</v>
      </c>
      <c r="U1316" t="s">
        <v>6376</v>
      </c>
      <c r="V1316" t="s">
        <v>6375</v>
      </c>
      <c r="W1316" t="s">
        <v>6374</v>
      </c>
      <c r="X1316" t="s">
        <v>1794</v>
      </c>
      <c r="Y1316" t="s">
        <v>6373</v>
      </c>
      <c r="Z1316" t="str">
        <f>"07711812634"</f>
        <v>07711812634</v>
      </c>
      <c r="AA1316" t="str">
        <f>""</f>
        <v/>
      </c>
      <c r="AB1316" t="s">
        <v>6372</v>
      </c>
      <c r="AC1316" t="s">
        <v>6371</v>
      </c>
      <c r="AD1316" t="s">
        <v>114</v>
      </c>
      <c r="AE1316" s="63">
        <v>45268</v>
      </c>
      <c r="AF1316" t="s">
        <v>113</v>
      </c>
      <c r="AG1316" t="s">
        <v>112</v>
      </c>
      <c r="AH1316" t="s">
        <v>112</v>
      </c>
      <c r="AI1316" s="63">
        <v>44661</v>
      </c>
      <c r="AJ1316" s="63">
        <v>45657</v>
      </c>
      <c r="AK1316" t="s">
        <v>112</v>
      </c>
      <c r="AL1316" t="s">
        <v>111</v>
      </c>
      <c r="AM1316" t="s">
        <v>111</v>
      </c>
      <c r="AN1316">
        <v>43149</v>
      </c>
      <c r="AO1316" t="s">
        <v>110</v>
      </c>
      <c r="AP1316" t="s">
        <v>109</v>
      </c>
    </row>
    <row r="1317" spans="1:42" x14ac:dyDescent="0.25">
      <c r="A1317" s="28" t="str">
        <f>"15662"</f>
        <v>15662</v>
      </c>
      <c r="B1317">
        <v>15662</v>
      </c>
      <c r="C1317" t="s">
        <v>2488</v>
      </c>
      <c r="D1317" t="s">
        <v>132</v>
      </c>
      <c r="F1317" t="s">
        <v>149</v>
      </c>
      <c r="G1317" t="s">
        <v>455</v>
      </c>
      <c r="H1317" t="s">
        <v>478</v>
      </c>
      <c r="I1317" t="s">
        <v>561</v>
      </c>
      <c r="J1317" t="s">
        <v>126</v>
      </c>
      <c r="K1317" s="63">
        <v>18095</v>
      </c>
      <c r="L1317" s="28">
        <f>DATEDIF(K1317,Zwift25!G$1,"Y")</f>
        <v>75</v>
      </c>
      <c r="M1317" s="67">
        <f>IF(J1317="m",VLOOKUP(L1317,'All Solo Adjustments'!A:D,4,FALSE),VLOOKUP(L1317,'All Solo Adjustments'!A:J,10,FALSE))</f>
        <v>1.3923611111111112E-2</v>
      </c>
      <c r="N1317" s="63"/>
      <c r="O1317" s="63"/>
      <c r="P1317" s="63"/>
      <c r="Q1317" s="63"/>
      <c r="R1317" t="s">
        <v>296</v>
      </c>
      <c r="S1317" t="s">
        <v>701</v>
      </c>
      <c r="T1317" t="s">
        <v>292</v>
      </c>
      <c r="U1317" t="s">
        <v>560</v>
      </c>
      <c r="V1317" t="s">
        <v>559</v>
      </c>
      <c r="W1317" t="s">
        <v>558</v>
      </c>
      <c r="Y1317" t="s">
        <v>557</v>
      </c>
      <c r="Z1317" t="str">
        <f>"07771950681"</f>
        <v>07771950681</v>
      </c>
      <c r="AA1317" t="str">
        <f>""</f>
        <v/>
      </c>
      <c r="AB1317" t="s">
        <v>6370</v>
      </c>
      <c r="AC1317" t="s">
        <v>6369</v>
      </c>
      <c r="AD1317" t="s">
        <v>114</v>
      </c>
      <c r="AE1317" s="63">
        <v>45264</v>
      </c>
      <c r="AF1317" t="s">
        <v>156</v>
      </c>
      <c r="AG1317" t="s">
        <v>112</v>
      </c>
      <c r="AH1317" t="s">
        <v>112</v>
      </c>
      <c r="AI1317" s="63">
        <v>44942</v>
      </c>
      <c r="AJ1317" s="63">
        <v>45657</v>
      </c>
      <c r="AK1317" t="s">
        <v>112</v>
      </c>
      <c r="AL1317" t="s">
        <v>111</v>
      </c>
      <c r="AM1317" t="s">
        <v>111</v>
      </c>
      <c r="AN1317">
        <v>28774</v>
      </c>
      <c r="AO1317" t="s">
        <v>122</v>
      </c>
      <c r="AP1317" t="s">
        <v>122</v>
      </c>
    </row>
    <row r="1318" spans="1:42" x14ac:dyDescent="0.25">
      <c r="A1318" s="28" t="str">
        <f>"15663"</f>
        <v>15663</v>
      </c>
      <c r="B1318">
        <v>15663</v>
      </c>
      <c r="C1318" t="s">
        <v>2488</v>
      </c>
      <c r="D1318" t="s">
        <v>130</v>
      </c>
      <c r="F1318" t="s">
        <v>120</v>
      </c>
      <c r="G1318" t="s">
        <v>563</v>
      </c>
      <c r="H1318" t="s">
        <v>562</v>
      </c>
      <c r="I1318" t="s">
        <v>6368</v>
      </c>
      <c r="J1318" t="s">
        <v>7</v>
      </c>
      <c r="K1318" s="63">
        <v>17565</v>
      </c>
      <c r="L1318" s="28">
        <f>DATEDIF(K1318,Zwift25!G$1,"Y")</f>
        <v>76</v>
      </c>
      <c r="M1318" s="67">
        <f>IF(J1318="m",VLOOKUP(L1318,'All Solo Adjustments'!A:D,4,FALSE),VLOOKUP(L1318,'All Solo Adjustments'!A:J,10,FALSE))</f>
        <v>8.912037037037036E-3</v>
      </c>
      <c r="N1318" s="63"/>
      <c r="O1318" s="63"/>
      <c r="P1318" s="63"/>
      <c r="Q1318" s="63"/>
      <c r="R1318" t="s">
        <v>296</v>
      </c>
      <c r="S1318" t="s">
        <v>701</v>
      </c>
      <c r="T1318" t="s">
        <v>292</v>
      </c>
      <c r="U1318" t="s">
        <v>560</v>
      </c>
      <c r="V1318" t="s">
        <v>559</v>
      </c>
      <c r="W1318" t="s">
        <v>558</v>
      </c>
      <c r="Y1318" t="s">
        <v>557</v>
      </c>
      <c r="Z1318" t="str">
        <f>"07771950681"</f>
        <v>07771950681</v>
      </c>
      <c r="AA1318" t="str">
        <f>""</f>
        <v/>
      </c>
      <c r="AB1318" t="s">
        <v>6367</v>
      </c>
      <c r="AC1318" t="s">
        <v>6366</v>
      </c>
      <c r="AD1318" t="s">
        <v>114</v>
      </c>
      <c r="AE1318" s="63">
        <v>45264</v>
      </c>
      <c r="AG1318" t="s">
        <v>112</v>
      </c>
      <c r="AH1318" t="s">
        <v>112</v>
      </c>
      <c r="AI1318" s="63">
        <v>44942</v>
      </c>
      <c r="AJ1318" s="63">
        <v>45657</v>
      </c>
      <c r="AK1318" t="s">
        <v>112</v>
      </c>
      <c r="AL1318" t="s">
        <v>111</v>
      </c>
      <c r="AM1318" t="s">
        <v>111</v>
      </c>
      <c r="AN1318" t="s">
        <v>105</v>
      </c>
      <c r="AO1318" t="s">
        <v>110</v>
      </c>
      <c r="AP1318" t="s">
        <v>109</v>
      </c>
    </row>
    <row r="1319" spans="1:42" x14ac:dyDescent="0.25">
      <c r="A1319" s="28" t="str">
        <f>"15686"</f>
        <v>15686</v>
      </c>
      <c r="B1319">
        <v>15686</v>
      </c>
      <c r="C1319" t="s">
        <v>2488</v>
      </c>
      <c r="D1319" t="s">
        <v>121</v>
      </c>
      <c r="F1319" t="s">
        <v>120</v>
      </c>
      <c r="G1319" t="s">
        <v>6365</v>
      </c>
      <c r="I1319" t="s">
        <v>1625</v>
      </c>
      <c r="J1319" t="s">
        <v>7</v>
      </c>
      <c r="K1319" s="63">
        <v>30268</v>
      </c>
      <c r="L1319" s="28">
        <f>DATEDIF(K1319,Zwift25!G$1,"Y")</f>
        <v>41</v>
      </c>
      <c r="M1319" s="67">
        <f>IF(J1319="m",VLOOKUP(L1319,'All Solo Adjustments'!A:D,4,FALSE),VLOOKUP(L1319,'All Solo Adjustments'!A:J,10,FALSE))</f>
        <v>6.9444444444444444E-5</v>
      </c>
      <c r="N1319" s="63"/>
      <c r="O1319" s="63"/>
      <c r="P1319" s="63"/>
      <c r="Q1319" s="63"/>
      <c r="R1319" t="s">
        <v>328</v>
      </c>
      <c r="S1319" t="s">
        <v>327</v>
      </c>
      <c r="T1319" t="s">
        <v>292</v>
      </c>
      <c r="U1319" t="s">
        <v>6364</v>
      </c>
      <c r="V1319" t="s">
        <v>6363</v>
      </c>
      <c r="W1319" t="s">
        <v>6362</v>
      </c>
      <c r="Y1319" t="s">
        <v>6361</v>
      </c>
      <c r="Z1319" t="str">
        <f>"07949674917"</f>
        <v>07949674917</v>
      </c>
      <c r="AA1319" t="str">
        <f>""</f>
        <v/>
      </c>
      <c r="AB1319" t="s">
        <v>5599</v>
      </c>
      <c r="AC1319" t="s">
        <v>6360</v>
      </c>
      <c r="AD1319" t="s">
        <v>114</v>
      </c>
      <c r="AE1319" s="63">
        <v>45293</v>
      </c>
      <c r="AF1319" t="s">
        <v>156</v>
      </c>
      <c r="AG1319" t="s">
        <v>112</v>
      </c>
      <c r="AH1319" t="s">
        <v>112</v>
      </c>
      <c r="AI1319" s="63">
        <v>44973</v>
      </c>
      <c r="AJ1319" s="63">
        <v>45657</v>
      </c>
      <c r="AK1319" t="s">
        <v>112</v>
      </c>
      <c r="AL1319" t="s">
        <v>111</v>
      </c>
      <c r="AM1319" t="s">
        <v>111</v>
      </c>
      <c r="AN1319">
        <v>30711</v>
      </c>
      <c r="AO1319" t="s">
        <v>110</v>
      </c>
      <c r="AP1319" t="s">
        <v>109</v>
      </c>
    </row>
    <row r="1320" spans="1:42" x14ac:dyDescent="0.25">
      <c r="A1320" s="28" t="str">
        <f>"3976"</f>
        <v>3976</v>
      </c>
      <c r="B1320">
        <v>3976</v>
      </c>
      <c r="C1320" t="s">
        <v>2488</v>
      </c>
      <c r="D1320" t="s">
        <v>121</v>
      </c>
      <c r="F1320" t="s">
        <v>120</v>
      </c>
      <c r="G1320" t="s">
        <v>343</v>
      </c>
      <c r="I1320" t="s">
        <v>6359</v>
      </c>
      <c r="J1320" t="s">
        <v>7</v>
      </c>
      <c r="K1320" s="63">
        <v>20898</v>
      </c>
      <c r="L1320" s="28">
        <f>DATEDIF(K1320,Zwift25!G$1,"Y")</f>
        <v>67</v>
      </c>
      <c r="M1320" s="67">
        <f>IF(J1320="m",VLOOKUP(L1320,'All Solo Adjustments'!A:D,4,FALSE),VLOOKUP(L1320,'All Solo Adjustments'!A:J,10,FALSE))</f>
        <v>5.2662037037037035E-3</v>
      </c>
      <c r="N1320" s="63"/>
      <c r="O1320" s="63"/>
      <c r="P1320" s="63"/>
      <c r="Q1320" s="63"/>
      <c r="R1320" t="s">
        <v>184</v>
      </c>
      <c r="S1320" t="s">
        <v>183</v>
      </c>
      <c r="T1320" t="s">
        <v>292</v>
      </c>
      <c r="U1320" t="s">
        <v>6358</v>
      </c>
      <c r="V1320" t="s">
        <v>6357</v>
      </c>
      <c r="W1320" t="s">
        <v>146</v>
      </c>
      <c r="Y1320" t="s">
        <v>6356</v>
      </c>
      <c r="Z1320" t="str">
        <f>"01462 711172"</f>
        <v>01462 711172</v>
      </c>
      <c r="AA1320" t="str">
        <f>""</f>
        <v/>
      </c>
      <c r="AB1320" t="s">
        <v>2226</v>
      </c>
      <c r="AC1320" t="s">
        <v>6355</v>
      </c>
      <c r="AD1320" t="s">
        <v>114</v>
      </c>
      <c r="AE1320" s="63">
        <v>45262</v>
      </c>
      <c r="AF1320" t="s">
        <v>156</v>
      </c>
      <c r="AG1320" t="s">
        <v>112</v>
      </c>
      <c r="AH1320" t="s">
        <v>112</v>
      </c>
      <c r="AI1320" s="63">
        <v>40322</v>
      </c>
      <c r="AJ1320" s="63">
        <v>45657</v>
      </c>
      <c r="AK1320" t="s">
        <v>111</v>
      </c>
      <c r="AL1320" t="s">
        <v>111</v>
      </c>
      <c r="AM1320" t="s">
        <v>111</v>
      </c>
      <c r="AN1320">
        <v>961</v>
      </c>
      <c r="AO1320" t="s">
        <v>110</v>
      </c>
      <c r="AP1320" t="s">
        <v>109</v>
      </c>
    </row>
    <row r="1321" spans="1:42" x14ac:dyDescent="0.25">
      <c r="A1321" s="28" t="str">
        <f>"4908"</f>
        <v>4908</v>
      </c>
      <c r="B1321">
        <v>4908</v>
      </c>
      <c r="C1321" t="s">
        <v>2488</v>
      </c>
      <c r="D1321" t="s">
        <v>121</v>
      </c>
      <c r="F1321" t="s">
        <v>120</v>
      </c>
      <c r="G1321" t="s">
        <v>649</v>
      </c>
      <c r="H1321" t="s">
        <v>359</v>
      </c>
      <c r="I1321" t="s">
        <v>6354</v>
      </c>
      <c r="J1321" t="s">
        <v>7</v>
      </c>
      <c r="K1321" s="63">
        <v>24728</v>
      </c>
      <c r="L1321" s="28">
        <f>DATEDIF(K1321,Zwift25!G$1,"Y")</f>
        <v>57</v>
      </c>
      <c r="M1321" s="67">
        <f>IF(J1321="m",VLOOKUP(L1321,'All Solo Adjustments'!A:D,4,FALSE),VLOOKUP(L1321,'All Solo Adjustments'!A:J,10,FALSE))</f>
        <v>2.488425925925926E-3</v>
      </c>
      <c r="N1321" s="63"/>
      <c r="O1321" s="63"/>
      <c r="P1321" s="63"/>
      <c r="Q1321" s="63"/>
      <c r="R1321" t="s">
        <v>143</v>
      </c>
      <c r="S1321" t="s">
        <v>142</v>
      </c>
      <c r="T1321" t="s">
        <v>292</v>
      </c>
      <c r="U1321" t="s">
        <v>6353</v>
      </c>
      <c r="V1321" t="s">
        <v>4633</v>
      </c>
      <c r="W1321" t="s">
        <v>2132</v>
      </c>
      <c r="X1321" t="s">
        <v>486</v>
      </c>
      <c r="Y1321" t="s">
        <v>6352</v>
      </c>
      <c r="Z1321" t="str">
        <f>"07930 104068"</f>
        <v>07930 104068</v>
      </c>
      <c r="AA1321" t="str">
        <f>"01273 243487"</f>
        <v>01273 243487</v>
      </c>
      <c r="AB1321" t="s">
        <v>305</v>
      </c>
      <c r="AC1321" t="s">
        <v>6351</v>
      </c>
      <c r="AD1321" t="s">
        <v>114</v>
      </c>
      <c r="AE1321" s="63">
        <v>45292</v>
      </c>
      <c r="AF1321" t="s">
        <v>156</v>
      </c>
      <c r="AG1321" t="s">
        <v>112</v>
      </c>
      <c r="AH1321" t="s">
        <v>112</v>
      </c>
      <c r="AI1321" s="63">
        <v>41681</v>
      </c>
      <c r="AJ1321" s="63">
        <v>45657</v>
      </c>
      <c r="AK1321" t="s">
        <v>111</v>
      </c>
      <c r="AL1321" t="s">
        <v>111</v>
      </c>
      <c r="AM1321" t="s">
        <v>111</v>
      </c>
      <c r="AN1321">
        <v>4754</v>
      </c>
      <c r="AO1321" t="s">
        <v>110</v>
      </c>
      <c r="AP1321" t="s">
        <v>109</v>
      </c>
    </row>
    <row r="1322" spans="1:42" x14ac:dyDescent="0.25">
      <c r="A1322" s="28" t="str">
        <f>"11213"</f>
        <v>11213</v>
      </c>
      <c r="B1322">
        <v>11213</v>
      </c>
      <c r="C1322" t="s">
        <v>2488</v>
      </c>
      <c r="D1322" t="s">
        <v>121</v>
      </c>
      <c r="F1322" t="s">
        <v>149</v>
      </c>
      <c r="G1322" t="s">
        <v>2445</v>
      </c>
      <c r="I1322" t="s">
        <v>1388</v>
      </c>
      <c r="J1322" t="s">
        <v>126</v>
      </c>
      <c r="K1322" s="63">
        <v>11635</v>
      </c>
      <c r="L1322" s="28">
        <f>DATEDIF(K1322,Zwift25!G$1,"Y")</f>
        <v>92</v>
      </c>
      <c r="M1322" s="67">
        <f>IF(J1322="m",VLOOKUP(L1322,'All Solo Adjustments'!A:D,4,FALSE),VLOOKUP(L1322,'All Solo Adjustments'!A:J,10,FALSE))</f>
        <v>2.7418981481481482E-2</v>
      </c>
      <c r="N1322" s="63"/>
      <c r="O1322" s="63"/>
      <c r="P1322" s="63"/>
      <c r="Q1322" s="63"/>
      <c r="R1322" t="s">
        <v>296</v>
      </c>
      <c r="S1322" t="s">
        <v>2310</v>
      </c>
      <c r="T1322" t="s">
        <v>292</v>
      </c>
      <c r="U1322" t="s">
        <v>2385</v>
      </c>
      <c r="V1322" t="s">
        <v>2384</v>
      </c>
      <c r="W1322" t="s">
        <v>1738</v>
      </c>
      <c r="Y1322" t="s">
        <v>2383</v>
      </c>
      <c r="Z1322" t="str">
        <f>"01505 342726"</f>
        <v>01505 342726</v>
      </c>
      <c r="AA1322" t="str">
        <f>""</f>
        <v/>
      </c>
      <c r="AB1322" t="s">
        <v>2021</v>
      </c>
      <c r="AC1322" t="s">
        <v>2382</v>
      </c>
      <c r="AD1322" t="s">
        <v>151</v>
      </c>
      <c r="AF1322" t="s">
        <v>113</v>
      </c>
      <c r="AG1322" t="s">
        <v>112</v>
      </c>
      <c r="AH1322" t="s">
        <v>112</v>
      </c>
      <c r="AI1322" s="63">
        <v>26314</v>
      </c>
      <c r="AK1322" t="s">
        <v>111</v>
      </c>
      <c r="AL1322" t="s">
        <v>111</v>
      </c>
      <c r="AM1322" t="s">
        <v>111</v>
      </c>
      <c r="AN1322" t="s">
        <v>105</v>
      </c>
      <c r="AO1322" t="s">
        <v>122</v>
      </c>
      <c r="AP1322" t="s">
        <v>122</v>
      </c>
    </row>
    <row r="1323" spans="1:42" x14ac:dyDescent="0.25">
      <c r="A1323" s="28" t="str">
        <f>"1646"</f>
        <v>1646</v>
      </c>
      <c r="B1323">
        <v>1646</v>
      </c>
      <c r="C1323" t="s">
        <v>2488</v>
      </c>
      <c r="D1323" t="s">
        <v>121</v>
      </c>
      <c r="F1323" t="s">
        <v>120</v>
      </c>
      <c r="G1323" t="s">
        <v>649</v>
      </c>
      <c r="I1323" t="s">
        <v>1622</v>
      </c>
      <c r="J1323" t="s">
        <v>7</v>
      </c>
      <c r="K1323" s="63">
        <v>16843</v>
      </c>
      <c r="L1323" s="28">
        <f>DATEDIF(K1323,Zwift25!G$1,"Y")</f>
        <v>78</v>
      </c>
      <c r="M1323" s="67">
        <f>IF(J1323="m",VLOOKUP(L1323,'All Solo Adjustments'!A:D,4,FALSE),VLOOKUP(L1323,'All Solo Adjustments'!A:J,10,FALSE))</f>
        <v>9.9189814814814817E-3</v>
      </c>
      <c r="N1323" s="63"/>
      <c r="O1323" s="63"/>
      <c r="P1323" s="63"/>
      <c r="Q1323" s="63"/>
      <c r="R1323" t="s">
        <v>184</v>
      </c>
      <c r="S1323" t="s">
        <v>183</v>
      </c>
      <c r="T1323" t="s">
        <v>292</v>
      </c>
      <c r="U1323" t="s">
        <v>6350</v>
      </c>
      <c r="V1323" t="s">
        <v>6349</v>
      </c>
      <c r="W1323" t="s">
        <v>6348</v>
      </c>
      <c r="Y1323" t="s">
        <v>6347</v>
      </c>
      <c r="Z1323" t="str">
        <f>"08956 39216"</f>
        <v>08956 39216</v>
      </c>
      <c r="AA1323" t="str">
        <f>""</f>
        <v/>
      </c>
      <c r="AB1323" t="s">
        <v>288</v>
      </c>
      <c r="AD1323" t="s">
        <v>145</v>
      </c>
      <c r="AE1323" s="63">
        <v>45353</v>
      </c>
      <c r="AF1323" t="s">
        <v>113</v>
      </c>
      <c r="AG1323" t="s">
        <v>112</v>
      </c>
      <c r="AH1323" t="s">
        <v>112</v>
      </c>
      <c r="AI1323" s="63">
        <v>43479</v>
      </c>
      <c r="AJ1323" s="63">
        <v>45657</v>
      </c>
      <c r="AK1323" t="s">
        <v>111</v>
      </c>
      <c r="AL1323" t="s">
        <v>111</v>
      </c>
      <c r="AM1323" t="s">
        <v>111</v>
      </c>
      <c r="AN1323">
        <v>17222</v>
      </c>
      <c r="AO1323" t="s">
        <v>110</v>
      </c>
      <c r="AP1323" t="s">
        <v>109</v>
      </c>
    </row>
    <row r="1324" spans="1:42" x14ac:dyDescent="0.25">
      <c r="A1324" s="28" t="str">
        <f>"1651"</f>
        <v>1651</v>
      </c>
      <c r="B1324">
        <v>1651</v>
      </c>
      <c r="C1324" t="s">
        <v>2488</v>
      </c>
      <c r="D1324" t="s">
        <v>121</v>
      </c>
      <c r="F1324" t="s">
        <v>120</v>
      </c>
      <c r="G1324" t="s">
        <v>481</v>
      </c>
      <c r="I1324" t="s">
        <v>1619</v>
      </c>
      <c r="J1324" t="s">
        <v>7</v>
      </c>
      <c r="K1324" s="63">
        <v>14541</v>
      </c>
      <c r="L1324" s="28">
        <f>DATEDIF(K1324,Zwift25!G$1,"Y")</f>
        <v>84</v>
      </c>
      <c r="M1324" s="67">
        <f>IF(J1324="m",VLOOKUP(L1324,'All Solo Adjustments'!A:D,4,FALSE),VLOOKUP(L1324,'All Solo Adjustments'!A:J,10,FALSE))</f>
        <v>1.3530092592592592E-2</v>
      </c>
      <c r="N1324" s="63"/>
      <c r="O1324" s="63"/>
      <c r="P1324" s="63"/>
      <c r="Q1324" s="63"/>
      <c r="R1324" t="s">
        <v>296</v>
      </c>
      <c r="S1324" t="s">
        <v>5271</v>
      </c>
      <c r="T1324" t="s">
        <v>292</v>
      </c>
      <c r="U1324" t="s">
        <v>6346</v>
      </c>
      <c r="V1324" t="s">
        <v>6345</v>
      </c>
      <c r="W1324" t="s">
        <v>6344</v>
      </c>
      <c r="Y1324" t="s">
        <v>6343</v>
      </c>
      <c r="Z1324" t="str">
        <f>"01236 747566"</f>
        <v>01236 747566</v>
      </c>
      <c r="AA1324" t="str">
        <f>""</f>
        <v/>
      </c>
      <c r="AB1324" t="s">
        <v>4845</v>
      </c>
      <c r="AD1324" t="s">
        <v>151</v>
      </c>
      <c r="AF1324" t="s">
        <v>113</v>
      </c>
      <c r="AG1324" t="s">
        <v>111</v>
      </c>
      <c r="AH1324" t="s">
        <v>112</v>
      </c>
      <c r="AI1324" s="63">
        <v>32236</v>
      </c>
      <c r="AK1324" t="s">
        <v>111</v>
      </c>
      <c r="AL1324" t="s">
        <v>111</v>
      </c>
      <c r="AM1324" t="s">
        <v>111</v>
      </c>
      <c r="AN1324" t="s">
        <v>105</v>
      </c>
      <c r="AO1324" t="s">
        <v>110</v>
      </c>
      <c r="AP1324" t="s">
        <v>109</v>
      </c>
    </row>
    <row r="1325" spans="1:42" x14ac:dyDescent="0.25">
      <c r="A1325" s="28" t="str">
        <f>"6400"</f>
        <v>6400</v>
      </c>
      <c r="B1325">
        <v>6400</v>
      </c>
      <c r="C1325" t="s">
        <v>2488</v>
      </c>
      <c r="D1325" t="s">
        <v>121</v>
      </c>
      <c r="F1325" t="s">
        <v>120</v>
      </c>
      <c r="G1325" t="s">
        <v>1202</v>
      </c>
      <c r="I1325" t="s">
        <v>1619</v>
      </c>
      <c r="J1325" t="s">
        <v>7</v>
      </c>
      <c r="K1325" s="63">
        <v>22841</v>
      </c>
      <c r="L1325" s="28">
        <f>DATEDIF(K1325,Zwift25!G$1,"Y")</f>
        <v>62</v>
      </c>
      <c r="M1325" s="67">
        <f>IF(J1325="m",VLOOKUP(L1325,'All Solo Adjustments'!A:D,4,FALSE),VLOOKUP(L1325,'All Solo Adjustments'!A:J,10,FALSE))</f>
        <v>3.7384259259259259E-3</v>
      </c>
      <c r="N1325" s="63"/>
      <c r="O1325" s="63"/>
      <c r="P1325" s="63"/>
      <c r="Q1325" s="63"/>
      <c r="R1325" t="s">
        <v>125</v>
      </c>
      <c r="S1325" t="s">
        <v>170</v>
      </c>
      <c r="T1325" t="s">
        <v>292</v>
      </c>
      <c r="U1325" t="s">
        <v>6342</v>
      </c>
      <c r="V1325" t="s">
        <v>167</v>
      </c>
      <c r="Y1325" t="s">
        <v>6341</v>
      </c>
      <c r="Z1325" t="str">
        <f>"07885736383"</f>
        <v>07885736383</v>
      </c>
      <c r="AA1325" t="str">
        <f>""</f>
        <v/>
      </c>
      <c r="AB1325" t="s">
        <v>6340</v>
      </c>
      <c r="AC1325" t="s">
        <v>6339</v>
      </c>
      <c r="AD1325" t="s">
        <v>114</v>
      </c>
      <c r="AE1325" s="63">
        <v>45262</v>
      </c>
      <c r="AF1325" t="s">
        <v>156</v>
      </c>
      <c r="AG1325" t="s">
        <v>112</v>
      </c>
      <c r="AH1325" t="s">
        <v>112</v>
      </c>
      <c r="AI1325" s="63">
        <v>43125</v>
      </c>
      <c r="AJ1325" s="63">
        <v>45657</v>
      </c>
      <c r="AK1325" t="s">
        <v>111</v>
      </c>
      <c r="AL1325" t="s">
        <v>111</v>
      </c>
      <c r="AM1325" t="s">
        <v>111</v>
      </c>
      <c r="AN1325">
        <v>35</v>
      </c>
      <c r="AO1325" t="s">
        <v>110</v>
      </c>
      <c r="AP1325" t="s">
        <v>109</v>
      </c>
    </row>
    <row r="1326" spans="1:42" x14ac:dyDescent="0.25">
      <c r="A1326" s="28" t="str">
        <f>"1655"</f>
        <v>1655</v>
      </c>
      <c r="B1326">
        <v>1655</v>
      </c>
      <c r="C1326" t="s">
        <v>2488</v>
      </c>
      <c r="D1326" t="s">
        <v>121</v>
      </c>
      <c r="F1326" t="s">
        <v>120</v>
      </c>
      <c r="G1326" t="s">
        <v>649</v>
      </c>
      <c r="I1326" t="s">
        <v>1619</v>
      </c>
      <c r="J1326" t="s">
        <v>7</v>
      </c>
      <c r="K1326" s="63">
        <v>19927</v>
      </c>
      <c r="L1326" s="28">
        <f>DATEDIF(K1326,Zwift25!G$1,"Y")</f>
        <v>70</v>
      </c>
      <c r="M1326" s="67">
        <f>IF(J1326="m",VLOOKUP(L1326,'All Solo Adjustments'!A:D,4,FALSE),VLOOKUP(L1326,'All Solo Adjustments'!A:J,10,FALSE))</f>
        <v>6.3425925925925924E-3</v>
      </c>
      <c r="N1326" s="63"/>
      <c r="O1326" s="63"/>
      <c r="P1326" s="63"/>
      <c r="Q1326" s="63"/>
      <c r="R1326" t="s">
        <v>527</v>
      </c>
      <c r="S1326" t="s">
        <v>2450</v>
      </c>
      <c r="T1326" t="s">
        <v>292</v>
      </c>
      <c r="U1326" t="s">
        <v>6338</v>
      </c>
      <c r="V1326" t="s">
        <v>6337</v>
      </c>
      <c r="W1326" t="s">
        <v>2449</v>
      </c>
      <c r="X1326" t="s">
        <v>810</v>
      </c>
      <c r="Y1326" t="s">
        <v>6317</v>
      </c>
      <c r="Z1326" t="str">
        <f>"01946 812437"</f>
        <v>01946 812437</v>
      </c>
      <c r="AA1326" t="str">
        <f>""</f>
        <v/>
      </c>
      <c r="AB1326" t="s">
        <v>290</v>
      </c>
      <c r="AC1326" t="s">
        <v>6336</v>
      </c>
      <c r="AD1326" t="s">
        <v>151</v>
      </c>
      <c r="AF1326" t="s">
        <v>113</v>
      </c>
      <c r="AG1326" t="s">
        <v>111</v>
      </c>
      <c r="AH1326" t="s">
        <v>111</v>
      </c>
      <c r="AK1326" t="s">
        <v>111</v>
      </c>
      <c r="AL1326" t="s">
        <v>111</v>
      </c>
      <c r="AM1326" t="s">
        <v>111</v>
      </c>
      <c r="AN1326" t="s">
        <v>105</v>
      </c>
      <c r="AO1326" t="s">
        <v>110</v>
      </c>
      <c r="AP1326" t="s">
        <v>109</v>
      </c>
    </row>
    <row r="1327" spans="1:42" x14ac:dyDescent="0.25">
      <c r="A1327" s="28" t="str">
        <f>"14502"</f>
        <v>14502</v>
      </c>
      <c r="B1327">
        <v>14502</v>
      </c>
      <c r="C1327" t="s">
        <v>2488</v>
      </c>
      <c r="D1327" t="s">
        <v>121</v>
      </c>
      <c r="E1327" t="s">
        <v>584</v>
      </c>
      <c r="F1327" t="s">
        <v>144</v>
      </c>
      <c r="G1327" t="s">
        <v>6335</v>
      </c>
      <c r="H1327" t="s">
        <v>1157</v>
      </c>
      <c r="I1327" t="s">
        <v>1619</v>
      </c>
      <c r="J1327" t="s">
        <v>126</v>
      </c>
      <c r="K1327" s="63">
        <v>24642</v>
      </c>
      <c r="L1327" s="28">
        <f>DATEDIF(K1327,Zwift25!G$1,"Y")</f>
        <v>57</v>
      </c>
      <c r="M1327" s="67">
        <f>IF(J1327="m",VLOOKUP(L1327,'All Solo Adjustments'!A:D,4,FALSE),VLOOKUP(L1327,'All Solo Adjustments'!A:J,10,FALSE))</f>
        <v>6.076388888888889E-3</v>
      </c>
      <c r="N1327" s="63"/>
      <c r="O1327" s="63"/>
      <c r="P1327" s="63"/>
      <c r="Q1327" s="63"/>
      <c r="R1327" t="s">
        <v>180</v>
      </c>
      <c r="S1327" t="s">
        <v>179</v>
      </c>
      <c r="T1327" t="s">
        <v>292</v>
      </c>
      <c r="U1327" t="s">
        <v>6334</v>
      </c>
      <c r="V1327" t="s">
        <v>6333</v>
      </c>
      <c r="W1327" t="s">
        <v>360</v>
      </c>
      <c r="Y1327" t="s">
        <v>6332</v>
      </c>
      <c r="Z1327" t="str">
        <f>"07897404012"</f>
        <v>07897404012</v>
      </c>
      <c r="AA1327" t="str">
        <f>""</f>
        <v/>
      </c>
      <c r="AB1327" t="s">
        <v>1218</v>
      </c>
      <c r="AC1327" t="s">
        <v>6331</v>
      </c>
      <c r="AD1327" t="s">
        <v>114</v>
      </c>
      <c r="AE1327" s="63">
        <v>45287</v>
      </c>
      <c r="AF1327" t="s">
        <v>113</v>
      </c>
      <c r="AG1327" t="s">
        <v>112</v>
      </c>
      <c r="AH1327" t="s">
        <v>112</v>
      </c>
      <c r="AI1327" s="63">
        <v>43888</v>
      </c>
      <c r="AJ1327" s="63">
        <v>45657</v>
      </c>
      <c r="AK1327" t="s">
        <v>112</v>
      </c>
      <c r="AL1327" t="s">
        <v>111</v>
      </c>
      <c r="AM1327" t="s">
        <v>111</v>
      </c>
      <c r="AN1327">
        <v>14300</v>
      </c>
      <c r="AO1327" t="s">
        <v>122</v>
      </c>
      <c r="AP1327" t="s">
        <v>122</v>
      </c>
    </row>
    <row r="1328" spans="1:42" x14ac:dyDescent="0.25">
      <c r="A1328" s="28" t="str">
        <f>"14889"</f>
        <v>14889</v>
      </c>
      <c r="B1328">
        <v>14889</v>
      </c>
      <c r="C1328" t="s">
        <v>2488</v>
      </c>
      <c r="D1328" t="s">
        <v>121</v>
      </c>
      <c r="F1328" t="s">
        <v>120</v>
      </c>
      <c r="G1328" t="s">
        <v>230</v>
      </c>
      <c r="H1328" t="s">
        <v>6330</v>
      </c>
      <c r="I1328" t="s">
        <v>1619</v>
      </c>
      <c r="J1328" t="s">
        <v>7</v>
      </c>
      <c r="K1328" s="63">
        <v>23870</v>
      </c>
      <c r="L1328" s="28">
        <f>DATEDIF(K1328,Zwift25!G$1,"Y")</f>
        <v>59</v>
      </c>
      <c r="M1328" s="67">
        <f>IF(J1328="m",VLOOKUP(L1328,'All Solo Adjustments'!A:D,4,FALSE),VLOOKUP(L1328,'All Solo Adjustments'!A:J,10,FALSE))</f>
        <v>2.9629629629629632E-3</v>
      </c>
      <c r="N1328" s="63"/>
      <c r="O1328" s="63"/>
      <c r="P1328" s="63"/>
      <c r="Q1328" s="63"/>
      <c r="R1328" t="s">
        <v>125</v>
      </c>
      <c r="S1328" t="s">
        <v>170</v>
      </c>
      <c r="T1328" t="s">
        <v>292</v>
      </c>
      <c r="U1328" t="s">
        <v>6329</v>
      </c>
      <c r="W1328" t="s">
        <v>6328</v>
      </c>
      <c r="X1328" t="s">
        <v>1791</v>
      </c>
      <c r="Y1328" t="s">
        <v>6327</v>
      </c>
      <c r="Z1328" t="str">
        <f>"07905444105"</f>
        <v>07905444105</v>
      </c>
      <c r="AA1328" t="str">
        <f>""</f>
        <v/>
      </c>
      <c r="AB1328" t="s">
        <v>505</v>
      </c>
      <c r="AC1328" t="s">
        <v>6326</v>
      </c>
      <c r="AD1328" t="s">
        <v>114</v>
      </c>
      <c r="AE1328" s="63">
        <v>45306</v>
      </c>
      <c r="AF1328" t="s">
        <v>113</v>
      </c>
      <c r="AG1328" t="s">
        <v>112</v>
      </c>
      <c r="AH1328" t="s">
        <v>112</v>
      </c>
      <c r="AI1328" s="63">
        <v>44260</v>
      </c>
      <c r="AJ1328" s="63">
        <v>45657</v>
      </c>
      <c r="AK1328" t="s">
        <v>112</v>
      </c>
      <c r="AL1328" t="s">
        <v>111</v>
      </c>
      <c r="AM1328" t="s">
        <v>111</v>
      </c>
      <c r="AN1328">
        <v>35567</v>
      </c>
      <c r="AO1328" t="s">
        <v>110</v>
      </c>
      <c r="AP1328" t="s">
        <v>109</v>
      </c>
    </row>
    <row r="1329" spans="1:42" x14ac:dyDescent="0.25">
      <c r="A1329" s="28" t="str">
        <f>"15028"</f>
        <v>15028</v>
      </c>
      <c r="B1329">
        <v>15028</v>
      </c>
      <c r="C1329" t="s">
        <v>2488</v>
      </c>
      <c r="D1329" t="s">
        <v>121</v>
      </c>
      <c r="F1329" t="s">
        <v>120</v>
      </c>
      <c r="G1329" t="s">
        <v>783</v>
      </c>
      <c r="I1329" t="s">
        <v>1619</v>
      </c>
      <c r="J1329" t="s">
        <v>7</v>
      </c>
      <c r="K1329" s="63">
        <v>19388</v>
      </c>
      <c r="L1329" s="28">
        <f>DATEDIF(K1329,Zwift25!G$1,"Y")</f>
        <v>71</v>
      </c>
      <c r="M1329" s="67">
        <f>IF(J1329="m",VLOOKUP(L1329,'All Solo Adjustments'!A:D,4,FALSE),VLOOKUP(L1329,'All Solo Adjustments'!A:J,10,FALSE))</f>
        <v>6.7245370370370375E-3</v>
      </c>
      <c r="N1329" s="63"/>
      <c r="O1329" s="63"/>
      <c r="P1329" s="63"/>
      <c r="Q1329" s="63"/>
      <c r="R1329" t="s">
        <v>283</v>
      </c>
      <c r="S1329" t="s">
        <v>530</v>
      </c>
      <c r="T1329" t="s">
        <v>292</v>
      </c>
      <c r="U1329" t="s">
        <v>6325</v>
      </c>
      <c r="V1329" t="s">
        <v>3019</v>
      </c>
      <c r="W1329" t="s">
        <v>1694</v>
      </c>
      <c r="X1329" t="s">
        <v>360</v>
      </c>
      <c r="Y1329" t="s">
        <v>6324</v>
      </c>
      <c r="Z1329" t="str">
        <f>"07847278076"</f>
        <v>07847278076</v>
      </c>
      <c r="AA1329" t="str">
        <f>""</f>
        <v/>
      </c>
      <c r="AB1329" t="s">
        <v>3573</v>
      </c>
      <c r="AC1329" t="s">
        <v>6323</v>
      </c>
      <c r="AD1329" t="s">
        <v>114</v>
      </c>
      <c r="AE1329" s="63">
        <v>45474</v>
      </c>
      <c r="AF1329" t="s">
        <v>156</v>
      </c>
      <c r="AG1329" t="s">
        <v>112</v>
      </c>
      <c r="AH1329" t="s">
        <v>112</v>
      </c>
      <c r="AI1329" s="63">
        <v>44314</v>
      </c>
      <c r="AJ1329" s="63">
        <v>45657</v>
      </c>
      <c r="AK1329" t="s">
        <v>112</v>
      </c>
      <c r="AL1329" t="s">
        <v>111</v>
      </c>
      <c r="AM1329" t="s">
        <v>111</v>
      </c>
      <c r="AN1329" t="s">
        <v>105</v>
      </c>
      <c r="AO1329" t="s">
        <v>110</v>
      </c>
      <c r="AP1329" t="s">
        <v>109</v>
      </c>
    </row>
    <row r="1330" spans="1:42" x14ac:dyDescent="0.25">
      <c r="A1330" s="28" t="str">
        <f>"15288"</f>
        <v>15288</v>
      </c>
      <c r="B1330">
        <v>15288</v>
      </c>
      <c r="C1330" t="s">
        <v>2488</v>
      </c>
      <c r="D1330" t="s">
        <v>132</v>
      </c>
      <c r="E1330" t="s">
        <v>6322</v>
      </c>
      <c r="F1330" t="s">
        <v>120</v>
      </c>
      <c r="G1330" t="s">
        <v>649</v>
      </c>
      <c r="I1330" t="s">
        <v>1619</v>
      </c>
      <c r="J1330" t="s">
        <v>7</v>
      </c>
      <c r="K1330" s="63">
        <v>19927</v>
      </c>
      <c r="L1330" s="28">
        <f>DATEDIF(K1330,Zwift25!G$1,"Y")</f>
        <v>70</v>
      </c>
      <c r="M1330" s="67">
        <f>IF(J1330="m",VLOOKUP(L1330,'All Solo Adjustments'!A:D,4,FALSE),VLOOKUP(L1330,'All Solo Adjustments'!A:J,10,FALSE))</f>
        <v>6.3425925925925924E-3</v>
      </c>
      <c r="N1330" s="63"/>
      <c r="O1330" s="63"/>
      <c r="P1330" s="63"/>
      <c r="Q1330" s="63"/>
      <c r="R1330" t="s">
        <v>328</v>
      </c>
      <c r="S1330" t="s">
        <v>741</v>
      </c>
      <c r="T1330" t="s">
        <v>292</v>
      </c>
      <c r="U1330" t="s">
        <v>6320</v>
      </c>
      <c r="V1330" t="s">
        <v>6319</v>
      </c>
      <c r="W1330" t="s">
        <v>6318</v>
      </c>
      <c r="X1330" t="s">
        <v>810</v>
      </c>
      <c r="Y1330" t="s">
        <v>6317</v>
      </c>
      <c r="Z1330" t="str">
        <f>"07935947381"</f>
        <v>07935947381</v>
      </c>
      <c r="AA1330" t="str">
        <f>"07742908861"</f>
        <v>07742908861</v>
      </c>
      <c r="AB1330" t="s">
        <v>6316</v>
      </c>
      <c r="AC1330" t="s">
        <v>6321</v>
      </c>
      <c r="AD1330" t="s">
        <v>145</v>
      </c>
      <c r="AE1330" s="63">
        <v>45577</v>
      </c>
      <c r="AF1330" t="s">
        <v>113</v>
      </c>
      <c r="AG1330" t="s">
        <v>112</v>
      </c>
      <c r="AH1330" t="s">
        <v>112</v>
      </c>
      <c r="AI1330" s="63">
        <v>44512</v>
      </c>
      <c r="AJ1330" s="63">
        <v>46022</v>
      </c>
      <c r="AK1330" t="s">
        <v>112</v>
      </c>
      <c r="AL1330" t="s">
        <v>111</v>
      </c>
      <c r="AM1330" t="s">
        <v>111</v>
      </c>
      <c r="AN1330">
        <v>13751</v>
      </c>
      <c r="AO1330" t="s">
        <v>110</v>
      </c>
      <c r="AP1330" t="s">
        <v>109</v>
      </c>
    </row>
    <row r="1331" spans="1:42" x14ac:dyDescent="0.25">
      <c r="A1331" s="28" t="str">
        <f>"15289"</f>
        <v>15289</v>
      </c>
      <c r="B1331">
        <v>15289</v>
      </c>
      <c r="C1331" t="s">
        <v>2488</v>
      </c>
      <c r="D1331" t="s">
        <v>130</v>
      </c>
      <c r="F1331" t="s">
        <v>149</v>
      </c>
      <c r="G1331" t="s">
        <v>1416</v>
      </c>
      <c r="I1331" t="s">
        <v>1619</v>
      </c>
      <c r="J1331" t="s">
        <v>126</v>
      </c>
      <c r="K1331" s="63">
        <v>24852</v>
      </c>
      <c r="L1331" s="28">
        <f>DATEDIF(K1331,Zwift25!G$1,"Y")</f>
        <v>56</v>
      </c>
      <c r="M1331" s="67">
        <f>IF(J1331="m",VLOOKUP(L1331,'All Solo Adjustments'!A:D,4,FALSE),VLOOKUP(L1331,'All Solo Adjustments'!A:J,10,FALSE))</f>
        <v>5.8564814814814807E-3</v>
      </c>
      <c r="N1331" s="63"/>
      <c r="O1331" s="63"/>
      <c r="P1331" s="63"/>
      <c r="Q1331" s="63"/>
      <c r="R1331" t="s">
        <v>328</v>
      </c>
      <c r="S1331" t="s">
        <v>741</v>
      </c>
      <c r="T1331" t="s">
        <v>292</v>
      </c>
      <c r="U1331" t="s">
        <v>6320</v>
      </c>
      <c r="V1331" t="s">
        <v>6319</v>
      </c>
      <c r="W1331" t="s">
        <v>6318</v>
      </c>
      <c r="X1331" t="s">
        <v>810</v>
      </c>
      <c r="Y1331" t="s">
        <v>6317</v>
      </c>
      <c r="Z1331" t="str">
        <f>"07935947381"</f>
        <v>07935947381</v>
      </c>
      <c r="AA1331" t="str">
        <f>"07742908861"</f>
        <v>07742908861</v>
      </c>
      <c r="AB1331" t="s">
        <v>6316</v>
      </c>
      <c r="AC1331" t="s">
        <v>6315</v>
      </c>
      <c r="AD1331" t="s">
        <v>145</v>
      </c>
      <c r="AE1331" s="63">
        <v>45577</v>
      </c>
      <c r="AF1331" t="s">
        <v>113</v>
      </c>
      <c r="AG1331" t="s">
        <v>112</v>
      </c>
      <c r="AH1331" t="s">
        <v>112</v>
      </c>
      <c r="AI1331" s="63">
        <v>44512</v>
      </c>
      <c r="AJ1331" s="63">
        <v>46022</v>
      </c>
      <c r="AK1331" t="s">
        <v>112</v>
      </c>
      <c r="AL1331" t="s">
        <v>111</v>
      </c>
      <c r="AM1331" t="s">
        <v>111</v>
      </c>
      <c r="AN1331" t="s">
        <v>105</v>
      </c>
      <c r="AO1331" t="s">
        <v>122</v>
      </c>
      <c r="AP1331" t="s">
        <v>122</v>
      </c>
    </row>
    <row r="1332" spans="1:42" x14ac:dyDescent="0.25">
      <c r="A1332" s="28" t="str">
        <f>"15658"</f>
        <v>15658</v>
      </c>
      <c r="B1332">
        <v>15658</v>
      </c>
      <c r="C1332" t="s">
        <v>2488</v>
      </c>
      <c r="D1332" t="s">
        <v>121</v>
      </c>
      <c r="F1332" t="s">
        <v>120</v>
      </c>
      <c r="G1332" t="s">
        <v>181</v>
      </c>
      <c r="I1332" t="s">
        <v>1619</v>
      </c>
      <c r="J1332" t="s">
        <v>7</v>
      </c>
      <c r="K1332" s="63">
        <v>23252</v>
      </c>
      <c r="L1332" s="28">
        <f>DATEDIF(K1332,Zwift25!G$1,"Y")</f>
        <v>61</v>
      </c>
      <c r="M1332" s="67">
        <f>IF(J1332="m",VLOOKUP(L1332,'All Solo Adjustments'!A:D,4,FALSE),VLOOKUP(L1332,'All Solo Adjustments'!A:J,10,FALSE))</f>
        <v>3.4722222222222225E-3</v>
      </c>
      <c r="N1332" s="63"/>
      <c r="O1332" s="63"/>
      <c r="P1332" s="63"/>
      <c r="Q1332" s="63"/>
      <c r="R1332" t="s">
        <v>213</v>
      </c>
      <c r="S1332" t="s">
        <v>212</v>
      </c>
      <c r="T1332" t="s">
        <v>292</v>
      </c>
      <c r="U1332" t="s">
        <v>6314</v>
      </c>
      <c r="V1332" t="s">
        <v>6314</v>
      </c>
      <c r="W1332" t="s">
        <v>6313</v>
      </c>
      <c r="X1332" t="s">
        <v>1560</v>
      </c>
      <c r="Y1332" t="s">
        <v>6312</v>
      </c>
      <c r="Z1332" t="str">
        <f>"07949598567"</f>
        <v>07949598567</v>
      </c>
      <c r="AA1332" t="str">
        <f>""</f>
        <v/>
      </c>
      <c r="AB1332" t="s">
        <v>2199</v>
      </c>
      <c r="AC1332" t="s">
        <v>6311</v>
      </c>
      <c r="AD1332" t="s">
        <v>114</v>
      </c>
      <c r="AE1332" s="63">
        <v>45300</v>
      </c>
      <c r="AF1332" t="s">
        <v>156</v>
      </c>
      <c r="AG1332" t="s">
        <v>112</v>
      </c>
      <c r="AH1332" t="s">
        <v>112</v>
      </c>
      <c r="AI1332" s="63">
        <v>44941</v>
      </c>
      <c r="AJ1332" s="63">
        <v>45657</v>
      </c>
      <c r="AK1332" t="s">
        <v>112</v>
      </c>
      <c r="AL1332" t="s">
        <v>111</v>
      </c>
      <c r="AM1332" t="s">
        <v>111</v>
      </c>
      <c r="AN1332" t="s">
        <v>105</v>
      </c>
      <c r="AO1332" t="s">
        <v>110</v>
      </c>
      <c r="AP1332" t="s">
        <v>109</v>
      </c>
    </row>
    <row r="1333" spans="1:42" x14ac:dyDescent="0.25">
      <c r="A1333" s="28" t="str">
        <f>"1660"</f>
        <v>1660</v>
      </c>
      <c r="B1333">
        <v>1660</v>
      </c>
      <c r="C1333" t="s">
        <v>2488</v>
      </c>
      <c r="D1333" t="s">
        <v>121</v>
      </c>
      <c r="F1333" t="s">
        <v>120</v>
      </c>
      <c r="G1333" t="s">
        <v>245</v>
      </c>
      <c r="H1333" t="s">
        <v>952</v>
      </c>
      <c r="I1333" t="s">
        <v>6310</v>
      </c>
      <c r="J1333" t="s">
        <v>7</v>
      </c>
      <c r="K1333" s="63">
        <v>21412</v>
      </c>
      <c r="L1333" s="28">
        <f>DATEDIF(K1333,Zwift25!G$1,"Y")</f>
        <v>66</v>
      </c>
      <c r="M1333" s="67">
        <f>IF(J1333="m",VLOOKUP(L1333,'All Solo Adjustments'!A:D,4,FALSE),VLOOKUP(L1333,'All Solo Adjustments'!A:J,10,FALSE))</f>
        <v>4.9421296296296297E-3</v>
      </c>
      <c r="N1333" s="63"/>
      <c r="O1333" s="63"/>
      <c r="P1333" s="63"/>
      <c r="Q1333" s="63"/>
      <c r="R1333" t="s">
        <v>328</v>
      </c>
      <c r="S1333" t="s">
        <v>327</v>
      </c>
      <c r="T1333" t="s">
        <v>292</v>
      </c>
      <c r="U1333" t="s">
        <v>6309</v>
      </c>
      <c r="V1333" t="s">
        <v>1595</v>
      </c>
      <c r="W1333" t="s">
        <v>1594</v>
      </c>
      <c r="X1333" t="s">
        <v>869</v>
      </c>
      <c r="Y1333" t="s">
        <v>6308</v>
      </c>
      <c r="Z1333" t="str">
        <f>"07395924597"</f>
        <v>07395924597</v>
      </c>
      <c r="AA1333" t="str">
        <f>"07593121165"</f>
        <v>07593121165</v>
      </c>
      <c r="AC1333" t="s">
        <v>6307</v>
      </c>
      <c r="AD1333" t="s">
        <v>114</v>
      </c>
      <c r="AE1333" s="63">
        <v>45293</v>
      </c>
      <c r="AF1333" t="s">
        <v>156</v>
      </c>
      <c r="AG1333" t="s">
        <v>112</v>
      </c>
      <c r="AH1333" t="s">
        <v>112</v>
      </c>
      <c r="AI1333" s="63">
        <v>38353</v>
      </c>
      <c r="AJ1333" s="63">
        <v>45657</v>
      </c>
      <c r="AK1333" t="s">
        <v>111</v>
      </c>
      <c r="AL1333" t="s">
        <v>111</v>
      </c>
      <c r="AM1333" t="s">
        <v>111</v>
      </c>
      <c r="AN1333">
        <v>5782</v>
      </c>
      <c r="AO1333" t="s">
        <v>110</v>
      </c>
      <c r="AP1333" t="s">
        <v>109</v>
      </c>
    </row>
    <row r="1334" spans="1:42" x14ac:dyDescent="0.25">
      <c r="A1334" s="28" t="str">
        <f>"11157"</f>
        <v>11157</v>
      </c>
      <c r="B1334">
        <v>11157</v>
      </c>
      <c r="C1334" t="s">
        <v>2488</v>
      </c>
      <c r="D1334" t="s">
        <v>121</v>
      </c>
      <c r="F1334" t="s">
        <v>120</v>
      </c>
      <c r="G1334" t="s">
        <v>427</v>
      </c>
      <c r="I1334" t="s">
        <v>1616</v>
      </c>
      <c r="J1334" t="s">
        <v>7</v>
      </c>
      <c r="K1334" s="63">
        <v>23150</v>
      </c>
      <c r="L1334" s="28">
        <f>DATEDIF(K1334,Zwift25!G$1,"Y")</f>
        <v>61</v>
      </c>
      <c r="M1334" s="67">
        <f>IF(J1334="m",VLOOKUP(L1334,'All Solo Adjustments'!A:D,4,FALSE),VLOOKUP(L1334,'All Solo Adjustments'!A:J,10,FALSE))</f>
        <v>3.4722222222222225E-3</v>
      </c>
      <c r="N1334" s="63"/>
      <c r="O1334" s="63"/>
      <c r="P1334" s="63"/>
      <c r="Q1334" s="63"/>
      <c r="R1334" t="s">
        <v>154</v>
      </c>
      <c r="S1334" t="s">
        <v>153</v>
      </c>
      <c r="T1334" t="s">
        <v>292</v>
      </c>
      <c r="U1334" t="s">
        <v>6306</v>
      </c>
      <c r="V1334" t="s">
        <v>669</v>
      </c>
      <c r="W1334" t="s">
        <v>669</v>
      </c>
      <c r="X1334" t="s">
        <v>574</v>
      </c>
      <c r="Y1334" t="s">
        <v>6305</v>
      </c>
      <c r="Z1334" t="str">
        <f>"07443333219"</f>
        <v>07443333219</v>
      </c>
      <c r="AA1334" t="str">
        <f>"01454 880872"</f>
        <v>01454 880872</v>
      </c>
      <c r="AC1334" t="s">
        <v>6304</v>
      </c>
      <c r="AD1334" t="s">
        <v>114</v>
      </c>
      <c r="AE1334" s="63">
        <v>45348</v>
      </c>
      <c r="AF1334" t="s">
        <v>156</v>
      </c>
      <c r="AG1334" t="s">
        <v>112</v>
      </c>
      <c r="AH1334" t="s">
        <v>112</v>
      </c>
      <c r="AI1334" s="63">
        <v>43422</v>
      </c>
      <c r="AJ1334" s="63">
        <v>45657</v>
      </c>
      <c r="AK1334" t="s">
        <v>112</v>
      </c>
      <c r="AL1334" t="s">
        <v>111</v>
      </c>
      <c r="AM1334" t="s">
        <v>111</v>
      </c>
      <c r="AN1334">
        <v>21860</v>
      </c>
      <c r="AO1334" t="s">
        <v>110</v>
      </c>
      <c r="AP1334" t="s">
        <v>109</v>
      </c>
    </row>
    <row r="1335" spans="1:42" x14ac:dyDescent="0.25">
      <c r="A1335" s="28" t="str">
        <f>"12625"</f>
        <v>12625</v>
      </c>
      <c r="B1335">
        <v>12625</v>
      </c>
      <c r="C1335" t="s">
        <v>2488</v>
      </c>
      <c r="D1335" t="s">
        <v>121</v>
      </c>
      <c r="E1335" t="s">
        <v>584</v>
      </c>
      <c r="F1335" t="s">
        <v>120</v>
      </c>
      <c r="G1335" t="s">
        <v>601</v>
      </c>
      <c r="I1335" t="s">
        <v>1616</v>
      </c>
      <c r="J1335" t="s">
        <v>7</v>
      </c>
      <c r="K1335" s="63">
        <v>28396</v>
      </c>
      <c r="L1335" s="28">
        <f>DATEDIF(K1335,Zwift25!G$1,"Y")</f>
        <v>47</v>
      </c>
      <c r="M1335" s="67">
        <f>IF(J1335="m",VLOOKUP(L1335,'All Solo Adjustments'!A:D,4,FALSE),VLOOKUP(L1335,'All Solo Adjustments'!A:J,10,FALSE))</f>
        <v>6.9444444444444436E-4</v>
      </c>
      <c r="N1335" s="63"/>
      <c r="O1335" s="63"/>
      <c r="P1335" s="63"/>
      <c r="Q1335" s="63"/>
      <c r="R1335" t="s">
        <v>125</v>
      </c>
      <c r="S1335" t="s">
        <v>170</v>
      </c>
      <c r="T1335" t="s">
        <v>292</v>
      </c>
      <c r="U1335" t="s">
        <v>6303</v>
      </c>
      <c r="V1335" t="s">
        <v>6302</v>
      </c>
      <c r="W1335" t="s">
        <v>1031</v>
      </c>
      <c r="Y1335" t="s">
        <v>6301</v>
      </c>
      <c r="Z1335" t="str">
        <f>"07725032086"</f>
        <v>07725032086</v>
      </c>
      <c r="AA1335" t="str">
        <f>""</f>
        <v/>
      </c>
      <c r="AB1335" t="s">
        <v>6300</v>
      </c>
      <c r="AC1335" t="s">
        <v>6299</v>
      </c>
      <c r="AD1335" t="s">
        <v>114</v>
      </c>
      <c r="AE1335" s="63">
        <v>45392</v>
      </c>
      <c r="AF1335" t="s">
        <v>156</v>
      </c>
      <c r="AG1335" t="s">
        <v>112</v>
      </c>
      <c r="AH1335" t="s">
        <v>112</v>
      </c>
      <c r="AI1335" s="63">
        <v>43223</v>
      </c>
      <c r="AJ1335" s="63">
        <v>45657</v>
      </c>
      <c r="AK1335" t="s">
        <v>112</v>
      </c>
      <c r="AL1335" t="s">
        <v>111</v>
      </c>
      <c r="AM1335" t="s">
        <v>111</v>
      </c>
      <c r="AN1335">
        <v>11656</v>
      </c>
      <c r="AO1335" t="s">
        <v>110</v>
      </c>
      <c r="AP1335" t="s">
        <v>109</v>
      </c>
    </row>
    <row r="1336" spans="1:42" x14ac:dyDescent="0.25">
      <c r="A1336" s="28" t="str">
        <f>"4520"</f>
        <v>4520</v>
      </c>
      <c r="B1336">
        <v>4520</v>
      </c>
      <c r="C1336" t="s">
        <v>2488</v>
      </c>
      <c r="D1336" t="s">
        <v>121</v>
      </c>
      <c r="F1336" t="s">
        <v>120</v>
      </c>
      <c r="G1336" t="s">
        <v>4728</v>
      </c>
      <c r="I1336" t="s">
        <v>1614</v>
      </c>
      <c r="J1336" t="s">
        <v>7</v>
      </c>
      <c r="K1336" s="63">
        <v>14676</v>
      </c>
      <c r="L1336" s="28">
        <f>DATEDIF(K1336,Zwift25!G$1,"Y")</f>
        <v>84</v>
      </c>
      <c r="M1336" s="67">
        <f>IF(J1336="m",VLOOKUP(L1336,'All Solo Adjustments'!A:D,4,FALSE),VLOOKUP(L1336,'All Solo Adjustments'!A:J,10,FALSE))</f>
        <v>1.3530092592592592E-2</v>
      </c>
      <c r="N1336" s="63"/>
      <c r="O1336" s="63"/>
      <c r="P1336" s="63"/>
      <c r="Q1336" s="63"/>
      <c r="R1336" t="s">
        <v>383</v>
      </c>
      <c r="S1336" t="s">
        <v>2340</v>
      </c>
      <c r="T1336" t="s">
        <v>292</v>
      </c>
      <c r="U1336" t="s">
        <v>6298</v>
      </c>
      <c r="V1336" t="s">
        <v>6297</v>
      </c>
      <c r="W1336" t="s">
        <v>6296</v>
      </c>
      <c r="Y1336" t="s">
        <v>6295</v>
      </c>
      <c r="Z1336" t="str">
        <f>"01531 633176"</f>
        <v>01531 633176</v>
      </c>
      <c r="AA1336" t="str">
        <f>"07733112762"</f>
        <v>07733112762</v>
      </c>
      <c r="AB1336" t="s">
        <v>6294</v>
      </c>
      <c r="AC1336" t="s">
        <v>6293</v>
      </c>
      <c r="AD1336" t="s">
        <v>145</v>
      </c>
      <c r="AF1336" t="s">
        <v>156</v>
      </c>
      <c r="AG1336" t="s">
        <v>112</v>
      </c>
      <c r="AH1336" t="s">
        <v>112</v>
      </c>
      <c r="AI1336" s="63">
        <v>41008</v>
      </c>
      <c r="AK1336" t="s">
        <v>111</v>
      </c>
      <c r="AL1336" t="s">
        <v>111</v>
      </c>
      <c r="AM1336" t="s">
        <v>111</v>
      </c>
      <c r="AN1336">
        <v>1753</v>
      </c>
      <c r="AO1336" t="s">
        <v>110</v>
      </c>
      <c r="AP1336" t="s">
        <v>109</v>
      </c>
    </row>
    <row r="1337" spans="1:42" x14ac:dyDescent="0.25">
      <c r="A1337" s="28" t="str">
        <f>"15428"</f>
        <v>15428</v>
      </c>
      <c r="B1337">
        <v>15428</v>
      </c>
      <c r="C1337" t="s">
        <v>2488</v>
      </c>
      <c r="D1337" t="s">
        <v>121</v>
      </c>
      <c r="E1337" t="s">
        <v>584</v>
      </c>
      <c r="F1337" t="s">
        <v>120</v>
      </c>
      <c r="G1337" t="s">
        <v>219</v>
      </c>
      <c r="I1337" t="s">
        <v>554</v>
      </c>
      <c r="J1337" t="s">
        <v>7</v>
      </c>
      <c r="K1337" s="63">
        <v>26067</v>
      </c>
      <c r="L1337" s="28">
        <f>DATEDIF(K1337,Zwift25!G$1,"Y")</f>
        <v>53</v>
      </c>
      <c r="M1337" s="67">
        <f>IF(J1337="m",VLOOKUP(L1337,'All Solo Adjustments'!A:D,4,FALSE),VLOOKUP(L1337,'All Solo Adjustments'!A:J,10,FALSE))</f>
        <v>1.6666666666666668E-3</v>
      </c>
      <c r="N1337" s="63"/>
      <c r="O1337" s="63"/>
      <c r="P1337" s="63"/>
      <c r="Q1337" s="63"/>
      <c r="R1337" t="s">
        <v>527</v>
      </c>
      <c r="S1337" t="s">
        <v>526</v>
      </c>
      <c r="T1337" t="s">
        <v>292</v>
      </c>
      <c r="U1337" t="s">
        <v>6292</v>
      </c>
      <c r="V1337" t="s">
        <v>1666</v>
      </c>
      <c r="W1337" t="s">
        <v>1050</v>
      </c>
      <c r="Y1337" t="s">
        <v>6291</v>
      </c>
      <c r="Z1337" t="str">
        <f>"07719713902"</f>
        <v>07719713902</v>
      </c>
      <c r="AA1337" t="str">
        <f>""</f>
        <v/>
      </c>
      <c r="AB1337" t="s">
        <v>1049</v>
      </c>
      <c r="AC1337" t="s">
        <v>6290</v>
      </c>
      <c r="AD1337" t="s">
        <v>114</v>
      </c>
      <c r="AE1337" s="63">
        <v>45265</v>
      </c>
      <c r="AF1337" t="s">
        <v>113</v>
      </c>
      <c r="AG1337" t="s">
        <v>112</v>
      </c>
      <c r="AH1337" t="s">
        <v>112</v>
      </c>
      <c r="AI1337" s="63">
        <v>44653</v>
      </c>
      <c r="AJ1337" s="63">
        <v>45657</v>
      </c>
      <c r="AK1337" t="s">
        <v>112</v>
      </c>
      <c r="AL1337" t="s">
        <v>111</v>
      </c>
      <c r="AM1337" t="s">
        <v>111</v>
      </c>
      <c r="AN1337">
        <v>35068</v>
      </c>
      <c r="AO1337" t="s">
        <v>110</v>
      </c>
      <c r="AP1337" t="s">
        <v>109</v>
      </c>
    </row>
    <row r="1338" spans="1:42" x14ac:dyDescent="0.25">
      <c r="A1338" s="28" t="str">
        <f>"14311"</f>
        <v>14311</v>
      </c>
      <c r="B1338">
        <v>14311</v>
      </c>
      <c r="C1338" t="s">
        <v>2488</v>
      </c>
      <c r="D1338" t="s">
        <v>121</v>
      </c>
      <c r="F1338" t="s">
        <v>120</v>
      </c>
      <c r="G1338" t="s">
        <v>649</v>
      </c>
      <c r="H1338" t="s">
        <v>230</v>
      </c>
      <c r="I1338" t="s">
        <v>6289</v>
      </c>
      <c r="J1338" t="s">
        <v>7</v>
      </c>
      <c r="K1338" s="63">
        <v>21942</v>
      </c>
      <c r="L1338" s="28">
        <f>DATEDIF(K1338,Zwift25!G$1,"Y")</f>
        <v>64</v>
      </c>
      <c r="M1338" s="67">
        <f>IF(J1338="m",VLOOKUP(L1338,'All Solo Adjustments'!A:D,4,FALSE),VLOOKUP(L1338,'All Solo Adjustments'!A:J,10,FALSE))</f>
        <v>4.31712962962963E-3</v>
      </c>
      <c r="N1338" s="63"/>
      <c r="O1338" s="63"/>
      <c r="P1338" s="63"/>
      <c r="Q1338" s="63"/>
      <c r="R1338" t="s">
        <v>296</v>
      </c>
      <c r="S1338" t="s">
        <v>295</v>
      </c>
      <c r="T1338" t="s">
        <v>292</v>
      </c>
      <c r="U1338" t="s">
        <v>6288</v>
      </c>
      <c r="V1338" t="s">
        <v>1326</v>
      </c>
      <c r="Y1338" t="s">
        <v>6287</v>
      </c>
      <c r="Z1338" t="str">
        <f>"07751485144"</f>
        <v>07751485144</v>
      </c>
      <c r="AA1338" t="str">
        <f>""</f>
        <v/>
      </c>
      <c r="AB1338" t="s">
        <v>6286</v>
      </c>
      <c r="AC1338" t="s">
        <v>6285</v>
      </c>
      <c r="AD1338" t="s">
        <v>114</v>
      </c>
      <c r="AE1338" s="63">
        <v>45266</v>
      </c>
      <c r="AF1338" t="s">
        <v>156</v>
      </c>
      <c r="AG1338" t="s">
        <v>112</v>
      </c>
      <c r="AH1338" t="s">
        <v>112</v>
      </c>
      <c r="AI1338" s="63">
        <v>43650</v>
      </c>
      <c r="AJ1338" s="63">
        <v>45657</v>
      </c>
      <c r="AK1338" t="s">
        <v>112</v>
      </c>
      <c r="AL1338" t="s">
        <v>111</v>
      </c>
      <c r="AM1338" t="s">
        <v>111</v>
      </c>
      <c r="AN1338">
        <v>11005</v>
      </c>
      <c r="AO1338" t="s">
        <v>110</v>
      </c>
      <c r="AP1338" t="s">
        <v>109</v>
      </c>
    </row>
    <row r="1339" spans="1:42" x14ac:dyDescent="0.25">
      <c r="A1339" s="28" t="str">
        <f>"4929"</f>
        <v>4929</v>
      </c>
      <c r="B1339">
        <v>4929</v>
      </c>
      <c r="C1339" t="s">
        <v>2488</v>
      </c>
      <c r="D1339" t="s">
        <v>132</v>
      </c>
      <c r="F1339" t="s">
        <v>120</v>
      </c>
      <c r="G1339" t="s">
        <v>492</v>
      </c>
      <c r="I1339" t="s">
        <v>1611</v>
      </c>
      <c r="J1339" t="s">
        <v>7</v>
      </c>
      <c r="K1339" s="63">
        <v>22230</v>
      </c>
      <c r="L1339" s="28">
        <f>DATEDIF(K1339,Zwift25!G$1,"Y")</f>
        <v>63</v>
      </c>
      <c r="M1339" s="67">
        <f>IF(J1339="m",VLOOKUP(L1339,'All Solo Adjustments'!A:D,4,FALSE),VLOOKUP(L1339,'All Solo Adjustments'!A:J,10,FALSE))</f>
        <v>4.0277777777777777E-3</v>
      </c>
      <c r="N1339" s="63"/>
      <c r="O1339" s="63"/>
      <c r="P1339" s="63"/>
      <c r="Q1339" s="63"/>
      <c r="R1339" t="s">
        <v>180</v>
      </c>
      <c r="S1339" t="s">
        <v>1741</v>
      </c>
      <c r="T1339" t="s">
        <v>292</v>
      </c>
      <c r="U1339" t="s">
        <v>6283</v>
      </c>
      <c r="V1339" t="s">
        <v>1471</v>
      </c>
      <c r="W1339" t="s">
        <v>992</v>
      </c>
      <c r="Y1339" t="s">
        <v>6282</v>
      </c>
      <c r="Z1339" t="str">
        <f>"07738 969884"</f>
        <v>07738 969884</v>
      </c>
      <c r="AA1339" t="str">
        <f>""</f>
        <v/>
      </c>
      <c r="AB1339" t="s">
        <v>1470</v>
      </c>
      <c r="AC1339" t="s">
        <v>6284</v>
      </c>
      <c r="AD1339" t="s">
        <v>114</v>
      </c>
      <c r="AE1339" s="63">
        <v>45293</v>
      </c>
      <c r="AF1339" t="s">
        <v>156</v>
      </c>
      <c r="AG1339" t="s">
        <v>112</v>
      </c>
      <c r="AH1339" t="s">
        <v>112</v>
      </c>
      <c r="AI1339" s="63">
        <v>41681</v>
      </c>
      <c r="AJ1339" s="63">
        <v>45657</v>
      </c>
      <c r="AK1339" t="s">
        <v>111</v>
      </c>
      <c r="AL1339" t="s">
        <v>111</v>
      </c>
      <c r="AM1339" t="s">
        <v>111</v>
      </c>
      <c r="AN1339">
        <v>1216</v>
      </c>
      <c r="AO1339" t="s">
        <v>110</v>
      </c>
      <c r="AP1339" t="s">
        <v>109</v>
      </c>
    </row>
    <row r="1340" spans="1:42" x14ac:dyDescent="0.25">
      <c r="A1340" s="28" t="str">
        <f>"10402"</f>
        <v>10402</v>
      </c>
      <c r="B1340">
        <v>10402</v>
      </c>
      <c r="C1340" t="s">
        <v>2488</v>
      </c>
      <c r="D1340" t="s">
        <v>130</v>
      </c>
      <c r="F1340" t="s">
        <v>149</v>
      </c>
      <c r="G1340" t="s">
        <v>215</v>
      </c>
      <c r="I1340" t="s">
        <v>1611</v>
      </c>
      <c r="J1340" t="s">
        <v>126</v>
      </c>
      <c r="K1340" s="63">
        <v>22300</v>
      </c>
      <c r="L1340" s="28">
        <f>DATEDIF(K1340,Zwift25!G$1,"Y")</f>
        <v>63</v>
      </c>
      <c r="M1340" s="67">
        <f>IF(J1340="m",VLOOKUP(L1340,'All Solo Adjustments'!A:D,4,FALSE),VLOOKUP(L1340,'All Solo Adjustments'!A:J,10,FALSE))</f>
        <v>8.0092592592592594E-3</v>
      </c>
      <c r="N1340" s="63"/>
      <c r="O1340" s="63"/>
      <c r="P1340" s="63"/>
      <c r="Q1340" s="63"/>
      <c r="R1340" t="s">
        <v>180</v>
      </c>
      <c r="S1340" t="s">
        <v>1741</v>
      </c>
      <c r="T1340" t="s">
        <v>292</v>
      </c>
      <c r="U1340" t="s">
        <v>6283</v>
      </c>
      <c r="V1340" t="s">
        <v>1471</v>
      </c>
      <c r="W1340" t="s">
        <v>992</v>
      </c>
      <c r="Y1340" t="s">
        <v>6282</v>
      </c>
      <c r="Z1340" t="str">
        <f>"07738 969884"</f>
        <v>07738 969884</v>
      </c>
      <c r="AA1340" t="str">
        <f>""</f>
        <v/>
      </c>
      <c r="AB1340" t="s">
        <v>1470</v>
      </c>
      <c r="AC1340" t="s">
        <v>6281</v>
      </c>
      <c r="AD1340" t="s">
        <v>114</v>
      </c>
      <c r="AE1340" s="63">
        <v>45293</v>
      </c>
      <c r="AF1340" t="s">
        <v>113</v>
      </c>
      <c r="AG1340" t="s">
        <v>112</v>
      </c>
      <c r="AH1340" t="s">
        <v>112</v>
      </c>
      <c r="AI1340" s="63">
        <v>41681</v>
      </c>
      <c r="AJ1340" s="63">
        <v>45657</v>
      </c>
      <c r="AK1340" t="s">
        <v>111</v>
      </c>
      <c r="AL1340" t="s">
        <v>111</v>
      </c>
      <c r="AM1340" t="s">
        <v>111</v>
      </c>
      <c r="AN1340">
        <v>1219</v>
      </c>
      <c r="AO1340" t="s">
        <v>122</v>
      </c>
      <c r="AP1340" t="s">
        <v>122</v>
      </c>
    </row>
    <row r="1341" spans="1:42" x14ac:dyDescent="0.25">
      <c r="A1341" s="28" t="str">
        <f>"1673"</f>
        <v>1673</v>
      </c>
      <c r="B1341">
        <v>1673</v>
      </c>
      <c r="C1341" t="s">
        <v>2488</v>
      </c>
      <c r="D1341" t="s">
        <v>121</v>
      </c>
      <c r="F1341" t="s">
        <v>120</v>
      </c>
      <c r="G1341" t="s">
        <v>481</v>
      </c>
      <c r="I1341" t="s">
        <v>1611</v>
      </c>
      <c r="J1341" t="s">
        <v>7</v>
      </c>
      <c r="K1341" s="63">
        <v>11537</v>
      </c>
      <c r="L1341" s="28">
        <f>DATEDIF(K1341,Zwift25!G$1,"Y")</f>
        <v>93</v>
      </c>
      <c r="M1341" s="67">
        <f>IF(J1341="m",VLOOKUP(L1341,'All Solo Adjustments'!A:D,4,FALSE),VLOOKUP(L1341,'All Solo Adjustments'!A:J,10,FALSE))</f>
        <v>2.1516203703703704E-2</v>
      </c>
      <c r="N1341" s="63"/>
      <c r="O1341" s="63"/>
      <c r="P1341" s="63"/>
      <c r="Q1341" s="63"/>
      <c r="R1341" t="s">
        <v>180</v>
      </c>
      <c r="S1341" t="s">
        <v>2288</v>
      </c>
      <c r="T1341" t="s">
        <v>292</v>
      </c>
      <c r="U1341" t="s">
        <v>6280</v>
      </c>
      <c r="V1341" t="s">
        <v>6279</v>
      </c>
      <c r="W1341" t="s">
        <v>177</v>
      </c>
      <c r="Y1341" t="s">
        <v>6278</v>
      </c>
      <c r="Z1341" t="str">
        <f>"01623 750287"</f>
        <v>01623 750287</v>
      </c>
      <c r="AA1341" t="str">
        <f>""</f>
        <v/>
      </c>
      <c r="AB1341" t="s">
        <v>1665</v>
      </c>
      <c r="AD1341" t="s">
        <v>151</v>
      </c>
      <c r="AF1341" t="s">
        <v>113</v>
      </c>
      <c r="AG1341" t="s">
        <v>112</v>
      </c>
      <c r="AH1341" t="s">
        <v>112</v>
      </c>
      <c r="AK1341" t="s">
        <v>111</v>
      </c>
      <c r="AL1341" t="s">
        <v>111</v>
      </c>
      <c r="AM1341" t="s">
        <v>111</v>
      </c>
      <c r="AN1341" t="s">
        <v>105</v>
      </c>
      <c r="AO1341" t="s">
        <v>110</v>
      </c>
      <c r="AP1341" t="s">
        <v>109</v>
      </c>
    </row>
    <row r="1342" spans="1:42" x14ac:dyDescent="0.25">
      <c r="A1342" s="28" t="str">
        <f>"1674"</f>
        <v>1674</v>
      </c>
      <c r="B1342">
        <v>1674</v>
      </c>
      <c r="C1342" t="s">
        <v>2488</v>
      </c>
      <c r="D1342" t="s">
        <v>121</v>
      </c>
      <c r="E1342" t="s">
        <v>584</v>
      </c>
      <c r="F1342" t="s">
        <v>120</v>
      </c>
      <c r="G1342" t="s">
        <v>402</v>
      </c>
      <c r="H1342" t="s">
        <v>952</v>
      </c>
      <c r="I1342" t="s">
        <v>6277</v>
      </c>
      <c r="J1342" t="s">
        <v>7</v>
      </c>
      <c r="K1342" s="63">
        <v>21392</v>
      </c>
      <c r="L1342" s="28">
        <f>DATEDIF(K1342,Zwift25!G$1,"Y")</f>
        <v>66</v>
      </c>
      <c r="M1342" s="67">
        <f>IF(J1342="m",VLOOKUP(L1342,'All Solo Adjustments'!A:D,4,FALSE),VLOOKUP(L1342,'All Solo Adjustments'!A:J,10,FALSE))</f>
        <v>4.9421296296296297E-3</v>
      </c>
      <c r="N1342" s="63"/>
      <c r="O1342" s="63"/>
      <c r="P1342" s="63"/>
      <c r="Q1342" s="63"/>
      <c r="R1342" t="s">
        <v>137</v>
      </c>
      <c r="S1342" t="s">
        <v>136</v>
      </c>
      <c r="T1342" t="s">
        <v>292</v>
      </c>
      <c r="U1342" t="s">
        <v>6276</v>
      </c>
      <c r="V1342" t="s">
        <v>350</v>
      </c>
      <c r="W1342" t="s">
        <v>350</v>
      </c>
      <c r="X1342" t="s">
        <v>564</v>
      </c>
      <c r="Y1342" t="s">
        <v>6275</v>
      </c>
      <c r="Z1342" t="str">
        <f>"07738657624"</f>
        <v>07738657624</v>
      </c>
      <c r="AA1342" t="str">
        <f>"07738657624"</f>
        <v>07738657624</v>
      </c>
      <c r="AB1342" t="s">
        <v>825</v>
      </c>
      <c r="AC1342" t="s">
        <v>6274</v>
      </c>
      <c r="AD1342" t="s">
        <v>114</v>
      </c>
      <c r="AE1342" s="63">
        <v>45293</v>
      </c>
      <c r="AF1342" t="s">
        <v>113</v>
      </c>
      <c r="AG1342" t="s">
        <v>112</v>
      </c>
      <c r="AH1342" t="s">
        <v>112</v>
      </c>
      <c r="AI1342" s="63">
        <v>40909</v>
      </c>
      <c r="AJ1342" s="63">
        <v>45657</v>
      </c>
      <c r="AK1342" t="s">
        <v>111</v>
      </c>
      <c r="AL1342" t="s">
        <v>111</v>
      </c>
      <c r="AM1342" t="s">
        <v>111</v>
      </c>
      <c r="AN1342">
        <v>128</v>
      </c>
      <c r="AO1342" t="s">
        <v>110</v>
      </c>
      <c r="AP1342" t="s">
        <v>109</v>
      </c>
    </row>
    <row r="1343" spans="1:42" x14ac:dyDescent="0.25">
      <c r="A1343" s="28" t="str">
        <f>"1669"</f>
        <v>1669</v>
      </c>
      <c r="B1343">
        <v>1669</v>
      </c>
      <c r="C1343" t="s">
        <v>2488</v>
      </c>
      <c r="D1343" t="s">
        <v>121</v>
      </c>
      <c r="F1343" t="s">
        <v>120</v>
      </c>
      <c r="G1343" t="s">
        <v>1464</v>
      </c>
      <c r="I1343" t="s">
        <v>6273</v>
      </c>
      <c r="J1343" t="s">
        <v>7</v>
      </c>
      <c r="K1343" s="63">
        <v>15684</v>
      </c>
      <c r="L1343" s="28">
        <f>DATEDIF(K1343,Zwift25!G$1,"Y")</f>
        <v>81</v>
      </c>
      <c r="M1343" s="67">
        <f>IF(J1343="m",VLOOKUP(L1343,'All Solo Adjustments'!A:D,4,FALSE),VLOOKUP(L1343,'All Solo Adjustments'!A:J,10,FALSE))</f>
        <v>1.1597222222222222E-2</v>
      </c>
      <c r="N1343" s="63"/>
      <c r="O1343" s="63"/>
      <c r="P1343" s="63"/>
      <c r="Q1343" s="63"/>
      <c r="R1343" t="s">
        <v>159</v>
      </c>
      <c r="S1343" t="s">
        <v>570</v>
      </c>
      <c r="T1343" t="s">
        <v>292</v>
      </c>
      <c r="U1343" t="s">
        <v>6272</v>
      </c>
      <c r="V1343" t="s">
        <v>6271</v>
      </c>
      <c r="W1343" t="s">
        <v>159</v>
      </c>
      <c r="Y1343" t="s">
        <v>6270</v>
      </c>
      <c r="Z1343" t="str">
        <f>"01732 822940"</f>
        <v>01732 822940</v>
      </c>
      <c r="AA1343" t="str">
        <f>"07753 105865"</f>
        <v>07753 105865</v>
      </c>
      <c r="AB1343" t="s">
        <v>1305</v>
      </c>
      <c r="AC1343" t="s">
        <v>6269</v>
      </c>
      <c r="AD1343" t="s">
        <v>145</v>
      </c>
      <c r="AF1343" t="s">
        <v>156</v>
      </c>
      <c r="AG1343" t="s">
        <v>112</v>
      </c>
      <c r="AH1343" t="s">
        <v>112</v>
      </c>
      <c r="AI1343" s="63">
        <v>43423</v>
      </c>
      <c r="AK1343" t="s">
        <v>111</v>
      </c>
      <c r="AL1343" t="s">
        <v>111</v>
      </c>
      <c r="AM1343" t="s">
        <v>111</v>
      </c>
      <c r="AN1343" t="s">
        <v>105</v>
      </c>
      <c r="AO1343" t="s">
        <v>110</v>
      </c>
      <c r="AP1343" t="s">
        <v>109</v>
      </c>
    </row>
    <row r="1344" spans="1:42" x14ac:dyDescent="0.25">
      <c r="A1344" s="28" t="str">
        <f>"1671"</f>
        <v>1671</v>
      </c>
      <c r="B1344">
        <v>1671</v>
      </c>
      <c r="C1344" t="s">
        <v>2488</v>
      </c>
      <c r="D1344" t="s">
        <v>121</v>
      </c>
      <c r="F1344" t="s">
        <v>120</v>
      </c>
      <c r="G1344" t="s">
        <v>506</v>
      </c>
      <c r="I1344" t="s">
        <v>1611</v>
      </c>
      <c r="J1344" t="s">
        <v>7</v>
      </c>
      <c r="K1344" s="63">
        <v>12490</v>
      </c>
      <c r="L1344" s="28">
        <f>DATEDIF(K1344,Zwift25!G$1,"Y")</f>
        <v>90</v>
      </c>
      <c r="M1344" s="67">
        <f>IF(J1344="m",VLOOKUP(L1344,'All Solo Adjustments'!A:D,4,FALSE),VLOOKUP(L1344,'All Solo Adjustments'!A:J,10,FALSE))</f>
        <v>1.8391203703703705E-2</v>
      </c>
      <c r="N1344" s="63"/>
      <c r="O1344" s="63"/>
      <c r="P1344" s="63"/>
      <c r="Q1344" s="63"/>
      <c r="R1344" t="s">
        <v>118</v>
      </c>
      <c r="S1344" t="s">
        <v>873</v>
      </c>
      <c r="T1344" t="s">
        <v>292</v>
      </c>
      <c r="U1344" t="s">
        <v>6268</v>
      </c>
      <c r="V1344" t="s">
        <v>6267</v>
      </c>
      <c r="W1344" t="s">
        <v>6266</v>
      </c>
      <c r="Y1344" t="s">
        <v>6265</v>
      </c>
      <c r="Z1344" t="str">
        <f>"01777 818775"</f>
        <v>01777 818775</v>
      </c>
      <c r="AA1344" t="str">
        <f>""</f>
        <v/>
      </c>
      <c r="AB1344" t="s">
        <v>1566</v>
      </c>
      <c r="AD1344" t="s">
        <v>151</v>
      </c>
      <c r="AF1344" t="s">
        <v>113</v>
      </c>
      <c r="AG1344" t="s">
        <v>112</v>
      </c>
      <c r="AH1344" t="s">
        <v>112</v>
      </c>
      <c r="AI1344" s="63">
        <v>32874</v>
      </c>
      <c r="AK1344" t="s">
        <v>111</v>
      </c>
      <c r="AL1344" t="s">
        <v>111</v>
      </c>
      <c r="AM1344" t="s">
        <v>111</v>
      </c>
      <c r="AN1344" t="s">
        <v>105</v>
      </c>
      <c r="AO1344" t="s">
        <v>110</v>
      </c>
      <c r="AP1344" t="s">
        <v>109</v>
      </c>
    </row>
    <row r="1345" spans="1:42" x14ac:dyDescent="0.25">
      <c r="A1345" s="28" t="str">
        <f>"1672"</f>
        <v>1672</v>
      </c>
      <c r="B1345">
        <v>1672</v>
      </c>
      <c r="C1345" t="s">
        <v>2488</v>
      </c>
      <c r="D1345" t="s">
        <v>121</v>
      </c>
      <c r="F1345" t="s">
        <v>120</v>
      </c>
      <c r="G1345" t="s">
        <v>389</v>
      </c>
      <c r="I1345" t="s">
        <v>1611</v>
      </c>
      <c r="J1345" t="s">
        <v>7</v>
      </c>
      <c r="K1345" s="63">
        <v>15322</v>
      </c>
      <c r="L1345" s="28">
        <f>DATEDIF(K1345,Zwift25!G$1,"Y")</f>
        <v>82</v>
      </c>
      <c r="M1345" s="67">
        <f>IF(J1345="m",VLOOKUP(L1345,'All Solo Adjustments'!A:D,4,FALSE),VLOOKUP(L1345,'All Solo Adjustments'!A:J,10,FALSE))</f>
        <v>1.2210648148148148E-2</v>
      </c>
      <c r="N1345" s="63"/>
      <c r="O1345" s="63"/>
      <c r="P1345" s="63"/>
      <c r="Q1345" s="63"/>
      <c r="R1345" t="s">
        <v>118</v>
      </c>
      <c r="S1345" t="s">
        <v>873</v>
      </c>
      <c r="T1345" t="s">
        <v>292</v>
      </c>
      <c r="U1345" t="s">
        <v>6264</v>
      </c>
      <c r="V1345" t="s">
        <v>6263</v>
      </c>
      <c r="W1345" t="s">
        <v>1430</v>
      </c>
      <c r="Y1345" t="s">
        <v>6262</v>
      </c>
      <c r="Z1345" t="str">
        <f>"01709 542007"</f>
        <v>01709 542007</v>
      </c>
      <c r="AA1345" t="str">
        <f>""</f>
        <v/>
      </c>
      <c r="AB1345" t="s">
        <v>4316</v>
      </c>
      <c r="AC1345" t="s">
        <v>6261</v>
      </c>
      <c r="AD1345" t="s">
        <v>145</v>
      </c>
      <c r="AF1345" t="s">
        <v>113</v>
      </c>
      <c r="AG1345" t="s">
        <v>112</v>
      </c>
      <c r="AH1345" t="s">
        <v>112</v>
      </c>
      <c r="AI1345" s="63">
        <v>35431</v>
      </c>
      <c r="AK1345" t="s">
        <v>111</v>
      </c>
      <c r="AL1345" t="s">
        <v>111</v>
      </c>
      <c r="AM1345" t="s">
        <v>111</v>
      </c>
      <c r="AN1345" t="s">
        <v>105</v>
      </c>
      <c r="AO1345" t="s">
        <v>110</v>
      </c>
      <c r="AP1345" t="s">
        <v>109</v>
      </c>
    </row>
    <row r="1346" spans="1:42" x14ac:dyDescent="0.25">
      <c r="A1346" s="28" t="str">
        <f>"15234"</f>
        <v>15234</v>
      </c>
      <c r="B1346">
        <v>15234</v>
      </c>
      <c r="C1346" t="s">
        <v>2488</v>
      </c>
      <c r="D1346" t="s">
        <v>121</v>
      </c>
      <c r="E1346" t="s">
        <v>584</v>
      </c>
      <c r="F1346" t="s">
        <v>120</v>
      </c>
      <c r="G1346" t="s">
        <v>2826</v>
      </c>
      <c r="H1346" t="s">
        <v>952</v>
      </c>
      <c r="I1346" t="s">
        <v>1611</v>
      </c>
      <c r="J1346" t="s">
        <v>7</v>
      </c>
      <c r="K1346" s="63">
        <v>17445</v>
      </c>
      <c r="L1346" s="28">
        <f>DATEDIF(K1346,Zwift25!G$1,"Y")</f>
        <v>77</v>
      </c>
      <c r="M1346" s="67">
        <f>IF(J1346="m",VLOOKUP(L1346,'All Solo Adjustments'!A:D,4,FALSE),VLOOKUP(L1346,'All Solo Adjustments'!A:J,10,FALSE))</f>
        <v>9.3981481481481485E-3</v>
      </c>
      <c r="N1346" s="63"/>
      <c r="O1346" s="63"/>
      <c r="P1346" s="63"/>
      <c r="Q1346" s="63"/>
      <c r="R1346" t="s">
        <v>283</v>
      </c>
      <c r="S1346" t="s">
        <v>530</v>
      </c>
      <c r="T1346" t="s">
        <v>292</v>
      </c>
      <c r="U1346" t="s">
        <v>6260</v>
      </c>
      <c r="V1346" t="s">
        <v>6259</v>
      </c>
      <c r="W1346" t="s">
        <v>1128</v>
      </c>
      <c r="X1346" t="s">
        <v>495</v>
      </c>
      <c r="Y1346" t="s">
        <v>6258</v>
      </c>
      <c r="Z1346" t="str">
        <f>"01785 823480"</f>
        <v>01785 823480</v>
      </c>
      <c r="AA1346" t="str">
        <f>"07802366269"</f>
        <v>07802366269</v>
      </c>
      <c r="AB1346" t="s">
        <v>1444</v>
      </c>
      <c r="AC1346" t="s">
        <v>6257</v>
      </c>
      <c r="AD1346" t="s">
        <v>114</v>
      </c>
      <c r="AE1346" s="63">
        <v>45295</v>
      </c>
      <c r="AF1346" t="s">
        <v>113</v>
      </c>
      <c r="AG1346" t="s">
        <v>112</v>
      </c>
      <c r="AH1346" t="s">
        <v>112</v>
      </c>
      <c r="AI1346" s="63">
        <v>44448</v>
      </c>
      <c r="AJ1346" s="63">
        <v>45657</v>
      </c>
      <c r="AK1346" t="s">
        <v>112</v>
      </c>
      <c r="AL1346" t="s">
        <v>111</v>
      </c>
      <c r="AM1346" t="s">
        <v>111</v>
      </c>
      <c r="AN1346">
        <v>2906</v>
      </c>
      <c r="AO1346" t="s">
        <v>110</v>
      </c>
      <c r="AP1346" t="s">
        <v>109</v>
      </c>
    </row>
    <row r="1347" spans="1:42" x14ac:dyDescent="0.25">
      <c r="A1347" s="28" t="str">
        <f>"15262"</f>
        <v>15262</v>
      </c>
      <c r="B1347">
        <v>15262</v>
      </c>
      <c r="C1347" t="s">
        <v>2488</v>
      </c>
      <c r="D1347" t="s">
        <v>121</v>
      </c>
      <c r="F1347" t="s">
        <v>120</v>
      </c>
      <c r="G1347" t="s">
        <v>285</v>
      </c>
      <c r="I1347" t="s">
        <v>1611</v>
      </c>
      <c r="J1347" t="s">
        <v>7</v>
      </c>
      <c r="K1347" s="63">
        <v>22613</v>
      </c>
      <c r="L1347" s="28">
        <f>DATEDIF(K1347,Zwift25!G$1,"Y")</f>
        <v>62</v>
      </c>
      <c r="M1347" s="67">
        <f>IF(J1347="m",VLOOKUP(L1347,'All Solo Adjustments'!A:D,4,FALSE),VLOOKUP(L1347,'All Solo Adjustments'!A:J,10,FALSE))</f>
        <v>3.7384259259259259E-3</v>
      </c>
      <c r="N1347" s="63"/>
      <c r="O1347" s="63"/>
      <c r="P1347" s="63"/>
      <c r="Q1347" s="63"/>
      <c r="R1347" t="s">
        <v>198</v>
      </c>
      <c r="S1347" t="s">
        <v>461</v>
      </c>
      <c r="T1347" t="s">
        <v>292</v>
      </c>
      <c r="U1347" t="s">
        <v>6256</v>
      </c>
      <c r="V1347" t="s">
        <v>6255</v>
      </c>
      <c r="W1347" t="s">
        <v>1859</v>
      </c>
      <c r="Y1347" t="s">
        <v>6254</v>
      </c>
      <c r="Z1347" t="str">
        <f>"07548734577"</f>
        <v>07548734577</v>
      </c>
      <c r="AA1347" t="str">
        <f>"01663734482"</f>
        <v>01663734482</v>
      </c>
      <c r="AB1347" t="s">
        <v>408</v>
      </c>
      <c r="AC1347" t="s">
        <v>6253</v>
      </c>
      <c r="AD1347" t="s">
        <v>114</v>
      </c>
      <c r="AE1347" s="63">
        <v>45301</v>
      </c>
      <c r="AF1347" t="s">
        <v>113</v>
      </c>
      <c r="AG1347" t="s">
        <v>112</v>
      </c>
      <c r="AH1347" t="s">
        <v>112</v>
      </c>
      <c r="AI1347" s="63">
        <v>44474</v>
      </c>
      <c r="AJ1347" s="63">
        <v>45657</v>
      </c>
      <c r="AK1347" t="s">
        <v>112</v>
      </c>
      <c r="AL1347" t="s">
        <v>111</v>
      </c>
      <c r="AM1347" t="s">
        <v>111</v>
      </c>
      <c r="AN1347" t="s">
        <v>105</v>
      </c>
      <c r="AO1347" t="s">
        <v>110</v>
      </c>
      <c r="AP1347" t="s">
        <v>109</v>
      </c>
    </row>
    <row r="1348" spans="1:42" x14ac:dyDescent="0.25">
      <c r="A1348" s="28" t="str">
        <f>"12633"</f>
        <v>12633</v>
      </c>
      <c r="B1348">
        <v>12633</v>
      </c>
      <c r="C1348" t="s">
        <v>2488</v>
      </c>
      <c r="D1348" t="s">
        <v>121</v>
      </c>
      <c r="F1348" t="s">
        <v>120</v>
      </c>
      <c r="G1348" t="s">
        <v>6252</v>
      </c>
      <c r="I1348" t="s">
        <v>6251</v>
      </c>
      <c r="J1348" t="s">
        <v>7</v>
      </c>
      <c r="K1348" s="63">
        <v>27316</v>
      </c>
      <c r="L1348" s="28">
        <f>DATEDIF(K1348,Zwift25!G$1,"Y")</f>
        <v>49</v>
      </c>
      <c r="M1348" s="67">
        <f>IF(J1348="m",VLOOKUP(L1348,'All Solo Adjustments'!A:D,4,FALSE),VLOOKUP(L1348,'All Solo Adjustments'!A:J,10,FALSE))</f>
        <v>9.837962962962962E-4</v>
      </c>
      <c r="N1348" s="63"/>
      <c r="O1348" s="63"/>
      <c r="P1348" s="63"/>
      <c r="Q1348" s="63"/>
      <c r="R1348" t="s">
        <v>154</v>
      </c>
      <c r="S1348" t="s">
        <v>153</v>
      </c>
      <c r="T1348" t="s">
        <v>292</v>
      </c>
      <c r="U1348" t="s">
        <v>6250</v>
      </c>
      <c r="V1348" t="s">
        <v>6249</v>
      </c>
      <c r="W1348" t="s">
        <v>6248</v>
      </c>
      <c r="X1348" t="s">
        <v>6247</v>
      </c>
      <c r="Y1348" t="s">
        <v>6246</v>
      </c>
      <c r="Z1348" t="str">
        <f>"07825241357"</f>
        <v>07825241357</v>
      </c>
      <c r="AA1348" t="str">
        <f>""</f>
        <v/>
      </c>
      <c r="AB1348" t="s">
        <v>6245</v>
      </c>
      <c r="AC1348" t="s">
        <v>6244</v>
      </c>
      <c r="AD1348" t="s">
        <v>114</v>
      </c>
      <c r="AE1348" s="63">
        <v>45506</v>
      </c>
      <c r="AF1348" t="s">
        <v>156</v>
      </c>
      <c r="AG1348" t="s">
        <v>112</v>
      </c>
      <c r="AH1348" t="s">
        <v>112</v>
      </c>
      <c r="AI1348" s="63">
        <v>43222</v>
      </c>
      <c r="AJ1348" s="63">
        <v>45657</v>
      </c>
      <c r="AK1348" t="s">
        <v>112</v>
      </c>
      <c r="AL1348" t="s">
        <v>111</v>
      </c>
      <c r="AM1348" t="s">
        <v>111</v>
      </c>
      <c r="AN1348">
        <v>1959</v>
      </c>
      <c r="AO1348" t="s">
        <v>110</v>
      </c>
      <c r="AP1348" t="s">
        <v>109</v>
      </c>
    </row>
    <row r="1349" spans="1:42" x14ac:dyDescent="0.25">
      <c r="A1349" s="28" t="str">
        <f>"6293"</f>
        <v>6293</v>
      </c>
      <c r="B1349">
        <v>6293</v>
      </c>
      <c r="C1349" t="s">
        <v>2488</v>
      </c>
      <c r="D1349" t="s">
        <v>121</v>
      </c>
      <c r="E1349" t="s">
        <v>2500</v>
      </c>
      <c r="F1349" t="s">
        <v>149</v>
      </c>
      <c r="G1349" t="s">
        <v>4555</v>
      </c>
      <c r="I1349" t="s">
        <v>1607</v>
      </c>
      <c r="J1349" t="s">
        <v>126</v>
      </c>
      <c r="K1349" s="63">
        <v>25698</v>
      </c>
      <c r="L1349" s="28">
        <f>DATEDIF(K1349,Zwift25!G$1,"Y")</f>
        <v>54</v>
      </c>
      <c r="M1349" s="67">
        <f>IF(J1349="m",VLOOKUP(L1349,'All Solo Adjustments'!A:D,4,FALSE),VLOOKUP(L1349,'All Solo Adjustments'!A:J,10,FALSE))</f>
        <v>5.4861111111111109E-3</v>
      </c>
      <c r="N1349" s="63"/>
      <c r="O1349" s="63"/>
      <c r="P1349" s="63"/>
      <c r="Q1349" s="63"/>
      <c r="R1349" t="s">
        <v>328</v>
      </c>
      <c r="S1349" t="s">
        <v>327</v>
      </c>
      <c r="T1349" t="s">
        <v>292</v>
      </c>
      <c r="U1349" t="s">
        <v>6243</v>
      </c>
      <c r="V1349" t="s">
        <v>6242</v>
      </c>
      <c r="W1349" t="s">
        <v>6241</v>
      </c>
      <c r="X1349" t="s">
        <v>325</v>
      </c>
      <c r="Y1349" t="s">
        <v>6240</v>
      </c>
      <c r="Z1349" t="str">
        <f>"07764 225 778"</f>
        <v>07764 225 778</v>
      </c>
      <c r="AA1349" t="str">
        <f>"01257253150"</f>
        <v>01257253150</v>
      </c>
      <c r="AB1349" t="s">
        <v>1501</v>
      </c>
      <c r="AC1349" t="s">
        <v>6239</v>
      </c>
      <c r="AD1349" t="s">
        <v>114</v>
      </c>
      <c r="AE1349" s="63">
        <v>45573</v>
      </c>
      <c r="AF1349" t="s">
        <v>113</v>
      </c>
      <c r="AG1349" t="s">
        <v>112</v>
      </c>
      <c r="AH1349" t="s">
        <v>112</v>
      </c>
      <c r="AI1349" s="63">
        <v>42908</v>
      </c>
      <c r="AJ1349" s="63">
        <v>46022</v>
      </c>
      <c r="AK1349" t="s">
        <v>111</v>
      </c>
      <c r="AL1349" t="s">
        <v>111</v>
      </c>
      <c r="AM1349" t="s">
        <v>111</v>
      </c>
      <c r="AN1349">
        <v>8316</v>
      </c>
      <c r="AO1349" t="s">
        <v>122</v>
      </c>
      <c r="AP1349" t="s">
        <v>122</v>
      </c>
    </row>
    <row r="1350" spans="1:42" x14ac:dyDescent="0.25">
      <c r="A1350" s="28" t="str">
        <f>"15017"</f>
        <v>15017</v>
      </c>
      <c r="B1350">
        <v>15017</v>
      </c>
      <c r="C1350" t="s">
        <v>2488</v>
      </c>
      <c r="D1350" t="s">
        <v>121</v>
      </c>
      <c r="E1350" t="s">
        <v>584</v>
      </c>
      <c r="F1350" t="s">
        <v>120</v>
      </c>
      <c r="G1350" t="s">
        <v>348</v>
      </c>
      <c r="I1350" t="s">
        <v>1607</v>
      </c>
      <c r="J1350" t="s">
        <v>7</v>
      </c>
      <c r="K1350" s="63">
        <v>25702</v>
      </c>
      <c r="L1350" s="28">
        <f>DATEDIF(K1350,Zwift25!G$1,"Y")</f>
        <v>54</v>
      </c>
      <c r="M1350" s="67">
        <f>IF(J1350="m",VLOOKUP(L1350,'All Solo Adjustments'!A:D,4,FALSE),VLOOKUP(L1350,'All Solo Adjustments'!A:J,10,FALSE))</f>
        <v>1.8518518518518517E-3</v>
      </c>
      <c r="N1350" s="63"/>
      <c r="O1350" s="63"/>
      <c r="P1350" s="63"/>
      <c r="Q1350" s="63"/>
      <c r="R1350" t="s">
        <v>283</v>
      </c>
      <c r="S1350" t="s">
        <v>530</v>
      </c>
      <c r="T1350" t="s">
        <v>292</v>
      </c>
      <c r="U1350" t="s">
        <v>6238</v>
      </c>
      <c r="V1350" t="s">
        <v>6237</v>
      </c>
      <c r="W1350" t="s">
        <v>6236</v>
      </c>
      <c r="Y1350" t="s">
        <v>6235</v>
      </c>
      <c r="Z1350" t="str">
        <f>"07766 250970"</f>
        <v>07766 250970</v>
      </c>
      <c r="AA1350" t="str">
        <f>""</f>
        <v/>
      </c>
      <c r="AB1350" t="s">
        <v>653</v>
      </c>
      <c r="AC1350" t="s">
        <v>6234</v>
      </c>
      <c r="AD1350" t="s">
        <v>114</v>
      </c>
      <c r="AE1350" s="63">
        <v>45279</v>
      </c>
      <c r="AF1350" t="s">
        <v>156</v>
      </c>
      <c r="AG1350" t="s">
        <v>112</v>
      </c>
      <c r="AH1350" t="s">
        <v>112</v>
      </c>
      <c r="AI1350" s="63">
        <v>44312</v>
      </c>
      <c r="AJ1350" s="63">
        <v>45657</v>
      </c>
      <c r="AK1350" t="s">
        <v>112</v>
      </c>
      <c r="AL1350" t="s">
        <v>111</v>
      </c>
      <c r="AM1350" t="s">
        <v>111</v>
      </c>
      <c r="AN1350">
        <v>34357</v>
      </c>
      <c r="AO1350" t="s">
        <v>110</v>
      </c>
      <c r="AP1350" t="s">
        <v>109</v>
      </c>
    </row>
    <row r="1351" spans="1:42" x14ac:dyDescent="0.25">
      <c r="A1351" s="28" t="str">
        <f>"15351"</f>
        <v>15351</v>
      </c>
      <c r="B1351">
        <v>15351</v>
      </c>
      <c r="C1351" t="s">
        <v>2488</v>
      </c>
      <c r="D1351" t="s">
        <v>121</v>
      </c>
      <c r="F1351" t="s">
        <v>120</v>
      </c>
      <c r="G1351" t="s">
        <v>359</v>
      </c>
      <c r="H1351" t="s">
        <v>709</v>
      </c>
      <c r="I1351" t="s">
        <v>1607</v>
      </c>
      <c r="J1351" t="s">
        <v>7</v>
      </c>
      <c r="K1351" s="63">
        <v>24889</v>
      </c>
      <c r="L1351" s="28">
        <f>DATEDIF(K1351,Zwift25!G$1,"Y")</f>
        <v>56</v>
      </c>
      <c r="M1351" s="67">
        <f>IF(J1351="m",VLOOKUP(L1351,'All Solo Adjustments'!A:D,4,FALSE),VLOOKUP(L1351,'All Solo Adjustments'!A:J,10,FALSE))</f>
        <v>2.2685185185185182E-3</v>
      </c>
      <c r="N1351" s="63"/>
      <c r="O1351" s="63"/>
      <c r="P1351" s="63"/>
      <c r="Q1351" s="63"/>
      <c r="R1351" t="s">
        <v>159</v>
      </c>
      <c r="S1351" t="s">
        <v>162</v>
      </c>
      <c r="T1351" t="s">
        <v>292</v>
      </c>
      <c r="U1351" t="s">
        <v>6233</v>
      </c>
      <c r="W1351" t="s">
        <v>791</v>
      </c>
      <c r="X1351" t="s">
        <v>159</v>
      </c>
      <c r="Y1351" t="s">
        <v>6232</v>
      </c>
      <c r="Z1351" t="str">
        <f>"07748195943"</f>
        <v>07748195943</v>
      </c>
      <c r="AA1351" t="str">
        <f>""</f>
        <v/>
      </c>
      <c r="AB1351" t="s">
        <v>408</v>
      </c>
      <c r="AC1351" t="s">
        <v>6231</v>
      </c>
      <c r="AD1351" t="s">
        <v>114</v>
      </c>
      <c r="AE1351" s="63">
        <v>45444</v>
      </c>
      <c r="AF1351" t="s">
        <v>156</v>
      </c>
      <c r="AG1351" t="s">
        <v>112</v>
      </c>
      <c r="AH1351" t="s">
        <v>112</v>
      </c>
      <c r="AI1351" s="63">
        <v>44588</v>
      </c>
      <c r="AJ1351" s="63">
        <v>45657</v>
      </c>
      <c r="AK1351" t="s">
        <v>112</v>
      </c>
      <c r="AL1351" t="s">
        <v>111</v>
      </c>
      <c r="AM1351" t="s">
        <v>111</v>
      </c>
      <c r="AN1351">
        <v>23402</v>
      </c>
      <c r="AO1351" t="s">
        <v>110</v>
      </c>
      <c r="AP1351" t="s">
        <v>109</v>
      </c>
    </row>
    <row r="1352" spans="1:42" x14ac:dyDescent="0.25">
      <c r="A1352" s="28" t="str">
        <f>"1686"</f>
        <v>1686</v>
      </c>
      <c r="B1352">
        <v>1686</v>
      </c>
      <c r="C1352" t="s">
        <v>2488</v>
      </c>
      <c r="D1352" t="s">
        <v>121</v>
      </c>
      <c r="F1352" t="s">
        <v>120</v>
      </c>
      <c r="G1352" t="s">
        <v>790</v>
      </c>
      <c r="I1352" t="s">
        <v>6230</v>
      </c>
      <c r="J1352" t="s">
        <v>7</v>
      </c>
      <c r="K1352" s="63">
        <v>10992</v>
      </c>
      <c r="L1352" s="28">
        <f>DATEDIF(K1352,Zwift25!G$1,"Y")</f>
        <v>94</v>
      </c>
      <c r="M1352" s="67">
        <f>IF(J1352="m",VLOOKUP(L1352,'All Solo Adjustments'!A:D,4,FALSE),VLOOKUP(L1352,'All Solo Adjustments'!A:J,10,FALSE))</f>
        <v>2.2685185185185187E-2</v>
      </c>
      <c r="N1352" s="63"/>
      <c r="O1352" s="63"/>
      <c r="P1352" s="63"/>
      <c r="Q1352" s="63"/>
      <c r="R1352" t="s">
        <v>198</v>
      </c>
      <c r="S1352" t="s">
        <v>476</v>
      </c>
      <c r="T1352" t="s">
        <v>292</v>
      </c>
      <c r="U1352" t="s">
        <v>6229</v>
      </c>
      <c r="V1352" t="s">
        <v>1513</v>
      </c>
      <c r="W1352" t="s">
        <v>460</v>
      </c>
      <c r="X1352" t="s">
        <v>196</v>
      </c>
      <c r="Y1352" t="s">
        <v>6228</v>
      </c>
      <c r="Z1352" t="str">
        <f>"0161 439 8107"</f>
        <v>0161 439 8107</v>
      </c>
      <c r="AA1352" t="str">
        <f>""</f>
        <v/>
      </c>
      <c r="AB1352" t="s">
        <v>2643</v>
      </c>
      <c r="AD1352" t="s">
        <v>151</v>
      </c>
      <c r="AF1352" t="s">
        <v>113</v>
      </c>
      <c r="AG1352" t="s">
        <v>112</v>
      </c>
      <c r="AH1352" t="s">
        <v>112</v>
      </c>
      <c r="AI1352" s="63">
        <v>33572</v>
      </c>
      <c r="AK1352" t="s">
        <v>111</v>
      </c>
      <c r="AL1352" t="s">
        <v>111</v>
      </c>
      <c r="AM1352" t="s">
        <v>111</v>
      </c>
      <c r="AN1352" t="s">
        <v>105</v>
      </c>
      <c r="AO1352" t="s">
        <v>110</v>
      </c>
      <c r="AP1352" t="s">
        <v>109</v>
      </c>
    </row>
    <row r="1353" spans="1:42" x14ac:dyDescent="0.25">
      <c r="A1353" s="28" t="str">
        <f>"15390"</f>
        <v>15390</v>
      </c>
      <c r="B1353">
        <v>15390</v>
      </c>
      <c r="C1353" t="s">
        <v>2488</v>
      </c>
      <c r="D1353" t="s">
        <v>121</v>
      </c>
      <c r="F1353" t="s">
        <v>120</v>
      </c>
      <c r="G1353" t="s">
        <v>164</v>
      </c>
      <c r="I1353" t="s">
        <v>6227</v>
      </c>
      <c r="J1353" t="s">
        <v>7</v>
      </c>
      <c r="K1353" s="63">
        <v>20801</v>
      </c>
      <c r="L1353" s="28">
        <f>DATEDIF(K1353,Zwift25!G$1,"Y")</f>
        <v>67</v>
      </c>
      <c r="M1353" s="67">
        <f>IF(J1353="m",VLOOKUP(L1353,'All Solo Adjustments'!A:D,4,FALSE),VLOOKUP(L1353,'All Solo Adjustments'!A:J,10,FALSE))</f>
        <v>5.2662037037037035E-3</v>
      </c>
      <c r="N1353" s="63"/>
      <c r="O1353" s="63"/>
      <c r="P1353" s="63"/>
      <c r="Q1353" s="63"/>
      <c r="R1353" t="s">
        <v>184</v>
      </c>
      <c r="S1353" t="s">
        <v>183</v>
      </c>
      <c r="T1353" t="s">
        <v>292</v>
      </c>
      <c r="U1353" t="s">
        <v>6226</v>
      </c>
      <c r="V1353" t="s">
        <v>5141</v>
      </c>
      <c r="W1353" t="s">
        <v>3111</v>
      </c>
      <c r="X1353" t="s">
        <v>735</v>
      </c>
      <c r="Y1353" t="s">
        <v>6225</v>
      </c>
      <c r="Z1353" t="str">
        <f>"07903534933"</f>
        <v>07903534933</v>
      </c>
      <c r="AA1353" t="str">
        <f>""</f>
        <v/>
      </c>
      <c r="AB1353" t="s">
        <v>1910</v>
      </c>
      <c r="AC1353" t="s">
        <v>6224</v>
      </c>
      <c r="AD1353" t="s">
        <v>114</v>
      </c>
      <c r="AE1353" s="63">
        <v>45420</v>
      </c>
      <c r="AF1353" t="s">
        <v>113</v>
      </c>
      <c r="AG1353" t="s">
        <v>112</v>
      </c>
      <c r="AH1353" t="s">
        <v>112</v>
      </c>
      <c r="AI1353" s="63">
        <v>44624</v>
      </c>
      <c r="AJ1353" s="63">
        <v>45657</v>
      </c>
      <c r="AK1353" t="s">
        <v>112</v>
      </c>
      <c r="AL1353" t="s">
        <v>112</v>
      </c>
      <c r="AM1353" t="s">
        <v>112</v>
      </c>
      <c r="AN1353" t="s">
        <v>105</v>
      </c>
      <c r="AO1353" t="s">
        <v>110</v>
      </c>
      <c r="AP1353" t="s">
        <v>109</v>
      </c>
    </row>
    <row r="1354" spans="1:42" x14ac:dyDescent="0.25">
      <c r="A1354" s="28" t="str">
        <f>"6061"</f>
        <v>6061</v>
      </c>
      <c r="B1354">
        <v>6061</v>
      </c>
      <c r="C1354" t="s">
        <v>2488</v>
      </c>
      <c r="D1354" t="s">
        <v>121</v>
      </c>
      <c r="E1354" t="s">
        <v>584</v>
      </c>
      <c r="F1354" t="s">
        <v>120</v>
      </c>
      <c r="G1354" t="s">
        <v>359</v>
      </c>
      <c r="I1354" t="s">
        <v>1602</v>
      </c>
      <c r="J1354" t="s">
        <v>7</v>
      </c>
      <c r="K1354" s="63">
        <v>23033</v>
      </c>
      <c r="L1354" s="28">
        <f>DATEDIF(K1354,Zwift25!G$1,"Y")</f>
        <v>61</v>
      </c>
      <c r="M1354" s="67">
        <f>IF(J1354="m",VLOOKUP(L1354,'All Solo Adjustments'!A:D,4,FALSE),VLOOKUP(L1354,'All Solo Adjustments'!A:J,10,FALSE))</f>
        <v>3.4722222222222225E-3</v>
      </c>
      <c r="N1354" s="63"/>
      <c r="O1354" s="63"/>
      <c r="P1354" s="63"/>
      <c r="Q1354" s="63"/>
      <c r="R1354" t="s">
        <v>296</v>
      </c>
      <c r="S1354" t="s">
        <v>295</v>
      </c>
      <c r="T1354" t="s">
        <v>292</v>
      </c>
      <c r="U1354" t="s">
        <v>6223</v>
      </c>
      <c r="V1354" t="s">
        <v>6222</v>
      </c>
      <c r="W1354" t="s">
        <v>804</v>
      </c>
      <c r="Y1354" t="s">
        <v>6221</v>
      </c>
      <c r="Z1354" t="str">
        <f>"07725 956759"</f>
        <v>07725 956759</v>
      </c>
      <c r="AA1354" t="str">
        <f>""</f>
        <v/>
      </c>
      <c r="AB1354" t="s">
        <v>2350</v>
      </c>
      <c r="AC1354" t="s">
        <v>6220</v>
      </c>
      <c r="AD1354" t="s">
        <v>114</v>
      </c>
      <c r="AE1354" s="63">
        <v>45267</v>
      </c>
      <c r="AF1354" t="s">
        <v>113</v>
      </c>
      <c r="AG1354" t="s">
        <v>112</v>
      </c>
      <c r="AH1354" t="s">
        <v>112</v>
      </c>
      <c r="AI1354" s="63">
        <v>42755</v>
      </c>
      <c r="AJ1354" s="63">
        <v>45657</v>
      </c>
      <c r="AK1354" t="s">
        <v>111</v>
      </c>
      <c r="AL1354" t="s">
        <v>111</v>
      </c>
      <c r="AM1354" t="s">
        <v>111</v>
      </c>
      <c r="AN1354">
        <v>16882</v>
      </c>
      <c r="AO1354" t="s">
        <v>110</v>
      </c>
      <c r="AP1354" t="s">
        <v>109</v>
      </c>
    </row>
    <row r="1355" spans="1:42" x14ac:dyDescent="0.25">
      <c r="A1355" s="28" t="str">
        <f>"3210"</f>
        <v>3210</v>
      </c>
      <c r="B1355">
        <v>3210</v>
      </c>
      <c r="C1355" t="s">
        <v>2488</v>
      </c>
      <c r="D1355" t="s">
        <v>121</v>
      </c>
      <c r="F1355" t="s">
        <v>120</v>
      </c>
      <c r="G1355" t="s">
        <v>6219</v>
      </c>
      <c r="I1355" t="s">
        <v>1602</v>
      </c>
      <c r="J1355" t="s">
        <v>7</v>
      </c>
      <c r="K1355" s="63">
        <v>15789</v>
      </c>
      <c r="L1355" s="28">
        <f>DATEDIF(K1355,Zwift25!G$1,"Y")</f>
        <v>81</v>
      </c>
      <c r="M1355" s="67">
        <f>IF(J1355="m",VLOOKUP(L1355,'All Solo Adjustments'!A:D,4,FALSE),VLOOKUP(L1355,'All Solo Adjustments'!A:J,10,FALSE))</f>
        <v>1.1597222222222222E-2</v>
      </c>
      <c r="N1355" s="63"/>
      <c r="O1355" s="63"/>
      <c r="P1355" s="63"/>
      <c r="Q1355" s="63"/>
      <c r="R1355" t="s">
        <v>125</v>
      </c>
      <c r="S1355" t="s">
        <v>484</v>
      </c>
      <c r="T1355" t="s">
        <v>292</v>
      </c>
      <c r="U1355" t="s">
        <v>6218</v>
      </c>
      <c r="V1355" t="s">
        <v>303</v>
      </c>
      <c r="W1355" t="s">
        <v>193</v>
      </c>
      <c r="Y1355" t="s">
        <v>6217</v>
      </c>
      <c r="Z1355" t="str">
        <f>"01603 615000"</f>
        <v>01603 615000</v>
      </c>
      <c r="AA1355" t="str">
        <f>""</f>
        <v/>
      </c>
      <c r="AB1355" t="s">
        <v>6216</v>
      </c>
      <c r="AC1355" t="s">
        <v>6215</v>
      </c>
      <c r="AD1355" t="s">
        <v>145</v>
      </c>
      <c r="AF1355" t="s">
        <v>156</v>
      </c>
      <c r="AG1355" t="s">
        <v>112</v>
      </c>
      <c r="AH1355" t="s">
        <v>112</v>
      </c>
      <c r="AI1355" s="63">
        <v>39345</v>
      </c>
      <c r="AK1355" t="s">
        <v>111</v>
      </c>
      <c r="AL1355" t="s">
        <v>111</v>
      </c>
      <c r="AM1355" t="s">
        <v>111</v>
      </c>
      <c r="AN1355" t="s">
        <v>105</v>
      </c>
      <c r="AO1355" t="s">
        <v>110</v>
      </c>
      <c r="AP1355" t="s">
        <v>109</v>
      </c>
    </row>
    <row r="1356" spans="1:42" x14ac:dyDescent="0.25">
      <c r="A1356" s="28" t="str">
        <f>"15359"</f>
        <v>15359</v>
      </c>
      <c r="B1356">
        <v>15359</v>
      </c>
      <c r="C1356" t="s">
        <v>2488</v>
      </c>
      <c r="D1356" t="s">
        <v>121</v>
      </c>
      <c r="F1356" t="s">
        <v>120</v>
      </c>
      <c r="G1356" t="s">
        <v>185</v>
      </c>
      <c r="I1356" t="s">
        <v>6214</v>
      </c>
      <c r="J1356" t="s">
        <v>7</v>
      </c>
      <c r="K1356" s="63">
        <v>25927</v>
      </c>
      <c r="L1356" s="28">
        <f>DATEDIF(K1356,Zwift25!G$1,"Y")</f>
        <v>53</v>
      </c>
      <c r="M1356" s="67">
        <f>IF(J1356="m",VLOOKUP(L1356,'All Solo Adjustments'!A:D,4,FALSE),VLOOKUP(L1356,'All Solo Adjustments'!A:J,10,FALSE))</f>
        <v>1.6666666666666668E-3</v>
      </c>
      <c r="N1356" s="63"/>
      <c r="O1356" s="63"/>
      <c r="P1356" s="63"/>
      <c r="Q1356" s="63"/>
      <c r="R1356" t="s">
        <v>213</v>
      </c>
      <c r="S1356" t="s">
        <v>212</v>
      </c>
      <c r="T1356" t="s">
        <v>292</v>
      </c>
      <c r="U1356" t="s">
        <v>6213</v>
      </c>
      <c r="W1356" t="s">
        <v>1871</v>
      </c>
      <c r="X1356" t="s">
        <v>534</v>
      </c>
      <c r="Y1356" t="s">
        <v>6212</v>
      </c>
      <c r="Z1356" t="str">
        <f>"07885374443"</f>
        <v>07885374443</v>
      </c>
      <c r="AA1356" t="str">
        <f>""</f>
        <v/>
      </c>
      <c r="AB1356" t="s">
        <v>6211</v>
      </c>
      <c r="AC1356" t="s">
        <v>6210</v>
      </c>
      <c r="AD1356" t="s">
        <v>114</v>
      </c>
      <c r="AE1356" s="63">
        <v>45348</v>
      </c>
      <c r="AF1356" t="s">
        <v>113</v>
      </c>
      <c r="AG1356" t="s">
        <v>112</v>
      </c>
      <c r="AH1356" t="s">
        <v>112</v>
      </c>
      <c r="AI1356" s="63">
        <v>44593</v>
      </c>
      <c r="AJ1356" s="63">
        <v>45657</v>
      </c>
      <c r="AK1356" t="s">
        <v>112</v>
      </c>
      <c r="AL1356" t="s">
        <v>111</v>
      </c>
      <c r="AM1356" t="s">
        <v>111</v>
      </c>
      <c r="AN1356">
        <v>3284</v>
      </c>
      <c r="AO1356" t="s">
        <v>110</v>
      </c>
      <c r="AP1356" t="s">
        <v>109</v>
      </c>
    </row>
    <row r="1357" spans="1:42" x14ac:dyDescent="0.25">
      <c r="A1357" s="28" t="str">
        <f>"14460"</f>
        <v>14460</v>
      </c>
      <c r="B1357">
        <v>14460</v>
      </c>
      <c r="C1357" t="s">
        <v>2488</v>
      </c>
      <c r="D1357" t="s">
        <v>121</v>
      </c>
      <c r="F1357" t="s">
        <v>120</v>
      </c>
      <c r="G1357" t="s">
        <v>165</v>
      </c>
      <c r="I1357" t="s">
        <v>6209</v>
      </c>
      <c r="J1357" t="s">
        <v>7</v>
      </c>
      <c r="K1357" s="63">
        <v>22455</v>
      </c>
      <c r="L1357" s="28">
        <f>DATEDIF(K1357,Zwift25!G$1,"Y")</f>
        <v>63</v>
      </c>
      <c r="M1357" s="67">
        <f>IF(J1357="m",VLOOKUP(L1357,'All Solo Adjustments'!A:D,4,FALSE),VLOOKUP(L1357,'All Solo Adjustments'!A:J,10,FALSE))</f>
        <v>4.0277777777777777E-3</v>
      </c>
      <c r="N1357" s="63"/>
      <c r="O1357" s="63"/>
      <c r="P1357" s="63"/>
      <c r="Q1357" s="63"/>
      <c r="R1357" t="s">
        <v>125</v>
      </c>
      <c r="S1357" t="s">
        <v>170</v>
      </c>
      <c r="T1357" t="s">
        <v>292</v>
      </c>
      <c r="U1357" t="s">
        <v>6208</v>
      </c>
      <c r="W1357" t="s">
        <v>746</v>
      </c>
      <c r="Y1357" t="s">
        <v>6207</v>
      </c>
      <c r="Z1357" t="str">
        <f>"07773873250"</f>
        <v>07773873250</v>
      </c>
      <c r="AA1357" t="str">
        <f>""</f>
        <v/>
      </c>
      <c r="AB1357" t="s">
        <v>6206</v>
      </c>
      <c r="AC1357" t="s">
        <v>6205</v>
      </c>
      <c r="AD1357" t="s">
        <v>114</v>
      </c>
      <c r="AE1357" s="63">
        <v>45262</v>
      </c>
      <c r="AF1357" t="s">
        <v>113</v>
      </c>
      <c r="AG1357" t="s">
        <v>112</v>
      </c>
      <c r="AH1357" t="s">
        <v>112</v>
      </c>
      <c r="AI1357" s="63">
        <v>43861</v>
      </c>
      <c r="AJ1357" s="63">
        <v>45657</v>
      </c>
      <c r="AK1357" t="s">
        <v>112</v>
      </c>
      <c r="AL1357" t="s">
        <v>111</v>
      </c>
      <c r="AM1357" t="s">
        <v>111</v>
      </c>
      <c r="AN1357">
        <v>33280</v>
      </c>
      <c r="AO1357" t="s">
        <v>110</v>
      </c>
      <c r="AP1357" t="s">
        <v>109</v>
      </c>
    </row>
    <row r="1358" spans="1:42" x14ac:dyDescent="0.25">
      <c r="A1358" s="28" t="str">
        <f>"1693"</f>
        <v>1693</v>
      </c>
      <c r="B1358">
        <v>1693</v>
      </c>
      <c r="C1358" t="s">
        <v>2488</v>
      </c>
      <c r="D1358" t="s">
        <v>121</v>
      </c>
      <c r="E1358" t="s">
        <v>584</v>
      </c>
      <c r="F1358" t="s">
        <v>120</v>
      </c>
      <c r="G1358" t="s">
        <v>1166</v>
      </c>
      <c r="I1358" t="s">
        <v>6201</v>
      </c>
      <c r="J1358" t="s">
        <v>7</v>
      </c>
      <c r="K1358" s="63">
        <v>12181</v>
      </c>
      <c r="L1358" s="28">
        <f>DATEDIF(K1358,Zwift25!G$1,"Y")</f>
        <v>91</v>
      </c>
      <c r="M1358" s="67">
        <f>IF(J1358="m",VLOOKUP(L1358,'All Solo Adjustments'!A:D,4,FALSE),VLOOKUP(L1358,'All Solo Adjustments'!A:J,10,FALSE))</f>
        <v>1.9363425925925926E-2</v>
      </c>
      <c r="N1358" s="63"/>
      <c r="O1358" s="63"/>
      <c r="P1358" s="63"/>
      <c r="Q1358" s="63"/>
      <c r="R1358" t="s">
        <v>296</v>
      </c>
      <c r="S1358" t="s">
        <v>2310</v>
      </c>
      <c r="T1358" t="s">
        <v>292</v>
      </c>
      <c r="U1358" t="s">
        <v>396</v>
      </c>
      <c r="V1358" t="s">
        <v>6204</v>
      </c>
      <c r="W1358" t="s">
        <v>395</v>
      </c>
      <c r="X1358" t="s">
        <v>6203</v>
      </c>
      <c r="Y1358" t="s">
        <v>394</v>
      </c>
      <c r="Z1358" t="str">
        <f>"01704 821128"</f>
        <v>01704 821128</v>
      </c>
      <c r="AA1358" t="str">
        <f>""</f>
        <v/>
      </c>
      <c r="AB1358" t="s">
        <v>294</v>
      </c>
      <c r="AC1358" t="s">
        <v>6202</v>
      </c>
      <c r="AD1358" t="s">
        <v>151</v>
      </c>
      <c r="AE1358" s="63">
        <v>43044</v>
      </c>
      <c r="AF1358" t="s">
        <v>113</v>
      </c>
      <c r="AG1358" t="s">
        <v>112</v>
      </c>
      <c r="AH1358" t="s">
        <v>112</v>
      </c>
      <c r="AI1358" s="63">
        <v>40368</v>
      </c>
      <c r="AK1358" t="s">
        <v>111</v>
      </c>
      <c r="AL1358" t="s">
        <v>111</v>
      </c>
      <c r="AM1358" t="s">
        <v>111</v>
      </c>
      <c r="AN1358">
        <v>10858</v>
      </c>
      <c r="AO1358" t="s">
        <v>110</v>
      </c>
      <c r="AP1358" t="s">
        <v>109</v>
      </c>
    </row>
    <row r="1359" spans="1:42" x14ac:dyDescent="0.25">
      <c r="A1359" s="28" t="str">
        <f>"4800"</f>
        <v>4800</v>
      </c>
      <c r="B1359">
        <v>4800</v>
      </c>
      <c r="C1359" t="s">
        <v>2488</v>
      </c>
      <c r="D1359" t="s">
        <v>121</v>
      </c>
      <c r="E1359" t="s">
        <v>584</v>
      </c>
      <c r="F1359" t="s">
        <v>120</v>
      </c>
      <c r="G1359" t="s">
        <v>410</v>
      </c>
      <c r="H1359" t="s">
        <v>1530</v>
      </c>
      <c r="I1359" t="s">
        <v>6201</v>
      </c>
      <c r="J1359" t="s">
        <v>7</v>
      </c>
      <c r="K1359" s="63">
        <v>18909</v>
      </c>
      <c r="L1359" s="28">
        <f>DATEDIF(K1359,Zwift25!G$1,"Y")</f>
        <v>73</v>
      </c>
      <c r="M1359" s="67">
        <f>IF(J1359="m",VLOOKUP(L1359,'All Solo Adjustments'!A:D,4,FALSE),VLOOKUP(L1359,'All Solo Adjustments'!A:J,10,FALSE))</f>
        <v>7.5462962962962966E-3</v>
      </c>
      <c r="N1359" s="63"/>
      <c r="O1359" s="63"/>
      <c r="P1359" s="63"/>
      <c r="Q1359" s="63"/>
      <c r="R1359" t="s">
        <v>296</v>
      </c>
      <c r="S1359" t="s">
        <v>295</v>
      </c>
      <c r="T1359" t="s">
        <v>292</v>
      </c>
      <c r="U1359" t="s">
        <v>6200</v>
      </c>
      <c r="V1359" t="s">
        <v>6199</v>
      </c>
      <c r="W1359" t="s">
        <v>1159</v>
      </c>
      <c r="X1359" t="s">
        <v>804</v>
      </c>
      <c r="Y1359" t="s">
        <v>6198</v>
      </c>
      <c r="Z1359" t="str">
        <f>"01236 454007"</f>
        <v>01236 454007</v>
      </c>
      <c r="AA1359" t="str">
        <f>""</f>
        <v/>
      </c>
      <c r="AB1359" t="s">
        <v>1201</v>
      </c>
      <c r="AC1359" t="s">
        <v>6197</v>
      </c>
      <c r="AD1359" t="s">
        <v>114</v>
      </c>
      <c r="AE1359" s="63">
        <v>45264</v>
      </c>
      <c r="AF1359" t="s">
        <v>113</v>
      </c>
      <c r="AG1359" t="s">
        <v>112</v>
      </c>
      <c r="AH1359" t="s">
        <v>112</v>
      </c>
      <c r="AI1359" s="63">
        <v>41435</v>
      </c>
      <c r="AJ1359" s="63">
        <v>45657</v>
      </c>
      <c r="AK1359" t="s">
        <v>111</v>
      </c>
      <c r="AL1359" t="s">
        <v>111</v>
      </c>
      <c r="AM1359" t="s">
        <v>111</v>
      </c>
      <c r="AN1359">
        <v>16482</v>
      </c>
      <c r="AO1359" t="s">
        <v>110</v>
      </c>
      <c r="AP1359" t="s">
        <v>109</v>
      </c>
    </row>
    <row r="1360" spans="1:42" x14ac:dyDescent="0.25">
      <c r="A1360" s="28" t="str">
        <f>"1697"</f>
        <v>1697</v>
      </c>
      <c r="B1360">
        <v>1697</v>
      </c>
      <c r="C1360" t="s">
        <v>2488</v>
      </c>
      <c r="D1360" t="s">
        <v>121</v>
      </c>
      <c r="E1360" t="s">
        <v>584</v>
      </c>
      <c r="F1360" t="s">
        <v>120</v>
      </c>
      <c r="G1360" t="s">
        <v>284</v>
      </c>
      <c r="I1360" t="s">
        <v>1592</v>
      </c>
      <c r="J1360" t="s">
        <v>7</v>
      </c>
      <c r="K1360" s="63">
        <v>14630</v>
      </c>
      <c r="L1360" s="28">
        <f>DATEDIF(K1360,Zwift25!G$1,"Y")</f>
        <v>84</v>
      </c>
      <c r="M1360" s="67">
        <f>IF(J1360="m",VLOOKUP(L1360,'All Solo Adjustments'!A:D,4,FALSE),VLOOKUP(L1360,'All Solo Adjustments'!A:J,10,FALSE))</f>
        <v>1.3530092592592592E-2</v>
      </c>
      <c r="N1360" s="63"/>
      <c r="O1360" s="63"/>
      <c r="P1360" s="63"/>
      <c r="Q1360" s="63"/>
      <c r="R1360" t="s">
        <v>154</v>
      </c>
      <c r="S1360" t="s">
        <v>153</v>
      </c>
      <c r="T1360" t="s">
        <v>292</v>
      </c>
      <c r="U1360" t="s">
        <v>6196</v>
      </c>
      <c r="V1360" t="s">
        <v>673</v>
      </c>
      <c r="Y1360" t="s">
        <v>6195</v>
      </c>
      <c r="Z1360" t="str">
        <f>"01452 500625"</f>
        <v>01452 500625</v>
      </c>
      <c r="AA1360" t="str">
        <f>""</f>
        <v/>
      </c>
      <c r="AB1360" t="s">
        <v>640</v>
      </c>
      <c r="AC1360" t="s">
        <v>6194</v>
      </c>
      <c r="AD1360" t="s">
        <v>145</v>
      </c>
      <c r="AE1360" s="63">
        <v>45288</v>
      </c>
      <c r="AF1360" t="s">
        <v>156</v>
      </c>
      <c r="AG1360" t="s">
        <v>112</v>
      </c>
      <c r="AH1360" t="s">
        <v>112</v>
      </c>
      <c r="AI1360" s="63">
        <v>43408</v>
      </c>
      <c r="AJ1360" s="63">
        <v>45657</v>
      </c>
      <c r="AK1360" t="s">
        <v>111</v>
      </c>
      <c r="AL1360" t="s">
        <v>111</v>
      </c>
      <c r="AM1360" t="s">
        <v>111</v>
      </c>
      <c r="AN1360">
        <v>7819</v>
      </c>
      <c r="AO1360" t="s">
        <v>110</v>
      </c>
      <c r="AP1360" t="s">
        <v>109</v>
      </c>
    </row>
    <row r="1361" spans="1:42" x14ac:dyDescent="0.25">
      <c r="A1361" s="28" t="str">
        <f>"2813"</f>
        <v>2813</v>
      </c>
      <c r="B1361">
        <v>2813</v>
      </c>
      <c r="C1361" t="s">
        <v>2488</v>
      </c>
      <c r="D1361" t="s">
        <v>121</v>
      </c>
      <c r="F1361" t="s">
        <v>120</v>
      </c>
      <c r="G1361" t="s">
        <v>251</v>
      </c>
      <c r="H1361" t="s">
        <v>6193</v>
      </c>
      <c r="I1361" t="s">
        <v>1592</v>
      </c>
      <c r="J1361" t="s">
        <v>7</v>
      </c>
      <c r="K1361" s="63">
        <v>23705</v>
      </c>
      <c r="L1361" s="28">
        <f>DATEDIF(K1361,Zwift25!G$1,"Y")</f>
        <v>59</v>
      </c>
      <c r="M1361" s="67">
        <f>IF(J1361="m",VLOOKUP(L1361,'All Solo Adjustments'!A:D,4,FALSE),VLOOKUP(L1361,'All Solo Adjustments'!A:J,10,FALSE))</f>
        <v>2.9629629629629632E-3</v>
      </c>
      <c r="N1361" s="63"/>
      <c r="O1361" s="63"/>
      <c r="P1361" s="63"/>
      <c r="Q1361" s="63"/>
      <c r="R1361" t="s">
        <v>296</v>
      </c>
      <c r="S1361" t="s">
        <v>295</v>
      </c>
      <c r="T1361" t="s">
        <v>292</v>
      </c>
      <c r="U1361" t="s">
        <v>6192</v>
      </c>
      <c r="V1361" t="s">
        <v>2351</v>
      </c>
      <c r="W1361" t="s">
        <v>6191</v>
      </c>
      <c r="Y1361" t="s">
        <v>6190</v>
      </c>
      <c r="Z1361" t="str">
        <f>"07770281121"</f>
        <v>07770281121</v>
      </c>
      <c r="AA1361" t="str">
        <f>"01415637307"</f>
        <v>01415637307</v>
      </c>
      <c r="AB1361" t="s">
        <v>294</v>
      </c>
      <c r="AC1361" t="s">
        <v>6189</v>
      </c>
      <c r="AD1361" t="s">
        <v>114</v>
      </c>
      <c r="AE1361" s="63">
        <v>45264</v>
      </c>
      <c r="AF1361" t="s">
        <v>156</v>
      </c>
      <c r="AG1361" t="s">
        <v>112</v>
      </c>
      <c r="AH1361" t="s">
        <v>112</v>
      </c>
      <c r="AI1361" s="63">
        <v>38854</v>
      </c>
      <c r="AJ1361" s="63">
        <v>45657</v>
      </c>
      <c r="AK1361" t="s">
        <v>111</v>
      </c>
      <c r="AL1361" t="s">
        <v>112</v>
      </c>
      <c r="AM1361" t="s">
        <v>111</v>
      </c>
      <c r="AN1361" t="s">
        <v>105</v>
      </c>
      <c r="AO1361" t="s">
        <v>110</v>
      </c>
      <c r="AP1361" t="s">
        <v>109</v>
      </c>
    </row>
    <row r="1362" spans="1:42" x14ac:dyDescent="0.25">
      <c r="A1362" s="28" t="str">
        <f>"5560"</f>
        <v>5560</v>
      </c>
      <c r="B1362">
        <v>5560</v>
      </c>
      <c r="C1362" t="s">
        <v>2488</v>
      </c>
      <c r="D1362" t="s">
        <v>121</v>
      </c>
      <c r="F1362" t="s">
        <v>120</v>
      </c>
      <c r="G1362" t="s">
        <v>1033</v>
      </c>
      <c r="H1362" t="s">
        <v>1826</v>
      </c>
      <c r="I1362" t="s">
        <v>6188</v>
      </c>
      <c r="J1362" t="s">
        <v>7</v>
      </c>
      <c r="K1362" s="63">
        <v>20529</v>
      </c>
      <c r="L1362" s="28">
        <f>DATEDIF(K1362,Zwift25!G$1,"Y")</f>
        <v>68</v>
      </c>
      <c r="M1362" s="67">
        <f>IF(J1362="m",VLOOKUP(L1362,'All Solo Adjustments'!A:D,4,FALSE),VLOOKUP(L1362,'All Solo Adjustments'!A:J,10,FALSE))</f>
        <v>5.6134259259259262E-3</v>
      </c>
      <c r="N1362" s="63"/>
      <c r="O1362" s="63"/>
      <c r="P1362" s="63"/>
      <c r="Q1362" s="63"/>
      <c r="R1362" t="s">
        <v>125</v>
      </c>
      <c r="S1362" t="s">
        <v>170</v>
      </c>
      <c r="T1362" t="s">
        <v>292</v>
      </c>
      <c r="U1362" t="s">
        <v>6187</v>
      </c>
      <c r="V1362" t="s">
        <v>217</v>
      </c>
      <c r="Y1362" t="s">
        <v>6186</v>
      </c>
      <c r="Z1362" t="str">
        <f>"07767 268139"</f>
        <v>07767 268139</v>
      </c>
      <c r="AA1362" t="str">
        <f>""</f>
        <v/>
      </c>
      <c r="AB1362" t="s">
        <v>505</v>
      </c>
      <c r="AC1362" t="s">
        <v>6185</v>
      </c>
      <c r="AD1362" t="s">
        <v>114</v>
      </c>
      <c r="AE1362" s="63">
        <v>45408</v>
      </c>
      <c r="AF1362" t="s">
        <v>156</v>
      </c>
      <c r="AG1362" t="s">
        <v>112</v>
      </c>
      <c r="AH1362" t="s">
        <v>112</v>
      </c>
      <c r="AI1362" s="63">
        <v>42188</v>
      </c>
      <c r="AJ1362" s="63">
        <v>45657</v>
      </c>
      <c r="AK1362" t="s">
        <v>111</v>
      </c>
      <c r="AL1362" t="s">
        <v>111</v>
      </c>
      <c r="AM1362" t="s">
        <v>111</v>
      </c>
      <c r="AN1362">
        <v>331</v>
      </c>
      <c r="AO1362" t="s">
        <v>110</v>
      </c>
      <c r="AP1362" t="s">
        <v>109</v>
      </c>
    </row>
    <row r="1363" spans="1:42" x14ac:dyDescent="0.25">
      <c r="A1363" s="28" t="str">
        <f>"15638"</f>
        <v>15638</v>
      </c>
      <c r="B1363">
        <v>15638</v>
      </c>
      <c r="C1363" t="s">
        <v>2488</v>
      </c>
      <c r="D1363" t="s">
        <v>121</v>
      </c>
      <c r="E1363" t="s">
        <v>584</v>
      </c>
      <c r="F1363" t="s">
        <v>403</v>
      </c>
      <c r="G1363" t="s">
        <v>632</v>
      </c>
      <c r="I1363" t="s">
        <v>1592</v>
      </c>
      <c r="J1363" t="s">
        <v>7</v>
      </c>
      <c r="K1363" s="63">
        <v>29075</v>
      </c>
      <c r="L1363" s="28">
        <f>DATEDIF(K1363,Zwift25!G$1,"Y")</f>
        <v>45</v>
      </c>
      <c r="M1363" s="67">
        <f>IF(J1363="m",VLOOKUP(L1363,'All Solo Adjustments'!A:D,4,FALSE),VLOOKUP(L1363,'All Solo Adjustments'!A:J,10,FALSE))</f>
        <v>4.5138888888888892E-4</v>
      </c>
      <c r="N1363" s="63"/>
      <c r="O1363" s="63"/>
      <c r="P1363" s="63"/>
      <c r="Q1363" s="63"/>
      <c r="R1363" t="s">
        <v>213</v>
      </c>
      <c r="S1363" t="s">
        <v>212</v>
      </c>
      <c r="T1363" t="s">
        <v>292</v>
      </c>
      <c r="U1363" t="s">
        <v>6184</v>
      </c>
      <c r="V1363" t="s">
        <v>6183</v>
      </c>
      <c r="W1363" t="s">
        <v>4322</v>
      </c>
      <c r="Y1363" t="s">
        <v>6182</v>
      </c>
      <c r="Z1363" t="str">
        <f>"07703843045"</f>
        <v>07703843045</v>
      </c>
      <c r="AA1363" t="str">
        <f>""</f>
        <v/>
      </c>
      <c r="AB1363" t="s">
        <v>1113</v>
      </c>
      <c r="AC1363" t="s">
        <v>6181</v>
      </c>
      <c r="AD1363" t="s">
        <v>114</v>
      </c>
      <c r="AE1363" s="63">
        <v>45305</v>
      </c>
      <c r="AF1363" t="s">
        <v>156</v>
      </c>
      <c r="AG1363" t="s">
        <v>112</v>
      </c>
      <c r="AH1363" t="s">
        <v>112</v>
      </c>
      <c r="AI1363" s="63">
        <v>44927</v>
      </c>
      <c r="AJ1363" s="63">
        <v>45657</v>
      </c>
      <c r="AK1363" t="s">
        <v>112</v>
      </c>
      <c r="AL1363" t="s">
        <v>111</v>
      </c>
      <c r="AM1363" t="s">
        <v>111</v>
      </c>
      <c r="AN1363">
        <v>41549</v>
      </c>
      <c r="AO1363" t="s">
        <v>110</v>
      </c>
      <c r="AP1363" t="s">
        <v>109</v>
      </c>
    </row>
    <row r="1364" spans="1:42" x14ac:dyDescent="0.25">
      <c r="A1364" s="28" t="str">
        <f>"15974"</f>
        <v>15974</v>
      </c>
      <c r="B1364">
        <v>15974</v>
      </c>
      <c r="C1364" t="s">
        <v>2488</v>
      </c>
      <c r="D1364" t="s">
        <v>121</v>
      </c>
      <c r="F1364" t="s">
        <v>120</v>
      </c>
      <c r="G1364" t="s">
        <v>2195</v>
      </c>
      <c r="I1364" t="s">
        <v>1592</v>
      </c>
      <c r="J1364" t="s">
        <v>7</v>
      </c>
      <c r="K1364" s="63">
        <v>27289</v>
      </c>
      <c r="L1364" s="28">
        <f>DATEDIF(K1364,Zwift25!G$1,"Y")</f>
        <v>50</v>
      </c>
      <c r="M1364" s="67">
        <f>IF(J1364="m",VLOOKUP(L1364,'All Solo Adjustments'!A:D,4,FALSE),VLOOKUP(L1364,'All Solo Adjustments'!A:J,10,FALSE))</f>
        <v>1.1342592592592591E-3</v>
      </c>
      <c r="N1364" s="63"/>
      <c r="O1364" s="63"/>
      <c r="P1364" s="63"/>
      <c r="Q1364" s="63"/>
      <c r="R1364" t="s">
        <v>198</v>
      </c>
      <c r="S1364" t="s">
        <v>461</v>
      </c>
      <c r="T1364" t="s">
        <v>292</v>
      </c>
      <c r="U1364" t="s">
        <v>6180</v>
      </c>
      <c r="W1364" t="s">
        <v>2128</v>
      </c>
      <c r="X1364" t="s">
        <v>196</v>
      </c>
      <c r="Y1364" t="s">
        <v>6179</v>
      </c>
      <c r="Z1364" t="str">
        <f>"07810563393"</f>
        <v>07810563393</v>
      </c>
      <c r="AA1364" t="str">
        <f>""</f>
        <v/>
      </c>
      <c r="AB1364" t="s">
        <v>6178</v>
      </c>
      <c r="AC1364" t="s">
        <v>6177</v>
      </c>
      <c r="AD1364" t="s">
        <v>114</v>
      </c>
      <c r="AE1364" s="63">
        <v>45294</v>
      </c>
      <c r="AF1364" t="s">
        <v>156</v>
      </c>
      <c r="AG1364" t="s">
        <v>112</v>
      </c>
      <c r="AH1364" t="s">
        <v>112</v>
      </c>
      <c r="AI1364" s="63">
        <v>45294</v>
      </c>
      <c r="AJ1364" s="63">
        <v>45657</v>
      </c>
      <c r="AK1364" t="s">
        <v>112</v>
      </c>
      <c r="AL1364" t="s">
        <v>111</v>
      </c>
      <c r="AM1364" t="s">
        <v>111</v>
      </c>
      <c r="AN1364">
        <v>5146</v>
      </c>
      <c r="AO1364" t="s">
        <v>110</v>
      </c>
      <c r="AP1364" t="s">
        <v>109</v>
      </c>
    </row>
    <row r="1365" spans="1:42" x14ac:dyDescent="0.25">
      <c r="A1365" s="28" t="str">
        <f>"3143"</f>
        <v>3143</v>
      </c>
      <c r="B1365">
        <v>3143</v>
      </c>
      <c r="C1365" t="s">
        <v>2488</v>
      </c>
      <c r="D1365" t="s">
        <v>121</v>
      </c>
      <c r="F1365" t="s">
        <v>120</v>
      </c>
      <c r="G1365" t="s">
        <v>300</v>
      </c>
      <c r="H1365" t="s">
        <v>108</v>
      </c>
      <c r="I1365" t="s">
        <v>1591</v>
      </c>
      <c r="J1365" t="s">
        <v>7</v>
      </c>
      <c r="K1365" s="63">
        <v>12791</v>
      </c>
      <c r="L1365" s="28">
        <f>DATEDIF(K1365,Zwift25!G$1,"Y")</f>
        <v>89</v>
      </c>
      <c r="M1365" s="67">
        <f>IF(J1365="m",VLOOKUP(L1365,'All Solo Adjustments'!A:D,4,FALSE),VLOOKUP(L1365,'All Solo Adjustments'!A:J,10,FALSE))</f>
        <v>1.7465277777777777E-2</v>
      </c>
      <c r="N1365" s="63"/>
      <c r="O1365" s="63"/>
      <c r="P1365" s="63"/>
      <c r="Q1365" s="63"/>
      <c r="R1365" t="s">
        <v>296</v>
      </c>
      <c r="S1365" t="s">
        <v>2310</v>
      </c>
      <c r="T1365" t="s">
        <v>292</v>
      </c>
      <c r="U1365" t="s">
        <v>6176</v>
      </c>
      <c r="V1365" t="s">
        <v>1041</v>
      </c>
      <c r="Y1365" t="s">
        <v>6175</v>
      </c>
      <c r="Z1365" t="str">
        <f>"0131 2618134"</f>
        <v>0131 2618134</v>
      </c>
      <c r="AA1365" t="str">
        <f>""</f>
        <v/>
      </c>
      <c r="AB1365" t="s">
        <v>290</v>
      </c>
      <c r="AC1365" t="s">
        <v>6174</v>
      </c>
      <c r="AD1365" t="s">
        <v>151</v>
      </c>
      <c r="AF1365" t="s">
        <v>113</v>
      </c>
      <c r="AG1365" t="s">
        <v>112</v>
      </c>
      <c r="AH1365" t="s">
        <v>112</v>
      </c>
      <c r="AI1365" s="63">
        <v>41794</v>
      </c>
      <c r="AK1365" t="s">
        <v>111</v>
      </c>
      <c r="AL1365" t="s">
        <v>111</v>
      </c>
      <c r="AM1365" t="s">
        <v>111</v>
      </c>
      <c r="AN1365" t="s">
        <v>105</v>
      </c>
      <c r="AO1365" t="s">
        <v>110</v>
      </c>
      <c r="AP1365" t="s">
        <v>109</v>
      </c>
    </row>
    <row r="1366" spans="1:42" x14ac:dyDescent="0.25">
      <c r="A1366" s="28" t="str">
        <f>"13070"</f>
        <v>13070</v>
      </c>
      <c r="B1366">
        <v>13070</v>
      </c>
      <c r="C1366" t="s">
        <v>2488</v>
      </c>
      <c r="D1366" t="s">
        <v>121</v>
      </c>
      <c r="F1366" t="s">
        <v>144</v>
      </c>
      <c r="G1366" t="s">
        <v>1942</v>
      </c>
      <c r="H1366" t="s">
        <v>2771</v>
      </c>
      <c r="I1366" t="s">
        <v>1591</v>
      </c>
      <c r="J1366" t="s">
        <v>126</v>
      </c>
      <c r="K1366" s="63">
        <v>27996</v>
      </c>
      <c r="L1366" s="28">
        <f>DATEDIF(K1366,Zwift25!G$1,"Y")</f>
        <v>48</v>
      </c>
      <c r="M1366" s="67">
        <f>IF(J1366="m",VLOOKUP(L1366,'All Solo Adjustments'!A:D,4,FALSE),VLOOKUP(L1366,'All Solo Adjustments'!A:J,10,FALSE))</f>
        <v>4.8032407407407407E-3</v>
      </c>
      <c r="N1366" s="63"/>
      <c r="O1366" s="63"/>
      <c r="P1366" s="63"/>
      <c r="Q1366" s="63"/>
      <c r="R1366" t="s">
        <v>137</v>
      </c>
      <c r="S1366" t="s">
        <v>136</v>
      </c>
      <c r="T1366" t="s">
        <v>292</v>
      </c>
      <c r="U1366" t="s">
        <v>6173</v>
      </c>
      <c r="V1366" t="s">
        <v>6172</v>
      </c>
      <c r="W1366" t="s">
        <v>2263</v>
      </c>
      <c r="X1366" t="s">
        <v>1059</v>
      </c>
      <c r="Y1366" t="s">
        <v>6171</v>
      </c>
      <c r="Z1366" t="str">
        <f>"07811 449850"</f>
        <v>07811 449850</v>
      </c>
      <c r="AA1366" t="str">
        <f>""</f>
        <v/>
      </c>
      <c r="AB1366" t="s">
        <v>1453</v>
      </c>
      <c r="AC1366" t="s">
        <v>6170</v>
      </c>
      <c r="AD1366" t="s">
        <v>114</v>
      </c>
      <c r="AE1366" s="63">
        <v>45292</v>
      </c>
      <c r="AF1366" t="s">
        <v>113</v>
      </c>
      <c r="AG1366" t="s">
        <v>112</v>
      </c>
      <c r="AH1366" t="s">
        <v>112</v>
      </c>
      <c r="AI1366" s="63">
        <v>43240</v>
      </c>
      <c r="AJ1366" s="63">
        <v>45657</v>
      </c>
      <c r="AK1366" t="s">
        <v>112</v>
      </c>
      <c r="AL1366" t="s">
        <v>111</v>
      </c>
      <c r="AM1366" t="s">
        <v>111</v>
      </c>
      <c r="AN1366">
        <v>576</v>
      </c>
      <c r="AO1366" t="s">
        <v>122</v>
      </c>
      <c r="AP1366" t="s">
        <v>122</v>
      </c>
    </row>
    <row r="1367" spans="1:42" x14ac:dyDescent="0.25">
      <c r="A1367" s="28" t="str">
        <f>"5196"</f>
        <v>5196</v>
      </c>
      <c r="B1367">
        <v>5196</v>
      </c>
      <c r="C1367" t="s">
        <v>2488</v>
      </c>
      <c r="D1367" t="s">
        <v>121</v>
      </c>
      <c r="F1367" t="s">
        <v>120</v>
      </c>
      <c r="G1367" t="s">
        <v>241</v>
      </c>
      <c r="H1367" t="s">
        <v>6169</v>
      </c>
      <c r="I1367" t="s">
        <v>1591</v>
      </c>
      <c r="J1367" t="s">
        <v>7</v>
      </c>
      <c r="K1367" s="63">
        <v>27396</v>
      </c>
      <c r="L1367" s="28">
        <f>DATEDIF(K1367,Zwift25!G$1,"Y")</f>
        <v>49</v>
      </c>
      <c r="M1367" s="67">
        <f>IF(J1367="m",VLOOKUP(L1367,'All Solo Adjustments'!A:D,4,FALSE),VLOOKUP(L1367,'All Solo Adjustments'!A:J,10,FALSE))</f>
        <v>9.837962962962962E-4</v>
      </c>
      <c r="N1367" s="63"/>
      <c r="O1367" s="63"/>
      <c r="P1367" s="63"/>
      <c r="Q1367" s="63"/>
      <c r="R1367" t="s">
        <v>527</v>
      </c>
      <c r="S1367" t="s">
        <v>526</v>
      </c>
      <c r="T1367" t="s">
        <v>292</v>
      </c>
      <c r="U1367" t="s">
        <v>6168</v>
      </c>
      <c r="V1367" t="s">
        <v>1136</v>
      </c>
      <c r="Y1367" t="s">
        <v>6167</v>
      </c>
      <c r="Z1367" t="str">
        <f>"7841594846"</f>
        <v>7841594846</v>
      </c>
      <c r="AA1367" t="str">
        <f>""</f>
        <v/>
      </c>
      <c r="AB1367" t="s">
        <v>1297</v>
      </c>
      <c r="AC1367" t="s">
        <v>6166</v>
      </c>
      <c r="AD1367" t="s">
        <v>114</v>
      </c>
      <c r="AE1367" s="63">
        <v>45292</v>
      </c>
      <c r="AF1367" t="s">
        <v>113</v>
      </c>
      <c r="AG1367" t="s">
        <v>112</v>
      </c>
      <c r="AH1367" t="s">
        <v>112</v>
      </c>
      <c r="AI1367" s="63">
        <v>42009</v>
      </c>
      <c r="AJ1367" s="63">
        <v>45657</v>
      </c>
      <c r="AK1367" t="s">
        <v>111</v>
      </c>
      <c r="AL1367" t="s">
        <v>111</v>
      </c>
      <c r="AM1367" t="s">
        <v>111</v>
      </c>
      <c r="AN1367">
        <v>337</v>
      </c>
      <c r="AO1367" t="s">
        <v>110</v>
      </c>
      <c r="AP1367" t="s">
        <v>109</v>
      </c>
    </row>
    <row r="1368" spans="1:42" x14ac:dyDescent="0.25">
      <c r="A1368" s="28" t="str">
        <f>"16076"</f>
        <v>16076</v>
      </c>
      <c r="B1368">
        <v>16076</v>
      </c>
      <c r="C1368" t="s">
        <v>2488</v>
      </c>
      <c r="D1368" t="s">
        <v>121</v>
      </c>
      <c r="E1368" t="s">
        <v>6041</v>
      </c>
      <c r="F1368" t="s">
        <v>149</v>
      </c>
      <c r="G1368" t="s">
        <v>224</v>
      </c>
      <c r="I1368" t="s">
        <v>6165</v>
      </c>
      <c r="J1368" t="s">
        <v>126</v>
      </c>
      <c r="K1368" s="63">
        <v>30078</v>
      </c>
      <c r="L1368" s="28">
        <f>DATEDIF(K1368,Zwift25!G$1,"Y")</f>
        <v>42</v>
      </c>
      <c r="M1368" s="67">
        <f>IF(J1368="m",VLOOKUP(L1368,'All Solo Adjustments'!A:D,4,FALSE),VLOOKUP(L1368,'All Solo Adjustments'!A:J,10,FALSE))</f>
        <v>4.4907407407407405E-3</v>
      </c>
      <c r="N1368" s="63"/>
      <c r="O1368" s="63"/>
      <c r="P1368" s="63"/>
      <c r="Q1368" s="63"/>
      <c r="R1368" t="s">
        <v>213</v>
      </c>
      <c r="S1368" t="s">
        <v>212</v>
      </c>
      <c r="T1368" t="s">
        <v>292</v>
      </c>
      <c r="U1368" t="s">
        <v>6164</v>
      </c>
      <c r="V1368" t="s">
        <v>6163</v>
      </c>
      <c r="W1368" t="s">
        <v>6162</v>
      </c>
      <c r="X1368" t="s">
        <v>6161</v>
      </c>
      <c r="Y1368" t="s">
        <v>6160</v>
      </c>
      <c r="Z1368" t="str">
        <f>"07787190288"</f>
        <v>07787190288</v>
      </c>
      <c r="AA1368" t="str">
        <f>""</f>
        <v/>
      </c>
      <c r="AB1368" t="s">
        <v>6159</v>
      </c>
      <c r="AC1368" t="s">
        <v>6158</v>
      </c>
      <c r="AD1368" t="s">
        <v>114</v>
      </c>
      <c r="AE1368" s="63">
        <v>45377</v>
      </c>
      <c r="AF1368" t="s">
        <v>156</v>
      </c>
      <c r="AG1368" t="s">
        <v>112</v>
      </c>
      <c r="AH1368" t="s">
        <v>112</v>
      </c>
      <c r="AI1368" s="63">
        <v>45377</v>
      </c>
      <c r="AJ1368" s="63">
        <v>45657</v>
      </c>
      <c r="AK1368" t="s">
        <v>112</v>
      </c>
      <c r="AL1368" t="s">
        <v>111</v>
      </c>
      <c r="AM1368" t="s">
        <v>111</v>
      </c>
      <c r="AN1368">
        <v>13615</v>
      </c>
      <c r="AO1368" t="s">
        <v>122</v>
      </c>
      <c r="AP1368" t="s">
        <v>122</v>
      </c>
    </row>
    <row r="1369" spans="1:42" x14ac:dyDescent="0.25">
      <c r="A1369" s="28" t="str">
        <f>"16079"</f>
        <v>16079</v>
      </c>
      <c r="B1369">
        <v>16079</v>
      </c>
      <c r="C1369" t="s">
        <v>2488</v>
      </c>
      <c r="D1369" t="s">
        <v>121</v>
      </c>
      <c r="E1369" t="s">
        <v>584</v>
      </c>
      <c r="F1369" t="s">
        <v>120</v>
      </c>
      <c r="G1369" t="s">
        <v>1371</v>
      </c>
      <c r="I1369" t="s">
        <v>1591</v>
      </c>
      <c r="J1369" t="s">
        <v>7</v>
      </c>
      <c r="K1369" s="63">
        <v>22064</v>
      </c>
      <c r="L1369" s="28">
        <f>DATEDIF(K1369,Zwift25!G$1,"Y")</f>
        <v>64</v>
      </c>
      <c r="M1369" s="67">
        <f>IF(J1369="m",VLOOKUP(L1369,'All Solo Adjustments'!A:D,4,FALSE),VLOOKUP(L1369,'All Solo Adjustments'!A:J,10,FALSE))</f>
        <v>4.31712962962963E-3</v>
      </c>
      <c r="N1369" s="63"/>
      <c r="O1369" s="63"/>
      <c r="P1369" s="63"/>
      <c r="Q1369" s="63"/>
      <c r="R1369" t="s">
        <v>283</v>
      </c>
      <c r="S1369" t="s">
        <v>530</v>
      </c>
      <c r="T1369" t="s">
        <v>292</v>
      </c>
      <c r="U1369" t="s">
        <v>6157</v>
      </c>
      <c r="V1369" t="s">
        <v>6156</v>
      </c>
      <c r="W1369" t="s">
        <v>1062</v>
      </c>
      <c r="X1369" t="s">
        <v>1878</v>
      </c>
      <c r="Y1369" t="s">
        <v>6155</v>
      </c>
      <c r="Z1369" t="str">
        <f>"07555 794903"</f>
        <v>07555 794903</v>
      </c>
      <c r="AA1369" t="str">
        <f>""</f>
        <v/>
      </c>
      <c r="AB1369" t="s">
        <v>1470</v>
      </c>
      <c r="AC1369" t="s">
        <v>6154</v>
      </c>
      <c r="AD1369" t="s">
        <v>114</v>
      </c>
      <c r="AE1369" s="63">
        <v>45380</v>
      </c>
      <c r="AF1369" t="s">
        <v>156</v>
      </c>
      <c r="AG1369" t="s">
        <v>112</v>
      </c>
      <c r="AH1369" t="s">
        <v>112</v>
      </c>
      <c r="AI1369" s="63">
        <v>45380</v>
      </c>
      <c r="AJ1369" s="63">
        <v>45657</v>
      </c>
      <c r="AK1369" t="s">
        <v>112</v>
      </c>
      <c r="AL1369" t="s">
        <v>111</v>
      </c>
      <c r="AM1369" t="s">
        <v>111</v>
      </c>
      <c r="AN1369">
        <v>49635</v>
      </c>
      <c r="AO1369" t="s">
        <v>110</v>
      </c>
      <c r="AP1369" t="s">
        <v>109</v>
      </c>
    </row>
    <row r="1370" spans="1:42" x14ac:dyDescent="0.25">
      <c r="A1370" s="28" t="str">
        <f>"14561"</f>
        <v>14561</v>
      </c>
      <c r="B1370">
        <v>14561</v>
      </c>
      <c r="C1370" t="s">
        <v>2488</v>
      </c>
      <c r="D1370" t="s">
        <v>121</v>
      </c>
      <c r="F1370" t="s">
        <v>120</v>
      </c>
      <c r="G1370" t="s">
        <v>634</v>
      </c>
      <c r="I1370" t="s">
        <v>6153</v>
      </c>
      <c r="J1370" t="s">
        <v>7</v>
      </c>
      <c r="K1370" s="63">
        <v>23849</v>
      </c>
      <c r="L1370" s="28">
        <f>DATEDIF(K1370,Zwift25!G$1,"Y")</f>
        <v>59</v>
      </c>
      <c r="M1370" s="67">
        <f>IF(J1370="m",VLOOKUP(L1370,'All Solo Adjustments'!A:D,4,FALSE),VLOOKUP(L1370,'All Solo Adjustments'!A:J,10,FALSE))</f>
        <v>2.9629629629629632E-3</v>
      </c>
      <c r="N1370" s="63"/>
      <c r="O1370" s="63"/>
      <c r="P1370" s="63"/>
      <c r="Q1370" s="63"/>
      <c r="R1370" t="s">
        <v>180</v>
      </c>
      <c r="S1370" t="s">
        <v>179</v>
      </c>
      <c r="T1370" t="s">
        <v>292</v>
      </c>
      <c r="U1370" t="s">
        <v>6152</v>
      </c>
      <c r="V1370" t="s">
        <v>6151</v>
      </c>
      <c r="W1370" t="s">
        <v>1825</v>
      </c>
      <c r="X1370" t="s">
        <v>259</v>
      </c>
      <c r="Y1370" t="s">
        <v>6150</v>
      </c>
      <c r="Z1370" t="str">
        <f>"07747798533"</f>
        <v>07747798533</v>
      </c>
      <c r="AA1370" t="str">
        <f>""</f>
        <v/>
      </c>
      <c r="AB1370" t="s">
        <v>1550</v>
      </c>
      <c r="AC1370" t="s">
        <v>6149</v>
      </c>
      <c r="AD1370" t="s">
        <v>114</v>
      </c>
      <c r="AE1370" s="63">
        <v>45504</v>
      </c>
      <c r="AF1370" t="s">
        <v>156</v>
      </c>
      <c r="AG1370" t="s">
        <v>112</v>
      </c>
      <c r="AH1370" t="s">
        <v>112</v>
      </c>
      <c r="AI1370" s="63">
        <v>43995</v>
      </c>
      <c r="AJ1370" s="63">
        <v>45657</v>
      </c>
      <c r="AK1370" t="s">
        <v>112</v>
      </c>
      <c r="AL1370" t="s">
        <v>111</v>
      </c>
      <c r="AM1370" t="s">
        <v>111</v>
      </c>
      <c r="AN1370">
        <v>32900</v>
      </c>
      <c r="AO1370" t="s">
        <v>110</v>
      </c>
      <c r="AP1370" t="s">
        <v>109</v>
      </c>
    </row>
    <row r="1371" spans="1:42" x14ac:dyDescent="0.25">
      <c r="A1371" s="28" t="str">
        <f>"5578"</f>
        <v>5578</v>
      </c>
      <c r="B1371">
        <v>5578</v>
      </c>
      <c r="C1371" t="s">
        <v>2488</v>
      </c>
      <c r="D1371" t="s">
        <v>121</v>
      </c>
      <c r="F1371" t="s">
        <v>120</v>
      </c>
      <c r="G1371" t="s">
        <v>613</v>
      </c>
      <c r="I1371" t="s">
        <v>6148</v>
      </c>
      <c r="J1371" t="s">
        <v>7</v>
      </c>
      <c r="K1371" s="63">
        <v>16350</v>
      </c>
      <c r="L1371" s="28">
        <f>DATEDIF(K1371,Zwift25!G$1,"Y")</f>
        <v>80</v>
      </c>
      <c r="M1371" s="67">
        <f>IF(J1371="m",VLOOKUP(L1371,'All Solo Adjustments'!A:D,4,FALSE),VLOOKUP(L1371,'All Solo Adjustments'!A:J,10,FALSE))</f>
        <v>1.1018518518518518E-2</v>
      </c>
      <c r="N1371" s="63"/>
      <c r="O1371" s="63"/>
      <c r="P1371" s="63"/>
      <c r="Q1371" s="63"/>
      <c r="R1371" t="s">
        <v>125</v>
      </c>
      <c r="S1371" t="s">
        <v>170</v>
      </c>
      <c r="T1371" t="s">
        <v>292</v>
      </c>
      <c r="U1371" t="s">
        <v>6147</v>
      </c>
      <c r="V1371" t="s">
        <v>6146</v>
      </c>
      <c r="W1371" t="s">
        <v>6146</v>
      </c>
      <c r="X1371" t="s">
        <v>123</v>
      </c>
      <c r="Y1371" t="s">
        <v>6145</v>
      </c>
      <c r="Z1371" t="str">
        <f>"07799023937"</f>
        <v>07799023937</v>
      </c>
      <c r="AA1371" t="str">
        <f>"01277624037"</f>
        <v>01277624037</v>
      </c>
      <c r="AB1371" t="s">
        <v>505</v>
      </c>
      <c r="AC1371" t="s">
        <v>6144</v>
      </c>
      <c r="AD1371" t="s">
        <v>114</v>
      </c>
      <c r="AE1371" s="63">
        <v>45266</v>
      </c>
      <c r="AF1371" t="s">
        <v>113</v>
      </c>
      <c r="AG1371" t="s">
        <v>112</v>
      </c>
      <c r="AH1371" t="s">
        <v>112</v>
      </c>
      <c r="AI1371" s="63">
        <v>42199</v>
      </c>
      <c r="AJ1371" s="63">
        <v>45657</v>
      </c>
      <c r="AK1371" t="s">
        <v>111</v>
      </c>
      <c r="AL1371" t="s">
        <v>111</v>
      </c>
      <c r="AM1371" t="s">
        <v>111</v>
      </c>
      <c r="AN1371">
        <v>8986</v>
      </c>
      <c r="AO1371" t="s">
        <v>110</v>
      </c>
      <c r="AP1371" t="s">
        <v>109</v>
      </c>
    </row>
    <row r="1372" spans="1:42" x14ac:dyDescent="0.25">
      <c r="A1372" s="28" t="str">
        <f>"6370"</f>
        <v>6370</v>
      </c>
      <c r="B1372">
        <v>6370</v>
      </c>
      <c r="C1372" t="s">
        <v>2488</v>
      </c>
      <c r="D1372" t="s">
        <v>121</v>
      </c>
      <c r="F1372" t="s">
        <v>120</v>
      </c>
      <c r="G1372" t="s">
        <v>164</v>
      </c>
      <c r="H1372" t="s">
        <v>219</v>
      </c>
      <c r="I1372" t="s">
        <v>6143</v>
      </c>
      <c r="J1372" t="s">
        <v>7</v>
      </c>
      <c r="K1372" s="63">
        <v>24732</v>
      </c>
      <c r="L1372" s="28">
        <f>DATEDIF(K1372,Zwift25!G$1,"Y")</f>
        <v>57</v>
      </c>
      <c r="M1372" s="67">
        <f>IF(J1372="m",VLOOKUP(L1372,'All Solo Adjustments'!A:D,4,FALSE),VLOOKUP(L1372,'All Solo Adjustments'!A:J,10,FALSE))</f>
        <v>2.488425925925926E-3</v>
      </c>
      <c r="N1372" s="63"/>
      <c r="O1372" s="63"/>
      <c r="P1372" s="63"/>
      <c r="Q1372" s="63"/>
      <c r="R1372" t="s">
        <v>118</v>
      </c>
      <c r="S1372" t="s">
        <v>117</v>
      </c>
      <c r="T1372" t="s">
        <v>292</v>
      </c>
      <c r="U1372" t="s">
        <v>6142</v>
      </c>
      <c r="V1372" t="s">
        <v>1169</v>
      </c>
      <c r="W1372" t="s">
        <v>547</v>
      </c>
      <c r="Y1372" t="s">
        <v>6141</v>
      </c>
      <c r="Z1372" t="str">
        <f>"07956 615200"</f>
        <v>07956 615200</v>
      </c>
      <c r="AA1372" t="str">
        <f>""</f>
        <v/>
      </c>
      <c r="AB1372" t="s">
        <v>6140</v>
      </c>
      <c r="AC1372" t="s">
        <v>6139</v>
      </c>
      <c r="AD1372" t="s">
        <v>114</v>
      </c>
      <c r="AE1372" s="63">
        <v>45475</v>
      </c>
      <c r="AF1372" t="s">
        <v>113</v>
      </c>
      <c r="AG1372" t="s">
        <v>112</v>
      </c>
      <c r="AH1372" t="s">
        <v>112</v>
      </c>
      <c r="AI1372" s="63">
        <v>43101</v>
      </c>
      <c r="AJ1372" s="63">
        <v>45657</v>
      </c>
      <c r="AK1372" t="s">
        <v>111</v>
      </c>
      <c r="AL1372" t="s">
        <v>111</v>
      </c>
      <c r="AM1372" t="s">
        <v>111</v>
      </c>
      <c r="AN1372">
        <v>22155</v>
      </c>
      <c r="AO1372" t="s">
        <v>110</v>
      </c>
      <c r="AP1372" t="s">
        <v>109</v>
      </c>
    </row>
    <row r="1373" spans="1:42" x14ac:dyDescent="0.25">
      <c r="A1373" s="28" t="str">
        <f>"4325"</f>
        <v>4325</v>
      </c>
      <c r="B1373">
        <v>4325</v>
      </c>
      <c r="C1373" t="s">
        <v>2488</v>
      </c>
      <c r="D1373" t="s">
        <v>121</v>
      </c>
      <c r="F1373" t="s">
        <v>120</v>
      </c>
      <c r="G1373" t="s">
        <v>469</v>
      </c>
      <c r="I1373" t="s">
        <v>6138</v>
      </c>
      <c r="J1373" t="s">
        <v>7</v>
      </c>
      <c r="K1373" s="63">
        <v>23927</v>
      </c>
      <c r="L1373" s="28">
        <f>DATEDIF(K1373,Zwift25!G$1,"Y")</f>
        <v>59</v>
      </c>
      <c r="M1373" s="67">
        <f>IF(J1373="m",VLOOKUP(L1373,'All Solo Adjustments'!A:D,4,FALSE),VLOOKUP(L1373,'All Solo Adjustments'!A:J,10,FALSE))</f>
        <v>2.9629629629629632E-3</v>
      </c>
      <c r="N1373" s="63"/>
      <c r="O1373" s="63"/>
      <c r="P1373" s="63"/>
      <c r="Q1373" s="63"/>
      <c r="R1373" t="s">
        <v>118</v>
      </c>
      <c r="S1373" t="s">
        <v>117</v>
      </c>
      <c r="T1373" t="s">
        <v>292</v>
      </c>
      <c r="U1373" t="s">
        <v>6137</v>
      </c>
      <c r="V1373" t="s">
        <v>6136</v>
      </c>
      <c r="W1373" t="s">
        <v>6135</v>
      </c>
      <c r="X1373" t="s">
        <v>1531</v>
      </c>
      <c r="Y1373" t="s">
        <v>6134</v>
      </c>
      <c r="Z1373" t="str">
        <f>"01724 348441"</f>
        <v>01724 348441</v>
      </c>
      <c r="AA1373" t="str">
        <f>"07592 831193"</f>
        <v>07592 831193</v>
      </c>
      <c r="AB1373" t="s">
        <v>1676</v>
      </c>
      <c r="AC1373" t="s">
        <v>6133</v>
      </c>
      <c r="AD1373" t="s">
        <v>114</v>
      </c>
      <c r="AE1373" s="63">
        <v>45294</v>
      </c>
      <c r="AF1373" t="s">
        <v>113</v>
      </c>
      <c r="AG1373" t="s">
        <v>112</v>
      </c>
      <c r="AH1373" t="s">
        <v>112</v>
      </c>
      <c r="AI1373" s="63">
        <v>40733</v>
      </c>
      <c r="AJ1373" s="63">
        <v>45657</v>
      </c>
      <c r="AK1373" t="s">
        <v>111</v>
      </c>
      <c r="AL1373" t="s">
        <v>111</v>
      </c>
      <c r="AM1373" t="s">
        <v>111</v>
      </c>
      <c r="AN1373">
        <v>38328</v>
      </c>
      <c r="AO1373" t="s">
        <v>110</v>
      </c>
      <c r="AP1373" t="s">
        <v>109</v>
      </c>
    </row>
    <row r="1374" spans="1:42" x14ac:dyDescent="0.25">
      <c r="A1374" s="28" t="str">
        <f>"6472"</f>
        <v>6472</v>
      </c>
      <c r="B1374">
        <v>6472</v>
      </c>
      <c r="C1374" t="s">
        <v>2488</v>
      </c>
      <c r="D1374" t="s">
        <v>121</v>
      </c>
      <c r="E1374" t="s">
        <v>584</v>
      </c>
      <c r="F1374" t="s">
        <v>120</v>
      </c>
      <c r="G1374" t="s">
        <v>348</v>
      </c>
      <c r="I1374" t="s">
        <v>6132</v>
      </c>
      <c r="J1374" t="s">
        <v>7</v>
      </c>
      <c r="K1374" s="63">
        <v>28104</v>
      </c>
      <c r="L1374" s="28">
        <f>DATEDIF(K1374,Zwift25!G$1,"Y")</f>
        <v>47</v>
      </c>
      <c r="M1374" s="67">
        <f>IF(J1374="m",VLOOKUP(L1374,'All Solo Adjustments'!A:D,4,FALSE),VLOOKUP(L1374,'All Solo Adjustments'!A:J,10,FALSE))</f>
        <v>6.9444444444444436E-4</v>
      </c>
      <c r="N1374" s="63"/>
      <c r="O1374" s="63"/>
      <c r="P1374" s="63"/>
      <c r="Q1374" s="63"/>
      <c r="R1374" t="s">
        <v>239</v>
      </c>
      <c r="S1374" t="s">
        <v>274</v>
      </c>
      <c r="T1374" t="s">
        <v>292</v>
      </c>
      <c r="U1374" t="s">
        <v>6131</v>
      </c>
      <c r="V1374" t="s">
        <v>6130</v>
      </c>
      <c r="W1374" t="s">
        <v>4022</v>
      </c>
      <c r="Y1374" t="s">
        <v>6129</v>
      </c>
      <c r="Z1374" t="str">
        <f>"07973 451081"</f>
        <v>07973 451081</v>
      </c>
      <c r="AA1374" t="str">
        <f>""</f>
        <v/>
      </c>
      <c r="AB1374" t="s">
        <v>917</v>
      </c>
      <c r="AC1374" t="s">
        <v>6128</v>
      </c>
      <c r="AD1374" t="s">
        <v>114</v>
      </c>
      <c r="AE1374" s="63">
        <v>45377</v>
      </c>
      <c r="AF1374" t="s">
        <v>156</v>
      </c>
      <c r="AG1374" t="s">
        <v>112</v>
      </c>
      <c r="AH1374" t="s">
        <v>112</v>
      </c>
      <c r="AI1374" s="63">
        <v>43171</v>
      </c>
      <c r="AJ1374" s="63">
        <v>45657</v>
      </c>
      <c r="AK1374" t="s">
        <v>111</v>
      </c>
      <c r="AL1374" t="s">
        <v>111</v>
      </c>
      <c r="AM1374" t="s">
        <v>111</v>
      </c>
      <c r="AN1374">
        <v>2543</v>
      </c>
      <c r="AO1374" t="s">
        <v>110</v>
      </c>
      <c r="AP1374" t="s">
        <v>109</v>
      </c>
    </row>
    <row r="1375" spans="1:42" x14ac:dyDescent="0.25">
      <c r="A1375" s="28" t="str">
        <f>"15160"</f>
        <v>15160</v>
      </c>
      <c r="B1375">
        <v>15160</v>
      </c>
      <c r="C1375" t="s">
        <v>2488</v>
      </c>
      <c r="D1375" t="s">
        <v>121</v>
      </c>
      <c r="F1375" t="s">
        <v>120</v>
      </c>
      <c r="G1375" t="s">
        <v>189</v>
      </c>
      <c r="H1375" t="s">
        <v>284</v>
      </c>
      <c r="I1375" t="s">
        <v>2379</v>
      </c>
      <c r="J1375" t="s">
        <v>7</v>
      </c>
      <c r="K1375" s="63">
        <v>26360</v>
      </c>
      <c r="L1375" s="28">
        <f>DATEDIF(K1375,Zwift25!G$1,"Y")</f>
        <v>52</v>
      </c>
      <c r="M1375" s="67">
        <f>IF(J1375="m",VLOOKUP(L1375,'All Solo Adjustments'!A:D,4,FALSE),VLOOKUP(L1375,'All Solo Adjustments'!A:J,10,FALSE))</f>
        <v>1.4814814814814816E-3</v>
      </c>
      <c r="N1375" s="63"/>
      <c r="O1375" s="63"/>
      <c r="P1375" s="63"/>
      <c r="Q1375" s="63"/>
      <c r="R1375" t="s">
        <v>118</v>
      </c>
      <c r="S1375" t="s">
        <v>117</v>
      </c>
      <c r="T1375" t="s">
        <v>292</v>
      </c>
      <c r="U1375" t="s">
        <v>6127</v>
      </c>
      <c r="V1375" t="s">
        <v>6126</v>
      </c>
      <c r="W1375" t="s">
        <v>1100</v>
      </c>
      <c r="X1375" t="s">
        <v>985</v>
      </c>
      <c r="Y1375" t="s">
        <v>6125</v>
      </c>
      <c r="Z1375" t="str">
        <f>"07910288848"</f>
        <v>07910288848</v>
      </c>
      <c r="AA1375" t="str">
        <f>""</f>
        <v/>
      </c>
      <c r="AB1375" t="s">
        <v>6124</v>
      </c>
      <c r="AC1375" t="s">
        <v>6123</v>
      </c>
      <c r="AD1375" t="s">
        <v>114</v>
      </c>
      <c r="AE1375" s="63">
        <v>45278</v>
      </c>
      <c r="AF1375" t="s">
        <v>156</v>
      </c>
      <c r="AG1375" t="s">
        <v>112</v>
      </c>
      <c r="AH1375" t="s">
        <v>112</v>
      </c>
      <c r="AI1375" s="63">
        <v>44380</v>
      </c>
      <c r="AJ1375" s="63">
        <v>45657</v>
      </c>
      <c r="AK1375" t="s">
        <v>112</v>
      </c>
      <c r="AL1375" t="s">
        <v>111</v>
      </c>
      <c r="AM1375" t="s">
        <v>111</v>
      </c>
      <c r="AN1375">
        <v>38073</v>
      </c>
      <c r="AO1375" t="s">
        <v>110</v>
      </c>
      <c r="AP1375" t="s">
        <v>109</v>
      </c>
    </row>
    <row r="1376" spans="1:42" x14ac:dyDescent="0.25">
      <c r="A1376" s="28" t="str">
        <f>"15250"</f>
        <v>15250</v>
      </c>
      <c r="B1376">
        <v>15250</v>
      </c>
      <c r="C1376" t="s">
        <v>2488</v>
      </c>
      <c r="D1376" t="s">
        <v>121</v>
      </c>
      <c r="F1376" t="s">
        <v>120</v>
      </c>
      <c r="G1376" t="s">
        <v>300</v>
      </c>
      <c r="H1376" t="s">
        <v>1000</v>
      </c>
      <c r="I1376" t="s">
        <v>6122</v>
      </c>
      <c r="J1376" t="s">
        <v>7</v>
      </c>
      <c r="K1376" s="63">
        <v>22781</v>
      </c>
      <c r="L1376" s="28">
        <f>DATEDIF(K1376,Zwift25!G$1,"Y")</f>
        <v>62</v>
      </c>
      <c r="M1376" s="67">
        <f>IF(J1376="m",VLOOKUP(L1376,'All Solo Adjustments'!A:D,4,FALSE),VLOOKUP(L1376,'All Solo Adjustments'!A:J,10,FALSE))</f>
        <v>3.7384259259259259E-3</v>
      </c>
      <c r="N1376" s="63"/>
      <c r="O1376" s="63"/>
      <c r="P1376" s="63"/>
      <c r="Q1376" s="63"/>
      <c r="R1376" t="s">
        <v>184</v>
      </c>
      <c r="S1376" t="s">
        <v>183</v>
      </c>
      <c r="T1376" t="s">
        <v>292</v>
      </c>
      <c r="U1376" t="s">
        <v>6121</v>
      </c>
      <c r="V1376" t="s">
        <v>6120</v>
      </c>
      <c r="W1376" t="s">
        <v>6119</v>
      </c>
      <c r="Y1376" t="s">
        <v>6118</v>
      </c>
      <c r="Z1376" t="str">
        <f>"07766760596"</f>
        <v>07766760596</v>
      </c>
      <c r="AA1376" t="str">
        <f>""</f>
        <v/>
      </c>
      <c r="AB1376" t="s">
        <v>6117</v>
      </c>
      <c r="AC1376" t="s">
        <v>6116</v>
      </c>
      <c r="AD1376" t="s">
        <v>114</v>
      </c>
      <c r="AE1376" s="63">
        <v>45292</v>
      </c>
      <c r="AF1376" t="s">
        <v>156</v>
      </c>
      <c r="AG1376" t="s">
        <v>112</v>
      </c>
      <c r="AH1376" t="s">
        <v>112</v>
      </c>
      <c r="AI1376" s="63">
        <v>44459</v>
      </c>
      <c r="AJ1376" s="63">
        <v>45657</v>
      </c>
      <c r="AK1376" t="s">
        <v>112</v>
      </c>
      <c r="AL1376" t="s">
        <v>111</v>
      </c>
      <c r="AM1376" t="s">
        <v>111</v>
      </c>
      <c r="AN1376">
        <v>2107</v>
      </c>
      <c r="AO1376" t="s">
        <v>110</v>
      </c>
      <c r="AP1376" t="s">
        <v>109</v>
      </c>
    </row>
    <row r="1377" spans="1:42" x14ac:dyDescent="0.25">
      <c r="A1377" s="28" t="str">
        <f>"1715"</f>
        <v>1715</v>
      </c>
      <c r="B1377">
        <v>1715</v>
      </c>
      <c r="C1377" t="s">
        <v>2488</v>
      </c>
      <c r="D1377" t="s">
        <v>121</v>
      </c>
      <c r="F1377" t="s">
        <v>120</v>
      </c>
      <c r="G1377" t="s">
        <v>185</v>
      </c>
      <c r="I1377" t="s">
        <v>1707</v>
      </c>
      <c r="J1377" t="s">
        <v>7</v>
      </c>
      <c r="K1377" s="63">
        <v>13116</v>
      </c>
      <c r="L1377" s="28">
        <f>DATEDIF(K1377,Zwift25!G$1,"Y")</f>
        <v>88</v>
      </c>
      <c r="M1377" s="67">
        <f>IF(J1377="m",VLOOKUP(L1377,'All Solo Adjustments'!A:D,4,FALSE),VLOOKUP(L1377,'All Solo Adjustments'!A:J,10,FALSE))</f>
        <v>1.6597222222222222E-2</v>
      </c>
      <c r="N1377" s="63"/>
      <c r="O1377" s="63"/>
      <c r="P1377" s="63"/>
      <c r="Q1377" s="63"/>
      <c r="R1377" t="s">
        <v>184</v>
      </c>
      <c r="S1377" t="s">
        <v>835</v>
      </c>
      <c r="T1377" t="s">
        <v>292</v>
      </c>
      <c r="U1377" t="s">
        <v>6115</v>
      </c>
      <c r="V1377" t="s">
        <v>1260</v>
      </c>
      <c r="W1377" t="s">
        <v>344</v>
      </c>
      <c r="Y1377" t="s">
        <v>6114</v>
      </c>
      <c r="Z1377" t="str">
        <f>"01494 433405"</f>
        <v>01494 433405</v>
      </c>
      <c r="AA1377" t="str">
        <f>""</f>
        <v/>
      </c>
      <c r="AB1377" t="s">
        <v>1491</v>
      </c>
      <c r="AC1377" t="s">
        <v>6113</v>
      </c>
      <c r="AD1377" t="s">
        <v>151</v>
      </c>
      <c r="AF1377" t="s">
        <v>113</v>
      </c>
      <c r="AG1377" t="s">
        <v>112</v>
      </c>
      <c r="AH1377" t="s">
        <v>112</v>
      </c>
      <c r="AI1377" s="63">
        <v>32060</v>
      </c>
      <c r="AK1377" t="s">
        <v>111</v>
      </c>
      <c r="AL1377" t="s">
        <v>111</v>
      </c>
      <c r="AM1377" t="s">
        <v>111</v>
      </c>
      <c r="AN1377" t="s">
        <v>105</v>
      </c>
      <c r="AO1377" t="s">
        <v>110</v>
      </c>
      <c r="AP1377" t="s">
        <v>109</v>
      </c>
    </row>
    <row r="1378" spans="1:42" x14ac:dyDescent="0.25">
      <c r="A1378" s="28" t="str">
        <f>"1716"</f>
        <v>1716</v>
      </c>
      <c r="B1378">
        <v>1716</v>
      </c>
      <c r="C1378" t="s">
        <v>2488</v>
      </c>
      <c r="D1378" t="s">
        <v>121</v>
      </c>
      <c r="F1378" t="s">
        <v>120</v>
      </c>
      <c r="G1378" t="s">
        <v>1172</v>
      </c>
      <c r="I1378" t="s">
        <v>6112</v>
      </c>
      <c r="J1378" t="s">
        <v>7</v>
      </c>
      <c r="K1378" s="63">
        <v>17051</v>
      </c>
      <c r="L1378" s="28">
        <f>DATEDIF(K1378,Zwift25!G$1,"Y")</f>
        <v>78</v>
      </c>
      <c r="M1378" s="67">
        <f>IF(J1378="m",VLOOKUP(L1378,'All Solo Adjustments'!A:D,4,FALSE),VLOOKUP(L1378,'All Solo Adjustments'!A:J,10,FALSE))</f>
        <v>9.9189814814814817E-3</v>
      </c>
      <c r="N1378" s="63"/>
      <c r="O1378" s="63"/>
      <c r="P1378" s="63"/>
      <c r="Q1378" s="63"/>
      <c r="R1378" t="s">
        <v>125</v>
      </c>
      <c r="S1378" t="s">
        <v>170</v>
      </c>
      <c r="T1378" t="s">
        <v>292</v>
      </c>
      <c r="U1378" t="s">
        <v>6111</v>
      </c>
      <c r="V1378" t="s">
        <v>6110</v>
      </c>
      <c r="W1378" t="s">
        <v>201</v>
      </c>
      <c r="Y1378" t="s">
        <v>6109</v>
      </c>
      <c r="Z1378" t="str">
        <f>"01638 601028"</f>
        <v>01638 601028</v>
      </c>
      <c r="AA1378" t="str">
        <f>"07855011335"</f>
        <v>07855011335</v>
      </c>
      <c r="AB1378" t="s">
        <v>942</v>
      </c>
      <c r="AC1378" t="s">
        <v>6108</v>
      </c>
      <c r="AD1378" t="s">
        <v>114</v>
      </c>
      <c r="AE1378" s="63">
        <v>45300</v>
      </c>
      <c r="AF1378" t="s">
        <v>156</v>
      </c>
      <c r="AG1378" t="s">
        <v>112</v>
      </c>
      <c r="AH1378" t="s">
        <v>112</v>
      </c>
      <c r="AI1378" s="63">
        <v>36727</v>
      </c>
      <c r="AJ1378" s="63">
        <v>45657</v>
      </c>
      <c r="AK1378" t="s">
        <v>111</v>
      </c>
      <c r="AL1378" t="s">
        <v>111</v>
      </c>
      <c r="AM1378" t="s">
        <v>111</v>
      </c>
      <c r="AN1378" t="s">
        <v>105</v>
      </c>
      <c r="AO1378" t="s">
        <v>110</v>
      </c>
      <c r="AP1378" t="s">
        <v>109</v>
      </c>
    </row>
    <row r="1379" spans="1:42" x14ac:dyDescent="0.25">
      <c r="A1379" s="28" t="str">
        <f>"4888"</f>
        <v>4888</v>
      </c>
      <c r="B1379">
        <v>4888</v>
      </c>
      <c r="C1379" t="s">
        <v>2488</v>
      </c>
      <c r="D1379" t="s">
        <v>121</v>
      </c>
      <c r="F1379" t="s">
        <v>120</v>
      </c>
      <c r="G1379" t="s">
        <v>427</v>
      </c>
      <c r="I1379" t="s">
        <v>6107</v>
      </c>
      <c r="J1379" t="s">
        <v>7</v>
      </c>
      <c r="K1379" s="63">
        <v>26613</v>
      </c>
      <c r="L1379" s="28">
        <f>DATEDIF(K1379,Zwift25!G$1,"Y")</f>
        <v>51</v>
      </c>
      <c r="M1379" s="67">
        <f>IF(J1379="m",VLOOKUP(L1379,'All Solo Adjustments'!A:D,4,FALSE),VLOOKUP(L1379,'All Solo Adjustments'!A:J,10,FALSE))</f>
        <v>1.3078703703703703E-3</v>
      </c>
      <c r="N1379" s="63"/>
      <c r="O1379" s="63"/>
      <c r="P1379" s="63"/>
      <c r="Q1379" s="63"/>
      <c r="R1379" t="s">
        <v>118</v>
      </c>
      <c r="S1379" t="s">
        <v>117</v>
      </c>
      <c r="T1379" t="s">
        <v>292</v>
      </c>
      <c r="U1379" t="s">
        <v>6106</v>
      </c>
      <c r="V1379" t="s">
        <v>1728</v>
      </c>
      <c r="Y1379" t="s">
        <v>6105</v>
      </c>
      <c r="Z1379" t="str">
        <f>"07883166043"</f>
        <v>07883166043</v>
      </c>
      <c r="AA1379" t="str">
        <f>"07474237383"</f>
        <v>07474237383</v>
      </c>
      <c r="AB1379" t="s">
        <v>115</v>
      </c>
      <c r="AC1379" t="s">
        <v>6104</v>
      </c>
      <c r="AD1379" t="s">
        <v>114</v>
      </c>
      <c r="AE1379" s="63">
        <v>45294</v>
      </c>
      <c r="AF1379" t="s">
        <v>113</v>
      </c>
      <c r="AG1379" t="s">
        <v>112</v>
      </c>
      <c r="AH1379" t="s">
        <v>112</v>
      </c>
      <c r="AI1379" s="63">
        <v>41652</v>
      </c>
      <c r="AJ1379" s="63">
        <v>45657</v>
      </c>
      <c r="AK1379" t="s">
        <v>111</v>
      </c>
      <c r="AL1379" t="s">
        <v>111</v>
      </c>
      <c r="AM1379" t="s">
        <v>111</v>
      </c>
      <c r="AN1379">
        <v>22691</v>
      </c>
      <c r="AO1379" t="s">
        <v>110</v>
      </c>
      <c r="AP1379" t="s">
        <v>109</v>
      </c>
    </row>
    <row r="1380" spans="1:42" x14ac:dyDescent="0.25">
      <c r="A1380" s="28" t="str">
        <f>"1718"</f>
        <v>1718</v>
      </c>
      <c r="B1380">
        <v>1718</v>
      </c>
      <c r="C1380" t="s">
        <v>2488</v>
      </c>
      <c r="D1380" t="s">
        <v>121</v>
      </c>
      <c r="F1380" t="s">
        <v>149</v>
      </c>
      <c r="G1380" t="s">
        <v>681</v>
      </c>
      <c r="I1380" t="s">
        <v>539</v>
      </c>
      <c r="J1380" t="s">
        <v>126</v>
      </c>
      <c r="K1380" s="63">
        <v>21749</v>
      </c>
      <c r="L1380" s="28">
        <f>DATEDIF(K1380,Zwift25!G$1,"Y")</f>
        <v>65</v>
      </c>
      <c r="M1380" s="67">
        <f>IF(J1380="m",VLOOKUP(L1380,'All Solo Adjustments'!A:D,4,FALSE),VLOOKUP(L1380,'All Solo Adjustments'!A:J,10,FALSE))</f>
        <v>8.9467592592592585E-3</v>
      </c>
      <c r="N1380" s="63"/>
      <c r="O1380" s="63"/>
      <c r="P1380" s="63"/>
      <c r="Q1380" s="63"/>
      <c r="R1380" t="s">
        <v>137</v>
      </c>
      <c r="S1380" t="s">
        <v>136</v>
      </c>
      <c r="T1380" t="s">
        <v>292</v>
      </c>
      <c r="U1380" t="s">
        <v>3332</v>
      </c>
      <c r="W1380" t="s">
        <v>1098</v>
      </c>
      <c r="X1380" t="s">
        <v>564</v>
      </c>
      <c r="Y1380" t="s">
        <v>6103</v>
      </c>
      <c r="Z1380" t="str">
        <f>"07720977752"</f>
        <v>07720977752</v>
      </c>
      <c r="AA1380" t="str">
        <f>"02380667394"</f>
        <v>02380667394</v>
      </c>
      <c r="AB1380" t="s">
        <v>2428</v>
      </c>
      <c r="AC1380" t="s">
        <v>6102</v>
      </c>
      <c r="AD1380" t="s">
        <v>114</v>
      </c>
      <c r="AE1380" s="63">
        <v>45250</v>
      </c>
      <c r="AF1380" t="s">
        <v>113</v>
      </c>
      <c r="AG1380" t="s">
        <v>112</v>
      </c>
      <c r="AH1380" t="s">
        <v>112</v>
      </c>
      <c r="AI1380" s="63">
        <v>36342</v>
      </c>
      <c r="AJ1380" s="63">
        <v>45657</v>
      </c>
      <c r="AK1380" t="s">
        <v>111</v>
      </c>
      <c r="AL1380" t="s">
        <v>111</v>
      </c>
      <c r="AM1380" t="s">
        <v>111</v>
      </c>
      <c r="AN1380">
        <v>3156</v>
      </c>
      <c r="AO1380" t="s">
        <v>122</v>
      </c>
      <c r="AP1380" t="s">
        <v>122</v>
      </c>
    </row>
    <row r="1381" spans="1:42" x14ac:dyDescent="0.25">
      <c r="A1381" s="28" t="str">
        <f>"1717"</f>
        <v>1717</v>
      </c>
      <c r="B1381">
        <v>1717</v>
      </c>
      <c r="C1381" t="s">
        <v>2488</v>
      </c>
      <c r="D1381" t="s">
        <v>121</v>
      </c>
      <c r="F1381" t="s">
        <v>120</v>
      </c>
      <c r="G1381" t="s">
        <v>284</v>
      </c>
      <c r="H1381" t="s">
        <v>492</v>
      </c>
      <c r="I1381" t="s">
        <v>539</v>
      </c>
      <c r="J1381" t="s">
        <v>7</v>
      </c>
      <c r="K1381" s="63">
        <v>18281</v>
      </c>
      <c r="L1381" s="28">
        <f>DATEDIF(K1381,Zwift25!G$1,"Y")</f>
        <v>74</v>
      </c>
      <c r="M1381" s="67">
        <f>IF(J1381="m",VLOOKUP(L1381,'All Solo Adjustments'!A:D,4,FALSE),VLOOKUP(L1381,'All Solo Adjustments'!A:J,10,FALSE))</f>
        <v>7.9861111111111122E-3</v>
      </c>
      <c r="N1381" s="63"/>
      <c r="O1381" s="63"/>
      <c r="P1381" s="63"/>
      <c r="Q1381" s="63"/>
      <c r="R1381" t="s">
        <v>125</v>
      </c>
      <c r="S1381" t="s">
        <v>170</v>
      </c>
      <c r="T1381" t="s">
        <v>292</v>
      </c>
      <c r="U1381" t="s">
        <v>6101</v>
      </c>
      <c r="V1381" t="s">
        <v>605</v>
      </c>
      <c r="W1381" t="s">
        <v>193</v>
      </c>
      <c r="Y1381" t="s">
        <v>6100</v>
      </c>
      <c r="Z1381" t="str">
        <f>"01953 603794"</f>
        <v>01953 603794</v>
      </c>
      <c r="AA1381" t="str">
        <f>""</f>
        <v/>
      </c>
      <c r="AB1381" t="s">
        <v>302</v>
      </c>
      <c r="AC1381" t="s">
        <v>6099</v>
      </c>
      <c r="AD1381" t="s">
        <v>114</v>
      </c>
      <c r="AE1381" s="63">
        <v>45262</v>
      </c>
      <c r="AF1381" t="s">
        <v>113</v>
      </c>
      <c r="AG1381" t="s">
        <v>112</v>
      </c>
      <c r="AH1381" t="s">
        <v>112</v>
      </c>
      <c r="AI1381" s="63">
        <v>33111</v>
      </c>
      <c r="AJ1381" s="63">
        <v>45657</v>
      </c>
      <c r="AK1381" t="s">
        <v>111</v>
      </c>
      <c r="AL1381" t="s">
        <v>111</v>
      </c>
      <c r="AM1381" t="s">
        <v>111</v>
      </c>
      <c r="AN1381" t="s">
        <v>105</v>
      </c>
      <c r="AO1381" t="s">
        <v>110</v>
      </c>
      <c r="AP1381" t="s">
        <v>109</v>
      </c>
    </row>
    <row r="1382" spans="1:42" x14ac:dyDescent="0.25">
      <c r="A1382" s="28" t="str">
        <f>"13652"</f>
        <v>13652</v>
      </c>
      <c r="B1382">
        <v>13652</v>
      </c>
      <c r="C1382" t="s">
        <v>2488</v>
      </c>
      <c r="D1382" t="s">
        <v>121</v>
      </c>
      <c r="F1382" t="s">
        <v>120</v>
      </c>
      <c r="G1382" t="s">
        <v>251</v>
      </c>
      <c r="I1382" t="s">
        <v>539</v>
      </c>
      <c r="J1382" t="s">
        <v>7</v>
      </c>
      <c r="K1382" s="63">
        <v>28657</v>
      </c>
      <c r="L1382" s="28">
        <f>DATEDIF(K1382,Zwift25!G$1,"Y")</f>
        <v>46</v>
      </c>
      <c r="M1382" s="67">
        <f>IF(J1382="m",VLOOKUP(L1382,'All Solo Adjustments'!A:D,4,FALSE),VLOOKUP(L1382,'All Solo Adjustments'!A:J,10,FALSE))</f>
        <v>5.6712962962962956E-4</v>
      </c>
      <c r="N1382" s="63"/>
      <c r="O1382" s="63"/>
      <c r="P1382" s="63"/>
      <c r="Q1382" s="63"/>
      <c r="R1382" t="s">
        <v>184</v>
      </c>
      <c r="S1382" t="s">
        <v>183</v>
      </c>
      <c r="T1382" t="s">
        <v>292</v>
      </c>
      <c r="U1382" t="s">
        <v>6098</v>
      </c>
      <c r="V1382" t="s">
        <v>1932</v>
      </c>
      <c r="W1382" t="s">
        <v>1034</v>
      </c>
      <c r="Y1382" t="s">
        <v>6097</v>
      </c>
      <c r="Z1382" t="str">
        <f>"07709348833"</f>
        <v>07709348833</v>
      </c>
      <c r="AA1382" t="str">
        <f>""</f>
        <v/>
      </c>
      <c r="AB1382" t="s">
        <v>1617</v>
      </c>
      <c r="AC1382" t="s">
        <v>6096</v>
      </c>
      <c r="AD1382" t="s">
        <v>114</v>
      </c>
      <c r="AE1382" s="63">
        <v>45301</v>
      </c>
      <c r="AF1382" t="s">
        <v>113</v>
      </c>
      <c r="AG1382" t="s">
        <v>112</v>
      </c>
      <c r="AH1382" t="s">
        <v>112</v>
      </c>
      <c r="AI1382" s="63">
        <v>43271</v>
      </c>
      <c r="AJ1382" s="63">
        <v>45657</v>
      </c>
      <c r="AK1382" t="s">
        <v>112</v>
      </c>
      <c r="AL1382" t="s">
        <v>111</v>
      </c>
      <c r="AM1382" t="s">
        <v>111</v>
      </c>
      <c r="AN1382">
        <v>3981</v>
      </c>
      <c r="AO1382" t="s">
        <v>110</v>
      </c>
      <c r="AP1382" t="s">
        <v>109</v>
      </c>
    </row>
    <row r="1383" spans="1:42" x14ac:dyDescent="0.25">
      <c r="A1383" s="28" t="str">
        <f>"15500"</f>
        <v>15500</v>
      </c>
      <c r="B1383">
        <v>15500</v>
      </c>
      <c r="C1383" t="s">
        <v>2488</v>
      </c>
      <c r="D1383" t="s">
        <v>121</v>
      </c>
      <c r="F1383" t="s">
        <v>120</v>
      </c>
      <c r="G1383" t="s">
        <v>2146</v>
      </c>
      <c r="I1383" t="s">
        <v>6095</v>
      </c>
      <c r="J1383" t="s">
        <v>7</v>
      </c>
      <c r="K1383" s="63">
        <v>24560</v>
      </c>
      <c r="L1383" s="28">
        <f>DATEDIF(K1383,Zwift25!G$1,"Y")</f>
        <v>57</v>
      </c>
      <c r="M1383" s="67">
        <f>IF(J1383="m",VLOOKUP(L1383,'All Solo Adjustments'!A:D,4,FALSE),VLOOKUP(L1383,'All Solo Adjustments'!A:J,10,FALSE))</f>
        <v>2.488425925925926E-3</v>
      </c>
      <c r="N1383" s="63"/>
      <c r="O1383" s="63"/>
      <c r="P1383" s="63"/>
      <c r="Q1383" s="63"/>
      <c r="R1383" t="s">
        <v>527</v>
      </c>
      <c r="S1383" t="s">
        <v>526</v>
      </c>
      <c r="T1383" t="s">
        <v>292</v>
      </c>
      <c r="U1383" t="s">
        <v>6094</v>
      </c>
      <c r="W1383" t="s">
        <v>6093</v>
      </c>
      <c r="X1383" t="s">
        <v>869</v>
      </c>
      <c r="Y1383" t="s">
        <v>6092</v>
      </c>
      <c r="Z1383" t="str">
        <f>"001 604 3398700"</f>
        <v>001 604 3398700</v>
      </c>
      <c r="AA1383" t="str">
        <f>""</f>
        <v/>
      </c>
      <c r="AB1383" t="s">
        <v>1140</v>
      </c>
      <c r="AC1383" t="s">
        <v>6091</v>
      </c>
      <c r="AD1383" t="s">
        <v>114</v>
      </c>
      <c r="AE1383" s="63">
        <v>45287</v>
      </c>
      <c r="AF1383" t="s">
        <v>113</v>
      </c>
      <c r="AG1383" t="s">
        <v>112</v>
      </c>
      <c r="AH1383" t="s">
        <v>112</v>
      </c>
      <c r="AI1383" s="63">
        <v>44704</v>
      </c>
      <c r="AJ1383" s="63">
        <v>45657</v>
      </c>
      <c r="AK1383" t="s">
        <v>112</v>
      </c>
      <c r="AL1383" t="s">
        <v>111</v>
      </c>
      <c r="AM1383" t="s">
        <v>111</v>
      </c>
      <c r="AN1383">
        <v>39561</v>
      </c>
      <c r="AO1383" t="s">
        <v>110</v>
      </c>
      <c r="AP1383" t="s">
        <v>109</v>
      </c>
    </row>
    <row r="1384" spans="1:42" x14ac:dyDescent="0.25">
      <c r="A1384" s="28" t="str">
        <f>"16062"</f>
        <v>16062</v>
      </c>
      <c r="B1384">
        <v>16062</v>
      </c>
      <c r="C1384" t="s">
        <v>2488</v>
      </c>
      <c r="D1384" t="s">
        <v>121</v>
      </c>
      <c r="F1384" t="s">
        <v>120</v>
      </c>
      <c r="G1384" t="s">
        <v>6090</v>
      </c>
      <c r="H1384" t="s">
        <v>818</v>
      </c>
      <c r="I1384" t="s">
        <v>6089</v>
      </c>
      <c r="J1384" t="s">
        <v>7</v>
      </c>
      <c r="K1384" s="63">
        <v>20120</v>
      </c>
      <c r="L1384" s="28">
        <f>DATEDIF(K1384,Zwift25!G$1,"Y")</f>
        <v>69</v>
      </c>
      <c r="M1384" s="67">
        <f>IF(J1384="m",VLOOKUP(L1384,'All Solo Adjustments'!A:D,4,FALSE),VLOOKUP(L1384,'All Solo Adjustments'!A:J,10,FALSE))</f>
        <v>5.9722222222222225E-3</v>
      </c>
      <c r="N1384" s="63"/>
      <c r="O1384" s="63"/>
      <c r="P1384" s="63"/>
      <c r="Q1384" s="63"/>
      <c r="R1384" t="s">
        <v>184</v>
      </c>
      <c r="S1384" t="s">
        <v>183</v>
      </c>
      <c r="T1384" t="s">
        <v>292</v>
      </c>
      <c r="U1384" t="s">
        <v>6088</v>
      </c>
      <c r="V1384" t="s">
        <v>6087</v>
      </c>
      <c r="Y1384" t="s">
        <v>6086</v>
      </c>
      <c r="Z1384" t="str">
        <f>"07512000185"</f>
        <v>07512000185</v>
      </c>
      <c r="AA1384" t="str">
        <f>""</f>
        <v/>
      </c>
      <c r="AB1384" t="s">
        <v>1852</v>
      </c>
      <c r="AC1384" t="s">
        <v>6085</v>
      </c>
      <c r="AD1384" t="s">
        <v>114</v>
      </c>
      <c r="AE1384" s="63">
        <v>45365</v>
      </c>
      <c r="AF1384" t="s">
        <v>156</v>
      </c>
      <c r="AG1384" t="s">
        <v>112</v>
      </c>
      <c r="AH1384" t="s">
        <v>112</v>
      </c>
      <c r="AI1384" s="63">
        <v>45365</v>
      </c>
      <c r="AJ1384" s="63">
        <v>45657</v>
      </c>
      <c r="AK1384" t="s">
        <v>112</v>
      </c>
      <c r="AL1384" t="s">
        <v>111</v>
      </c>
      <c r="AM1384" t="s">
        <v>111</v>
      </c>
      <c r="AN1384">
        <v>6608</v>
      </c>
      <c r="AO1384" t="s">
        <v>110</v>
      </c>
      <c r="AP1384" t="s">
        <v>109</v>
      </c>
    </row>
    <row r="1385" spans="1:42" x14ac:dyDescent="0.25">
      <c r="A1385" s="28" t="str">
        <f>"15635"</f>
        <v>15635</v>
      </c>
      <c r="B1385">
        <v>15635</v>
      </c>
      <c r="C1385" t="s">
        <v>2488</v>
      </c>
      <c r="D1385" t="s">
        <v>121</v>
      </c>
      <c r="F1385" t="s">
        <v>120</v>
      </c>
      <c r="G1385" t="s">
        <v>695</v>
      </c>
      <c r="I1385" t="s">
        <v>6084</v>
      </c>
      <c r="J1385" t="s">
        <v>7</v>
      </c>
      <c r="K1385" s="63">
        <v>19550</v>
      </c>
      <c r="L1385" s="28">
        <f>DATEDIF(K1385,Zwift25!G$1,"Y")</f>
        <v>71</v>
      </c>
      <c r="M1385" s="67">
        <f>IF(J1385="m",VLOOKUP(L1385,'All Solo Adjustments'!A:D,4,FALSE),VLOOKUP(L1385,'All Solo Adjustments'!A:J,10,FALSE))</f>
        <v>6.7245370370370375E-3</v>
      </c>
      <c r="N1385" s="63"/>
      <c r="O1385" s="63"/>
      <c r="P1385" s="63"/>
      <c r="Q1385" s="63"/>
      <c r="R1385" t="s">
        <v>159</v>
      </c>
      <c r="S1385" t="s">
        <v>162</v>
      </c>
      <c r="T1385" t="s">
        <v>292</v>
      </c>
      <c r="U1385" t="s">
        <v>6083</v>
      </c>
      <c r="V1385" t="s">
        <v>2317</v>
      </c>
      <c r="W1385" t="s">
        <v>159</v>
      </c>
      <c r="X1385" t="s">
        <v>159</v>
      </c>
      <c r="Y1385" t="s">
        <v>6082</v>
      </c>
      <c r="Z1385" t="str">
        <f>"+447729638863"</f>
        <v>+447729638863</v>
      </c>
      <c r="AA1385" t="str">
        <f>""</f>
        <v/>
      </c>
      <c r="AB1385" t="s">
        <v>6081</v>
      </c>
      <c r="AC1385" t="s">
        <v>6080</v>
      </c>
      <c r="AD1385" t="s">
        <v>114</v>
      </c>
      <c r="AE1385" s="63">
        <v>45292</v>
      </c>
      <c r="AF1385" t="s">
        <v>113</v>
      </c>
      <c r="AG1385" t="s">
        <v>112</v>
      </c>
      <c r="AH1385" t="s">
        <v>112</v>
      </c>
      <c r="AI1385" s="63">
        <v>44923</v>
      </c>
      <c r="AJ1385" s="63">
        <v>45657</v>
      </c>
      <c r="AK1385" t="s">
        <v>112</v>
      </c>
      <c r="AL1385" t="s">
        <v>111</v>
      </c>
      <c r="AM1385" t="s">
        <v>111</v>
      </c>
      <c r="AN1385" t="s">
        <v>105</v>
      </c>
      <c r="AO1385" t="s">
        <v>110</v>
      </c>
      <c r="AP1385" t="s">
        <v>109</v>
      </c>
    </row>
    <row r="1386" spans="1:42" x14ac:dyDescent="0.25">
      <c r="A1386" s="28" t="str">
        <f>"1725"</f>
        <v>1725</v>
      </c>
      <c r="B1386">
        <v>1725</v>
      </c>
      <c r="C1386" t="s">
        <v>2488</v>
      </c>
      <c r="D1386" t="s">
        <v>121</v>
      </c>
      <c r="F1386" t="s">
        <v>120</v>
      </c>
      <c r="G1386" t="s">
        <v>649</v>
      </c>
      <c r="H1386" t="s">
        <v>2344</v>
      </c>
      <c r="I1386" t="s">
        <v>1586</v>
      </c>
      <c r="J1386" t="s">
        <v>7</v>
      </c>
      <c r="K1386" s="63">
        <v>14281</v>
      </c>
      <c r="L1386" s="28">
        <f>DATEDIF(K1386,Zwift25!G$1,"Y")</f>
        <v>85</v>
      </c>
      <c r="M1386" s="67">
        <f>IF(J1386="m",VLOOKUP(L1386,'All Solo Adjustments'!A:D,4,FALSE),VLOOKUP(L1386,'All Solo Adjustments'!A:J,10,FALSE))</f>
        <v>1.4236111111111111E-2</v>
      </c>
      <c r="N1386" s="63"/>
      <c r="O1386" s="63"/>
      <c r="P1386" s="63"/>
      <c r="Q1386" s="63"/>
      <c r="R1386" t="s">
        <v>154</v>
      </c>
      <c r="S1386" t="s">
        <v>2404</v>
      </c>
      <c r="T1386" t="s">
        <v>292</v>
      </c>
      <c r="U1386" t="s">
        <v>4746</v>
      </c>
      <c r="V1386" t="s">
        <v>1983</v>
      </c>
      <c r="W1386" t="s">
        <v>1983</v>
      </c>
      <c r="X1386" t="s">
        <v>1306</v>
      </c>
      <c r="Y1386" t="s">
        <v>4745</v>
      </c>
      <c r="Z1386" t="str">
        <f>"+441386423185"</f>
        <v>+441386423185</v>
      </c>
      <c r="AA1386" t="str">
        <f>"+447850635503"</f>
        <v>+447850635503</v>
      </c>
      <c r="AB1386" t="s">
        <v>1389</v>
      </c>
      <c r="AC1386" t="s">
        <v>6079</v>
      </c>
      <c r="AD1386" t="s">
        <v>145</v>
      </c>
      <c r="AF1386" t="s">
        <v>156</v>
      </c>
      <c r="AG1386" t="s">
        <v>112</v>
      </c>
      <c r="AH1386" t="s">
        <v>112</v>
      </c>
      <c r="AI1386" s="63">
        <v>43420</v>
      </c>
      <c r="AK1386" t="s">
        <v>111</v>
      </c>
      <c r="AL1386" t="s">
        <v>111</v>
      </c>
      <c r="AM1386" t="s">
        <v>111</v>
      </c>
      <c r="AN1386">
        <v>35968</v>
      </c>
      <c r="AO1386" t="s">
        <v>110</v>
      </c>
      <c r="AP1386" t="s">
        <v>109</v>
      </c>
    </row>
    <row r="1387" spans="1:42" x14ac:dyDescent="0.25">
      <c r="A1387" s="28" t="str">
        <f>"4270"</f>
        <v>4270</v>
      </c>
      <c r="B1387">
        <v>4270</v>
      </c>
      <c r="C1387" t="s">
        <v>2488</v>
      </c>
      <c r="D1387" t="s">
        <v>121</v>
      </c>
      <c r="F1387" t="s">
        <v>120</v>
      </c>
      <c r="G1387" t="s">
        <v>165</v>
      </c>
      <c r="I1387" t="s">
        <v>1586</v>
      </c>
      <c r="J1387" t="s">
        <v>7</v>
      </c>
      <c r="K1387" s="63">
        <v>24495</v>
      </c>
      <c r="L1387" s="28">
        <f>DATEDIF(K1387,Zwift25!G$1,"Y")</f>
        <v>57</v>
      </c>
      <c r="M1387" s="67">
        <f>IF(J1387="m",VLOOKUP(L1387,'All Solo Adjustments'!A:D,4,FALSE),VLOOKUP(L1387,'All Solo Adjustments'!A:J,10,FALSE))</f>
        <v>2.488425925925926E-3</v>
      </c>
      <c r="N1387" s="63"/>
      <c r="O1387" s="63"/>
      <c r="P1387" s="63"/>
      <c r="Q1387" s="63"/>
      <c r="R1387" t="s">
        <v>125</v>
      </c>
      <c r="S1387" t="s">
        <v>170</v>
      </c>
      <c r="T1387" t="s">
        <v>292</v>
      </c>
      <c r="U1387" t="s">
        <v>6078</v>
      </c>
      <c r="V1387" t="s">
        <v>1075</v>
      </c>
      <c r="Y1387" t="s">
        <v>6077</v>
      </c>
      <c r="Z1387" t="str">
        <f>"07748 980394"</f>
        <v>07748 980394</v>
      </c>
      <c r="AA1387" t="str">
        <f>""</f>
        <v/>
      </c>
      <c r="AB1387" t="s">
        <v>2255</v>
      </c>
      <c r="AC1387" t="s">
        <v>6076</v>
      </c>
      <c r="AD1387" t="s">
        <v>114</v>
      </c>
      <c r="AE1387" s="63">
        <v>45304</v>
      </c>
      <c r="AF1387" t="s">
        <v>156</v>
      </c>
      <c r="AG1387" t="s">
        <v>112</v>
      </c>
      <c r="AH1387" t="s">
        <v>112</v>
      </c>
      <c r="AI1387" s="63">
        <v>41674</v>
      </c>
      <c r="AJ1387" s="63">
        <v>45657</v>
      </c>
      <c r="AK1387" t="s">
        <v>111</v>
      </c>
      <c r="AL1387" t="s">
        <v>112</v>
      </c>
      <c r="AM1387" t="s">
        <v>111</v>
      </c>
      <c r="AN1387">
        <v>611</v>
      </c>
      <c r="AO1387" t="s">
        <v>110</v>
      </c>
      <c r="AP1387" t="s">
        <v>109</v>
      </c>
    </row>
    <row r="1388" spans="1:42" x14ac:dyDescent="0.25">
      <c r="A1388" s="28" t="str">
        <f>"6203"</f>
        <v>6203</v>
      </c>
      <c r="B1388">
        <v>6203</v>
      </c>
      <c r="C1388" t="s">
        <v>2488</v>
      </c>
      <c r="D1388" t="s">
        <v>121</v>
      </c>
      <c r="E1388" t="s">
        <v>584</v>
      </c>
      <c r="F1388" t="s">
        <v>120</v>
      </c>
      <c r="G1388" t="s">
        <v>6075</v>
      </c>
      <c r="I1388" t="s">
        <v>6074</v>
      </c>
      <c r="J1388" t="s">
        <v>7</v>
      </c>
      <c r="K1388" s="63">
        <v>21382</v>
      </c>
      <c r="L1388" s="28">
        <f>DATEDIF(K1388,Zwift25!G$1,"Y")</f>
        <v>66</v>
      </c>
      <c r="M1388" s="67">
        <f>IF(J1388="m",VLOOKUP(L1388,'All Solo Adjustments'!A:D,4,FALSE),VLOOKUP(L1388,'All Solo Adjustments'!A:J,10,FALSE))</f>
        <v>4.9421296296296297E-3</v>
      </c>
      <c r="N1388" s="63"/>
      <c r="O1388" s="63"/>
      <c r="P1388" s="63"/>
      <c r="Q1388" s="63"/>
      <c r="R1388" t="s">
        <v>213</v>
      </c>
      <c r="S1388" t="s">
        <v>212</v>
      </c>
      <c r="T1388" t="s">
        <v>292</v>
      </c>
      <c r="U1388" t="s">
        <v>6073</v>
      </c>
      <c r="V1388" t="s">
        <v>5490</v>
      </c>
      <c r="W1388" t="s">
        <v>503</v>
      </c>
      <c r="Y1388" t="s">
        <v>6072</v>
      </c>
      <c r="Z1388" t="str">
        <f>"0151 342 1132"</f>
        <v>0151 342 1132</v>
      </c>
      <c r="AA1388" t="str">
        <f>"07513885607"</f>
        <v>07513885607</v>
      </c>
      <c r="AB1388" t="s">
        <v>6071</v>
      </c>
      <c r="AC1388" t="s">
        <v>6070</v>
      </c>
      <c r="AD1388" t="s">
        <v>114</v>
      </c>
      <c r="AE1388" s="63">
        <v>45277</v>
      </c>
      <c r="AF1388" t="s">
        <v>156</v>
      </c>
      <c r="AG1388" t="s">
        <v>112</v>
      </c>
      <c r="AH1388" t="s">
        <v>112</v>
      </c>
      <c r="AI1388" s="63">
        <v>42822</v>
      </c>
      <c r="AJ1388" s="63">
        <v>45657</v>
      </c>
      <c r="AK1388" t="s">
        <v>111</v>
      </c>
      <c r="AL1388" t="s">
        <v>111</v>
      </c>
      <c r="AM1388" t="s">
        <v>111</v>
      </c>
      <c r="AN1388">
        <v>602</v>
      </c>
      <c r="AO1388" t="s">
        <v>110</v>
      </c>
      <c r="AP1388" t="s">
        <v>109</v>
      </c>
    </row>
    <row r="1389" spans="1:42" x14ac:dyDescent="0.25">
      <c r="A1389" s="28" t="str">
        <f>"1726"</f>
        <v>1726</v>
      </c>
      <c r="B1389">
        <v>1726</v>
      </c>
      <c r="C1389" t="s">
        <v>2488</v>
      </c>
      <c r="D1389" t="s">
        <v>121</v>
      </c>
      <c r="F1389" t="s">
        <v>120</v>
      </c>
      <c r="G1389" t="s">
        <v>1369</v>
      </c>
      <c r="I1389" t="s">
        <v>6064</v>
      </c>
      <c r="J1389" t="s">
        <v>7</v>
      </c>
      <c r="K1389" s="63">
        <v>13444</v>
      </c>
      <c r="L1389" s="28">
        <f>DATEDIF(K1389,Zwift25!G$1,"Y")</f>
        <v>87</v>
      </c>
      <c r="M1389" s="67">
        <f>IF(J1389="m",VLOOKUP(L1389,'All Solo Adjustments'!A:D,4,FALSE),VLOOKUP(L1389,'All Solo Adjustments'!A:J,10,FALSE))</f>
        <v>1.576388888888889E-2</v>
      </c>
      <c r="N1389" s="63"/>
      <c r="O1389" s="63"/>
      <c r="P1389" s="63"/>
      <c r="Q1389" s="63"/>
      <c r="R1389" t="s">
        <v>527</v>
      </c>
      <c r="S1389" t="s">
        <v>526</v>
      </c>
      <c r="T1389" t="s">
        <v>292</v>
      </c>
      <c r="U1389" t="s">
        <v>6069</v>
      </c>
      <c r="V1389" t="s">
        <v>6068</v>
      </c>
      <c r="W1389" t="s">
        <v>6067</v>
      </c>
      <c r="X1389" t="s">
        <v>887</v>
      </c>
      <c r="Y1389" t="s">
        <v>6066</v>
      </c>
      <c r="Z1389" t="str">
        <f>"0191 236 6948"</f>
        <v>0191 236 6948</v>
      </c>
      <c r="AA1389" t="str">
        <f>""</f>
        <v/>
      </c>
      <c r="AB1389" t="s">
        <v>6065</v>
      </c>
      <c r="AD1389" t="s">
        <v>145</v>
      </c>
      <c r="AE1389" s="63">
        <v>45308</v>
      </c>
      <c r="AF1389" t="s">
        <v>113</v>
      </c>
      <c r="AG1389" t="s">
        <v>112</v>
      </c>
      <c r="AH1389" t="s">
        <v>112</v>
      </c>
      <c r="AI1389" s="63">
        <v>43503</v>
      </c>
      <c r="AJ1389" s="63">
        <v>45657</v>
      </c>
      <c r="AK1389" t="s">
        <v>111</v>
      </c>
      <c r="AL1389" t="s">
        <v>111</v>
      </c>
      <c r="AM1389" t="s">
        <v>111</v>
      </c>
      <c r="AN1389" t="s">
        <v>105</v>
      </c>
      <c r="AO1389" t="s">
        <v>110</v>
      </c>
      <c r="AP1389" t="s">
        <v>109</v>
      </c>
    </row>
    <row r="1390" spans="1:42" x14ac:dyDescent="0.25">
      <c r="A1390" s="28" t="str">
        <f>"14198"</f>
        <v>14198</v>
      </c>
      <c r="B1390">
        <v>14198</v>
      </c>
      <c r="C1390" t="s">
        <v>2488</v>
      </c>
      <c r="D1390" t="s">
        <v>121</v>
      </c>
      <c r="E1390" t="s">
        <v>584</v>
      </c>
      <c r="F1390" t="s">
        <v>120</v>
      </c>
      <c r="G1390" t="s">
        <v>251</v>
      </c>
      <c r="H1390" t="s">
        <v>410</v>
      </c>
      <c r="I1390" t="s">
        <v>6064</v>
      </c>
      <c r="J1390" t="s">
        <v>7</v>
      </c>
      <c r="K1390" s="63">
        <v>19102</v>
      </c>
      <c r="L1390" s="28">
        <f>DATEDIF(K1390,Zwift25!G$1,"Y")</f>
        <v>72</v>
      </c>
      <c r="M1390" s="67">
        <f>IF(J1390="m",VLOOKUP(L1390,'All Solo Adjustments'!A:D,4,FALSE),VLOOKUP(L1390,'All Solo Adjustments'!A:J,10,FALSE))</f>
        <v>7.129629629629629E-3</v>
      </c>
      <c r="N1390" s="63"/>
      <c r="O1390" s="63"/>
      <c r="P1390" s="63"/>
      <c r="Q1390" s="63"/>
      <c r="R1390" t="s">
        <v>527</v>
      </c>
      <c r="S1390" t="s">
        <v>526</v>
      </c>
      <c r="T1390" t="s">
        <v>292</v>
      </c>
      <c r="U1390" t="s">
        <v>6063</v>
      </c>
      <c r="V1390" t="s">
        <v>6062</v>
      </c>
      <c r="W1390" t="s">
        <v>1814</v>
      </c>
      <c r="X1390" t="s">
        <v>1650</v>
      </c>
      <c r="Y1390" t="s">
        <v>6061</v>
      </c>
      <c r="Z1390" t="str">
        <f>"07989107445"</f>
        <v>07989107445</v>
      </c>
      <c r="AA1390" t="str">
        <f>""</f>
        <v/>
      </c>
      <c r="AB1390" t="s">
        <v>1898</v>
      </c>
      <c r="AC1390" t="s">
        <v>6060</v>
      </c>
      <c r="AD1390" t="s">
        <v>114</v>
      </c>
      <c r="AE1390" s="63">
        <v>45266</v>
      </c>
      <c r="AF1390" t="s">
        <v>156</v>
      </c>
      <c r="AG1390" t="s">
        <v>112</v>
      </c>
      <c r="AH1390" t="s">
        <v>112</v>
      </c>
      <c r="AI1390" s="63">
        <v>43585</v>
      </c>
      <c r="AJ1390" s="63">
        <v>45657</v>
      </c>
      <c r="AK1390" t="s">
        <v>112</v>
      </c>
      <c r="AL1390" t="s">
        <v>111</v>
      </c>
      <c r="AM1390" t="s">
        <v>111</v>
      </c>
      <c r="AN1390">
        <v>14296</v>
      </c>
      <c r="AO1390" t="s">
        <v>110</v>
      </c>
      <c r="AP1390" t="s">
        <v>109</v>
      </c>
    </row>
    <row r="1391" spans="1:42" x14ac:dyDescent="0.25">
      <c r="A1391" s="28" t="str">
        <f>"16147"</f>
        <v>16147</v>
      </c>
      <c r="B1391">
        <v>16147</v>
      </c>
      <c r="C1391" t="s">
        <v>2488</v>
      </c>
      <c r="D1391" t="s">
        <v>121</v>
      </c>
      <c r="F1391" t="s">
        <v>120</v>
      </c>
      <c r="G1391" t="s">
        <v>164</v>
      </c>
      <c r="H1391" t="s">
        <v>251</v>
      </c>
      <c r="I1391" t="s">
        <v>6059</v>
      </c>
      <c r="J1391" t="s">
        <v>7</v>
      </c>
      <c r="K1391" s="63">
        <v>25440</v>
      </c>
      <c r="L1391" s="28">
        <f>DATEDIF(K1391,Zwift25!G$1,"Y")</f>
        <v>55</v>
      </c>
      <c r="M1391" s="67">
        <f>IF(J1391="m",VLOOKUP(L1391,'All Solo Adjustments'!A:D,4,FALSE),VLOOKUP(L1391,'All Solo Adjustments'!A:J,10,FALSE))</f>
        <v>2.0601851851851853E-3</v>
      </c>
      <c r="N1391" s="63"/>
      <c r="O1391" s="63"/>
      <c r="P1391" s="63"/>
      <c r="Q1391" s="63"/>
      <c r="R1391" t="s">
        <v>239</v>
      </c>
      <c r="S1391" t="s">
        <v>274</v>
      </c>
      <c r="T1391" t="s">
        <v>292</v>
      </c>
      <c r="U1391" t="s">
        <v>6058</v>
      </c>
      <c r="V1391" t="s">
        <v>6057</v>
      </c>
      <c r="W1391" t="s">
        <v>6056</v>
      </c>
      <c r="X1391" t="s">
        <v>6055</v>
      </c>
      <c r="Y1391" t="s">
        <v>6054</v>
      </c>
      <c r="Z1391" t="str">
        <f>"07584591059"</f>
        <v>07584591059</v>
      </c>
      <c r="AA1391" t="str">
        <f>""</f>
        <v/>
      </c>
      <c r="AB1391" t="s">
        <v>6053</v>
      </c>
      <c r="AC1391" t="s">
        <v>6052</v>
      </c>
      <c r="AD1391" t="s">
        <v>114</v>
      </c>
      <c r="AE1391" s="63">
        <v>45438</v>
      </c>
      <c r="AF1391" t="s">
        <v>156</v>
      </c>
      <c r="AG1391" t="s">
        <v>112</v>
      </c>
      <c r="AH1391" t="s">
        <v>112</v>
      </c>
      <c r="AI1391" s="63">
        <v>45438</v>
      </c>
      <c r="AJ1391" s="63">
        <v>45657</v>
      </c>
      <c r="AK1391" t="s">
        <v>112</v>
      </c>
      <c r="AL1391" t="s">
        <v>111</v>
      </c>
      <c r="AM1391" t="s">
        <v>111</v>
      </c>
      <c r="AN1391">
        <v>44411</v>
      </c>
      <c r="AO1391" t="s">
        <v>110</v>
      </c>
      <c r="AP1391" t="s">
        <v>109</v>
      </c>
    </row>
    <row r="1392" spans="1:42" x14ac:dyDescent="0.25">
      <c r="A1392" s="28" t="str">
        <f>"5661"</f>
        <v>5661</v>
      </c>
      <c r="B1392">
        <v>5661</v>
      </c>
      <c r="C1392" t="s">
        <v>2488</v>
      </c>
      <c r="D1392" t="s">
        <v>132</v>
      </c>
      <c r="E1392" t="s">
        <v>584</v>
      </c>
      <c r="F1392" t="s">
        <v>120</v>
      </c>
      <c r="G1392" t="s">
        <v>649</v>
      </c>
      <c r="H1392" t="s">
        <v>578</v>
      </c>
      <c r="I1392" t="s">
        <v>1581</v>
      </c>
      <c r="J1392" t="s">
        <v>7</v>
      </c>
      <c r="K1392" s="63">
        <v>22799</v>
      </c>
      <c r="L1392" s="28">
        <f>DATEDIF(K1392,Zwift25!G$1,"Y")</f>
        <v>62</v>
      </c>
      <c r="M1392" s="67">
        <f>IF(J1392="m",VLOOKUP(L1392,'All Solo Adjustments'!A:D,4,FALSE),VLOOKUP(L1392,'All Solo Adjustments'!A:J,10,FALSE))</f>
        <v>3.7384259259259259E-3</v>
      </c>
      <c r="N1392" s="63"/>
      <c r="O1392" s="63"/>
      <c r="P1392" s="63"/>
      <c r="Q1392" s="63"/>
      <c r="R1392" t="s">
        <v>296</v>
      </c>
      <c r="S1392" t="s">
        <v>701</v>
      </c>
      <c r="T1392" t="s">
        <v>292</v>
      </c>
      <c r="U1392" t="s">
        <v>6050</v>
      </c>
      <c r="V1392" t="s">
        <v>6049</v>
      </c>
      <c r="Y1392" t="s">
        <v>6048</v>
      </c>
      <c r="Z1392" t="str">
        <f>"01563402274"</f>
        <v>01563402274</v>
      </c>
      <c r="AA1392" t="str">
        <f>"07480284907"</f>
        <v>07480284907</v>
      </c>
      <c r="AB1392" t="s">
        <v>6047</v>
      </c>
      <c r="AC1392" t="s">
        <v>6051</v>
      </c>
      <c r="AD1392" t="s">
        <v>114</v>
      </c>
      <c r="AE1392" s="63">
        <v>45320</v>
      </c>
      <c r="AF1392" t="s">
        <v>113</v>
      </c>
      <c r="AG1392" t="s">
        <v>112</v>
      </c>
      <c r="AH1392" t="s">
        <v>112</v>
      </c>
      <c r="AI1392" s="63">
        <v>42361</v>
      </c>
      <c r="AJ1392" s="63">
        <v>45657</v>
      </c>
      <c r="AK1392" t="s">
        <v>111</v>
      </c>
      <c r="AL1392" t="s">
        <v>111</v>
      </c>
      <c r="AM1392" t="s">
        <v>111</v>
      </c>
      <c r="AN1392">
        <v>2215</v>
      </c>
      <c r="AO1392" t="s">
        <v>110</v>
      </c>
      <c r="AP1392" t="s">
        <v>109</v>
      </c>
    </row>
    <row r="1393" spans="1:42" x14ac:dyDescent="0.25">
      <c r="A1393" s="28" t="str">
        <f>"11176"</f>
        <v>11176</v>
      </c>
      <c r="B1393">
        <v>11176</v>
      </c>
      <c r="C1393" t="s">
        <v>2488</v>
      </c>
      <c r="D1393" t="s">
        <v>130</v>
      </c>
      <c r="E1393" t="s">
        <v>584</v>
      </c>
      <c r="F1393" t="s">
        <v>149</v>
      </c>
      <c r="G1393" t="s">
        <v>2052</v>
      </c>
      <c r="I1393" t="s">
        <v>1581</v>
      </c>
      <c r="J1393" t="s">
        <v>126</v>
      </c>
      <c r="K1393" s="63">
        <v>21244</v>
      </c>
      <c r="L1393" s="28">
        <f>DATEDIF(K1393,Zwift25!G$1,"Y")</f>
        <v>66</v>
      </c>
      <c r="M1393" s="67">
        <f>IF(J1393="m",VLOOKUP(L1393,'All Solo Adjustments'!A:D,4,FALSE),VLOOKUP(L1393,'All Solo Adjustments'!A:J,10,FALSE))</f>
        <v>9.4907407407407406E-3</v>
      </c>
      <c r="N1393" s="63"/>
      <c r="O1393" s="63"/>
      <c r="P1393" s="63"/>
      <c r="Q1393" s="63"/>
      <c r="R1393" t="s">
        <v>296</v>
      </c>
      <c r="S1393" t="s">
        <v>701</v>
      </c>
      <c r="T1393" t="s">
        <v>292</v>
      </c>
      <c r="U1393" t="s">
        <v>6050</v>
      </c>
      <c r="V1393" t="s">
        <v>6049</v>
      </c>
      <c r="Y1393" t="s">
        <v>6048</v>
      </c>
      <c r="Z1393" t="str">
        <f>"01563402274"</f>
        <v>01563402274</v>
      </c>
      <c r="AA1393" t="str">
        <f>"07480284907"</f>
        <v>07480284907</v>
      </c>
      <c r="AB1393" t="s">
        <v>6047</v>
      </c>
      <c r="AC1393" t="s">
        <v>6046</v>
      </c>
      <c r="AD1393" t="s">
        <v>114</v>
      </c>
      <c r="AE1393" s="63">
        <v>45320</v>
      </c>
      <c r="AF1393" t="s">
        <v>113</v>
      </c>
      <c r="AG1393" t="s">
        <v>112</v>
      </c>
      <c r="AH1393" t="s">
        <v>112</v>
      </c>
      <c r="AI1393" s="63">
        <v>42361</v>
      </c>
      <c r="AJ1393" s="63">
        <v>45657</v>
      </c>
      <c r="AK1393" t="s">
        <v>111</v>
      </c>
      <c r="AL1393" t="s">
        <v>111</v>
      </c>
      <c r="AM1393" t="s">
        <v>111</v>
      </c>
      <c r="AN1393">
        <v>2890</v>
      </c>
      <c r="AO1393" t="s">
        <v>122</v>
      </c>
      <c r="AP1393" t="s">
        <v>122</v>
      </c>
    </row>
    <row r="1394" spans="1:42" x14ac:dyDescent="0.25">
      <c r="A1394" s="28" t="str">
        <f>"1735"</f>
        <v>1735</v>
      </c>
      <c r="B1394">
        <v>1735</v>
      </c>
      <c r="C1394" t="s">
        <v>2488</v>
      </c>
      <c r="D1394" t="s">
        <v>121</v>
      </c>
      <c r="E1394" t="s">
        <v>584</v>
      </c>
      <c r="F1394" t="s">
        <v>120</v>
      </c>
      <c r="G1394" t="s">
        <v>241</v>
      </c>
      <c r="H1394" t="s">
        <v>1112</v>
      </c>
      <c r="I1394" t="s">
        <v>2268</v>
      </c>
      <c r="J1394" t="s">
        <v>7</v>
      </c>
      <c r="K1394" s="63">
        <v>15462</v>
      </c>
      <c r="L1394" s="28">
        <f>DATEDIF(K1394,Zwift25!G$1,"Y")</f>
        <v>82</v>
      </c>
      <c r="M1394" s="67">
        <f>IF(J1394="m",VLOOKUP(L1394,'All Solo Adjustments'!A:D,4,FALSE),VLOOKUP(L1394,'All Solo Adjustments'!A:J,10,FALSE))</f>
        <v>1.2210648148148148E-2</v>
      </c>
      <c r="N1394" s="63"/>
      <c r="O1394" s="63"/>
      <c r="P1394" s="63"/>
      <c r="Q1394" s="63"/>
      <c r="R1394" t="s">
        <v>213</v>
      </c>
      <c r="S1394" t="s">
        <v>2309</v>
      </c>
      <c r="T1394" t="s">
        <v>292</v>
      </c>
      <c r="U1394" t="s">
        <v>6045</v>
      </c>
      <c r="V1394" t="s">
        <v>6044</v>
      </c>
      <c r="W1394" t="s">
        <v>999</v>
      </c>
      <c r="Y1394" t="s">
        <v>6043</v>
      </c>
      <c r="Z1394" t="str">
        <f>"01925 245334"</f>
        <v>01925 245334</v>
      </c>
      <c r="AA1394" t="str">
        <f>""</f>
        <v/>
      </c>
      <c r="AB1394" t="s">
        <v>210</v>
      </c>
      <c r="AC1394" t="s">
        <v>6042</v>
      </c>
      <c r="AD1394" t="s">
        <v>145</v>
      </c>
      <c r="AF1394" t="s">
        <v>113</v>
      </c>
      <c r="AG1394" t="s">
        <v>112</v>
      </c>
      <c r="AH1394" t="s">
        <v>112</v>
      </c>
      <c r="AI1394" s="63">
        <v>36669</v>
      </c>
      <c r="AK1394" t="s">
        <v>111</v>
      </c>
      <c r="AL1394" t="s">
        <v>111</v>
      </c>
      <c r="AM1394" t="s">
        <v>111</v>
      </c>
      <c r="AN1394">
        <v>13896</v>
      </c>
      <c r="AO1394" t="s">
        <v>110</v>
      </c>
      <c r="AP1394" t="s">
        <v>109</v>
      </c>
    </row>
    <row r="1395" spans="1:42" x14ac:dyDescent="0.25">
      <c r="A1395" s="28" t="str">
        <f>"14015"</f>
        <v>14015</v>
      </c>
      <c r="B1395">
        <v>14015</v>
      </c>
      <c r="C1395" t="s">
        <v>2488</v>
      </c>
      <c r="D1395" t="s">
        <v>132</v>
      </c>
      <c r="E1395" t="s">
        <v>6041</v>
      </c>
      <c r="F1395" t="s">
        <v>139</v>
      </c>
      <c r="G1395" t="s">
        <v>6040</v>
      </c>
      <c r="H1395" t="s">
        <v>595</v>
      </c>
      <c r="I1395" t="s">
        <v>6039</v>
      </c>
      <c r="J1395" t="s">
        <v>126</v>
      </c>
      <c r="K1395" s="63">
        <v>23863</v>
      </c>
      <c r="L1395" s="28">
        <f>DATEDIF(K1395,Zwift25!G$1,"Y")</f>
        <v>59</v>
      </c>
      <c r="M1395" s="67">
        <f>IF(J1395="m",VLOOKUP(L1395,'All Solo Adjustments'!A:D,4,FALSE),VLOOKUP(L1395,'All Solo Adjustments'!A:J,10,FALSE))</f>
        <v>6.5972222222222222E-3</v>
      </c>
      <c r="N1395" s="63"/>
      <c r="O1395" s="63"/>
      <c r="P1395" s="63"/>
      <c r="Q1395" s="63"/>
      <c r="R1395" t="s">
        <v>213</v>
      </c>
      <c r="S1395" t="s">
        <v>1478</v>
      </c>
      <c r="T1395" t="s">
        <v>292</v>
      </c>
      <c r="U1395" t="s">
        <v>6036</v>
      </c>
      <c r="V1395" t="s">
        <v>1436</v>
      </c>
      <c r="W1395" t="s">
        <v>5747</v>
      </c>
      <c r="X1395" t="s">
        <v>6035</v>
      </c>
      <c r="Y1395" t="s">
        <v>6034</v>
      </c>
      <c r="Z1395" t="str">
        <f>"07979184232"</f>
        <v>07979184232</v>
      </c>
      <c r="AA1395" t="str">
        <f>""</f>
        <v/>
      </c>
      <c r="AB1395" t="s">
        <v>1205</v>
      </c>
      <c r="AC1395" t="s">
        <v>6038</v>
      </c>
      <c r="AD1395" t="s">
        <v>114</v>
      </c>
      <c r="AE1395" s="63">
        <v>45264</v>
      </c>
      <c r="AF1395" t="s">
        <v>113</v>
      </c>
      <c r="AG1395" t="s">
        <v>112</v>
      </c>
      <c r="AH1395" t="s">
        <v>112</v>
      </c>
      <c r="AI1395" s="63">
        <v>43492</v>
      </c>
      <c r="AJ1395" s="63">
        <v>45657</v>
      </c>
      <c r="AK1395" t="s">
        <v>112</v>
      </c>
      <c r="AL1395" t="s">
        <v>111</v>
      </c>
      <c r="AM1395" t="s">
        <v>111</v>
      </c>
      <c r="AN1395">
        <v>9119</v>
      </c>
      <c r="AO1395" t="s">
        <v>122</v>
      </c>
      <c r="AP1395" t="s">
        <v>122</v>
      </c>
    </row>
    <row r="1396" spans="1:42" x14ac:dyDescent="0.25">
      <c r="A1396" s="28" t="str">
        <f>"14016"</f>
        <v>14016</v>
      </c>
      <c r="B1396">
        <v>14016</v>
      </c>
      <c r="C1396" t="s">
        <v>2488</v>
      </c>
      <c r="D1396" t="s">
        <v>130</v>
      </c>
      <c r="F1396" t="s">
        <v>139</v>
      </c>
      <c r="G1396" t="s">
        <v>1475</v>
      </c>
      <c r="H1396" t="s">
        <v>1092</v>
      </c>
      <c r="I1396" t="s">
        <v>6037</v>
      </c>
      <c r="J1396" t="s">
        <v>126</v>
      </c>
      <c r="K1396" s="63">
        <v>21435</v>
      </c>
      <c r="L1396" s="28">
        <f>DATEDIF(K1396,Zwift25!G$1,"Y")</f>
        <v>66</v>
      </c>
      <c r="M1396" s="67">
        <f>IF(J1396="m",VLOOKUP(L1396,'All Solo Adjustments'!A:D,4,FALSE),VLOOKUP(L1396,'All Solo Adjustments'!A:J,10,FALSE))</f>
        <v>9.4907407407407406E-3</v>
      </c>
      <c r="N1396" s="63"/>
      <c r="O1396" s="63"/>
      <c r="P1396" s="63"/>
      <c r="Q1396" s="63"/>
      <c r="R1396" t="s">
        <v>213</v>
      </c>
      <c r="S1396" t="s">
        <v>1478</v>
      </c>
      <c r="T1396" t="s">
        <v>292</v>
      </c>
      <c r="U1396" t="s">
        <v>6036</v>
      </c>
      <c r="V1396" t="s">
        <v>1436</v>
      </c>
      <c r="W1396" t="s">
        <v>5747</v>
      </c>
      <c r="X1396" t="s">
        <v>6035</v>
      </c>
      <c r="Y1396" t="s">
        <v>6034</v>
      </c>
      <c r="Z1396" t="str">
        <f>"07979184232"</f>
        <v>07979184232</v>
      </c>
      <c r="AA1396" t="str">
        <f>""</f>
        <v/>
      </c>
      <c r="AB1396" t="s">
        <v>1205</v>
      </c>
      <c r="AC1396" t="s">
        <v>6033</v>
      </c>
      <c r="AD1396" t="s">
        <v>114</v>
      </c>
      <c r="AE1396" s="63">
        <v>45264</v>
      </c>
      <c r="AF1396" t="s">
        <v>113</v>
      </c>
      <c r="AG1396" t="s">
        <v>112</v>
      </c>
      <c r="AH1396" t="s">
        <v>112</v>
      </c>
      <c r="AI1396" s="63">
        <v>43492</v>
      </c>
      <c r="AJ1396" s="63">
        <v>45657</v>
      </c>
      <c r="AK1396" t="s">
        <v>112</v>
      </c>
      <c r="AL1396" t="s">
        <v>111</v>
      </c>
      <c r="AM1396" t="s">
        <v>111</v>
      </c>
      <c r="AN1396">
        <v>26077</v>
      </c>
      <c r="AO1396" t="s">
        <v>122</v>
      </c>
      <c r="AP1396" t="s">
        <v>122</v>
      </c>
    </row>
    <row r="1397" spans="1:42" x14ac:dyDescent="0.25">
      <c r="A1397" s="28" t="str">
        <f>"5855"</f>
        <v>5855</v>
      </c>
      <c r="B1397">
        <v>5855</v>
      </c>
      <c r="C1397" t="s">
        <v>2488</v>
      </c>
      <c r="D1397" t="s">
        <v>121</v>
      </c>
      <c r="E1397" t="s">
        <v>584</v>
      </c>
      <c r="F1397" t="s">
        <v>120</v>
      </c>
      <c r="G1397" t="s">
        <v>2009</v>
      </c>
      <c r="H1397" t="s">
        <v>392</v>
      </c>
      <c r="I1397" t="s">
        <v>6028</v>
      </c>
      <c r="J1397" t="s">
        <v>7</v>
      </c>
      <c r="K1397" s="63">
        <v>20357</v>
      </c>
      <c r="L1397" s="28">
        <f>DATEDIF(K1397,Zwift25!G$1,"Y")</f>
        <v>69</v>
      </c>
      <c r="M1397" s="67">
        <f>IF(J1397="m",VLOOKUP(L1397,'All Solo Adjustments'!A:D,4,FALSE),VLOOKUP(L1397,'All Solo Adjustments'!A:J,10,FALSE))</f>
        <v>5.9722222222222225E-3</v>
      </c>
      <c r="N1397" s="63"/>
      <c r="O1397" s="63"/>
      <c r="P1397" s="63"/>
      <c r="Q1397" s="63"/>
      <c r="R1397" t="s">
        <v>184</v>
      </c>
      <c r="S1397" t="s">
        <v>183</v>
      </c>
      <c r="T1397" t="s">
        <v>292</v>
      </c>
      <c r="U1397" t="s">
        <v>6032</v>
      </c>
      <c r="V1397" t="s">
        <v>167</v>
      </c>
      <c r="Y1397" t="s">
        <v>6031</v>
      </c>
      <c r="Z1397" t="str">
        <f>"07785 761073"</f>
        <v>07785 761073</v>
      </c>
      <c r="AA1397" t="str">
        <f>""</f>
        <v/>
      </c>
      <c r="AB1397" t="s">
        <v>1864</v>
      </c>
      <c r="AC1397" t="s">
        <v>6030</v>
      </c>
      <c r="AD1397" t="s">
        <v>114</v>
      </c>
      <c r="AE1397" s="63">
        <v>45262</v>
      </c>
      <c r="AF1397" t="s">
        <v>156</v>
      </c>
      <c r="AG1397" t="s">
        <v>112</v>
      </c>
      <c r="AH1397" t="s">
        <v>112</v>
      </c>
      <c r="AI1397" s="63">
        <v>42497</v>
      </c>
      <c r="AJ1397" s="63">
        <v>45657</v>
      </c>
      <c r="AK1397" t="s">
        <v>111</v>
      </c>
      <c r="AL1397" t="s">
        <v>111</v>
      </c>
      <c r="AM1397" t="s">
        <v>111</v>
      </c>
      <c r="AN1397">
        <v>1205</v>
      </c>
      <c r="AO1397" t="s">
        <v>110</v>
      </c>
      <c r="AP1397" t="s">
        <v>109</v>
      </c>
    </row>
    <row r="1398" spans="1:42" x14ac:dyDescent="0.25">
      <c r="A1398" s="28" t="str">
        <f>"15654"</f>
        <v>15654</v>
      </c>
      <c r="B1398">
        <v>15654</v>
      </c>
      <c r="C1398" t="s">
        <v>2488</v>
      </c>
      <c r="D1398" t="s">
        <v>121</v>
      </c>
      <c r="F1398" t="s">
        <v>120</v>
      </c>
      <c r="G1398" t="s">
        <v>6029</v>
      </c>
      <c r="I1398" t="s">
        <v>6028</v>
      </c>
      <c r="J1398" t="s">
        <v>7</v>
      </c>
      <c r="K1398" s="63">
        <v>29627</v>
      </c>
      <c r="L1398" s="28">
        <f>DATEDIF(K1398,Zwift25!G$1,"Y")</f>
        <v>43</v>
      </c>
      <c r="M1398" s="67">
        <f>IF(J1398="m",VLOOKUP(L1398,'All Solo Adjustments'!A:D,4,FALSE),VLOOKUP(L1398,'All Solo Adjustments'!A:J,10,FALSE))</f>
        <v>2.4305555555555555E-4</v>
      </c>
      <c r="N1398" s="63"/>
      <c r="O1398" s="63"/>
      <c r="P1398" s="63"/>
      <c r="Q1398" s="63"/>
      <c r="R1398" t="s">
        <v>184</v>
      </c>
      <c r="S1398" t="s">
        <v>183</v>
      </c>
      <c r="T1398" t="s">
        <v>292</v>
      </c>
      <c r="U1398" t="s">
        <v>6027</v>
      </c>
      <c r="Y1398" t="s">
        <v>6026</v>
      </c>
      <c r="Z1398" t="str">
        <f>"07715967154"</f>
        <v>07715967154</v>
      </c>
      <c r="AA1398" t="str">
        <f>""</f>
        <v/>
      </c>
      <c r="AB1398" t="s">
        <v>733</v>
      </c>
      <c r="AC1398" t="s">
        <v>6025</v>
      </c>
      <c r="AD1398" t="s">
        <v>114</v>
      </c>
      <c r="AE1398" s="63">
        <v>45276</v>
      </c>
      <c r="AF1398" t="s">
        <v>156</v>
      </c>
      <c r="AG1398" t="s">
        <v>112</v>
      </c>
      <c r="AH1398" t="s">
        <v>112</v>
      </c>
      <c r="AI1398" s="63">
        <v>44938</v>
      </c>
      <c r="AJ1398" s="63">
        <v>45657</v>
      </c>
      <c r="AK1398" t="s">
        <v>112</v>
      </c>
      <c r="AL1398" t="s">
        <v>111</v>
      </c>
      <c r="AM1398" t="s">
        <v>111</v>
      </c>
      <c r="AN1398">
        <v>13224</v>
      </c>
      <c r="AO1398" t="s">
        <v>110</v>
      </c>
      <c r="AP1398" t="s">
        <v>109</v>
      </c>
    </row>
    <row r="1399" spans="1:42" x14ac:dyDescent="0.25">
      <c r="A1399" s="28" t="str">
        <f>"14410"</f>
        <v>14410</v>
      </c>
      <c r="B1399">
        <v>14410</v>
      </c>
      <c r="C1399" t="s">
        <v>2488</v>
      </c>
      <c r="D1399" t="s">
        <v>121</v>
      </c>
      <c r="E1399" t="s">
        <v>584</v>
      </c>
      <c r="F1399" t="s">
        <v>120</v>
      </c>
      <c r="G1399" t="s">
        <v>442</v>
      </c>
      <c r="H1399" t="s">
        <v>300</v>
      </c>
      <c r="I1399" t="s">
        <v>1578</v>
      </c>
      <c r="J1399" t="s">
        <v>7</v>
      </c>
      <c r="K1399" s="63">
        <v>27179</v>
      </c>
      <c r="L1399" s="28">
        <f>DATEDIF(K1399,Zwift25!G$1,"Y")</f>
        <v>50</v>
      </c>
      <c r="M1399" s="67">
        <f>IF(J1399="m",VLOOKUP(L1399,'All Solo Adjustments'!A:D,4,FALSE),VLOOKUP(L1399,'All Solo Adjustments'!A:J,10,FALSE))</f>
        <v>1.1342592592592591E-3</v>
      </c>
      <c r="N1399" s="63"/>
      <c r="O1399" s="63"/>
      <c r="P1399" s="63"/>
      <c r="Q1399" s="63"/>
      <c r="R1399" t="s">
        <v>198</v>
      </c>
      <c r="S1399" t="s">
        <v>461</v>
      </c>
      <c r="T1399" t="s">
        <v>292</v>
      </c>
      <c r="U1399" t="s">
        <v>6024</v>
      </c>
      <c r="V1399" t="s">
        <v>6023</v>
      </c>
      <c r="W1399" t="s">
        <v>211</v>
      </c>
      <c r="X1399" t="s">
        <v>196</v>
      </c>
      <c r="Y1399" t="s">
        <v>6022</v>
      </c>
      <c r="Z1399" t="str">
        <f>"07725956032"</f>
        <v>07725956032</v>
      </c>
      <c r="AA1399" t="str">
        <f>""</f>
        <v/>
      </c>
      <c r="AB1399" t="s">
        <v>6021</v>
      </c>
      <c r="AC1399" t="s">
        <v>6020</v>
      </c>
      <c r="AD1399" t="s">
        <v>114</v>
      </c>
      <c r="AE1399" s="63">
        <v>45290</v>
      </c>
      <c r="AF1399" t="s">
        <v>156</v>
      </c>
      <c r="AG1399" t="s">
        <v>112</v>
      </c>
      <c r="AH1399" t="s">
        <v>112</v>
      </c>
      <c r="AI1399" s="63">
        <v>43873</v>
      </c>
      <c r="AJ1399" s="63">
        <v>45657</v>
      </c>
      <c r="AK1399" t="s">
        <v>112</v>
      </c>
      <c r="AL1399" t="s">
        <v>111</v>
      </c>
      <c r="AM1399" t="s">
        <v>111</v>
      </c>
      <c r="AN1399">
        <v>958</v>
      </c>
      <c r="AO1399" t="s">
        <v>110</v>
      </c>
      <c r="AP1399" t="s">
        <v>109</v>
      </c>
    </row>
    <row r="1400" spans="1:42" x14ac:dyDescent="0.25">
      <c r="A1400" s="28" t="str">
        <f>"15879"</f>
        <v>15879</v>
      </c>
      <c r="B1400">
        <v>15879</v>
      </c>
      <c r="C1400" t="s">
        <v>2488</v>
      </c>
      <c r="D1400" t="s">
        <v>121</v>
      </c>
      <c r="F1400" t="s">
        <v>120</v>
      </c>
      <c r="G1400" t="s">
        <v>481</v>
      </c>
      <c r="I1400" t="s">
        <v>1578</v>
      </c>
      <c r="J1400" t="s">
        <v>7</v>
      </c>
      <c r="K1400" s="63">
        <v>24384</v>
      </c>
      <c r="L1400" s="28">
        <f>DATEDIF(K1400,Zwift25!G$1,"Y")</f>
        <v>58</v>
      </c>
      <c r="M1400" s="67">
        <f>IF(J1400="m",VLOOKUP(L1400,'All Solo Adjustments'!A:D,4,FALSE),VLOOKUP(L1400,'All Solo Adjustments'!A:J,10,FALSE))</f>
        <v>2.7199074074074074E-3</v>
      </c>
      <c r="N1400" s="63"/>
      <c r="O1400" s="63"/>
      <c r="P1400" s="63"/>
      <c r="Q1400" s="63"/>
      <c r="R1400" t="s">
        <v>125</v>
      </c>
      <c r="S1400" t="s">
        <v>170</v>
      </c>
      <c r="T1400" t="s">
        <v>292</v>
      </c>
      <c r="U1400" t="s">
        <v>6019</v>
      </c>
      <c r="X1400" t="s">
        <v>955</v>
      </c>
      <c r="Y1400" t="s">
        <v>6018</v>
      </c>
      <c r="Z1400" t="str">
        <f>"07976820786"</f>
        <v>07976820786</v>
      </c>
      <c r="AA1400" t="str">
        <f>""</f>
        <v/>
      </c>
      <c r="AB1400" t="s">
        <v>909</v>
      </c>
      <c r="AC1400" t="s">
        <v>6017</v>
      </c>
      <c r="AD1400" t="s">
        <v>114</v>
      </c>
      <c r="AE1400" s="63">
        <v>45317</v>
      </c>
      <c r="AF1400" t="s">
        <v>156</v>
      </c>
      <c r="AG1400" t="s">
        <v>112</v>
      </c>
      <c r="AH1400" t="s">
        <v>112</v>
      </c>
      <c r="AI1400" s="63">
        <v>45113</v>
      </c>
      <c r="AJ1400" s="63">
        <v>45657</v>
      </c>
      <c r="AK1400" t="s">
        <v>112</v>
      </c>
      <c r="AL1400" t="s">
        <v>111</v>
      </c>
      <c r="AM1400" t="s">
        <v>111</v>
      </c>
      <c r="AN1400">
        <v>12324</v>
      </c>
      <c r="AO1400" t="s">
        <v>110</v>
      </c>
      <c r="AP1400" t="s">
        <v>109</v>
      </c>
    </row>
    <row r="1401" spans="1:42" x14ac:dyDescent="0.25">
      <c r="A1401" s="28" t="str">
        <f>"5765"</f>
        <v>5765</v>
      </c>
      <c r="B1401">
        <v>5765</v>
      </c>
      <c r="C1401" t="s">
        <v>2488</v>
      </c>
      <c r="D1401" t="s">
        <v>121</v>
      </c>
      <c r="E1401" t="s">
        <v>584</v>
      </c>
      <c r="F1401" t="s">
        <v>120</v>
      </c>
      <c r="G1401" t="s">
        <v>181</v>
      </c>
      <c r="I1401" t="s">
        <v>1901</v>
      </c>
      <c r="J1401" t="s">
        <v>7</v>
      </c>
      <c r="K1401" s="63">
        <v>26550</v>
      </c>
      <c r="L1401" s="28">
        <f>DATEDIF(K1401,Zwift25!G$1,"Y")</f>
        <v>52</v>
      </c>
      <c r="M1401" s="67">
        <f>IF(J1401="m",VLOOKUP(L1401,'All Solo Adjustments'!A:D,4,FALSE),VLOOKUP(L1401,'All Solo Adjustments'!A:J,10,FALSE))</f>
        <v>1.4814814814814816E-3</v>
      </c>
      <c r="N1401" s="63"/>
      <c r="O1401" s="63"/>
      <c r="P1401" s="63"/>
      <c r="Q1401" s="63"/>
      <c r="R1401" t="s">
        <v>239</v>
      </c>
      <c r="S1401" t="s">
        <v>274</v>
      </c>
      <c r="T1401" t="s">
        <v>292</v>
      </c>
      <c r="U1401" t="s">
        <v>6016</v>
      </c>
      <c r="V1401" t="s">
        <v>2890</v>
      </c>
      <c r="W1401" t="s">
        <v>1777</v>
      </c>
      <c r="Y1401" t="s">
        <v>6015</v>
      </c>
      <c r="Z1401" t="str">
        <f>"07940 222720"</f>
        <v>07940 222720</v>
      </c>
      <c r="AA1401" t="str">
        <f>""</f>
        <v/>
      </c>
      <c r="AB1401" t="s">
        <v>1655</v>
      </c>
      <c r="AC1401" t="s">
        <v>6014</v>
      </c>
      <c r="AD1401" t="s">
        <v>114</v>
      </c>
      <c r="AE1401" s="63">
        <v>45267</v>
      </c>
      <c r="AF1401" t="s">
        <v>156</v>
      </c>
      <c r="AG1401" t="s">
        <v>112</v>
      </c>
      <c r="AH1401" t="s">
        <v>112</v>
      </c>
      <c r="AI1401" s="63">
        <v>42441</v>
      </c>
      <c r="AJ1401" s="63">
        <v>45657</v>
      </c>
      <c r="AK1401" t="s">
        <v>111</v>
      </c>
      <c r="AL1401" t="s">
        <v>111</v>
      </c>
      <c r="AM1401" t="s">
        <v>111</v>
      </c>
      <c r="AN1401">
        <v>3998</v>
      </c>
      <c r="AO1401" t="s">
        <v>110</v>
      </c>
      <c r="AP1401" t="s">
        <v>109</v>
      </c>
    </row>
    <row r="1402" spans="1:42" x14ac:dyDescent="0.25">
      <c r="A1402" s="28" t="str">
        <f>"16066"</f>
        <v>16066</v>
      </c>
      <c r="B1402">
        <v>16066</v>
      </c>
      <c r="C1402" t="s">
        <v>2488</v>
      </c>
      <c r="D1402" t="s">
        <v>121</v>
      </c>
      <c r="E1402" t="s">
        <v>584</v>
      </c>
      <c r="F1402" t="s">
        <v>149</v>
      </c>
      <c r="G1402" t="s">
        <v>1523</v>
      </c>
      <c r="H1402" t="s">
        <v>528</v>
      </c>
      <c r="I1402" t="s">
        <v>6013</v>
      </c>
      <c r="J1402" t="s">
        <v>126</v>
      </c>
      <c r="K1402" s="63">
        <v>29191</v>
      </c>
      <c r="L1402" s="28">
        <f>DATEDIF(K1402,Zwift25!G$1,"Y")</f>
        <v>44</v>
      </c>
      <c r="M1402" s="67">
        <f>IF(J1402="m",VLOOKUP(L1402,'All Solo Adjustments'!A:D,4,FALSE),VLOOKUP(L1402,'All Solo Adjustments'!A:J,10,FALSE))</f>
        <v>4.5717592592592598E-3</v>
      </c>
      <c r="N1402" s="63"/>
      <c r="O1402" s="63"/>
      <c r="P1402" s="63"/>
      <c r="Q1402" s="63"/>
      <c r="R1402" t="s">
        <v>239</v>
      </c>
      <c r="S1402" t="s">
        <v>274</v>
      </c>
      <c r="T1402" t="s">
        <v>292</v>
      </c>
      <c r="U1402" t="s">
        <v>6012</v>
      </c>
      <c r="X1402" t="s">
        <v>6011</v>
      </c>
      <c r="Y1402" t="s">
        <v>6010</v>
      </c>
      <c r="Z1402" t="str">
        <f>"07368930636"</f>
        <v>07368930636</v>
      </c>
      <c r="AA1402" t="str">
        <f>""</f>
        <v/>
      </c>
      <c r="AB1402" t="s">
        <v>4564</v>
      </c>
      <c r="AC1402" t="s">
        <v>6009</v>
      </c>
      <c r="AD1402" t="s">
        <v>114</v>
      </c>
      <c r="AE1402" s="63">
        <v>45368</v>
      </c>
      <c r="AF1402" t="s">
        <v>156</v>
      </c>
      <c r="AG1402" t="s">
        <v>112</v>
      </c>
      <c r="AH1402" t="s">
        <v>112</v>
      </c>
      <c r="AI1402" s="63">
        <v>45368</v>
      </c>
      <c r="AJ1402" s="63">
        <v>45657</v>
      </c>
      <c r="AK1402" t="s">
        <v>112</v>
      </c>
      <c r="AL1402" t="s">
        <v>111</v>
      </c>
      <c r="AM1402" t="s">
        <v>111</v>
      </c>
      <c r="AN1402">
        <v>42578</v>
      </c>
      <c r="AO1402" t="s">
        <v>122</v>
      </c>
      <c r="AP1402" t="s">
        <v>122</v>
      </c>
    </row>
    <row r="1403" spans="1:42" x14ac:dyDescent="0.25">
      <c r="A1403" s="28" t="str">
        <f>"16081"</f>
        <v>16081</v>
      </c>
      <c r="B1403">
        <v>16081</v>
      </c>
      <c r="C1403" t="s">
        <v>2488</v>
      </c>
      <c r="D1403" t="s">
        <v>121</v>
      </c>
      <c r="E1403" t="s">
        <v>584</v>
      </c>
      <c r="F1403" t="s">
        <v>120</v>
      </c>
      <c r="G1403" t="s">
        <v>251</v>
      </c>
      <c r="H1403" t="s">
        <v>174</v>
      </c>
      <c r="I1403" t="s">
        <v>522</v>
      </c>
      <c r="J1403" t="s">
        <v>7</v>
      </c>
      <c r="K1403" s="63">
        <v>23389</v>
      </c>
      <c r="L1403" s="28">
        <f>DATEDIF(K1403,Zwift25!G$1,"Y")</f>
        <v>60</v>
      </c>
      <c r="M1403" s="67">
        <f>IF(J1403="m",VLOOKUP(L1403,'All Solo Adjustments'!A:D,4,FALSE),VLOOKUP(L1403,'All Solo Adjustments'!A:J,10,FALSE))</f>
        <v>3.2060185185185186E-3</v>
      </c>
      <c r="N1403" s="63"/>
      <c r="O1403" s="63"/>
      <c r="P1403" s="63"/>
      <c r="Q1403" s="63"/>
      <c r="R1403" t="s">
        <v>213</v>
      </c>
      <c r="S1403" t="s">
        <v>212</v>
      </c>
      <c r="T1403" t="s">
        <v>292</v>
      </c>
      <c r="U1403" t="s">
        <v>6008</v>
      </c>
      <c r="V1403" t="s">
        <v>431</v>
      </c>
      <c r="W1403" t="s">
        <v>213</v>
      </c>
      <c r="Y1403" t="s">
        <v>6007</v>
      </c>
      <c r="Z1403" t="str">
        <f>"07792748261"</f>
        <v>07792748261</v>
      </c>
      <c r="AA1403" t="str">
        <f>"07709086162 "</f>
        <v xml:space="preserve">07709086162 </v>
      </c>
      <c r="AB1403" t="s">
        <v>6006</v>
      </c>
      <c r="AC1403" t="s">
        <v>6005</v>
      </c>
      <c r="AD1403" t="s">
        <v>114</v>
      </c>
      <c r="AE1403" s="63">
        <v>45380</v>
      </c>
      <c r="AF1403" t="s">
        <v>156</v>
      </c>
      <c r="AG1403" t="s">
        <v>112</v>
      </c>
      <c r="AH1403" t="s">
        <v>112</v>
      </c>
      <c r="AI1403" s="63">
        <v>45380</v>
      </c>
      <c r="AJ1403" s="63">
        <v>45657</v>
      </c>
      <c r="AK1403" t="s">
        <v>112</v>
      </c>
      <c r="AL1403" t="s">
        <v>111</v>
      </c>
      <c r="AM1403" t="s">
        <v>111</v>
      </c>
      <c r="AN1403">
        <v>33921</v>
      </c>
      <c r="AO1403" t="s">
        <v>110</v>
      </c>
      <c r="AP1403" t="s">
        <v>109</v>
      </c>
    </row>
    <row r="1404" spans="1:42" x14ac:dyDescent="0.25">
      <c r="A1404" s="28" t="str">
        <f>"15806"</f>
        <v>15806</v>
      </c>
      <c r="B1404">
        <v>15806</v>
      </c>
      <c r="C1404" t="s">
        <v>2488</v>
      </c>
      <c r="D1404" t="s">
        <v>121</v>
      </c>
      <c r="E1404" t="s">
        <v>584</v>
      </c>
      <c r="F1404" t="s">
        <v>120</v>
      </c>
      <c r="G1404" t="s">
        <v>531</v>
      </c>
      <c r="I1404" t="s">
        <v>1571</v>
      </c>
      <c r="J1404" t="s">
        <v>7</v>
      </c>
      <c r="K1404" s="63">
        <v>25901</v>
      </c>
      <c r="L1404" s="28">
        <f>DATEDIF(K1404,Zwift25!G$1,"Y")</f>
        <v>53</v>
      </c>
      <c r="M1404" s="67">
        <f>IF(J1404="m",VLOOKUP(L1404,'All Solo Adjustments'!A:D,4,FALSE),VLOOKUP(L1404,'All Solo Adjustments'!A:J,10,FALSE))</f>
        <v>1.6666666666666668E-3</v>
      </c>
      <c r="N1404" s="63"/>
      <c r="O1404" s="63"/>
      <c r="P1404" s="63"/>
      <c r="Q1404" s="63"/>
      <c r="R1404" t="s">
        <v>154</v>
      </c>
      <c r="S1404" t="s">
        <v>153</v>
      </c>
      <c r="T1404" t="s">
        <v>292</v>
      </c>
      <c r="U1404" t="s">
        <v>6004</v>
      </c>
      <c r="V1404" t="s">
        <v>6003</v>
      </c>
      <c r="W1404" t="s">
        <v>591</v>
      </c>
      <c r="Y1404" t="s">
        <v>6002</v>
      </c>
      <c r="Z1404" t="str">
        <f>"+44 7585 889491"</f>
        <v>+44 7585 889491</v>
      </c>
      <c r="AA1404" t="str">
        <f>""</f>
        <v/>
      </c>
      <c r="AB1404" t="s">
        <v>6001</v>
      </c>
      <c r="AC1404" t="s">
        <v>6000</v>
      </c>
      <c r="AD1404" t="s">
        <v>114</v>
      </c>
      <c r="AE1404" s="63">
        <v>45277</v>
      </c>
      <c r="AF1404" t="s">
        <v>156</v>
      </c>
      <c r="AG1404" t="s">
        <v>112</v>
      </c>
      <c r="AH1404" t="s">
        <v>112</v>
      </c>
      <c r="AI1404" s="63">
        <v>45046</v>
      </c>
      <c r="AJ1404" s="63">
        <v>45657</v>
      </c>
      <c r="AK1404" t="s">
        <v>112</v>
      </c>
      <c r="AL1404" t="s">
        <v>111</v>
      </c>
      <c r="AM1404" t="s">
        <v>111</v>
      </c>
      <c r="AN1404">
        <v>33703</v>
      </c>
      <c r="AO1404" t="s">
        <v>110</v>
      </c>
      <c r="AP1404" t="s">
        <v>109</v>
      </c>
    </row>
    <row r="1405" spans="1:42" x14ac:dyDescent="0.25">
      <c r="A1405" s="28" t="str">
        <f>"1748"</f>
        <v>1748</v>
      </c>
      <c r="B1405">
        <v>1748</v>
      </c>
      <c r="C1405" t="s">
        <v>2488</v>
      </c>
      <c r="D1405" t="s">
        <v>132</v>
      </c>
      <c r="F1405" t="s">
        <v>120</v>
      </c>
      <c r="G1405" t="s">
        <v>761</v>
      </c>
      <c r="I1405" t="s">
        <v>1565</v>
      </c>
      <c r="J1405" t="s">
        <v>7</v>
      </c>
      <c r="K1405" s="63">
        <v>17661</v>
      </c>
      <c r="L1405" s="28">
        <f>DATEDIF(K1405,Zwift25!G$1,"Y")</f>
        <v>76</v>
      </c>
      <c r="M1405" s="67">
        <f>IF(J1405="m",VLOOKUP(L1405,'All Solo Adjustments'!A:D,4,FALSE),VLOOKUP(L1405,'All Solo Adjustments'!A:J,10,FALSE))</f>
        <v>8.912037037037036E-3</v>
      </c>
      <c r="N1405" s="63"/>
      <c r="O1405" s="63"/>
      <c r="P1405" s="63"/>
      <c r="Q1405" s="63"/>
      <c r="R1405" t="s">
        <v>198</v>
      </c>
      <c r="S1405" t="s">
        <v>197</v>
      </c>
      <c r="T1405" t="s">
        <v>292</v>
      </c>
      <c r="U1405" t="s">
        <v>5997</v>
      </c>
      <c r="V1405" t="s">
        <v>2375</v>
      </c>
      <c r="W1405" t="s">
        <v>1178</v>
      </c>
      <c r="X1405" t="s">
        <v>196</v>
      </c>
      <c r="Y1405" t="s">
        <v>5996</v>
      </c>
      <c r="Z1405" t="str">
        <f>"01270 765510"</f>
        <v>01270 765510</v>
      </c>
      <c r="AA1405" t="str">
        <f>""</f>
        <v/>
      </c>
      <c r="AB1405" t="s">
        <v>1177</v>
      </c>
      <c r="AC1405" t="s">
        <v>5999</v>
      </c>
      <c r="AD1405" t="s">
        <v>114</v>
      </c>
      <c r="AE1405" s="63">
        <v>45266</v>
      </c>
      <c r="AF1405" t="s">
        <v>113</v>
      </c>
      <c r="AG1405" t="s">
        <v>112</v>
      </c>
      <c r="AH1405" t="s">
        <v>112</v>
      </c>
      <c r="AI1405" s="63">
        <v>33511</v>
      </c>
      <c r="AJ1405" s="63">
        <v>45657</v>
      </c>
      <c r="AK1405" t="s">
        <v>111</v>
      </c>
      <c r="AL1405" t="s">
        <v>111</v>
      </c>
      <c r="AM1405" t="s">
        <v>111</v>
      </c>
      <c r="AN1405" t="s">
        <v>105</v>
      </c>
      <c r="AO1405" t="s">
        <v>110</v>
      </c>
      <c r="AP1405" t="s">
        <v>109</v>
      </c>
    </row>
    <row r="1406" spans="1:42" x14ac:dyDescent="0.25">
      <c r="A1406" s="28" t="str">
        <f>"13527"</f>
        <v>13527</v>
      </c>
      <c r="B1406">
        <v>13527</v>
      </c>
      <c r="C1406" t="s">
        <v>2488</v>
      </c>
      <c r="D1406" t="s">
        <v>130</v>
      </c>
      <c r="F1406" t="s">
        <v>149</v>
      </c>
      <c r="G1406" t="s">
        <v>5998</v>
      </c>
      <c r="I1406" t="s">
        <v>1565</v>
      </c>
      <c r="J1406" t="s">
        <v>126</v>
      </c>
      <c r="K1406" s="63">
        <v>18966</v>
      </c>
      <c r="L1406" s="28">
        <f>DATEDIF(K1406,Zwift25!G$1,"Y")</f>
        <v>72</v>
      </c>
      <c r="M1406" s="67">
        <f>IF(J1406="m",VLOOKUP(L1406,'All Solo Adjustments'!A:D,4,FALSE),VLOOKUP(L1406,'All Solo Adjustments'!A:J,10,FALSE))</f>
        <v>1.2453703703703705E-2</v>
      </c>
      <c r="N1406" s="63"/>
      <c r="O1406" s="63"/>
      <c r="P1406" s="63"/>
      <c r="Q1406" s="63"/>
      <c r="R1406" t="s">
        <v>198</v>
      </c>
      <c r="S1406" t="s">
        <v>197</v>
      </c>
      <c r="T1406" t="s">
        <v>292</v>
      </c>
      <c r="U1406" t="s">
        <v>5997</v>
      </c>
      <c r="V1406" t="s">
        <v>2375</v>
      </c>
      <c r="W1406" t="s">
        <v>1178</v>
      </c>
      <c r="X1406" t="s">
        <v>196</v>
      </c>
      <c r="Y1406" t="s">
        <v>5996</v>
      </c>
      <c r="Z1406" t="str">
        <f>"01270 765510"</f>
        <v>01270 765510</v>
      </c>
      <c r="AA1406" t="str">
        <f>""</f>
        <v/>
      </c>
      <c r="AB1406" t="s">
        <v>1177</v>
      </c>
      <c r="AC1406" t="s">
        <v>5995</v>
      </c>
      <c r="AD1406" t="s">
        <v>114</v>
      </c>
      <c r="AE1406" s="63">
        <v>45266</v>
      </c>
      <c r="AF1406" t="s">
        <v>113</v>
      </c>
      <c r="AG1406" t="s">
        <v>111</v>
      </c>
      <c r="AH1406" t="s">
        <v>111</v>
      </c>
      <c r="AI1406" s="63">
        <v>32508</v>
      </c>
      <c r="AJ1406" s="63">
        <v>45657</v>
      </c>
      <c r="AK1406" t="s">
        <v>111</v>
      </c>
      <c r="AL1406" t="s">
        <v>111</v>
      </c>
      <c r="AM1406" t="s">
        <v>111</v>
      </c>
      <c r="AN1406" t="s">
        <v>105</v>
      </c>
      <c r="AO1406" t="s">
        <v>122</v>
      </c>
      <c r="AP1406" t="s">
        <v>122</v>
      </c>
    </row>
    <row r="1407" spans="1:42" x14ac:dyDescent="0.25">
      <c r="A1407" s="28" t="str">
        <f>"1749"</f>
        <v>1749</v>
      </c>
      <c r="B1407">
        <v>1749</v>
      </c>
      <c r="C1407" t="s">
        <v>2488</v>
      </c>
      <c r="D1407" t="s">
        <v>121</v>
      </c>
      <c r="F1407" t="s">
        <v>120</v>
      </c>
      <c r="G1407" t="s">
        <v>492</v>
      </c>
      <c r="I1407" t="s">
        <v>5994</v>
      </c>
      <c r="J1407" t="s">
        <v>7</v>
      </c>
      <c r="K1407" s="63">
        <v>14237</v>
      </c>
      <c r="L1407" s="28">
        <f>DATEDIF(K1407,Zwift25!G$1,"Y")</f>
        <v>85</v>
      </c>
      <c r="M1407" s="67">
        <f>IF(J1407="m",VLOOKUP(L1407,'All Solo Adjustments'!A:D,4,FALSE),VLOOKUP(L1407,'All Solo Adjustments'!A:J,10,FALSE))</f>
        <v>1.4236111111111111E-2</v>
      </c>
      <c r="N1407" s="63"/>
      <c r="O1407" s="63"/>
      <c r="P1407" s="63"/>
      <c r="Q1407" s="63"/>
      <c r="R1407" t="s">
        <v>154</v>
      </c>
      <c r="S1407" t="s">
        <v>153</v>
      </c>
      <c r="T1407" t="s">
        <v>292</v>
      </c>
      <c r="U1407" t="s">
        <v>5993</v>
      </c>
      <c r="V1407" t="s">
        <v>5992</v>
      </c>
      <c r="W1407" t="s">
        <v>5991</v>
      </c>
      <c r="X1407" t="s">
        <v>793</v>
      </c>
      <c r="Y1407" t="s">
        <v>5990</v>
      </c>
      <c r="Z1407" t="str">
        <f>"xxxxxxxxxx"</f>
        <v>xxxxxxxxxx</v>
      </c>
      <c r="AA1407" t="str">
        <f>"xxxxxxxxxxxxxx"</f>
        <v>xxxxxxxxxxxxxx</v>
      </c>
      <c r="AB1407" t="s">
        <v>290</v>
      </c>
      <c r="AC1407" t="s">
        <v>5989</v>
      </c>
      <c r="AD1407" t="s">
        <v>145</v>
      </c>
      <c r="AE1407" s="63">
        <v>45344</v>
      </c>
      <c r="AF1407" t="s">
        <v>113</v>
      </c>
      <c r="AG1407" t="s">
        <v>112</v>
      </c>
      <c r="AH1407" t="s">
        <v>112</v>
      </c>
      <c r="AI1407" s="63">
        <v>34852</v>
      </c>
      <c r="AJ1407" s="63">
        <v>45657</v>
      </c>
      <c r="AK1407" t="s">
        <v>111</v>
      </c>
      <c r="AL1407" t="s">
        <v>111</v>
      </c>
      <c r="AM1407" t="s">
        <v>111</v>
      </c>
      <c r="AN1407" t="s">
        <v>105</v>
      </c>
      <c r="AO1407" t="s">
        <v>110</v>
      </c>
      <c r="AP1407" t="s">
        <v>109</v>
      </c>
    </row>
    <row r="1408" spans="1:42" x14ac:dyDescent="0.25">
      <c r="A1408" s="28" t="str">
        <f>"1752"</f>
        <v>1752</v>
      </c>
      <c r="B1408">
        <v>1752</v>
      </c>
      <c r="C1408" t="s">
        <v>2488</v>
      </c>
      <c r="D1408" t="s">
        <v>121</v>
      </c>
      <c r="F1408" t="s">
        <v>120</v>
      </c>
      <c r="G1408" t="s">
        <v>5988</v>
      </c>
      <c r="I1408" t="s">
        <v>5987</v>
      </c>
      <c r="J1408" t="s">
        <v>7</v>
      </c>
      <c r="K1408" s="63">
        <v>17717</v>
      </c>
      <c r="L1408" s="28">
        <f>DATEDIF(K1408,Zwift25!G$1,"Y")</f>
        <v>76</v>
      </c>
      <c r="M1408" s="67">
        <f>IF(J1408="m",VLOOKUP(L1408,'All Solo Adjustments'!A:D,4,FALSE),VLOOKUP(L1408,'All Solo Adjustments'!A:J,10,FALSE))</f>
        <v>8.912037037037036E-3</v>
      </c>
      <c r="N1408" s="63"/>
      <c r="O1408" s="63"/>
      <c r="P1408" s="63"/>
      <c r="Q1408" s="63"/>
      <c r="R1408" t="s">
        <v>125</v>
      </c>
      <c r="S1408" t="s">
        <v>170</v>
      </c>
      <c r="T1408" t="s">
        <v>292</v>
      </c>
      <c r="U1408" t="s">
        <v>5986</v>
      </c>
      <c r="V1408" t="s">
        <v>5985</v>
      </c>
      <c r="W1408" t="s">
        <v>303</v>
      </c>
      <c r="X1408" t="s">
        <v>193</v>
      </c>
      <c r="Y1408" t="s">
        <v>5984</v>
      </c>
      <c r="Z1408" t="str">
        <f>"07597197343"</f>
        <v>07597197343</v>
      </c>
      <c r="AA1408" t="str">
        <f>""</f>
        <v/>
      </c>
      <c r="AB1408" t="s">
        <v>192</v>
      </c>
      <c r="AC1408" t="s">
        <v>5983</v>
      </c>
      <c r="AD1408" t="s">
        <v>114</v>
      </c>
      <c r="AE1408" s="63">
        <v>45303</v>
      </c>
      <c r="AF1408" t="s">
        <v>113</v>
      </c>
      <c r="AG1408" t="s">
        <v>112</v>
      </c>
      <c r="AH1408" t="s">
        <v>112</v>
      </c>
      <c r="AI1408" s="63">
        <v>35606</v>
      </c>
      <c r="AJ1408" s="63">
        <v>45657</v>
      </c>
      <c r="AK1408" t="s">
        <v>111</v>
      </c>
      <c r="AL1408" t="s">
        <v>111</v>
      </c>
      <c r="AM1408" t="s">
        <v>111</v>
      </c>
      <c r="AN1408">
        <v>4538</v>
      </c>
      <c r="AO1408" t="s">
        <v>110</v>
      </c>
      <c r="AP1408" t="s">
        <v>109</v>
      </c>
    </row>
    <row r="1409" spans="1:42" x14ac:dyDescent="0.25">
      <c r="A1409" s="28" t="str">
        <f>"3767"</f>
        <v>3767</v>
      </c>
      <c r="B1409">
        <v>3767</v>
      </c>
      <c r="C1409" t="s">
        <v>2488</v>
      </c>
      <c r="D1409" t="s">
        <v>121</v>
      </c>
      <c r="F1409" t="s">
        <v>120</v>
      </c>
      <c r="G1409" t="s">
        <v>285</v>
      </c>
      <c r="I1409" t="s">
        <v>5982</v>
      </c>
      <c r="J1409" t="s">
        <v>7</v>
      </c>
      <c r="K1409" s="63">
        <v>20580</v>
      </c>
      <c r="L1409" s="28">
        <f>DATEDIF(K1409,Zwift25!G$1,"Y")</f>
        <v>68</v>
      </c>
      <c r="M1409" s="67">
        <f>IF(J1409="m",VLOOKUP(L1409,'All Solo Adjustments'!A:D,4,FALSE),VLOOKUP(L1409,'All Solo Adjustments'!A:J,10,FALSE))</f>
        <v>5.6134259259259262E-3</v>
      </c>
      <c r="N1409" s="63"/>
      <c r="O1409" s="63"/>
      <c r="P1409" s="63"/>
      <c r="Q1409" s="63"/>
      <c r="R1409" t="s">
        <v>296</v>
      </c>
      <c r="S1409" t="s">
        <v>295</v>
      </c>
      <c r="T1409" t="s">
        <v>292</v>
      </c>
      <c r="U1409" t="s">
        <v>5981</v>
      </c>
      <c r="V1409" t="s">
        <v>5980</v>
      </c>
      <c r="W1409" t="s">
        <v>5216</v>
      </c>
      <c r="Y1409" t="s">
        <v>2464</v>
      </c>
      <c r="Z1409" t="str">
        <f>"07927346983"</f>
        <v>07927346983</v>
      </c>
      <c r="AA1409" t="str">
        <f>""</f>
        <v/>
      </c>
      <c r="AB1409" t="s">
        <v>1199</v>
      </c>
      <c r="AC1409" t="s">
        <v>5979</v>
      </c>
      <c r="AD1409" t="s">
        <v>114</v>
      </c>
      <c r="AE1409" s="63">
        <v>45355</v>
      </c>
      <c r="AF1409" t="s">
        <v>156</v>
      </c>
      <c r="AG1409" t="s">
        <v>112</v>
      </c>
      <c r="AH1409" t="s">
        <v>112</v>
      </c>
      <c r="AI1409" s="63">
        <v>40035</v>
      </c>
      <c r="AJ1409" s="63">
        <v>45657</v>
      </c>
      <c r="AK1409" t="s">
        <v>111</v>
      </c>
      <c r="AL1409" t="s">
        <v>111</v>
      </c>
      <c r="AM1409" t="s">
        <v>111</v>
      </c>
      <c r="AN1409">
        <v>14932</v>
      </c>
      <c r="AO1409" t="s">
        <v>110</v>
      </c>
      <c r="AP1409" t="s">
        <v>109</v>
      </c>
    </row>
    <row r="1410" spans="1:42" x14ac:dyDescent="0.25">
      <c r="A1410" s="28" t="str">
        <f>"6300"</f>
        <v>6300</v>
      </c>
      <c r="B1410">
        <v>6300</v>
      </c>
      <c r="C1410" t="s">
        <v>2488</v>
      </c>
      <c r="D1410" t="s">
        <v>121</v>
      </c>
      <c r="F1410" t="s">
        <v>120</v>
      </c>
      <c r="G1410" t="s">
        <v>2341</v>
      </c>
      <c r="I1410" t="s">
        <v>5978</v>
      </c>
      <c r="J1410" t="s">
        <v>7</v>
      </c>
      <c r="K1410" s="63">
        <v>22722</v>
      </c>
      <c r="L1410" s="28">
        <f>DATEDIF(K1410,Zwift25!G$1,"Y")</f>
        <v>62</v>
      </c>
      <c r="M1410" s="67">
        <f>IF(J1410="m",VLOOKUP(L1410,'All Solo Adjustments'!A:D,4,FALSE),VLOOKUP(L1410,'All Solo Adjustments'!A:J,10,FALSE))</f>
        <v>3.7384259259259259E-3</v>
      </c>
      <c r="N1410" s="63"/>
      <c r="O1410" s="63"/>
      <c r="P1410" s="63"/>
      <c r="Q1410" s="63"/>
      <c r="R1410" t="s">
        <v>184</v>
      </c>
      <c r="S1410" t="s">
        <v>183</v>
      </c>
      <c r="T1410" t="s">
        <v>292</v>
      </c>
      <c r="U1410" t="s">
        <v>5977</v>
      </c>
      <c r="V1410" t="s">
        <v>5976</v>
      </c>
      <c r="W1410" t="s">
        <v>5975</v>
      </c>
      <c r="X1410" t="s">
        <v>1112</v>
      </c>
      <c r="Y1410" t="s">
        <v>5974</v>
      </c>
      <c r="Z1410" t="str">
        <f>"07970 471214"</f>
        <v>07970 471214</v>
      </c>
      <c r="AA1410" t="str">
        <f>""</f>
        <v/>
      </c>
      <c r="AB1410" t="s">
        <v>1790</v>
      </c>
      <c r="AC1410" t="s">
        <v>5973</v>
      </c>
      <c r="AD1410" t="s">
        <v>145</v>
      </c>
      <c r="AE1410" s="63">
        <v>45301</v>
      </c>
      <c r="AF1410" t="s">
        <v>113</v>
      </c>
      <c r="AG1410" t="s">
        <v>112</v>
      </c>
      <c r="AH1410" t="s">
        <v>112</v>
      </c>
      <c r="AI1410" s="63">
        <v>42907</v>
      </c>
      <c r="AJ1410" s="63">
        <v>45657</v>
      </c>
      <c r="AK1410" t="s">
        <v>111</v>
      </c>
      <c r="AL1410" t="s">
        <v>111</v>
      </c>
      <c r="AM1410" t="s">
        <v>111</v>
      </c>
      <c r="AN1410">
        <v>10061</v>
      </c>
      <c r="AO1410" t="s">
        <v>110</v>
      </c>
      <c r="AP1410" t="s">
        <v>109</v>
      </c>
    </row>
    <row r="1411" spans="1:42" x14ac:dyDescent="0.25">
      <c r="A1411" s="28" t="str">
        <f>"6499"</f>
        <v>6499</v>
      </c>
      <c r="B1411">
        <v>6499</v>
      </c>
      <c r="C1411" t="s">
        <v>2488</v>
      </c>
      <c r="D1411" t="s">
        <v>121</v>
      </c>
      <c r="F1411" t="s">
        <v>120</v>
      </c>
      <c r="G1411" t="s">
        <v>1069</v>
      </c>
      <c r="I1411" t="s">
        <v>1562</v>
      </c>
      <c r="J1411" t="s">
        <v>7</v>
      </c>
      <c r="K1411" s="63">
        <v>28587</v>
      </c>
      <c r="L1411" s="28">
        <f>DATEDIF(K1411,Zwift25!G$1,"Y")</f>
        <v>46</v>
      </c>
      <c r="M1411" s="67">
        <f>IF(J1411="m",VLOOKUP(L1411,'All Solo Adjustments'!A:D,4,FALSE),VLOOKUP(L1411,'All Solo Adjustments'!A:J,10,FALSE))</f>
        <v>5.6712962962962956E-4</v>
      </c>
      <c r="N1411" s="63"/>
      <c r="O1411" s="63"/>
      <c r="P1411" s="63"/>
      <c r="Q1411" s="63"/>
      <c r="R1411" t="s">
        <v>125</v>
      </c>
      <c r="S1411" t="s">
        <v>170</v>
      </c>
      <c r="T1411" t="s">
        <v>292</v>
      </c>
      <c r="U1411" t="s">
        <v>5972</v>
      </c>
      <c r="V1411" t="s">
        <v>1197</v>
      </c>
      <c r="Y1411" t="s">
        <v>5968</v>
      </c>
      <c r="Z1411" t="str">
        <f>"07920 078773"</f>
        <v>07920 078773</v>
      </c>
      <c r="AA1411" t="str">
        <f>""</f>
        <v/>
      </c>
      <c r="AB1411" t="s">
        <v>1499</v>
      </c>
      <c r="AC1411" t="s">
        <v>5971</v>
      </c>
      <c r="AD1411" t="s">
        <v>114</v>
      </c>
      <c r="AE1411" s="63">
        <v>45265</v>
      </c>
      <c r="AF1411" t="s">
        <v>156</v>
      </c>
      <c r="AG1411" t="s">
        <v>112</v>
      </c>
      <c r="AH1411" t="s">
        <v>112</v>
      </c>
      <c r="AI1411" s="63">
        <v>43197</v>
      </c>
      <c r="AJ1411" s="63">
        <v>45657</v>
      </c>
      <c r="AK1411" t="s">
        <v>111</v>
      </c>
      <c r="AL1411" t="s">
        <v>111</v>
      </c>
      <c r="AM1411" t="s">
        <v>111</v>
      </c>
      <c r="AN1411">
        <v>15098</v>
      </c>
      <c r="AO1411" t="s">
        <v>110</v>
      </c>
      <c r="AP1411" t="s">
        <v>109</v>
      </c>
    </row>
    <row r="1412" spans="1:42" x14ac:dyDescent="0.25">
      <c r="A1412" s="28" t="str">
        <f>"15189"</f>
        <v>15189</v>
      </c>
      <c r="B1412">
        <v>15189</v>
      </c>
      <c r="C1412" t="s">
        <v>2488</v>
      </c>
      <c r="D1412" t="s">
        <v>121</v>
      </c>
      <c r="F1412" t="s">
        <v>149</v>
      </c>
      <c r="G1412" t="s">
        <v>3058</v>
      </c>
      <c r="I1412" t="s">
        <v>1562</v>
      </c>
      <c r="J1412" t="s">
        <v>126</v>
      </c>
      <c r="K1412" s="63">
        <v>28086</v>
      </c>
      <c r="L1412" s="28">
        <f>DATEDIF(K1412,Zwift25!G$1,"Y")</f>
        <v>47</v>
      </c>
      <c r="M1412" s="67">
        <f>IF(J1412="m",VLOOKUP(L1412,'All Solo Adjustments'!A:D,4,FALSE),VLOOKUP(L1412,'All Solo Adjustments'!A:J,10,FALSE))</f>
        <v>4.7337962962962958E-3</v>
      </c>
      <c r="N1412" s="63"/>
      <c r="O1412" s="63"/>
      <c r="P1412" s="63"/>
      <c r="Q1412" s="63"/>
      <c r="R1412" t="s">
        <v>125</v>
      </c>
      <c r="S1412" t="s">
        <v>170</v>
      </c>
      <c r="T1412" t="s">
        <v>292</v>
      </c>
      <c r="U1412">
        <v>69</v>
      </c>
      <c r="V1412" t="s">
        <v>5970</v>
      </c>
      <c r="W1412" t="s">
        <v>5969</v>
      </c>
      <c r="Y1412" t="s">
        <v>5968</v>
      </c>
      <c r="Z1412" t="str">
        <f>"07989413334"</f>
        <v>07989413334</v>
      </c>
      <c r="AA1412" t="str">
        <f>""</f>
        <v/>
      </c>
      <c r="AB1412" t="s">
        <v>1499</v>
      </c>
      <c r="AC1412" t="s">
        <v>5967</v>
      </c>
      <c r="AD1412" t="s">
        <v>114</v>
      </c>
      <c r="AE1412" s="63">
        <v>45365</v>
      </c>
      <c r="AF1412" t="s">
        <v>156</v>
      </c>
      <c r="AG1412" t="s">
        <v>112</v>
      </c>
      <c r="AH1412" t="s">
        <v>112</v>
      </c>
      <c r="AI1412" s="63">
        <v>44401</v>
      </c>
      <c r="AJ1412" s="63">
        <v>45657</v>
      </c>
      <c r="AK1412" t="s">
        <v>112</v>
      </c>
      <c r="AL1412" t="s">
        <v>111</v>
      </c>
      <c r="AM1412" t="s">
        <v>111</v>
      </c>
      <c r="AN1412">
        <v>28039</v>
      </c>
      <c r="AO1412" t="s">
        <v>122</v>
      </c>
      <c r="AP1412" t="s">
        <v>122</v>
      </c>
    </row>
    <row r="1413" spans="1:42" x14ac:dyDescent="0.25">
      <c r="A1413" s="28" t="str">
        <f>"16154"</f>
        <v>16154</v>
      </c>
      <c r="B1413">
        <v>16154</v>
      </c>
      <c r="C1413" t="s">
        <v>2488</v>
      </c>
      <c r="D1413" t="s">
        <v>121</v>
      </c>
      <c r="E1413" t="s">
        <v>584</v>
      </c>
      <c r="F1413" t="s">
        <v>149</v>
      </c>
      <c r="G1413" t="s">
        <v>5966</v>
      </c>
      <c r="I1413" t="s">
        <v>1562</v>
      </c>
      <c r="J1413" t="s">
        <v>126</v>
      </c>
      <c r="K1413" s="63">
        <v>22390</v>
      </c>
      <c r="L1413" s="28">
        <f>DATEDIF(K1413,Zwift25!G$1,"Y")</f>
        <v>63</v>
      </c>
      <c r="M1413" s="67">
        <f>IF(J1413="m",VLOOKUP(L1413,'All Solo Adjustments'!A:D,4,FALSE),VLOOKUP(L1413,'All Solo Adjustments'!A:J,10,FALSE))</f>
        <v>8.0092592592592594E-3</v>
      </c>
      <c r="N1413" s="63"/>
      <c r="O1413" s="63"/>
      <c r="P1413" s="63"/>
      <c r="Q1413" s="63"/>
      <c r="R1413" t="s">
        <v>184</v>
      </c>
      <c r="S1413" t="s">
        <v>183</v>
      </c>
      <c r="T1413" t="s">
        <v>292</v>
      </c>
      <c r="U1413" t="s">
        <v>5965</v>
      </c>
      <c r="W1413" t="s">
        <v>5964</v>
      </c>
      <c r="X1413" t="s">
        <v>834</v>
      </c>
      <c r="Y1413" t="s">
        <v>5963</v>
      </c>
      <c r="Z1413" t="str">
        <f>"07740428598"</f>
        <v>07740428598</v>
      </c>
      <c r="AA1413" t="str">
        <f>""</f>
        <v/>
      </c>
      <c r="AB1413" t="s">
        <v>5962</v>
      </c>
      <c r="AC1413" t="s">
        <v>5961</v>
      </c>
      <c r="AD1413" t="s">
        <v>114</v>
      </c>
      <c r="AE1413" s="63">
        <v>45448</v>
      </c>
      <c r="AF1413" t="s">
        <v>156</v>
      </c>
      <c r="AG1413" t="s">
        <v>112</v>
      </c>
      <c r="AH1413" t="s">
        <v>112</v>
      </c>
      <c r="AI1413" s="63">
        <v>45448</v>
      </c>
      <c r="AJ1413" s="63">
        <v>45657</v>
      </c>
      <c r="AK1413" t="s">
        <v>112</v>
      </c>
      <c r="AL1413" t="s">
        <v>111</v>
      </c>
      <c r="AM1413" t="s">
        <v>111</v>
      </c>
      <c r="AN1413">
        <v>9</v>
      </c>
      <c r="AO1413" t="s">
        <v>122</v>
      </c>
      <c r="AP1413" t="s">
        <v>122</v>
      </c>
    </row>
    <row r="1414" spans="1:42" x14ac:dyDescent="0.25">
      <c r="A1414" s="28" t="str">
        <f>"15435"</f>
        <v>15435</v>
      </c>
      <c r="B1414">
        <v>15435</v>
      </c>
      <c r="C1414" t="s">
        <v>2488</v>
      </c>
      <c r="D1414" t="s">
        <v>121</v>
      </c>
      <c r="E1414" t="s">
        <v>584</v>
      </c>
      <c r="F1414" t="s">
        <v>120</v>
      </c>
      <c r="G1414" t="s">
        <v>231</v>
      </c>
      <c r="H1414" t="s">
        <v>284</v>
      </c>
      <c r="I1414" t="s">
        <v>518</v>
      </c>
      <c r="J1414" t="s">
        <v>7</v>
      </c>
      <c r="K1414" s="63">
        <v>23012</v>
      </c>
      <c r="L1414" s="28">
        <f>DATEDIF(K1414,Zwift25!G$1,"Y")</f>
        <v>61</v>
      </c>
      <c r="M1414" s="67">
        <f>IF(J1414="m",VLOOKUP(L1414,'All Solo Adjustments'!A:D,4,FALSE),VLOOKUP(L1414,'All Solo Adjustments'!A:J,10,FALSE))</f>
        <v>3.4722222222222225E-3</v>
      </c>
      <c r="N1414" s="63"/>
      <c r="O1414" s="63"/>
      <c r="P1414" s="63"/>
      <c r="Q1414" s="63"/>
      <c r="R1414" t="s">
        <v>154</v>
      </c>
      <c r="S1414" t="s">
        <v>153</v>
      </c>
      <c r="T1414" t="s">
        <v>292</v>
      </c>
      <c r="U1414" t="s">
        <v>5960</v>
      </c>
      <c r="V1414" t="s">
        <v>5959</v>
      </c>
      <c r="W1414" t="s">
        <v>5958</v>
      </c>
      <c r="X1414" t="s">
        <v>2232</v>
      </c>
      <c r="Y1414" t="s">
        <v>5957</v>
      </c>
      <c r="Z1414" t="str">
        <f>"07837239371"</f>
        <v>07837239371</v>
      </c>
      <c r="AA1414" t="str">
        <f>""</f>
        <v/>
      </c>
      <c r="AB1414" t="s">
        <v>5956</v>
      </c>
      <c r="AC1414" t="s">
        <v>5955</v>
      </c>
      <c r="AD1414" t="s">
        <v>114</v>
      </c>
      <c r="AE1414" s="63">
        <v>45355</v>
      </c>
      <c r="AF1414" t="s">
        <v>156</v>
      </c>
      <c r="AG1414" t="s">
        <v>112</v>
      </c>
      <c r="AH1414" t="s">
        <v>112</v>
      </c>
      <c r="AI1414" s="63">
        <v>44655</v>
      </c>
      <c r="AJ1414" s="63">
        <v>45657</v>
      </c>
      <c r="AK1414" t="s">
        <v>112</v>
      </c>
      <c r="AL1414" t="s">
        <v>111</v>
      </c>
      <c r="AM1414" t="s">
        <v>111</v>
      </c>
      <c r="AN1414">
        <v>24238</v>
      </c>
      <c r="AO1414" t="s">
        <v>110</v>
      </c>
      <c r="AP1414" t="s">
        <v>109</v>
      </c>
    </row>
    <row r="1415" spans="1:42" x14ac:dyDescent="0.25">
      <c r="A1415" s="28" t="str">
        <f>"15628"</f>
        <v>15628</v>
      </c>
      <c r="B1415">
        <v>15628</v>
      </c>
      <c r="C1415" t="s">
        <v>2488</v>
      </c>
      <c r="D1415" t="s">
        <v>121</v>
      </c>
      <c r="E1415" t="s">
        <v>584</v>
      </c>
      <c r="F1415" t="s">
        <v>120</v>
      </c>
      <c r="G1415" t="s">
        <v>195</v>
      </c>
      <c r="H1415" t="s">
        <v>469</v>
      </c>
      <c r="I1415" t="s">
        <v>5954</v>
      </c>
      <c r="J1415" t="s">
        <v>7</v>
      </c>
      <c r="K1415" s="63">
        <v>25642</v>
      </c>
      <c r="L1415" s="28">
        <f>DATEDIF(K1415,Zwift25!G$1,"Y")</f>
        <v>54</v>
      </c>
      <c r="M1415" s="67">
        <f>IF(J1415="m",VLOOKUP(L1415,'All Solo Adjustments'!A:D,4,FALSE),VLOOKUP(L1415,'All Solo Adjustments'!A:J,10,FALSE))</f>
        <v>1.8518518518518517E-3</v>
      </c>
      <c r="N1415" s="63"/>
      <c r="O1415" s="63"/>
      <c r="P1415" s="63"/>
      <c r="Q1415" s="63"/>
      <c r="R1415" t="s">
        <v>184</v>
      </c>
      <c r="S1415" t="s">
        <v>183</v>
      </c>
      <c r="T1415" t="s">
        <v>292</v>
      </c>
      <c r="U1415" t="s">
        <v>5953</v>
      </c>
      <c r="V1415" t="s">
        <v>167</v>
      </c>
      <c r="Y1415" t="s">
        <v>5952</v>
      </c>
      <c r="Z1415" t="str">
        <f>"07478222748"</f>
        <v>07478222748</v>
      </c>
      <c r="AA1415" t="str">
        <f>""</f>
        <v/>
      </c>
      <c r="AB1415" t="s">
        <v>777</v>
      </c>
      <c r="AC1415" t="s">
        <v>5951</v>
      </c>
      <c r="AD1415" t="s">
        <v>114</v>
      </c>
      <c r="AE1415" s="63">
        <v>45262</v>
      </c>
      <c r="AF1415" t="s">
        <v>156</v>
      </c>
      <c r="AG1415" t="s">
        <v>112</v>
      </c>
      <c r="AH1415" t="s">
        <v>112</v>
      </c>
      <c r="AI1415" s="63">
        <v>44908</v>
      </c>
      <c r="AJ1415" s="63">
        <v>45657</v>
      </c>
      <c r="AK1415" t="s">
        <v>112</v>
      </c>
      <c r="AL1415" t="s">
        <v>111</v>
      </c>
      <c r="AM1415" t="s">
        <v>111</v>
      </c>
      <c r="AN1415">
        <v>45827</v>
      </c>
      <c r="AO1415" t="s">
        <v>110</v>
      </c>
      <c r="AP1415" t="s">
        <v>109</v>
      </c>
    </row>
    <row r="1416" spans="1:42" x14ac:dyDescent="0.25">
      <c r="A1416" s="28" t="str">
        <f>"15760"</f>
        <v>15760</v>
      </c>
      <c r="B1416">
        <v>15760</v>
      </c>
      <c r="C1416" t="s">
        <v>2488</v>
      </c>
      <c r="D1416" t="s">
        <v>121</v>
      </c>
      <c r="F1416" t="s">
        <v>139</v>
      </c>
      <c r="G1416" t="s">
        <v>5950</v>
      </c>
      <c r="I1416" t="s">
        <v>1559</v>
      </c>
      <c r="J1416" t="s">
        <v>126</v>
      </c>
      <c r="K1416" s="63">
        <v>25454</v>
      </c>
      <c r="L1416" s="28">
        <f>DATEDIF(K1416,Zwift25!G$1,"Y")</f>
        <v>55</v>
      </c>
      <c r="M1416" s="67">
        <f>IF(J1416="m",VLOOKUP(L1416,'All Solo Adjustments'!A:D,4,FALSE),VLOOKUP(L1416,'All Solo Adjustments'!A:J,10,FALSE))</f>
        <v>5.6597222222222222E-3</v>
      </c>
      <c r="N1416" s="63"/>
      <c r="O1416" s="63"/>
      <c r="P1416" s="63"/>
      <c r="Q1416" s="63"/>
      <c r="R1416" t="s">
        <v>213</v>
      </c>
      <c r="S1416" t="s">
        <v>212</v>
      </c>
      <c r="T1416" t="s">
        <v>292</v>
      </c>
      <c r="U1416" t="s">
        <v>5949</v>
      </c>
      <c r="V1416" t="s">
        <v>5948</v>
      </c>
      <c r="W1416" t="s">
        <v>406</v>
      </c>
      <c r="Y1416" t="s">
        <v>5947</v>
      </c>
      <c r="Z1416" t="str">
        <f>"07989136118"</f>
        <v>07989136118</v>
      </c>
      <c r="AA1416" t="str">
        <f>""</f>
        <v/>
      </c>
      <c r="AB1416" t="s">
        <v>4423</v>
      </c>
      <c r="AC1416" t="s">
        <v>5946</v>
      </c>
      <c r="AD1416" t="s">
        <v>114</v>
      </c>
      <c r="AE1416" s="63">
        <v>45262</v>
      </c>
      <c r="AF1416" t="s">
        <v>156</v>
      </c>
      <c r="AG1416" t="s">
        <v>112</v>
      </c>
      <c r="AH1416" t="s">
        <v>112</v>
      </c>
      <c r="AI1416" s="63">
        <v>45019</v>
      </c>
      <c r="AJ1416" s="63">
        <v>45657</v>
      </c>
      <c r="AK1416" t="s">
        <v>112</v>
      </c>
      <c r="AL1416" t="s">
        <v>111</v>
      </c>
      <c r="AM1416" t="s">
        <v>111</v>
      </c>
      <c r="AN1416">
        <v>42570</v>
      </c>
      <c r="AO1416" t="s">
        <v>122</v>
      </c>
      <c r="AP1416" t="s">
        <v>122</v>
      </c>
    </row>
    <row r="1417" spans="1:42" x14ac:dyDescent="0.25">
      <c r="A1417" s="28" t="str">
        <f>"14146"</f>
        <v>14146</v>
      </c>
      <c r="B1417">
        <v>14146</v>
      </c>
      <c r="C1417" t="s">
        <v>2488</v>
      </c>
      <c r="D1417" t="s">
        <v>121</v>
      </c>
      <c r="F1417" t="s">
        <v>120</v>
      </c>
      <c r="G1417" t="s">
        <v>164</v>
      </c>
      <c r="H1417" t="s">
        <v>174</v>
      </c>
      <c r="I1417" t="s">
        <v>5945</v>
      </c>
      <c r="J1417" t="s">
        <v>7</v>
      </c>
      <c r="K1417" s="63">
        <v>26914</v>
      </c>
      <c r="L1417" s="28">
        <f>DATEDIF(K1417,Zwift25!G$1,"Y")</f>
        <v>51</v>
      </c>
      <c r="M1417" s="67">
        <f>IF(J1417="m",VLOOKUP(L1417,'All Solo Adjustments'!A:D,4,FALSE),VLOOKUP(L1417,'All Solo Adjustments'!A:J,10,FALSE))</f>
        <v>1.3078703703703703E-3</v>
      </c>
      <c r="N1417" s="63"/>
      <c r="O1417" s="63"/>
      <c r="P1417" s="63"/>
      <c r="Q1417" s="63"/>
      <c r="R1417" t="s">
        <v>125</v>
      </c>
      <c r="S1417" t="s">
        <v>170</v>
      </c>
      <c r="T1417" t="s">
        <v>292</v>
      </c>
      <c r="U1417" t="s">
        <v>5944</v>
      </c>
      <c r="V1417" t="s">
        <v>5943</v>
      </c>
      <c r="W1417" t="s">
        <v>5942</v>
      </c>
      <c r="X1417" t="s">
        <v>123</v>
      </c>
      <c r="Y1417" t="s">
        <v>5941</v>
      </c>
      <c r="Z1417" t="str">
        <f>"07493054405"</f>
        <v>07493054405</v>
      </c>
      <c r="AA1417" t="str">
        <f>""</f>
        <v/>
      </c>
      <c r="AB1417" t="s">
        <v>5940</v>
      </c>
      <c r="AC1417" t="s">
        <v>5939</v>
      </c>
      <c r="AD1417" t="s">
        <v>114</v>
      </c>
      <c r="AE1417" s="63">
        <v>45434</v>
      </c>
      <c r="AF1417" t="s">
        <v>156</v>
      </c>
      <c r="AG1417" t="s">
        <v>112</v>
      </c>
      <c r="AH1417" t="s">
        <v>112</v>
      </c>
      <c r="AI1417" s="63">
        <v>43559</v>
      </c>
      <c r="AJ1417" s="63">
        <v>45657</v>
      </c>
      <c r="AK1417" t="s">
        <v>112</v>
      </c>
      <c r="AL1417" t="s">
        <v>111</v>
      </c>
      <c r="AM1417" t="s">
        <v>111</v>
      </c>
      <c r="AN1417">
        <v>25811</v>
      </c>
      <c r="AO1417" t="s">
        <v>110</v>
      </c>
      <c r="AP1417" t="s">
        <v>109</v>
      </c>
    </row>
    <row r="1418" spans="1:42" x14ac:dyDescent="0.25">
      <c r="A1418" s="28" t="str">
        <f>"2873"</f>
        <v>2873</v>
      </c>
      <c r="B1418">
        <v>2873</v>
      </c>
      <c r="C1418" t="s">
        <v>2488</v>
      </c>
      <c r="D1418" t="s">
        <v>132</v>
      </c>
      <c r="F1418" t="s">
        <v>120</v>
      </c>
      <c r="G1418" t="s">
        <v>5938</v>
      </c>
      <c r="H1418" t="s">
        <v>1807</v>
      </c>
      <c r="I1418" t="s">
        <v>5933</v>
      </c>
      <c r="J1418" t="s">
        <v>7</v>
      </c>
      <c r="K1418" s="63">
        <v>16409</v>
      </c>
      <c r="L1418" s="28">
        <f>DATEDIF(K1418,Zwift25!G$1,"Y")</f>
        <v>79</v>
      </c>
      <c r="M1418" s="67">
        <f>IF(J1418="m",VLOOKUP(L1418,'All Solo Adjustments'!A:D,4,FALSE),VLOOKUP(L1418,'All Solo Adjustments'!A:J,10,FALSE))</f>
        <v>1.0451388888888889E-2</v>
      </c>
      <c r="N1418" s="63"/>
      <c r="O1418" s="63"/>
      <c r="P1418" s="63"/>
      <c r="Q1418" s="63"/>
      <c r="R1418" t="s">
        <v>180</v>
      </c>
      <c r="S1418" t="s">
        <v>1741</v>
      </c>
      <c r="T1418" t="s">
        <v>292</v>
      </c>
      <c r="U1418" t="s">
        <v>5937</v>
      </c>
      <c r="V1418" t="s">
        <v>5936</v>
      </c>
      <c r="W1418" t="s">
        <v>983</v>
      </c>
      <c r="Y1418" t="s">
        <v>5935</v>
      </c>
      <c r="Z1418" t="str">
        <f>"07510916837"</f>
        <v>07510916837</v>
      </c>
      <c r="AA1418" t="str">
        <f>"07849638529"</f>
        <v>07849638529</v>
      </c>
      <c r="AB1418" t="s">
        <v>1550</v>
      </c>
      <c r="AC1418" t="s">
        <v>5934</v>
      </c>
      <c r="AD1418" t="s">
        <v>114</v>
      </c>
      <c r="AE1418" s="63">
        <v>45262</v>
      </c>
      <c r="AF1418" t="s">
        <v>113</v>
      </c>
      <c r="AG1418" t="s">
        <v>112</v>
      </c>
      <c r="AH1418" t="s">
        <v>112</v>
      </c>
      <c r="AI1418" s="63">
        <v>39090</v>
      </c>
      <c r="AJ1418" s="63">
        <v>45657</v>
      </c>
      <c r="AK1418" t="s">
        <v>111</v>
      </c>
      <c r="AL1418" t="s">
        <v>111</v>
      </c>
      <c r="AM1418" t="s">
        <v>111</v>
      </c>
      <c r="AN1418">
        <v>38798</v>
      </c>
      <c r="AO1418" t="s">
        <v>110</v>
      </c>
      <c r="AP1418" t="s">
        <v>109</v>
      </c>
    </row>
    <row r="1419" spans="1:42" x14ac:dyDescent="0.25">
      <c r="A1419" s="28" t="str">
        <f>"10406"</f>
        <v>10406</v>
      </c>
      <c r="B1419">
        <v>10406</v>
      </c>
      <c r="C1419" t="s">
        <v>2488</v>
      </c>
      <c r="D1419" t="s">
        <v>130</v>
      </c>
      <c r="F1419" t="s">
        <v>149</v>
      </c>
      <c r="G1419" t="s">
        <v>478</v>
      </c>
      <c r="H1419" t="s">
        <v>1426</v>
      </c>
      <c r="I1419" t="s">
        <v>5933</v>
      </c>
      <c r="J1419" t="s">
        <v>126</v>
      </c>
      <c r="K1419" s="63">
        <v>16415</v>
      </c>
      <c r="L1419" s="28">
        <f>DATEDIF(K1419,Zwift25!G$1,"Y")</f>
        <v>79</v>
      </c>
      <c r="M1419" s="67">
        <f>IF(J1419="m",VLOOKUP(L1419,'All Solo Adjustments'!A:D,4,FALSE),VLOOKUP(L1419,'All Solo Adjustments'!A:J,10,FALSE))</f>
        <v>1.6192129629629629E-2</v>
      </c>
      <c r="N1419" s="63"/>
      <c r="O1419" s="63"/>
      <c r="P1419" s="63"/>
      <c r="Q1419" s="63"/>
      <c r="R1419" t="s">
        <v>180</v>
      </c>
      <c r="S1419" t="s">
        <v>1741</v>
      </c>
      <c r="T1419" t="s">
        <v>292</v>
      </c>
      <c r="U1419" t="s">
        <v>5937</v>
      </c>
      <c r="V1419" t="s">
        <v>5936</v>
      </c>
      <c r="W1419" t="s">
        <v>983</v>
      </c>
      <c r="Y1419" t="s">
        <v>5935</v>
      </c>
      <c r="Z1419" t="str">
        <f>"07510916837"</f>
        <v>07510916837</v>
      </c>
      <c r="AA1419" t="str">
        <f>"07849638529"</f>
        <v>07849638529</v>
      </c>
      <c r="AC1419" t="s">
        <v>5934</v>
      </c>
      <c r="AD1419" t="s">
        <v>114</v>
      </c>
      <c r="AE1419" s="63">
        <v>45262</v>
      </c>
      <c r="AF1419" t="s">
        <v>113</v>
      </c>
      <c r="AG1419" t="s">
        <v>112</v>
      </c>
      <c r="AH1419" t="s">
        <v>112</v>
      </c>
      <c r="AI1419" s="63">
        <v>39090</v>
      </c>
      <c r="AJ1419" s="63">
        <v>45657</v>
      </c>
      <c r="AK1419" t="s">
        <v>111</v>
      </c>
      <c r="AL1419" t="s">
        <v>111</v>
      </c>
      <c r="AM1419" t="s">
        <v>111</v>
      </c>
      <c r="AN1419" t="s">
        <v>105</v>
      </c>
      <c r="AO1419" t="s">
        <v>122</v>
      </c>
      <c r="AP1419" t="s">
        <v>122</v>
      </c>
    </row>
    <row r="1420" spans="1:42" x14ac:dyDescent="0.25">
      <c r="A1420" s="28" t="str">
        <f>"13713"</f>
        <v>13713</v>
      </c>
      <c r="B1420">
        <v>13713</v>
      </c>
      <c r="C1420" t="s">
        <v>2488</v>
      </c>
      <c r="D1420" t="s">
        <v>121</v>
      </c>
      <c r="F1420" t="s">
        <v>120</v>
      </c>
      <c r="G1420" t="s">
        <v>164</v>
      </c>
      <c r="H1420" t="s">
        <v>174</v>
      </c>
      <c r="I1420" t="s">
        <v>5933</v>
      </c>
      <c r="J1420" t="s">
        <v>7</v>
      </c>
      <c r="K1420" s="63">
        <v>25162</v>
      </c>
      <c r="L1420" s="28">
        <f>DATEDIF(K1420,Zwift25!G$1,"Y")</f>
        <v>55</v>
      </c>
      <c r="M1420" s="67">
        <f>IF(J1420="m",VLOOKUP(L1420,'All Solo Adjustments'!A:D,4,FALSE),VLOOKUP(L1420,'All Solo Adjustments'!A:J,10,FALSE))</f>
        <v>2.0601851851851853E-3</v>
      </c>
      <c r="N1420" s="63"/>
      <c r="O1420" s="63"/>
      <c r="P1420" s="63"/>
      <c r="Q1420" s="63"/>
      <c r="R1420" t="s">
        <v>180</v>
      </c>
      <c r="S1420" t="s">
        <v>179</v>
      </c>
      <c r="T1420" t="s">
        <v>292</v>
      </c>
      <c r="U1420" t="s">
        <v>5932</v>
      </c>
      <c r="V1420" t="s">
        <v>5931</v>
      </c>
      <c r="W1420" t="s">
        <v>1590</v>
      </c>
      <c r="Y1420" t="s">
        <v>5930</v>
      </c>
      <c r="Z1420" t="str">
        <f>"01780460130"</f>
        <v>01780460130</v>
      </c>
      <c r="AA1420" t="str">
        <f>"07768827112"</f>
        <v>07768827112</v>
      </c>
      <c r="AB1420" t="s">
        <v>1550</v>
      </c>
      <c r="AC1420" t="s">
        <v>5929</v>
      </c>
      <c r="AD1420" t="s">
        <v>114</v>
      </c>
      <c r="AE1420" s="63">
        <v>45269</v>
      </c>
      <c r="AF1420" t="s">
        <v>156</v>
      </c>
      <c r="AG1420" t="s">
        <v>112</v>
      </c>
      <c r="AH1420" t="s">
        <v>112</v>
      </c>
      <c r="AI1420" s="63">
        <v>43294</v>
      </c>
      <c r="AJ1420" s="63">
        <v>45657</v>
      </c>
      <c r="AK1420" t="s">
        <v>112</v>
      </c>
      <c r="AL1420" t="s">
        <v>111</v>
      </c>
      <c r="AM1420" t="s">
        <v>111</v>
      </c>
      <c r="AN1420">
        <v>12305</v>
      </c>
      <c r="AO1420" t="s">
        <v>110</v>
      </c>
      <c r="AP1420" t="s">
        <v>109</v>
      </c>
    </row>
    <row r="1421" spans="1:42" x14ac:dyDescent="0.25">
      <c r="A1421" s="28" t="str">
        <f>"13982"</f>
        <v>13982</v>
      </c>
      <c r="B1421">
        <v>13982</v>
      </c>
      <c r="C1421" t="s">
        <v>2488</v>
      </c>
      <c r="D1421" t="s">
        <v>121</v>
      </c>
      <c r="F1421" t="s">
        <v>120</v>
      </c>
      <c r="G1421" t="s">
        <v>284</v>
      </c>
      <c r="I1421" t="s">
        <v>5928</v>
      </c>
      <c r="J1421" t="s">
        <v>7</v>
      </c>
      <c r="K1421" s="63">
        <v>28863</v>
      </c>
      <c r="L1421" s="28">
        <f>DATEDIF(K1421,Zwift25!G$1,"Y")</f>
        <v>45</v>
      </c>
      <c r="M1421" s="67">
        <f>IF(J1421="m",VLOOKUP(L1421,'All Solo Adjustments'!A:D,4,FALSE),VLOOKUP(L1421,'All Solo Adjustments'!A:J,10,FALSE))</f>
        <v>4.5138888888888892E-4</v>
      </c>
      <c r="N1421" s="63"/>
      <c r="O1421" s="63"/>
      <c r="P1421" s="63"/>
      <c r="Q1421" s="63"/>
      <c r="R1421" t="s">
        <v>180</v>
      </c>
      <c r="S1421" t="s">
        <v>179</v>
      </c>
      <c r="T1421" t="s">
        <v>292</v>
      </c>
      <c r="U1421" t="s">
        <v>5927</v>
      </c>
      <c r="V1421" t="s">
        <v>1273</v>
      </c>
      <c r="W1421" t="s">
        <v>1273</v>
      </c>
      <c r="X1421" t="s">
        <v>177</v>
      </c>
      <c r="Y1421" t="s">
        <v>5926</v>
      </c>
      <c r="Z1421" t="str">
        <f>"+447905015193"</f>
        <v>+447905015193</v>
      </c>
      <c r="AA1421" t="str">
        <f>""</f>
        <v/>
      </c>
      <c r="AB1421" t="s">
        <v>1665</v>
      </c>
      <c r="AC1421" t="s">
        <v>5925</v>
      </c>
      <c r="AD1421" t="s">
        <v>114</v>
      </c>
      <c r="AE1421" s="63">
        <v>45336</v>
      </c>
      <c r="AF1421" t="s">
        <v>156</v>
      </c>
      <c r="AG1421" t="s">
        <v>112</v>
      </c>
      <c r="AH1421" t="s">
        <v>112</v>
      </c>
      <c r="AI1421" s="63">
        <v>43473</v>
      </c>
      <c r="AJ1421" s="63">
        <v>45657</v>
      </c>
      <c r="AK1421" t="s">
        <v>112</v>
      </c>
      <c r="AL1421" t="s">
        <v>111</v>
      </c>
      <c r="AM1421" t="s">
        <v>111</v>
      </c>
      <c r="AN1421">
        <v>4210</v>
      </c>
      <c r="AO1421" t="s">
        <v>110</v>
      </c>
      <c r="AP1421" t="s">
        <v>109</v>
      </c>
    </row>
    <row r="1422" spans="1:42" x14ac:dyDescent="0.25">
      <c r="A1422" s="28" t="str">
        <f>"14312"</f>
        <v>14312</v>
      </c>
      <c r="B1422">
        <v>14312</v>
      </c>
      <c r="C1422" t="s">
        <v>2488</v>
      </c>
      <c r="D1422" t="s">
        <v>121</v>
      </c>
      <c r="E1422" t="s">
        <v>584</v>
      </c>
      <c r="F1422" t="s">
        <v>149</v>
      </c>
      <c r="G1422" t="s">
        <v>1475</v>
      </c>
      <c r="I1422" t="s">
        <v>714</v>
      </c>
      <c r="J1422" t="s">
        <v>126</v>
      </c>
      <c r="K1422" s="63">
        <v>23430</v>
      </c>
      <c r="L1422" s="28">
        <f>DATEDIF(K1422,Zwift25!G$1,"Y")</f>
        <v>60</v>
      </c>
      <c r="M1422" s="67">
        <f>IF(J1422="m",VLOOKUP(L1422,'All Solo Adjustments'!A:D,4,FALSE),VLOOKUP(L1422,'All Solo Adjustments'!A:J,10,FALSE))</f>
        <v>6.898148148148148E-3</v>
      </c>
      <c r="N1422" s="63"/>
      <c r="O1422" s="63"/>
      <c r="P1422" s="63"/>
      <c r="Q1422" s="63"/>
      <c r="R1422" t="s">
        <v>154</v>
      </c>
      <c r="S1422" t="s">
        <v>153</v>
      </c>
      <c r="T1422" t="s">
        <v>292</v>
      </c>
      <c r="U1422" t="s">
        <v>5924</v>
      </c>
      <c r="W1422" t="s">
        <v>1570</v>
      </c>
      <c r="X1422" t="s">
        <v>929</v>
      </c>
      <c r="Y1422" t="s">
        <v>5923</v>
      </c>
      <c r="Z1422" t="str">
        <f>"07984014755"</f>
        <v>07984014755</v>
      </c>
      <c r="AA1422" t="str">
        <f>""</f>
        <v/>
      </c>
      <c r="AB1422" t="s">
        <v>1927</v>
      </c>
      <c r="AC1422" t="s">
        <v>5922</v>
      </c>
      <c r="AD1422" t="s">
        <v>114</v>
      </c>
      <c r="AE1422" s="63">
        <v>45292</v>
      </c>
      <c r="AF1422" t="s">
        <v>156</v>
      </c>
      <c r="AG1422" t="s">
        <v>112</v>
      </c>
      <c r="AH1422" t="s">
        <v>112</v>
      </c>
      <c r="AI1422" s="63">
        <v>43650</v>
      </c>
      <c r="AJ1422" s="63">
        <v>45657</v>
      </c>
      <c r="AK1422" t="s">
        <v>112</v>
      </c>
      <c r="AL1422" t="s">
        <v>111</v>
      </c>
      <c r="AM1422" t="s">
        <v>111</v>
      </c>
      <c r="AN1422">
        <v>25446</v>
      </c>
      <c r="AO1422" t="s">
        <v>122</v>
      </c>
      <c r="AP1422" t="s">
        <v>122</v>
      </c>
    </row>
    <row r="1423" spans="1:42" x14ac:dyDescent="0.25">
      <c r="A1423" s="28" t="str">
        <f>"1769"</f>
        <v>1769</v>
      </c>
      <c r="B1423">
        <v>1769</v>
      </c>
      <c r="C1423" t="s">
        <v>2488</v>
      </c>
      <c r="D1423" t="s">
        <v>121</v>
      </c>
      <c r="F1423" t="s">
        <v>120</v>
      </c>
      <c r="G1423" t="s">
        <v>481</v>
      </c>
      <c r="H1423" t="s">
        <v>5921</v>
      </c>
      <c r="I1423" t="s">
        <v>1020</v>
      </c>
      <c r="J1423" t="s">
        <v>7</v>
      </c>
      <c r="K1423" s="63">
        <v>23634</v>
      </c>
      <c r="L1423" s="28">
        <f>DATEDIF(K1423,Zwift25!G$1,"Y")</f>
        <v>60</v>
      </c>
      <c r="M1423" s="67">
        <f>IF(J1423="m",VLOOKUP(L1423,'All Solo Adjustments'!A:D,4,FALSE),VLOOKUP(L1423,'All Solo Adjustments'!A:J,10,FALSE))</f>
        <v>3.2060185185185186E-3</v>
      </c>
      <c r="N1423" s="63"/>
      <c r="O1423" s="63"/>
      <c r="P1423" s="63"/>
      <c r="Q1423" s="63"/>
      <c r="R1423" t="s">
        <v>184</v>
      </c>
      <c r="S1423" t="s">
        <v>183</v>
      </c>
      <c r="T1423" t="s">
        <v>292</v>
      </c>
      <c r="U1423" t="s">
        <v>5920</v>
      </c>
      <c r="V1423" t="s">
        <v>2215</v>
      </c>
      <c r="W1423" t="s">
        <v>1229</v>
      </c>
      <c r="X1423" t="s">
        <v>1708</v>
      </c>
      <c r="Y1423" t="s">
        <v>5919</v>
      </c>
      <c r="Z1423" t="str">
        <f>"07977 297858"</f>
        <v>07977 297858</v>
      </c>
      <c r="AA1423" t="str">
        <f>""</f>
        <v/>
      </c>
      <c r="AB1423" t="s">
        <v>1717</v>
      </c>
      <c r="AC1423" t="s">
        <v>5918</v>
      </c>
      <c r="AD1423" t="s">
        <v>114</v>
      </c>
      <c r="AE1423" s="63">
        <v>45373</v>
      </c>
      <c r="AF1423" t="s">
        <v>156</v>
      </c>
      <c r="AG1423" t="s">
        <v>112</v>
      </c>
      <c r="AH1423" t="s">
        <v>112</v>
      </c>
      <c r="AI1423" s="63">
        <v>41818</v>
      </c>
      <c r="AJ1423" s="63">
        <v>45657</v>
      </c>
      <c r="AK1423" t="s">
        <v>111</v>
      </c>
      <c r="AL1423" t="s">
        <v>111</v>
      </c>
      <c r="AM1423" t="s">
        <v>111</v>
      </c>
      <c r="AN1423">
        <v>3751</v>
      </c>
      <c r="AO1423" t="s">
        <v>110</v>
      </c>
      <c r="AP1423" t="s">
        <v>109</v>
      </c>
    </row>
    <row r="1424" spans="1:42" x14ac:dyDescent="0.25">
      <c r="A1424" s="28" t="str">
        <f>"1770"</f>
        <v>1770</v>
      </c>
      <c r="B1424">
        <v>1770</v>
      </c>
      <c r="C1424" t="s">
        <v>2488</v>
      </c>
      <c r="D1424" t="s">
        <v>121</v>
      </c>
      <c r="F1424" t="s">
        <v>120</v>
      </c>
      <c r="G1424" t="s">
        <v>251</v>
      </c>
      <c r="I1424" t="s">
        <v>1020</v>
      </c>
      <c r="J1424" t="s">
        <v>7</v>
      </c>
      <c r="K1424" s="63">
        <v>16693</v>
      </c>
      <c r="L1424" s="28">
        <f>DATEDIF(K1424,Zwift25!G$1,"Y")</f>
        <v>79</v>
      </c>
      <c r="M1424" s="67">
        <f>IF(J1424="m",VLOOKUP(L1424,'All Solo Adjustments'!A:D,4,FALSE),VLOOKUP(L1424,'All Solo Adjustments'!A:J,10,FALSE))</f>
        <v>1.0451388888888889E-2</v>
      </c>
      <c r="N1424" s="63"/>
      <c r="O1424" s="63"/>
      <c r="P1424" s="63"/>
      <c r="Q1424" s="63"/>
      <c r="R1424" t="s">
        <v>527</v>
      </c>
      <c r="S1424" t="s">
        <v>526</v>
      </c>
      <c r="T1424" t="s">
        <v>292</v>
      </c>
      <c r="U1424" t="s">
        <v>5917</v>
      </c>
      <c r="V1424" t="s">
        <v>5916</v>
      </c>
      <c r="W1424" t="s">
        <v>933</v>
      </c>
      <c r="X1424" t="s">
        <v>1227</v>
      </c>
      <c r="Y1424" t="s">
        <v>5915</v>
      </c>
      <c r="Z1424" t="str">
        <f>"07774 167738"</f>
        <v>07774 167738</v>
      </c>
      <c r="AA1424" t="str">
        <f>""</f>
        <v/>
      </c>
      <c r="AB1424" t="s">
        <v>5914</v>
      </c>
      <c r="AC1424" t="s">
        <v>5913</v>
      </c>
      <c r="AD1424" t="s">
        <v>145</v>
      </c>
      <c r="AE1424" s="63">
        <v>45306</v>
      </c>
      <c r="AF1424" t="s">
        <v>156</v>
      </c>
      <c r="AG1424" t="s">
        <v>112</v>
      </c>
      <c r="AH1424" t="s">
        <v>112</v>
      </c>
      <c r="AI1424" s="63">
        <v>43412</v>
      </c>
      <c r="AJ1424" s="63">
        <v>45657</v>
      </c>
      <c r="AK1424" t="s">
        <v>111</v>
      </c>
      <c r="AL1424" t="s">
        <v>111</v>
      </c>
      <c r="AM1424" t="s">
        <v>111</v>
      </c>
      <c r="AN1424" t="s">
        <v>105</v>
      </c>
      <c r="AO1424" t="s">
        <v>110</v>
      </c>
      <c r="AP1424" t="s">
        <v>109</v>
      </c>
    </row>
    <row r="1425" spans="1:42" x14ac:dyDescent="0.25">
      <c r="A1425" s="28" t="str">
        <f>"15293"</f>
        <v>15293</v>
      </c>
      <c r="B1425">
        <v>15293</v>
      </c>
      <c r="C1425" t="s">
        <v>2488</v>
      </c>
      <c r="D1425" t="s">
        <v>121</v>
      </c>
      <c r="F1425" t="s">
        <v>120</v>
      </c>
      <c r="G1425" t="s">
        <v>427</v>
      </c>
      <c r="I1425" t="s">
        <v>1020</v>
      </c>
      <c r="J1425" t="s">
        <v>7</v>
      </c>
      <c r="K1425" s="63">
        <v>25262</v>
      </c>
      <c r="L1425" s="28">
        <f>DATEDIF(K1425,Zwift25!G$1,"Y")</f>
        <v>55</v>
      </c>
      <c r="M1425" s="67">
        <f>IF(J1425="m",VLOOKUP(L1425,'All Solo Adjustments'!A:D,4,FALSE),VLOOKUP(L1425,'All Solo Adjustments'!A:J,10,FALSE))</f>
        <v>2.0601851851851853E-3</v>
      </c>
      <c r="N1425" s="63"/>
      <c r="O1425" s="63"/>
      <c r="P1425" s="63"/>
      <c r="Q1425" s="63"/>
      <c r="R1425" t="s">
        <v>180</v>
      </c>
      <c r="S1425" t="s">
        <v>179</v>
      </c>
      <c r="T1425" t="s">
        <v>292</v>
      </c>
      <c r="U1425" t="s">
        <v>5912</v>
      </c>
      <c r="V1425" t="s">
        <v>926</v>
      </c>
      <c r="Y1425" t="s">
        <v>5911</v>
      </c>
      <c r="Z1425" t="str">
        <f>"07976305690"</f>
        <v>07976305690</v>
      </c>
      <c r="AA1425" t="str">
        <f>""</f>
        <v/>
      </c>
      <c r="AB1425" t="s">
        <v>5910</v>
      </c>
      <c r="AC1425" t="s">
        <v>5909</v>
      </c>
      <c r="AD1425" t="s">
        <v>114</v>
      </c>
      <c r="AE1425" s="63">
        <v>45272</v>
      </c>
      <c r="AF1425" t="s">
        <v>156</v>
      </c>
      <c r="AG1425" t="s">
        <v>112</v>
      </c>
      <c r="AH1425" t="s">
        <v>112</v>
      </c>
      <c r="AI1425" s="63">
        <v>44515</v>
      </c>
      <c r="AJ1425" s="63">
        <v>45657</v>
      </c>
      <c r="AK1425" t="s">
        <v>112</v>
      </c>
      <c r="AL1425" t="s">
        <v>111</v>
      </c>
      <c r="AM1425" t="s">
        <v>111</v>
      </c>
      <c r="AN1425">
        <v>36781</v>
      </c>
      <c r="AO1425" t="s">
        <v>110</v>
      </c>
      <c r="AP1425" t="s">
        <v>109</v>
      </c>
    </row>
    <row r="1426" spans="1:42" x14ac:dyDescent="0.25">
      <c r="A1426" s="28" t="str">
        <f>"13832"</f>
        <v>13832</v>
      </c>
      <c r="B1426">
        <v>13832</v>
      </c>
      <c r="C1426" t="s">
        <v>2488</v>
      </c>
      <c r="D1426" t="s">
        <v>121</v>
      </c>
      <c r="F1426" t="s">
        <v>120</v>
      </c>
      <c r="G1426" t="s">
        <v>284</v>
      </c>
      <c r="H1426" t="s">
        <v>1377</v>
      </c>
      <c r="I1426" t="s">
        <v>5904</v>
      </c>
      <c r="J1426" t="s">
        <v>7</v>
      </c>
      <c r="K1426" s="63">
        <v>25821</v>
      </c>
      <c r="L1426" s="28">
        <f>DATEDIF(K1426,Zwift25!G$1,"Y")</f>
        <v>54</v>
      </c>
      <c r="M1426" s="67">
        <f>IF(J1426="m",VLOOKUP(L1426,'All Solo Adjustments'!A:D,4,FALSE),VLOOKUP(L1426,'All Solo Adjustments'!A:J,10,FALSE))</f>
        <v>1.8518518518518517E-3</v>
      </c>
      <c r="N1426" s="63"/>
      <c r="O1426" s="63"/>
      <c r="P1426" s="63"/>
      <c r="Q1426" s="63"/>
      <c r="R1426" t="s">
        <v>184</v>
      </c>
      <c r="S1426" t="s">
        <v>183</v>
      </c>
      <c r="T1426" t="s">
        <v>292</v>
      </c>
      <c r="U1426" t="s">
        <v>2142</v>
      </c>
      <c r="V1426" t="s">
        <v>5908</v>
      </c>
      <c r="W1426" t="s">
        <v>5902</v>
      </c>
      <c r="X1426" t="s">
        <v>1570</v>
      </c>
      <c r="Y1426" t="s">
        <v>5900</v>
      </c>
      <c r="Z1426" t="str">
        <f>"07916 347193"</f>
        <v>07916 347193</v>
      </c>
      <c r="AA1426" t="str">
        <f>""</f>
        <v/>
      </c>
      <c r="AB1426" t="s">
        <v>5907</v>
      </c>
      <c r="AC1426" t="s">
        <v>5906</v>
      </c>
      <c r="AD1426" t="s">
        <v>114</v>
      </c>
      <c r="AE1426" s="63">
        <v>45292</v>
      </c>
      <c r="AF1426" t="s">
        <v>156</v>
      </c>
      <c r="AG1426" t="s">
        <v>112</v>
      </c>
      <c r="AH1426" t="s">
        <v>112</v>
      </c>
      <c r="AI1426" s="63">
        <v>43364</v>
      </c>
      <c r="AJ1426" s="63">
        <v>45657</v>
      </c>
      <c r="AK1426" t="s">
        <v>112</v>
      </c>
      <c r="AL1426" t="s">
        <v>111</v>
      </c>
      <c r="AM1426" t="s">
        <v>111</v>
      </c>
      <c r="AN1426">
        <v>25494</v>
      </c>
      <c r="AO1426" t="s">
        <v>110</v>
      </c>
      <c r="AP1426" t="s">
        <v>109</v>
      </c>
    </row>
    <row r="1427" spans="1:42" x14ac:dyDescent="0.25">
      <c r="A1427" s="28" t="str">
        <f>"15454"</f>
        <v>15454</v>
      </c>
      <c r="B1427">
        <v>15454</v>
      </c>
      <c r="C1427" t="s">
        <v>2488</v>
      </c>
      <c r="D1427" t="s">
        <v>121</v>
      </c>
      <c r="E1427" t="s">
        <v>584</v>
      </c>
      <c r="F1427" t="s">
        <v>149</v>
      </c>
      <c r="G1427" t="s">
        <v>5905</v>
      </c>
      <c r="H1427" t="s">
        <v>577</v>
      </c>
      <c r="I1427" t="s">
        <v>5904</v>
      </c>
      <c r="J1427" t="s">
        <v>126</v>
      </c>
      <c r="K1427" s="63">
        <v>26528</v>
      </c>
      <c r="L1427" s="28">
        <f>DATEDIF(K1427,Zwift25!G$1,"Y")</f>
        <v>52</v>
      </c>
      <c r="M1427" s="67">
        <f>IF(J1427="m",VLOOKUP(L1427,'All Solo Adjustments'!A:D,4,FALSE),VLOOKUP(L1427,'All Solo Adjustments'!A:J,10,FALSE))</f>
        <v>5.1967592592592595E-3</v>
      </c>
      <c r="N1427" s="63"/>
      <c r="O1427" s="63"/>
      <c r="P1427" s="63"/>
      <c r="Q1427" s="63"/>
      <c r="R1427" t="s">
        <v>184</v>
      </c>
      <c r="S1427" t="s">
        <v>183</v>
      </c>
      <c r="T1427" t="s">
        <v>292</v>
      </c>
      <c r="U1427" t="s">
        <v>2142</v>
      </c>
      <c r="V1427" t="s">
        <v>5903</v>
      </c>
      <c r="W1427" t="s">
        <v>5902</v>
      </c>
      <c r="X1427" t="s">
        <v>5901</v>
      </c>
      <c r="Y1427" t="s">
        <v>5900</v>
      </c>
      <c r="Z1427" t="str">
        <f>"07702202405"</f>
        <v>07702202405</v>
      </c>
      <c r="AA1427" t="str">
        <f>"01869932224"</f>
        <v>01869932224</v>
      </c>
      <c r="AB1427" t="s">
        <v>5899</v>
      </c>
      <c r="AC1427" t="s">
        <v>5898</v>
      </c>
      <c r="AD1427" t="s">
        <v>114</v>
      </c>
      <c r="AE1427" s="63">
        <v>45293</v>
      </c>
      <c r="AF1427" t="s">
        <v>156</v>
      </c>
      <c r="AG1427" t="s">
        <v>112</v>
      </c>
      <c r="AH1427" t="s">
        <v>112</v>
      </c>
      <c r="AI1427" s="63">
        <v>44667</v>
      </c>
      <c r="AJ1427" s="63">
        <v>45657</v>
      </c>
      <c r="AK1427" t="s">
        <v>112</v>
      </c>
      <c r="AL1427" t="s">
        <v>111</v>
      </c>
      <c r="AM1427" t="s">
        <v>111</v>
      </c>
      <c r="AN1427">
        <v>38472</v>
      </c>
      <c r="AO1427" t="s">
        <v>122</v>
      </c>
      <c r="AP1427" t="s">
        <v>122</v>
      </c>
    </row>
    <row r="1428" spans="1:42" x14ac:dyDescent="0.25">
      <c r="A1428" s="28" t="str">
        <f>"14425"</f>
        <v>14425</v>
      </c>
      <c r="B1428">
        <v>14425</v>
      </c>
      <c r="C1428" t="s">
        <v>2488</v>
      </c>
      <c r="D1428" t="s">
        <v>121</v>
      </c>
      <c r="E1428" t="s">
        <v>584</v>
      </c>
      <c r="F1428" t="s">
        <v>120</v>
      </c>
      <c r="G1428" t="s">
        <v>262</v>
      </c>
      <c r="H1428" t="s">
        <v>399</v>
      </c>
      <c r="I1428" t="s">
        <v>5897</v>
      </c>
      <c r="J1428" t="s">
        <v>7</v>
      </c>
      <c r="K1428" s="63">
        <v>22126</v>
      </c>
      <c r="L1428" s="28">
        <f>DATEDIF(K1428,Zwift25!G$1,"Y")</f>
        <v>64</v>
      </c>
      <c r="M1428" s="67">
        <f>IF(J1428="m",VLOOKUP(L1428,'All Solo Adjustments'!A:D,4,FALSE),VLOOKUP(L1428,'All Solo Adjustments'!A:J,10,FALSE))</f>
        <v>4.31712962962963E-3</v>
      </c>
      <c r="N1428" s="63"/>
      <c r="O1428" s="63"/>
      <c r="P1428" s="63"/>
      <c r="Q1428" s="63"/>
      <c r="R1428" t="s">
        <v>125</v>
      </c>
      <c r="S1428" t="s">
        <v>170</v>
      </c>
      <c r="T1428" t="s">
        <v>292</v>
      </c>
      <c r="U1428" t="s">
        <v>5896</v>
      </c>
      <c r="W1428" t="s">
        <v>2282</v>
      </c>
      <c r="X1428" t="s">
        <v>828</v>
      </c>
      <c r="Y1428" t="s">
        <v>5895</v>
      </c>
      <c r="Z1428" t="str">
        <f>"01525211511"</f>
        <v>01525211511</v>
      </c>
      <c r="AA1428" t="str">
        <f>"01525211511"</f>
        <v>01525211511</v>
      </c>
      <c r="AB1428" t="s">
        <v>2707</v>
      </c>
      <c r="AC1428" t="s">
        <v>1555</v>
      </c>
      <c r="AD1428" t="s">
        <v>114</v>
      </c>
      <c r="AE1428" s="63">
        <v>45370</v>
      </c>
      <c r="AF1428" t="s">
        <v>156</v>
      </c>
      <c r="AG1428" t="s">
        <v>112</v>
      </c>
      <c r="AH1428" t="s">
        <v>112</v>
      </c>
      <c r="AI1428" s="63">
        <v>43841</v>
      </c>
      <c r="AJ1428" s="63">
        <v>45657</v>
      </c>
      <c r="AK1428" t="s">
        <v>112</v>
      </c>
      <c r="AL1428" t="s">
        <v>111</v>
      </c>
      <c r="AM1428" t="s">
        <v>111</v>
      </c>
      <c r="AN1428">
        <v>2501</v>
      </c>
      <c r="AO1428" t="s">
        <v>110</v>
      </c>
      <c r="AP1428" t="s">
        <v>109</v>
      </c>
    </row>
    <row r="1429" spans="1:42" x14ac:dyDescent="0.25">
      <c r="A1429" s="28" t="str">
        <f>"15271"</f>
        <v>15271</v>
      </c>
      <c r="B1429">
        <v>15271</v>
      </c>
      <c r="C1429" t="s">
        <v>2488</v>
      </c>
      <c r="D1429" t="s">
        <v>121</v>
      </c>
      <c r="E1429" t="s">
        <v>584</v>
      </c>
      <c r="F1429" t="s">
        <v>120</v>
      </c>
      <c r="G1429" t="s">
        <v>221</v>
      </c>
      <c r="H1429" t="s">
        <v>5894</v>
      </c>
      <c r="I1429" t="s">
        <v>1554</v>
      </c>
      <c r="J1429" t="s">
        <v>7</v>
      </c>
      <c r="K1429" s="63">
        <v>21747</v>
      </c>
      <c r="L1429" s="28">
        <f>DATEDIF(K1429,Zwift25!G$1,"Y")</f>
        <v>65</v>
      </c>
      <c r="M1429" s="67">
        <f>IF(J1429="m",VLOOKUP(L1429,'All Solo Adjustments'!A:D,4,FALSE),VLOOKUP(L1429,'All Solo Adjustments'!A:J,10,FALSE))</f>
        <v>4.6180555555555558E-3</v>
      </c>
      <c r="N1429" s="63"/>
      <c r="O1429" s="63"/>
      <c r="P1429" s="63"/>
      <c r="Q1429" s="63"/>
      <c r="R1429" t="s">
        <v>283</v>
      </c>
      <c r="S1429" t="s">
        <v>530</v>
      </c>
      <c r="T1429" t="s">
        <v>292</v>
      </c>
      <c r="U1429" t="s">
        <v>5893</v>
      </c>
      <c r="V1429" t="s">
        <v>5892</v>
      </c>
      <c r="W1429" t="s">
        <v>5891</v>
      </c>
      <c r="Y1429" t="s">
        <v>5890</v>
      </c>
      <c r="Z1429" t="str">
        <f>"07850818474"</f>
        <v>07850818474</v>
      </c>
      <c r="AA1429" t="str">
        <f>"01789470944"</f>
        <v>01789470944</v>
      </c>
      <c r="AB1429" t="s">
        <v>5889</v>
      </c>
      <c r="AC1429" t="s">
        <v>5888</v>
      </c>
      <c r="AD1429" t="s">
        <v>114</v>
      </c>
      <c r="AE1429" s="63">
        <v>45320</v>
      </c>
      <c r="AF1429" t="s">
        <v>156</v>
      </c>
      <c r="AG1429" t="s">
        <v>112</v>
      </c>
      <c r="AH1429" t="s">
        <v>112</v>
      </c>
      <c r="AI1429" s="63">
        <v>44488</v>
      </c>
      <c r="AJ1429" s="63">
        <v>45657</v>
      </c>
      <c r="AK1429" t="s">
        <v>112</v>
      </c>
      <c r="AL1429" t="s">
        <v>111</v>
      </c>
      <c r="AM1429" t="s">
        <v>111</v>
      </c>
      <c r="AN1429">
        <v>590</v>
      </c>
      <c r="AO1429" t="s">
        <v>110</v>
      </c>
      <c r="AP1429" t="s">
        <v>109</v>
      </c>
    </row>
    <row r="1430" spans="1:42" x14ac:dyDescent="0.25">
      <c r="A1430" s="28" t="str">
        <f>"1778"</f>
        <v>1778</v>
      </c>
      <c r="B1430">
        <v>1778</v>
      </c>
      <c r="C1430" t="s">
        <v>2488</v>
      </c>
      <c r="D1430" t="s">
        <v>121</v>
      </c>
      <c r="F1430" t="s">
        <v>120</v>
      </c>
      <c r="G1430" t="s">
        <v>2230</v>
      </c>
      <c r="I1430" t="s">
        <v>2371</v>
      </c>
      <c r="J1430" t="s">
        <v>7</v>
      </c>
      <c r="K1430" s="63">
        <v>12117</v>
      </c>
      <c r="L1430" s="28">
        <f>DATEDIF(K1430,Zwift25!G$1,"Y")</f>
        <v>91</v>
      </c>
      <c r="M1430" s="67">
        <f>IF(J1430="m",VLOOKUP(L1430,'All Solo Adjustments'!A:D,4,FALSE),VLOOKUP(L1430,'All Solo Adjustments'!A:J,10,FALSE))</f>
        <v>1.9363425925925926E-2</v>
      </c>
      <c r="N1430" s="63"/>
      <c r="O1430" s="63"/>
      <c r="P1430" s="63"/>
      <c r="Q1430" s="63"/>
      <c r="R1430" t="s">
        <v>159</v>
      </c>
      <c r="S1430" t="s">
        <v>570</v>
      </c>
      <c r="T1430" t="s">
        <v>292</v>
      </c>
      <c r="U1430" t="s">
        <v>5887</v>
      </c>
      <c r="V1430" t="s">
        <v>5886</v>
      </c>
      <c r="W1430" t="s">
        <v>5885</v>
      </c>
      <c r="X1430" t="s">
        <v>159</v>
      </c>
      <c r="Y1430" t="s">
        <v>5884</v>
      </c>
      <c r="Z1430" t="str">
        <f>"01795 872687"</f>
        <v>01795 872687</v>
      </c>
      <c r="AA1430" t="str">
        <f>""</f>
        <v/>
      </c>
      <c r="AB1430" t="s">
        <v>186</v>
      </c>
      <c r="AD1430" t="s">
        <v>145</v>
      </c>
      <c r="AF1430" t="s">
        <v>113</v>
      </c>
      <c r="AG1430" t="s">
        <v>112</v>
      </c>
      <c r="AH1430" t="s">
        <v>112</v>
      </c>
      <c r="AI1430" s="63">
        <v>43499</v>
      </c>
      <c r="AK1430" t="s">
        <v>111</v>
      </c>
      <c r="AL1430" t="s">
        <v>111</v>
      </c>
      <c r="AM1430" t="s">
        <v>111</v>
      </c>
      <c r="AN1430" t="s">
        <v>105</v>
      </c>
      <c r="AO1430" t="s">
        <v>110</v>
      </c>
      <c r="AP1430" t="s">
        <v>109</v>
      </c>
    </row>
    <row r="1431" spans="1:42" x14ac:dyDescent="0.25">
      <c r="A1431" s="28" t="str">
        <f>"3889"</f>
        <v>3889</v>
      </c>
      <c r="B1431">
        <v>3889</v>
      </c>
      <c r="C1431" t="s">
        <v>2488</v>
      </c>
      <c r="D1431" t="s">
        <v>121</v>
      </c>
      <c r="E1431" t="s">
        <v>584</v>
      </c>
      <c r="F1431" t="s">
        <v>403</v>
      </c>
      <c r="G1431" t="s">
        <v>492</v>
      </c>
      <c r="I1431" t="s">
        <v>5883</v>
      </c>
      <c r="J1431" t="s">
        <v>7</v>
      </c>
      <c r="K1431" s="63">
        <v>18278</v>
      </c>
      <c r="L1431" s="28">
        <f>DATEDIF(K1431,Zwift25!G$1,"Y")</f>
        <v>74</v>
      </c>
      <c r="M1431" s="67">
        <f>IF(J1431="m",VLOOKUP(L1431,'All Solo Adjustments'!A:D,4,FALSE),VLOOKUP(L1431,'All Solo Adjustments'!A:J,10,FALSE))</f>
        <v>7.9861111111111122E-3</v>
      </c>
      <c r="N1431" s="63"/>
      <c r="O1431" s="63"/>
      <c r="P1431" s="63"/>
      <c r="Q1431" s="63"/>
      <c r="R1431" t="s">
        <v>198</v>
      </c>
      <c r="S1431" t="s">
        <v>461</v>
      </c>
      <c r="T1431" t="s">
        <v>292</v>
      </c>
      <c r="U1431" t="s">
        <v>5882</v>
      </c>
      <c r="V1431" t="s">
        <v>4589</v>
      </c>
      <c r="W1431" t="s">
        <v>196</v>
      </c>
      <c r="Y1431" t="s">
        <v>5881</v>
      </c>
      <c r="Z1431" t="str">
        <f>"01925 753089"</f>
        <v>01925 753089</v>
      </c>
      <c r="AA1431" t="str">
        <f>"07814327863"</f>
        <v>07814327863</v>
      </c>
      <c r="AB1431" t="s">
        <v>936</v>
      </c>
      <c r="AC1431" t="s">
        <v>5880</v>
      </c>
      <c r="AD1431" t="s">
        <v>114</v>
      </c>
      <c r="AE1431" s="63">
        <v>45268</v>
      </c>
      <c r="AF1431" t="s">
        <v>113</v>
      </c>
      <c r="AG1431" t="s">
        <v>112</v>
      </c>
      <c r="AH1431" t="s">
        <v>112</v>
      </c>
      <c r="AI1431" s="63">
        <v>40268</v>
      </c>
      <c r="AJ1431" s="63">
        <v>45657</v>
      </c>
      <c r="AK1431" t="s">
        <v>111</v>
      </c>
      <c r="AL1431" t="s">
        <v>111</v>
      </c>
      <c r="AM1431" t="s">
        <v>111</v>
      </c>
      <c r="AN1431">
        <v>9537</v>
      </c>
      <c r="AO1431" t="s">
        <v>110</v>
      </c>
      <c r="AP1431" t="s">
        <v>109</v>
      </c>
    </row>
    <row r="1432" spans="1:42" x14ac:dyDescent="0.25">
      <c r="A1432" s="28" t="str">
        <f>"15903"</f>
        <v>15903</v>
      </c>
      <c r="B1432">
        <v>15903</v>
      </c>
      <c r="C1432" t="s">
        <v>2488</v>
      </c>
      <c r="D1432" t="s">
        <v>121</v>
      </c>
      <c r="E1432" t="s">
        <v>584</v>
      </c>
      <c r="F1432" t="s">
        <v>149</v>
      </c>
      <c r="G1432" t="s">
        <v>5879</v>
      </c>
      <c r="H1432" t="s">
        <v>586</v>
      </c>
      <c r="I1432" t="s">
        <v>5878</v>
      </c>
      <c r="J1432" t="s">
        <v>126</v>
      </c>
      <c r="K1432" s="63">
        <v>28152</v>
      </c>
      <c r="L1432" s="28">
        <f>DATEDIF(K1432,Zwift25!G$1,"Y")</f>
        <v>47</v>
      </c>
      <c r="M1432" s="67">
        <f>IF(J1432="m",VLOOKUP(L1432,'All Solo Adjustments'!A:D,4,FALSE),VLOOKUP(L1432,'All Solo Adjustments'!A:J,10,FALSE))</f>
        <v>4.7337962962962958E-3</v>
      </c>
      <c r="N1432" s="63"/>
      <c r="O1432" s="63"/>
      <c r="P1432" s="63"/>
      <c r="Q1432" s="63"/>
      <c r="R1432" t="s">
        <v>383</v>
      </c>
      <c r="S1432" t="s">
        <v>382</v>
      </c>
      <c r="T1432" t="s">
        <v>292</v>
      </c>
      <c r="U1432" t="s">
        <v>5877</v>
      </c>
      <c r="V1432" t="s">
        <v>5876</v>
      </c>
      <c r="Y1432" t="s">
        <v>5875</v>
      </c>
      <c r="Z1432" t="str">
        <f>"07733 882878 "</f>
        <v xml:space="preserve">07733 882878 </v>
      </c>
      <c r="AA1432" t="str">
        <f>""</f>
        <v/>
      </c>
      <c r="AB1432" t="s">
        <v>1921</v>
      </c>
      <c r="AC1432" t="s">
        <v>5874</v>
      </c>
      <c r="AD1432" t="s">
        <v>114</v>
      </c>
      <c r="AE1432" s="63">
        <v>45293</v>
      </c>
      <c r="AF1432" t="s">
        <v>156</v>
      </c>
      <c r="AG1432" t="s">
        <v>112</v>
      </c>
      <c r="AH1432" t="s">
        <v>112</v>
      </c>
      <c r="AI1432" s="63">
        <v>45151</v>
      </c>
      <c r="AJ1432" s="63">
        <v>45657</v>
      </c>
      <c r="AK1432" t="s">
        <v>112</v>
      </c>
      <c r="AL1432" t="s">
        <v>111</v>
      </c>
      <c r="AM1432" t="s">
        <v>111</v>
      </c>
      <c r="AN1432">
        <v>41011</v>
      </c>
      <c r="AO1432" t="s">
        <v>122</v>
      </c>
      <c r="AP1432" t="s">
        <v>122</v>
      </c>
    </row>
    <row r="1433" spans="1:42" x14ac:dyDescent="0.25">
      <c r="A1433" s="28" t="str">
        <f>"1785"</f>
        <v>1785</v>
      </c>
      <c r="B1433">
        <v>1785</v>
      </c>
      <c r="C1433" t="s">
        <v>2488</v>
      </c>
      <c r="D1433" t="s">
        <v>121</v>
      </c>
      <c r="F1433" t="s">
        <v>120</v>
      </c>
      <c r="G1433" t="s">
        <v>284</v>
      </c>
      <c r="I1433" t="s">
        <v>5873</v>
      </c>
      <c r="J1433" t="s">
        <v>7</v>
      </c>
      <c r="K1433" s="63">
        <v>13369</v>
      </c>
      <c r="L1433" s="28">
        <f>DATEDIF(K1433,Zwift25!G$1,"Y")</f>
        <v>88</v>
      </c>
      <c r="M1433" s="67">
        <f>IF(J1433="m",VLOOKUP(L1433,'All Solo Adjustments'!A:D,4,FALSE),VLOOKUP(L1433,'All Solo Adjustments'!A:J,10,FALSE))</f>
        <v>1.6597222222222222E-2</v>
      </c>
      <c r="N1433" s="63"/>
      <c r="O1433" s="63"/>
      <c r="P1433" s="63"/>
      <c r="Q1433" s="63"/>
      <c r="R1433" t="s">
        <v>283</v>
      </c>
      <c r="S1433" t="s">
        <v>2311</v>
      </c>
      <c r="T1433" t="s">
        <v>292</v>
      </c>
      <c r="U1433" t="s">
        <v>5872</v>
      </c>
      <c r="V1433" t="s">
        <v>5871</v>
      </c>
      <c r="W1433" t="s">
        <v>1494</v>
      </c>
      <c r="Y1433" t="s">
        <v>5870</v>
      </c>
      <c r="Z1433" t="str">
        <f>"01789 205912"</f>
        <v>01789 205912</v>
      </c>
      <c r="AA1433" t="str">
        <f>""</f>
        <v/>
      </c>
      <c r="AB1433" t="s">
        <v>1828</v>
      </c>
      <c r="AD1433" t="s">
        <v>145</v>
      </c>
      <c r="AF1433" t="s">
        <v>113</v>
      </c>
      <c r="AG1433" t="s">
        <v>112</v>
      </c>
      <c r="AH1433" t="s">
        <v>112</v>
      </c>
      <c r="AI1433" s="63">
        <v>43158</v>
      </c>
      <c r="AK1433" t="s">
        <v>111</v>
      </c>
      <c r="AL1433" t="s">
        <v>111</v>
      </c>
      <c r="AM1433" t="s">
        <v>111</v>
      </c>
      <c r="AN1433" t="s">
        <v>105</v>
      </c>
      <c r="AO1433" t="s">
        <v>110</v>
      </c>
      <c r="AP1433" t="s">
        <v>109</v>
      </c>
    </row>
    <row r="1434" spans="1:42" x14ac:dyDescent="0.25">
      <c r="A1434" s="28" t="str">
        <f>"13069"</f>
        <v>13069</v>
      </c>
      <c r="B1434">
        <v>13069</v>
      </c>
      <c r="C1434" t="s">
        <v>2488</v>
      </c>
      <c r="D1434" t="s">
        <v>121</v>
      </c>
      <c r="F1434" t="s">
        <v>120</v>
      </c>
      <c r="G1434" t="s">
        <v>5869</v>
      </c>
      <c r="I1434" t="s">
        <v>5868</v>
      </c>
      <c r="J1434" t="s">
        <v>7</v>
      </c>
      <c r="K1434" s="63">
        <v>26624</v>
      </c>
      <c r="L1434" s="28">
        <f>DATEDIF(K1434,Zwift25!G$1,"Y")</f>
        <v>51</v>
      </c>
      <c r="M1434" s="67">
        <f>IF(J1434="m",VLOOKUP(L1434,'All Solo Adjustments'!A:D,4,FALSE),VLOOKUP(L1434,'All Solo Adjustments'!A:J,10,FALSE))</f>
        <v>1.3078703703703703E-3</v>
      </c>
      <c r="N1434" s="63"/>
      <c r="O1434" s="63"/>
      <c r="P1434" s="63"/>
      <c r="Q1434" s="63"/>
      <c r="R1434" t="s">
        <v>125</v>
      </c>
      <c r="S1434" t="s">
        <v>170</v>
      </c>
      <c r="T1434" t="s">
        <v>292</v>
      </c>
      <c r="U1434" t="s">
        <v>5867</v>
      </c>
      <c r="Y1434" t="s">
        <v>5866</v>
      </c>
      <c r="Z1434" t="str">
        <f>"7852565667"</f>
        <v>7852565667</v>
      </c>
      <c r="AA1434" t="str">
        <f>""</f>
        <v/>
      </c>
      <c r="AB1434" t="s">
        <v>987</v>
      </c>
      <c r="AC1434" t="s">
        <v>5865</v>
      </c>
      <c r="AD1434" t="s">
        <v>114</v>
      </c>
      <c r="AE1434" s="63">
        <v>45262</v>
      </c>
      <c r="AF1434" t="s">
        <v>156</v>
      </c>
      <c r="AG1434" t="s">
        <v>112</v>
      </c>
      <c r="AH1434" t="s">
        <v>112</v>
      </c>
      <c r="AI1434" s="63">
        <v>43239</v>
      </c>
      <c r="AJ1434" s="63">
        <v>45657</v>
      </c>
      <c r="AK1434" t="s">
        <v>112</v>
      </c>
      <c r="AL1434" t="s">
        <v>111</v>
      </c>
      <c r="AM1434" t="s">
        <v>111</v>
      </c>
      <c r="AN1434">
        <v>7659</v>
      </c>
      <c r="AO1434" t="s">
        <v>110</v>
      </c>
      <c r="AP1434" t="s">
        <v>109</v>
      </c>
    </row>
    <row r="1435" spans="1:42" x14ac:dyDescent="0.25">
      <c r="A1435" s="28" t="str">
        <f>"15987"</f>
        <v>15987</v>
      </c>
      <c r="B1435">
        <v>15987</v>
      </c>
      <c r="C1435" t="s">
        <v>2488</v>
      </c>
      <c r="D1435" t="s">
        <v>121</v>
      </c>
      <c r="F1435" t="s">
        <v>120</v>
      </c>
      <c r="G1435" t="s">
        <v>2033</v>
      </c>
      <c r="I1435" t="s">
        <v>5864</v>
      </c>
      <c r="J1435" t="s">
        <v>7</v>
      </c>
      <c r="K1435" s="63">
        <v>29934</v>
      </c>
      <c r="L1435" s="28">
        <f>DATEDIF(K1435,Zwift25!G$1,"Y")</f>
        <v>42</v>
      </c>
      <c r="M1435" s="67">
        <f>IF(J1435="m",VLOOKUP(L1435,'All Solo Adjustments'!A:D,4,FALSE),VLOOKUP(L1435,'All Solo Adjustments'!A:J,10,FALSE))</f>
        <v>1.5046296296296295E-4</v>
      </c>
      <c r="N1435" s="63"/>
      <c r="O1435" s="63"/>
      <c r="P1435" s="63"/>
      <c r="Q1435" s="63"/>
      <c r="R1435" t="s">
        <v>283</v>
      </c>
      <c r="S1435" t="s">
        <v>530</v>
      </c>
      <c r="T1435" t="s">
        <v>292</v>
      </c>
      <c r="U1435" t="s">
        <v>5863</v>
      </c>
      <c r="V1435" t="s">
        <v>5862</v>
      </c>
      <c r="Y1435" t="s">
        <v>5861</v>
      </c>
      <c r="Z1435" t="str">
        <f>"07748904817"</f>
        <v>07748904817</v>
      </c>
      <c r="AA1435" t="str">
        <f>""</f>
        <v/>
      </c>
      <c r="AB1435" t="s">
        <v>3179</v>
      </c>
      <c r="AC1435" t="s">
        <v>5860</v>
      </c>
      <c r="AD1435" t="s">
        <v>114</v>
      </c>
      <c r="AE1435" s="63">
        <v>45300</v>
      </c>
      <c r="AF1435" t="s">
        <v>156</v>
      </c>
      <c r="AG1435" t="s">
        <v>112</v>
      </c>
      <c r="AH1435" t="s">
        <v>112</v>
      </c>
      <c r="AI1435" s="63">
        <v>45300</v>
      </c>
      <c r="AJ1435" s="63">
        <v>45657</v>
      </c>
      <c r="AK1435" t="s">
        <v>112</v>
      </c>
      <c r="AL1435" t="s">
        <v>111</v>
      </c>
      <c r="AM1435" t="s">
        <v>111</v>
      </c>
      <c r="AN1435">
        <v>45940</v>
      </c>
      <c r="AO1435" t="s">
        <v>110</v>
      </c>
      <c r="AP1435" t="s">
        <v>109</v>
      </c>
    </row>
    <row r="1436" spans="1:42" x14ac:dyDescent="0.25">
      <c r="A1436" s="28" t="str">
        <f>"5264"</f>
        <v>5264</v>
      </c>
      <c r="B1436">
        <v>5264</v>
      </c>
      <c r="C1436" t="s">
        <v>2488</v>
      </c>
      <c r="D1436" t="s">
        <v>121</v>
      </c>
      <c r="E1436" t="s">
        <v>584</v>
      </c>
      <c r="F1436" t="s">
        <v>120</v>
      </c>
      <c r="G1436" t="s">
        <v>189</v>
      </c>
      <c r="H1436" t="s">
        <v>709</v>
      </c>
      <c r="I1436" t="s">
        <v>5859</v>
      </c>
      <c r="J1436" t="s">
        <v>7</v>
      </c>
      <c r="K1436" s="63">
        <v>27310</v>
      </c>
      <c r="L1436" s="28">
        <f>DATEDIF(K1436,Zwift25!G$1,"Y")</f>
        <v>50</v>
      </c>
      <c r="M1436" s="67">
        <f>IF(J1436="m",VLOOKUP(L1436,'All Solo Adjustments'!A:D,4,FALSE),VLOOKUP(L1436,'All Solo Adjustments'!A:J,10,FALSE))</f>
        <v>1.1342592592592591E-3</v>
      </c>
      <c r="N1436" s="63"/>
      <c r="O1436" s="63"/>
      <c r="P1436" s="63"/>
      <c r="Q1436" s="63"/>
      <c r="R1436" t="s">
        <v>184</v>
      </c>
      <c r="S1436" t="s">
        <v>183</v>
      </c>
      <c r="T1436" t="s">
        <v>292</v>
      </c>
      <c r="U1436" t="s">
        <v>5858</v>
      </c>
      <c r="V1436" t="s">
        <v>3392</v>
      </c>
      <c r="Y1436" t="s">
        <v>5857</v>
      </c>
      <c r="Z1436" t="str">
        <f>"07970474601"</f>
        <v>07970474601</v>
      </c>
      <c r="AA1436" t="str">
        <f>""</f>
        <v/>
      </c>
      <c r="AB1436" t="s">
        <v>5856</v>
      </c>
      <c r="AC1436" t="s">
        <v>5855</v>
      </c>
      <c r="AD1436" t="s">
        <v>114</v>
      </c>
      <c r="AE1436" s="63">
        <v>45223</v>
      </c>
      <c r="AF1436" t="s">
        <v>156</v>
      </c>
      <c r="AG1436" t="s">
        <v>112</v>
      </c>
      <c r="AH1436" t="s">
        <v>112</v>
      </c>
      <c r="AI1436" s="63">
        <v>42038</v>
      </c>
      <c r="AJ1436" s="63">
        <v>45657</v>
      </c>
      <c r="AK1436" t="s">
        <v>111</v>
      </c>
      <c r="AL1436" t="s">
        <v>111</v>
      </c>
      <c r="AM1436" t="s">
        <v>111</v>
      </c>
      <c r="AN1436">
        <v>4159</v>
      </c>
      <c r="AO1436" t="s">
        <v>110</v>
      </c>
      <c r="AP1436" t="s">
        <v>109</v>
      </c>
    </row>
    <row r="1437" spans="1:42" x14ac:dyDescent="0.25">
      <c r="A1437" s="28" t="str">
        <f>"3918"</f>
        <v>3918</v>
      </c>
      <c r="B1437">
        <v>3918</v>
      </c>
      <c r="C1437" t="s">
        <v>2488</v>
      </c>
      <c r="D1437" t="s">
        <v>121</v>
      </c>
      <c r="F1437" t="s">
        <v>120</v>
      </c>
      <c r="G1437" t="s">
        <v>632</v>
      </c>
      <c r="H1437" t="s">
        <v>1463</v>
      </c>
      <c r="I1437" t="s">
        <v>5854</v>
      </c>
      <c r="J1437" t="s">
        <v>7</v>
      </c>
      <c r="K1437" s="63">
        <v>16829</v>
      </c>
      <c r="L1437" s="28">
        <f>DATEDIF(K1437,Zwift25!G$1,"Y")</f>
        <v>78</v>
      </c>
      <c r="M1437" s="67">
        <f>IF(J1437="m",VLOOKUP(L1437,'All Solo Adjustments'!A:D,4,FALSE),VLOOKUP(L1437,'All Solo Adjustments'!A:J,10,FALSE))</f>
        <v>9.9189814814814817E-3</v>
      </c>
      <c r="N1437" s="63"/>
      <c r="O1437" s="63"/>
      <c r="P1437" s="63"/>
      <c r="Q1437" s="63"/>
      <c r="R1437" t="s">
        <v>143</v>
      </c>
      <c r="S1437" t="s">
        <v>142</v>
      </c>
      <c r="T1437" t="s">
        <v>292</v>
      </c>
      <c r="U1437" t="s">
        <v>5853</v>
      </c>
      <c r="V1437" t="s">
        <v>5852</v>
      </c>
      <c r="W1437" t="s">
        <v>5851</v>
      </c>
      <c r="X1437" t="s">
        <v>141</v>
      </c>
      <c r="Y1437" t="s">
        <v>5850</v>
      </c>
      <c r="Z1437" t="str">
        <f>"01306 881565"</f>
        <v>01306 881565</v>
      </c>
      <c r="AA1437" t="str">
        <f>"07973 307765"</f>
        <v>07973 307765</v>
      </c>
      <c r="AB1437" t="s">
        <v>5849</v>
      </c>
      <c r="AC1437" t="s">
        <v>5848</v>
      </c>
      <c r="AD1437" t="s">
        <v>114</v>
      </c>
      <c r="AE1437" s="63">
        <v>45327</v>
      </c>
      <c r="AF1437" t="s">
        <v>156</v>
      </c>
      <c r="AG1437" t="s">
        <v>112</v>
      </c>
      <c r="AH1437" t="s">
        <v>112</v>
      </c>
      <c r="AI1437" s="63">
        <v>40295</v>
      </c>
      <c r="AJ1437" s="63">
        <v>45657</v>
      </c>
      <c r="AK1437" t="s">
        <v>111</v>
      </c>
      <c r="AL1437" t="s">
        <v>111</v>
      </c>
      <c r="AM1437" t="s">
        <v>111</v>
      </c>
      <c r="AN1437">
        <v>6528</v>
      </c>
      <c r="AO1437" t="s">
        <v>110</v>
      </c>
      <c r="AP1437" t="s">
        <v>109</v>
      </c>
    </row>
    <row r="1438" spans="1:42" x14ac:dyDescent="0.25">
      <c r="A1438" s="28" t="str">
        <f>"1788"</f>
        <v>1788</v>
      </c>
      <c r="B1438">
        <v>1788</v>
      </c>
      <c r="C1438" t="s">
        <v>2488</v>
      </c>
      <c r="D1438" t="s">
        <v>121</v>
      </c>
      <c r="F1438" t="s">
        <v>120</v>
      </c>
      <c r="G1438" t="s">
        <v>492</v>
      </c>
      <c r="I1438" t="s">
        <v>510</v>
      </c>
      <c r="J1438" t="s">
        <v>7</v>
      </c>
      <c r="K1438" s="63">
        <v>13571</v>
      </c>
      <c r="L1438" s="28">
        <f>DATEDIF(K1438,Zwift25!G$1,"Y")</f>
        <v>87</v>
      </c>
      <c r="M1438" s="67">
        <f>IF(J1438="m",VLOOKUP(L1438,'All Solo Adjustments'!A:D,4,FALSE),VLOOKUP(L1438,'All Solo Adjustments'!A:J,10,FALSE))</f>
        <v>1.576388888888889E-2</v>
      </c>
      <c r="N1438" s="63"/>
      <c r="O1438" s="63"/>
      <c r="P1438" s="63"/>
      <c r="Q1438" s="63"/>
      <c r="R1438" t="s">
        <v>239</v>
      </c>
      <c r="S1438" t="s">
        <v>437</v>
      </c>
      <c r="T1438" t="s">
        <v>292</v>
      </c>
      <c r="U1438" t="s">
        <v>5847</v>
      </c>
      <c r="V1438" t="s">
        <v>5846</v>
      </c>
      <c r="W1438" t="s">
        <v>975</v>
      </c>
      <c r="Y1438" t="s">
        <v>5845</v>
      </c>
      <c r="Z1438" t="str">
        <f>"01724 603004"</f>
        <v>01724 603004</v>
      </c>
      <c r="AA1438" t="str">
        <f>""</f>
        <v/>
      </c>
      <c r="AB1438" t="s">
        <v>1759</v>
      </c>
      <c r="AC1438" t="s">
        <v>5844</v>
      </c>
      <c r="AD1438" t="s">
        <v>151</v>
      </c>
      <c r="AF1438" t="s">
        <v>113</v>
      </c>
      <c r="AG1438" t="s">
        <v>112</v>
      </c>
      <c r="AH1438" t="s">
        <v>112</v>
      </c>
      <c r="AI1438" s="63">
        <v>30069</v>
      </c>
      <c r="AK1438" t="s">
        <v>111</v>
      </c>
      <c r="AL1438" t="s">
        <v>111</v>
      </c>
      <c r="AM1438" t="s">
        <v>111</v>
      </c>
      <c r="AN1438" t="s">
        <v>105</v>
      </c>
      <c r="AO1438" t="s">
        <v>110</v>
      </c>
      <c r="AP1438" t="s">
        <v>109</v>
      </c>
    </row>
    <row r="1439" spans="1:42" x14ac:dyDescent="0.25">
      <c r="A1439" s="28" t="str">
        <f>"15881"</f>
        <v>15881</v>
      </c>
      <c r="B1439">
        <v>15881</v>
      </c>
      <c r="C1439" t="s">
        <v>2488</v>
      </c>
      <c r="D1439" t="s">
        <v>121</v>
      </c>
      <c r="E1439" t="s">
        <v>584</v>
      </c>
      <c r="F1439" t="s">
        <v>120</v>
      </c>
      <c r="G1439" t="s">
        <v>175</v>
      </c>
      <c r="I1439" t="s">
        <v>510</v>
      </c>
      <c r="J1439" t="s">
        <v>7</v>
      </c>
      <c r="K1439" s="63">
        <v>22774</v>
      </c>
      <c r="L1439" s="28">
        <f>DATEDIF(K1439,Zwift25!G$1,"Y")</f>
        <v>62</v>
      </c>
      <c r="M1439" s="67">
        <f>IF(J1439="m",VLOOKUP(L1439,'All Solo Adjustments'!A:D,4,FALSE),VLOOKUP(L1439,'All Solo Adjustments'!A:J,10,FALSE))</f>
        <v>3.7384259259259259E-3</v>
      </c>
      <c r="N1439" s="63"/>
      <c r="O1439" s="63"/>
      <c r="P1439" s="63"/>
      <c r="Q1439" s="63"/>
      <c r="R1439" t="s">
        <v>159</v>
      </c>
      <c r="S1439" t="s">
        <v>162</v>
      </c>
      <c r="T1439" t="s">
        <v>292</v>
      </c>
      <c r="U1439" t="s">
        <v>1441</v>
      </c>
      <c r="W1439" t="s">
        <v>5843</v>
      </c>
      <c r="X1439" t="s">
        <v>159</v>
      </c>
      <c r="Y1439" t="s">
        <v>5842</v>
      </c>
      <c r="Z1439" t="str">
        <f>"07770236810"</f>
        <v>07770236810</v>
      </c>
      <c r="AA1439" t="str">
        <f>""</f>
        <v/>
      </c>
      <c r="AB1439" t="s">
        <v>1818</v>
      </c>
      <c r="AC1439" t="s">
        <v>5841</v>
      </c>
      <c r="AD1439" t="s">
        <v>114</v>
      </c>
      <c r="AE1439" s="63">
        <v>45369</v>
      </c>
      <c r="AF1439" t="s">
        <v>156</v>
      </c>
      <c r="AG1439" t="s">
        <v>112</v>
      </c>
      <c r="AH1439" t="s">
        <v>112</v>
      </c>
      <c r="AI1439" s="63">
        <v>45114</v>
      </c>
      <c r="AJ1439" s="63">
        <v>45657</v>
      </c>
      <c r="AK1439" t="s">
        <v>112</v>
      </c>
      <c r="AL1439" t="s">
        <v>111</v>
      </c>
      <c r="AM1439" t="s">
        <v>111</v>
      </c>
      <c r="AN1439">
        <v>32914</v>
      </c>
      <c r="AO1439" t="s">
        <v>110</v>
      </c>
      <c r="AP1439" t="s">
        <v>109</v>
      </c>
    </row>
    <row r="1440" spans="1:42" x14ac:dyDescent="0.25">
      <c r="A1440" s="28" t="str">
        <f>"14659"</f>
        <v>14659</v>
      </c>
      <c r="B1440">
        <v>14659</v>
      </c>
      <c r="C1440" t="s">
        <v>2488</v>
      </c>
      <c r="D1440" t="s">
        <v>121</v>
      </c>
      <c r="F1440" t="s">
        <v>149</v>
      </c>
      <c r="G1440" t="s">
        <v>1519</v>
      </c>
      <c r="I1440" t="s">
        <v>5840</v>
      </c>
      <c r="J1440" t="s">
        <v>126</v>
      </c>
      <c r="K1440" s="63">
        <v>23936</v>
      </c>
      <c r="L1440" s="28">
        <f>DATEDIF(K1440,Zwift25!G$1,"Y")</f>
        <v>59</v>
      </c>
      <c r="M1440" s="67">
        <f>IF(J1440="m",VLOOKUP(L1440,'All Solo Adjustments'!A:D,4,FALSE),VLOOKUP(L1440,'All Solo Adjustments'!A:J,10,FALSE))</f>
        <v>6.5972222222222222E-3</v>
      </c>
      <c r="N1440" s="63"/>
      <c r="O1440" s="63"/>
      <c r="P1440" s="63"/>
      <c r="Q1440" s="63"/>
      <c r="R1440" t="s">
        <v>184</v>
      </c>
      <c r="S1440" t="s">
        <v>183</v>
      </c>
      <c r="T1440" t="s">
        <v>292</v>
      </c>
      <c r="U1440" t="s">
        <v>5839</v>
      </c>
      <c r="W1440" t="s">
        <v>5838</v>
      </c>
      <c r="X1440" t="s">
        <v>167</v>
      </c>
      <c r="Y1440" t="s">
        <v>5837</v>
      </c>
      <c r="Z1440" t="str">
        <f>"07812562260"</f>
        <v>07812562260</v>
      </c>
      <c r="AA1440" t="str">
        <f>""</f>
        <v/>
      </c>
      <c r="AB1440" t="s">
        <v>5836</v>
      </c>
      <c r="AC1440" t="s">
        <v>5835</v>
      </c>
      <c r="AD1440" t="s">
        <v>114</v>
      </c>
      <c r="AE1440" s="63">
        <v>45292</v>
      </c>
      <c r="AF1440" t="s">
        <v>156</v>
      </c>
      <c r="AG1440" t="s">
        <v>112</v>
      </c>
      <c r="AH1440" t="s">
        <v>112</v>
      </c>
      <c r="AI1440" s="63">
        <v>44059</v>
      </c>
      <c r="AJ1440" s="63">
        <v>45657</v>
      </c>
      <c r="AK1440" t="s">
        <v>112</v>
      </c>
      <c r="AL1440" t="s">
        <v>111</v>
      </c>
      <c r="AM1440" t="s">
        <v>111</v>
      </c>
      <c r="AN1440">
        <v>12553</v>
      </c>
      <c r="AO1440" t="s">
        <v>122</v>
      </c>
      <c r="AP1440" t="s">
        <v>122</v>
      </c>
    </row>
    <row r="1441" spans="1:42" x14ac:dyDescent="0.25">
      <c r="A1441" s="28" t="str">
        <f>"1790"</f>
        <v>1790</v>
      </c>
      <c r="B1441">
        <v>1790</v>
      </c>
      <c r="C1441" t="s">
        <v>2488</v>
      </c>
      <c r="D1441" t="s">
        <v>121</v>
      </c>
      <c r="F1441" t="s">
        <v>149</v>
      </c>
      <c r="G1441" t="s">
        <v>1157</v>
      </c>
      <c r="I1441" t="s">
        <v>5834</v>
      </c>
      <c r="J1441" t="s">
        <v>126</v>
      </c>
      <c r="K1441" s="63">
        <v>11533</v>
      </c>
      <c r="L1441" s="28">
        <f>DATEDIF(K1441,Zwift25!G$1,"Y")</f>
        <v>93</v>
      </c>
      <c r="M1441" s="67">
        <f>IF(J1441="m",VLOOKUP(L1441,'All Solo Adjustments'!A:D,4,FALSE),VLOOKUP(L1441,'All Solo Adjustments'!A:J,10,FALSE))</f>
        <v>2.8657407407407409E-2</v>
      </c>
      <c r="N1441" s="63"/>
      <c r="O1441" s="63"/>
      <c r="P1441" s="63"/>
      <c r="Q1441" s="63"/>
      <c r="R1441" t="s">
        <v>198</v>
      </c>
      <c r="S1441" t="s">
        <v>476</v>
      </c>
      <c r="T1441" t="s">
        <v>292</v>
      </c>
      <c r="U1441" t="s">
        <v>5833</v>
      </c>
      <c r="V1441" t="s">
        <v>1005</v>
      </c>
      <c r="W1441" t="s">
        <v>1004</v>
      </c>
      <c r="X1441" t="s">
        <v>196</v>
      </c>
      <c r="Y1441" t="s">
        <v>5832</v>
      </c>
      <c r="Z1441" t="str">
        <f>"01625 573620"</f>
        <v>01625 573620</v>
      </c>
      <c r="AA1441" t="str">
        <f>""</f>
        <v/>
      </c>
      <c r="AB1441" t="s">
        <v>618</v>
      </c>
      <c r="AD1441" t="s">
        <v>151</v>
      </c>
      <c r="AF1441" t="s">
        <v>113</v>
      </c>
      <c r="AG1441" t="s">
        <v>112</v>
      </c>
      <c r="AH1441" t="s">
        <v>112</v>
      </c>
      <c r="AI1441" s="63">
        <v>27408</v>
      </c>
      <c r="AK1441" t="s">
        <v>111</v>
      </c>
      <c r="AL1441" t="s">
        <v>111</v>
      </c>
      <c r="AM1441" t="s">
        <v>111</v>
      </c>
      <c r="AN1441" t="s">
        <v>105</v>
      </c>
      <c r="AO1441" t="s">
        <v>122</v>
      </c>
      <c r="AP1441" t="s">
        <v>122</v>
      </c>
    </row>
    <row r="1442" spans="1:42" x14ac:dyDescent="0.25">
      <c r="A1442" s="28" t="str">
        <f>"15601"</f>
        <v>15601</v>
      </c>
      <c r="B1442">
        <v>15601</v>
      </c>
      <c r="C1442" t="s">
        <v>2488</v>
      </c>
      <c r="D1442" t="s">
        <v>121</v>
      </c>
      <c r="F1442" t="s">
        <v>120</v>
      </c>
      <c r="G1442" t="s">
        <v>241</v>
      </c>
      <c r="I1442" t="s">
        <v>1542</v>
      </c>
      <c r="J1442" t="s">
        <v>7</v>
      </c>
      <c r="K1442" s="63">
        <v>27318</v>
      </c>
      <c r="L1442" s="28">
        <f>DATEDIF(K1442,Zwift25!G$1,"Y")</f>
        <v>49</v>
      </c>
      <c r="M1442" s="67">
        <f>IF(J1442="m",VLOOKUP(L1442,'All Solo Adjustments'!A:D,4,FALSE),VLOOKUP(L1442,'All Solo Adjustments'!A:J,10,FALSE))</f>
        <v>9.837962962962962E-4</v>
      </c>
      <c r="N1442" s="63"/>
      <c r="O1442" s="63"/>
      <c r="P1442" s="63"/>
      <c r="Q1442" s="63"/>
      <c r="R1442" t="s">
        <v>180</v>
      </c>
      <c r="S1442" t="s">
        <v>179</v>
      </c>
      <c r="T1442" t="s">
        <v>292</v>
      </c>
      <c r="U1442" t="s">
        <v>5831</v>
      </c>
      <c r="V1442" t="s">
        <v>5830</v>
      </c>
      <c r="W1442" t="s">
        <v>1280</v>
      </c>
      <c r="Y1442" t="s">
        <v>5829</v>
      </c>
      <c r="Z1442" t="str">
        <f>"07968418999"</f>
        <v>07968418999</v>
      </c>
      <c r="AA1442" t="str">
        <f>"07968418999"</f>
        <v>07968418999</v>
      </c>
      <c r="AB1442" t="s">
        <v>5828</v>
      </c>
      <c r="AC1442" t="s">
        <v>5827</v>
      </c>
      <c r="AD1442" t="s">
        <v>114</v>
      </c>
      <c r="AE1442" s="63">
        <v>45325</v>
      </c>
      <c r="AF1442" t="s">
        <v>156</v>
      </c>
      <c r="AG1442" t="s">
        <v>112</v>
      </c>
      <c r="AH1442" t="s">
        <v>112</v>
      </c>
      <c r="AI1442" s="63">
        <v>44835</v>
      </c>
      <c r="AJ1442" s="63">
        <v>45657</v>
      </c>
      <c r="AK1442" t="s">
        <v>112</v>
      </c>
      <c r="AL1442" t="s">
        <v>111</v>
      </c>
      <c r="AM1442" t="s">
        <v>111</v>
      </c>
      <c r="AN1442">
        <v>28692</v>
      </c>
      <c r="AO1442" t="s">
        <v>110</v>
      </c>
      <c r="AP1442" t="s">
        <v>109</v>
      </c>
    </row>
    <row r="1443" spans="1:42" x14ac:dyDescent="0.25">
      <c r="A1443" s="28" t="str">
        <f>"6243"</f>
        <v>6243</v>
      </c>
      <c r="B1443">
        <v>6243</v>
      </c>
      <c r="C1443" t="s">
        <v>2488</v>
      </c>
      <c r="D1443" t="s">
        <v>121</v>
      </c>
      <c r="E1443" t="s">
        <v>3000</v>
      </c>
      <c r="F1443" t="s">
        <v>120</v>
      </c>
      <c r="G1443" t="s">
        <v>366</v>
      </c>
      <c r="H1443" t="s">
        <v>449</v>
      </c>
      <c r="I1443" t="s">
        <v>5826</v>
      </c>
      <c r="J1443" t="s">
        <v>7</v>
      </c>
      <c r="K1443" s="63">
        <v>26046</v>
      </c>
      <c r="L1443" s="28">
        <f>DATEDIF(K1443,Zwift25!G$1,"Y")</f>
        <v>53</v>
      </c>
      <c r="M1443" s="67">
        <f>IF(J1443="m",VLOOKUP(L1443,'All Solo Adjustments'!A:D,4,FALSE),VLOOKUP(L1443,'All Solo Adjustments'!A:J,10,FALSE))</f>
        <v>1.6666666666666668E-3</v>
      </c>
      <c r="N1443" s="63"/>
      <c r="O1443" s="63"/>
      <c r="P1443" s="63"/>
      <c r="Q1443" s="63"/>
      <c r="R1443" t="s">
        <v>125</v>
      </c>
      <c r="S1443" t="s">
        <v>170</v>
      </c>
      <c r="T1443" t="s">
        <v>292</v>
      </c>
      <c r="U1443" t="s">
        <v>5825</v>
      </c>
      <c r="V1443" t="s">
        <v>5824</v>
      </c>
      <c r="W1443" t="s">
        <v>225</v>
      </c>
      <c r="X1443" t="s">
        <v>123</v>
      </c>
      <c r="Y1443" t="s">
        <v>5823</v>
      </c>
      <c r="Z1443" t="str">
        <f>"07841 409993"</f>
        <v>07841 409993</v>
      </c>
      <c r="AA1443" t="str">
        <f>""</f>
        <v/>
      </c>
      <c r="AB1443" t="s">
        <v>630</v>
      </c>
      <c r="AC1443" t="s">
        <v>5822</v>
      </c>
      <c r="AD1443" t="s">
        <v>145</v>
      </c>
      <c r="AE1443" s="63">
        <v>45301</v>
      </c>
      <c r="AF1443" t="s">
        <v>156</v>
      </c>
      <c r="AG1443" t="s">
        <v>112</v>
      </c>
      <c r="AH1443" t="s">
        <v>112</v>
      </c>
      <c r="AI1443" s="63">
        <v>42877</v>
      </c>
      <c r="AJ1443" s="63">
        <v>45657</v>
      </c>
      <c r="AK1443" t="s">
        <v>111</v>
      </c>
      <c r="AL1443" t="s">
        <v>111</v>
      </c>
      <c r="AM1443" t="s">
        <v>111</v>
      </c>
      <c r="AN1443">
        <v>1556</v>
      </c>
      <c r="AO1443" t="s">
        <v>110</v>
      </c>
      <c r="AP1443" t="s">
        <v>109</v>
      </c>
    </row>
    <row r="1444" spans="1:42" x14ac:dyDescent="0.25">
      <c r="A1444" s="28" t="str">
        <f>"1798"</f>
        <v>1798</v>
      </c>
      <c r="B1444">
        <v>1798</v>
      </c>
      <c r="C1444" t="s">
        <v>2488</v>
      </c>
      <c r="D1444" t="s">
        <v>121</v>
      </c>
      <c r="E1444" t="s">
        <v>2387</v>
      </c>
      <c r="F1444" t="s">
        <v>120</v>
      </c>
      <c r="G1444" t="s">
        <v>284</v>
      </c>
      <c r="I1444" t="s">
        <v>5821</v>
      </c>
      <c r="J1444" t="s">
        <v>7</v>
      </c>
      <c r="K1444" s="63">
        <v>17910</v>
      </c>
      <c r="L1444" s="28">
        <f>DATEDIF(K1444,Zwift25!G$1,"Y")</f>
        <v>75</v>
      </c>
      <c r="M1444" s="67">
        <f>IF(J1444="m",VLOOKUP(L1444,'All Solo Adjustments'!A:D,4,FALSE),VLOOKUP(L1444,'All Solo Adjustments'!A:J,10,FALSE))</f>
        <v>8.4374999999999988E-3</v>
      </c>
      <c r="N1444" s="63"/>
      <c r="O1444" s="63"/>
      <c r="P1444" s="63"/>
      <c r="Q1444" s="63"/>
      <c r="R1444" t="s">
        <v>296</v>
      </c>
      <c r="S1444" t="s">
        <v>5271</v>
      </c>
      <c r="T1444" t="s">
        <v>292</v>
      </c>
      <c r="U1444" t="s">
        <v>5820</v>
      </c>
      <c r="V1444" t="s">
        <v>5819</v>
      </c>
      <c r="W1444" t="s">
        <v>2131</v>
      </c>
      <c r="X1444" t="s">
        <v>177</v>
      </c>
      <c r="Y1444" t="s">
        <v>5818</v>
      </c>
      <c r="Z1444" t="str">
        <f>"0115 8375897"</f>
        <v>0115 8375897</v>
      </c>
      <c r="AA1444" t="str">
        <f>""</f>
        <v/>
      </c>
      <c r="AB1444" t="s">
        <v>294</v>
      </c>
      <c r="AC1444" t="s">
        <v>5817</v>
      </c>
      <c r="AD1444" t="s">
        <v>151</v>
      </c>
      <c r="AE1444" s="63">
        <v>43074</v>
      </c>
      <c r="AF1444" t="s">
        <v>113</v>
      </c>
      <c r="AG1444" t="s">
        <v>112</v>
      </c>
      <c r="AH1444" t="s">
        <v>112</v>
      </c>
      <c r="AI1444" s="63">
        <v>33343</v>
      </c>
      <c r="AK1444" t="s">
        <v>111</v>
      </c>
      <c r="AL1444" t="s">
        <v>111</v>
      </c>
      <c r="AM1444" t="s">
        <v>111</v>
      </c>
      <c r="AN1444" t="s">
        <v>105</v>
      </c>
      <c r="AO1444" t="s">
        <v>110</v>
      </c>
      <c r="AP1444" t="s">
        <v>109</v>
      </c>
    </row>
    <row r="1445" spans="1:42" x14ac:dyDescent="0.25">
      <c r="A1445" s="28" t="str">
        <f>"14893"</f>
        <v>14893</v>
      </c>
      <c r="B1445">
        <v>14893</v>
      </c>
      <c r="C1445" t="s">
        <v>2488</v>
      </c>
      <c r="D1445" t="s">
        <v>121</v>
      </c>
      <c r="E1445" t="s">
        <v>584</v>
      </c>
      <c r="F1445" t="s">
        <v>120</v>
      </c>
      <c r="G1445" t="s">
        <v>185</v>
      </c>
      <c r="H1445" t="s">
        <v>359</v>
      </c>
      <c r="I1445" t="s">
        <v>5816</v>
      </c>
      <c r="J1445" t="s">
        <v>7</v>
      </c>
      <c r="K1445" s="63">
        <v>29587</v>
      </c>
      <c r="L1445" s="28">
        <f>DATEDIF(K1445,Zwift25!G$1,"Y")</f>
        <v>43</v>
      </c>
      <c r="M1445" s="67">
        <f>IF(J1445="m",VLOOKUP(L1445,'All Solo Adjustments'!A:D,4,FALSE),VLOOKUP(L1445,'All Solo Adjustments'!A:J,10,FALSE))</f>
        <v>2.4305555555555555E-4</v>
      </c>
      <c r="N1445" s="63"/>
      <c r="O1445" s="63"/>
      <c r="P1445" s="63"/>
      <c r="Q1445" s="63"/>
      <c r="R1445" t="s">
        <v>125</v>
      </c>
      <c r="S1445" t="s">
        <v>170</v>
      </c>
      <c r="T1445" t="s">
        <v>292</v>
      </c>
      <c r="U1445" t="s">
        <v>5815</v>
      </c>
      <c r="V1445" t="s">
        <v>5814</v>
      </c>
      <c r="W1445" t="s">
        <v>420</v>
      </c>
      <c r="X1445" t="s">
        <v>419</v>
      </c>
      <c r="Y1445" t="s">
        <v>5813</v>
      </c>
      <c r="Z1445" t="str">
        <f>"07896461575"</f>
        <v>07896461575</v>
      </c>
      <c r="AA1445" t="str">
        <f>""</f>
        <v/>
      </c>
      <c r="AB1445" t="s">
        <v>1340</v>
      </c>
      <c r="AC1445" t="s">
        <v>5812</v>
      </c>
      <c r="AD1445" t="s">
        <v>114</v>
      </c>
      <c r="AE1445" s="63">
        <v>45394</v>
      </c>
      <c r="AF1445" t="s">
        <v>156</v>
      </c>
      <c r="AG1445" t="s">
        <v>112</v>
      </c>
      <c r="AH1445" t="s">
        <v>112</v>
      </c>
      <c r="AI1445" s="63">
        <v>44262</v>
      </c>
      <c r="AJ1445" s="63">
        <v>45657</v>
      </c>
      <c r="AK1445" t="s">
        <v>112</v>
      </c>
      <c r="AL1445" t="s">
        <v>111</v>
      </c>
      <c r="AM1445" t="s">
        <v>111</v>
      </c>
      <c r="AN1445">
        <v>1495</v>
      </c>
      <c r="AO1445" t="s">
        <v>110</v>
      </c>
      <c r="AP1445" t="s">
        <v>109</v>
      </c>
    </row>
    <row r="1446" spans="1:42" x14ac:dyDescent="0.25">
      <c r="A1446" s="28" t="str">
        <f>"4357"</f>
        <v>4357</v>
      </c>
      <c r="B1446">
        <v>4357</v>
      </c>
      <c r="C1446" t="s">
        <v>2488</v>
      </c>
      <c r="D1446" t="s">
        <v>130</v>
      </c>
      <c r="F1446" t="s">
        <v>149</v>
      </c>
      <c r="G1446" t="s">
        <v>5534</v>
      </c>
      <c r="I1446" t="s">
        <v>5811</v>
      </c>
      <c r="J1446" t="s">
        <v>126</v>
      </c>
      <c r="K1446" s="63">
        <v>24778</v>
      </c>
      <c r="L1446" s="28">
        <f>DATEDIF(K1446,Zwift25!G$1,"Y")</f>
        <v>56</v>
      </c>
      <c r="M1446" s="67">
        <f>IF(J1446="m",VLOOKUP(L1446,'All Solo Adjustments'!A:D,4,FALSE),VLOOKUP(L1446,'All Solo Adjustments'!A:J,10,FALSE))</f>
        <v>5.8564814814814807E-3</v>
      </c>
      <c r="N1446" s="63"/>
      <c r="O1446" s="63"/>
      <c r="P1446" s="63"/>
      <c r="Q1446" s="63"/>
      <c r="R1446" t="s">
        <v>383</v>
      </c>
      <c r="S1446" t="s">
        <v>2083</v>
      </c>
      <c r="T1446" t="s">
        <v>292</v>
      </c>
      <c r="U1446" t="s">
        <v>5809</v>
      </c>
      <c r="V1446" t="s">
        <v>5808</v>
      </c>
      <c r="W1446" t="s">
        <v>5807</v>
      </c>
      <c r="Y1446" t="s">
        <v>5806</v>
      </c>
      <c r="Z1446" t="str">
        <f>"01873 890962"</f>
        <v>01873 890962</v>
      </c>
      <c r="AA1446" t="str">
        <f>"07751781504"</f>
        <v>07751781504</v>
      </c>
      <c r="AB1446" t="s">
        <v>5810</v>
      </c>
      <c r="AC1446" t="s">
        <v>5804</v>
      </c>
      <c r="AD1446" t="s">
        <v>145</v>
      </c>
      <c r="AF1446" t="s">
        <v>156</v>
      </c>
      <c r="AG1446" t="s">
        <v>112</v>
      </c>
      <c r="AH1446" t="s">
        <v>112</v>
      </c>
      <c r="AI1446" s="63">
        <v>42138</v>
      </c>
      <c r="AJ1446" s="63">
        <v>45657</v>
      </c>
      <c r="AK1446" t="s">
        <v>111</v>
      </c>
      <c r="AL1446" t="s">
        <v>111</v>
      </c>
      <c r="AM1446" t="s">
        <v>111</v>
      </c>
      <c r="AN1446">
        <v>64</v>
      </c>
      <c r="AO1446" t="s">
        <v>122</v>
      </c>
      <c r="AP1446" t="s">
        <v>122</v>
      </c>
    </row>
    <row r="1447" spans="1:42" x14ac:dyDescent="0.25">
      <c r="A1447" s="28" t="str">
        <f>"13322"</f>
        <v>13322</v>
      </c>
      <c r="B1447">
        <v>13322</v>
      </c>
      <c r="C1447" t="s">
        <v>2488</v>
      </c>
      <c r="D1447" t="s">
        <v>132</v>
      </c>
      <c r="F1447" t="s">
        <v>120</v>
      </c>
      <c r="G1447" t="s">
        <v>513</v>
      </c>
      <c r="I1447" t="s">
        <v>3362</v>
      </c>
      <c r="J1447" t="s">
        <v>7</v>
      </c>
      <c r="K1447" s="63">
        <v>15217</v>
      </c>
      <c r="L1447" s="28">
        <f>DATEDIF(K1447,Zwift25!G$1,"Y")</f>
        <v>83</v>
      </c>
      <c r="M1447" s="67">
        <f>IF(J1447="m",VLOOKUP(L1447,'All Solo Adjustments'!A:D,4,FALSE),VLOOKUP(L1447,'All Solo Adjustments'!A:J,10,FALSE))</f>
        <v>1.2858796296296297E-2</v>
      </c>
      <c r="N1447" s="63"/>
      <c r="O1447" s="63"/>
      <c r="P1447" s="63"/>
      <c r="Q1447" s="63"/>
      <c r="R1447" t="s">
        <v>383</v>
      </c>
      <c r="S1447" t="s">
        <v>2340</v>
      </c>
      <c r="T1447" t="s">
        <v>292</v>
      </c>
      <c r="U1447" t="s">
        <v>5809</v>
      </c>
      <c r="V1447" t="s">
        <v>5808</v>
      </c>
      <c r="W1447" t="s">
        <v>5807</v>
      </c>
      <c r="Y1447" t="s">
        <v>5806</v>
      </c>
      <c r="Z1447" t="str">
        <f>"01873 890962"</f>
        <v>01873 890962</v>
      </c>
      <c r="AA1447" t="str">
        <f>"07751781504"</f>
        <v>07751781504</v>
      </c>
      <c r="AB1447" t="s">
        <v>5805</v>
      </c>
      <c r="AC1447" t="s">
        <v>5804</v>
      </c>
      <c r="AD1447" t="s">
        <v>145</v>
      </c>
      <c r="AF1447" t="s">
        <v>113</v>
      </c>
      <c r="AG1447" t="s">
        <v>112</v>
      </c>
      <c r="AH1447" t="s">
        <v>112</v>
      </c>
      <c r="AI1447" s="63">
        <v>42138</v>
      </c>
      <c r="AK1447" t="s">
        <v>111</v>
      </c>
      <c r="AL1447" t="s">
        <v>111</v>
      </c>
      <c r="AM1447" t="s">
        <v>111</v>
      </c>
      <c r="AN1447" t="s">
        <v>105</v>
      </c>
      <c r="AO1447" t="s">
        <v>110</v>
      </c>
      <c r="AP1447" t="s">
        <v>109</v>
      </c>
    </row>
    <row r="1448" spans="1:42" x14ac:dyDescent="0.25">
      <c r="A1448" s="28" t="str">
        <f>"5403"</f>
        <v>5403</v>
      </c>
      <c r="B1448">
        <v>5403</v>
      </c>
      <c r="C1448" t="s">
        <v>2488</v>
      </c>
      <c r="D1448" t="s">
        <v>121</v>
      </c>
      <c r="E1448" t="s">
        <v>5803</v>
      </c>
      <c r="F1448" t="s">
        <v>120</v>
      </c>
      <c r="G1448" t="s">
        <v>1395</v>
      </c>
      <c r="I1448" t="s">
        <v>1540</v>
      </c>
      <c r="J1448" t="s">
        <v>7</v>
      </c>
      <c r="K1448" s="63">
        <v>17988</v>
      </c>
      <c r="L1448" s="28">
        <f>DATEDIF(K1448,Zwift25!G$1,"Y")</f>
        <v>75</v>
      </c>
      <c r="M1448" s="67">
        <f>IF(J1448="m",VLOOKUP(L1448,'All Solo Adjustments'!A:D,4,FALSE),VLOOKUP(L1448,'All Solo Adjustments'!A:J,10,FALSE))</f>
        <v>8.4374999999999988E-3</v>
      </c>
      <c r="N1448" s="63"/>
      <c r="O1448" s="63"/>
      <c r="P1448" s="63"/>
      <c r="Q1448" s="63"/>
      <c r="R1448" t="s">
        <v>143</v>
      </c>
      <c r="S1448" t="s">
        <v>142</v>
      </c>
      <c r="T1448" t="s">
        <v>292</v>
      </c>
      <c r="U1448" t="s">
        <v>5802</v>
      </c>
      <c r="V1448" t="s">
        <v>1854</v>
      </c>
      <c r="W1448" t="s">
        <v>486</v>
      </c>
      <c r="Y1448" t="s">
        <v>5801</v>
      </c>
      <c r="Z1448" t="str">
        <f>"01273 562808"</f>
        <v>01273 562808</v>
      </c>
      <c r="AA1448" t="str">
        <f>"07799 425812"</f>
        <v>07799 425812</v>
      </c>
      <c r="AB1448" t="s">
        <v>305</v>
      </c>
      <c r="AC1448" t="s">
        <v>5800</v>
      </c>
      <c r="AD1448" t="s">
        <v>114</v>
      </c>
      <c r="AE1448" s="63">
        <v>45293</v>
      </c>
      <c r="AF1448" t="s">
        <v>113</v>
      </c>
      <c r="AG1448" t="s">
        <v>112</v>
      </c>
      <c r="AH1448" t="s">
        <v>112</v>
      </c>
      <c r="AI1448" s="63">
        <v>42103</v>
      </c>
      <c r="AJ1448" s="63">
        <v>45657</v>
      </c>
      <c r="AK1448" t="s">
        <v>111</v>
      </c>
      <c r="AL1448" t="s">
        <v>111</v>
      </c>
      <c r="AM1448" t="s">
        <v>111</v>
      </c>
      <c r="AN1448">
        <v>3652</v>
      </c>
      <c r="AO1448" t="s">
        <v>110</v>
      </c>
      <c r="AP1448" t="s">
        <v>109</v>
      </c>
    </row>
    <row r="1449" spans="1:42" x14ac:dyDescent="0.25">
      <c r="A1449" s="28" t="str">
        <f>"5554"</f>
        <v>5554</v>
      </c>
      <c r="B1449">
        <v>5554</v>
      </c>
      <c r="C1449" t="s">
        <v>2488</v>
      </c>
      <c r="D1449" t="s">
        <v>121</v>
      </c>
      <c r="E1449" t="s">
        <v>584</v>
      </c>
      <c r="F1449" t="s">
        <v>120</v>
      </c>
      <c r="G1449" t="s">
        <v>195</v>
      </c>
      <c r="H1449" t="s">
        <v>359</v>
      </c>
      <c r="I1449" t="s">
        <v>1540</v>
      </c>
      <c r="J1449" t="s">
        <v>7</v>
      </c>
      <c r="K1449" s="63">
        <v>23829</v>
      </c>
      <c r="L1449" s="28">
        <f>DATEDIF(K1449,Zwift25!G$1,"Y")</f>
        <v>59</v>
      </c>
      <c r="M1449" s="67">
        <f>IF(J1449="m",VLOOKUP(L1449,'All Solo Adjustments'!A:D,4,FALSE),VLOOKUP(L1449,'All Solo Adjustments'!A:J,10,FALSE))</f>
        <v>2.9629629629629632E-3</v>
      </c>
      <c r="N1449" s="63"/>
      <c r="O1449" s="63"/>
      <c r="P1449" s="63"/>
      <c r="Q1449" s="63"/>
      <c r="R1449" t="s">
        <v>184</v>
      </c>
      <c r="S1449" t="s">
        <v>183</v>
      </c>
      <c r="T1449" t="s">
        <v>292</v>
      </c>
      <c r="U1449" t="s">
        <v>5799</v>
      </c>
      <c r="V1449" t="s">
        <v>5798</v>
      </c>
      <c r="W1449" t="s">
        <v>4884</v>
      </c>
      <c r="X1449" t="s">
        <v>1228</v>
      </c>
      <c r="Y1449" t="s">
        <v>5797</v>
      </c>
      <c r="Z1449" t="str">
        <f>"07966 430985"</f>
        <v>07966 430985</v>
      </c>
      <c r="AA1449" t="str">
        <f>""</f>
        <v/>
      </c>
      <c r="AB1449" t="s">
        <v>5796</v>
      </c>
      <c r="AC1449" t="s">
        <v>5795</v>
      </c>
      <c r="AD1449" t="s">
        <v>114</v>
      </c>
      <c r="AE1449" s="63">
        <v>45362</v>
      </c>
      <c r="AF1449" t="s">
        <v>113</v>
      </c>
      <c r="AG1449" t="s">
        <v>112</v>
      </c>
      <c r="AH1449" t="s">
        <v>112</v>
      </c>
      <c r="AI1449" s="63">
        <v>42145</v>
      </c>
      <c r="AJ1449" s="63">
        <v>45657</v>
      </c>
      <c r="AK1449" t="s">
        <v>111</v>
      </c>
      <c r="AL1449" t="s">
        <v>111</v>
      </c>
      <c r="AM1449" t="s">
        <v>111</v>
      </c>
      <c r="AN1449">
        <v>3741</v>
      </c>
      <c r="AO1449" t="s">
        <v>110</v>
      </c>
      <c r="AP1449" t="s">
        <v>109</v>
      </c>
    </row>
    <row r="1450" spans="1:42" x14ac:dyDescent="0.25">
      <c r="A1450" s="28" t="str">
        <f>"5202"</f>
        <v>5202</v>
      </c>
      <c r="B1450">
        <v>5202</v>
      </c>
      <c r="C1450" t="s">
        <v>2488</v>
      </c>
      <c r="D1450" t="s">
        <v>121</v>
      </c>
      <c r="F1450" t="s">
        <v>120</v>
      </c>
      <c r="G1450" t="s">
        <v>343</v>
      </c>
      <c r="I1450" t="s">
        <v>1540</v>
      </c>
      <c r="J1450" t="s">
        <v>7</v>
      </c>
      <c r="K1450" s="63">
        <v>16827</v>
      </c>
      <c r="L1450" s="28">
        <f>DATEDIF(K1450,Zwift25!G$1,"Y")</f>
        <v>78</v>
      </c>
      <c r="M1450" s="67">
        <f>IF(J1450="m",VLOOKUP(L1450,'All Solo Adjustments'!A:D,4,FALSE),VLOOKUP(L1450,'All Solo Adjustments'!A:J,10,FALSE))</f>
        <v>9.9189814814814817E-3</v>
      </c>
      <c r="N1450" s="63"/>
      <c r="O1450" s="63"/>
      <c r="P1450" s="63"/>
      <c r="Q1450" s="63"/>
      <c r="R1450" t="s">
        <v>184</v>
      </c>
      <c r="S1450" t="s">
        <v>183</v>
      </c>
      <c r="T1450" t="s">
        <v>292</v>
      </c>
      <c r="U1450" t="s">
        <v>5794</v>
      </c>
      <c r="V1450" t="s">
        <v>1561</v>
      </c>
      <c r="W1450" t="s">
        <v>757</v>
      </c>
      <c r="X1450" t="s">
        <v>141</v>
      </c>
      <c r="Y1450" t="s">
        <v>5793</v>
      </c>
      <c r="Z1450" t="str">
        <f>"01252 722861"</f>
        <v>01252 722861</v>
      </c>
      <c r="AA1450" t="str">
        <f>""</f>
        <v/>
      </c>
      <c r="AB1450" t="s">
        <v>544</v>
      </c>
      <c r="AC1450" t="s">
        <v>5792</v>
      </c>
      <c r="AD1450" t="s">
        <v>114</v>
      </c>
      <c r="AE1450" s="63">
        <v>45264</v>
      </c>
      <c r="AF1450" t="s">
        <v>113</v>
      </c>
      <c r="AG1450" t="s">
        <v>112</v>
      </c>
      <c r="AH1450" t="s">
        <v>112</v>
      </c>
      <c r="AI1450" s="63">
        <v>42012</v>
      </c>
      <c r="AJ1450" s="63">
        <v>45657</v>
      </c>
      <c r="AK1450" t="s">
        <v>111</v>
      </c>
      <c r="AL1450" t="s">
        <v>111</v>
      </c>
      <c r="AM1450" t="s">
        <v>111</v>
      </c>
      <c r="AN1450">
        <v>2861</v>
      </c>
      <c r="AO1450" t="s">
        <v>110</v>
      </c>
      <c r="AP1450" t="s">
        <v>109</v>
      </c>
    </row>
    <row r="1451" spans="1:42" x14ac:dyDescent="0.25">
      <c r="A1451" s="28" t="str">
        <f>"1802"</f>
        <v>1802</v>
      </c>
      <c r="B1451">
        <v>1802</v>
      </c>
      <c r="C1451" t="s">
        <v>2488</v>
      </c>
      <c r="D1451" t="s">
        <v>121</v>
      </c>
      <c r="F1451" t="s">
        <v>120</v>
      </c>
      <c r="G1451" t="s">
        <v>231</v>
      </c>
      <c r="H1451" t="s">
        <v>189</v>
      </c>
      <c r="I1451" t="s">
        <v>1540</v>
      </c>
      <c r="J1451" t="s">
        <v>7</v>
      </c>
      <c r="K1451" s="63">
        <v>20348</v>
      </c>
      <c r="L1451" s="28">
        <f>DATEDIF(K1451,Zwift25!G$1,"Y")</f>
        <v>69</v>
      </c>
      <c r="M1451" s="67">
        <f>IF(J1451="m",VLOOKUP(L1451,'All Solo Adjustments'!A:D,4,FALSE),VLOOKUP(L1451,'All Solo Adjustments'!A:J,10,FALSE))</f>
        <v>5.9722222222222225E-3</v>
      </c>
      <c r="N1451" s="63"/>
      <c r="O1451" s="63"/>
      <c r="P1451" s="63"/>
      <c r="Q1451" s="63"/>
      <c r="R1451" t="s">
        <v>159</v>
      </c>
      <c r="S1451" t="s">
        <v>162</v>
      </c>
      <c r="T1451" t="s">
        <v>292</v>
      </c>
      <c r="U1451" t="s">
        <v>5791</v>
      </c>
      <c r="V1451" t="s">
        <v>5790</v>
      </c>
      <c r="W1451" t="s">
        <v>486</v>
      </c>
      <c r="Y1451" t="s">
        <v>5789</v>
      </c>
      <c r="Z1451" t="str">
        <f>"07597 557432"</f>
        <v>07597 557432</v>
      </c>
      <c r="AA1451" t="str">
        <f>"01580 200016"</f>
        <v>01580 200016</v>
      </c>
      <c r="AB1451" t="s">
        <v>1868</v>
      </c>
      <c r="AC1451" t="s">
        <v>5788</v>
      </c>
      <c r="AD1451" t="s">
        <v>114</v>
      </c>
      <c r="AE1451" s="63">
        <v>45318</v>
      </c>
      <c r="AF1451" t="s">
        <v>113</v>
      </c>
      <c r="AG1451" t="s">
        <v>112</v>
      </c>
      <c r="AH1451" t="s">
        <v>112</v>
      </c>
      <c r="AI1451" s="63">
        <v>43465</v>
      </c>
      <c r="AJ1451" s="63">
        <v>45657</v>
      </c>
      <c r="AK1451" t="s">
        <v>111</v>
      </c>
      <c r="AL1451" t="s">
        <v>111</v>
      </c>
      <c r="AM1451" t="s">
        <v>111</v>
      </c>
      <c r="AN1451">
        <v>4327</v>
      </c>
      <c r="AO1451" t="s">
        <v>110</v>
      </c>
      <c r="AP1451" t="s">
        <v>109</v>
      </c>
    </row>
    <row r="1452" spans="1:42" x14ac:dyDescent="0.25">
      <c r="A1452" s="28" t="str">
        <f>"14852"</f>
        <v>14852</v>
      </c>
      <c r="B1452">
        <v>14852</v>
      </c>
      <c r="C1452" t="s">
        <v>2488</v>
      </c>
      <c r="D1452" t="s">
        <v>121</v>
      </c>
      <c r="F1452" t="s">
        <v>120</v>
      </c>
      <c r="G1452" t="s">
        <v>649</v>
      </c>
      <c r="I1452" t="s">
        <v>1540</v>
      </c>
      <c r="J1452" t="s">
        <v>7</v>
      </c>
      <c r="K1452" s="63">
        <v>26563</v>
      </c>
      <c r="L1452" s="28">
        <f>DATEDIF(K1452,Zwift25!G$1,"Y")</f>
        <v>52</v>
      </c>
      <c r="M1452" s="67">
        <f>IF(J1452="m",VLOOKUP(L1452,'All Solo Adjustments'!A:D,4,FALSE),VLOOKUP(L1452,'All Solo Adjustments'!A:J,10,FALSE))</f>
        <v>1.4814814814814816E-3</v>
      </c>
      <c r="N1452" s="63"/>
      <c r="O1452" s="63"/>
      <c r="P1452" s="63"/>
      <c r="Q1452" s="63"/>
      <c r="R1452" t="s">
        <v>239</v>
      </c>
      <c r="S1452" t="s">
        <v>274</v>
      </c>
      <c r="T1452" t="s">
        <v>292</v>
      </c>
      <c r="U1452" t="s">
        <v>5787</v>
      </c>
      <c r="V1452" t="s">
        <v>5786</v>
      </c>
      <c r="W1452" t="s">
        <v>627</v>
      </c>
      <c r="X1452" t="s">
        <v>236</v>
      </c>
      <c r="Y1452" t="s">
        <v>5785</v>
      </c>
      <c r="Z1452" t="str">
        <f>"07875949620"</f>
        <v>07875949620</v>
      </c>
      <c r="AA1452" t="str">
        <f>""</f>
        <v/>
      </c>
      <c r="AB1452" t="s">
        <v>2423</v>
      </c>
      <c r="AC1452" t="s">
        <v>5784</v>
      </c>
      <c r="AD1452" t="s">
        <v>114</v>
      </c>
      <c r="AE1452" s="63">
        <v>45341</v>
      </c>
      <c r="AF1452" t="s">
        <v>156</v>
      </c>
      <c r="AG1452" t="s">
        <v>112</v>
      </c>
      <c r="AH1452" t="s">
        <v>112</v>
      </c>
      <c r="AI1452" s="63">
        <v>44979</v>
      </c>
      <c r="AJ1452" s="63">
        <v>45657</v>
      </c>
      <c r="AK1452" t="s">
        <v>112</v>
      </c>
      <c r="AL1452" t="s">
        <v>111</v>
      </c>
      <c r="AM1452" t="s">
        <v>111</v>
      </c>
      <c r="AN1452">
        <v>30019</v>
      </c>
      <c r="AO1452" t="s">
        <v>110</v>
      </c>
      <c r="AP1452" t="s">
        <v>109</v>
      </c>
    </row>
    <row r="1453" spans="1:42" x14ac:dyDescent="0.25">
      <c r="A1453" s="28" t="str">
        <f>"15413"</f>
        <v>15413</v>
      </c>
      <c r="B1453">
        <v>15413</v>
      </c>
      <c r="C1453" t="s">
        <v>2488</v>
      </c>
      <c r="D1453" t="s">
        <v>121</v>
      </c>
      <c r="F1453" t="s">
        <v>120</v>
      </c>
      <c r="G1453" t="s">
        <v>175</v>
      </c>
      <c r="H1453" t="s">
        <v>601</v>
      </c>
      <c r="I1453" t="s">
        <v>1540</v>
      </c>
      <c r="J1453" t="s">
        <v>7</v>
      </c>
      <c r="K1453" s="63">
        <v>25081</v>
      </c>
      <c r="L1453" s="28">
        <f>DATEDIF(K1453,Zwift25!G$1,"Y")</f>
        <v>56</v>
      </c>
      <c r="M1453" s="67">
        <f>IF(J1453="m",VLOOKUP(L1453,'All Solo Adjustments'!A:D,4,FALSE),VLOOKUP(L1453,'All Solo Adjustments'!A:J,10,FALSE))</f>
        <v>2.2685185185185182E-3</v>
      </c>
      <c r="N1453" s="63"/>
      <c r="O1453" s="63"/>
      <c r="P1453" s="63"/>
      <c r="Q1453" s="63"/>
      <c r="R1453" t="s">
        <v>184</v>
      </c>
      <c r="S1453" t="s">
        <v>183</v>
      </c>
      <c r="T1453" t="s">
        <v>292</v>
      </c>
      <c r="U1453" t="s">
        <v>5783</v>
      </c>
      <c r="W1453" t="s">
        <v>5782</v>
      </c>
      <c r="X1453" t="s">
        <v>3072</v>
      </c>
      <c r="Y1453" t="s">
        <v>5781</v>
      </c>
      <c r="Z1453" t="str">
        <f>"07491369217"</f>
        <v>07491369217</v>
      </c>
      <c r="AA1453" t="str">
        <f>""</f>
        <v/>
      </c>
      <c r="AB1453" t="s">
        <v>3070</v>
      </c>
      <c r="AC1453" t="s">
        <v>5780</v>
      </c>
      <c r="AD1453" t="s">
        <v>145</v>
      </c>
      <c r="AE1453" s="63">
        <v>45382</v>
      </c>
      <c r="AF1453" t="s">
        <v>156</v>
      </c>
      <c r="AG1453" t="s">
        <v>112</v>
      </c>
      <c r="AH1453" t="s">
        <v>112</v>
      </c>
      <c r="AI1453" s="63">
        <v>44646</v>
      </c>
      <c r="AJ1453" s="63">
        <v>45657</v>
      </c>
      <c r="AK1453" t="s">
        <v>112</v>
      </c>
      <c r="AL1453" t="s">
        <v>111</v>
      </c>
      <c r="AM1453" t="s">
        <v>111</v>
      </c>
      <c r="AN1453">
        <v>28252</v>
      </c>
      <c r="AO1453" t="s">
        <v>110</v>
      </c>
      <c r="AP1453" t="s">
        <v>109</v>
      </c>
    </row>
    <row r="1454" spans="1:42" x14ac:dyDescent="0.25">
      <c r="A1454" s="28" t="str">
        <f>"13246"</f>
        <v>13246</v>
      </c>
      <c r="B1454">
        <v>13246</v>
      </c>
      <c r="C1454" t="s">
        <v>2488</v>
      </c>
      <c r="D1454" t="s">
        <v>121</v>
      </c>
      <c r="F1454" t="s">
        <v>120</v>
      </c>
      <c r="G1454" t="s">
        <v>5779</v>
      </c>
      <c r="I1454" t="s">
        <v>5775</v>
      </c>
      <c r="J1454" t="s">
        <v>7</v>
      </c>
      <c r="K1454" s="63">
        <v>26425</v>
      </c>
      <c r="L1454" s="28">
        <f>DATEDIF(K1454,Zwift25!G$1,"Y")</f>
        <v>52</v>
      </c>
      <c r="M1454" s="67">
        <f>IF(J1454="m",VLOOKUP(L1454,'All Solo Adjustments'!A:D,4,FALSE),VLOOKUP(L1454,'All Solo Adjustments'!A:J,10,FALSE))</f>
        <v>1.4814814814814816E-3</v>
      </c>
      <c r="N1454" s="63"/>
      <c r="O1454" s="63"/>
      <c r="P1454" s="63"/>
      <c r="Q1454" s="63"/>
      <c r="R1454" t="s">
        <v>125</v>
      </c>
      <c r="S1454" t="s">
        <v>170</v>
      </c>
      <c r="T1454" t="s">
        <v>292</v>
      </c>
      <c r="U1454" t="s">
        <v>4974</v>
      </c>
      <c r="V1454" t="s">
        <v>5778</v>
      </c>
      <c r="W1454" t="s">
        <v>5777</v>
      </c>
      <c r="X1454" t="s">
        <v>420</v>
      </c>
      <c r="Y1454" t="s">
        <v>5773</v>
      </c>
      <c r="Z1454" t="str">
        <f>""</f>
        <v/>
      </c>
      <c r="AA1454" t="str">
        <f>"07964982961"</f>
        <v>07964982961</v>
      </c>
      <c r="AC1454" t="s">
        <v>5776</v>
      </c>
      <c r="AD1454" t="s">
        <v>114</v>
      </c>
      <c r="AE1454" s="63">
        <v>45299</v>
      </c>
      <c r="AF1454" t="s">
        <v>156</v>
      </c>
      <c r="AG1454" t="s">
        <v>112</v>
      </c>
      <c r="AH1454" t="s">
        <v>112</v>
      </c>
      <c r="AI1454" s="63">
        <v>43246</v>
      </c>
      <c r="AJ1454" s="63">
        <v>45657</v>
      </c>
      <c r="AK1454" t="s">
        <v>112</v>
      </c>
      <c r="AL1454" t="s">
        <v>111</v>
      </c>
      <c r="AM1454" t="s">
        <v>111</v>
      </c>
      <c r="AN1454">
        <v>25011</v>
      </c>
      <c r="AO1454" t="s">
        <v>110</v>
      </c>
      <c r="AP1454" t="s">
        <v>109</v>
      </c>
    </row>
    <row r="1455" spans="1:42" x14ac:dyDescent="0.25">
      <c r="A1455" s="28" t="str">
        <f>"14950"</f>
        <v>14950</v>
      </c>
      <c r="B1455">
        <v>14950</v>
      </c>
      <c r="C1455" t="s">
        <v>2488</v>
      </c>
      <c r="D1455" t="s">
        <v>121</v>
      </c>
      <c r="F1455" t="s">
        <v>149</v>
      </c>
      <c r="G1455" t="s">
        <v>681</v>
      </c>
      <c r="I1455" t="s">
        <v>5775</v>
      </c>
      <c r="J1455" t="s">
        <v>126</v>
      </c>
      <c r="K1455" s="63">
        <v>27277</v>
      </c>
      <c r="L1455" s="28">
        <f>DATEDIF(K1455,Zwift25!G$1,"Y")</f>
        <v>50</v>
      </c>
      <c r="M1455" s="67">
        <f>IF(J1455="m",VLOOKUP(L1455,'All Solo Adjustments'!A:D,4,FALSE),VLOOKUP(L1455,'All Solo Adjustments'!A:J,10,FALSE))</f>
        <v>4.9768518518518521E-3</v>
      </c>
      <c r="N1455" s="63"/>
      <c r="O1455" s="63"/>
      <c r="P1455" s="63"/>
      <c r="Q1455" s="63"/>
      <c r="R1455" t="s">
        <v>125</v>
      </c>
      <c r="S1455" t="s">
        <v>170</v>
      </c>
      <c r="T1455" t="s">
        <v>292</v>
      </c>
      <c r="U1455" t="s">
        <v>5774</v>
      </c>
      <c r="W1455" t="s">
        <v>420</v>
      </c>
      <c r="X1455" t="s">
        <v>1031</v>
      </c>
      <c r="Y1455" t="s">
        <v>5773</v>
      </c>
      <c r="Z1455" t="str">
        <f>"07572415526"</f>
        <v>07572415526</v>
      </c>
      <c r="AA1455" t="str">
        <f>""</f>
        <v/>
      </c>
      <c r="AB1455" t="s">
        <v>2212</v>
      </c>
      <c r="AC1455" t="s">
        <v>5772</v>
      </c>
      <c r="AD1455" t="s">
        <v>114</v>
      </c>
      <c r="AE1455" s="63">
        <v>45292</v>
      </c>
      <c r="AF1455" t="s">
        <v>156</v>
      </c>
      <c r="AG1455" t="s">
        <v>112</v>
      </c>
      <c r="AH1455" t="s">
        <v>112</v>
      </c>
      <c r="AI1455" s="63">
        <v>44283</v>
      </c>
      <c r="AJ1455" s="63">
        <v>45657</v>
      </c>
      <c r="AK1455" t="s">
        <v>112</v>
      </c>
      <c r="AL1455" t="s">
        <v>112</v>
      </c>
      <c r="AM1455" t="s">
        <v>111</v>
      </c>
      <c r="AN1455">
        <v>25012</v>
      </c>
      <c r="AO1455" t="s">
        <v>122</v>
      </c>
      <c r="AP1455" t="s">
        <v>122</v>
      </c>
    </row>
    <row r="1456" spans="1:42" x14ac:dyDescent="0.25">
      <c r="A1456" s="28" t="str">
        <f>"4145"</f>
        <v>4145</v>
      </c>
      <c r="B1456">
        <v>4145</v>
      </c>
      <c r="C1456" t="s">
        <v>2488</v>
      </c>
      <c r="D1456" t="s">
        <v>121</v>
      </c>
      <c r="F1456" t="s">
        <v>120</v>
      </c>
      <c r="G1456" t="s">
        <v>594</v>
      </c>
      <c r="I1456" t="s">
        <v>1535</v>
      </c>
      <c r="J1456" t="s">
        <v>7</v>
      </c>
      <c r="K1456" s="63">
        <v>22712</v>
      </c>
      <c r="L1456" s="28">
        <f>DATEDIF(K1456,Zwift25!G$1,"Y")</f>
        <v>62</v>
      </c>
      <c r="M1456" s="67">
        <f>IF(J1456="m",VLOOKUP(L1456,'All Solo Adjustments'!A:D,4,FALSE),VLOOKUP(L1456,'All Solo Adjustments'!A:J,10,FALSE))</f>
        <v>3.7384259259259259E-3</v>
      </c>
      <c r="N1456" s="63"/>
      <c r="O1456" s="63"/>
      <c r="P1456" s="63"/>
      <c r="Q1456" s="63"/>
      <c r="R1456" t="s">
        <v>180</v>
      </c>
      <c r="S1456" t="s">
        <v>179</v>
      </c>
      <c r="T1456" t="s">
        <v>292</v>
      </c>
      <c r="U1456" t="s">
        <v>5771</v>
      </c>
      <c r="V1456" t="s">
        <v>992</v>
      </c>
      <c r="Y1456" t="s">
        <v>5770</v>
      </c>
      <c r="Z1456" t="str">
        <f>"07971090461"</f>
        <v>07971090461</v>
      </c>
      <c r="AA1456" t="str">
        <f>"01162891371"</f>
        <v>01162891371</v>
      </c>
      <c r="AB1456" t="s">
        <v>966</v>
      </c>
      <c r="AC1456" t="s">
        <v>5769</v>
      </c>
      <c r="AD1456" t="s">
        <v>114</v>
      </c>
      <c r="AE1456" s="63">
        <v>45266</v>
      </c>
      <c r="AF1456" t="s">
        <v>113</v>
      </c>
      <c r="AG1456" t="s">
        <v>112</v>
      </c>
      <c r="AH1456" t="s">
        <v>112</v>
      </c>
      <c r="AI1456" s="63">
        <v>40603</v>
      </c>
      <c r="AJ1456" s="63">
        <v>45657</v>
      </c>
      <c r="AK1456" t="s">
        <v>111</v>
      </c>
      <c r="AL1456" t="s">
        <v>111</v>
      </c>
      <c r="AM1456" t="s">
        <v>111</v>
      </c>
      <c r="AN1456">
        <v>715</v>
      </c>
      <c r="AO1456" t="s">
        <v>110</v>
      </c>
      <c r="AP1456" t="s">
        <v>109</v>
      </c>
    </row>
    <row r="1457" spans="1:42" x14ac:dyDescent="0.25">
      <c r="A1457" s="28" t="str">
        <f>"15048"</f>
        <v>15048</v>
      </c>
      <c r="B1457">
        <v>15048</v>
      </c>
      <c r="C1457" t="s">
        <v>2488</v>
      </c>
      <c r="D1457" t="s">
        <v>121</v>
      </c>
      <c r="F1457" t="s">
        <v>120</v>
      </c>
      <c r="G1457" t="s">
        <v>649</v>
      </c>
      <c r="I1457" t="s">
        <v>5768</v>
      </c>
      <c r="J1457" t="s">
        <v>7</v>
      </c>
      <c r="K1457" s="63">
        <v>18739</v>
      </c>
      <c r="L1457" s="28">
        <f>DATEDIF(K1457,Zwift25!G$1,"Y")</f>
        <v>73</v>
      </c>
      <c r="M1457" s="67">
        <f>IF(J1457="m",VLOOKUP(L1457,'All Solo Adjustments'!A:D,4,FALSE),VLOOKUP(L1457,'All Solo Adjustments'!A:J,10,FALSE))</f>
        <v>7.5462962962962966E-3</v>
      </c>
      <c r="N1457" s="63"/>
      <c r="O1457" s="63"/>
      <c r="P1457" s="63"/>
      <c r="Q1457" s="63"/>
      <c r="R1457" t="s">
        <v>198</v>
      </c>
      <c r="S1457" t="s">
        <v>461</v>
      </c>
      <c r="T1457" t="s">
        <v>292</v>
      </c>
      <c r="U1457" t="s">
        <v>5767</v>
      </c>
      <c r="V1457" t="s">
        <v>4643</v>
      </c>
      <c r="W1457" t="s">
        <v>1844</v>
      </c>
      <c r="Y1457" t="s">
        <v>5766</v>
      </c>
      <c r="Z1457" t="str">
        <f>"447960578239"</f>
        <v>447960578239</v>
      </c>
      <c r="AA1457" t="str">
        <f>""</f>
        <v/>
      </c>
      <c r="AB1457" t="s">
        <v>5765</v>
      </c>
      <c r="AC1457" t="s">
        <v>5764</v>
      </c>
      <c r="AD1457" t="s">
        <v>114</v>
      </c>
      <c r="AE1457" s="63">
        <v>45307</v>
      </c>
      <c r="AF1457" t="s">
        <v>156</v>
      </c>
      <c r="AG1457" t="s">
        <v>112</v>
      </c>
      <c r="AH1457" t="s">
        <v>112</v>
      </c>
      <c r="AI1457" s="63">
        <v>44319</v>
      </c>
      <c r="AJ1457" s="63">
        <v>45657</v>
      </c>
      <c r="AK1457" t="s">
        <v>112</v>
      </c>
      <c r="AL1457" t="s">
        <v>111</v>
      </c>
      <c r="AM1457" t="s">
        <v>111</v>
      </c>
      <c r="AN1457">
        <v>15225</v>
      </c>
      <c r="AO1457" t="s">
        <v>110</v>
      </c>
      <c r="AP1457" t="s">
        <v>109</v>
      </c>
    </row>
    <row r="1458" spans="1:42" x14ac:dyDescent="0.25">
      <c r="A1458" s="28" t="str">
        <f>"16205"</f>
        <v>16205</v>
      </c>
      <c r="B1458">
        <v>16205</v>
      </c>
      <c r="C1458" t="s">
        <v>2488</v>
      </c>
      <c r="D1458" t="s">
        <v>121</v>
      </c>
      <c r="E1458" t="s">
        <v>584</v>
      </c>
      <c r="F1458" t="s">
        <v>120</v>
      </c>
      <c r="G1458" t="s">
        <v>245</v>
      </c>
      <c r="I1458" t="s">
        <v>5763</v>
      </c>
      <c r="J1458" t="s">
        <v>7</v>
      </c>
      <c r="K1458" s="63">
        <v>29103</v>
      </c>
      <c r="L1458" s="28">
        <f>DATEDIF(K1458,Zwift25!G$1,"Y")</f>
        <v>45</v>
      </c>
      <c r="M1458" s="67">
        <f>IF(J1458="m",VLOOKUP(L1458,'All Solo Adjustments'!A:D,4,FALSE),VLOOKUP(L1458,'All Solo Adjustments'!A:J,10,FALSE))</f>
        <v>4.5138888888888892E-4</v>
      </c>
      <c r="N1458" s="63"/>
      <c r="O1458" s="63"/>
      <c r="P1458" s="63"/>
      <c r="Q1458" s="63"/>
      <c r="R1458" t="s">
        <v>198</v>
      </c>
      <c r="S1458" t="s">
        <v>461</v>
      </c>
      <c r="T1458" t="s">
        <v>292</v>
      </c>
      <c r="U1458" t="s">
        <v>5762</v>
      </c>
      <c r="W1458" t="s">
        <v>5761</v>
      </c>
      <c r="X1458" t="s">
        <v>196</v>
      </c>
      <c r="Y1458" t="s">
        <v>5760</v>
      </c>
      <c r="Z1458" t="str">
        <f>"07710515407"</f>
        <v>07710515407</v>
      </c>
      <c r="AA1458" t="str">
        <f>""</f>
        <v/>
      </c>
      <c r="AB1458" t="s">
        <v>1003</v>
      </c>
      <c r="AC1458" t="s">
        <v>5759</v>
      </c>
      <c r="AD1458" t="s">
        <v>114</v>
      </c>
      <c r="AE1458" s="63">
        <v>45524</v>
      </c>
      <c r="AF1458" t="s">
        <v>156</v>
      </c>
      <c r="AG1458" t="s">
        <v>112</v>
      </c>
      <c r="AH1458" t="s">
        <v>112</v>
      </c>
      <c r="AI1458" s="63">
        <v>45524</v>
      </c>
      <c r="AJ1458" s="63">
        <v>45657</v>
      </c>
      <c r="AK1458" t="s">
        <v>112</v>
      </c>
      <c r="AL1458" t="s">
        <v>111</v>
      </c>
      <c r="AM1458" t="s">
        <v>111</v>
      </c>
      <c r="AN1458">
        <v>13596</v>
      </c>
      <c r="AO1458" t="s">
        <v>110</v>
      </c>
      <c r="AP1458" t="s">
        <v>109</v>
      </c>
    </row>
    <row r="1459" spans="1:42" x14ac:dyDescent="0.25">
      <c r="A1459" s="28" t="str">
        <f>"15506"</f>
        <v>15506</v>
      </c>
      <c r="B1459">
        <v>15506</v>
      </c>
      <c r="C1459" t="s">
        <v>2488</v>
      </c>
      <c r="D1459" t="s">
        <v>121</v>
      </c>
      <c r="F1459" t="s">
        <v>120</v>
      </c>
      <c r="G1459" t="s">
        <v>952</v>
      </c>
      <c r="H1459" t="s">
        <v>5758</v>
      </c>
      <c r="I1459" t="s">
        <v>5757</v>
      </c>
      <c r="J1459" t="s">
        <v>7</v>
      </c>
      <c r="K1459" s="63">
        <v>25761</v>
      </c>
      <c r="L1459" s="28">
        <f>DATEDIF(K1459,Zwift25!G$1,"Y")</f>
        <v>54</v>
      </c>
      <c r="M1459" s="67">
        <f>IF(J1459="m",VLOOKUP(L1459,'All Solo Adjustments'!A:D,4,FALSE),VLOOKUP(L1459,'All Solo Adjustments'!A:J,10,FALSE))</f>
        <v>1.8518518518518517E-3</v>
      </c>
      <c r="N1459" s="63"/>
      <c r="O1459" s="63"/>
      <c r="P1459" s="63"/>
      <c r="Q1459" s="63"/>
      <c r="R1459" t="s">
        <v>154</v>
      </c>
      <c r="S1459" t="s">
        <v>153</v>
      </c>
      <c r="T1459" t="s">
        <v>292</v>
      </c>
      <c r="U1459" t="s">
        <v>5756</v>
      </c>
      <c r="W1459" t="s">
        <v>5755</v>
      </c>
      <c r="X1459" t="s">
        <v>648</v>
      </c>
      <c r="Y1459" t="s">
        <v>5754</v>
      </c>
      <c r="Z1459" t="str">
        <f>"07810602436"</f>
        <v>07810602436</v>
      </c>
      <c r="AA1459" t="str">
        <f>"07810602435"</f>
        <v>07810602435</v>
      </c>
      <c r="AB1459" t="s">
        <v>5753</v>
      </c>
      <c r="AC1459" t="s">
        <v>5752</v>
      </c>
      <c r="AD1459" t="s">
        <v>114</v>
      </c>
      <c r="AE1459" s="63">
        <v>45292</v>
      </c>
      <c r="AF1459" t="s">
        <v>156</v>
      </c>
      <c r="AG1459" t="s">
        <v>112</v>
      </c>
      <c r="AH1459" t="s">
        <v>112</v>
      </c>
      <c r="AI1459" s="63">
        <v>44710</v>
      </c>
      <c r="AJ1459" s="63">
        <v>45657</v>
      </c>
      <c r="AK1459" t="s">
        <v>112</v>
      </c>
      <c r="AL1459" t="s">
        <v>111</v>
      </c>
      <c r="AM1459" t="s">
        <v>111</v>
      </c>
      <c r="AN1459">
        <v>512</v>
      </c>
      <c r="AO1459" t="s">
        <v>110</v>
      </c>
      <c r="AP1459" t="s">
        <v>109</v>
      </c>
    </row>
    <row r="1460" spans="1:42" x14ac:dyDescent="0.25">
      <c r="A1460" s="28" t="str">
        <f>"14153"</f>
        <v>14153</v>
      </c>
      <c r="B1460">
        <v>14153</v>
      </c>
      <c r="C1460" t="s">
        <v>2488</v>
      </c>
      <c r="D1460" t="s">
        <v>121</v>
      </c>
      <c r="F1460" t="s">
        <v>120</v>
      </c>
      <c r="G1460" t="s">
        <v>5751</v>
      </c>
      <c r="I1460" t="s">
        <v>504</v>
      </c>
      <c r="J1460" t="s">
        <v>7</v>
      </c>
      <c r="K1460" s="63">
        <v>25828</v>
      </c>
      <c r="L1460" s="28">
        <f>DATEDIF(K1460,Zwift25!G$1,"Y")</f>
        <v>54</v>
      </c>
      <c r="M1460" s="67">
        <f>IF(J1460="m",VLOOKUP(L1460,'All Solo Adjustments'!A:D,4,FALSE),VLOOKUP(L1460,'All Solo Adjustments'!A:J,10,FALSE))</f>
        <v>1.8518518518518517E-3</v>
      </c>
      <c r="N1460" s="63"/>
      <c r="O1460" s="63"/>
      <c r="P1460" s="63"/>
      <c r="Q1460" s="63"/>
      <c r="R1460" t="s">
        <v>213</v>
      </c>
      <c r="S1460" t="s">
        <v>212</v>
      </c>
      <c r="T1460" t="s">
        <v>292</v>
      </c>
      <c r="U1460" t="s">
        <v>5750</v>
      </c>
      <c r="V1460" t="s">
        <v>5749</v>
      </c>
      <c r="W1460" t="s">
        <v>5748</v>
      </c>
      <c r="X1460" t="s">
        <v>5747</v>
      </c>
      <c r="Y1460" t="s">
        <v>5746</v>
      </c>
      <c r="Z1460" t="str">
        <f>"01248601878"</f>
        <v>01248601878</v>
      </c>
      <c r="AA1460" t="str">
        <f>"07446975313"</f>
        <v>07446975313</v>
      </c>
      <c r="AB1460" t="s">
        <v>5745</v>
      </c>
      <c r="AC1460" t="s">
        <v>5744</v>
      </c>
      <c r="AD1460" t="s">
        <v>114</v>
      </c>
      <c r="AE1460" s="63">
        <v>45228</v>
      </c>
      <c r="AF1460" t="s">
        <v>113</v>
      </c>
      <c r="AG1460" t="s">
        <v>112</v>
      </c>
      <c r="AH1460" t="s">
        <v>112</v>
      </c>
      <c r="AI1460" s="63">
        <v>43561</v>
      </c>
      <c r="AJ1460" s="63">
        <v>45657</v>
      </c>
      <c r="AK1460" t="s">
        <v>112</v>
      </c>
      <c r="AL1460" t="s">
        <v>111</v>
      </c>
      <c r="AM1460" t="s">
        <v>111</v>
      </c>
      <c r="AN1460">
        <v>32865</v>
      </c>
      <c r="AO1460" t="s">
        <v>110</v>
      </c>
      <c r="AP1460" t="s">
        <v>109</v>
      </c>
    </row>
    <row r="1461" spans="1:42" x14ac:dyDescent="0.25">
      <c r="A1461" s="28" t="str">
        <f>"16159"</f>
        <v>16159</v>
      </c>
      <c r="B1461">
        <v>16159</v>
      </c>
      <c r="C1461" t="s">
        <v>2488</v>
      </c>
      <c r="D1461" t="s">
        <v>121</v>
      </c>
      <c r="F1461" t="s">
        <v>120</v>
      </c>
      <c r="G1461" t="s">
        <v>546</v>
      </c>
      <c r="H1461" t="s">
        <v>165</v>
      </c>
      <c r="I1461" t="s">
        <v>504</v>
      </c>
      <c r="J1461" t="s">
        <v>7</v>
      </c>
      <c r="K1461" s="63">
        <v>25029</v>
      </c>
      <c r="L1461" s="28">
        <f>DATEDIF(K1461,Zwift25!G$1,"Y")</f>
        <v>56</v>
      </c>
      <c r="M1461" s="67">
        <f>IF(J1461="m",VLOOKUP(L1461,'All Solo Adjustments'!A:D,4,FALSE),VLOOKUP(L1461,'All Solo Adjustments'!A:J,10,FALSE))</f>
        <v>2.2685185185185182E-3</v>
      </c>
      <c r="N1461" s="63"/>
      <c r="O1461" s="63"/>
      <c r="P1461" s="63"/>
      <c r="Q1461" s="63"/>
      <c r="R1461" t="s">
        <v>383</v>
      </c>
      <c r="S1461" t="s">
        <v>382</v>
      </c>
      <c r="T1461" t="s">
        <v>292</v>
      </c>
      <c r="U1461" t="s">
        <v>5743</v>
      </c>
      <c r="V1461" t="s">
        <v>5742</v>
      </c>
      <c r="Y1461" t="s">
        <v>5741</v>
      </c>
      <c r="Z1461" t="str">
        <f>"07496311038"</f>
        <v>07496311038</v>
      </c>
      <c r="AA1461" t="str">
        <f>""</f>
        <v/>
      </c>
      <c r="AB1461" t="s">
        <v>5740</v>
      </c>
      <c r="AC1461" t="s">
        <v>5739</v>
      </c>
      <c r="AD1461" t="s">
        <v>114</v>
      </c>
      <c r="AE1461" s="63">
        <v>45459</v>
      </c>
      <c r="AF1461" t="s">
        <v>156</v>
      </c>
      <c r="AG1461" t="s">
        <v>112</v>
      </c>
      <c r="AH1461" t="s">
        <v>112</v>
      </c>
      <c r="AI1461" s="63">
        <v>45459</v>
      </c>
      <c r="AJ1461" s="63">
        <v>45657</v>
      </c>
      <c r="AK1461" t="s">
        <v>112</v>
      </c>
      <c r="AL1461" t="s">
        <v>111</v>
      </c>
      <c r="AM1461" t="s">
        <v>111</v>
      </c>
      <c r="AN1461">
        <v>43786</v>
      </c>
      <c r="AO1461" t="s">
        <v>110</v>
      </c>
      <c r="AP1461" t="s">
        <v>109</v>
      </c>
    </row>
    <row r="1462" spans="1:42" x14ac:dyDescent="0.25">
      <c r="A1462" s="28" t="str">
        <f>"6155"</f>
        <v>6155</v>
      </c>
      <c r="B1462">
        <v>6155</v>
      </c>
      <c r="C1462" t="s">
        <v>2488</v>
      </c>
      <c r="D1462" t="s">
        <v>121</v>
      </c>
      <c r="F1462" t="s">
        <v>120</v>
      </c>
      <c r="G1462" t="s">
        <v>164</v>
      </c>
      <c r="H1462" t="s">
        <v>284</v>
      </c>
      <c r="I1462" t="s">
        <v>5738</v>
      </c>
      <c r="J1462" t="s">
        <v>7</v>
      </c>
      <c r="K1462" s="63">
        <v>22722</v>
      </c>
      <c r="L1462" s="28">
        <f>DATEDIF(K1462,Zwift25!G$1,"Y")</f>
        <v>62</v>
      </c>
      <c r="M1462" s="67">
        <f>IF(J1462="m",VLOOKUP(L1462,'All Solo Adjustments'!A:D,4,FALSE),VLOOKUP(L1462,'All Solo Adjustments'!A:J,10,FALSE))</f>
        <v>3.7384259259259259E-3</v>
      </c>
      <c r="N1462" s="63"/>
      <c r="O1462" s="63"/>
      <c r="P1462" s="63"/>
      <c r="Q1462" s="63"/>
      <c r="R1462" t="s">
        <v>184</v>
      </c>
      <c r="S1462" t="s">
        <v>183</v>
      </c>
      <c r="T1462" t="s">
        <v>292</v>
      </c>
      <c r="U1462" t="s">
        <v>5737</v>
      </c>
      <c r="V1462" t="s">
        <v>167</v>
      </c>
      <c r="Y1462" t="s">
        <v>5736</v>
      </c>
      <c r="Z1462" t="str">
        <f>"07957 459901"</f>
        <v>07957 459901</v>
      </c>
      <c r="AA1462" t="str">
        <f>""</f>
        <v/>
      </c>
      <c r="AB1462" t="s">
        <v>1131</v>
      </c>
      <c r="AC1462" t="s">
        <v>5735</v>
      </c>
      <c r="AD1462" t="s">
        <v>114</v>
      </c>
      <c r="AE1462" s="63">
        <v>45294</v>
      </c>
      <c r="AF1462" t="s">
        <v>113</v>
      </c>
      <c r="AG1462" t="s">
        <v>112</v>
      </c>
      <c r="AH1462" t="s">
        <v>112</v>
      </c>
      <c r="AI1462" s="63">
        <v>42823</v>
      </c>
      <c r="AJ1462" s="63">
        <v>45657</v>
      </c>
      <c r="AK1462" t="s">
        <v>111</v>
      </c>
      <c r="AL1462" t="s">
        <v>111</v>
      </c>
      <c r="AM1462" t="s">
        <v>111</v>
      </c>
      <c r="AN1462">
        <v>39813</v>
      </c>
      <c r="AO1462" t="s">
        <v>110</v>
      </c>
      <c r="AP1462" t="s">
        <v>109</v>
      </c>
    </row>
    <row r="1463" spans="1:42" x14ac:dyDescent="0.25">
      <c r="A1463" s="28" t="str">
        <f>"16051"</f>
        <v>16051</v>
      </c>
      <c r="B1463">
        <v>16051</v>
      </c>
      <c r="C1463" t="s">
        <v>2488</v>
      </c>
      <c r="D1463" t="s">
        <v>121</v>
      </c>
      <c r="E1463" t="s">
        <v>584</v>
      </c>
      <c r="F1463" t="s">
        <v>120</v>
      </c>
      <c r="G1463" t="s">
        <v>446</v>
      </c>
      <c r="H1463" t="s">
        <v>234</v>
      </c>
      <c r="I1463" t="s">
        <v>502</v>
      </c>
      <c r="J1463" t="s">
        <v>7</v>
      </c>
      <c r="K1463" s="63">
        <v>26589</v>
      </c>
      <c r="L1463" s="28">
        <f>DATEDIF(K1463,Zwift25!G$1,"Y")</f>
        <v>51</v>
      </c>
      <c r="M1463" s="67">
        <f>IF(J1463="m",VLOOKUP(L1463,'All Solo Adjustments'!A:D,4,FALSE),VLOOKUP(L1463,'All Solo Adjustments'!A:J,10,FALSE))</f>
        <v>1.3078703703703703E-3</v>
      </c>
      <c r="N1463" s="63"/>
      <c r="O1463" s="63"/>
      <c r="P1463" s="63"/>
      <c r="Q1463" s="63"/>
      <c r="R1463" t="s">
        <v>180</v>
      </c>
      <c r="S1463" t="s">
        <v>179</v>
      </c>
      <c r="T1463" t="s">
        <v>292</v>
      </c>
      <c r="U1463" t="s">
        <v>5734</v>
      </c>
      <c r="V1463" t="s">
        <v>1472</v>
      </c>
      <c r="Y1463" t="s">
        <v>5733</v>
      </c>
      <c r="Z1463" t="str">
        <f>"07713036341"</f>
        <v>07713036341</v>
      </c>
      <c r="AA1463" t="str">
        <f>""</f>
        <v/>
      </c>
      <c r="AB1463" t="s">
        <v>5732</v>
      </c>
      <c r="AC1463" t="s">
        <v>5731</v>
      </c>
      <c r="AD1463" t="s">
        <v>114</v>
      </c>
      <c r="AE1463" s="63">
        <v>45355</v>
      </c>
      <c r="AF1463" t="s">
        <v>156</v>
      </c>
      <c r="AG1463" t="s">
        <v>112</v>
      </c>
      <c r="AH1463" t="s">
        <v>112</v>
      </c>
      <c r="AI1463" s="63">
        <v>45355</v>
      </c>
      <c r="AJ1463" s="63">
        <v>45657</v>
      </c>
      <c r="AK1463" t="s">
        <v>112</v>
      </c>
      <c r="AL1463" t="s">
        <v>111</v>
      </c>
      <c r="AM1463" t="s">
        <v>111</v>
      </c>
      <c r="AN1463">
        <v>28255</v>
      </c>
      <c r="AO1463" t="s">
        <v>110</v>
      </c>
      <c r="AP1463" t="s">
        <v>109</v>
      </c>
    </row>
    <row r="1464" spans="1:42" x14ac:dyDescent="0.25">
      <c r="A1464" s="28" t="str">
        <f>"15055"</f>
        <v>15055</v>
      </c>
      <c r="B1464">
        <v>15055</v>
      </c>
      <c r="C1464" t="s">
        <v>2488</v>
      </c>
      <c r="D1464" t="s">
        <v>121</v>
      </c>
      <c r="E1464" t="s">
        <v>584</v>
      </c>
      <c r="F1464" t="s">
        <v>120</v>
      </c>
      <c r="G1464" t="s">
        <v>1847</v>
      </c>
      <c r="I1464" t="s">
        <v>5730</v>
      </c>
      <c r="J1464" t="s">
        <v>7</v>
      </c>
      <c r="K1464" s="63">
        <v>21888</v>
      </c>
      <c r="L1464" s="28">
        <f>DATEDIF(K1464,Zwift25!G$1,"Y")</f>
        <v>64</v>
      </c>
      <c r="M1464" s="67">
        <f>IF(J1464="m",VLOOKUP(L1464,'All Solo Adjustments'!A:D,4,FALSE),VLOOKUP(L1464,'All Solo Adjustments'!A:J,10,FALSE))</f>
        <v>4.31712962962963E-3</v>
      </c>
      <c r="N1464" s="63"/>
      <c r="O1464" s="63"/>
      <c r="P1464" s="63"/>
      <c r="Q1464" s="63"/>
      <c r="R1464" t="s">
        <v>527</v>
      </c>
      <c r="S1464" t="s">
        <v>526</v>
      </c>
      <c r="T1464" t="s">
        <v>292</v>
      </c>
      <c r="U1464" t="s">
        <v>5729</v>
      </c>
      <c r="V1464" t="s">
        <v>5728</v>
      </c>
      <c r="W1464" t="s">
        <v>1298</v>
      </c>
      <c r="X1464" t="s">
        <v>2456</v>
      </c>
      <c r="Y1464" t="s">
        <v>5727</v>
      </c>
      <c r="Z1464" t="str">
        <f>"07968224439"</f>
        <v>07968224439</v>
      </c>
      <c r="AA1464" t="str">
        <f>""</f>
        <v/>
      </c>
      <c r="AB1464" t="s">
        <v>1898</v>
      </c>
      <c r="AC1464" t="s">
        <v>5726</v>
      </c>
      <c r="AD1464" t="s">
        <v>114</v>
      </c>
      <c r="AE1464" s="63">
        <v>45293</v>
      </c>
      <c r="AF1464" t="s">
        <v>156</v>
      </c>
      <c r="AG1464" t="s">
        <v>112</v>
      </c>
      <c r="AH1464" t="s">
        <v>112</v>
      </c>
      <c r="AI1464" s="63">
        <v>44320</v>
      </c>
      <c r="AJ1464" s="63">
        <v>45657</v>
      </c>
      <c r="AK1464" t="s">
        <v>112</v>
      </c>
      <c r="AL1464" t="s">
        <v>111</v>
      </c>
      <c r="AM1464" t="s">
        <v>111</v>
      </c>
      <c r="AN1464">
        <v>24566</v>
      </c>
      <c r="AO1464" t="s">
        <v>110</v>
      </c>
      <c r="AP1464" t="s">
        <v>109</v>
      </c>
    </row>
    <row r="1465" spans="1:42" x14ac:dyDescent="0.25">
      <c r="A1465" s="28" t="str">
        <f>"15851"</f>
        <v>15851</v>
      </c>
      <c r="B1465">
        <v>15851</v>
      </c>
      <c r="C1465" t="s">
        <v>2488</v>
      </c>
      <c r="D1465" t="s">
        <v>121</v>
      </c>
      <c r="F1465" t="s">
        <v>139</v>
      </c>
      <c r="G1465" t="s">
        <v>5725</v>
      </c>
      <c r="I1465" t="s">
        <v>5724</v>
      </c>
      <c r="J1465" t="s">
        <v>126</v>
      </c>
      <c r="K1465" s="63">
        <v>25202</v>
      </c>
      <c r="L1465" s="28">
        <f>DATEDIF(K1465,Zwift25!G$1,"Y")</f>
        <v>55</v>
      </c>
      <c r="M1465" s="67">
        <f>IF(J1465="m",VLOOKUP(L1465,'All Solo Adjustments'!A:D,4,FALSE),VLOOKUP(L1465,'All Solo Adjustments'!A:J,10,FALSE))</f>
        <v>5.6597222222222222E-3</v>
      </c>
      <c r="N1465" s="63"/>
      <c r="O1465" s="63"/>
      <c r="P1465" s="63"/>
      <c r="Q1465" s="63"/>
      <c r="R1465" t="s">
        <v>296</v>
      </c>
      <c r="S1465" t="s">
        <v>295</v>
      </c>
      <c r="T1465" t="s">
        <v>292</v>
      </c>
      <c r="U1465" t="s">
        <v>5723</v>
      </c>
      <c r="W1465" t="s">
        <v>5722</v>
      </c>
      <c r="X1465" t="s">
        <v>1556</v>
      </c>
      <c r="Y1465" t="s">
        <v>5721</v>
      </c>
      <c r="Z1465" t="str">
        <f>"07799880004"</f>
        <v>07799880004</v>
      </c>
      <c r="AA1465" t="str">
        <f>""</f>
        <v/>
      </c>
      <c r="AB1465" t="s">
        <v>5720</v>
      </c>
      <c r="AC1465" t="s">
        <v>5719</v>
      </c>
      <c r="AD1465" t="s">
        <v>114</v>
      </c>
      <c r="AE1465" s="63">
        <v>45411</v>
      </c>
      <c r="AF1465" t="s">
        <v>156</v>
      </c>
      <c r="AG1465" t="s">
        <v>112</v>
      </c>
      <c r="AH1465" t="s">
        <v>112</v>
      </c>
      <c r="AI1465" s="63">
        <v>45091</v>
      </c>
      <c r="AJ1465" s="63">
        <v>45657</v>
      </c>
      <c r="AK1465" t="s">
        <v>112</v>
      </c>
      <c r="AL1465" t="s">
        <v>111</v>
      </c>
      <c r="AM1465" t="s">
        <v>111</v>
      </c>
      <c r="AN1465">
        <v>43843</v>
      </c>
      <c r="AO1465" t="s">
        <v>122</v>
      </c>
      <c r="AP1465" t="s">
        <v>122</v>
      </c>
    </row>
    <row r="1466" spans="1:42" x14ac:dyDescent="0.25">
      <c r="A1466" s="28" t="str">
        <f>"3750"</f>
        <v>3750</v>
      </c>
      <c r="B1466">
        <v>3750</v>
      </c>
      <c r="C1466" t="s">
        <v>2488</v>
      </c>
      <c r="D1466" t="s">
        <v>121</v>
      </c>
      <c r="F1466" t="s">
        <v>120</v>
      </c>
      <c r="G1466" t="s">
        <v>251</v>
      </c>
      <c r="H1466" t="s">
        <v>481</v>
      </c>
      <c r="I1466" t="s">
        <v>5718</v>
      </c>
      <c r="J1466" t="s">
        <v>7</v>
      </c>
      <c r="K1466" s="63">
        <v>19004</v>
      </c>
      <c r="L1466" s="28">
        <f>DATEDIF(K1466,Zwift25!G$1,"Y")</f>
        <v>72</v>
      </c>
      <c r="M1466" s="67">
        <f>IF(J1466="m",VLOOKUP(L1466,'All Solo Adjustments'!A:D,4,FALSE),VLOOKUP(L1466,'All Solo Adjustments'!A:J,10,FALSE))</f>
        <v>7.129629629629629E-3</v>
      </c>
      <c r="N1466" s="63"/>
      <c r="O1466" s="63"/>
      <c r="P1466" s="63"/>
      <c r="Q1466" s="63"/>
      <c r="R1466" t="s">
        <v>137</v>
      </c>
      <c r="S1466" t="s">
        <v>136</v>
      </c>
      <c r="T1466" t="s">
        <v>292</v>
      </c>
      <c r="U1466" t="s">
        <v>5717</v>
      </c>
      <c r="V1466" t="s">
        <v>5716</v>
      </c>
      <c r="W1466" t="s">
        <v>1588</v>
      </c>
      <c r="X1466" t="s">
        <v>1264</v>
      </c>
      <c r="Y1466" t="s">
        <v>5715</v>
      </c>
      <c r="Z1466" t="str">
        <f>"07836 263475"</f>
        <v>07836 263475</v>
      </c>
      <c r="AA1466" t="str">
        <f>""</f>
        <v/>
      </c>
      <c r="AB1466" t="s">
        <v>5714</v>
      </c>
      <c r="AC1466" t="s">
        <v>5713</v>
      </c>
      <c r="AD1466" t="s">
        <v>114</v>
      </c>
      <c r="AE1466" s="63">
        <v>45356</v>
      </c>
      <c r="AF1466" t="s">
        <v>156</v>
      </c>
      <c r="AG1466" t="s">
        <v>112</v>
      </c>
      <c r="AH1466" t="s">
        <v>112</v>
      </c>
      <c r="AI1466" s="63">
        <v>40041</v>
      </c>
      <c r="AJ1466" s="63">
        <v>45657</v>
      </c>
      <c r="AK1466" t="s">
        <v>111</v>
      </c>
      <c r="AL1466" t="s">
        <v>111</v>
      </c>
      <c r="AM1466" t="s">
        <v>111</v>
      </c>
      <c r="AN1466">
        <v>2619</v>
      </c>
      <c r="AO1466" t="s">
        <v>110</v>
      </c>
      <c r="AP1466" t="s">
        <v>109</v>
      </c>
    </row>
    <row r="1467" spans="1:42" x14ac:dyDescent="0.25">
      <c r="A1467" s="28" t="str">
        <f>"13816"</f>
        <v>13816</v>
      </c>
      <c r="B1467">
        <v>13816</v>
      </c>
      <c r="C1467" t="s">
        <v>2488</v>
      </c>
      <c r="D1467" t="s">
        <v>121</v>
      </c>
      <c r="E1467" t="s">
        <v>584</v>
      </c>
      <c r="F1467" t="s">
        <v>120</v>
      </c>
      <c r="G1467" t="s">
        <v>300</v>
      </c>
      <c r="I1467" t="s">
        <v>1530</v>
      </c>
      <c r="J1467" t="s">
        <v>7</v>
      </c>
      <c r="K1467" s="63">
        <v>24118</v>
      </c>
      <c r="L1467" s="28">
        <f>DATEDIF(K1467,Zwift25!G$1,"Y")</f>
        <v>58</v>
      </c>
      <c r="M1467" s="67">
        <f>IF(J1467="m",VLOOKUP(L1467,'All Solo Adjustments'!A:D,4,FALSE),VLOOKUP(L1467,'All Solo Adjustments'!A:J,10,FALSE))</f>
        <v>2.7199074074074074E-3</v>
      </c>
      <c r="N1467" s="63"/>
      <c r="O1467" s="63"/>
      <c r="P1467" s="63"/>
      <c r="Q1467" s="63"/>
      <c r="R1467" t="s">
        <v>137</v>
      </c>
      <c r="S1467" t="s">
        <v>136</v>
      </c>
      <c r="T1467" t="s">
        <v>292</v>
      </c>
      <c r="U1467" t="s">
        <v>5712</v>
      </c>
      <c r="V1467" t="s">
        <v>3331</v>
      </c>
      <c r="W1467" t="s">
        <v>1098</v>
      </c>
      <c r="X1467" t="s">
        <v>564</v>
      </c>
      <c r="Y1467" t="s">
        <v>5711</v>
      </c>
      <c r="Z1467" t="str">
        <f>"07711488706"</f>
        <v>07711488706</v>
      </c>
      <c r="AA1467" t="str">
        <f>"02380 873038"</f>
        <v>02380 873038</v>
      </c>
      <c r="AB1467" t="s">
        <v>1545</v>
      </c>
      <c r="AC1467" t="s">
        <v>5710</v>
      </c>
      <c r="AD1467" t="s">
        <v>114</v>
      </c>
      <c r="AE1467" s="63">
        <v>45292</v>
      </c>
      <c r="AF1467" t="s">
        <v>156</v>
      </c>
      <c r="AG1467" t="s">
        <v>112</v>
      </c>
      <c r="AH1467" t="s">
        <v>112</v>
      </c>
      <c r="AI1467" s="63">
        <v>43352</v>
      </c>
      <c r="AJ1467" s="63">
        <v>45657</v>
      </c>
      <c r="AK1467" t="s">
        <v>112</v>
      </c>
      <c r="AL1467" t="s">
        <v>111</v>
      </c>
      <c r="AM1467" t="s">
        <v>111</v>
      </c>
      <c r="AN1467">
        <v>11134</v>
      </c>
      <c r="AO1467" t="s">
        <v>110</v>
      </c>
      <c r="AP1467" t="s">
        <v>109</v>
      </c>
    </row>
    <row r="1468" spans="1:42" x14ac:dyDescent="0.25">
      <c r="A1468" s="28" t="str">
        <f>"11218"</f>
        <v>11218</v>
      </c>
      <c r="B1468">
        <v>11218</v>
      </c>
      <c r="C1468" t="s">
        <v>2488</v>
      </c>
      <c r="D1468" t="s">
        <v>121</v>
      </c>
      <c r="F1468" t="s">
        <v>120</v>
      </c>
      <c r="G1468" t="s">
        <v>1202</v>
      </c>
      <c r="I1468" t="s">
        <v>185</v>
      </c>
      <c r="J1468" t="s">
        <v>7</v>
      </c>
      <c r="K1468" s="63">
        <v>11049</v>
      </c>
      <c r="L1468" s="28">
        <f>DATEDIF(K1468,Zwift25!G$1,"Y")</f>
        <v>94</v>
      </c>
      <c r="M1468" s="67">
        <f>IF(J1468="m",VLOOKUP(L1468,'All Solo Adjustments'!A:D,4,FALSE),VLOOKUP(L1468,'All Solo Adjustments'!A:J,10,FALSE))</f>
        <v>2.2685185185185187E-2</v>
      </c>
      <c r="N1468" s="63"/>
      <c r="O1468" s="63"/>
      <c r="P1468" s="63"/>
      <c r="Q1468" s="63"/>
      <c r="R1468" t="s">
        <v>296</v>
      </c>
      <c r="S1468" t="s">
        <v>2310</v>
      </c>
      <c r="T1468" t="s">
        <v>292</v>
      </c>
      <c r="U1468" t="s">
        <v>2368</v>
      </c>
      <c r="V1468" t="s">
        <v>2367</v>
      </c>
      <c r="W1468" t="s">
        <v>1266</v>
      </c>
      <c r="X1468" t="s">
        <v>1738</v>
      </c>
      <c r="Y1468" t="s">
        <v>2366</v>
      </c>
      <c r="Z1468" t="str">
        <f>"01475 521881"</f>
        <v>01475 521881</v>
      </c>
      <c r="AA1468" t="str">
        <f>""</f>
        <v/>
      </c>
      <c r="AB1468" t="s">
        <v>2365</v>
      </c>
      <c r="AD1468" t="s">
        <v>151</v>
      </c>
      <c r="AF1468" t="s">
        <v>113</v>
      </c>
      <c r="AG1468" t="s">
        <v>112</v>
      </c>
      <c r="AH1468" t="s">
        <v>112</v>
      </c>
      <c r="AI1468" s="63">
        <v>29291</v>
      </c>
      <c r="AK1468" t="s">
        <v>111</v>
      </c>
      <c r="AL1468" t="s">
        <v>111</v>
      </c>
      <c r="AM1468" t="s">
        <v>111</v>
      </c>
      <c r="AN1468" t="s">
        <v>105</v>
      </c>
      <c r="AO1468" t="s">
        <v>110</v>
      </c>
      <c r="AP1468" t="s">
        <v>109</v>
      </c>
    </row>
    <row r="1469" spans="1:42" x14ac:dyDescent="0.25">
      <c r="A1469" s="28" t="str">
        <f>"3695"</f>
        <v>3695</v>
      </c>
      <c r="B1469">
        <v>3695</v>
      </c>
      <c r="C1469" t="s">
        <v>2488</v>
      </c>
      <c r="D1469" t="s">
        <v>121</v>
      </c>
      <c r="F1469" t="s">
        <v>120</v>
      </c>
      <c r="G1469" t="s">
        <v>164</v>
      </c>
      <c r="I1469" t="s">
        <v>5709</v>
      </c>
      <c r="J1469" t="s">
        <v>7</v>
      </c>
      <c r="K1469" s="63">
        <v>23309</v>
      </c>
      <c r="L1469" s="28">
        <f>DATEDIF(K1469,Zwift25!G$1,"Y")</f>
        <v>60</v>
      </c>
      <c r="M1469" s="67">
        <f>IF(J1469="m",VLOOKUP(L1469,'All Solo Adjustments'!A:D,4,FALSE),VLOOKUP(L1469,'All Solo Adjustments'!A:J,10,FALSE))</f>
        <v>3.2060185185185186E-3</v>
      </c>
      <c r="N1469" s="63"/>
      <c r="O1469" s="63"/>
      <c r="P1469" s="63"/>
      <c r="Q1469" s="63"/>
      <c r="R1469" t="s">
        <v>125</v>
      </c>
      <c r="S1469" t="s">
        <v>170</v>
      </c>
      <c r="T1469" t="s">
        <v>292</v>
      </c>
      <c r="U1469" t="s">
        <v>5708</v>
      </c>
      <c r="V1469" t="s">
        <v>293</v>
      </c>
      <c r="W1469" t="s">
        <v>159</v>
      </c>
      <c r="Y1469" t="s">
        <v>5707</v>
      </c>
      <c r="Z1469" t="str">
        <f>"07855 767903"</f>
        <v>07855 767903</v>
      </c>
      <c r="AA1469" t="str">
        <f>""</f>
        <v/>
      </c>
      <c r="AB1469" t="s">
        <v>592</v>
      </c>
      <c r="AC1469" t="s">
        <v>5706</v>
      </c>
      <c r="AD1469" t="s">
        <v>114</v>
      </c>
      <c r="AE1469" s="63">
        <v>45292</v>
      </c>
      <c r="AF1469" t="s">
        <v>156</v>
      </c>
      <c r="AG1469" t="s">
        <v>112</v>
      </c>
      <c r="AH1469" t="s">
        <v>112</v>
      </c>
      <c r="AI1469" s="63">
        <v>39955</v>
      </c>
      <c r="AJ1469" s="63">
        <v>45657</v>
      </c>
      <c r="AK1469" t="s">
        <v>111</v>
      </c>
      <c r="AL1469" t="s">
        <v>111</v>
      </c>
      <c r="AM1469" t="s">
        <v>111</v>
      </c>
      <c r="AN1469">
        <v>1225</v>
      </c>
      <c r="AO1469" t="s">
        <v>110</v>
      </c>
      <c r="AP1469" t="s">
        <v>109</v>
      </c>
    </row>
    <row r="1470" spans="1:42" x14ac:dyDescent="0.25">
      <c r="A1470" s="28" t="str">
        <f>"1830"</f>
        <v>1830</v>
      </c>
      <c r="B1470">
        <v>1830</v>
      </c>
      <c r="C1470" t="s">
        <v>2488</v>
      </c>
      <c r="D1470" t="s">
        <v>121</v>
      </c>
      <c r="F1470" t="s">
        <v>120</v>
      </c>
      <c r="G1470" t="s">
        <v>601</v>
      </c>
      <c r="I1470" t="s">
        <v>5702</v>
      </c>
      <c r="J1470" t="s">
        <v>7</v>
      </c>
      <c r="K1470" s="63">
        <v>22858</v>
      </c>
      <c r="L1470" s="28">
        <f>DATEDIF(K1470,Zwift25!G$1,"Y")</f>
        <v>62</v>
      </c>
      <c r="M1470" s="67">
        <f>IF(J1470="m",VLOOKUP(L1470,'All Solo Adjustments'!A:D,4,FALSE),VLOOKUP(L1470,'All Solo Adjustments'!A:J,10,FALSE))</f>
        <v>3.7384259259259259E-3</v>
      </c>
      <c r="N1470" s="63"/>
      <c r="O1470" s="63"/>
      <c r="P1470" s="63"/>
      <c r="Q1470" s="63"/>
      <c r="R1470" t="s">
        <v>143</v>
      </c>
      <c r="S1470" t="s">
        <v>142</v>
      </c>
      <c r="T1470" t="s">
        <v>292</v>
      </c>
      <c r="U1470" t="s">
        <v>5705</v>
      </c>
      <c r="V1470" t="s">
        <v>2298</v>
      </c>
      <c r="W1470" t="s">
        <v>1493</v>
      </c>
      <c r="X1470" t="s">
        <v>141</v>
      </c>
      <c r="Y1470" t="s">
        <v>5704</v>
      </c>
      <c r="Z1470" t="str">
        <f>"01342 842890"</f>
        <v>01342 842890</v>
      </c>
      <c r="AA1470" t="str">
        <f>""</f>
        <v/>
      </c>
      <c r="AB1470" t="s">
        <v>972</v>
      </c>
      <c r="AC1470" t="s">
        <v>5703</v>
      </c>
      <c r="AD1470" t="s">
        <v>114</v>
      </c>
      <c r="AE1470" s="63">
        <v>45265</v>
      </c>
      <c r="AF1470" t="s">
        <v>156</v>
      </c>
      <c r="AG1470" t="s">
        <v>112</v>
      </c>
      <c r="AH1470" t="s">
        <v>112</v>
      </c>
      <c r="AI1470" s="63">
        <v>38718</v>
      </c>
      <c r="AJ1470" s="63">
        <v>45657</v>
      </c>
      <c r="AK1470" t="s">
        <v>111</v>
      </c>
      <c r="AL1470" t="s">
        <v>111</v>
      </c>
      <c r="AM1470" t="s">
        <v>111</v>
      </c>
      <c r="AN1470">
        <v>7400</v>
      </c>
      <c r="AO1470" t="s">
        <v>110</v>
      </c>
      <c r="AP1470" t="s">
        <v>109</v>
      </c>
    </row>
    <row r="1471" spans="1:42" x14ac:dyDescent="0.25">
      <c r="A1471" s="28" t="str">
        <f>"6038"</f>
        <v>6038</v>
      </c>
      <c r="B1471">
        <v>6038</v>
      </c>
      <c r="C1471" t="s">
        <v>2488</v>
      </c>
      <c r="D1471" t="s">
        <v>130</v>
      </c>
      <c r="E1471" t="s">
        <v>584</v>
      </c>
      <c r="F1471" t="s">
        <v>149</v>
      </c>
      <c r="G1471" t="s">
        <v>2349</v>
      </c>
      <c r="I1471" t="s">
        <v>5702</v>
      </c>
      <c r="J1471" t="s">
        <v>126</v>
      </c>
      <c r="K1471" s="63">
        <v>20725</v>
      </c>
      <c r="L1471" s="28">
        <f>DATEDIF(K1471,Zwift25!G$1,"Y")</f>
        <v>68</v>
      </c>
      <c r="M1471" s="67">
        <f>IF(J1471="m",VLOOKUP(L1471,'All Solo Adjustments'!A:D,4,FALSE),VLOOKUP(L1471,'All Solo Adjustments'!A:J,10,FALSE))</f>
        <v>1.0729166666666668E-2</v>
      </c>
      <c r="N1471" s="63"/>
      <c r="O1471" s="63"/>
      <c r="P1471" s="63"/>
      <c r="Q1471" s="63"/>
      <c r="R1471" t="s">
        <v>184</v>
      </c>
      <c r="S1471" t="s">
        <v>1390</v>
      </c>
      <c r="T1471" t="s">
        <v>292</v>
      </c>
      <c r="U1471" t="s">
        <v>5701</v>
      </c>
      <c r="V1471" t="s">
        <v>2005</v>
      </c>
      <c r="W1471" t="s">
        <v>347</v>
      </c>
      <c r="Y1471" t="s">
        <v>5700</v>
      </c>
      <c r="Z1471" t="str">
        <f>"01494 817658"</f>
        <v>01494 817658</v>
      </c>
      <c r="AA1471" t="str">
        <f>""</f>
        <v/>
      </c>
      <c r="AB1471" t="s">
        <v>3495</v>
      </c>
      <c r="AC1471" t="s">
        <v>5699</v>
      </c>
      <c r="AD1471" t="s">
        <v>114</v>
      </c>
      <c r="AE1471" s="63">
        <v>45262</v>
      </c>
      <c r="AF1471" t="s">
        <v>113</v>
      </c>
      <c r="AG1471" t="s">
        <v>112</v>
      </c>
      <c r="AH1471" t="s">
        <v>112</v>
      </c>
      <c r="AI1471" s="63">
        <v>42765</v>
      </c>
      <c r="AJ1471" s="63">
        <v>45657</v>
      </c>
      <c r="AK1471" t="s">
        <v>111</v>
      </c>
      <c r="AL1471" t="s">
        <v>111</v>
      </c>
      <c r="AM1471" t="s">
        <v>111</v>
      </c>
      <c r="AN1471">
        <v>8047</v>
      </c>
      <c r="AO1471" t="s">
        <v>122</v>
      </c>
      <c r="AP1471" t="s">
        <v>122</v>
      </c>
    </row>
    <row r="1472" spans="1:42" x14ac:dyDescent="0.25">
      <c r="A1472" s="28" t="str">
        <f>"11400"</f>
        <v>11400</v>
      </c>
      <c r="B1472">
        <v>11400</v>
      </c>
      <c r="C1472" t="s">
        <v>2488</v>
      </c>
      <c r="D1472" t="s">
        <v>132</v>
      </c>
      <c r="F1472" t="s">
        <v>120</v>
      </c>
      <c r="G1472" t="s">
        <v>284</v>
      </c>
      <c r="I1472" t="s">
        <v>5702</v>
      </c>
      <c r="J1472" t="s">
        <v>7</v>
      </c>
      <c r="K1472" s="63">
        <v>18464</v>
      </c>
      <c r="L1472" s="28">
        <f>DATEDIF(K1472,Zwift25!G$1,"Y")</f>
        <v>74</v>
      </c>
      <c r="M1472" s="67">
        <f>IF(J1472="m",VLOOKUP(L1472,'All Solo Adjustments'!A:D,4,FALSE),VLOOKUP(L1472,'All Solo Adjustments'!A:J,10,FALSE))</f>
        <v>7.9861111111111122E-3</v>
      </c>
      <c r="N1472" s="63"/>
      <c r="O1472" s="63"/>
      <c r="P1472" s="63"/>
      <c r="Q1472" s="63"/>
      <c r="R1472" t="s">
        <v>184</v>
      </c>
      <c r="S1472" t="s">
        <v>1390</v>
      </c>
      <c r="T1472" t="s">
        <v>292</v>
      </c>
      <c r="U1472" t="s">
        <v>5701</v>
      </c>
      <c r="V1472" t="s">
        <v>2005</v>
      </c>
      <c r="W1472" t="s">
        <v>347</v>
      </c>
      <c r="Y1472" t="s">
        <v>5700</v>
      </c>
      <c r="Z1472" t="str">
        <f>"01494 817658"</f>
        <v>01494 817658</v>
      </c>
      <c r="AA1472" t="str">
        <f>""</f>
        <v/>
      </c>
      <c r="AB1472" t="s">
        <v>1491</v>
      </c>
      <c r="AC1472" t="s">
        <v>5699</v>
      </c>
      <c r="AD1472" t="s">
        <v>114</v>
      </c>
      <c r="AE1472" s="63">
        <v>45262</v>
      </c>
      <c r="AF1472" t="s">
        <v>113</v>
      </c>
      <c r="AG1472" t="s">
        <v>112</v>
      </c>
      <c r="AH1472" t="s">
        <v>112</v>
      </c>
      <c r="AI1472" s="63">
        <v>42765</v>
      </c>
      <c r="AJ1472" s="63">
        <v>45657</v>
      </c>
      <c r="AK1472" t="s">
        <v>111</v>
      </c>
      <c r="AL1472" t="s">
        <v>111</v>
      </c>
      <c r="AM1472" t="s">
        <v>111</v>
      </c>
      <c r="AN1472">
        <v>8044</v>
      </c>
      <c r="AO1472" t="s">
        <v>110</v>
      </c>
      <c r="AP1472" t="s">
        <v>109</v>
      </c>
    </row>
    <row r="1473" spans="1:42" x14ac:dyDescent="0.25">
      <c r="A1473" s="28" t="str">
        <f>"12573"</f>
        <v>12573</v>
      </c>
      <c r="B1473">
        <v>12573</v>
      </c>
      <c r="C1473" t="s">
        <v>2488</v>
      </c>
      <c r="D1473" t="s">
        <v>121</v>
      </c>
      <c r="F1473" t="s">
        <v>149</v>
      </c>
      <c r="G1473" t="s">
        <v>2245</v>
      </c>
      <c r="I1473" t="s">
        <v>2364</v>
      </c>
      <c r="J1473" t="s">
        <v>126</v>
      </c>
      <c r="K1473" s="63">
        <v>15676</v>
      </c>
      <c r="L1473" s="28">
        <f>DATEDIF(K1473,Zwift25!G$1,"Y")</f>
        <v>81</v>
      </c>
      <c r="M1473" s="67">
        <f>IF(J1473="m",VLOOKUP(L1473,'All Solo Adjustments'!A:D,4,FALSE),VLOOKUP(L1473,'All Solo Adjustments'!A:J,10,FALSE))</f>
        <v>1.7488425925925925E-2</v>
      </c>
      <c r="N1473" s="63"/>
      <c r="O1473" s="63"/>
      <c r="P1473" s="63"/>
      <c r="Q1473" s="63"/>
      <c r="R1473" t="s">
        <v>159</v>
      </c>
      <c r="S1473" t="s">
        <v>570</v>
      </c>
      <c r="T1473" t="s">
        <v>292</v>
      </c>
      <c r="U1473" t="s">
        <v>2363</v>
      </c>
      <c r="V1473" t="s">
        <v>2362</v>
      </c>
      <c r="W1473" t="s">
        <v>2361</v>
      </c>
      <c r="X1473" t="s">
        <v>2360</v>
      </c>
      <c r="Y1473" t="s">
        <v>2359</v>
      </c>
      <c r="Z1473" t="str">
        <f>"99999 999999"</f>
        <v>99999 999999</v>
      </c>
      <c r="AA1473" t="str">
        <f>""</f>
        <v/>
      </c>
      <c r="AB1473" t="s">
        <v>256</v>
      </c>
      <c r="AD1473" t="s">
        <v>145</v>
      </c>
      <c r="AF1473" t="s">
        <v>113</v>
      </c>
      <c r="AG1473" t="s">
        <v>112</v>
      </c>
      <c r="AH1473" t="s">
        <v>112</v>
      </c>
      <c r="AI1473" s="63">
        <v>43513</v>
      </c>
      <c r="AK1473" t="s">
        <v>111</v>
      </c>
      <c r="AL1473" t="s">
        <v>111</v>
      </c>
      <c r="AM1473" t="s">
        <v>111</v>
      </c>
      <c r="AN1473" t="s">
        <v>105</v>
      </c>
      <c r="AO1473" t="s">
        <v>122</v>
      </c>
      <c r="AP1473" t="s">
        <v>122</v>
      </c>
    </row>
    <row r="1474" spans="1:42" x14ac:dyDescent="0.25">
      <c r="A1474" s="28" t="str">
        <f>"1832"</f>
        <v>1832</v>
      </c>
      <c r="B1474">
        <v>1832</v>
      </c>
      <c r="C1474" t="s">
        <v>2488</v>
      </c>
      <c r="D1474" t="s">
        <v>121</v>
      </c>
      <c r="E1474" t="s">
        <v>584</v>
      </c>
      <c r="F1474" t="s">
        <v>120</v>
      </c>
      <c r="G1474" t="s">
        <v>499</v>
      </c>
      <c r="H1474" t="s">
        <v>475</v>
      </c>
      <c r="I1474" t="s">
        <v>499</v>
      </c>
      <c r="J1474" t="s">
        <v>7</v>
      </c>
      <c r="K1474" s="63">
        <v>19118</v>
      </c>
      <c r="L1474" s="28">
        <f>DATEDIF(K1474,Zwift25!G$1,"Y")</f>
        <v>72</v>
      </c>
      <c r="M1474" s="67">
        <f>IF(J1474="m",VLOOKUP(L1474,'All Solo Adjustments'!A:D,4,FALSE),VLOOKUP(L1474,'All Solo Adjustments'!A:J,10,FALSE))</f>
        <v>7.129629629629629E-3</v>
      </c>
      <c r="N1474" s="63"/>
      <c r="O1474" s="63"/>
      <c r="P1474" s="63"/>
      <c r="Q1474" s="63"/>
      <c r="R1474" t="s">
        <v>198</v>
      </c>
      <c r="S1474" t="s">
        <v>461</v>
      </c>
      <c r="T1474" t="s">
        <v>292</v>
      </c>
      <c r="U1474" t="s">
        <v>498</v>
      </c>
      <c r="V1474" t="s">
        <v>497</v>
      </c>
      <c r="W1474" t="s">
        <v>496</v>
      </c>
      <c r="X1474" t="s">
        <v>495</v>
      </c>
      <c r="Y1474" t="s">
        <v>494</v>
      </c>
      <c r="Z1474" t="str">
        <f>"01538 382747"</f>
        <v>01538 382747</v>
      </c>
      <c r="AA1474" t="str">
        <f>""</f>
        <v/>
      </c>
      <c r="AB1474" t="s">
        <v>1054</v>
      </c>
      <c r="AC1474" t="s">
        <v>493</v>
      </c>
      <c r="AD1474" t="s">
        <v>114</v>
      </c>
      <c r="AE1474" s="63">
        <v>45264</v>
      </c>
      <c r="AF1474" t="s">
        <v>113</v>
      </c>
      <c r="AG1474" t="s">
        <v>112</v>
      </c>
      <c r="AH1474" t="s">
        <v>112</v>
      </c>
      <c r="AI1474" s="63">
        <v>41246</v>
      </c>
      <c r="AJ1474" s="63">
        <v>45657</v>
      </c>
      <c r="AK1474" t="s">
        <v>111</v>
      </c>
      <c r="AL1474" t="s">
        <v>111</v>
      </c>
      <c r="AM1474" t="s">
        <v>111</v>
      </c>
      <c r="AN1474">
        <v>6687</v>
      </c>
      <c r="AO1474" t="s">
        <v>110</v>
      </c>
      <c r="AP1474" t="s">
        <v>109</v>
      </c>
    </row>
    <row r="1475" spans="1:42" x14ac:dyDescent="0.25">
      <c r="A1475" s="28" t="str">
        <f>"15348"</f>
        <v>15348</v>
      </c>
      <c r="B1475">
        <v>15348</v>
      </c>
      <c r="C1475" t="s">
        <v>2488</v>
      </c>
      <c r="D1475" t="s">
        <v>121</v>
      </c>
      <c r="F1475" t="s">
        <v>120</v>
      </c>
      <c r="G1475" t="s">
        <v>676</v>
      </c>
      <c r="I1475" t="s">
        <v>5698</v>
      </c>
      <c r="J1475" t="s">
        <v>7</v>
      </c>
      <c r="K1475" s="63">
        <v>29929</v>
      </c>
      <c r="L1475" s="28">
        <f>DATEDIF(K1475,Zwift25!G$1,"Y")</f>
        <v>42</v>
      </c>
      <c r="M1475" s="67">
        <f>IF(J1475="m",VLOOKUP(L1475,'All Solo Adjustments'!A:D,4,FALSE),VLOOKUP(L1475,'All Solo Adjustments'!A:J,10,FALSE))</f>
        <v>1.5046296296296295E-4</v>
      </c>
      <c r="N1475" s="63"/>
      <c r="O1475" s="63"/>
      <c r="P1475" s="63"/>
      <c r="Q1475" s="63"/>
      <c r="R1475" t="s">
        <v>125</v>
      </c>
      <c r="S1475" t="s">
        <v>170</v>
      </c>
      <c r="T1475" t="s">
        <v>292</v>
      </c>
      <c r="U1475" t="s">
        <v>5697</v>
      </c>
      <c r="V1475" t="s">
        <v>1124</v>
      </c>
      <c r="Y1475" t="s">
        <v>5696</v>
      </c>
      <c r="Z1475" t="str">
        <f>"07867523309"</f>
        <v>07867523309</v>
      </c>
      <c r="AA1475" t="str">
        <f>""</f>
        <v/>
      </c>
      <c r="AB1475" t="s">
        <v>1930</v>
      </c>
      <c r="AC1475" t="s">
        <v>5695</v>
      </c>
      <c r="AD1475" t="s">
        <v>114</v>
      </c>
      <c r="AE1475" s="63">
        <v>45264</v>
      </c>
      <c r="AF1475" t="s">
        <v>156</v>
      </c>
      <c r="AG1475" t="s">
        <v>112</v>
      </c>
      <c r="AH1475" t="s">
        <v>112</v>
      </c>
      <c r="AI1475" s="63">
        <v>44580</v>
      </c>
      <c r="AJ1475" s="63">
        <v>45657</v>
      </c>
      <c r="AK1475" t="s">
        <v>112</v>
      </c>
      <c r="AL1475" t="s">
        <v>111</v>
      </c>
      <c r="AM1475" t="s">
        <v>111</v>
      </c>
      <c r="AN1475">
        <v>17389</v>
      </c>
      <c r="AO1475" t="s">
        <v>110</v>
      </c>
      <c r="AP1475" t="s">
        <v>109</v>
      </c>
    </row>
    <row r="1476" spans="1:42" x14ac:dyDescent="0.25">
      <c r="A1476" s="28" t="str">
        <f>"13782"</f>
        <v>13782</v>
      </c>
      <c r="B1476">
        <v>13782</v>
      </c>
      <c r="C1476" t="s">
        <v>2488</v>
      </c>
      <c r="D1476" t="s">
        <v>121</v>
      </c>
      <c r="F1476" t="s">
        <v>120</v>
      </c>
      <c r="G1476" t="s">
        <v>5694</v>
      </c>
      <c r="I1476" t="s">
        <v>5693</v>
      </c>
      <c r="J1476" t="s">
        <v>7</v>
      </c>
      <c r="K1476" s="63">
        <v>25749</v>
      </c>
      <c r="L1476" s="28">
        <f>DATEDIF(K1476,Zwift25!G$1,"Y")</f>
        <v>54</v>
      </c>
      <c r="M1476" s="67">
        <f>IF(J1476="m",VLOOKUP(L1476,'All Solo Adjustments'!A:D,4,FALSE),VLOOKUP(L1476,'All Solo Adjustments'!A:J,10,FALSE))</f>
        <v>1.8518518518518517E-3</v>
      </c>
      <c r="N1476" s="63"/>
      <c r="O1476" s="63"/>
      <c r="P1476" s="63"/>
      <c r="Q1476" s="63"/>
      <c r="R1476" t="s">
        <v>137</v>
      </c>
      <c r="S1476" t="s">
        <v>136</v>
      </c>
      <c r="T1476" t="s">
        <v>292</v>
      </c>
      <c r="U1476" t="s">
        <v>5692</v>
      </c>
      <c r="V1476" t="s">
        <v>5691</v>
      </c>
      <c r="W1476" t="s">
        <v>729</v>
      </c>
      <c r="Y1476" t="s">
        <v>5690</v>
      </c>
      <c r="Z1476" t="str">
        <f>"07443333535"</f>
        <v>07443333535</v>
      </c>
      <c r="AA1476" t="str">
        <f>""</f>
        <v/>
      </c>
      <c r="AB1476" t="s">
        <v>3988</v>
      </c>
      <c r="AC1476" t="s">
        <v>5689</v>
      </c>
      <c r="AD1476" t="s">
        <v>114</v>
      </c>
      <c r="AE1476" s="63">
        <v>45301</v>
      </c>
      <c r="AF1476" t="s">
        <v>113</v>
      </c>
      <c r="AG1476" t="s">
        <v>112</v>
      </c>
      <c r="AH1476" t="s">
        <v>112</v>
      </c>
      <c r="AI1476" s="63">
        <v>43332</v>
      </c>
      <c r="AJ1476" s="63">
        <v>45657</v>
      </c>
      <c r="AK1476" t="s">
        <v>112</v>
      </c>
      <c r="AL1476" t="s">
        <v>111</v>
      </c>
      <c r="AM1476" t="s">
        <v>111</v>
      </c>
      <c r="AN1476">
        <v>4488</v>
      </c>
      <c r="AO1476" t="s">
        <v>110</v>
      </c>
      <c r="AP1476" t="s">
        <v>109</v>
      </c>
    </row>
    <row r="1477" spans="1:42" x14ac:dyDescent="0.25">
      <c r="A1477" s="28" t="str">
        <f>"15211"</f>
        <v>15211</v>
      </c>
      <c r="B1477">
        <v>15211</v>
      </c>
      <c r="C1477" t="s">
        <v>2488</v>
      </c>
      <c r="D1477" t="s">
        <v>121</v>
      </c>
      <c r="E1477" t="s">
        <v>584</v>
      </c>
      <c r="F1477" t="s">
        <v>403</v>
      </c>
      <c r="G1477" t="s">
        <v>1342</v>
      </c>
      <c r="H1477" t="s">
        <v>5688</v>
      </c>
      <c r="I1477" t="s">
        <v>5687</v>
      </c>
      <c r="J1477" t="s">
        <v>7</v>
      </c>
      <c r="K1477" s="63">
        <v>23043</v>
      </c>
      <c r="L1477" s="28">
        <f>DATEDIF(K1477,Zwift25!G$1,"Y")</f>
        <v>61</v>
      </c>
      <c r="M1477" s="67">
        <f>IF(J1477="m",VLOOKUP(L1477,'All Solo Adjustments'!A:D,4,FALSE),VLOOKUP(L1477,'All Solo Adjustments'!A:J,10,FALSE))</f>
        <v>3.4722222222222225E-3</v>
      </c>
      <c r="N1477" s="63"/>
      <c r="O1477" s="63"/>
      <c r="P1477" s="63"/>
      <c r="Q1477" s="63"/>
      <c r="R1477" t="s">
        <v>296</v>
      </c>
      <c r="S1477" t="s">
        <v>295</v>
      </c>
      <c r="T1477" t="s">
        <v>292</v>
      </c>
      <c r="U1477" t="s">
        <v>5686</v>
      </c>
      <c r="V1477" t="s">
        <v>5685</v>
      </c>
      <c r="W1477" t="s">
        <v>5684</v>
      </c>
      <c r="X1477" t="s">
        <v>804</v>
      </c>
      <c r="Y1477" t="s">
        <v>5683</v>
      </c>
      <c r="Z1477" t="str">
        <f>"01360 620202"</f>
        <v>01360 620202</v>
      </c>
      <c r="AA1477" t="str">
        <f>"07738221687"</f>
        <v>07738221687</v>
      </c>
      <c r="AB1477" t="s">
        <v>2350</v>
      </c>
      <c r="AC1477" t="s">
        <v>5682</v>
      </c>
      <c r="AD1477" t="s">
        <v>114</v>
      </c>
      <c r="AE1477" s="63">
        <v>45360</v>
      </c>
      <c r="AF1477" t="s">
        <v>156</v>
      </c>
      <c r="AG1477" t="s">
        <v>112</v>
      </c>
      <c r="AH1477" t="s">
        <v>112</v>
      </c>
      <c r="AI1477" s="63">
        <v>44422</v>
      </c>
      <c r="AJ1477" s="63">
        <v>45657</v>
      </c>
      <c r="AK1477" t="s">
        <v>112</v>
      </c>
      <c r="AL1477" t="s">
        <v>111</v>
      </c>
      <c r="AM1477" t="s">
        <v>111</v>
      </c>
      <c r="AN1477">
        <v>20368</v>
      </c>
      <c r="AO1477" t="s">
        <v>110</v>
      </c>
      <c r="AP1477" t="s">
        <v>109</v>
      </c>
    </row>
    <row r="1478" spans="1:42" x14ac:dyDescent="0.25">
      <c r="A1478" s="28" t="str">
        <f>"4643"</f>
        <v>4643</v>
      </c>
      <c r="B1478">
        <v>4643</v>
      </c>
      <c r="C1478" t="s">
        <v>2488</v>
      </c>
      <c r="D1478" t="s">
        <v>121</v>
      </c>
      <c r="E1478" t="s">
        <v>584</v>
      </c>
      <c r="F1478" t="s">
        <v>120</v>
      </c>
      <c r="G1478" t="s">
        <v>181</v>
      </c>
      <c r="I1478" t="s">
        <v>5681</v>
      </c>
      <c r="J1478" t="s">
        <v>7</v>
      </c>
      <c r="K1478" s="63">
        <v>24553</v>
      </c>
      <c r="L1478" s="28">
        <f>DATEDIF(K1478,Zwift25!G$1,"Y")</f>
        <v>57</v>
      </c>
      <c r="M1478" s="67">
        <f>IF(J1478="m",VLOOKUP(L1478,'All Solo Adjustments'!A:D,4,FALSE),VLOOKUP(L1478,'All Solo Adjustments'!A:J,10,FALSE))</f>
        <v>2.488425925925926E-3</v>
      </c>
      <c r="N1478" s="63"/>
      <c r="O1478" s="63"/>
      <c r="P1478" s="63"/>
      <c r="Q1478" s="63"/>
      <c r="R1478" t="s">
        <v>283</v>
      </c>
      <c r="S1478" t="s">
        <v>530</v>
      </c>
      <c r="T1478" t="s">
        <v>292</v>
      </c>
      <c r="U1478" t="s">
        <v>5680</v>
      </c>
      <c r="V1478" t="s">
        <v>5679</v>
      </c>
      <c r="W1478" t="s">
        <v>1253</v>
      </c>
      <c r="Y1478" t="s">
        <v>5678</v>
      </c>
      <c r="Z1478" t="str">
        <f>"0777 320 0115"</f>
        <v>0777 320 0115</v>
      </c>
      <c r="AA1478" t="str">
        <f>"01922 401415"</f>
        <v>01922 401415</v>
      </c>
      <c r="AB1478" t="s">
        <v>5677</v>
      </c>
      <c r="AC1478" t="s">
        <v>5676</v>
      </c>
      <c r="AD1478" t="s">
        <v>114</v>
      </c>
      <c r="AE1478" s="63">
        <v>45483</v>
      </c>
      <c r="AF1478" t="s">
        <v>156</v>
      </c>
      <c r="AG1478" t="s">
        <v>112</v>
      </c>
      <c r="AH1478" t="s">
        <v>112</v>
      </c>
      <c r="AI1478" s="63">
        <v>41296</v>
      </c>
      <c r="AJ1478" s="63">
        <v>45657</v>
      </c>
      <c r="AK1478" t="s">
        <v>111</v>
      </c>
      <c r="AL1478" t="s">
        <v>111</v>
      </c>
      <c r="AM1478" t="s">
        <v>111</v>
      </c>
      <c r="AN1478">
        <v>833</v>
      </c>
      <c r="AO1478" t="s">
        <v>110</v>
      </c>
      <c r="AP1478" t="s">
        <v>109</v>
      </c>
    </row>
    <row r="1479" spans="1:42" x14ac:dyDescent="0.25">
      <c r="A1479" s="28" t="str">
        <f>"15700"</f>
        <v>15700</v>
      </c>
      <c r="B1479">
        <v>15700</v>
      </c>
      <c r="C1479" t="s">
        <v>2488</v>
      </c>
      <c r="D1479" t="s">
        <v>121</v>
      </c>
      <c r="F1479" t="s">
        <v>120</v>
      </c>
      <c r="G1479" t="s">
        <v>952</v>
      </c>
      <c r="I1479" t="s">
        <v>1421</v>
      </c>
      <c r="J1479" t="s">
        <v>7</v>
      </c>
      <c r="K1479" s="63">
        <v>22673</v>
      </c>
      <c r="L1479" s="28">
        <f>DATEDIF(K1479,Zwift25!G$1,"Y")</f>
        <v>62</v>
      </c>
      <c r="M1479" s="67">
        <f>IF(J1479="m",VLOOKUP(L1479,'All Solo Adjustments'!A:D,4,FALSE),VLOOKUP(L1479,'All Solo Adjustments'!A:J,10,FALSE))</f>
        <v>3.7384259259259259E-3</v>
      </c>
      <c r="N1479" s="63"/>
      <c r="O1479" s="63"/>
      <c r="P1479" s="63"/>
      <c r="Q1479" s="63"/>
      <c r="R1479" t="s">
        <v>239</v>
      </c>
      <c r="S1479" t="s">
        <v>274</v>
      </c>
      <c r="T1479" t="s">
        <v>292</v>
      </c>
      <c r="U1479" t="s">
        <v>5675</v>
      </c>
      <c r="V1479" t="s">
        <v>5674</v>
      </c>
      <c r="W1479" t="s">
        <v>898</v>
      </c>
      <c r="X1479" t="s">
        <v>5673</v>
      </c>
      <c r="Y1479" t="s">
        <v>5672</v>
      </c>
      <c r="Z1479" t="str">
        <f>"07950 312491"</f>
        <v>07950 312491</v>
      </c>
      <c r="AA1479" t="str">
        <f>""</f>
        <v/>
      </c>
      <c r="AB1479" t="s">
        <v>1106</v>
      </c>
      <c r="AC1479" t="s">
        <v>5671</v>
      </c>
      <c r="AD1479" t="s">
        <v>114</v>
      </c>
      <c r="AE1479" s="63">
        <v>45382</v>
      </c>
      <c r="AF1479" t="s">
        <v>156</v>
      </c>
      <c r="AG1479" t="s">
        <v>112</v>
      </c>
      <c r="AH1479" t="s">
        <v>112</v>
      </c>
      <c r="AI1479" s="63">
        <v>44978</v>
      </c>
      <c r="AJ1479" s="63">
        <v>45657</v>
      </c>
      <c r="AK1479" t="s">
        <v>112</v>
      </c>
      <c r="AL1479" t="s">
        <v>111</v>
      </c>
      <c r="AM1479" t="s">
        <v>111</v>
      </c>
      <c r="AN1479">
        <v>43615</v>
      </c>
      <c r="AO1479" t="s">
        <v>110</v>
      </c>
      <c r="AP1479" t="s">
        <v>109</v>
      </c>
    </row>
    <row r="1480" spans="1:42" x14ac:dyDescent="0.25">
      <c r="A1480" s="28" t="str">
        <f>"1849"</f>
        <v>1849</v>
      </c>
      <c r="B1480">
        <v>1849</v>
      </c>
      <c r="C1480" t="s">
        <v>2488</v>
      </c>
      <c r="D1480" t="s">
        <v>121</v>
      </c>
      <c r="F1480" t="s">
        <v>149</v>
      </c>
      <c r="G1480" t="s">
        <v>973</v>
      </c>
      <c r="I1480" t="s">
        <v>5669</v>
      </c>
      <c r="J1480" t="s">
        <v>126</v>
      </c>
      <c r="K1480" s="63">
        <v>11762</v>
      </c>
      <c r="L1480" s="28">
        <f>DATEDIF(K1480,Zwift25!G$1,"Y")</f>
        <v>92</v>
      </c>
      <c r="M1480" s="67">
        <f>IF(J1480="m",VLOOKUP(L1480,'All Solo Adjustments'!A:D,4,FALSE),VLOOKUP(L1480,'All Solo Adjustments'!A:J,10,FALSE))</f>
        <v>2.7418981481481482E-2</v>
      </c>
      <c r="N1480" s="63"/>
      <c r="O1480" s="63"/>
      <c r="P1480" s="63"/>
      <c r="Q1480" s="63"/>
      <c r="R1480" t="s">
        <v>239</v>
      </c>
      <c r="S1480" t="s">
        <v>437</v>
      </c>
      <c r="T1480" t="s">
        <v>292</v>
      </c>
      <c r="U1480" t="s">
        <v>5668</v>
      </c>
      <c r="V1480" t="s">
        <v>5667</v>
      </c>
      <c r="W1480" t="s">
        <v>5666</v>
      </c>
      <c r="X1480" t="s">
        <v>422</v>
      </c>
      <c r="Y1480" t="s">
        <v>5665</v>
      </c>
      <c r="Z1480" t="str">
        <f>"01757 291196"</f>
        <v>01757 291196</v>
      </c>
      <c r="AA1480" t="str">
        <f>""</f>
        <v/>
      </c>
      <c r="AB1480" t="s">
        <v>1440</v>
      </c>
      <c r="AC1480" t="s">
        <v>5670</v>
      </c>
      <c r="AD1480" t="s">
        <v>151</v>
      </c>
      <c r="AF1480" t="s">
        <v>113</v>
      </c>
      <c r="AG1480" t="s">
        <v>112</v>
      </c>
      <c r="AH1480" t="s">
        <v>112</v>
      </c>
      <c r="AI1480" s="63">
        <v>27395</v>
      </c>
      <c r="AK1480" t="s">
        <v>111</v>
      </c>
      <c r="AL1480" t="s">
        <v>111</v>
      </c>
      <c r="AM1480" t="s">
        <v>111</v>
      </c>
      <c r="AN1480" t="s">
        <v>105</v>
      </c>
      <c r="AO1480" t="s">
        <v>122</v>
      </c>
      <c r="AP1480" t="s">
        <v>122</v>
      </c>
    </row>
    <row r="1481" spans="1:42" x14ac:dyDescent="0.25">
      <c r="A1481" s="28" t="str">
        <f>"12776"</f>
        <v>12776</v>
      </c>
      <c r="B1481">
        <v>12776</v>
      </c>
      <c r="C1481" t="s">
        <v>2488</v>
      </c>
      <c r="D1481" t="s">
        <v>121</v>
      </c>
      <c r="F1481" t="s">
        <v>120</v>
      </c>
      <c r="G1481" t="s">
        <v>513</v>
      </c>
      <c r="I1481" t="s">
        <v>5669</v>
      </c>
      <c r="J1481" t="s">
        <v>7</v>
      </c>
      <c r="K1481" s="63">
        <v>18102</v>
      </c>
      <c r="L1481" s="28">
        <f>DATEDIF(K1481,Zwift25!G$1,"Y")</f>
        <v>75</v>
      </c>
      <c r="M1481" s="67">
        <f>IF(J1481="m",VLOOKUP(L1481,'All Solo Adjustments'!A:D,4,FALSE),VLOOKUP(L1481,'All Solo Adjustments'!A:J,10,FALSE))</f>
        <v>8.4374999999999988E-3</v>
      </c>
      <c r="N1481" s="63"/>
      <c r="O1481" s="63"/>
      <c r="P1481" s="63"/>
      <c r="Q1481" s="63"/>
      <c r="R1481" t="s">
        <v>239</v>
      </c>
      <c r="S1481" t="s">
        <v>1761</v>
      </c>
      <c r="T1481" t="s">
        <v>292</v>
      </c>
      <c r="U1481" t="s">
        <v>5668</v>
      </c>
      <c r="V1481" t="s">
        <v>5667</v>
      </c>
      <c r="W1481" t="s">
        <v>5666</v>
      </c>
      <c r="X1481" t="s">
        <v>422</v>
      </c>
      <c r="Y1481" t="s">
        <v>5665</v>
      </c>
      <c r="Z1481" t="str">
        <f>"01757 291196"</f>
        <v>01757 291196</v>
      </c>
      <c r="AA1481" t="str">
        <f>"07598168709"</f>
        <v>07598168709</v>
      </c>
      <c r="AB1481" t="s">
        <v>1440</v>
      </c>
      <c r="AC1481" t="s">
        <v>5664</v>
      </c>
      <c r="AD1481" t="s">
        <v>114</v>
      </c>
      <c r="AE1481" s="63">
        <v>45216</v>
      </c>
      <c r="AF1481" t="s">
        <v>113</v>
      </c>
      <c r="AG1481" t="s">
        <v>112</v>
      </c>
      <c r="AH1481" t="s">
        <v>112</v>
      </c>
      <c r="AI1481" s="63">
        <v>32890</v>
      </c>
      <c r="AJ1481" s="63">
        <v>45657</v>
      </c>
      <c r="AK1481" t="s">
        <v>111</v>
      </c>
      <c r="AL1481" t="s">
        <v>111</v>
      </c>
      <c r="AM1481" t="s">
        <v>111</v>
      </c>
      <c r="AN1481">
        <v>1631</v>
      </c>
      <c r="AO1481" t="s">
        <v>110</v>
      </c>
      <c r="AP1481" t="s">
        <v>109</v>
      </c>
    </row>
    <row r="1482" spans="1:42" x14ac:dyDescent="0.25">
      <c r="A1482" s="28" t="str">
        <f>"4593"</f>
        <v>4593</v>
      </c>
      <c r="B1482">
        <v>4593</v>
      </c>
      <c r="C1482" t="s">
        <v>2488</v>
      </c>
      <c r="D1482" t="s">
        <v>121</v>
      </c>
      <c r="F1482" t="s">
        <v>120</v>
      </c>
      <c r="G1482" t="s">
        <v>522</v>
      </c>
      <c r="I1482" t="s">
        <v>5663</v>
      </c>
      <c r="J1482" t="s">
        <v>7</v>
      </c>
      <c r="K1482" s="63">
        <v>15674</v>
      </c>
      <c r="L1482" s="28">
        <f>DATEDIF(K1482,Zwift25!G$1,"Y")</f>
        <v>81</v>
      </c>
      <c r="M1482" s="67">
        <f>IF(J1482="m",VLOOKUP(L1482,'All Solo Adjustments'!A:D,4,FALSE),VLOOKUP(L1482,'All Solo Adjustments'!A:J,10,FALSE))</f>
        <v>1.1597222222222222E-2</v>
      </c>
      <c r="N1482" s="63"/>
      <c r="O1482" s="63"/>
      <c r="P1482" s="63"/>
      <c r="Q1482" s="63"/>
      <c r="R1482" t="s">
        <v>184</v>
      </c>
      <c r="S1482" t="s">
        <v>183</v>
      </c>
      <c r="T1482" t="s">
        <v>292</v>
      </c>
      <c r="U1482" t="s">
        <v>5662</v>
      </c>
      <c r="V1482" t="s">
        <v>5661</v>
      </c>
      <c r="Y1482" t="s">
        <v>5660</v>
      </c>
      <c r="Z1482" t="str">
        <f>"07534 281314"</f>
        <v>07534 281314</v>
      </c>
      <c r="AA1482" t="str">
        <f>""</f>
        <v/>
      </c>
      <c r="AB1482" t="s">
        <v>1691</v>
      </c>
      <c r="AC1482" t="s">
        <v>5659</v>
      </c>
      <c r="AD1482" t="s">
        <v>114</v>
      </c>
      <c r="AE1482" s="63">
        <v>45335</v>
      </c>
      <c r="AF1482" t="s">
        <v>113</v>
      </c>
      <c r="AG1482" t="s">
        <v>112</v>
      </c>
      <c r="AH1482" t="s">
        <v>112</v>
      </c>
      <c r="AI1482" s="63">
        <v>41099</v>
      </c>
      <c r="AJ1482" s="63">
        <v>45657</v>
      </c>
      <c r="AK1482" t="s">
        <v>111</v>
      </c>
      <c r="AL1482" t="s">
        <v>111</v>
      </c>
      <c r="AM1482" t="s">
        <v>111</v>
      </c>
      <c r="AN1482" t="s">
        <v>105</v>
      </c>
      <c r="AO1482" t="s">
        <v>110</v>
      </c>
      <c r="AP1482" t="s">
        <v>109</v>
      </c>
    </row>
    <row r="1483" spans="1:42" x14ac:dyDescent="0.25">
      <c r="A1483" s="28" t="str">
        <f>"15739"</f>
        <v>15739</v>
      </c>
      <c r="B1483">
        <v>15739</v>
      </c>
      <c r="C1483" t="s">
        <v>2488</v>
      </c>
      <c r="D1483" t="s">
        <v>121</v>
      </c>
      <c r="F1483" t="s">
        <v>149</v>
      </c>
      <c r="G1483" t="s">
        <v>5658</v>
      </c>
      <c r="I1483" t="s">
        <v>1524</v>
      </c>
      <c r="J1483" t="s">
        <v>126</v>
      </c>
      <c r="K1483" s="63">
        <v>22758</v>
      </c>
      <c r="L1483" s="28">
        <f>DATEDIF(K1483,Zwift25!G$1,"Y")</f>
        <v>62</v>
      </c>
      <c r="M1483" s="67">
        <f>IF(J1483="m",VLOOKUP(L1483,'All Solo Adjustments'!A:D,4,FALSE),VLOOKUP(L1483,'All Solo Adjustments'!A:J,10,FALSE))</f>
        <v>7.6041666666666662E-3</v>
      </c>
      <c r="N1483" s="63"/>
      <c r="O1483" s="63"/>
      <c r="P1483" s="63"/>
      <c r="Q1483" s="63"/>
      <c r="R1483" t="s">
        <v>159</v>
      </c>
      <c r="S1483" t="s">
        <v>162</v>
      </c>
      <c r="T1483" t="s">
        <v>292</v>
      </c>
      <c r="U1483" t="s">
        <v>5657</v>
      </c>
      <c r="W1483" t="s">
        <v>1171</v>
      </c>
      <c r="X1483" t="s">
        <v>159</v>
      </c>
      <c r="Y1483" t="s">
        <v>5656</v>
      </c>
      <c r="Z1483" t="str">
        <f>"07805361006"</f>
        <v>07805361006</v>
      </c>
      <c r="AA1483" t="str">
        <f>""</f>
        <v/>
      </c>
      <c r="AB1483" t="s">
        <v>5655</v>
      </c>
      <c r="AC1483" t="s">
        <v>5654</v>
      </c>
      <c r="AD1483" t="s">
        <v>114</v>
      </c>
      <c r="AE1483" s="63">
        <v>45294</v>
      </c>
      <c r="AF1483" t="s">
        <v>156</v>
      </c>
      <c r="AG1483" t="s">
        <v>112</v>
      </c>
      <c r="AH1483" t="s">
        <v>112</v>
      </c>
      <c r="AI1483" s="63">
        <v>45007</v>
      </c>
      <c r="AJ1483" s="63">
        <v>45657</v>
      </c>
      <c r="AK1483" t="s">
        <v>112</v>
      </c>
      <c r="AL1483" t="s">
        <v>111</v>
      </c>
      <c r="AM1483" t="s">
        <v>111</v>
      </c>
      <c r="AN1483">
        <v>2035</v>
      </c>
      <c r="AO1483" t="s">
        <v>122</v>
      </c>
      <c r="AP1483" t="s">
        <v>122</v>
      </c>
    </row>
    <row r="1484" spans="1:42" x14ac:dyDescent="0.25">
      <c r="A1484" s="28" t="str">
        <f>"15538"</f>
        <v>15538</v>
      </c>
      <c r="B1484">
        <v>15538</v>
      </c>
      <c r="C1484" t="s">
        <v>2488</v>
      </c>
      <c r="D1484" t="s">
        <v>121</v>
      </c>
      <c r="F1484" t="s">
        <v>120</v>
      </c>
      <c r="G1484" t="s">
        <v>359</v>
      </c>
      <c r="I1484" t="s">
        <v>1522</v>
      </c>
      <c r="J1484" t="s">
        <v>7</v>
      </c>
      <c r="K1484" s="63">
        <v>28361</v>
      </c>
      <c r="L1484" s="28">
        <f>DATEDIF(K1484,Zwift25!G$1,"Y")</f>
        <v>47</v>
      </c>
      <c r="M1484" s="67">
        <f>IF(J1484="m",VLOOKUP(L1484,'All Solo Adjustments'!A:D,4,FALSE),VLOOKUP(L1484,'All Solo Adjustments'!A:J,10,FALSE))</f>
        <v>6.9444444444444436E-4</v>
      </c>
      <c r="N1484" s="63"/>
      <c r="O1484" s="63"/>
      <c r="P1484" s="63"/>
      <c r="Q1484" s="63"/>
      <c r="R1484" t="s">
        <v>180</v>
      </c>
      <c r="S1484" t="s">
        <v>179</v>
      </c>
      <c r="T1484" t="s">
        <v>292</v>
      </c>
      <c r="U1484" t="s">
        <v>5653</v>
      </c>
      <c r="V1484" t="s">
        <v>5652</v>
      </c>
      <c r="W1484" t="s">
        <v>5651</v>
      </c>
      <c r="X1484" t="s">
        <v>360</v>
      </c>
      <c r="Y1484" t="s">
        <v>5650</v>
      </c>
      <c r="Z1484" t="str">
        <f>"07772971635"</f>
        <v>07772971635</v>
      </c>
      <c r="AA1484" t="str">
        <f>""</f>
        <v/>
      </c>
      <c r="AB1484" t="s">
        <v>5649</v>
      </c>
      <c r="AC1484" t="s">
        <v>5648</v>
      </c>
      <c r="AD1484" t="s">
        <v>114</v>
      </c>
      <c r="AE1484" s="63">
        <v>45393</v>
      </c>
      <c r="AF1484" t="s">
        <v>156</v>
      </c>
      <c r="AG1484" t="s">
        <v>112</v>
      </c>
      <c r="AH1484" t="s">
        <v>112</v>
      </c>
      <c r="AI1484" s="63">
        <v>44739</v>
      </c>
      <c r="AJ1484" s="63">
        <v>45657</v>
      </c>
      <c r="AK1484" t="s">
        <v>112</v>
      </c>
      <c r="AL1484" t="s">
        <v>111</v>
      </c>
      <c r="AM1484" t="s">
        <v>111</v>
      </c>
      <c r="AN1484">
        <v>4343</v>
      </c>
      <c r="AO1484" t="s">
        <v>110</v>
      </c>
      <c r="AP1484" t="s">
        <v>109</v>
      </c>
    </row>
    <row r="1485" spans="1:42" x14ac:dyDescent="0.25">
      <c r="A1485" s="28" t="str">
        <f>"1854"</f>
        <v>1854</v>
      </c>
      <c r="B1485">
        <v>1854</v>
      </c>
      <c r="C1485" t="s">
        <v>2488</v>
      </c>
      <c r="D1485" t="s">
        <v>121</v>
      </c>
      <c r="F1485" t="s">
        <v>120</v>
      </c>
      <c r="G1485" t="s">
        <v>761</v>
      </c>
      <c r="I1485" t="s">
        <v>5644</v>
      </c>
      <c r="J1485" t="s">
        <v>7</v>
      </c>
      <c r="K1485" s="63">
        <v>13316</v>
      </c>
      <c r="L1485" s="28">
        <f>DATEDIF(K1485,Zwift25!G$1,"Y")</f>
        <v>88</v>
      </c>
      <c r="M1485" s="67">
        <f>IF(J1485="m",VLOOKUP(L1485,'All Solo Adjustments'!A:D,4,FALSE),VLOOKUP(L1485,'All Solo Adjustments'!A:J,10,FALSE))</f>
        <v>1.6597222222222222E-2</v>
      </c>
      <c r="N1485" s="63"/>
      <c r="O1485" s="63"/>
      <c r="P1485" s="63"/>
      <c r="Q1485" s="63"/>
      <c r="R1485" t="s">
        <v>180</v>
      </c>
      <c r="S1485" t="s">
        <v>2288</v>
      </c>
      <c r="T1485" t="s">
        <v>292</v>
      </c>
      <c r="U1485" t="s">
        <v>5647</v>
      </c>
      <c r="V1485" t="s">
        <v>866</v>
      </c>
      <c r="W1485" t="s">
        <v>992</v>
      </c>
      <c r="Y1485" t="s">
        <v>5646</v>
      </c>
      <c r="Z1485" t="str">
        <f>"0116 2882091"</f>
        <v>0116 2882091</v>
      </c>
      <c r="AA1485" t="str">
        <f>""</f>
        <v/>
      </c>
      <c r="AB1485" t="s">
        <v>991</v>
      </c>
      <c r="AC1485" t="s">
        <v>5645</v>
      </c>
      <c r="AD1485" t="s">
        <v>151</v>
      </c>
      <c r="AF1485" t="s">
        <v>113</v>
      </c>
      <c r="AG1485" t="s">
        <v>112</v>
      </c>
      <c r="AH1485" t="s">
        <v>112</v>
      </c>
      <c r="AK1485" t="s">
        <v>111</v>
      </c>
      <c r="AL1485" t="s">
        <v>111</v>
      </c>
      <c r="AM1485" t="s">
        <v>111</v>
      </c>
      <c r="AN1485" t="s">
        <v>105</v>
      </c>
      <c r="AO1485" t="s">
        <v>110</v>
      </c>
      <c r="AP1485" t="s">
        <v>109</v>
      </c>
    </row>
    <row r="1486" spans="1:42" x14ac:dyDescent="0.25">
      <c r="A1486" s="28" t="str">
        <f>"15451"</f>
        <v>15451</v>
      </c>
      <c r="B1486">
        <v>15451</v>
      </c>
      <c r="C1486" t="s">
        <v>2488</v>
      </c>
      <c r="D1486" t="s">
        <v>121</v>
      </c>
      <c r="F1486" t="s">
        <v>120</v>
      </c>
      <c r="G1486" t="s">
        <v>189</v>
      </c>
      <c r="H1486" t="s">
        <v>410</v>
      </c>
      <c r="I1486" t="s">
        <v>5644</v>
      </c>
      <c r="J1486" t="s">
        <v>7</v>
      </c>
      <c r="K1486" s="63">
        <v>24001</v>
      </c>
      <c r="L1486" s="28">
        <f>DATEDIF(K1486,Zwift25!G$1,"Y")</f>
        <v>59</v>
      </c>
      <c r="M1486" s="67">
        <f>IF(J1486="m",VLOOKUP(L1486,'All Solo Adjustments'!A:D,4,FALSE),VLOOKUP(L1486,'All Solo Adjustments'!A:J,10,FALSE))</f>
        <v>2.9629629629629632E-3</v>
      </c>
      <c r="N1486" s="63"/>
      <c r="O1486" s="63"/>
      <c r="P1486" s="63"/>
      <c r="Q1486" s="63"/>
      <c r="R1486" t="s">
        <v>180</v>
      </c>
      <c r="S1486" t="s">
        <v>179</v>
      </c>
      <c r="T1486" t="s">
        <v>292</v>
      </c>
      <c r="U1486" t="s">
        <v>5643</v>
      </c>
      <c r="V1486" t="s">
        <v>5642</v>
      </c>
      <c r="W1486" t="s">
        <v>983</v>
      </c>
      <c r="Y1486" t="s">
        <v>5641</v>
      </c>
      <c r="Z1486" t="str">
        <f>"07954401617"</f>
        <v>07954401617</v>
      </c>
      <c r="AA1486" t="str">
        <f>""</f>
        <v/>
      </c>
      <c r="AB1486" t="s">
        <v>1550</v>
      </c>
      <c r="AC1486" t="s">
        <v>5640</v>
      </c>
      <c r="AD1486" t="s">
        <v>114</v>
      </c>
      <c r="AE1486" s="63">
        <v>45383</v>
      </c>
      <c r="AF1486" t="s">
        <v>156</v>
      </c>
      <c r="AG1486" t="s">
        <v>112</v>
      </c>
      <c r="AH1486" t="s">
        <v>112</v>
      </c>
      <c r="AI1486" s="63">
        <v>44664</v>
      </c>
      <c r="AJ1486" s="63">
        <v>45657</v>
      </c>
      <c r="AK1486" t="s">
        <v>112</v>
      </c>
      <c r="AL1486" t="s">
        <v>111</v>
      </c>
      <c r="AM1486" t="s">
        <v>111</v>
      </c>
      <c r="AN1486">
        <v>13856</v>
      </c>
      <c r="AO1486" t="s">
        <v>110</v>
      </c>
      <c r="AP1486" t="s">
        <v>109</v>
      </c>
    </row>
    <row r="1487" spans="1:42" x14ac:dyDescent="0.25">
      <c r="A1487" s="28" t="str">
        <f>"3742"</f>
        <v>3742</v>
      </c>
      <c r="B1487">
        <v>3742</v>
      </c>
      <c r="C1487" t="s">
        <v>2488</v>
      </c>
      <c r="D1487" t="s">
        <v>121</v>
      </c>
      <c r="E1487" t="s">
        <v>584</v>
      </c>
      <c r="F1487" t="s">
        <v>120</v>
      </c>
      <c r="G1487" t="s">
        <v>513</v>
      </c>
      <c r="I1487" t="s">
        <v>477</v>
      </c>
      <c r="J1487" t="s">
        <v>7</v>
      </c>
      <c r="K1487" s="63">
        <v>16381</v>
      </c>
      <c r="L1487" s="28">
        <f>DATEDIF(K1487,Zwift25!G$1,"Y")</f>
        <v>79</v>
      </c>
      <c r="M1487" s="67">
        <f>IF(J1487="m",VLOOKUP(L1487,'All Solo Adjustments'!A:D,4,FALSE),VLOOKUP(L1487,'All Solo Adjustments'!A:J,10,FALSE))</f>
        <v>1.0451388888888889E-2</v>
      </c>
      <c r="N1487" s="63"/>
      <c r="O1487" s="63"/>
      <c r="P1487" s="63"/>
      <c r="Q1487" s="63"/>
      <c r="R1487" t="s">
        <v>159</v>
      </c>
      <c r="S1487" t="s">
        <v>162</v>
      </c>
      <c r="T1487" t="s">
        <v>292</v>
      </c>
      <c r="U1487" t="s">
        <v>5639</v>
      </c>
      <c r="V1487" t="s">
        <v>1991</v>
      </c>
      <c r="W1487" t="s">
        <v>159</v>
      </c>
      <c r="Y1487" t="s">
        <v>5638</v>
      </c>
      <c r="Z1487" t="str">
        <f>"07860795445"</f>
        <v>07860795445</v>
      </c>
      <c r="AA1487" t="str">
        <f>"07860 795445"</f>
        <v>07860 795445</v>
      </c>
      <c r="AB1487" t="s">
        <v>415</v>
      </c>
      <c r="AC1487" t="s">
        <v>5637</v>
      </c>
      <c r="AD1487" t="s">
        <v>114</v>
      </c>
      <c r="AE1487" s="63">
        <v>45293</v>
      </c>
      <c r="AF1487" t="s">
        <v>113</v>
      </c>
      <c r="AG1487" t="s">
        <v>112</v>
      </c>
      <c r="AH1487" t="s">
        <v>112</v>
      </c>
      <c r="AI1487" s="63">
        <v>43433</v>
      </c>
      <c r="AJ1487" s="63">
        <v>45657</v>
      </c>
      <c r="AK1487" t="s">
        <v>111</v>
      </c>
      <c r="AL1487" t="s">
        <v>111</v>
      </c>
      <c r="AM1487" t="s">
        <v>111</v>
      </c>
      <c r="AN1487">
        <v>7209</v>
      </c>
      <c r="AO1487" t="s">
        <v>110</v>
      </c>
      <c r="AP1487" t="s">
        <v>109</v>
      </c>
    </row>
    <row r="1488" spans="1:42" x14ac:dyDescent="0.25">
      <c r="A1488" s="28" t="str">
        <f>"15904"</f>
        <v>15904</v>
      </c>
      <c r="B1488">
        <v>15904</v>
      </c>
      <c r="C1488" t="s">
        <v>2488</v>
      </c>
      <c r="D1488" t="s">
        <v>121</v>
      </c>
      <c r="E1488" t="s">
        <v>584</v>
      </c>
      <c r="F1488" t="s">
        <v>120</v>
      </c>
      <c r="G1488" t="s">
        <v>4103</v>
      </c>
      <c r="I1488" t="s">
        <v>5636</v>
      </c>
      <c r="J1488" t="s">
        <v>7</v>
      </c>
      <c r="K1488" s="63">
        <v>30542</v>
      </c>
      <c r="L1488" s="28">
        <f>DATEDIF(K1488,Zwift25!G$1,"Y")</f>
        <v>41</v>
      </c>
      <c r="M1488" s="67">
        <f>IF(J1488="m",VLOOKUP(L1488,'All Solo Adjustments'!A:D,4,FALSE),VLOOKUP(L1488,'All Solo Adjustments'!A:J,10,FALSE))</f>
        <v>6.9444444444444444E-5</v>
      </c>
      <c r="N1488" s="63"/>
      <c r="O1488" s="63"/>
      <c r="P1488" s="63"/>
      <c r="Q1488" s="63"/>
      <c r="R1488" t="s">
        <v>143</v>
      </c>
      <c r="S1488" t="s">
        <v>142</v>
      </c>
      <c r="T1488" t="s">
        <v>292</v>
      </c>
      <c r="U1488" t="s">
        <v>5635</v>
      </c>
      <c r="W1488" t="s">
        <v>951</v>
      </c>
      <c r="X1488" t="s">
        <v>141</v>
      </c>
      <c r="Y1488" t="s">
        <v>5634</v>
      </c>
      <c r="Z1488" t="str">
        <f>"07743427299"</f>
        <v>07743427299</v>
      </c>
      <c r="AA1488" t="str">
        <f>""</f>
        <v/>
      </c>
      <c r="AB1488" t="s">
        <v>1620</v>
      </c>
      <c r="AC1488" t="s">
        <v>5633</v>
      </c>
      <c r="AD1488" t="s">
        <v>114</v>
      </c>
      <c r="AE1488" s="63">
        <v>45292</v>
      </c>
      <c r="AF1488" t="s">
        <v>156</v>
      </c>
      <c r="AG1488" t="s">
        <v>112</v>
      </c>
      <c r="AH1488" t="s">
        <v>112</v>
      </c>
      <c r="AI1488" s="63">
        <v>45152</v>
      </c>
      <c r="AJ1488" s="63">
        <v>45657</v>
      </c>
      <c r="AK1488" t="s">
        <v>112</v>
      </c>
      <c r="AL1488" t="s">
        <v>111</v>
      </c>
      <c r="AM1488" t="s">
        <v>111</v>
      </c>
      <c r="AN1488">
        <v>99</v>
      </c>
      <c r="AO1488" t="s">
        <v>110</v>
      </c>
      <c r="AP1488" t="s">
        <v>109</v>
      </c>
    </row>
    <row r="1489" spans="1:42" x14ac:dyDescent="0.25">
      <c r="A1489" s="28" t="str">
        <f>"5794"</f>
        <v>5794</v>
      </c>
      <c r="B1489">
        <v>5794</v>
      </c>
      <c r="C1489" t="s">
        <v>2488</v>
      </c>
      <c r="D1489" t="s">
        <v>121</v>
      </c>
      <c r="E1489" t="s">
        <v>584</v>
      </c>
      <c r="F1489" t="s">
        <v>120</v>
      </c>
      <c r="G1489" t="s">
        <v>343</v>
      </c>
      <c r="I1489" t="s">
        <v>5632</v>
      </c>
      <c r="J1489" t="s">
        <v>7</v>
      </c>
      <c r="K1489" s="63">
        <v>19380</v>
      </c>
      <c r="L1489" s="28">
        <f>DATEDIF(K1489,Zwift25!G$1,"Y")</f>
        <v>71</v>
      </c>
      <c r="M1489" s="67">
        <f>IF(J1489="m",VLOOKUP(L1489,'All Solo Adjustments'!A:D,4,FALSE),VLOOKUP(L1489,'All Solo Adjustments'!A:J,10,FALSE))</f>
        <v>6.7245370370370375E-3</v>
      </c>
      <c r="N1489" s="63"/>
      <c r="O1489" s="63"/>
      <c r="P1489" s="63"/>
      <c r="Q1489" s="63"/>
      <c r="R1489" t="s">
        <v>296</v>
      </c>
      <c r="S1489" t="s">
        <v>295</v>
      </c>
      <c r="T1489" t="s">
        <v>292</v>
      </c>
      <c r="U1489" t="s">
        <v>5631</v>
      </c>
      <c r="V1489" t="s">
        <v>863</v>
      </c>
      <c r="Y1489" t="s">
        <v>5630</v>
      </c>
      <c r="Z1489" t="str">
        <f>"01382 816546"</f>
        <v>01382 816546</v>
      </c>
      <c r="AA1489" t="str">
        <f>"07598326272"</f>
        <v>07598326272</v>
      </c>
      <c r="AB1489" t="s">
        <v>4528</v>
      </c>
      <c r="AC1489" t="s">
        <v>5629</v>
      </c>
      <c r="AD1489" t="s">
        <v>114</v>
      </c>
      <c r="AE1489" s="63">
        <v>45238</v>
      </c>
      <c r="AF1489" t="s">
        <v>156</v>
      </c>
      <c r="AG1489" t="s">
        <v>112</v>
      </c>
      <c r="AH1489" t="s">
        <v>112</v>
      </c>
      <c r="AI1489" s="63">
        <v>42453</v>
      </c>
      <c r="AJ1489" s="63">
        <v>45657</v>
      </c>
      <c r="AK1489" t="s">
        <v>111</v>
      </c>
      <c r="AL1489" t="s">
        <v>111</v>
      </c>
      <c r="AM1489" t="s">
        <v>111</v>
      </c>
      <c r="AN1489">
        <v>2621</v>
      </c>
      <c r="AO1489" t="s">
        <v>110</v>
      </c>
      <c r="AP1489" t="s">
        <v>109</v>
      </c>
    </row>
    <row r="1490" spans="1:42" x14ac:dyDescent="0.25">
      <c r="A1490" s="28" t="str">
        <f>"1864"</f>
        <v>1864</v>
      </c>
      <c r="B1490">
        <v>1864</v>
      </c>
      <c r="C1490" t="s">
        <v>2488</v>
      </c>
      <c r="D1490" t="s">
        <v>121</v>
      </c>
      <c r="E1490" t="s">
        <v>584</v>
      </c>
      <c r="F1490" t="s">
        <v>120</v>
      </c>
      <c r="G1490" t="s">
        <v>165</v>
      </c>
      <c r="H1490" t="s">
        <v>469</v>
      </c>
      <c r="I1490" t="s">
        <v>5628</v>
      </c>
      <c r="J1490" t="s">
        <v>7</v>
      </c>
      <c r="K1490" s="63">
        <v>20730</v>
      </c>
      <c r="L1490" s="28">
        <f>DATEDIF(K1490,Zwift25!G$1,"Y")</f>
        <v>68</v>
      </c>
      <c r="M1490" s="67">
        <f>IF(J1490="m",VLOOKUP(L1490,'All Solo Adjustments'!A:D,4,FALSE),VLOOKUP(L1490,'All Solo Adjustments'!A:J,10,FALSE))</f>
        <v>5.6134259259259262E-3</v>
      </c>
      <c r="N1490" s="63"/>
      <c r="O1490" s="63"/>
      <c r="P1490" s="63"/>
      <c r="Q1490" s="63"/>
      <c r="R1490" t="s">
        <v>239</v>
      </c>
      <c r="S1490" t="s">
        <v>274</v>
      </c>
      <c r="T1490" t="s">
        <v>292</v>
      </c>
      <c r="U1490" t="s">
        <v>5627</v>
      </c>
      <c r="V1490" t="s">
        <v>5626</v>
      </c>
      <c r="W1490" t="s">
        <v>898</v>
      </c>
      <c r="Y1490" t="s">
        <v>5625</v>
      </c>
      <c r="Z1490" t="str">
        <f>"01482 658572"</f>
        <v>01482 658572</v>
      </c>
      <c r="AA1490" t="str">
        <f>"07513883517 "</f>
        <v xml:space="preserve">07513883517 </v>
      </c>
      <c r="AB1490" t="s">
        <v>1412</v>
      </c>
      <c r="AC1490" t="s">
        <v>5624</v>
      </c>
      <c r="AD1490" t="s">
        <v>114</v>
      </c>
      <c r="AE1490" s="63">
        <v>45293</v>
      </c>
      <c r="AF1490" t="s">
        <v>113</v>
      </c>
      <c r="AG1490" t="s">
        <v>112</v>
      </c>
      <c r="AH1490" t="s">
        <v>112</v>
      </c>
      <c r="AI1490" s="63">
        <v>35340</v>
      </c>
      <c r="AJ1490" s="63">
        <v>45657</v>
      </c>
      <c r="AK1490" t="s">
        <v>111</v>
      </c>
      <c r="AL1490" t="s">
        <v>111</v>
      </c>
      <c r="AM1490" t="s">
        <v>111</v>
      </c>
      <c r="AN1490">
        <v>1684</v>
      </c>
      <c r="AO1490" t="s">
        <v>110</v>
      </c>
      <c r="AP1490" t="s">
        <v>109</v>
      </c>
    </row>
    <row r="1491" spans="1:42" x14ac:dyDescent="0.25">
      <c r="A1491" s="28" t="str">
        <f>"1865"</f>
        <v>1865</v>
      </c>
      <c r="B1491">
        <v>1865</v>
      </c>
      <c r="C1491" t="s">
        <v>2488</v>
      </c>
      <c r="D1491" t="s">
        <v>121</v>
      </c>
      <c r="F1491" t="s">
        <v>120</v>
      </c>
      <c r="G1491" t="s">
        <v>195</v>
      </c>
      <c r="H1491" t="s">
        <v>643</v>
      </c>
      <c r="I1491" t="s">
        <v>474</v>
      </c>
      <c r="J1491" t="s">
        <v>7</v>
      </c>
      <c r="K1491" s="63">
        <v>17247</v>
      </c>
      <c r="L1491" s="28">
        <f>DATEDIF(K1491,Zwift25!G$1,"Y")</f>
        <v>77</v>
      </c>
      <c r="M1491" s="67">
        <f>IF(J1491="m",VLOOKUP(L1491,'All Solo Adjustments'!A:D,4,FALSE),VLOOKUP(L1491,'All Solo Adjustments'!A:J,10,FALSE))</f>
        <v>9.3981481481481485E-3</v>
      </c>
      <c r="N1491" s="63"/>
      <c r="O1491" s="63"/>
      <c r="P1491" s="63"/>
      <c r="Q1491" s="63"/>
      <c r="R1491" t="s">
        <v>239</v>
      </c>
      <c r="S1491" t="s">
        <v>274</v>
      </c>
      <c r="T1491" t="s">
        <v>292</v>
      </c>
      <c r="U1491" t="s">
        <v>5623</v>
      </c>
      <c r="V1491" t="s">
        <v>5622</v>
      </c>
      <c r="W1491" t="s">
        <v>554</v>
      </c>
      <c r="Y1491" t="s">
        <v>5621</v>
      </c>
      <c r="Z1491" t="str">
        <f>"0113 2539786"</f>
        <v>0113 2539786</v>
      </c>
      <c r="AA1491" t="str">
        <f>"07933 936283"</f>
        <v>07933 936283</v>
      </c>
      <c r="AB1491" t="s">
        <v>1445</v>
      </c>
      <c r="AC1491" t="s">
        <v>5620</v>
      </c>
      <c r="AD1491" t="s">
        <v>114</v>
      </c>
      <c r="AE1491" s="63">
        <v>45346</v>
      </c>
      <c r="AF1491" t="s">
        <v>113</v>
      </c>
      <c r="AG1491" t="s">
        <v>112</v>
      </c>
      <c r="AH1491" t="s">
        <v>112</v>
      </c>
      <c r="AI1491" s="63">
        <v>31857</v>
      </c>
      <c r="AJ1491" s="63">
        <v>45657</v>
      </c>
      <c r="AK1491" t="s">
        <v>111</v>
      </c>
      <c r="AL1491" t="s">
        <v>111</v>
      </c>
      <c r="AM1491" t="s">
        <v>111</v>
      </c>
      <c r="AN1491">
        <v>8485</v>
      </c>
      <c r="AO1491" t="s">
        <v>110</v>
      </c>
      <c r="AP1491" t="s">
        <v>109</v>
      </c>
    </row>
    <row r="1492" spans="1:42" x14ac:dyDescent="0.25">
      <c r="A1492" s="28" t="str">
        <f>"1866"</f>
        <v>1866</v>
      </c>
      <c r="B1492">
        <v>1866</v>
      </c>
      <c r="C1492" t="s">
        <v>2488</v>
      </c>
      <c r="D1492" t="s">
        <v>121</v>
      </c>
      <c r="F1492" t="s">
        <v>120</v>
      </c>
      <c r="G1492" t="s">
        <v>245</v>
      </c>
      <c r="H1492" t="s">
        <v>1577</v>
      </c>
      <c r="I1492" t="s">
        <v>474</v>
      </c>
      <c r="J1492" t="s">
        <v>7</v>
      </c>
      <c r="K1492" s="63">
        <v>15489</v>
      </c>
      <c r="L1492" s="28">
        <f>DATEDIF(K1492,Zwift25!G$1,"Y")</f>
        <v>82</v>
      </c>
      <c r="M1492" s="67">
        <f>IF(J1492="m",VLOOKUP(L1492,'All Solo Adjustments'!A:D,4,FALSE),VLOOKUP(L1492,'All Solo Adjustments'!A:J,10,FALSE))</f>
        <v>1.2210648148148148E-2</v>
      </c>
      <c r="N1492" s="63"/>
      <c r="O1492" s="63"/>
      <c r="P1492" s="63"/>
      <c r="Q1492" s="63"/>
      <c r="R1492" t="s">
        <v>239</v>
      </c>
      <c r="S1492" t="s">
        <v>274</v>
      </c>
      <c r="T1492" t="s">
        <v>292</v>
      </c>
      <c r="U1492" t="s">
        <v>5619</v>
      </c>
      <c r="V1492" t="s">
        <v>5618</v>
      </c>
      <c r="W1492" t="s">
        <v>1605</v>
      </c>
      <c r="X1492" t="s">
        <v>5617</v>
      </c>
      <c r="Y1492" t="s">
        <v>5616</v>
      </c>
      <c r="Z1492" t="str">
        <f>"07553431434"</f>
        <v>07553431434</v>
      </c>
      <c r="AA1492" t="str">
        <f>"07553431434"</f>
        <v>07553431434</v>
      </c>
      <c r="AB1492" t="s">
        <v>1445</v>
      </c>
      <c r="AC1492" t="s">
        <v>5615</v>
      </c>
      <c r="AD1492" t="s">
        <v>114</v>
      </c>
      <c r="AE1492" s="63">
        <v>45267</v>
      </c>
      <c r="AF1492" t="s">
        <v>156</v>
      </c>
      <c r="AG1492" t="s">
        <v>112</v>
      </c>
      <c r="AH1492" t="s">
        <v>112</v>
      </c>
      <c r="AI1492" s="63">
        <v>30099</v>
      </c>
      <c r="AJ1492" s="63">
        <v>45657</v>
      </c>
      <c r="AK1492" t="s">
        <v>111</v>
      </c>
      <c r="AL1492" t="s">
        <v>111</v>
      </c>
      <c r="AM1492" t="s">
        <v>111</v>
      </c>
      <c r="AN1492" t="s">
        <v>105</v>
      </c>
      <c r="AO1492" t="s">
        <v>110</v>
      </c>
      <c r="AP1492" t="s">
        <v>109</v>
      </c>
    </row>
    <row r="1493" spans="1:42" x14ac:dyDescent="0.25">
      <c r="A1493" s="28" t="str">
        <f>"14524"</f>
        <v>14524</v>
      </c>
      <c r="B1493">
        <v>14524</v>
      </c>
      <c r="C1493" t="s">
        <v>2488</v>
      </c>
      <c r="D1493" t="s">
        <v>121</v>
      </c>
      <c r="F1493" t="s">
        <v>120</v>
      </c>
      <c r="G1493" t="s">
        <v>5614</v>
      </c>
      <c r="I1493" t="s">
        <v>5613</v>
      </c>
      <c r="J1493" t="s">
        <v>7</v>
      </c>
      <c r="K1493" s="63">
        <v>24449</v>
      </c>
      <c r="L1493" s="28">
        <f>DATEDIF(K1493,Zwift25!G$1,"Y")</f>
        <v>57</v>
      </c>
      <c r="M1493" s="67">
        <f>IF(J1493="m",VLOOKUP(L1493,'All Solo Adjustments'!A:D,4,FALSE),VLOOKUP(L1493,'All Solo Adjustments'!A:J,10,FALSE))</f>
        <v>2.488425925925926E-3</v>
      </c>
      <c r="N1493" s="63"/>
      <c r="O1493" s="63"/>
      <c r="P1493" s="63"/>
      <c r="Q1493" s="63"/>
      <c r="R1493" t="s">
        <v>125</v>
      </c>
      <c r="S1493" t="s">
        <v>170</v>
      </c>
      <c r="T1493" t="s">
        <v>292</v>
      </c>
      <c r="U1493" t="s">
        <v>5612</v>
      </c>
      <c r="W1493" t="s">
        <v>5611</v>
      </c>
      <c r="X1493" t="s">
        <v>5610</v>
      </c>
      <c r="Y1493" t="s">
        <v>5609</v>
      </c>
      <c r="Z1493" t="str">
        <f>"07896331723"</f>
        <v>07896331723</v>
      </c>
      <c r="AA1493" t="str">
        <f>""</f>
        <v/>
      </c>
      <c r="AB1493" t="s">
        <v>5608</v>
      </c>
      <c r="AC1493" t="s">
        <v>5607</v>
      </c>
      <c r="AD1493" t="s">
        <v>114</v>
      </c>
      <c r="AE1493" s="63">
        <v>45263</v>
      </c>
      <c r="AF1493" t="s">
        <v>156</v>
      </c>
      <c r="AG1493" t="s">
        <v>112</v>
      </c>
      <c r="AH1493" t="s">
        <v>112</v>
      </c>
      <c r="AI1493" s="63">
        <v>43934</v>
      </c>
      <c r="AJ1493" s="63">
        <v>45657</v>
      </c>
      <c r="AK1493" t="s">
        <v>112</v>
      </c>
      <c r="AL1493" t="s">
        <v>111</v>
      </c>
      <c r="AM1493" t="s">
        <v>111</v>
      </c>
      <c r="AN1493" t="s">
        <v>105</v>
      </c>
      <c r="AO1493" t="s">
        <v>110</v>
      </c>
      <c r="AP1493" t="s">
        <v>109</v>
      </c>
    </row>
    <row r="1494" spans="1:42" x14ac:dyDescent="0.25">
      <c r="A1494" s="28" t="str">
        <f>"15066"</f>
        <v>15066</v>
      </c>
      <c r="B1494">
        <v>15066</v>
      </c>
      <c r="C1494" t="s">
        <v>2488</v>
      </c>
      <c r="D1494" t="s">
        <v>121</v>
      </c>
      <c r="E1494" t="s">
        <v>584</v>
      </c>
      <c r="F1494" t="s">
        <v>120</v>
      </c>
      <c r="G1494" t="s">
        <v>400</v>
      </c>
      <c r="I1494" t="s">
        <v>474</v>
      </c>
      <c r="J1494" t="s">
        <v>7</v>
      </c>
      <c r="K1494" s="63">
        <v>22274</v>
      </c>
      <c r="L1494" s="28">
        <f>DATEDIF(K1494,Zwift25!G$1,"Y")</f>
        <v>63</v>
      </c>
      <c r="M1494" s="67">
        <f>IF(J1494="m",VLOOKUP(L1494,'All Solo Adjustments'!A:D,4,FALSE),VLOOKUP(L1494,'All Solo Adjustments'!A:J,10,FALSE))</f>
        <v>4.0277777777777777E-3</v>
      </c>
      <c r="N1494" s="63"/>
      <c r="O1494" s="63"/>
      <c r="P1494" s="63"/>
      <c r="Q1494" s="63"/>
      <c r="R1494" t="s">
        <v>328</v>
      </c>
      <c r="S1494" t="s">
        <v>327</v>
      </c>
      <c r="T1494" t="s">
        <v>292</v>
      </c>
      <c r="U1494" t="s">
        <v>5606</v>
      </c>
      <c r="W1494" t="s">
        <v>1223</v>
      </c>
      <c r="X1494" t="s">
        <v>713</v>
      </c>
      <c r="Y1494" t="s">
        <v>5605</v>
      </c>
      <c r="Z1494" t="str">
        <f>"07887724292"</f>
        <v>07887724292</v>
      </c>
      <c r="AA1494" t="str">
        <f>""</f>
        <v/>
      </c>
      <c r="AB1494" t="s">
        <v>1515</v>
      </c>
      <c r="AC1494" t="s">
        <v>5604</v>
      </c>
      <c r="AD1494" t="s">
        <v>114</v>
      </c>
      <c r="AE1494" s="63">
        <v>45296</v>
      </c>
      <c r="AF1494" t="s">
        <v>113</v>
      </c>
      <c r="AG1494" t="s">
        <v>112</v>
      </c>
      <c r="AH1494" t="s">
        <v>112</v>
      </c>
      <c r="AI1494" s="63">
        <v>44325</v>
      </c>
      <c r="AJ1494" s="63">
        <v>45657</v>
      </c>
      <c r="AK1494" t="s">
        <v>112</v>
      </c>
      <c r="AL1494" t="s">
        <v>111</v>
      </c>
      <c r="AM1494" t="s">
        <v>111</v>
      </c>
      <c r="AN1494">
        <v>1807</v>
      </c>
      <c r="AO1494" t="s">
        <v>110</v>
      </c>
      <c r="AP1494" t="s">
        <v>109</v>
      </c>
    </row>
    <row r="1495" spans="1:42" x14ac:dyDescent="0.25">
      <c r="A1495" s="28" t="str">
        <f>"15927"</f>
        <v>15927</v>
      </c>
      <c r="B1495">
        <v>15927</v>
      </c>
      <c r="C1495" t="s">
        <v>2488</v>
      </c>
      <c r="D1495" t="s">
        <v>121</v>
      </c>
      <c r="E1495" t="s">
        <v>584</v>
      </c>
      <c r="F1495" t="s">
        <v>120</v>
      </c>
      <c r="G1495" t="s">
        <v>601</v>
      </c>
      <c r="I1495" t="s">
        <v>5603</v>
      </c>
      <c r="J1495" t="s">
        <v>7</v>
      </c>
      <c r="K1495" s="63">
        <v>26732</v>
      </c>
      <c r="L1495" s="28">
        <f>DATEDIF(K1495,Zwift25!G$1,"Y")</f>
        <v>51</v>
      </c>
      <c r="M1495" s="67">
        <f>IF(J1495="m",VLOOKUP(L1495,'All Solo Adjustments'!A:D,4,FALSE),VLOOKUP(L1495,'All Solo Adjustments'!A:J,10,FALSE))</f>
        <v>1.3078703703703703E-3</v>
      </c>
      <c r="N1495" s="63"/>
      <c r="O1495" s="63"/>
      <c r="P1495" s="63"/>
      <c r="Q1495" s="63"/>
      <c r="R1495" t="s">
        <v>328</v>
      </c>
      <c r="S1495" t="s">
        <v>327</v>
      </c>
      <c r="T1495" t="s">
        <v>292</v>
      </c>
      <c r="U1495" t="s">
        <v>5602</v>
      </c>
      <c r="W1495" t="s">
        <v>5601</v>
      </c>
      <c r="X1495" t="s">
        <v>2906</v>
      </c>
      <c r="Y1495" t="s">
        <v>5600</v>
      </c>
      <c r="Z1495" t="str">
        <f>"07593861374"</f>
        <v>07593861374</v>
      </c>
      <c r="AA1495" t="str">
        <f>""</f>
        <v/>
      </c>
      <c r="AB1495" t="s">
        <v>5599</v>
      </c>
      <c r="AC1495" t="s">
        <v>5598</v>
      </c>
      <c r="AD1495" t="s">
        <v>114</v>
      </c>
      <c r="AE1495" s="63">
        <v>45266</v>
      </c>
      <c r="AF1495" t="s">
        <v>156</v>
      </c>
      <c r="AG1495" t="s">
        <v>112</v>
      </c>
      <c r="AH1495" t="s">
        <v>112</v>
      </c>
      <c r="AI1495" s="63">
        <v>45183</v>
      </c>
      <c r="AJ1495" s="63">
        <v>45657</v>
      </c>
      <c r="AK1495" t="s">
        <v>112</v>
      </c>
      <c r="AL1495" t="s">
        <v>111</v>
      </c>
      <c r="AM1495" t="s">
        <v>111</v>
      </c>
      <c r="AN1495">
        <v>44677</v>
      </c>
      <c r="AO1495" t="s">
        <v>110</v>
      </c>
      <c r="AP1495" t="s">
        <v>109</v>
      </c>
    </row>
    <row r="1496" spans="1:42" x14ac:dyDescent="0.25">
      <c r="A1496" s="28" t="str">
        <f>"1870"</f>
        <v>1870</v>
      </c>
      <c r="B1496">
        <v>1870</v>
      </c>
      <c r="C1496" t="s">
        <v>2488</v>
      </c>
      <c r="D1496" t="s">
        <v>121</v>
      </c>
      <c r="F1496" t="s">
        <v>120</v>
      </c>
      <c r="G1496" t="s">
        <v>1369</v>
      </c>
      <c r="I1496" t="s">
        <v>5594</v>
      </c>
      <c r="J1496" t="s">
        <v>7</v>
      </c>
      <c r="K1496" s="63">
        <v>15866</v>
      </c>
      <c r="L1496" s="28">
        <f>DATEDIF(K1496,Zwift25!G$1,"Y")</f>
        <v>81</v>
      </c>
      <c r="M1496" s="67">
        <f>IF(J1496="m",VLOOKUP(L1496,'All Solo Adjustments'!A:D,4,FALSE),VLOOKUP(L1496,'All Solo Adjustments'!A:J,10,FALSE))</f>
        <v>1.1597222222222222E-2</v>
      </c>
      <c r="N1496" s="63"/>
      <c r="O1496" s="63"/>
      <c r="P1496" s="63"/>
      <c r="Q1496" s="63"/>
      <c r="R1496" t="s">
        <v>296</v>
      </c>
      <c r="S1496" t="s">
        <v>5271</v>
      </c>
      <c r="T1496" t="s">
        <v>292</v>
      </c>
      <c r="U1496" t="s">
        <v>5597</v>
      </c>
      <c r="V1496" t="s">
        <v>5596</v>
      </c>
      <c r="W1496" t="s">
        <v>1341</v>
      </c>
      <c r="Y1496" t="s">
        <v>5595</v>
      </c>
      <c r="Z1496" t="str">
        <f>"01324 718700"</f>
        <v>01324 718700</v>
      </c>
      <c r="AA1496" t="str">
        <f>""</f>
        <v/>
      </c>
      <c r="AB1496" t="s">
        <v>4406</v>
      </c>
      <c r="AD1496" t="s">
        <v>151</v>
      </c>
      <c r="AF1496" t="s">
        <v>113</v>
      </c>
      <c r="AG1496" t="s">
        <v>111</v>
      </c>
      <c r="AH1496" t="s">
        <v>112</v>
      </c>
      <c r="AI1496" s="63">
        <v>36323</v>
      </c>
      <c r="AK1496" t="s">
        <v>111</v>
      </c>
      <c r="AL1496" t="s">
        <v>111</v>
      </c>
      <c r="AM1496" t="s">
        <v>111</v>
      </c>
      <c r="AN1496" t="s">
        <v>105</v>
      </c>
      <c r="AO1496" t="s">
        <v>110</v>
      </c>
      <c r="AP1496" t="s">
        <v>109</v>
      </c>
    </row>
    <row r="1497" spans="1:42" x14ac:dyDescent="0.25">
      <c r="A1497" s="28" t="str">
        <f>"15573"</f>
        <v>15573</v>
      </c>
      <c r="B1497">
        <v>15573</v>
      </c>
      <c r="C1497" t="s">
        <v>2488</v>
      </c>
      <c r="D1497" t="s">
        <v>121</v>
      </c>
      <c r="F1497" t="s">
        <v>149</v>
      </c>
      <c r="G1497" t="s">
        <v>895</v>
      </c>
      <c r="I1497" t="s">
        <v>5594</v>
      </c>
      <c r="J1497" t="s">
        <v>126</v>
      </c>
      <c r="K1497" s="63">
        <v>22898</v>
      </c>
      <c r="L1497" s="28">
        <f>DATEDIF(K1497,Zwift25!G$1,"Y")</f>
        <v>62</v>
      </c>
      <c r="M1497" s="67">
        <f>IF(J1497="m",VLOOKUP(L1497,'All Solo Adjustments'!A:D,4,FALSE),VLOOKUP(L1497,'All Solo Adjustments'!A:J,10,FALSE))</f>
        <v>7.6041666666666662E-3</v>
      </c>
      <c r="N1497" s="63"/>
      <c r="O1497" s="63"/>
      <c r="P1497" s="63"/>
      <c r="Q1497" s="63"/>
      <c r="R1497" t="s">
        <v>154</v>
      </c>
      <c r="S1497" t="s">
        <v>153</v>
      </c>
      <c r="T1497" t="s">
        <v>292</v>
      </c>
      <c r="U1497" t="s">
        <v>5593</v>
      </c>
      <c r="V1497" t="s">
        <v>5592</v>
      </c>
      <c r="Y1497" t="s">
        <v>5591</v>
      </c>
      <c r="Z1497" t="str">
        <f>"07794965736"</f>
        <v>07794965736</v>
      </c>
      <c r="AA1497" t="str">
        <f>""</f>
        <v/>
      </c>
      <c r="AB1497" t="s">
        <v>5590</v>
      </c>
      <c r="AC1497" t="s">
        <v>5589</v>
      </c>
      <c r="AD1497" t="s">
        <v>114</v>
      </c>
      <c r="AE1497" s="63">
        <v>45292</v>
      </c>
      <c r="AF1497" t="s">
        <v>156</v>
      </c>
      <c r="AG1497" t="s">
        <v>112</v>
      </c>
      <c r="AH1497" t="s">
        <v>112</v>
      </c>
      <c r="AI1497" s="63">
        <v>44784</v>
      </c>
      <c r="AJ1497" s="63">
        <v>45657</v>
      </c>
      <c r="AK1497" t="s">
        <v>112</v>
      </c>
      <c r="AL1497" t="s">
        <v>111</v>
      </c>
      <c r="AM1497" t="s">
        <v>111</v>
      </c>
      <c r="AN1497">
        <v>33642</v>
      </c>
      <c r="AO1497" t="s">
        <v>122</v>
      </c>
      <c r="AP1497" t="s">
        <v>122</v>
      </c>
    </row>
    <row r="1498" spans="1:42" x14ac:dyDescent="0.25">
      <c r="A1498" s="28" t="str">
        <f>"3423"</f>
        <v>3423</v>
      </c>
      <c r="B1498">
        <v>3423</v>
      </c>
      <c r="C1498" t="s">
        <v>2488</v>
      </c>
      <c r="D1498" t="s">
        <v>132</v>
      </c>
      <c r="F1498" t="s">
        <v>120</v>
      </c>
      <c r="G1498" t="s">
        <v>506</v>
      </c>
      <c r="I1498" t="s">
        <v>5588</v>
      </c>
      <c r="J1498" t="s">
        <v>7</v>
      </c>
      <c r="K1498" s="63">
        <v>11553</v>
      </c>
      <c r="L1498" s="28">
        <f>DATEDIF(K1498,Zwift25!G$1,"Y")</f>
        <v>93</v>
      </c>
      <c r="M1498" s="67">
        <f>IF(J1498="m",VLOOKUP(L1498,'All Solo Adjustments'!A:D,4,FALSE),VLOOKUP(L1498,'All Solo Adjustments'!A:J,10,FALSE))</f>
        <v>2.1516203703703704E-2</v>
      </c>
      <c r="N1498" s="63"/>
      <c r="O1498" s="63"/>
      <c r="P1498" s="63"/>
      <c r="Q1498" s="63"/>
      <c r="R1498" t="s">
        <v>125</v>
      </c>
      <c r="S1498" t="s">
        <v>170</v>
      </c>
      <c r="T1498" t="s">
        <v>292</v>
      </c>
      <c r="U1498" t="s">
        <v>5587</v>
      </c>
      <c r="V1498" t="s">
        <v>2252</v>
      </c>
      <c r="W1498" t="s">
        <v>123</v>
      </c>
      <c r="Y1498" t="s">
        <v>5586</v>
      </c>
      <c r="Z1498" t="str">
        <f>"01621 782928"</f>
        <v>01621 782928</v>
      </c>
      <c r="AA1498" t="str">
        <f>""</f>
        <v/>
      </c>
      <c r="AB1498" t="s">
        <v>2251</v>
      </c>
      <c r="AD1498" t="s">
        <v>145</v>
      </c>
      <c r="AE1498" s="63">
        <v>45322</v>
      </c>
      <c r="AF1498" t="s">
        <v>113</v>
      </c>
      <c r="AG1498" t="s">
        <v>112</v>
      </c>
      <c r="AH1498" t="s">
        <v>112</v>
      </c>
      <c r="AI1498" s="63">
        <v>39347</v>
      </c>
      <c r="AJ1498" s="63">
        <v>45657</v>
      </c>
      <c r="AK1498" t="s">
        <v>111</v>
      </c>
      <c r="AL1498" t="s">
        <v>111</v>
      </c>
      <c r="AM1498" t="s">
        <v>111</v>
      </c>
      <c r="AN1498" t="s">
        <v>105</v>
      </c>
      <c r="AO1498" t="s">
        <v>110</v>
      </c>
      <c r="AP1498" t="s">
        <v>109</v>
      </c>
    </row>
    <row r="1499" spans="1:42" x14ac:dyDescent="0.25">
      <c r="A1499" s="28" t="str">
        <f>"1871"</f>
        <v>1871</v>
      </c>
      <c r="B1499">
        <v>1871</v>
      </c>
      <c r="C1499" t="s">
        <v>2488</v>
      </c>
      <c r="D1499" t="s">
        <v>121</v>
      </c>
      <c r="F1499" t="s">
        <v>120</v>
      </c>
      <c r="G1499" t="s">
        <v>492</v>
      </c>
      <c r="I1499" t="s">
        <v>5585</v>
      </c>
      <c r="J1499" t="s">
        <v>7</v>
      </c>
      <c r="K1499" s="63">
        <v>14913</v>
      </c>
      <c r="L1499" s="28">
        <f>DATEDIF(K1499,Zwift25!G$1,"Y")</f>
        <v>83</v>
      </c>
      <c r="M1499" s="67">
        <f>IF(J1499="m",VLOOKUP(L1499,'All Solo Adjustments'!A:D,4,FALSE),VLOOKUP(L1499,'All Solo Adjustments'!A:J,10,FALSE))</f>
        <v>1.2858796296296297E-2</v>
      </c>
      <c r="N1499" s="63"/>
      <c r="O1499" s="63"/>
      <c r="P1499" s="63"/>
      <c r="Q1499" s="63"/>
      <c r="R1499" t="s">
        <v>154</v>
      </c>
      <c r="S1499" t="s">
        <v>153</v>
      </c>
      <c r="T1499" t="s">
        <v>292</v>
      </c>
      <c r="U1499" t="s">
        <v>5584</v>
      </c>
      <c r="V1499" t="s">
        <v>1996</v>
      </c>
      <c r="W1499" t="s">
        <v>669</v>
      </c>
      <c r="Y1499" t="s">
        <v>5583</v>
      </c>
      <c r="Z1499" t="str">
        <f>"0117 9862728"</f>
        <v>0117 9862728</v>
      </c>
      <c r="AA1499" t="str">
        <f>""</f>
        <v/>
      </c>
      <c r="AB1499" t="s">
        <v>1058</v>
      </c>
      <c r="AC1499" t="s">
        <v>5582</v>
      </c>
      <c r="AD1499" t="s">
        <v>145</v>
      </c>
      <c r="AE1499" s="63">
        <v>45310</v>
      </c>
      <c r="AF1499" t="s">
        <v>113</v>
      </c>
      <c r="AG1499" t="s">
        <v>112</v>
      </c>
      <c r="AH1499" t="s">
        <v>112</v>
      </c>
      <c r="AI1499" s="63">
        <v>29587</v>
      </c>
      <c r="AJ1499" s="63">
        <v>45657</v>
      </c>
      <c r="AK1499" t="s">
        <v>111</v>
      </c>
      <c r="AL1499" t="s">
        <v>111</v>
      </c>
      <c r="AM1499" t="s">
        <v>111</v>
      </c>
      <c r="AN1499" t="s">
        <v>105</v>
      </c>
      <c r="AO1499" t="s">
        <v>110</v>
      </c>
      <c r="AP1499" t="s">
        <v>109</v>
      </c>
    </row>
    <row r="1500" spans="1:42" x14ac:dyDescent="0.25">
      <c r="A1500" s="28" t="str">
        <f>"1873"</f>
        <v>1873</v>
      </c>
      <c r="B1500">
        <v>1873</v>
      </c>
      <c r="C1500" t="s">
        <v>2488</v>
      </c>
      <c r="D1500" t="s">
        <v>121</v>
      </c>
      <c r="F1500" t="s">
        <v>149</v>
      </c>
      <c r="G1500" t="s">
        <v>2325</v>
      </c>
      <c r="I1500" t="s">
        <v>473</v>
      </c>
      <c r="J1500" t="s">
        <v>126</v>
      </c>
      <c r="K1500" s="63">
        <v>14784</v>
      </c>
      <c r="L1500" s="28">
        <f>DATEDIF(K1500,Zwift25!G$1,"Y")</f>
        <v>84</v>
      </c>
      <c r="M1500" s="67">
        <f>IF(J1500="m",VLOOKUP(L1500,'All Solo Adjustments'!A:D,4,FALSE),VLOOKUP(L1500,'All Solo Adjustments'!A:J,10,FALSE))</f>
        <v>1.966435185185185E-2</v>
      </c>
      <c r="N1500" s="63"/>
      <c r="O1500" s="63"/>
      <c r="P1500" s="63"/>
      <c r="Q1500" s="63"/>
      <c r="R1500" t="s">
        <v>198</v>
      </c>
      <c r="S1500" t="s">
        <v>476</v>
      </c>
      <c r="T1500" t="s">
        <v>292</v>
      </c>
      <c r="U1500" t="s">
        <v>5581</v>
      </c>
      <c r="V1500" t="s">
        <v>5580</v>
      </c>
      <c r="W1500" t="s">
        <v>4482</v>
      </c>
      <c r="X1500" t="s">
        <v>1039</v>
      </c>
      <c r="Y1500" t="s">
        <v>5579</v>
      </c>
      <c r="Z1500" t="str">
        <f>"0161 748 9943"</f>
        <v>0161 748 9943</v>
      </c>
      <c r="AA1500" t="str">
        <f>""</f>
        <v/>
      </c>
      <c r="AB1500" t="s">
        <v>290</v>
      </c>
      <c r="AD1500" t="s">
        <v>151</v>
      </c>
      <c r="AF1500" t="s">
        <v>113</v>
      </c>
      <c r="AG1500" t="s">
        <v>112</v>
      </c>
      <c r="AH1500" t="s">
        <v>112</v>
      </c>
      <c r="AI1500" s="63">
        <v>32448</v>
      </c>
      <c r="AK1500" t="s">
        <v>111</v>
      </c>
      <c r="AL1500" t="s">
        <v>111</v>
      </c>
      <c r="AM1500" t="s">
        <v>111</v>
      </c>
      <c r="AN1500" t="s">
        <v>105</v>
      </c>
      <c r="AO1500" t="s">
        <v>122</v>
      </c>
      <c r="AP1500" t="s">
        <v>122</v>
      </c>
    </row>
    <row r="1501" spans="1:42" x14ac:dyDescent="0.25">
      <c r="A1501" s="28" t="str">
        <f>"15850"</f>
        <v>15850</v>
      </c>
      <c r="B1501">
        <v>15850</v>
      </c>
      <c r="C1501" t="s">
        <v>2488</v>
      </c>
      <c r="D1501" t="s">
        <v>121</v>
      </c>
      <c r="F1501" t="s">
        <v>120</v>
      </c>
      <c r="G1501" t="s">
        <v>1807</v>
      </c>
      <c r="I1501" t="s">
        <v>473</v>
      </c>
      <c r="J1501" t="s">
        <v>7</v>
      </c>
      <c r="K1501" s="63">
        <v>26796</v>
      </c>
      <c r="L1501" s="28">
        <f>DATEDIF(K1501,Zwift25!G$1,"Y")</f>
        <v>51</v>
      </c>
      <c r="M1501" s="67">
        <f>IF(J1501="m",VLOOKUP(L1501,'All Solo Adjustments'!A:D,4,FALSE),VLOOKUP(L1501,'All Solo Adjustments'!A:J,10,FALSE))</f>
        <v>1.3078703703703703E-3</v>
      </c>
      <c r="N1501" s="63"/>
      <c r="O1501" s="63"/>
      <c r="P1501" s="63"/>
      <c r="Q1501" s="63"/>
      <c r="R1501" t="s">
        <v>296</v>
      </c>
      <c r="S1501" t="s">
        <v>295</v>
      </c>
      <c r="T1501" t="s">
        <v>292</v>
      </c>
      <c r="U1501" t="s">
        <v>5578</v>
      </c>
      <c r="W1501" t="s">
        <v>5577</v>
      </c>
      <c r="Y1501" t="s">
        <v>5576</v>
      </c>
      <c r="Z1501" t="str">
        <f>"07817591708"</f>
        <v>07817591708</v>
      </c>
      <c r="AA1501" t="str">
        <f>""</f>
        <v/>
      </c>
      <c r="AB1501" t="s">
        <v>5575</v>
      </c>
      <c r="AC1501" t="s">
        <v>5574</v>
      </c>
      <c r="AD1501" t="s">
        <v>114</v>
      </c>
      <c r="AE1501" s="63">
        <v>45292</v>
      </c>
      <c r="AF1501" t="s">
        <v>156</v>
      </c>
      <c r="AG1501" t="s">
        <v>112</v>
      </c>
      <c r="AH1501" t="s">
        <v>112</v>
      </c>
      <c r="AI1501" s="63">
        <v>45091</v>
      </c>
      <c r="AJ1501" s="63">
        <v>45657</v>
      </c>
      <c r="AK1501" t="s">
        <v>112</v>
      </c>
      <c r="AL1501" t="s">
        <v>111</v>
      </c>
      <c r="AM1501" t="s">
        <v>111</v>
      </c>
      <c r="AN1501">
        <v>20454</v>
      </c>
      <c r="AO1501" t="s">
        <v>110</v>
      </c>
      <c r="AP1501" t="s">
        <v>109</v>
      </c>
    </row>
    <row r="1502" spans="1:42" x14ac:dyDescent="0.25">
      <c r="A1502" s="28" t="str">
        <f>"4405"</f>
        <v>4405</v>
      </c>
      <c r="B1502">
        <v>4405</v>
      </c>
      <c r="C1502" t="s">
        <v>2488</v>
      </c>
      <c r="D1502" t="s">
        <v>121</v>
      </c>
      <c r="F1502" t="s">
        <v>120</v>
      </c>
      <c r="G1502" t="s">
        <v>1439</v>
      </c>
      <c r="I1502" t="s">
        <v>5573</v>
      </c>
      <c r="J1502" t="s">
        <v>7</v>
      </c>
      <c r="K1502" s="63">
        <v>24958</v>
      </c>
      <c r="L1502" s="28">
        <f>DATEDIF(K1502,Zwift25!G$1,"Y")</f>
        <v>56</v>
      </c>
      <c r="M1502" s="67">
        <f>IF(J1502="m",VLOOKUP(L1502,'All Solo Adjustments'!A:D,4,FALSE),VLOOKUP(L1502,'All Solo Adjustments'!A:J,10,FALSE))</f>
        <v>2.2685185185185182E-3</v>
      </c>
      <c r="N1502" s="63"/>
      <c r="O1502" s="63"/>
      <c r="P1502" s="63"/>
      <c r="Q1502" s="63"/>
      <c r="R1502" t="s">
        <v>180</v>
      </c>
      <c r="S1502" t="s">
        <v>179</v>
      </c>
      <c r="T1502" t="s">
        <v>292</v>
      </c>
      <c r="U1502" t="s">
        <v>5572</v>
      </c>
      <c r="V1502" t="s">
        <v>5571</v>
      </c>
      <c r="W1502" t="s">
        <v>1544</v>
      </c>
      <c r="X1502" t="s">
        <v>368</v>
      </c>
      <c r="Y1502" t="s">
        <v>5570</v>
      </c>
      <c r="Z1502" t="str">
        <f>"01406 371294"</f>
        <v>01406 371294</v>
      </c>
      <c r="AA1502" t="str">
        <f>"07707055793 "</f>
        <v xml:space="preserve">07707055793 </v>
      </c>
      <c r="AB1502" t="s">
        <v>115</v>
      </c>
      <c r="AC1502" t="s">
        <v>5569</v>
      </c>
      <c r="AD1502" t="s">
        <v>114</v>
      </c>
      <c r="AE1502" s="63">
        <v>45286</v>
      </c>
      <c r="AF1502" t="s">
        <v>156</v>
      </c>
      <c r="AG1502" t="s">
        <v>112</v>
      </c>
      <c r="AH1502" t="s">
        <v>112</v>
      </c>
      <c r="AI1502" s="63">
        <v>42745</v>
      </c>
      <c r="AJ1502" s="63">
        <v>45657</v>
      </c>
      <c r="AK1502" t="s">
        <v>111</v>
      </c>
      <c r="AL1502" t="s">
        <v>111</v>
      </c>
      <c r="AM1502" t="s">
        <v>111</v>
      </c>
      <c r="AN1502">
        <v>3978</v>
      </c>
      <c r="AO1502" t="s">
        <v>110</v>
      </c>
      <c r="AP1502" t="s">
        <v>109</v>
      </c>
    </row>
    <row r="1503" spans="1:42" x14ac:dyDescent="0.25">
      <c r="A1503" s="28" t="str">
        <f>"14224"</f>
        <v>14224</v>
      </c>
      <c r="B1503">
        <v>14224</v>
      </c>
      <c r="C1503" t="s">
        <v>2488</v>
      </c>
      <c r="D1503" t="s">
        <v>121</v>
      </c>
      <c r="F1503" t="s">
        <v>120</v>
      </c>
      <c r="G1503" t="s">
        <v>5568</v>
      </c>
      <c r="I1503" t="s">
        <v>5567</v>
      </c>
      <c r="J1503" t="s">
        <v>7</v>
      </c>
      <c r="K1503" s="63">
        <v>28348</v>
      </c>
      <c r="L1503" s="28">
        <f>DATEDIF(K1503,Zwift25!G$1,"Y")</f>
        <v>47</v>
      </c>
      <c r="M1503" s="67">
        <f>IF(J1503="m",VLOOKUP(L1503,'All Solo Adjustments'!A:D,4,FALSE),VLOOKUP(L1503,'All Solo Adjustments'!A:J,10,FALSE))</f>
        <v>6.9444444444444436E-4</v>
      </c>
      <c r="N1503" s="63"/>
      <c r="O1503" s="63"/>
      <c r="P1503" s="63"/>
      <c r="Q1503" s="63"/>
      <c r="R1503" t="s">
        <v>125</v>
      </c>
      <c r="S1503" t="s">
        <v>170</v>
      </c>
      <c r="T1503" t="s">
        <v>292</v>
      </c>
      <c r="U1503" t="s">
        <v>5566</v>
      </c>
      <c r="V1503" t="s">
        <v>830</v>
      </c>
      <c r="W1503" t="s">
        <v>829</v>
      </c>
      <c r="Y1503" t="s">
        <v>827</v>
      </c>
      <c r="Z1503" t="str">
        <f>"07941032196"</f>
        <v>07941032196</v>
      </c>
      <c r="AA1503" t="str">
        <f>""</f>
        <v/>
      </c>
      <c r="AB1503" t="s">
        <v>464</v>
      </c>
      <c r="AC1503" t="s">
        <v>5565</v>
      </c>
      <c r="AD1503" t="s">
        <v>114</v>
      </c>
      <c r="AE1503" s="63">
        <v>45455</v>
      </c>
      <c r="AF1503" t="s">
        <v>156</v>
      </c>
      <c r="AG1503" t="s">
        <v>112</v>
      </c>
      <c r="AH1503" t="s">
        <v>112</v>
      </c>
      <c r="AI1503" s="63">
        <v>43602</v>
      </c>
      <c r="AJ1503" s="63">
        <v>45657</v>
      </c>
      <c r="AK1503" t="s">
        <v>112</v>
      </c>
      <c r="AL1503" t="s">
        <v>111</v>
      </c>
      <c r="AM1503" t="s">
        <v>111</v>
      </c>
      <c r="AN1503">
        <v>5563</v>
      </c>
      <c r="AO1503" t="s">
        <v>110</v>
      </c>
      <c r="AP1503" t="s">
        <v>109</v>
      </c>
    </row>
    <row r="1504" spans="1:42" x14ac:dyDescent="0.25">
      <c r="A1504" s="28" t="str">
        <f>"3129"</f>
        <v>3129</v>
      </c>
      <c r="B1504">
        <v>3129</v>
      </c>
      <c r="C1504" t="s">
        <v>2488</v>
      </c>
      <c r="D1504" t="s">
        <v>121</v>
      </c>
      <c r="F1504" t="s">
        <v>120</v>
      </c>
      <c r="G1504" t="s">
        <v>1496</v>
      </c>
      <c r="I1504" t="s">
        <v>5564</v>
      </c>
      <c r="J1504" t="s">
        <v>7</v>
      </c>
      <c r="K1504" s="63">
        <v>16633</v>
      </c>
      <c r="L1504" s="28">
        <f>DATEDIF(K1504,Zwift25!G$1,"Y")</f>
        <v>79</v>
      </c>
      <c r="M1504" s="67">
        <f>IF(J1504="m",VLOOKUP(L1504,'All Solo Adjustments'!A:D,4,FALSE),VLOOKUP(L1504,'All Solo Adjustments'!A:J,10,FALSE))</f>
        <v>1.0451388888888889E-2</v>
      </c>
      <c r="N1504" s="63"/>
      <c r="O1504" s="63"/>
      <c r="P1504" s="63"/>
      <c r="Q1504" s="63"/>
      <c r="R1504" t="s">
        <v>154</v>
      </c>
      <c r="S1504" t="s">
        <v>153</v>
      </c>
      <c r="T1504" t="s">
        <v>292</v>
      </c>
      <c r="U1504" t="s">
        <v>5563</v>
      </c>
      <c r="V1504" t="s">
        <v>5562</v>
      </c>
      <c r="W1504" t="s">
        <v>5561</v>
      </c>
      <c r="X1504" t="s">
        <v>1017</v>
      </c>
      <c r="Y1504" t="s">
        <v>5560</v>
      </c>
      <c r="Z1504" t="str">
        <f>"01326 375359"</f>
        <v>01326 375359</v>
      </c>
      <c r="AA1504" t="str">
        <f>""</f>
        <v/>
      </c>
      <c r="AB1504" t="s">
        <v>290</v>
      </c>
      <c r="AD1504" t="s">
        <v>145</v>
      </c>
      <c r="AE1504" s="63">
        <v>45288</v>
      </c>
      <c r="AF1504" t="s">
        <v>113</v>
      </c>
      <c r="AG1504" t="s">
        <v>112</v>
      </c>
      <c r="AH1504" t="s">
        <v>112</v>
      </c>
      <c r="AI1504" s="63">
        <v>39450</v>
      </c>
      <c r="AJ1504" s="63">
        <v>45657</v>
      </c>
      <c r="AK1504" t="s">
        <v>111</v>
      </c>
      <c r="AL1504" t="s">
        <v>111</v>
      </c>
      <c r="AM1504" t="s">
        <v>111</v>
      </c>
      <c r="AN1504" t="s">
        <v>105</v>
      </c>
      <c r="AO1504" t="s">
        <v>110</v>
      </c>
      <c r="AP1504" t="s">
        <v>109</v>
      </c>
    </row>
    <row r="1505" spans="1:42" x14ac:dyDescent="0.25">
      <c r="A1505" s="28" t="str">
        <f>"4035"</f>
        <v>4035</v>
      </c>
      <c r="B1505">
        <v>4035</v>
      </c>
      <c r="C1505" t="s">
        <v>2488</v>
      </c>
      <c r="D1505" t="s">
        <v>132</v>
      </c>
      <c r="F1505" t="s">
        <v>120</v>
      </c>
      <c r="G1505" t="s">
        <v>1377</v>
      </c>
      <c r="H1505" t="s">
        <v>234</v>
      </c>
      <c r="I1505" t="s">
        <v>5553</v>
      </c>
      <c r="J1505" t="s">
        <v>7</v>
      </c>
      <c r="K1505" s="63">
        <v>20126</v>
      </c>
      <c r="L1505" s="28">
        <f>DATEDIF(K1505,Zwift25!G$1,"Y")</f>
        <v>69</v>
      </c>
      <c r="M1505" s="67">
        <f>IF(J1505="m",VLOOKUP(L1505,'All Solo Adjustments'!A:D,4,FALSE),VLOOKUP(L1505,'All Solo Adjustments'!A:J,10,FALSE))</f>
        <v>5.9722222222222225E-3</v>
      </c>
      <c r="N1505" s="63"/>
      <c r="O1505" s="63"/>
      <c r="P1505" s="63"/>
      <c r="Q1505" s="63"/>
      <c r="R1505" t="s">
        <v>180</v>
      </c>
      <c r="S1505" t="s">
        <v>1741</v>
      </c>
      <c r="T1505" t="s">
        <v>292</v>
      </c>
      <c r="U1505" t="s">
        <v>5557</v>
      </c>
      <c r="V1505" t="s">
        <v>5556</v>
      </c>
      <c r="W1505" t="s">
        <v>259</v>
      </c>
      <c r="Y1505" t="s">
        <v>5555</v>
      </c>
      <c r="Z1505" t="str">
        <f>"01509 813977"</f>
        <v>01509 813977</v>
      </c>
      <c r="AA1505" t="str">
        <f>"07732120382"</f>
        <v>07732120382</v>
      </c>
      <c r="AB1505" t="s">
        <v>216</v>
      </c>
      <c r="AC1505" t="s">
        <v>5559</v>
      </c>
      <c r="AD1505" t="s">
        <v>114</v>
      </c>
      <c r="AE1505" s="63">
        <v>45278</v>
      </c>
      <c r="AF1505" t="s">
        <v>113</v>
      </c>
      <c r="AG1505" t="s">
        <v>112</v>
      </c>
      <c r="AH1505" t="s">
        <v>112</v>
      </c>
      <c r="AI1505" s="63">
        <v>40331</v>
      </c>
      <c r="AJ1505" s="63">
        <v>45657</v>
      </c>
      <c r="AK1505" t="s">
        <v>111</v>
      </c>
      <c r="AL1505" t="s">
        <v>111</v>
      </c>
      <c r="AM1505" t="s">
        <v>111</v>
      </c>
      <c r="AN1505">
        <v>4697</v>
      </c>
      <c r="AO1505" t="s">
        <v>110</v>
      </c>
      <c r="AP1505" t="s">
        <v>109</v>
      </c>
    </row>
    <row r="1506" spans="1:42" x14ac:dyDescent="0.25">
      <c r="A1506" s="28" t="str">
        <f>"10414"</f>
        <v>10414</v>
      </c>
      <c r="B1506">
        <v>10414</v>
      </c>
      <c r="C1506" t="s">
        <v>2488</v>
      </c>
      <c r="D1506" t="s">
        <v>130</v>
      </c>
      <c r="F1506" t="s">
        <v>149</v>
      </c>
      <c r="G1506" t="s">
        <v>5558</v>
      </c>
      <c r="I1506" t="s">
        <v>5553</v>
      </c>
      <c r="J1506" t="s">
        <v>126</v>
      </c>
      <c r="K1506" s="63">
        <v>24995</v>
      </c>
      <c r="L1506" s="28">
        <f>DATEDIF(K1506,Zwift25!G$1,"Y")</f>
        <v>56</v>
      </c>
      <c r="M1506" s="67">
        <f>IF(J1506="m",VLOOKUP(L1506,'All Solo Adjustments'!A:D,4,FALSE),VLOOKUP(L1506,'All Solo Adjustments'!A:J,10,FALSE))</f>
        <v>5.8564814814814807E-3</v>
      </c>
      <c r="N1506" s="63"/>
      <c r="O1506" s="63"/>
      <c r="P1506" s="63"/>
      <c r="Q1506" s="63"/>
      <c r="R1506" t="s">
        <v>180</v>
      </c>
      <c r="S1506" t="s">
        <v>1741</v>
      </c>
      <c r="T1506" t="s">
        <v>292</v>
      </c>
      <c r="U1506" t="s">
        <v>5557</v>
      </c>
      <c r="V1506" t="s">
        <v>5556</v>
      </c>
      <c r="W1506" t="s">
        <v>259</v>
      </c>
      <c r="Y1506" t="s">
        <v>5555</v>
      </c>
      <c r="Z1506" t="str">
        <f>"01509 813977"</f>
        <v>01509 813977</v>
      </c>
      <c r="AA1506" t="str">
        <f>"07732120382"</f>
        <v>07732120382</v>
      </c>
      <c r="AB1506" t="s">
        <v>216</v>
      </c>
      <c r="AC1506" t="s">
        <v>5554</v>
      </c>
      <c r="AD1506" t="s">
        <v>114</v>
      </c>
      <c r="AE1506" s="63">
        <v>45278</v>
      </c>
      <c r="AF1506" t="s">
        <v>113</v>
      </c>
      <c r="AG1506" t="s">
        <v>112</v>
      </c>
      <c r="AH1506" t="s">
        <v>112</v>
      </c>
      <c r="AI1506" s="63">
        <v>40331</v>
      </c>
      <c r="AJ1506" s="63">
        <v>45657</v>
      </c>
      <c r="AK1506" t="s">
        <v>111</v>
      </c>
      <c r="AL1506" t="s">
        <v>111</v>
      </c>
      <c r="AM1506" t="s">
        <v>111</v>
      </c>
      <c r="AN1506" t="s">
        <v>105</v>
      </c>
      <c r="AO1506" t="s">
        <v>122</v>
      </c>
      <c r="AP1506" t="s">
        <v>122</v>
      </c>
    </row>
    <row r="1507" spans="1:42" x14ac:dyDescent="0.25">
      <c r="A1507" s="28" t="str">
        <f>"1889"</f>
        <v>1889</v>
      </c>
      <c r="B1507">
        <v>1889</v>
      </c>
      <c r="C1507" t="s">
        <v>2488</v>
      </c>
      <c r="D1507" t="s">
        <v>121</v>
      </c>
      <c r="F1507" t="s">
        <v>403</v>
      </c>
      <c r="G1507" t="s">
        <v>614</v>
      </c>
      <c r="I1507" t="s">
        <v>5553</v>
      </c>
      <c r="J1507" t="s">
        <v>7</v>
      </c>
      <c r="K1507" s="63">
        <v>19098</v>
      </c>
      <c r="L1507" s="28">
        <f>DATEDIF(K1507,Zwift25!G$1,"Y")</f>
        <v>72</v>
      </c>
      <c r="M1507" s="67">
        <f>IF(J1507="m",VLOOKUP(L1507,'All Solo Adjustments'!A:D,4,FALSE),VLOOKUP(L1507,'All Solo Adjustments'!A:J,10,FALSE))</f>
        <v>7.129629629629629E-3</v>
      </c>
      <c r="N1507" s="63"/>
      <c r="O1507" s="63"/>
      <c r="P1507" s="63"/>
      <c r="Q1507" s="63"/>
      <c r="R1507" t="s">
        <v>125</v>
      </c>
      <c r="S1507" t="s">
        <v>170</v>
      </c>
      <c r="T1507" t="s">
        <v>292</v>
      </c>
      <c r="U1507" t="s">
        <v>5552</v>
      </c>
      <c r="V1507" t="s">
        <v>1586</v>
      </c>
      <c r="W1507" t="s">
        <v>223</v>
      </c>
      <c r="X1507" t="s">
        <v>201</v>
      </c>
      <c r="Y1507" t="s">
        <v>5551</v>
      </c>
      <c r="Z1507" t="str">
        <f>"01223 870963"</f>
        <v>01223 870963</v>
      </c>
      <c r="AA1507" t="str">
        <f>""</f>
        <v/>
      </c>
      <c r="AB1507" t="s">
        <v>1257</v>
      </c>
      <c r="AC1507" t="s">
        <v>5550</v>
      </c>
      <c r="AD1507" t="s">
        <v>145</v>
      </c>
      <c r="AE1507" s="63">
        <v>45300</v>
      </c>
      <c r="AF1507" t="s">
        <v>113</v>
      </c>
      <c r="AG1507" t="s">
        <v>112</v>
      </c>
      <c r="AH1507" t="s">
        <v>112</v>
      </c>
      <c r="AI1507" s="63">
        <v>38838</v>
      </c>
      <c r="AJ1507" s="63">
        <v>45657</v>
      </c>
      <c r="AK1507" t="s">
        <v>111</v>
      </c>
      <c r="AL1507" t="s">
        <v>111</v>
      </c>
      <c r="AM1507" t="s">
        <v>111</v>
      </c>
      <c r="AN1507">
        <v>379</v>
      </c>
      <c r="AO1507" t="s">
        <v>110</v>
      </c>
      <c r="AP1507" t="s">
        <v>109</v>
      </c>
    </row>
    <row r="1508" spans="1:42" x14ac:dyDescent="0.25">
      <c r="A1508" s="28" t="str">
        <f>"1890"</f>
        <v>1890</v>
      </c>
      <c r="B1508">
        <v>1890</v>
      </c>
      <c r="C1508" t="s">
        <v>2488</v>
      </c>
      <c r="D1508" t="s">
        <v>121</v>
      </c>
      <c r="F1508" t="s">
        <v>120</v>
      </c>
      <c r="G1508" t="s">
        <v>5549</v>
      </c>
      <c r="I1508" t="s">
        <v>5548</v>
      </c>
      <c r="J1508" t="s">
        <v>7</v>
      </c>
      <c r="K1508" s="63">
        <v>12189</v>
      </c>
      <c r="L1508" s="28">
        <f>DATEDIF(K1508,Zwift25!G$1,"Y")</f>
        <v>91</v>
      </c>
      <c r="M1508" s="67">
        <f>IF(J1508="m",VLOOKUP(L1508,'All Solo Adjustments'!A:D,4,FALSE),VLOOKUP(L1508,'All Solo Adjustments'!A:J,10,FALSE))</f>
        <v>1.9363425925925926E-2</v>
      </c>
      <c r="N1508" s="63"/>
      <c r="O1508" s="63"/>
      <c r="P1508" s="63"/>
      <c r="Q1508" s="63"/>
      <c r="R1508" t="s">
        <v>125</v>
      </c>
      <c r="S1508" t="s">
        <v>5547</v>
      </c>
      <c r="T1508" t="s">
        <v>292</v>
      </c>
      <c r="U1508" t="s">
        <v>5546</v>
      </c>
      <c r="V1508" t="s">
        <v>647</v>
      </c>
      <c r="W1508" t="s">
        <v>146</v>
      </c>
      <c r="Y1508" t="s">
        <v>5545</v>
      </c>
      <c r="Z1508" t="str">
        <f>"01438 814154"</f>
        <v>01438 814154</v>
      </c>
      <c r="AA1508" t="str">
        <f>""</f>
        <v/>
      </c>
      <c r="AB1508" t="s">
        <v>2463</v>
      </c>
      <c r="AC1508" t="s">
        <v>5544</v>
      </c>
      <c r="AD1508" t="s">
        <v>145</v>
      </c>
      <c r="AF1508" t="s">
        <v>113</v>
      </c>
      <c r="AG1508" t="s">
        <v>112</v>
      </c>
      <c r="AH1508" t="s">
        <v>112</v>
      </c>
      <c r="AI1508" s="63">
        <v>28148</v>
      </c>
      <c r="AK1508" t="s">
        <v>111</v>
      </c>
      <c r="AL1508" t="s">
        <v>111</v>
      </c>
      <c r="AM1508" t="s">
        <v>111</v>
      </c>
      <c r="AN1508">
        <v>5515</v>
      </c>
      <c r="AO1508" t="s">
        <v>110</v>
      </c>
      <c r="AP1508" t="s">
        <v>109</v>
      </c>
    </row>
    <row r="1509" spans="1:42" x14ac:dyDescent="0.25">
      <c r="A1509" s="28" t="str">
        <f>"15049"</f>
        <v>15049</v>
      </c>
      <c r="B1509">
        <v>15049</v>
      </c>
      <c r="C1509" t="s">
        <v>2488</v>
      </c>
      <c r="D1509" t="s">
        <v>121</v>
      </c>
      <c r="F1509" t="s">
        <v>120</v>
      </c>
      <c r="G1509" t="s">
        <v>373</v>
      </c>
      <c r="I1509" t="s">
        <v>5543</v>
      </c>
      <c r="J1509" t="s">
        <v>7</v>
      </c>
      <c r="K1509" s="63">
        <v>27280</v>
      </c>
      <c r="L1509" s="28">
        <f>DATEDIF(K1509,Zwift25!G$1,"Y")</f>
        <v>50</v>
      </c>
      <c r="M1509" s="67">
        <f>IF(J1509="m",VLOOKUP(L1509,'All Solo Adjustments'!A:D,4,FALSE),VLOOKUP(L1509,'All Solo Adjustments'!A:J,10,FALSE))</f>
        <v>1.1342592592592591E-3</v>
      </c>
      <c r="N1509" s="63"/>
      <c r="O1509" s="63"/>
      <c r="P1509" s="63"/>
      <c r="Q1509" s="63"/>
      <c r="R1509" t="s">
        <v>180</v>
      </c>
      <c r="S1509" t="s">
        <v>179</v>
      </c>
      <c r="T1509" t="s">
        <v>292</v>
      </c>
      <c r="U1509" t="s">
        <v>5542</v>
      </c>
      <c r="V1509" t="s">
        <v>3251</v>
      </c>
      <c r="W1509" t="s">
        <v>992</v>
      </c>
      <c r="X1509" t="s">
        <v>259</v>
      </c>
      <c r="Y1509" t="s">
        <v>5541</v>
      </c>
      <c r="Z1509" t="str">
        <f>"07974157044"</f>
        <v>07974157044</v>
      </c>
      <c r="AA1509" t="str">
        <f>""</f>
        <v/>
      </c>
      <c r="AB1509" t="s">
        <v>865</v>
      </c>
      <c r="AC1509" t="s">
        <v>5540</v>
      </c>
      <c r="AD1509" t="s">
        <v>114</v>
      </c>
      <c r="AE1509" s="63">
        <v>45355</v>
      </c>
      <c r="AF1509" t="s">
        <v>156</v>
      </c>
      <c r="AG1509" t="s">
        <v>112</v>
      </c>
      <c r="AH1509" t="s">
        <v>112</v>
      </c>
      <c r="AI1509" s="63">
        <v>44319</v>
      </c>
      <c r="AJ1509" s="63">
        <v>45657</v>
      </c>
      <c r="AK1509" t="s">
        <v>112</v>
      </c>
      <c r="AL1509" t="s">
        <v>111</v>
      </c>
      <c r="AM1509" t="s">
        <v>111</v>
      </c>
      <c r="AN1509">
        <v>1353</v>
      </c>
      <c r="AO1509" t="s">
        <v>110</v>
      </c>
      <c r="AP1509" t="s">
        <v>109</v>
      </c>
    </row>
    <row r="1510" spans="1:42" x14ac:dyDescent="0.25">
      <c r="A1510" s="28" t="str">
        <f>"5200"</f>
        <v>5200</v>
      </c>
      <c r="B1510">
        <v>5200</v>
      </c>
      <c r="C1510" t="s">
        <v>2488</v>
      </c>
      <c r="D1510" t="s">
        <v>121</v>
      </c>
      <c r="F1510" t="s">
        <v>120</v>
      </c>
      <c r="G1510" t="s">
        <v>546</v>
      </c>
      <c r="I1510" t="s">
        <v>1503</v>
      </c>
      <c r="J1510" t="s">
        <v>7</v>
      </c>
      <c r="K1510" s="63">
        <v>23906</v>
      </c>
      <c r="L1510" s="28">
        <f>DATEDIF(K1510,Zwift25!G$1,"Y")</f>
        <v>59</v>
      </c>
      <c r="M1510" s="67">
        <f>IF(J1510="m",VLOOKUP(L1510,'All Solo Adjustments'!A:D,4,FALSE),VLOOKUP(L1510,'All Solo Adjustments'!A:J,10,FALSE))</f>
        <v>2.9629629629629632E-3</v>
      </c>
      <c r="N1510" s="63"/>
      <c r="O1510" s="63"/>
      <c r="P1510" s="63"/>
      <c r="Q1510" s="63"/>
      <c r="R1510" t="s">
        <v>143</v>
      </c>
      <c r="S1510" t="s">
        <v>142</v>
      </c>
      <c r="T1510" t="s">
        <v>292</v>
      </c>
      <c r="U1510" t="s">
        <v>5539</v>
      </c>
      <c r="V1510" t="s">
        <v>5538</v>
      </c>
      <c r="W1510" t="s">
        <v>172</v>
      </c>
      <c r="Y1510" t="s">
        <v>5537</v>
      </c>
      <c r="Z1510" t="str">
        <f>"07814 043969"</f>
        <v>07814 043969</v>
      </c>
      <c r="AA1510" t="str">
        <f>""</f>
        <v/>
      </c>
      <c r="AB1510" t="s">
        <v>5536</v>
      </c>
      <c r="AC1510" t="s">
        <v>5535</v>
      </c>
      <c r="AD1510" t="s">
        <v>114</v>
      </c>
      <c r="AE1510" s="63">
        <v>45292</v>
      </c>
      <c r="AF1510" t="s">
        <v>113</v>
      </c>
      <c r="AG1510" t="s">
        <v>112</v>
      </c>
      <c r="AH1510" t="s">
        <v>112</v>
      </c>
      <c r="AI1510" s="63">
        <v>42014</v>
      </c>
      <c r="AJ1510" s="63">
        <v>45657</v>
      </c>
      <c r="AK1510" t="s">
        <v>111</v>
      </c>
      <c r="AL1510" t="s">
        <v>111</v>
      </c>
      <c r="AM1510" t="s">
        <v>111</v>
      </c>
      <c r="AN1510">
        <v>5985</v>
      </c>
      <c r="AO1510" t="s">
        <v>110</v>
      </c>
      <c r="AP1510" t="s">
        <v>109</v>
      </c>
    </row>
    <row r="1511" spans="1:42" x14ac:dyDescent="0.25">
      <c r="A1511" s="28" t="str">
        <f>"4654"</f>
        <v>4654</v>
      </c>
      <c r="B1511">
        <v>4654</v>
      </c>
      <c r="C1511" t="s">
        <v>2488</v>
      </c>
      <c r="D1511" t="s">
        <v>121</v>
      </c>
      <c r="E1511" t="s">
        <v>584</v>
      </c>
      <c r="F1511" t="s">
        <v>149</v>
      </c>
      <c r="G1511" t="s">
        <v>5534</v>
      </c>
      <c r="H1511" t="s">
        <v>5533</v>
      </c>
      <c r="I1511" t="s">
        <v>5532</v>
      </c>
      <c r="J1511" t="s">
        <v>126</v>
      </c>
      <c r="K1511" s="63">
        <v>21514</v>
      </c>
      <c r="L1511" s="28">
        <f>DATEDIF(K1511,Zwift25!G$1,"Y")</f>
        <v>65</v>
      </c>
      <c r="M1511" s="67">
        <f>IF(J1511="m",VLOOKUP(L1511,'All Solo Adjustments'!A:D,4,FALSE),VLOOKUP(L1511,'All Solo Adjustments'!A:J,10,FALSE))</f>
        <v>8.9467592592592585E-3</v>
      </c>
      <c r="N1511" s="63"/>
      <c r="O1511" s="63"/>
      <c r="P1511" s="63"/>
      <c r="Q1511" s="63"/>
      <c r="R1511" t="s">
        <v>296</v>
      </c>
      <c r="S1511" t="s">
        <v>295</v>
      </c>
      <c r="T1511" t="s">
        <v>292</v>
      </c>
      <c r="U1511" t="s">
        <v>5531</v>
      </c>
      <c r="V1511" t="s">
        <v>5530</v>
      </c>
      <c r="W1511" t="s">
        <v>5529</v>
      </c>
      <c r="X1511" t="s">
        <v>5528</v>
      </c>
      <c r="Y1511" t="s">
        <v>5527</v>
      </c>
      <c r="Z1511" t="str">
        <f>"07495 660511"</f>
        <v>07495 660511</v>
      </c>
      <c r="AA1511" t="str">
        <f>""</f>
        <v/>
      </c>
      <c r="AB1511" t="s">
        <v>5526</v>
      </c>
      <c r="AC1511" t="s">
        <v>5525</v>
      </c>
      <c r="AD1511" t="s">
        <v>114</v>
      </c>
      <c r="AE1511" s="63">
        <v>45292</v>
      </c>
      <c r="AF1511" t="s">
        <v>156</v>
      </c>
      <c r="AG1511" t="s">
        <v>112</v>
      </c>
      <c r="AH1511" t="s">
        <v>112</v>
      </c>
      <c r="AI1511" s="63">
        <v>41291</v>
      </c>
      <c r="AJ1511" s="63">
        <v>45657</v>
      </c>
      <c r="AK1511" t="s">
        <v>111</v>
      </c>
      <c r="AL1511" t="s">
        <v>111</v>
      </c>
      <c r="AM1511" t="s">
        <v>111</v>
      </c>
      <c r="AN1511">
        <v>4798</v>
      </c>
      <c r="AO1511" t="s">
        <v>122</v>
      </c>
      <c r="AP1511" t="s">
        <v>122</v>
      </c>
    </row>
    <row r="1512" spans="1:42" x14ac:dyDescent="0.25">
      <c r="A1512" s="28" t="str">
        <f>"4432"</f>
        <v>4432</v>
      </c>
      <c r="B1512">
        <v>4432</v>
      </c>
      <c r="C1512" t="s">
        <v>2488</v>
      </c>
      <c r="D1512" t="s">
        <v>121</v>
      </c>
      <c r="E1512" t="s">
        <v>4918</v>
      </c>
      <c r="F1512" t="s">
        <v>120</v>
      </c>
      <c r="G1512" t="s">
        <v>251</v>
      </c>
      <c r="I1512" t="s">
        <v>5524</v>
      </c>
      <c r="J1512" t="s">
        <v>7</v>
      </c>
      <c r="K1512" s="63">
        <v>20948</v>
      </c>
      <c r="L1512" s="28">
        <f>DATEDIF(K1512,Zwift25!G$1,"Y")</f>
        <v>67</v>
      </c>
      <c r="M1512" s="67">
        <f>IF(J1512="m",VLOOKUP(L1512,'All Solo Adjustments'!A:D,4,FALSE),VLOOKUP(L1512,'All Solo Adjustments'!A:J,10,FALSE))</f>
        <v>5.2662037037037035E-3</v>
      </c>
      <c r="N1512" s="63"/>
      <c r="O1512" s="63"/>
      <c r="P1512" s="63"/>
      <c r="Q1512" s="63"/>
      <c r="R1512" t="s">
        <v>143</v>
      </c>
      <c r="S1512" t="s">
        <v>142</v>
      </c>
      <c r="T1512" t="s">
        <v>292</v>
      </c>
      <c r="U1512" t="s">
        <v>5523</v>
      </c>
      <c r="V1512" t="s">
        <v>789</v>
      </c>
      <c r="W1512" t="s">
        <v>486</v>
      </c>
      <c r="Y1512" t="s">
        <v>5522</v>
      </c>
      <c r="Z1512" t="str">
        <f>"01323 893455"</f>
        <v>01323 893455</v>
      </c>
      <c r="AA1512" t="str">
        <f>""</f>
        <v/>
      </c>
      <c r="AB1512" t="s">
        <v>429</v>
      </c>
      <c r="AC1512" t="s">
        <v>5521</v>
      </c>
      <c r="AD1512" t="s">
        <v>114</v>
      </c>
      <c r="AE1512" s="63">
        <v>45289</v>
      </c>
      <c r="AF1512" t="s">
        <v>156</v>
      </c>
      <c r="AG1512" t="s">
        <v>112</v>
      </c>
      <c r="AH1512" t="s">
        <v>112</v>
      </c>
      <c r="AI1512" s="63">
        <v>40968</v>
      </c>
      <c r="AJ1512" s="63">
        <v>45657</v>
      </c>
      <c r="AK1512" t="s">
        <v>111</v>
      </c>
      <c r="AL1512" t="s">
        <v>111</v>
      </c>
      <c r="AM1512" t="s">
        <v>111</v>
      </c>
      <c r="AN1512">
        <v>5605</v>
      </c>
      <c r="AO1512" t="s">
        <v>110</v>
      </c>
      <c r="AP1512" t="s">
        <v>109</v>
      </c>
    </row>
    <row r="1513" spans="1:42" x14ac:dyDescent="0.25">
      <c r="A1513" s="28" t="str">
        <f>"1893"</f>
        <v>1893</v>
      </c>
      <c r="B1513">
        <v>1893</v>
      </c>
      <c r="C1513" t="s">
        <v>2488</v>
      </c>
      <c r="D1513" t="s">
        <v>121</v>
      </c>
      <c r="F1513" t="s">
        <v>120</v>
      </c>
      <c r="G1513" t="s">
        <v>2067</v>
      </c>
      <c r="I1513" t="s">
        <v>468</v>
      </c>
      <c r="J1513" t="s">
        <v>7</v>
      </c>
      <c r="K1513" s="63">
        <v>11740</v>
      </c>
      <c r="L1513" s="28">
        <f>DATEDIF(K1513,Zwift25!G$1,"Y")</f>
        <v>92</v>
      </c>
      <c r="M1513" s="67">
        <f>IF(J1513="m",VLOOKUP(L1513,'All Solo Adjustments'!A:D,4,FALSE),VLOOKUP(L1513,'All Solo Adjustments'!A:J,10,FALSE))</f>
        <v>2.0405092592592593E-2</v>
      </c>
      <c r="N1513" s="63"/>
      <c r="O1513" s="63"/>
      <c r="P1513" s="63"/>
      <c r="Q1513" s="63"/>
      <c r="R1513" t="s">
        <v>137</v>
      </c>
      <c r="S1513" t="s">
        <v>2312</v>
      </c>
      <c r="T1513" t="s">
        <v>292</v>
      </c>
      <c r="U1513" t="s">
        <v>5520</v>
      </c>
      <c r="V1513" t="s">
        <v>717</v>
      </c>
      <c r="W1513" t="s">
        <v>603</v>
      </c>
      <c r="Y1513" t="s">
        <v>5519</v>
      </c>
      <c r="Z1513" t="str">
        <f>"01189 867144"</f>
        <v>01189 867144</v>
      </c>
      <c r="AA1513" t="str">
        <f>""</f>
        <v/>
      </c>
      <c r="AB1513" t="s">
        <v>2196</v>
      </c>
      <c r="AC1513" t="s">
        <v>5518</v>
      </c>
      <c r="AD1513" t="s">
        <v>151</v>
      </c>
      <c r="AF1513" t="s">
        <v>113</v>
      </c>
      <c r="AG1513" t="s">
        <v>112</v>
      </c>
      <c r="AH1513" t="s">
        <v>112</v>
      </c>
      <c r="AI1513" s="63">
        <v>26419</v>
      </c>
      <c r="AK1513" t="s">
        <v>111</v>
      </c>
      <c r="AL1513" t="s">
        <v>111</v>
      </c>
      <c r="AM1513" t="s">
        <v>111</v>
      </c>
      <c r="AN1513" t="s">
        <v>105</v>
      </c>
      <c r="AO1513" t="s">
        <v>110</v>
      </c>
      <c r="AP1513" t="s">
        <v>109</v>
      </c>
    </row>
    <row r="1514" spans="1:42" x14ac:dyDescent="0.25">
      <c r="A1514" s="28" t="str">
        <f>"6254"</f>
        <v>6254</v>
      </c>
      <c r="B1514">
        <v>6254</v>
      </c>
      <c r="C1514" t="s">
        <v>2488</v>
      </c>
      <c r="D1514" t="s">
        <v>121</v>
      </c>
      <c r="F1514" t="s">
        <v>120</v>
      </c>
      <c r="G1514" t="s">
        <v>402</v>
      </c>
      <c r="I1514" t="s">
        <v>5517</v>
      </c>
      <c r="J1514" t="s">
        <v>7</v>
      </c>
      <c r="K1514" s="63">
        <v>21993</v>
      </c>
      <c r="L1514" s="28">
        <f>DATEDIF(K1514,Zwift25!G$1,"Y")</f>
        <v>64</v>
      </c>
      <c r="M1514" s="67">
        <f>IF(J1514="m",VLOOKUP(L1514,'All Solo Adjustments'!A:D,4,FALSE),VLOOKUP(L1514,'All Solo Adjustments'!A:J,10,FALSE))</f>
        <v>4.31712962962963E-3</v>
      </c>
      <c r="N1514" s="63"/>
      <c r="O1514" s="63"/>
      <c r="P1514" s="63"/>
      <c r="Q1514" s="63"/>
      <c r="R1514" t="s">
        <v>184</v>
      </c>
      <c r="S1514" t="s">
        <v>183</v>
      </c>
      <c r="T1514" t="s">
        <v>292</v>
      </c>
      <c r="U1514" t="s">
        <v>5516</v>
      </c>
      <c r="V1514" t="s">
        <v>5515</v>
      </c>
      <c r="W1514" t="s">
        <v>347</v>
      </c>
      <c r="Y1514" t="s">
        <v>5514</v>
      </c>
      <c r="Z1514" t="str">
        <f>"07986 511096"</f>
        <v>07986 511096</v>
      </c>
      <c r="AA1514" t="str">
        <f>""</f>
        <v/>
      </c>
      <c r="AB1514" t="s">
        <v>1491</v>
      </c>
      <c r="AC1514" t="s">
        <v>5513</v>
      </c>
      <c r="AD1514" t="s">
        <v>114</v>
      </c>
      <c r="AE1514" s="63">
        <v>45329</v>
      </c>
      <c r="AF1514" t="s">
        <v>156</v>
      </c>
      <c r="AG1514" t="s">
        <v>112</v>
      </c>
      <c r="AH1514" t="s">
        <v>112</v>
      </c>
      <c r="AI1514" s="63">
        <v>42877</v>
      </c>
      <c r="AJ1514" s="63">
        <v>45657</v>
      </c>
      <c r="AK1514" t="s">
        <v>111</v>
      </c>
      <c r="AL1514" t="s">
        <v>111</v>
      </c>
      <c r="AM1514" t="s">
        <v>111</v>
      </c>
      <c r="AN1514">
        <v>5871</v>
      </c>
      <c r="AO1514" t="s">
        <v>110</v>
      </c>
      <c r="AP1514" t="s">
        <v>109</v>
      </c>
    </row>
    <row r="1515" spans="1:42" x14ac:dyDescent="0.25">
      <c r="A1515" s="28" t="str">
        <f>"3070"</f>
        <v>3070</v>
      </c>
      <c r="B1515">
        <v>3070</v>
      </c>
      <c r="C1515" t="s">
        <v>2488</v>
      </c>
      <c r="D1515" t="s">
        <v>121</v>
      </c>
      <c r="F1515" t="s">
        <v>120</v>
      </c>
      <c r="G1515" t="s">
        <v>220</v>
      </c>
      <c r="I1515" t="s">
        <v>5509</v>
      </c>
      <c r="J1515" t="s">
        <v>7</v>
      </c>
      <c r="K1515" s="63">
        <v>17218</v>
      </c>
      <c r="L1515" s="28">
        <f>DATEDIF(K1515,Zwift25!G$1,"Y")</f>
        <v>77</v>
      </c>
      <c r="M1515" s="67">
        <f>IF(J1515="m",VLOOKUP(L1515,'All Solo Adjustments'!A:D,4,FALSE),VLOOKUP(L1515,'All Solo Adjustments'!A:J,10,FALSE))</f>
        <v>9.3981481481481485E-3</v>
      </c>
      <c r="N1515" s="63"/>
      <c r="O1515" s="63"/>
      <c r="P1515" s="63"/>
      <c r="Q1515" s="63"/>
      <c r="R1515" t="s">
        <v>184</v>
      </c>
      <c r="S1515" t="s">
        <v>183</v>
      </c>
      <c r="T1515" t="s">
        <v>292</v>
      </c>
      <c r="U1515" t="s">
        <v>5512</v>
      </c>
      <c r="V1515" t="s">
        <v>483</v>
      </c>
      <c r="Y1515" t="s">
        <v>5511</v>
      </c>
      <c r="Z1515" t="str">
        <f>"01727 836497"</f>
        <v>01727 836497</v>
      </c>
      <c r="AA1515" t="str">
        <f>"07974962295"</f>
        <v>07974962295</v>
      </c>
      <c r="AB1515" t="s">
        <v>482</v>
      </c>
      <c r="AC1515" t="s">
        <v>5510</v>
      </c>
      <c r="AD1515" t="s">
        <v>114</v>
      </c>
      <c r="AE1515" s="63">
        <v>45264</v>
      </c>
      <c r="AF1515" t="s">
        <v>156</v>
      </c>
      <c r="AG1515" t="s">
        <v>112</v>
      </c>
      <c r="AH1515" t="s">
        <v>112</v>
      </c>
      <c r="AI1515" s="63">
        <v>39289</v>
      </c>
      <c r="AJ1515" s="63">
        <v>45657</v>
      </c>
      <c r="AK1515" t="s">
        <v>111</v>
      </c>
      <c r="AL1515" t="s">
        <v>111</v>
      </c>
      <c r="AM1515" t="s">
        <v>111</v>
      </c>
      <c r="AN1515">
        <v>3199</v>
      </c>
      <c r="AO1515" t="s">
        <v>110</v>
      </c>
      <c r="AP1515" t="s">
        <v>109</v>
      </c>
    </row>
    <row r="1516" spans="1:42" x14ac:dyDescent="0.25">
      <c r="A1516" s="28" t="str">
        <f>"3589"</f>
        <v>3589</v>
      </c>
      <c r="B1516">
        <v>3589</v>
      </c>
      <c r="C1516" t="s">
        <v>2488</v>
      </c>
      <c r="D1516" t="s">
        <v>121</v>
      </c>
      <c r="F1516" t="s">
        <v>120</v>
      </c>
      <c r="G1516" t="s">
        <v>952</v>
      </c>
      <c r="H1516" t="s">
        <v>230</v>
      </c>
      <c r="I1516" t="s">
        <v>5509</v>
      </c>
      <c r="J1516" t="s">
        <v>7</v>
      </c>
      <c r="K1516" s="63">
        <v>22749</v>
      </c>
      <c r="L1516" s="28">
        <f>DATEDIF(K1516,Zwift25!G$1,"Y")</f>
        <v>62</v>
      </c>
      <c r="M1516" s="67">
        <f>IF(J1516="m",VLOOKUP(L1516,'All Solo Adjustments'!A:D,4,FALSE),VLOOKUP(L1516,'All Solo Adjustments'!A:J,10,FALSE))</f>
        <v>3.7384259259259259E-3</v>
      </c>
      <c r="N1516" s="63"/>
      <c r="O1516" s="63"/>
      <c r="P1516" s="63"/>
      <c r="Q1516" s="63"/>
      <c r="R1516" t="s">
        <v>125</v>
      </c>
      <c r="S1516" t="s">
        <v>170</v>
      </c>
      <c r="T1516" t="s">
        <v>292</v>
      </c>
      <c r="U1516" t="s">
        <v>5508</v>
      </c>
      <c r="V1516" t="s">
        <v>309</v>
      </c>
      <c r="W1516" t="s">
        <v>146</v>
      </c>
      <c r="Y1516" t="s">
        <v>5507</v>
      </c>
      <c r="Z1516" t="str">
        <f>"01462 420753"</f>
        <v>01462 420753</v>
      </c>
      <c r="AA1516" t="str">
        <f>""</f>
        <v/>
      </c>
      <c r="AB1516" t="s">
        <v>646</v>
      </c>
      <c r="AC1516" t="s">
        <v>5506</v>
      </c>
      <c r="AD1516" t="s">
        <v>114</v>
      </c>
      <c r="AE1516" s="63">
        <v>45301</v>
      </c>
      <c r="AF1516" t="s">
        <v>113</v>
      </c>
      <c r="AG1516" t="s">
        <v>112</v>
      </c>
      <c r="AH1516" t="s">
        <v>112</v>
      </c>
      <c r="AI1516" s="63">
        <v>39895</v>
      </c>
      <c r="AJ1516" s="63">
        <v>45657</v>
      </c>
      <c r="AK1516" t="s">
        <v>111</v>
      </c>
      <c r="AL1516" t="s">
        <v>111</v>
      </c>
      <c r="AM1516" t="s">
        <v>111</v>
      </c>
      <c r="AN1516">
        <v>467</v>
      </c>
      <c r="AO1516" t="s">
        <v>110</v>
      </c>
      <c r="AP1516" t="s">
        <v>109</v>
      </c>
    </row>
    <row r="1517" spans="1:42" x14ac:dyDescent="0.25">
      <c r="A1517" s="28" t="str">
        <f>"1894"</f>
        <v>1894</v>
      </c>
      <c r="B1517">
        <v>1894</v>
      </c>
      <c r="C1517" t="s">
        <v>2488</v>
      </c>
      <c r="D1517" t="s">
        <v>121</v>
      </c>
      <c r="F1517" t="s">
        <v>120</v>
      </c>
      <c r="G1517" t="s">
        <v>522</v>
      </c>
      <c r="I1517" t="s">
        <v>5505</v>
      </c>
      <c r="J1517" t="s">
        <v>7</v>
      </c>
      <c r="K1517" s="63">
        <v>19693</v>
      </c>
      <c r="L1517" s="28">
        <f>DATEDIF(K1517,Zwift25!G$1,"Y")</f>
        <v>70</v>
      </c>
      <c r="M1517" s="67">
        <f>IF(J1517="m",VLOOKUP(L1517,'All Solo Adjustments'!A:D,4,FALSE),VLOOKUP(L1517,'All Solo Adjustments'!A:J,10,FALSE))</f>
        <v>6.3425925925925924E-3</v>
      </c>
      <c r="N1517" s="63"/>
      <c r="O1517" s="63"/>
      <c r="P1517" s="63"/>
      <c r="Q1517" s="63"/>
      <c r="R1517" t="s">
        <v>180</v>
      </c>
      <c r="S1517" t="s">
        <v>179</v>
      </c>
      <c r="T1517" t="s">
        <v>292</v>
      </c>
      <c r="U1517" t="s">
        <v>5504</v>
      </c>
      <c r="V1517" t="s">
        <v>1825</v>
      </c>
      <c r="W1517" t="s">
        <v>259</v>
      </c>
      <c r="Y1517" t="s">
        <v>5503</v>
      </c>
      <c r="Z1517" t="str">
        <f>"01664 858956"</f>
        <v>01664 858956</v>
      </c>
      <c r="AA1517" t="str">
        <f>""</f>
        <v/>
      </c>
      <c r="AB1517" t="s">
        <v>1138</v>
      </c>
      <c r="AD1517" t="s">
        <v>145</v>
      </c>
      <c r="AE1517" s="63">
        <v>45354</v>
      </c>
      <c r="AF1517" t="s">
        <v>113</v>
      </c>
      <c r="AG1517" t="s">
        <v>112</v>
      </c>
      <c r="AH1517" t="s">
        <v>112</v>
      </c>
      <c r="AI1517" s="63">
        <v>43180</v>
      </c>
      <c r="AJ1517" s="63">
        <v>45657</v>
      </c>
      <c r="AK1517" t="s">
        <v>111</v>
      </c>
      <c r="AL1517" t="s">
        <v>111</v>
      </c>
      <c r="AM1517" t="s">
        <v>111</v>
      </c>
      <c r="AN1517" t="s">
        <v>105</v>
      </c>
      <c r="AO1517" t="s">
        <v>110</v>
      </c>
      <c r="AP1517" t="s">
        <v>109</v>
      </c>
    </row>
    <row r="1518" spans="1:42" x14ac:dyDescent="0.25">
      <c r="A1518" s="28" t="str">
        <f>"4821"</f>
        <v>4821</v>
      </c>
      <c r="B1518">
        <v>4821</v>
      </c>
      <c r="C1518" t="s">
        <v>2488</v>
      </c>
      <c r="D1518" t="s">
        <v>121</v>
      </c>
      <c r="F1518" t="s">
        <v>120</v>
      </c>
      <c r="G1518" t="s">
        <v>1224</v>
      </c>
      <c r="I1518" t="s">
        <v>5502</v>
      </c>
      <c r="J1518" t="s">
        <v>7</v>
      </c>
      <c r="K1518" s="63">
        <v>19119</v>
      </c>
      <c r="L1518" s="28">
        <f>DATEDIF(K1518,Zwift25!G$1,"Y")</f>
        <v>72</v>
      </c>
      <c r="M1518" s="67">
        <f>IF(J1518="m",VLOOKUP(L1518,'All Solo Adjustments'!A:D,4,FALSE),VLOOKUP(L1518,'All Solo Adjustments'!A:J,10,FALSE))</f>
        <v>7.129629629629629E-3</v>
      </c>
      <c r="N1518" s="63"/>
      <c r="O1518" s="63"/>
      <c r="P1518" s="63"/>
      <c r="Q1518" s="63"/>
      <c r="R1518" t="s">
        <v>137</v>
      </c>
      <c r="S1518" t="s">
        <v>136</v>
      </c>
      <c r="T1518" t="s">
        <v>292</v>
      </c>
      <c r="U1518" t="s">
        <v>5501</v>
      </c>
      <c r="V1518" t="s">
        <v>5500</v>
      </c>
      <c r="W1518" t="s">
        <v>208</v>
      </c>
      <c r="Y1518" t="s">
        <v>5499</v>
      </c>
      <c r="Z1518" t="str">
        <f>"02392 413201"</f>
        <v>02392 413201</v>
      </c>
      <c r="AA1518" t="str">
        <f>""</f>
        <v/>
      </c>
      <c r="AB1518" t="s">
        <v>1351</v>
      </c>
      <c r="AC1518" t="s">
        <v>5498</v>
      </c>
      <c r="AD1518" t="s">
        <v>114</v>
      </c>
      <c r="AE1518" s="63">
        <v>45234</v>
      </c>
      <c r="AF1518" t="s">
        <v>113</v>
      </c>
      <c r="AG1518" t="s">
        <v>112</v>
      </c>
      <c r="AH1518" t="s">
        <v>112</v>
      </c>
      <c r="AI1518" s="63">
        <v>41475</v>
      </c>
      <c r="AJ1518" s="63">
        <v>45657</v>
      </c>
      <c r="AK1518" t="s">
        <v>111</v>
      </c>
      <c r="AL1518" t="s">
        <v>111</v>
      </c>
      <c r="AM1518" t="s">
        <v>111</v>
      </c>
      <c r="AN1518">
        <v>11123</v>
      </c>
      <c r="AO1518" t="s">
        <v>110</v>
      </c>
      <c r="AP1518" t="s">
        <v>109</v>
      </c>
    </row>
    <row r="1519" spans="1:42" x14ac:dyDescent="0.25">
      <c r="A1519" s="28" t="str">
        <f>"13769"</f>
        <v>13769</v>
      </c>
      <c r="B1519">
        <v>13769</v>
      </c>
      <c r="C1519" t="s">
        <v>2488</v>
      </c>
      <c r="D1519" t="s">
        <v>121</v>
      </c>
      <c r="E1519" t="s">
        <v>584</v>
      </c>
      <c r="F1519" t="s">
        <v>120</v>
      </c>
      <c r="G1519" t="s">
        <v>284</v>
      </c>
      <c r="H1519" t="s">
        <v>977</v>
      </c>
      <c r="I1519" t="s">
        <v>1500</v>
      </c>
      <c r="J1519" t="s">
        <v>7</v>
      </c>
      <c r="K1519" s="63">
        <v>19901</v>
      </c>
      <c r="L1519" s="28">
        <f>DATEDIF(K1519,Zwift25!G$1,"Y")</f>
        <v>70</v>
      </c>
      <c r="M1519" s="67">
        <f>IF(J1519="m",VLOOKUP(L1519,'All Solo Adjustments'!A:D,4,FALSE),VLOOKUP(L1519,'All Solo Adjustments'!A:J,10,FALSE))</f>
        <v>6.3425925925925924E-3</v>
      </c>
      <c r="N1519" s="63"/>
      <c r="O1519" s="63"/>
      <c r="P1519" s="63"/>
      <c r="Q1519" s="63"/>
      <c r="R1519" t="s">
        <v>239</v>
      </c>
      <c r="S1519" t="s">
        <v>274</v>
      </c>
      <c r="T1519" t="s">
        <v>292</v>
      </c>
      <c r="U1519" t="s">
        <v>5497</v>
      </c>
      <c r="V1519" t="s">
        <v>5496</v>
      </c>
      <c r="W1519" t="s">
        <v>2218</v>
      </c>
      <c r="X1519" t="s">
        <v>5495</v>
      </c>
      <c r="Y1519" t="s">
        <v>5494</v>
      </c>
      <c r="Z1519" t="str">
        <f>"07467023986"</f>
        <v>07467023986</v>
      </c>
      <c r="AA1519" t="str">
        <f>"07790706345"</f>
        <v>07790706345</v>
      </c>
      <c r="AB1519" t="s">
        <v>1440</v>
      </c>
      <c r="AC1519" t="s">
        <v>5493</v>
      </c>
      <c r="AD1519" t="s">
        <v>114</v>
      </c>
      <c r="AE1519" s="63">
        <v>45263</v>
      </c>
      <c r="AF1519" t="s">
        <v>156</v>
      </c>
      <c r="AG1519" t="s">
        <v>112</v>
      </c>
      <c r="AH1519" t="s">
        <v>112</v>
      </c>
      <c r="AI1519" s="63">
        <v>43324</v>
      </c>
      <c r="AJ1519" s="63">
        <v>45657</v>
      </c>
      <c r="AK1519" t="s">
        <v>112</v>
      </c>
      <c r="AL1519" t="s">
        <v>111</v>
      </c>
      <c r="AM1519" t="s">
        <v>111</v>
      </c>
      <c r="AN1519">
        <v>2325</v>
      </c>
      <c r="AO1519" t="s">
        <v>110</v>
      </c>
      <c r="AP1519" t="s">
        <v>109</v>
      </c>
    </row>
    <row r="1520" spans="1:42" x14ac:dyDescent="0.25">
      <c r="A1520" s="28" t="str">
        <f>"14141"</f>
        <v>14141</v>
      </c>
      <c r="B1520">
        <v>14141</v>
      </c>
      <c r="C1520" t="s">
        <v>2488</v>
      </c>
      <c r="D1520" t="s">
        <v>121</v>
      </c>
      <c r="E1520" t="s">
        <v>584</v>
      </c>
      <c r="F1520" t="s">
        <v>120</v>
      </c>
      <c r="G1520" t="s">
        <v>251</v>
      </c>
      <c r="H1520" t="s">
        <v>1293</v>
      </c>
      <c r="I1520" t="s">
        <v>5492</v>
      </c>
      <c r="J1520" t="s">
        <v>7</v>
      </c>
      <c r="K1520" s="63">
        <v>22187</v>
      </c>
      <c r="L1520" s="28">
        <f>DATEDIF(K1520,Zwift25!G$1,"Y")</f>
        <v>64</v>
      </c>
      <c r="M1520" s="67">
        <f>IF(J1520="m",VLOOKUP(L1520,'All Solo Adjustments'!A:D,4,FALSE),VLOOKUP(L1520,'All Solo Adjustments'!A:J,10,FALSE))</f>
        <v>4.31712962962963E-3</v>
      </c>
      <c r="N1520" s="63"/>
      <c r="O1520" s="63"/>
      <c r="P1520" s="63"/>
      <c r="Q1520" s="63"/>
      <c r="R1520" t="s">
        <v>213</v>
      </c>
      <c r="S1520" t="s">
        <v>212</v>
      </c>
      <c r="T1520" t="s">
        <v>292</v>
      </c>
      <c r="U1520" t="s">
        <v>5491</v>
      </c>
      <c r="V1520" t="s">
        <v>5490</v>
      </c>
      <c r="W1520" t="s">
        <v>503</v>
      </c>
      <c r="X1520" t="s">
        <v>503</v>
      </c>
      <c r="Y1520" t="s">
        <v>5489</v>
      </c>
      <c r="Z1520" t="str">
        <f>"07747804533"</f>
        <v>07747804533</v>
      </c>
      <c r="AA1520" t="str">
        <f>"01512084094"</f>
        <v>01512084094</v>
      </c>
      <c r="AB1520" t="s">
        <v>1181</v>
      </c>
      <c r="AC1520" t="s">
        <v>5488</v>
      </c>
      <c r="AD1520" t="s">
        <v>114</v>
      </c>
      <c r="AE1520" s="63">
        <v>45348</v>
      </c>
      <c r="AF1520" t="s">
        <v>156</v>
      </c>
      <c r="AG1520" t="s">
        <v>112</v>
      </c>
      <c r="AH1520" t="s">
        <v>112</v>
      </c>
      <c r="AI1520" s="63">
        <v>43559</v>
      </c>
      <c r="AJ1520" s="63">
        <v>45657</v>
      </c>
      <c r="AK1520" t="s">
        <v>112</v>
      </c>
      <c r="AL1520" t="s">
        <v>111</v>
      </c>
      <c r="AM1520" t="s">
        <v>111</v>
      </c>
      <c r="AN1520">
        <v>28268</v>
      </c>
      <c r="AO1520" t="s">
        <v>110</v>
      </c>
      <c r="AP1520" t="s">
        <v>109</v>
      </c>
    </row>
    <row r="1521" spans="1:42" x14ac:dyDescent="0.25">
      <c r="A1521" s="28" t="str">
        <f>"14742"</f>
        <v>14742</v>
      </c>
      <c r="B1521">
        <v>14742</v>
      </c>
      <c r="C1521" t="s">
        <v>2488</v>
      </c>
      <c r="D1521" t="s">
        <v>121</v>
      </c>
      <c r="F1521" t="s">
        <v>120</v>
      </c>
      <c r="G1521" t="s">
        <v>359</v>
      </c>
      <c r="I1521" t="s">
        <v>5487</v>
      </c>
      <c r="J1521" t="s">
        <v>7</v>
      </c>
      <c r="K1521" s="63">
        <v>22692</v>
      </c>
      <c r="L1521" s="28">
        <f>DATEDIF(K1521,Zwift25!G$1,"Y")</f>
        <v>62</v>
      </c>
      <c r="M1521" s="67">
        <f>IF(J1521="m",VLOOKUP(L1521,'All Solo Adjustments'!A:D,4,FALSE),VLOOKUP(L1521,'All Solo Adjustments'!A:J,10,FALSE))</f>
        <v>3.7384259259259259E-3</v>
      </c>
      <c r="N1521" s="63"/>
      <c r="O1521" s="63"/>
      <c r="P1521" s="63"/>
      <c r="Q1521" s="63"/>
      <c r="R1521" t="s">
        <v>125</v>
      </c>
      <c r="S1521" t="s">
        <v>170</v>
      </c>
      <c r="T1521" t="s">
        <v>292</v>
      </c>
      <c r="U1521">
        <v>40</v>
      </c>
      <c r="V1521" t="s">
        <v>5486</v>
      </c>
      <c r="W1521" t="s">
        <v>1600</v>
      </c>
      <c r="X1521" t="s">
        <v>123</v>
      </c>
      <c r="Y1521" t="s">
        <v>5485</v>
      </c>
      <c r="Z1521" t="str">
        <f>"07971283589"</f>
        <v>07971283589</v>
      </c>
      <c r="AA1521" t="str">
        <f>""</f>
        <v/>
      </c>
      <c r="AB1521" t="s">
        <v>505</v>
      </c>
      <c r="AC1521" t="s">
        <v>5484</v>
      </c>
      <c r="AD1521" t="s">
        <v>114</v>
      </c>
      <c r="AE1521" s="63">
        <v>45387</v>
      </c>
      <c r="AF1521" t="s">
        <v>156</v>
      </c>
      <c r="AG1521" t="s">
        <v>112</v>
      </c>
      <c r="AH1521" t="s">
        <v>112</v>
      </c>
      <c r="AI1521" s="63">
        <v>44082</v>
      </c>
      <c r="AJ1521" s="63">
        <v>45657</v>
      </c>
      <c r="AK1521" t="s">
        <v>112</v>
      </c>
      <c r="AL1521" t="s">
        <v>111</v>
      </c>
      <c r="AM1521" t="s">
        <v>111</v>
      </c>
      <c r="AN1521" t="s">
        <v>105</v>
      </c>
      <c r="AO1521" t="s">
        <v>110</v>
      </c>
      <c r="AP1521" t="s">
        <v>109</v>
      </c>
    </row>
    <row r="1522" spans="1:42" x14ac:dyDescent="0.25">
      <c r="A1522" s="28" t="str">
        <f>"16191"</f>
        <v>16191</v>
      </c>
      <c r="B1522">
        <v>16191</v>
      </c>
      <c r="C1522" t="s">
        <v>2488</v>
      </c>
      <c r="D1522" t="s">
        <v>121</v>
      </c>
      <c r="F1522" t="s">
        <v>120</v>
      </c>
      <c r="G1522" t="s">
        <v>5483</v>
      </c>
      <c r="H1522" t="s">
        <v>1176</v>
      </c>
      <c r="I1522" t="s">
        <v>5482</v>
      </c>
      <c r="J1522" t="s">
        <v>7</v>
      </c>
      <c r="K1522" s="63">
        <v>26247</v>
      </c>
      <c r="L1522" s="28">
        <f>DATEDIF(K1522,Zwift25!G$1,"Y")</f>
        <v>52</v>
      </c>
      <c r="M1522" s="67">
        <f>IF(J1522="m",VLOOKUP(L1522,'All Solo Adjustments'!A:D,4,FALSE),VLOOKUP(L1522,'All Solo Adjustments'!A:J,10,FALSE))</f>
        <v>1.4814814814814816E-3</v>
      </c>
      <c r="N1522" s="63"/>
      <c r="O1522" s="63"/>
      <c r="P1522" s="63"/>
      <c r="Q1522" s="63"/>
      <c r="R1522" t="s">
        <v>239</v>
      </c>
      <c r="S1522" t="s">
        <v>274</v>
      </c>
      <c r="T1522" t="s">
        <v>292</v>
      </c>
      <c r="U1522" t="s">
        <v>5481</v>
      </c>
      <c r="V1522" t="s">
        <v>5480</v>
      </c>
      <c r="W1522" t="s">
        <v>5479</v>
      </c>
      <c r="Y1522" t="s">
        <v>5478</v>
      </c>
      <c r="Z1522" t="str">
        <f>"07857749186"</f>
        <v>07857749186</v>
      </c>
      <c r="AA1522" t="str">
        <f>""</f>
        <v/>
      </c>
      <c r="AB1522" t="s">
        <v>5477</v>
      </c>
      <c r="AC1522" t="s">
        <v>5476</v>
      </c>
      <c r="AD1522" t="s">
        <v>114</v>
      </c>
      <c r="AE1522" s="63">
        <v>45492</v>
      </c>
      <c r="AF1522" t="s">
        <v>156</v>
      </c>
      <c r="AG1522" t="s">
        <v>112</v>
      </c>
      <c r="AH1522" t="s">
        <v>112</v>
      </c>
      <c r="AI1522" s="63">
        <v>45492</v>
      </c>
      <c r="AJ1522" s="63">
        <v>45657</v>
      </c>
      <c r="AK1522" t="s">
        <v>112</v>
      </c>
      <c r="AL1522" t="s">
        <v>111</v>
      </c>
      <c r="AM1522" t="s">
        <v>111</v>
      </c>
      <c r="AN1522">
        <v>42901</v>
      </c>
      <c r="AO1522" t="s">
        <v>110</v>
      </c>
      <c r="AP1522" t="s">
        <v>109</v>
      </c>
    </row>
    <row r="1523" spans="1:42" x14ac:dyDescent="0.25">
      <c r="A1523" s="28" t="str">
        <f>"14400"</f>
        <v>14400</v>
      </c>
      <c r="B1523">
        <v>14400</v>
      </c>
      <c r="C1523" t="s">
        <v>2488</v>
      </c>
      <c r="D1523" t="s">
        <v>121</v>
      </c>
      <c r="F1523" t="s">
        <v>120</v>
      </c>
      <c r="G1523" t="s">
        <v>366</v>
      </c>
      <c r="I1523" t="s">
        <v>5475</v>
      </c>
      <c r="J1523" t="s">
        <v>7</v>
      </c>
      <c r="K1523" s="63">
        <v>24920</v>
      </c>
      <c r="L1523" s="28">
        <f>DATEDIF(K1523,Zwift25!G$1,"Y")</f>
        <v>56</v>
      </c>
      <c r="M1523" s="67">
        <f>IF(J1523="m",VLOOKUP(L1523,'All Solo Adjustments'!A:D,4,FALSE),VLOOKUP(L1523,'All Solo Adjustments'!A:J,10,FALSE))</f>
        <v>2.2685185185185182E-3</v>
      </c>
      <c r="N1523" s="63"/>
      <c r="O1523" s="63"/>
      <c r="P1523" s="63"/>
      <c r="Q1523" s="63"/>
      <c r="R1523" t="s">
        <v>180</v>
      </c>
      <c r="S1523" t="s">
        <v>179</v>
      </c>
      <c r="T1523" t="s">
        <v>292</v>
      </c>
      <c r="U1523" t="s">
        <v>5474</v>
      </c>
      <c r="V1523" t="s">
        <v>5473</v>
      </c>
      <c r="W1523" t="s">
        <v>1002</v>
      </c>
      <c r="X1523" t="s">
        <v>368</v>
      </c>
      <c r="Y1523" t="s">
        <v>5472</v>
      </c>
      <c r="Z1523" t="str">
        <f>"01529488088"</f>
        <v>01529488088</v>
      </c>
      <c r="AA1523" t="str">
        <f>""</f>
        <v/>
      </c>
      <c r="AB1523" t="s">
        <v>5471</v>
      </c>
      <c r="AC1523" t="s">
        <v>5470</v>
      </c>
      <c r="AD1523" t="s">
        <v>114</v>
      </c>
      <c r="AE1523" s="63">
        <v>45263</v>
      </c>
      <c r="AF1523" t="s">
        <v>156</v>
      </c>
      <c r="AG1523" t="s">
        <v>112</v>
      </c>
      <c r="AH1523" t="s">
        <v>112</v>
      </c>
      <c r="AI1523" s="63">
        <v>43802</v>
      </c>
      <c r="AJ1523" s="63">
        <v>45657</v>
      </c>
      <c r="AK1523" t="s">
        <v>112</v>
      </c>
      <c r="AL1523" t="s">
        <v>111</v>
      </c>
      <c r="AM1523" t="s">
        <v>111</v>
      </c>
      <c r="AN1523">
        <v>6706</v>
      </c>
      <c r="AO1523" t="s">
        <v>110</v>
      </c>
      <c r="AP1523" t="s">
        <v>109</v>
      </c>
    </row>
    <row r="1524" spans="1:42" x14ac:dyDescent="0.25">
      <c r="A1524" s="28" t="str">
        <f>"15449"</f>
        <v>15449</v>
      </c>
      <c r="B1524">
        <v>15449</v>
      </c>
      <c r="C1524" t="s">
        <v>2488</v>
      </c>
      <c r="D1524" t="s">
        <v>121</v>
      </c>
      <c r="E1524" t="s">
        <v>584</v>
      </c>
      <c r="F1524" t="s">
        <v>120</v>
      </c>
      <c r="G1524" t="s">
        <v>952</v>
      </c>
      <c r="I1524" t="s">
        <v>1498</v>
      </c>
      <c r="J1524" t="s">
        <v>7</v>
      </c>
      <c r="K1524" s="63">
        <v>23902</v>
      </c>
      <c r="L1524" s="28">
        <f>DATEDIF(K1524,Zwift25!G$1,"Y")</f>
        <v>59</v>
      </c>
      <c r="M1524" s="67">
        <f>IF(J1524="m",VLOOKUP(L1524,'All Solo Adjustments'!A:D,4,FALSE),VLOOKUP(L1524,'All Solo Adjustments'!A:J,10,FALSE))</f>
        <v>2.9629629629629632E-3</v>
      </c>
      <c r="N1524" s="63"/>
      <c r="O1524" s="63"/>
      <c r="P1524" s="63"/>
      <c r="Q1524" s="63"/>
      <c r="R1524" t="s">
        <v>180</v>
      </c>
      <c r="S1524" t="s">
        <v>179</v>
      </c>
      <c r="T1524" t="s">
        <v>292</v>
      </c>
      <c r="U1524" t="s">
        <v>5469</v>
      </c>
      <c r="W1524" t="s">
        <v>5468</v>
      </c>
      <c r="X1524" t="s">
        <v>259</v>
      </c>
      <c r="Y1524" t="s">
        <v>5467</v>
      </c>
      <c r="Z1524" t="str">
        <f>"01858565510"</f>
        <v>01858565510</v>
      </c>
      <c r="AA1524" t="str">
        <f>""</f>
        <v/>
      </c>
      <c r="AB1524" t="s">
        <v>865</v>
      </c>
      <c r="AC1524" t="s">
        <v>5466</v>
      </c>
      <c r="AD1524" t="s">
        <v>114</v>
      </c>
      <c r="AE1524" s="63">
        <v>45205</v>
      </c>
      <c r="AF1524" t="s">
        <v>113</v>
      </c>
      <c r="AG1524" t="s">
        <v>112</v>
      </c>
      <c r="AH1524" t="s">
        <v>112</v>
      </c>
      <c r="AI1524" s="63">
        <v>44662</v>
      </c>
      <c r="AJ1524" s="63">
        <v>45657</v>
      </c>
      <c r="AK1524" t="s">
        <v>112</v>
      </c>
      <c r="AL1524" t="s">
        <v>111</v>
      </c>
      <c r="AM1524" t="s">
        <v>111</v>
      </c>
      <c r="AN1524">
        <v>34526</v>
      </c>
      <c r="AO1524" t="s">
        <v>110</v>
      </c>
      <c r="AP1524" t="s">
        <v>109</v>
      </c>
    </row>
    <row r="1525" spans="1:42" x14ac:dyDescent="0.25">
      <c r="A1525" s="28" t="str">
        <f>"4021"</f>
        <v>4021</v>
      </c>
      <c r="B1525">
        <v>4021</v>
      </c>
      <c r="C1525" t="s">
        <v>2488</v>
      </c>
      <c r="D1525" t="s">
        <v>121</v>
      </c>
      <c r="F1525" t="s">
        <v>120</v>
      </c>
      <c r="G1525" t="s">
        <v>5465</v>
      </c>
      <c r="I1525" t="s">
        <v>5464</v>
      </c>
      <c r="J1525" t="s">
        <v>7</v>
      </c>
      <c r="K1525" s="63">
        <v>22997</v>
      </c>
      <c r="L1525" s="28">
        <f>DATEDIF(K1525,Zwift25!G$1,"Y")</f>
        <v>61</v>
      </c>
      <c r="M1525" s="67">
        <f>IF(J1525="m",VLOOKUP(L1525,'All Solo Adjustments'!A:D,4,FALSE),VLOOKUP(L1525,'All Solo Adjustments'!A:J,10,FALSE))</f>
        <v>3.4722222222222225E-3</v>
      </c>
      <c r="N1525" s="63"/>
      <c r="O1525" s="63"/>
      <c r="P1525" s="63"/>
      <c r="Q1525" s="63"/>
      <c r="R1525" t="s">
        <v>198</v>
      </c>
      <c r="S1525" t="s">
        <v>461</v>
      </c>
      <c r="T1525" t="s">
        <v>292</v>
      </c>
      <c r="U1525" t="s">
        <v>5463</v>
      </c>
      <c r="V1525" t="s">
        <v>5462</v>
      </c>
      <c r="W1525" t="s">
        <v>1364</v>
      </c>
      <c r="X1525" t="s">
        <v>196</v>
      </c>
      <c r="Y1525" t="s">
        <v>5461</v>
      </c>
      <c r="Z1525" t="str">
        <f>"01260 276498"</f>
        <v>01260 276498</v>
      </c>
      <c r="AA1525" t="str">
        <f>"07789558971"</f>
        <v>07789558971</v>
      </c>
      <c r="AB1525" t="s">
        <v>2643</v>
      </c>
      <c r="AC1525" t="s">
        <v>5460</v>
      </c>
      <c r="AD1525" t="s">
        <v>114</v>
      </c>
      <c r="AE1525" s="63">
        <v>45263</v>
      </c>
      <c r="AF1525" t="s">
        <v>156</v>
      </c>
      <c r="AG1525" t="s">
        <v>112</v>
      </c>
      <c r="AH1525" t="s">
        <v>112</v>
      </c>
      <c r="AI1525" s="63">
        <v>40909</v>
      </c>
      <c r="AJ1525" s="63">
        <v>45657</v>
      </c>
      <c r="AK1525" t="s">
        <v>111</v>
      </c>
      <c r="AL1525" t="s">
        <v>111</v>
      </c>
      <c r="AM1525" t="s">
        <v>111</v>
      </c>
      <c r="AN1525">
        <v>10574</v>
      </c>
      <c r="AO1525" t="s">
        <v>110</v>
      </c>
      <c r="AP1525" t="s">
        <v>109</v>
      </c>
    </row>
    <row r="1526" spans="1:42" x14ac:dyDescent="0.25">
      <c r="A1526" s="28" t="str">
        <f>"15378"</f>
        <v>15378</v>
      </c>
      <c r="B1526">
        <v>15378</v>
      </c>
      <c r="C1526" t="s">
        <v>2488</v>
      </c>
      <c r="D1526" t="s">
        <v>121</v>
      </c>
      <c r="F1526" t="s">
        <v>120</v>
      </c>
      <c r="G1526" t="s">
        <v>634</v>
      </c>
      <c r="I1526" t="s">
        <v>1490</v>
      </c>
      <c r="J1526" t="s">
        <v>7</v>
      </c>
      <c r="K1526" s="63">
        <v>28661</v>
      </c>
      <c r="L1526" s="28">
        <f>DATEDIF(K1526,Zwift25!G$1,"Y")</f>
        <v>46</v>
      </c>
      <c r="M1526" s="67">
        <f>IF(J1526="m",VLOOKUP(L1526,'All Solo Adjustments'!A:D,4,FALSE),VLOOKUP(L1526,'All Solo Adjustments'!A:J,10,FALSE))</f>
        <v>5.6712962962962956E-4</v>
      </c>
      <c r="N1526" s="63"/>
      <c r="O1526" s="63"/>
      <c r="P1526" s="63"/>
      <c r="Q1526" s="63"/>
      <c r="R1526" t="s">
        <v>383</v>
      </c>
      <c r="S1526" t="s">
        <v>382</v>
      </c>
      <c r="T1526" t="s">
        <v>292</v>
      </c>
      <c r="U1526" t="s">
        <v>5459</v>
      </c>
      <c r="V1526" t="s">
        <v>5458</v>
      </c>
      <c r="W1526" t="s">
        <v>5457</v>
      </c>
      <c r="Y1526" t="s">
        <v>5456</v>
      </c>
      <c r="Z1526" t="str">
        <f>"07792516534"</f>
        <v>07792516534</v>
      </c>
      <c r="AA1526" t="str">
        <f>""</f>
        <v/>
      </c>
      <c r="AB1526" t="s">
        <v>5455</v>
      </c>
      <c r="AC1526" t="s">
        <v>5454</v>
      </c>
      <c r="AD1526" t="s">
        <v>114</v>
      </c>
      <c r="AE1526" s="63">
        <v>45330</v>
      </c>
      <c r="AF1526" t="s">
        <v>156</v>
      </c>
      <c r="AG1526" t="s">
        <v>112</v>
      </c>
      <c r="AH1526" t="s">
        <v>112</v>
      </c>
      <c r="AI1526" s="63">
        <v>44615</v>
      </c>
      <c r="AJ1526" s="63">
        <v>45657</v>
      </c>
      <c r="AK1526" t="s">
        <v>112</v>
      </c>
      <c r="AL1526" t="s">
        <v>111</v>
      </c>
      <c r="AM1526" t="s">
        <v>111</v>
      </c>
      <c r="AN1526">
        <v>40564</v>
      </c>
      <c r="AO1526" t="s">
        <v>110</v>
      </c>
      <c r="AP1526" t="s">
        <v>109</v>
      </c>
    </row>
    <row r="1527" spans="1:42" x14ac:dyDescent="0.25">
      <c r="A1527" s="28" t="str">
        <f>"15655"</f>
        <v>15655</v>
      </c>
      <c r="B1527">
        <v>15655</v>
      </c>
      <c r="C1527" t="s">
        <v>2488</v>
      </c>
      <c r="D1527" t="s">
        <v>121</v>
      </c>
      <c r="E1527" t="s">
        <v>584</v>
      </c>
      <c r="F1527" t="s">
        <v>120</v>
      </c>
      <c r="G1527" t="s">
        <v>359</v>
      </c>
      <c r="I1527" t="s">
        <v>1490</v>
      </c>
      <c r="J1527" t="s">
        <v>7</v>
      </c>
      <c r="K1527" s="63">
        <v>26185</v>
      </c>
      <c r="L1527" s="28">
        <f>DATEDIF(K1527,Zwift25!G$1,"Y")</f>
        <v>53</v>
      </c>
      <c r="M1527" s="67">
        <f>IF(J1527="m",VLOOKUP(L1527,'All Solo Adjustments'!A:D,4,FALSE),VLOOKUP(L1527,'All Solo Adjustments'!A:J,10,FALSE))</f>
        <v>1.6666666666666668E-3</v>
      </c>
      <c r="N1527" s="63"/>
      <c r="O1527" s="63"/>
      <c r="P1527" s="63"/>
      <c r="Q1527" s="63"/>
      <c r="R1527" t="s">
        <v>213</v>
      </c>
      <c r="S1527" t="s">
        <v>212</v>
      </c>
      <c r="T1527" t="s">
        <v>292</v>
      </c>
      <c r="U1527" t="s">
        <v>5453</v>
      </c>
      <c r="V1527" t="s">
        <v>5452</v>
      </c>
      <c r="W1527" t="s">
        <v>5451</v>
      </c>
      <c r="X1527" t="s">
        <v>2237</v>
      </c>
      <c r="Y1527" t="s">
        <v>5450</v>
      </c>
      <c r="Z1527" t="str">
        <f>"07786788155"</f>
        <v>07786788155</v>
      </c>
      <c r="AA1527" t="str">
        <f>""</f>
        <v/>
      </c>
      <c r="AB1527" t="s">
        <v>1052</v>
      </c>
      <c r="AC1527" t="s">
        <v>5449</v>
      </c>
      <c r="AD1527" t="s">
        <v>114</v>
      </c>
      <c r="AE1527" s="63">
        <v>45262</v>
      </c>
      <c r="AF1527" t="s">
        <v>156</v>
      </c>
      <c r="AG1527" t="s">
        <v>112</v>
      </c>
      <c r="AH1527" t="s">
        <v>112</v>
      </c>
      <c r="AI1527" s="63">
        <v>44938</v>
      </c>
      <c r="AJ1527" s="63">
        <v>45657</v>
      </c>
      <c r="AK1527" t="s">
        <v>112</v>
      </c>
      <c r="AL1527" t="s">
        <v>111</v>
      </c>
      <c r="AM1527" t="s">
        <v>111</v>
      </c>
      <c r="AN1527">
        <v>41954</v>
      </c>
      <c r="AO1527" t="s">
        <v>110</v>
      </c>
      <c r="AP1527" t="s">
        <v>109</v>
      </c>
    </row>
    <row r="1528" spans="1:42" x14ac:dyDescent="0.25">
      <c r="A1528" s="28" t="str">
        <f>"15656"</f>
        <v>15656</v>
      </c>
      <c r="B1528">
        <v>15656</v>
      </c>
      <c r="C1528" t="s">
        <v>2488</v>
      </c>
      <c r="D1528" t="s">
        <v>121</v>
      </c>
      <c r="F1528" t="s">
        <v>120</v>
      </c>
      <c r="G1528" t="s">
        <v>251</v>
      </c>
      <c r="I1528" t="s">
        <v>1490</v>
      </c>
      <c r="J1528" t="s">
        <v>7</v>
      </c>
      <c r="K1528" s="63">
        <v>29332</v>
      </c>
      <c r="L1528" s="28">
        <f>DATEDIF(K1528,Zwift25!G$1,"Y")</f>
        <v>44</v>
      </c>
      <c r="M1528" s="67">
        <f>IF(J1528="m",VLOOKUP(L1528,'All Solo Adjustments'!A:D,4,FALSE),VLOOKUP(L1528,'All Solo Adjustments'!A:J,10,FALSE))</f>
        <v>3.3564814814814818E-4</v>
      </c>
      <c r="N1528" s="63"/>
      <c r="O1528" s="63"/>
      <c r="P1528" s="63"/>
      <c r="Q1528" s="63"/>
      <c r="R1528" t="s">
        <v>184</v>
      </c>
      <c r="S1528" t="s">
        <v>183</v>
      </c>
      <c r="T1528" t="s">
        <v>292</v>
      </c>
      <c r="U1528" t="s">
        <v>5448</v>
      </c>
      <c r="W1528" t="s">
        <v>3111</v>
      </c>
      <c r="X1528" t="s">
        <v>828</v>
      </c>
      <c r="Y1528" t="s">
        <v>5447</v>
      </c>
      <c r="Z1528" t="str">
        <f>"07990570975"</f>
        <v>07990570975</v>
      </c>
      <c r="AA1528" t="str">
        <f>""</f>
        <v/>
      </c>
      <c r="AB1528" t="s">
        <v>5446</v>
      </c>
      <c r="AC1528" t="s">
        <v>5445</v>
      </c>
      <c r="AD1528" t="s">
        <v>114</v>
      </c>
      <c r="AE1528" s="63">
        <v>45262</v>
      </c>
      <c r="AF1528" t="s">
        <v>156</v>
      </c>
      <c r="AG1528" t="s">
        <v>112</v>
      </c>
      <c r="AH1528" t="s">
        <v>112</v>
      </c>
      <c r="AI1528" s="63">
        <v>44941</v>
      </c>
      <c r="AJ1528" s="63">
        <v>45657</v>
      </c>
      <c r="AK1528" t="s">
        <v>112</v>
      </c>
      <c r="AL1528" t="s">
        <v>111</v>
      </c>
      <c r="AM1528" t="s">
        <v>111</v>
      </c>
      <c r="AN1528">
        <v>44126</v>
      </c>
      <c r="AO1528" t="s">
        <v>110</v>
      </c>
      <c r="AP1528" t="s">
        <v>109</v>
      </c>
    </row>
    <row r="1529" spans="1:42" x14ac:dyDescent="0.25">
      <c r="A1529" s="28" t="str">
        <f>"15391"</f>
        <v>15391</v>
      </c>
      <c r="B1529">
        <v>15391</v>
      </c>
      <c r="C1529" t="s">
        <v>2488</v>
      </c>
      <c r="D1529" t="s">
        <v>121</v>
      </c>
      <c r="F1529" t="s">
        <v>120</v>
      </c>
      <c r="G1529" t="s">
        <v>164</v>
      </c>
      <c r="H1529" t="s">
        <v>251</v>
      </c>
      <c r="I1529" t="s">
        <v>5441</v>
      </c>
      <c r="J1529" t="s">
        <v>7</v>
      </c>
      <c r="K1529" s="63">
        <v>21625</v>
      </c>
      <c r="L1529" s="28">
        <f>DATEDIF(K1529,Zwift25!G$1,"Y")</f>
        <v>65</v>
      </c>
      <c r="M1529" s="67">
        <f>IF(J1529="m",VLOOKUP(L1529,'All Solo Adjustments'!A:D,4,FALSE),VLOOKUP(L1529,'All Solo Adjustments'!A:J,10,FALSE))</f>
        <v>4.6180555555555558E-3</v>
      </c>
      <c r="N1529" s="63"/>
      <c r="O1529" s="63"/>
      <c r="P1529" s="63"/>
      <c r="Q1529" s="63"/>
      <c r="R1529" t="s">
        <v>184</v>
      </c>
      <c r="S1529" t="s">
        <v>183</v>
      </c>
      <c r="T1529" t="s">
        <v>292</v>
      </c>
      <c r="U1529" t="s">
        <v>5444</v>
      </c>
      <c r="V1529" t="s">
        <v>1573</v>
      </c>
      <c r="W1529" t="s">
        <v>828</v>
      </c>
      <c r="Y1529" t="s">
        <v>5443</v>
      </c>
      <c r="Z1529" t="str">
        <f>"01234326761"</f>
        <v>01234326761</v>
      </c>
      <c r="AA1529" t="str">
        <f>"07952554207"</f>
        <v>07952554207</v>
      </c>
      <c r="AB1529" t="s">
        <v>232</v>
      </c>
      <c r="AC1529" t="s">
        <v>5442</v>
      </c>
      <c r="AD1529" t="s">
        <v>114</v>
      </c>
      <c r="AE1529" s="63">
        <v>45293</v>
      </c>
      <c r="AF1529" t="s">
        <v>156</v>
      </c>
      <c r="AG1529" t="s">
        <v>112</v>
      </c>
      <c r="AH1529" t="s">
        <v>112</v>
      </c>
      <c r="AI1529" s="63">
        <v>44625</v>
      </c>
      <c r="AJ1529" s="63">
        <v>45657</v>
      </c>
      <c r="AK1529" t="s">
        <v>112</v>
      </c>
      <c r="AL1529" t="s">
        <v>112</v>
      </c>
      <c r="AM1529" t="s">
        <v>111</v>
      </c>
      <c r="AN1529">
        <v>4859</v>
      </c>
      <c r="AO1529" t="s">
        <v>110</v>
      </c>
      <c r="AP1529" t="s">
        <v>109</v>
      </c>
    </row>
    <row r="1530" spans="1:42" x14ac:dyDescent="0.25">
      <c r="A1530" s="28" t="str">
        <f>"15775"</f>
        <v>15775</v>
      </c>
      <c r="B1530">
        <v>15775</v>
      </c>
      <c r="C1530" t="s">
        <v>2488</v>
      </c>
      <c r="D1530" t="s">
        <v>121</v>
      </c>
      <c r="F1530" t="s">
        <v>120</v>
      </c>
      <c r="G1530" t="s">
        <v>377</v>
      </c>
      <c r="I1530" t="s">
        <v>5441</v>
      </c>
      <c r="J1530" t="s">
        <v>7</v>
      </c>
      <c r="K1530" s="63">
        <v>26283</v>
      </c>
      <c r="L1530" s="28">
        <f>DATEDIF(K1530,Zwift25!G$1,"Y")</f>
        <v>52</v>
      </c>
      <c r="M1530" s="67">
        <f>IF(J1530="m",VLOOKUP(L1530,'All Solo Adjustments'!A:D,4,FALSE),VLOOKUP(L1530,'All Solo Adjustments'!A:J,10,FALSE))</f>
        <v>1.4814814814814816E-3</v>
      </c>
      <c r="N1530" s="63"/>
      <c r="O1530" s="63"/>
      <c r="P1530" s="63"/>
      <c r="Q1530" s="63"/>
      <c r="R1530" t="s">
        <v>137</v>
      </c>
      <c r="S1530" t="s">
        <v>136</v>
      </c>
      <c r="T1530" t="s">
        <v>292</v>
      </c>
      <c r="U1530" t="s">
        <v>5440</v>
      </c>
      <c r="V1530" t="s">
        <v>5439</v>
      </c>
      <c r="W1530" t="s">
        <v>5438</v>
      </c>
      <c r="X1530" t="s">
        <v>564</v>
      </c>
      <c r="Y1530" t="s">
        <v>5437</v>
      </c>
      <c r="Z1530" t="str">
        <f>"07790034288"</f>
        <v>07790034288</v>
      </c>
      <c r="AA1530" t="str">
        <f>""</f>
        <v/>
      </c>
      <c r="AB1530" t="s">
        <v>357</v>
      </c>
      <c r="AC1530" t="s">
        <v>5436</v>
      </c>
      <c r="AD1530" t="s">
        <v>114</v>
      </c>
      <c r="AE1530" s="63">
        <v>45338</v>
      </c>
      <c r="AF1530" t="s">
        <v>156</v>
      </c>
      <c r="AG1530" t="s">
        <v>112</v>
      </c>
      <c r="AH1530" t="s">
        <v>112</v>
      </c>
      <c r="AI1530" s="63">
        <v>45027</v>
      </c>
      <c r="AJ1530" s="63">
        <v>45657</v>
      </c>
      <c r="AK1530" t="s">
        <v>112</v>
      </c>
      <c r="AL1530" t="s">
        <v>111</v>
      </c>
      <c r="AM1530" t="s">
        <v>111</v>
      </c>
      <c r="AN1530">
        <v>9219</v>
      </c>
      <c r="AO1530" t="s">
        <v>110</v>
      </c>
      <c r="AP1530" t="s">
        <v>109</v>
      </c>
    </row>
    <row r="1531" spans="1:42" x14ac:dyDescent="0.25">
      <c r="A1531" s="28" t="str">
        <f>"3966"</f>
        <v>3966</v>
      </c>
      <c r="B1531">
        <v>3966</v>
      </c>
      <c r="C1531" t="s">
        <v>2488</v>
      </c>
      <c r="D1531" t="s">
        <v>121</v>
      </c>
      <c r="F1531" t="s">
        <v>120</v>
      </c>
      <c r="G1531" t="s">
        <v>343</v>
      </c>
      <c r="I1531" t="s">
        <v>5435</v>
      </c>
      <c r="J1531" t="s">
        <v>7</v>
      </c>
      <c r="K1531" s="63">
        <v>16984</v>
      </c>
      <c r="L1531" s="28">
        <f>DATEDIF(K1531,Zwift25!G$1,"Y")</f>
        <v>78</v>
      </c>
      <c r="M1531" s="67">
        <f>IF(J1531="m",VLOOKUP(L1531,'All Solo Adjustments'!A:D,4,FALSE),VLOOKUP(L1531,'All Solo Adjustments'!A:J,10,FALSE))</f>
        <v>9.9189814814814817E-3</v>
      </c>
      <c r="N1531" s="63"/>
      <c r="O1531" s="63"/>
      <c r="P1531" s="63"/>
      <c r="Q1531" s="63"/>
      <c r="R1531" t="s">
        <v>296</v>
      </c>
      <c r="S1531" t="s">
        <v>295</v>
      </c>
      <c r="T1531" t="s">
        <v>292</v>
      </c>
      <c r="U1531" t="s">
        <v>5434</v>
      </c>
      <c r="V1531" t="s">
        <v>1645</v>
      </c>
      <c r="Y1531" t="s">
        <v>5433</v>
      </c>
      <c r="Z1531" t="str">
        <f>"07967714517"</f>
        <v>07967714517</v>
      </c>
      <c r="AA1531" t="str">
        <f>"07186470357"</f>
        <v>07186470357</v>
      </c>
      <c r="AB1531" t="s">
        <v>1158</v>
      </c>
      <c r="AC1531" t="s">
        <v>5432</v>
      </c>
      <c r="AD1531" t="s">
        <v>114</v>
      </c>
      <c r="AE1531" s="63">
        <v>45278</v>
      </c>
      <c r="AF1531" t="s">
        <v>113</v>
      </c>
      <c r="AG1531" t="s">
        <v>112</v>
      </c>
      <c r="AH1531" t="s">
        <v>112</v>
      </c>
      <c r="AI1531" s="63">
        <v>40259</v>
      </c>
      <c r="AJ1531" s="63">
        <v>45657</v>
      </c>
      <c r="AK1531" t="s">
        <v>111</v>
      </c>
      <c r="AL1531" t="s">
        <v>111</v>
      </c>
      <c r="AM1531" t="s">
        <v>111</v>
      </c>
      <c r="AN1531">
        <v>31725</v>
      </c>
      <c r="AO1531" t="s">
        <v>110</v>
      </c>
      <c r="AP1531" t="s">
        <v>109</v>
      </c>
    </row>
    <row r="1532" spans="1:42" x14ac:dyDescent="0.25">
      <c r="A1532" s="28" t="str">
        <f>"5462"</f>
        <v>5462</v>
      </c>
      <c r="B1532">
        <v>5462</v>
      </c>
      <c r="C1532" t="s">
        <v>2488</v>
      </c>
      <c r="D1532" t="s">
        <v>121</v>
      </c>
      <c r="F1532" t="s">
        <v>120</v>
      </c>
      <c r="G1532" t="s">
        <v>970</v>
      </c>
      <c r="I1532" t="s">
        <v>5431</v>
      </c>
      <c r="J1532" t="s">
        <v>7</v>
      </c>
      <c r="K1532" s="63">
        <v>26660</v>
      </c>
      <c r="L1532" s="28">
        <f>DATEDIF(K1532,Zwift25!G$1,"Y")</f>
        <v>51</v>
      </c>
      <c r="M1532" s="67">
        <f>IF(J1532="m",VLOOKUP(L1532,'All Solo Adjustments'!A:D,4,FALSE),VLOOKUP(L1532,'All Solo Adjustments'!A:J,10,FALSE))</f>
        <v>1.3078703703703703E-3</v>
      </c>
      <c r="N1532" s="63"/>
      <c r="O1532" s="63"/>
      <c r="P1532" s="63"/>
      <c r="Q1532" s="63"/>
      <c r="R1532" t="s">
        <v>137</v>
      </c>
      <c r="S1532" t="s">
        <v>136</v>
      </c>
      <c r="T1532" t="s">
        <v>292</v>
      </c>
      <c r="U1532" t="s">
        <v>5430</v>
      </c>
      <c r="V1532" t="s">
        <v>5429</v>
      </c>
      <c r="W1532" t="s">
        <v>420</v>
      </c>
      <c r="X1532" t="s">
        <v>419</v>
      </c>
      <c r="Y1532" t="s">
        <v>5428</v>
      </c>
      <c r="Z1532" t="str">
        <f>"07592147007"</f>
        <v>07592147007</v>
      </c>
      <c r="AA1532" t="str">
        <f>""</f>
        <v/>
      </c>
      <c r="AB1532" t="s">
        <v>5427</v>
      </c>
      <c r="AC1532" t="s">
        <v>5426</v>
      </c>
      <c r="AD1532" t="s">
        <v>114</v>
      </c>
      <c r="AE1532" s="63">
        <v>45287</v>
      </c>
      <c r="AF1532" t="s">
        <v>156</v>
      </c>
      <c r="AG1532" t="s">
        <v>112</v>
      </c>
      <c r="AH1532" t="s">
        <v>112</v>
      </c>
      <c r="AI1532" s="63">
        <v>42132</v>
      </c>
      <c r="AJ1532" s="63">
        <v>45657</v>
      </c>
      <c r="AK1532" t="s">
        <v>111</v>
      </c>
      <c r="AL1532" t="s">
        <v>111</v>
      </c>
      <c r="AM1532" t="s">
        <v>111</v>
      </c>
      <c r="AN1532">
        <v>10018</v>
      </c>
      <c r="AO1532" t="s">
        <v>110</v>
      </c>
      <c r="AP1532" t="s">
        <v>109</v>
      </c>
    </row>
    <row r="1533" spans="1:42" x14ac:dyDescent="0.25">
      <c r="A1533" s="28" t="str">
        <f>"5812"</f>
        <v>5812</v>
      </c>
      <c r="B1533">
        <v>5812</v>
      </c>
      <c r="C1533" t="s">
        <v>2488</v>
      </c>
      <c r="D1533" t="s">
        <v>121</v>
      </c>
      <c r="F1533" t="s">
        <v>120</v>
      </c>
      <c r="G1533" t="s">
        <v>231</v>
      </c>
      <c r="I1533" t="s">
        <v>5425</v>
      </c>
      <c r="J1533" t="s">
        <v>7</v>
      </c>
      <c r="K1533" s="63">
        <v>19067</v>
      </c>
      <c r="L1533" s="28">
        <f>DATEDIF(K1533,Zwift25!G$1,"Y")</f>
        <v>72</v>
      </c>
      <c r="M1533" s="67">
        <f>IF(J1533="m",VLOOKUP(L1533,'All Solo Adjustments'!A:D,4,FALSE),VLOOKUP(L1533,'All Solo Adjustments'!A:J,10,FALSE))</f>
        <v>7.129629629629629E-3</v>
      </c>
      <c r="N1533" s="63"/>
      <c r="O1533" s="63"/>
      <c r="P1533" s="63"/>
      <c r="Q1533" s="63"/>
      <c r="R1533" t="s">
        <v>125</v>
      </c>
      <c r="S1533" t="s">
        <v>170</v>
      </c>
      <c r="T1533" t="s">
        <v>292</v>
      </c>
      <c r="U1533" t="s">
        <v>5424</v>
      </c>
      <c r="V1533" t="s">
        <v>838</v>
      </c>
      <c r="W1533" t="s">
        <v>146</v>
      </c>
      <c r="Y1533" t="s">
        <v>5423</v>
      </c>
      <c r="Z1533" t="str">
        <f>"07484 835688"</f>
        <v>07484 835688</v>
      </c>
      <c r="AA1533" t="str">
        <f>""</f>
        <v/>
      </c>
      <c r="AB1533" t="s">
        <v>1653</v>
      </c>
      <c r="AC1533" t="s">
        <v>5422</v>
      </c>
      <c r="AD1533" t="s">
        <v>114</v>
      </c>
      <c r="AE1533" s="63">
        <v>45294</v>
      </c>
      <c r="AF1533" t="s">
        <v>156</v>
      </c>
      <c r="AG1533" t="s">
        <v>112</v>
      </c>
      <c r="AH1533" t="s">
        <v>112</v>
      </c>
      <c r="AI1533" s="63">
        <v>42472</v>
      </c>
      <c r="AJ1533" s="63">
        <v>45657</v>
      </c>
      <c r="AK1533" t="s">
        <v>111</v>
      </c>
      <c r="AL1533" t="s">
        <v>111</v>
      </c>
      <c r="AM1533" t="s">
        <v>111</v>
      </c>
      <c r="AN1533">
        <v>2234</v>
      </c>
      <c r="AO1533" t="s">
        <v>110</v>
      </c>
      <c r="AP1533" t="s">
        <v>109</v>
      </c>
    </row>
    <row r="1534" spans="1:42" x14ac:dyDescent="0.25">
      <c r="A1534" s="28" t="str">
        <f>"1912"</f>
        <v>1912</v>
      </c>
      <c r="B1534">
        <v>1912</v>
      </c>
      <c r="C1534" t="s">
        <v>2488</v>
      </c>
      <c r="D1534" t="s">
        <v>121</v>
      </c>
      <c r="F1534" t="s">
        <v>120</v>
      </c>
      <c r="G1534" t="s">
        <v>5421</v>
      </c>
      <c r="I1534" t="s">
        <v>1480</v>
      </c>
      <c r="J1534" t="s">
        <v>7</v>
      </c>
      <c r="K1534" s="63">
        <v>23139</v>
      </c>
      <c r="L1534" s="28">
        <f>DATEDIF(K1534,Zwift25!G$1,"Y")</f>
        <v>61</v>
      </c>
      <c r="M1534" s="67">
        <f>IF(J1534="m",VLOOKUP(L1534,'All Solo Adjustments'!A:D,4,FALSE),VLOOKUP(L1534,'All Solo Adjustments'!A:J,10,FALSE))</f>
        <v>3.4722222222222225E-3</v>
      </c>
      <c r="N1534" s="63"/>
      <c r="O1534" s="63"/>
      <c r="P1534" s="63"/>
      <c r="Q1534" s="63"/>
      <c r="R1534" t="s">
        <v>137</v>
      </c>
      <c r="S1534" t="s">
        <v>136</v>
      </c>
      <c r="T1534" t="s">
        <v>292</v>
      </c>
      <c r="U1534" t="s">
        <v>5420</v>
      </c>
      <c r="V1534" t="s">
        <v>440</v>
      </c>
      <c r="W1534" t="s">
        <v>208</v>
      </c>
      <c r="Y1534" t="s">
        <v>5419</v>
      </c>
      <c r="Z1534" t="str">
        <f>"07768220192"</f>
        <v>07768220192</v>
      </c>
      <c r="AA1534" t="str">
        <f>""</f>
        <v/>
      </c>
      <c r="AB1534" t="s">
        <v>1354</v>
      </c>
      <c r="AC1534" t="s">
        <v>5418</v>
      </c>
      <c r="AD1534" t="s">
        <v>114</v>
      </c>
      <c r="AE1534" s="63">
        <v>45448</v>
      </c>
      <c r="AF1534" t="s">
        <v>156</v>
      </c>
      <c r="AG1534" t="s">
        <v>112</v>
      </c>
      <c r="AH1534" t="s">
        <v>112</v>
      </c>
      <c r="AI1534" s="63">
        <v>42908</v>
      </c>
      <c r="AJ1534" s="63">
        <v>45657</v>
      </c>
      <c r="AK1534" t="s">
        <v>111</v>
      </c>
      <c r="AL1534" t="s">
        <v>111</v>
      </c>
      <c r="AM1534" t="s">
        <v>111</v>
      </c>
      <c r="AN1534">
        <v>7109</v>
      </c>
      <c r="AO1534" t="s">
        <v>110</v>
      </c>
      <c r="AP1534" t="s">
        <v>109</v>
      </c>
    </row>
    <row r="1535" spans="1:42" x14ac:dyDescent="0.25">
      <c r="A1535" s="28" t="str">
        <f>"14809"</f>
        <v>14809</v>
      </c>
      <c r="B1535">
        <v>14809</v>
      </c>
      <c r="C1535" t="s">
        <v>2488</v>
      </c>
      <c r="D1535" t="s">
        <v>121</v>
      </c>
      <c r="F1535" t="s">
        <v>120</v>
      </c>
      <c r="G1535" t="s">
        <v>1369</v>
      </c>
      <c r="H1535" t="s">
        <v>410</v>
      </c>
      <c r="I1535" t="s">
        <v>1480</v>
      </c>
      <c r="J1535" t="s">
        <v>7</v>
      </c>
      <c r="K1535" s="63">
        <v>24105</v>
      </c>
      <c r="L1535" s="28">
        <f>DATEDIF(K1535,Zwift25!G$1,"Y")</f>
        <v>58</v>
      </c>
      <c r="M1535" s="67">
        <f>IF(J1535="m",VLOOKUP(L1535,'All Solo Adjustments'!A:D,4,FALSE),VLOOKUP(L1535,'All Solo Adjustments'!A:J,10,FALSE))</f>
        <v>2.7199074074074074E-3</v>
      </c>
      <c r="N1535" s="63"/>
      <c r="O1535" s="63"/>
      <c r="P1535" s="63"/>
      <c r="Q1535" s="63"/>
      <c r="R1535" t="s">
        <v>184</v>
      </c>
      <c r="S1535" t="s">
        <v>183</v>
      </c>
      <c r="T1535" t="s">
        <v>292</v>
      </c>
      <c r="U1535" t="s">
        <v>5417</v>
      </c>
      <c r="V1535" t="s">
        <v>5416</v>
      </c>
      <c r="W1535" t="s">
        <v>1573</v>
      </c>
      <c r="Y1535" t="s">
        <v>5415</v>
      </c>
      <c r="Z1535" t="str">
        <f>"07427146750"</f>
        <v>07427146750</v>
      </c>
      <c r="AA1535" t="str">
        <f>""</f>
        <v/>
      </c>
      <c r="AB1535" t="s">
        <v>5414</v>
      </c>
      <c r="AC1535" t="s">
        <v>5413</v>
      </c>
      <c r="AD1535" t="s">
        <v>114</v>
      </c>
      <c r="AE1535" s="63">
        <v>45262</v>
      </c>
      <c r="AF1535" t="s">
        <v>156</v>
      </c>
      <c r="AG1535" t="s">
        <v>112</v>
      </c>
      <c r="AH1535" t="s">
        <v>112</v>
      </c>
      <c r="AI1535" s="63">
        <v>44202</v>
      </c>
      <c r="AJ1535" s="63">
        <v>45657</v>
      </c>
      <c r="AK1535" t="s">
        <v>112</v>
      </c>
      <c r="AL1535" t="s">
        <v>111</v>
      </c>
      <c r="AM1535" t="s">
        <v>111</v>
      </c>
      <c r="AN1535">
        <v>9747</v>
      </c>
      <c r="AO1535" t="s">
        <v>110</v>
      </c>
      <c r="AP1535" t="s">
        <v>109</v>
      </c>
    </row>
    <row r="1536" spans="1:42" x14ac:dyDescent="0.25">
      <c r="A1536" s="28" t="str">
        <f>"15679"</f>
        <v>15679</v>
      </c>
      <c r="B1536">
        <v>15679</v>
      </c>
      <c r="C1536" t="s">
        <v>2488</v>
      </c>
      <c r="D1536" t="s">
        <v>121</v>
      </c>
      <c r="F1536" t="s">
        <v>120</v>
      </c>
      <c r="G1536" t="s">
        <v>189</v>
      </c>
      <c r="I1536" t="s">
        <v>1480</v>
      </c>
      <c r="J1536" t="s">
        <v>7</v>
      </c>
      <c r="K1536" s="63">
        <v>26256</v>
      </c>
      <c r="L1536" s="28">
        <f>DATEDIF(K1536,Zwift25!G$1,"Y")</f>
        <v>52</v>
      </c>
      <c r="M1536" s="67">
        <f>IF(J1536="m",VLOOKUP(L1536,'All Solo Adjustments'!A:D,4,FALSE),VLOOKUP(L1536,'All Solo Adjustments'!A:J,10,FALSE))</f>
        <v>1.4814814814814816E-3</v>
      </c>
      <c r="N1536" s="63"/>
      <c r="O1536" s="63"/>
      <c r="P1536" s="63"/>
      <c r="Q1536" s="63"/>
      <c r="R1536" t="s">
        <v>184</v>
      </c>
      <c r="S1536" t="s">
        <v>183</v>
      </c>
      <c r="T1536" t="s">
        <v>292</v>
      </c>
      <c r="U1536" t="s">
        <v>5412</v>
      </c>
      <c r="V1536" t="s">
        <v>5411</v>
      </c>
      <c r="W1536" t="s">
        <v>5410</v>
      </c>
      <c r="X1536" t="s">
        <v>5409</v>
      </c>
      <c r="Y1536" t="s">
        <v>5408</v>
      </c>
      <c r="Z1536" t="str">
        <f>"07775757029"</f>
        <v>07775757029</v>
      </c>
      <c r="AA1536" t="str">
        <f>""</f>
        <v/>
      </c>
      <c r="AB1536" t="s">
        <v>2214</v>
      </c>
      <c r="AC1536" t="s">
        <v>5407</v>
      </c>
      <c r="AD1536" t="s">
        <v>114</v>
      </c>
      <c r="AE1536" s="63">
        <v>45356</v>
      </c>
      <c r="AF1536" t="s">
        <v>156</v>
      </c>
      <c r="AG1536" t="s">
        <v>112</v>
      </c>
      <c r="AH1536" t="s">
        <v>112</v>
      </c>
      <c r="AI1536" s="63">
        <v>44963</v>
      </c>
      <c r="AJ1536" s="63">
        <v>45657</v>
      </c>
      <c r="AK1536" t="s">
        <v>112</v>
      </c>
      <c r="AL1536" t="s">
        <v>111</v>
      </c>
      <c r="AM1536" t="s">
        <v>111</v>
      </c>
      <c r="AN1536">
        <v>15217</v>
      </c>
      <c r="AO1536" t="s">
        <v>110</v>
      </c>
      <c r="AP1536" t="s">
        <v>109</v>
      </c>
    </row>
    <row r="1537" spans="1:42" x14ac:dyDescent="0.25">
      <c r="A1537" s="28" t="str">
        <f>"1913"</f>
        <v>1913</v>
      </c>
      <c r="B1537">
        <v>1913</v>
      </c>
      <c r="C1537" t="s">
        <v>2488</v>
      </c>
      <c r="D1537" t="s">
        <v>121</v>
      </c>
      <c r="F1537" t="s">
        <v>120</v>
      </c>
      <c r="G1537" t="s">
        <v>300</v>
      </c>
      <c r="I1537" t="s">
        <v>462</v>
      </c>
      <c r="J1537" t="s">
        <v>7</v>
      </c>
      <c r="K1537" s="63">
        <v>19166</v>
      </c>
      <c r="L1537" s="28">
        <f>DATEDIF(K1537,Zwift25!G$1,"Y")</f>
        <v>72</v>
      </c>
      <c r="M1537" s="67">
        <f>IF(J1537="m",VLOOKUP(L1537,'All Solo Adjustments'!A:D,4,FALSE),VLOOKUP(L1537,'All Solo Adjustments'!A:J,10,FALSE))</f>
        <v>7.129629629629629E-3</v>
      </c>
      <c r="N1537" s="63"/>
      <c r="O1537" s="63"/>
      <c r="P1537" s="63"/>
      <c r="Q1537" s="63"/>
      <c r="R1537" t="s">
        <v>154</v>
      </c>
      <c r="S1537" t="s">
        <v>153</v>
      </c>
      <c r="T1537" t="s">
        <v>292</v>
      </c>
      <c r="U1537" t="s">
        <v>5406</v>
      </c>
      <c r="V1537" t="s">
        <v>5405</v>
      </c>
      <c r="W1537" t="s">
        <v>2070</v>
      </c>
      <c r="X1537" t="s">
        <v>669</v>
      </c>
      <c r="Y1537" t="s">
        <v>5404</v>
      </c>
      <c r="Z1537" t="str">
        <f>"01275 845779"</f>
        <v>01275 845779</v>
      </c>
      <c r="AA1537" t="str">
        <f>"07899 662465"</f>
        <v>07899 662465</v>
      </c>
      <c r="AB1537" t="s">
        <v>1058</v>
      </c>
      <c r="AC1537" t="s">
        <v>5403</v>
      </c>
      <c r="AD1537" t="s">
        <v>145</v>
      </c>
      <c r="AE1537" s="63">
        <v>45288</v>
      </c>
      <c r="AF1537" t="s">
        <v>113</v>
      </c>
      <c r="AG1537" t="s">
        <v>112</v>
      </c>
      <c r="AH1537" t="s">
        <v>112</v>
      </c>
      <c r="AI1537" s="63">
        <v>33604</v>
      </c>
      <c r="AJ1537" s="63">
        <v>45657</v>
      </c>
      <c r="AK1537" t="s">
        <v>111</v>
      </c>
      <c r="AL1537" t="s">
        <v>111</v>
      </c>
      <c r="AM1537" t="s">
        <v>111</v>
      </c>
      <c r="AN1537" t="s">
        <v>105</v>
      </c>
      <c r="AO1537" t="s">
        <v>110</v>
      </c>
      <c r="AP1537" t="s">
        <v>109</v>
      </c>
    </row>
    <row r="1538" spans="1:42" x14ac:dyDescent="0.25">
      <c r="A1538" s="28" t="str">
        <f>"1906"</f>
        <v>1906</v>
      </c>
      <c r="B1538">
        <v>1906</v>
      </c>
      <c r="C1538" t="s">
        <v>2488</v>
      </c>
      <c r="D1538" t="s">
        <v>121</v>
      </c>
      <c r="E1538" t="s">
        <v>584</v>
      </c>
      <c r="F1538" t="s">
        <v>120</v>
      </c>
      <c r="G1538" t="s">
        <v>251</v>
      </c>
      <c r="H1538" t="s">
        <v>5402</v>
      </c>
      <c r="I1538" t="s">
        <v>462</v>
      </c>
      <c r="J1538" t="s">
        <v>7</v>
      </c>
      <c r="K1538" s="63">
        <v>20917</v>
      </c>
      <c r="L1538" s="28">
        <f>DATEDIF(K1538,Zwift25!G$1,"Y")</f>
        <v>67</v>
      </c>
      <c r="M1538" s="67">
        <f>IF(J1538="m",VLOOKUP(L1538,'All Solo Adjustments'!A:D,4,FALSE),VLOOKUP(L1538,'All Solo Adjustments'!A:J,10,FALSE))</f>
        <v>5.2662037037037035E-3</v>
      </c>
      <c r="N1538" s="63"/>
      <c r="O1538" s="63"/>
      <c r="P1538" s="63"/>
      <c r="Q1538" s="63"/>
      <c r="R1538" t="s">
        <v>296</v>
      </c>
      <c r="S1538" t="s">
        <v>295</v>
      </c>
      <c r="T1538" t="s">
        <v>292</v>
      </c>
      <c r="U1538" t="s">
        <v>5401</v>
      </c>
      <c r="V1538" t="s">
        <v>5400</v>
      </c>
      <c r="W1538" t="s">
        <v>5399</v>
      </c>
      <c r="X1538" t="s">
        <v>5398</v>
      </c>
      <c r="Y1538" t="s">
        <v>5397</v>
      </c>
      <c r="Z1538" t="str">
        <f>"01573 221515"</f>
        <v>01573 221515</v>
      </c>
      <c r="AA1538" t="str">
        <f>"07557 522902"</f>
        <v>07557 522902</v>
      </c>
      <c r="AB1538" t="s">
        <v>1325</v>
      </c>
      <c r="AC1538" t="s">
        <v>5396</v>
      </c>
      <c r="AD1538" t="s">
        <v>114</v>
      </c>
      <c r="AE1538" s="63">
        <v>45267</v>
      </c>
      <c r="AF1538" t="s">
        <v>113</v>
      </c>
      <c r="AG1538" t="s">
        <v>112</v>
      </c>
      <c r="AH1538" t="s">
        <v>112</v>
      </c>
      <c r="AI1538" s="63">
        <v>38224</v>
      </c>
      <c r="AJ1538" s="63">
        <v>45657</v>
      </c>
      <c r="AK1538" t="s">
        <v>111</v>
      </c>
      <c r="AL1538" t="s">
        <v>111</v>
      </c>
      <c r="AM1538" t="s">
        <v>111</v>
      </c>
      <c r="AN1538">
        <v>330</v>
      </c>
      <c r="AO1538" t="s">
        <v>110</v>
      </c>
      <c r="AP1538" t="s">
        <v>109</v>
      </c>
    </row>
    <row r="1539" spans="1:42" x14ac:dyDescent="0.25">
      <c r="A1539" s="28" t="str">
        <f>"1916"</f>
        <v>1916</v>
      </c>
      <c r="B1539">
        <v>1916</v>
      </c>
      <c r="C1539" t="s">
        <v>2488</v>
      </c>
      <c r="D1539" t="s">
        <v>121</v>
      </c>
      <c r="F1539" t="s">
        <v>120</v>
      </c>
      <c r="G1539" t="s">
        <v>343</v>
      </c>
      <c r="I1539" t="s">
        <v>1479</v>
      </c>
      <c r="J1539" t="s">
        <v>7</v>
      </c>
      <c r="K1539" s="63">
        <v>11392</v>
      </c>
      <c r="L1539" s="28">
        <f>DATEDIF(K1539,Zwift25!G$1,"Y")</f>
        <v>93</v>
      </c>
      <c r="M1539" s="67">
        <f>IF(J1539="m",VLOOKUP(L1539,'All Solo Adjustments'!A:D,4,FALSE),VLOOKUP(L1539,'All Solo Adjustments'!A:J,10,FALSE))</f>
        <v>2.1516203703703704E-2</v>
      </c>
      <c r="N1539" s="63"/>
      <c r="O1539" s="63"/>
      <c r="P1539" s="63"/>
      <c r="Q1539" s="63"/>
      <c r="R1539" t="s">
        <v>118</v>
      </c>
      <c r="S1539" t="s">
        <v>873</v>
      </c>
      <c r="T1539" t="s">
        <v>292</v>
      </c>
      <c r="U1539" t="s">
        <v>5395</v>
      </c>
      <c r="V1539" t="s">
        <v>548</v>
      </c>
      <c r="W1539" t="s">
        <v>875</v>
      </c>
      <c r="Y1539" t="s">
        <v>5394</v>
      </c>
      <c r="Z1539" t="str">
        <f>"0114 2848718"</f>
        <v>0114 2848718</v>
      </c>
      <c r="AA1539" t="str">
        <f>""</f>
        <v/>
      </c>
      <c r="AB1539" t="s">
        <v>2291</v>
      </c>
      <c r="AC1539" t="s">
        <v>5393</v>
      </c>
      <c r="AD1539" t="s">
        <v>151</v>
      </c>
      <c r="AF1539" t="s">
        <v>113</v>
      </c>
      <c r="AG1539" t="s">
        <v>112</v>
      </c>
      <c r="AH1539" t="s">
        <v>112</v>
      </c>
      <c r="AI1539" s="63">
        <v>32874</v>
      </c>
      <c r="AK1539" t="s">
        <v>111</v>
      </c>
      <c r="AL1539" t="s">
        <v>111</v>
      </c>
      <c r="AM1539" t="s">
        <v>111</v>
      </c>
      <c r="AN1539" t="s">
        <v>105</v>
      </c>
      <c r="AO1539" t="s">
        <v>110</v>
      </c>
      <c r="AP1539" t="s">
        <v>109</v>
      </c>
    </row>
    <row r="1540" spans="1:42" x14ac:dyDescent="0.25">
      <c r="A1540" s="28" t="str">
        <f>"14367"</f>
        <v>14367</v>
      </c>
      <c r="B1540">
        <v>14367</v>
      </c>
      <c r="C1540" t="s">
        <v>2488</v>
      </c>
      <c r="D1540" t="s">
        <v>121</v>
      </c>
      <c r="F1540" t="s">
        <v>144</v>
      </c>
      <c r="G1540" t="s">
        <v>5392</v>
      </c>
      <c r="I1540" t="s">
        <v>5391</v>
      </c>
      <c r="J1540" t="s">
        <v>126</v>
      </c>
      <c r="K1540" s="63">
        <v>27676</v>
      </c>
      <c r="L1540" s="28">
        <f>DATEDIF(K1540,Zwift25!G$1,"Y")</f>
        <v>49</v>
      </c>
      <c r="M1540" s="67">
        <f>IF(J1540="m",VLOOKUP(L1540,'All Solo Adjustments'!A:D,4,FALSE),VLOOKUP(L1540,'All Solo Adjustments'!A:J,10,FALSE))</f>
        <v>4.8842592592592592E-3</v>
      </c>
      <c r="N1540" s="63"/>
      <c r="O1540" s="63"/>
      <c r="P1540" s="63"/>
      <c r="Q1540" s="63"/>
      <c r="R1540" t="s">
        <v>125</v>
      </c>
      <c r="S1540" t="s">
        <v>170</v>
      </c>
      <c r="T1540" t="s">
        <v>292</v>
      </c>
      <c r="U1540" t="s">
        <v>5390</v>
      </c>
      <c r="V1540" t="s">
        <v>5389</v>
      </c>
      <c r="W1540" t="s">
        <v>5388</v>
      </c>
      <c r="X1540" t="s">
        <v>401</v>
      </c>
      <c r="Y1540" t="s">
        <v>5387</v>
      </c>
      <c r="Z1540" t="str">
        <f>"+447956997669"</f>
        <v>+447956997669</v>
      </c>
      <c r="AA1540" t="str">
        <f>""</f>
        <v/>
      </c>
      <c r="AB1540" t="s">
        <v>301</v>
      </c>
      <c r="AC1540" t="s">
        <v>5386</v>
      </c>
      <c r="AD1540" t="s">
        <v>114</v>
      </c>
      <c r="AE1540" s="63">
        <v>45307</v>
      </c>
      <c r="AF1540" t="s">
        <v>156</v>
      </c>
      <c r="AG1540" t="s">
        <v>112</v>
      </c>
      <c r="AH1540" t="s">
        <v>112</v>
      </c>
      <c r="AI1540" s="63">
        <v>43725</v>
      </c>
      <c r="AJ1540" s="63">
        <v>45657</v>
      </c>
      <c r="AK1540" t="s">
        <v>112</v>
      </c>
      <c r="AL1540" t="s">
        <v>111</v>
      </c>
      <c r="AM1540" t="s">
        <v>111</v>
      </c>
      <c r="AN1540">
        <v>4961</v>
      </c>
      <c r="AO1540" t="s">
        <v>122</v>
      </c>
      <c r="AP1540" t="s">
        <v>122</v>
      </c>
    </row>
    <row r="1541" spans="1:42" x14ac:dyDescent="0.25">
      <c r="A1541" s="28" t="str">
        <f>"14313"</f>
        <v>14313</v>
      </c>
      <c r="B1541">
        <v>14313</v>
      </c>
      <c r="C1541" t="s">
        <v>2488</v>
      </c>
      <c r="D1541" t="s">
        <v>121</v>
      </c>
      <c r="F1541" t="s">
        <v>120</v>
      </c>
      <c r="G1541" t="s">
        <v>251</v>
      </c>
      <c r="I1541" t="s">
        <v>5385</v>
      </c>
      <c r="J1541" t="s">
        <v>7</v>
      </c>
      <c r="K1541" s="63">
        <v>25535</v>
      </c>
      <c r="L1541" s="28">
        <f>DATEDIF(K1541,Zwift25!G$1,"Y")</f>
        <v>54</v>
      </c>
      <c r="M1541" s="67">
        <f>IF(J1541="m",VLOOKUP(L1541,'All Solo Adjustments'!A:D,4,FALSE),VLOOKUP(L1541,'All Solo Adjustments'!A:J,10,FALSE))</f>
        <v>1.8518518518518517E-3</v>
      </c>
      <c r="N1541" s="63"/>
      <c r="O1541" s="63"/>
      <c r="P1541" s="63"/>
      <c r="Q1541" s="63"/>
      <c r="R1541" t="s">
        <v>159</v>
      </c>
      <c r="S1541" t="s">
        <v>162</v>
      </c>
      <c r="T1541" t="s">
        <v>292</v>
      </c>
      <c r="U1541" t="s">
        <v>5384</v>
      </c>
      <c r="V1541" t="s">
        <v>5383</v>
      </c>
      <c r="W1541" t="s">
        <v>458</v>
      </c>
      <c r="X1541" t="s">
        <v>159</v>
      </c>
      <c r="Y1541" t="s">
        <v>5382</v>
      </c>
      <c r="Z1541" t="str">
        <f>"07956398550"</f>
        <v>07956398550</v>
      </c>
      <c r="AA1541" t="str">
        <f>"01304840851"</f>
        <v>01304840851</v>
      </c>
      <c r="AB1541" t="s">
        <v>5381</v>
      </c>
      <c r="AC1541" t="s">
        <v>5380</v>
      </c>
      <c r="AD1541" t="s">
        <v>114</v>
      </c>
      <c r="AE1541" s="63">
        <v>45272</v>
      </c>
      <c r="AF1541" t="s">
        <v>113</v>
      </c>
      <c r="AG1541" t="s">
        <v>112</v>
      </c>
      <c r="AH1541" t="s">
        <v>112</v>
      </c>
      <c r="AI1541" s="63">
        <v>43654</v>
      </c>
      <c r="AJ1541" s="63">
        <v>45657</v>
      </c>
      <c r="AK1541" t="s">
        <v>112</v>
      </c>
      <c r="AL1541" t="s">
        <v>111</v>
      </c>
      <c r="AM1541" t="s">
        <v>111</v>
      </c>
      <c r="AN1541">
        <v>31297</v>
      </c>
      <c r="AO1541" t="s">
        <v>110</v>
      </c>
      <c r="AP1541" t="s">
        <v>109</v>
      </c>
    </row>
    <row r="1542" spans="1:42" x14ac:dyDescent="0.25">
      <c r="A1542" s="28" t="str">
        <f>"16127"</f>
        <v>16127</v>
      </c>
      <c r="B1542">
        <v>16127</v>
      </c>
      <c r="C1542" t="s">
        <v>2488</v>
      </c>
      <c r="D1542" t="s">
        <v>121</v>
      </c>
      <c r="F1542" t="s">
        <v>120</v>
      </c>
      <c r="G1542" t="s">
        <v>884</v>
      </c>
      <c r="H1542" t="s">
        <v>359</v>
      </c>
      <c r="I1542" t="s">
        <v>5379</v>
      </c>
      <c r="J1542" t="s">
        <v>7</v>
      </c>
      <c r="K1542" s="63">
        <v>29970</v>
      </c>
      <c r="L1542" s="28">
        <f>DATEDIF(K1542,Zwift25!G$1,"Y")</f>
        <v>42</v>
      </c>
      <c r="M1542" s="67">
        <f>IF(J1542="m",VLOOKUP(L1542,'All Solo Adjustments'!A:D,4,FALSE),VLOOKUP(L1542,'All Solo Adjustments'!A:J,10,FALSE))</f>
        <v>1.5046296296296295E-4</v>
      </c>
      <c r="N1542" s="63"/>
      <c r="O1542" s="63"/>
      <c r="P1542" s="63"/>
      <c r="Q1542" s="63"/>
      <c r="R1542" t="s">
        <v>137</v>
      </c>
      <c r="S1542" t="s">
        <v>136</v>
      </c>
      <c r="T1542" t="s">
        <v>292</v>
      </c>
      <c r="U1542" t="s">
        <v>5378</v>
      </c>
      <c r="V1542" t="s">
        <v>350</v>
      </c>
      <c r="W1542" t="s">
        <v>564</v>
      </c>
      <c r="Y1542" t="s">
        <v>5377</v>
      </c>
      <c r="Z1542" t="str">
        <f>"07876332432"</f>
        <v>07876332432</v>
      </c>
      <c r="AA1542" t="str">
        <f>""</f>
        <v/>
      </c>
      <c r="AB1542" t="s">
        <v>825</v>
      </c>
      <c r="AC1542" t="s">
        <v>5376</v>
      </c>
      <c r="AD1542" t="s">
        <v>114</v>
      </c>
      <c r="AE1542" s="63">
        <v>45460</v>
      </c>
      <c r="AF1542" t="s">
        <v>156</v>
      </c>
      <c r="AG1542" t="s">
        <v>112</v>
      </c>
      <c r="AH1542" t="s">
        <v>112</v>
      </c>
      <c r="AI1542" s="63">
        <v>45460</v>
      </c>
      <c r="AJ1542" s="63">
        <v>45657</v>
      </c>
      <c r="AK1542" t="s">
        <v>112</v>
      </c>
      <c r="AL1542" t="s">
        <v>111</v>
      </c>
      <c r="AM1542" t="s">
        <v>111</v>
      </c>
      <c r="AN1542">
        <v>49129</v>
      </c>
      <c r="AO1542" t="s">
        <v>110</v>
      </c>
      <c r="AP1542" t="s">
        <v>109</v>
      </c>
    </row>
    <row r="1543" spans="1:42" x14ac:dyDescent="0.25">
      <c r="A1543" s="28" t="str">
        <f>"1918"</f>
        <v>1918</v>
      </c>
      <c r="B1543">
        <v>1918</v>
      </c>
      <c r="C1543" t="s">
        <v>2488</v>
      </c>
      <c r="D1543" t="s">
        <v>121</v>
      </c>
      <c r="F1543" t="s">
        <v>120</v>
      </c>
      <c r="G1543" t="s">
        <v>284</v>
      </c>
      <c r="I1543" t="s">
        <v>5375</v>
      </c>
      <c r="J1543" t="s">
        <v>7</v>
      </c>
      <c r="K1543" s="63">
        <v>13969</v>
      </c>
      <c r="L1543" s="28">
        <f>DATEDIF(K1543,Zwift25!G$1,"Y")</f>
        <v>86</v>
      </c>
      <c r="M1543" s="67">
        <f>IF(J1543="m",VLOOKUP(L1543,'All Solo Adjustments'!A:D,4,FALSE),VLOOKUP(L1543,'All Solo Adjustments'!A:J,10,FALSE))</f>
        <v>1.4988425925925926E-2</v>
      </c>
      <c r="N1543" s="63"/>
      <c r="O1543" s="63"/>
      <c r="P1543" s="63"/>
      <c r="Q1543" s="63"/>
      <c r="R1543" t="s">
        <v>125</v>
      </c>
      <c r="S1543" t="s">
        <v>170</v>
      </c>
      <c r="T1543" t="s">
        <v>292</v>
      </c>
      <c r="U1543" t="s">
        <v>5374</v>
      </c>
      <c r="V1543" t="s">
        <v>3213</v>
      </c>
      <c r="Y1543" t="s">
        <v>5373</v>
      </c>
      <c r="Z1543" t="str">
        <f>"01692 400634"</f>
        <v>01692 400634</v>
      </c>
      <c r="AA1543" t="str">
        <f>""</f>
        <v/>
      </c>
      <c r="AB1543" t="s">
        <v>587</v>
      </c>
      <c r="AD1543" t="s">
        <v>145</v>
      </c>
      <c r="AE1543" s="63">
        <v>45327</v>
      </c>
      <c r="AF1543" t="s">
        <v>113</v>
      </c>
      <c r="AG1543" t="s">
        <v>112</v>
      </c>
      <c r="AH1543" t="s">
        <v>112</v>
      </c>
      <c r="AI1543" s="63">
        <v>42870</v>
      </c>
      <c r="AJ1543" s="63">
        <v>45657</v>
      </c>
      <c r="AK1543" t="s">
        <v>111</v>
      </c>
      <c r="AL1543" t="s">
        <v>111</v>
      </c>
      <c r="AM1543" t="s">
        <v>111</v>
      </c>
      <c r="AN1543" t="s">
        <v>105</v>
      </c>
      <c r="AO1543" t="s">
        <v>110</v>
      </c>
      <c r="AP1543" t="s">
        <v>109</v>
      </c>
    </row>
    <row r="1544" spans="1:42" x14ac:dyDescent="0.25">
      <c r="A1544" s="28" t="str">
        <f>"15199"</f>
        <v>15199</v>
      </c>
      <c r="B1544">
        <v>15199</v>
      </c>
      <c r="C1544" t="s">
        <v>2488</v>
      </c>
      <c r="D1544" t="s">
        <v>121</v>
      </c>
      <c r="E1544" t="s">
        <v>5372</v>
      </c>
      <c r="F1544" t="s">
        <v>120</v>
      </c>
      <c r="G1544" t="s">
        <v>685</v>
      </c>
      <c r="H1544" t="s">
        <v>174</v>
      </c>
      <c r="I1544" t="s">
        <v>5371</v>
      </c>
      <c r="J1544" t="s">
        <v>7</v>
      </c>
      <c r="K1544" s="63">
        <v>25863</v>
      </c>
      <c r="L1544" s="28">
        <f>DATEDIF(K1544,Zwift25!G$1,"Y")</f>
        <v>53</v>
      </c>
      <c r="M1544" s="67">
        <f>IF(J1544="m",VLOOKUP(L1544,'All Solo Adjustments'!A:D,4,FALSE),VLOOKUP(L1544,'All Solo Adjustments'!A:J,10,FALSE))</f>
        <v>1.6666666666666668E-3</v>
      </c>
      <c r="N1544" s="63"/>
      <c r="O1544" s="63"/>
      <c r="P1544" s="63"/>
      <c r="Q1544" s="63"/>
      <c r="R1544" t="s">
        <v>296</v>
      </c>
      <c r="S1544" t="s">
        <v>295</v>
      </c>
      <c r="T1544" t="s">
        <v>292</v>
      </c>
      <c r="U1544" t="s">
        <v>5370</v>
      </c>
      <c r="V1544" t="s">
        <v>5369</v>
      </c>
      <c r="W1544" t="s">
        <v>804</v>
      </c>
      <c r="Y1544" t="s">
        <v>5368</v>
      </c>
      <c r="Z1544" t="str">
        <f>"07514462952"</f>
        <v>07514462952</v>
      </c>
      <c r="AA1544" t="str">
        <f>""</f>
        <v/>
      </c>
      <c r="AB1544" t="s">
        <v>2056</v>
      </c>
      <c r="AC1544" t="s">
        <v>5367</v>
      </c>
      <c r="AD1544" t="s">
        <v>114</v>
      </c>
      <c r="AE1544" s="63">
        <v>45281</v>
      </c>
      <c r="AF1544" t="s">
        <v>156</v>
      </c>
      <c r="AG1544" t="s">
        <v>112</v>
      </c>
      <c r="AH1544" t="s">
        <v>112</v>
      </c>
      <c r="AI1544" s="63">
        <v>44407</v>
      </c>
      <c r="AJ1544" s="63">
        <v>45657</v>
      </c>
      <c r="AK1544" t="s">
        <v>112</v>
      </c>
      <c r="AL1544" t="s">
        <v>111</v>
      </c>
      <c r="AM1544" t="s">
        <v>111</v>
      </c>
      <c r="AN1544">
        <v>40390</v>
      </c>
      <c r="AO1544" t="s">
        <v>110</v>
      </c>
      <c r="AP1544" t="s">
        <v>109</v>
      </c>
    </row>
    <row r="1545" spans="1:42" x14ac:dyDescent="0.25">
      <c r="A1545" s="28" t="str">
        <f>"15834"</f>
        <v>15834</v>
      </c>
      <c r="B1545">
        <v>15834</v>
      </c>
      <c r="C1545" t="s">
        <v>2488</v>
      </c>
      <c r="D1545" t="s">
        <v>121</v>
      </c>
      <c r="F1545" t="s">
        <v>120</v>
      </c>
      <c r="G1545" t="s">
        <v>1404</v>
      </c>
      <c r="H1545" t="s">
        <v>970</v>
      </c>
      <c r="I1545" t="s">
        <v>5366</v>
      </c>
      <c r="J1545" t="s">
        <v>7</v>
      </c>
      <c r="K1545" s="63">
        <v>29294</v>
      </c>
      <c r="L1545" s="28">
        <f>DATEDIF(K1545,Zwift25!G$1,"Y")</f>
        <v>44</v>
      </c>
      <c r="M1545" s="67">
        <f>IF(J1545="m",VLOOKUP(L1545,'All Solo Adjustments'!A:D,4,FALSE),VLOOKUP(L1545,'All Solo Adjustments'!A:J,10,FALSE))</f>
        <v>3.3564814814814818E-4</v>
      </c>
      <c r="N1545" s="63"/>
      <c r="O1545" s="63"/>
      <c r="P1545" s="63"/>
      <c r="Q1545" s="63"/>
      <c r="R1545" t="s">
        <v>143</v>
      </c>
      <c r="S1545" t="s">
        <v>142</v>
      </c>
      <c r="T1545" t="s">
        <v>292</v>
      </c>
      <c r="U1545" t="s">
        <v>5365</v>
      </c>
      <c r="V1545" t="s">
        <v>5364</v>
      </c>
      <c r="W1545" t="s">
        <v>2012</v>
      </c>
      <c r="Y1545" t="s">
        <v>5363</v>
      </c>
      <c r="Z1545" t="str">
        <f>"07904315905"</f>
        <v>07904315905</v>
      </c>
      <c r="AA1545" t="str">
        <f>""</f>
        <v/>
      </c>
      <c r="AB1545" t="s">
        <v>5362</v>
      </c>
      <c r="AC1545" t="s">
        <v>5361</v>
      </c>
      <c r="AD1545" t="s">
        <v>114</v>
      </c>
      <c r="AE1545" s="63">
        <v>45304</v>
      </c>
      <c r="AF1545" t="s">
        <v>156</v>
      </c>
      <c r="AG1545" t="s">
        <v>112</v>
      </c>
      <c r="AH1545" t="s">
        <v>112</v>
      </c>
      <c r="AI1545" s="63">
        <v>45071</v>
      </c>
      <c r="AJ1545" s="63">
        <v>45657</v>
      </c>
      <c r="AK1545" t="s">
        <v>112</v>
      </c>
      <c r="AL1545" t="s">
        <v>111</v>
      </c>
      <c r="AM1545" t="s">
        <v>111</v>
      </c>
      <c r="AN1545">
        <v>22397</v>
      </c>
      <c r="AO1545" t="s">
        <v>110</v>
      </c>
      <c r="AP1545" t="s">
        <v>109</v>
      </c>
    </row>
    <row r="1546" spans="1:42" x14ac:dyDescent="0.25">
      <c r="A1546" s="28" t="str">
        <f>"2805"</f>
        <v>2805</v>
      </c>
      <c r="B1546">
        <v>2805</v>
      </c>
      <c r="C1546" t="s">
        <v>2488</v>
      </c>
      <c r="D1546" t="s">
        <v>121</v>
      </c>
      <c r="F1546" t="s">
        <v>120</v>
      </c>
      <c r="G1546" t="s">
        <v>262</v>
      </c>
      <c r="I1546" t="s">
        <v>5360</v>
      </c>
      <c r="J1546" t="s">
        <v>7</v>
      </c>
      <c r="K1546" s="63">
        <v>13375</v>
      </c>
      <c r="L1546" s="28">
        <f>DATEDIF(K1546,Zwift25!G$1,"Y")</f>
        <v>88</v>
      </c>
      <c r="M1546" s="67">
        <f>IF(J1546="m",VLOOKUP(L1546,'All Solo Adjustments'!A:D,4,FALSE),VLOOKUP(L1546,'All Solo Adjustments'!A:J,10,FALSE))</f>
        <v>1.6597222222222222E-2</v>
      </c>
      <c r="N1546" s="63"/>
      <c r="O1546" s="63"/>
      <c r="P1546" s="63"/>
      <c r="Q1546" s="63"/>
      <c r="R1546" t="s">
        <v>143</v>
      </c>
      <c r="S1546" t="s">
        <v>487</v>
      </c>
      <c r="T1546" t="s">
        <v>292</v>
      </c>
      <c r="U1546" t="s">
        <v>5359</v>
      </c>
      <c r="V1546" t="s">
        <v>5358</v>
      </c>
      <c r="W1546" t="s">
        <v>141</v>
      </c>
      <c r="Y1546" t="s">
        <v>5357</v>
      </c>
      <c r="Z1546" t="str">
        <f>"02083 301858"</f>
        <v>02083 301858</v>
      </c>
      <c r="AA1546" t="str">
        <f>""</f>
        <v/>
      </c>
      <c r="AB1546" t="s">
        <v>1488</v>
      </c>
      <c r="AC1546" t="s">
        <v>5356</v>
      </c>
      <c r="AD1546" t="s">
        <v>151</v>
      </c>
      <c r="AF1546" t="s">
        <v>156</v>
      </c>
      <c r="AG1546" t="s">
        <v>112</v>
      </c>
      <c r="AH1546" t="s">
        <v>112</v>
      </c>
      <c r="AI1546" s="63">
        <v>35065</v>
      </c>
      <c r="AK1546" t="s">
        <v>111</v>
      </c>
      <c r="AL1546" t="s">
        <v>111</v>
      </c>
      <c r="AM1546" t="s">
        <v>111</v>
      </c>
      <c r="AN1546" t="s">
        <v>105</v>
      </c>
      <c r="AO1546" t="s">
        <v>110</v>
      </c>
      <c r="AP1546" t="s">
        <v>109</v>
      </c>
    </row>
    <row r="1547" spans="1:42" x14ac:dyDescent="0.25">
      <c r="A1547" s="28" t="str">
        <f>"1928"</f>
        <v>1928</v>
      </c>
      <c r="B1547">
        <v>1928</v>
      </c>
      <c r="C1547" t="s">
        <v>2488</v>
      </c>
      <c r="D1547" t="s">
        <v>121</v>
      </c>
      <c r="F1547" t="s">
        <v>120</v>
      </c>
      <c r="G1547" t="s">
        <v>761</v>
      </c>
      <c r="I1547" t="s">
        <v>5355</v>
      </c>
      <c r="J1547" t="s">
        <v>7</v>
      </c>
      <c r="K1547" s="63">
        <v>19830</v>
      </c>
      <c r="L1547" s="28">
        <f>DATEDIF(K1547,Zwift25!G$1,"Y")</f>
        <v>70</v>
      </c>
      <c r="M1547" s="67">
        <f>IF(J1547="m",VLOOKUP(L1547,'All Solo Adjustments'!A:D,4,FALSE),VLOOKUP(L1547,'All Solo Adjustments'!A:J,10,FALSE))</f>
        <v>6.3425925925925924E-3</v>
      </c>
      <c r="N1547" s="63"/>
      <c r="O1547" s="63"/>
      <c r="P1547" s="63"/>
      <c r="Q1547" s="63"/>
      <c r="R1547" t="s">
        <v>125</v>
      </c>
      <c r="S1547" t="s">
        <v>170</v>
      </c>
      <c r="T1547" t="s">
        <v>292</v>
      </c>
      <c r="U1547" t="s">
        <v>5354</v>
      </c>
      <c r="V1547" t="s">
        <v>2150</v>
      </c>
      <c r="W1547" t="s">
        <v>945</v>
      </c>
      <c r="X1547" t="s">
        <v>169</v>
      </c>
      <c r="Y1547" t="s">
        <v>5353</v>
      </c>
      <c r="Z1547" t="str">
        <f>"07493 989259"</f>
        <v>07493 989259</v>
      </c>
      <c r="AA1547" t="str">
        <f>"01449 777075"</f>
        <v>01449 777075</v>
      </c>
      <c r="AB1547" t="s">
        <v>341</v>
      </c>
      <c r="AC1547" t="s">
        <v>5352</v>
      </c>
      <c r="AD1547" t="s">
        <v>114</v>
      </c>
      <c r="AE1547" s="63">
        <v>45336</v>
      </c>
      <c r="AF1547" t="s">
        <v>156</v>
      </c>
      <c r="AG1547" t="s">
        <v>112</v>
      </c>
      <c r="AH1547" t="s">
        <v>112</v>
      </c>
      <c r="AI1547" s="63">
        <v>37692</v>
      </c>
      <c r="AJ1547" s="63">
        <v>45657</v>
      </c>
      <c r="AK1547" t="s">
        <v>111</v>
      </c>
      <c r="AL1547" t="s">
        <v>111</v>
      </c>
      <c r="AM1547" t="s">
        <v>111</v>
      </c>
      <c r="AN1547">
        <v>4334</v>
      </c>
      <c r="AO1547" t="s">
        <v>110</v>
      </c>
      <c r="AP1547" t="s">
        <v>109</v>
      </c>
    </row>
    <row r="1548" spans="1:42" x14ac:dyDescent="0.25">
      <c r="A1548" s="28" t="str">
        <f>"6010"</f>
        <v>6010</v>
      </c>
      <c r="B1548">
        <v>6010</v>
      </c>
      <c r="C1548" t="s">
        <v>2488</v>
      </c>
      <c r="D1548" t="s">
        <v>121</v>
      </c>
      <c r="F1548" t="s">
        <v>120</v>
      </c>
      <c r="G1548" t="s">
        <v>284</v>
      </c>
      <c r="I1548" t="s">
        <v>5351</v>
      </c>
      <c r="J1548" t="s">
        <v>7</v>
      </c>
      <c r="K1548" s="63">
        <v>18718</v>
      </c>
      <c r="L1548" s="28">
        <f>DATEDIF(K1548,Zwift25!G$1,"Y")</f>
        <v>73</v>
      </c>
      <c r="M1548" s="67">
        <f>IF(J1548="m",VLOOKUP(L1548,'All Solo Adjustments'!A:D,4,FALSE),VLOOKUP(L1548,'All Solo Adjustments'!A:J,10,FALSE))</f>
        <v>7.5462962962962966E-3</v>
      </c>
      <c r="N1548" s="63"/>
      <c r="O1548" s="63"/>
      <c r="P1548" s="63"/>
      <c r="Q1548" s="63"/>
      <c r="R1548" t="s">
        <v>239</v>
      </c>
      <c r="S1548" t="s">
        <v>274</v>
      </c>
      <c r="T1548" t="s">
        <v>292</v>
      </c>
      <c r="U1548" t="s">
        <v>5350</v>
      </c>
      <c r="V1548" t="s">
        <v>5349</v>
      </c>
      <c r="W1548" t="s">
        <v>5348</v>
      </c>
      <c r="X1548" t="s">
        <v>869</v>
      </c>
      <c r="Y1548" t="s">
        <v>5347</v>
      </c>
      <c r="Z1548" t="str">
        <f>"07709608631"</f>
        <v>07709608631</v>
      </c>
      <c r="AA1548" t="str">
        <f>"07709608631"</f>
        <v>07709608631</v>
      </c>
      <c r="AB1548" t="s">
        <v>3320</v>
      </c>
      <c r="AC1548" t="s">
        <v>5346</v>
      </c>
      <c r="AD1548" t="s">
        <v>114</v>
      </c>
      <c r="AE1548" s="63">
        <v>45262</v>
      </c>
      <c r="AF1548" t="s">
        <v>156</v>
      </c>
      <c r="AG1548" t="s">
        <v>112</v>
      </c>
      <c r="AH1548" t="s">
        <v>112</v>
      </c>
      <c r="AI1548" s="63">
        <v>43508</v>
      </c>
      <c r="AJ1548" s="63">
        <v>45657</v>
      </c>
      <c r="AK1548" t="s">
        <v>111</v>
      </c>
      <c r="AL1548" t="s">
        <v>111</v>
      </c>
      <c r="AM1548" t="s">
        <v>111</v>
      </c>
      <c r="AN1548">
        <v>11375</v>
      </c>
      <c r="AO1548" t="s">
        <v>110</v>
      </c>
      <c r="AP1548" t="s">
        <v>109</v>
      </c>
    </row>
    <row r="1549" spans="1:42" x14ac:dyDescent="0.25">
      <c r="A1549" s="28" t="str">
        <f>"16218"</f>
        <v>16218</v>
      </c>
      <c r="B1549">
        <v>16218</v>
      </c>
      <c r="C1549" t="s">
        <v>2488</v>
      </c>
      <c r="D1549" t="s">
        <v>121</v>
      </c>
      <c r="F1549" t="s">
        <v>120</v>
      </c>
      <c r="G1549" t="s">
        <v>185</v>
      </c>
      <c r="I1549" t="s">
        <v>5345</v>
      </c>
      <c r="J1549" t="s">
        <v>7</v>
      </c>
      <c r="K1549" s="63">
        <v>23732</v>
      </c>
      <c r="L1549" s="28">
        <f>DATEDIF(K1549,Zwift25!G$1,"Y")</f>
        <v>59</v>
      </c>
      <c r="M1549" s="67">
        <f>IF(J1549="m",VLOOKUP(L1549,'All Solo Adjustments'!A:D,4,FALSE),VLOOKUP(L1549,'All Solo Adjustments'!A:J,10,FALSE))</f>
        <v>2.9629629629629632E-3</v>
      </c>
      <c r="N1549" s="63"/>
      <c r="O1549" s="63"/>
      <c r="P1549" s="63"/>
      <c r="Q1549" s="63"/>
      <c r="R1549" t="s">
        <v>184</v>
      </c>
      <c r="S1549" t="s">
        <v>183</v>
      </c>
      <c r="T1549" t="s">
        <v>292</v>
      </c>
      <c r="U1549" t="s">
        <v>5344</v>
      </c>
      <c r="V1549" t="s">
        <v>4741</v>
      </c>
      <c r="Y1549" t="s">
        <v>5343</v>
      </c>
      <c r="Z1549" t="str">
        <f>"07852233878"</f>
        <v>07852233878</v>
      </c>
      <c r="AA1549" t="str">
        <f>""</f>
        <v/>
      </c>
      <c r="AB1549" t="s">
        <v>5342</v>
      </c>
      <c r="AC1549" t="s">
        <v>5341</v>
      </c>
      <c r="AD1549" t="s">
        <v>114</v>
      </c>
      <c r="AE1549" s="63">
        <v>45567</v>
      </c>
      <c r="AF1549" t="s">
        <v>156</v>
      </c>
      <c r="AG1549" t="s">
        <v>112</v>
      </c>
      <c r="AH1549" t="s">
        <v>112</v>
      </c>
      <c r="AI1549" s="63">
        <v>45567</v>
      </c>
      <c r="AJ1549" s="63">
        <v>46022</v>
      </c>
      <c r="AK1549" t="s">
        <v>112</v>
      </c>
      <c r="AL1549" t="s">
        <v>111</v>
      </c>
      <c r="AM1549" t="s">
        <v>111</v>
      </c>
      <c r="AN1549">
        <v>50875</v>
      </c>
      <c r="AO1549" t="s">
        <v>110</v>
      </c>
      <c r="AP1549" t="s">
        <v>109</v>
      </c>
    </row>
    <row r="1550" spans="1:42" x14ac:dyDescent="0.25">
      <c r="A1550" s="28" t="str">
        <f>"6103"</f>
        <v>6103</v>
      </c>
      <c r="B1550">
        <v>6103</v>
      </c>
      <c r="C1550" t="s">
        <v>2488</v>
      </c>
      <c r="D1550" t="s">
        <v>121</v>
      </c>
      <c r="E1550" t="s">
        <v>584</v>
      </c>
      <c r="F1550" t="s">
        <v>120</v>
      </c>
      <c r="G1550" t="s">
        <v>433</v>
      </c>
      <c r="H1550" t="s">
        <v>230</v>
      </c>
      <c r="I1550" t="s">
        <v>5336</v>
      </c>
      <c r="J1550" t="s">
        <v>7</v>
      </c>
      <c r="K1550" s="63">
        <v>26654</v>
      </c>
      <c r="L1550" s="28">
        <f>DATEDIF(K1550,Zwift25!G$1,"Y")</f>
        <v>51</v>
      </c>
      <c r="M1550" s="67">
        <f>IF(J1550="m",VLOOKUP(L1550,'All Solo Adjustments'!A:D,4,FALSE),VLOOKUP(L1550,'All Solo Adjustments'!A:J,10,FALSE))</f>
        <v>1.3078703703703703E-3</v>
      </c>
      <c r="N1550" s="63"/>
      <c r="O1550" s="63"/>
      <c r="P1550" s="63"/>
      <c r="Q1550" s="63"/>
      <c r="R1550" t="s">
        <v>296</v>
      </c>
      <c r="S1550" t="s">
        <v>295</v>
      </c>
      <c r="T1550" t="s">
        <v>292</v>
      </c>
      <c r="U1550" t="s">
        <v>5340</v>
      </c>
      <c r="V1550" t="s">
        <v>5339</v>
      </c>
      <c r="W1550" t="s">
        <v>2614</v>
      </c>
      <c r="X1550" t="s">
        <v>1604</v>
      </c>
      <c r="Y1550" t="s">
        <v>5338</v>
      </c>
      <c r="Z1550" t="str">
        <f>"01698290712"</f>
        <v>01698290712</v>
      </c>
      <c r="AA1550" t="str">
        <f>"07745425052"</f>
        <v>07745425052</v>
      </c>
      <c r="AB1550" t="s">
        <v>1780</v>
      </c>
      <c r="AC1550" t="s">
        <v>5337</v>
      </c>
      <c r="AD1550" t="s">
        <v>114</v>
      </c>
      <c r="AE1550" s="63">
        <v>45271</v>
      </c>
      <c r="AF1550" t="s">
        <v>113</v>
      </c>
      <c r="AG1550" t="s">
        <v>112</v>
      </c>
      <c r="AH1550" t="s">
        <v>112</v>
      </c>
      <c r="AI1550" s="63">
        <v>42788</v>
      </c>
      <c r="AJ1550" s="63">
        <v>45657</v>
      </c>
      <c r="AK1550" t="s">
        <v>111</v>
      </c>
      <c r="AL1550" t="s">
        <v>111</v>
      </c>
      <c r="AM1550" t="s">
        <v>111</v>
      </c>
      <c r="AN1550">
        <v>809</v>
      </c>
      <c r="AO1550" t="s">
        <v>110</v>
      </c>
      <c r="AP1550" t="s">
        <v>109</v>
      </c>
    </row>
    <row r="1551" spans="1:42" x14ac:dyDescent="0.25">
      <c r="A1551" s="28" t="str">
        <f>"16023"</f>
        <v>16023</v>
      </c>
      <c r="B1551">
        <v>16023</v>
      </c>
      <c r="C1551" t="s">
        <v>2488</v>
      </c>
      <c r="D1551" t="s">
        <v>121</v>
      </c>
      <c r="E1551" t="s">
        <v>584</v>
      </c>
      <c r="F1551" t="s">
        <v>120</v>
      </c>
      <c r="G1551" t="s">
        <v>1338</v>
      </c>
      <c r="I1551" t="s">
        <v>5336</v>
      </c>
      <c r="J1551" t="s">
        <v>7</v>
      </c>
      <c r="K1551" s="63">
        <v>23094</v>
      </c>
      <c r="L1551" s="28">
        <f>DATEDIF(K1551,Zwift25!G$1,"Y")</f>
        <v>61</v>
      </c>
      <c r="M1551" s="67">
        <f>IF(J1551="m",VLOOKUP(L1551,'All Solo Adjustments'!A:D,4,FALSE),VLOOKUP(L1551,'All Solo Adjustments'!A:J,10,FALSE))</f>
        <v>3.4722222222222225E-3</v>
      </c>
      <c r="N1551" s="63"/>
      <c r="O1551" s="63"/>
      <c r="P1551" s="63"/>
      <c r="Q1551" s="63"/>
      <c r="R1551" t="s">
        <v>296</v>
      </c>
      <c r="S1551" t="s">
        <v>295</v>
      </c>
      <c r="T1551" t="s">
        <v>292</v>
      </c>
      <c r="U1551" t="s">
        <v>5335</v>
      </c>
      <c r="V1551" t="s">
        <v>1110</v>
      </c>
      <c r="W1551" t="s">
        <v>1597</v>
      </c>
      <c r="X1551" t="s">
        <v>5334</v>
      </c>
      <c r="Y1551" t="s">
        <v>5333</v>
      </c>
      <c r="Z1551" t="str">
        <f>"+447951478250"</f>
        <v>+447951478250</v>
      </c>
      <c r="AA1551" t="str">
        <f>""</f>
        <v/>
      </c>
      <c r="AB1551" t="s">
        <v>1201</v>
      </c>
      <c r="AC1551" t="s">
        <v>5332</v>
      </c>
      <c r="AD1551" t="s">
        <v>114</v>
      </c>
      <c r="AE1551" s="63">
        <v>45330</v>
      </c>
      <c r="AF1551" t="s">
        <v>156</v>
      </c>
      <c r="AG1551" t="s">
        <v>112</v>
      </c>
      <c r="AH1551" t="s">
        <v>112</v>
      </c>
      <c r="AI1551" s="63">
        <v>45330</v>
      </c>
      <c r="AJ1551" s="63">
        <v>45657</v>
      </c>
      <c r="AK1551" t="s">
        <v>112</v>
      </c>
      <c r="AL1551" t="s">
        <v>111</v>
      </c>
      <c r="AM1551" t="s">
        <v>111</v>
      </c>
      <c r="AN1551">
        <v>49538</v>
      </c>
      <c r="AO1551" t="s">
        <v>110</v>
      </c>
      <c r="AP1551" t="s">
        <v>109</v>
      </c>
    </row>
    <row r="1552" spans="1:42" x14ac:dyDescent="0.25">
      <c r="A1552" s="28" t="str">
        <f>"15146"</f>
        <v>15146</v>
      </c>
      <c r="B1552">
        <v>15146</v>
      </c>
      <c r="C1552" t="s">
        <v>2488</v>
      </c>
      <c r="D1552" t="s">
        <v>121</v>
      </c>
      <c r="F1552" t="s">
        <v>120</v>
      </c>
      <c r="G1552" t="s">
        <v>300</v>
      </c>
      <c r="I1552" t="s">
        <v>5331</v>
      </c>
      <c r="J1552" t="s">
        <v>7</v>
      </c>
      <c r="K1552" s="63">
        <v>24605</v>
      </c>
      <c r="L1552" s="28">
        <f>DATEDIF(K1552,Zwift25!G$1,"Y")</f>
        <v>57</v>
      </c>
      <c r="M1552" s="67">
        <f>IF(J1552="m",VLOOKUP(L1552,'All Solo Adjustments'!A:D,4,FALSE),VLOOKUP(L1552,'All Solo Adjustments'!A:J,10,FALSE))</f>
        <v>2.488425925925926E-3</v>
      </c>
      <c r="N1552" s="63"/>
      <c r="O1552" s="63"/>
      <c r="P1552" s="63"/>
      <c r="Q1552" s="63"/>
      <c r="R1552" t="s">
        <v>184</v>
      </c>
      <c r="S1552" t="s">
        <v>183</v>
      </c>
      <c r="T1552" t="s">
        <v>292</v>
      </c>
      <c r="U1552" t="s">
        <v>5330</v>
      </c>
      <c r="V1552" t="s">
        <v>5329</v>
      </c>
      <c r="W1552" t="s">
        <v>1195</v>
      </c>
      <c r="Y1552" t="s">
        <v>5328</v>
      </c>
      <c r="Z1552" t="str">
        <f>"07779415373"</f>
        <v>07779415373</v>
      </c>
      <c r="AA1552" t="str">
        <f>""</f>
        <v/>
      </c>
      <c r="AB1552" t="s">
        <v>5327</v>
      </c>
      <c r="AC1552" t="s">
        <v>5326</v>
      </c>
      <c r="AD1552" t="s">
        <v>114</v>
      </c>
      <c r="AE1552" s="63">
        <v>45348</v>
      </c>
      <c r="AF1552" t="s">
        <v>113</v>
      </c>
      <c r="AG1552" t="s">
        <v>112</v>
      </c>
      <c r="AH1552" t="s">
        <v>112</v>
      </c>
      <c r="AI1552" s="63">
        <v>44375</v>
      </c>
      <c r="AJ1552" s="63">
        <v>45657</v>
      </c>
      <c r="AK1552" t="s">
        <v>112</v>
      </c>
      <c r="AL1552" t="s">
        <v>111</v>
      </c>
      <c r="AM1552" t="s">
        <v>111</v>
      </c>
      <c r="AN1552">
        <v>9682</v>
      </c>
      <c r="AO1552" t="s">
        <v>110</v>
      </c>
      <c r="AP1552" t="s">
        <v>109</v>
      </c>
    </row>
    <row r="1553" spans="1:42" x14ac:dyDescent="0.25">
      <c r="A1553" s="28" t="str">
        <f>"15241"</f>
        <v>15241</v>
      </c>
      <c r="B1553">
        <v>15241</v>
      </c>
      <c r="C1553" t="s">
        <v>2488</v>
      </c>
      <c r="D1553" t="s">
        <v>121</v>
      </c>
      <c r="E1553" t="s">
        <v>584</v>
      </c>
      <c r="F1553" t="s">
        <v>120</v>
      </c>
      <c r="G1553" t="s">
        <v>744</v>
      </c>
      <c r="I1553" t="s">
        <v>5325</v>
      </c>
      <c r="J1553" t="s">
        <v>7</v>
      </c>
      <c r="K1553" s="63">
        <v>27046</v>
      </c>
      <c r="L1553" s="28">
        <f>DATEDIF(K1553,Zwift25!G$1,"Y")</f>
        <v>50</v>
      </c>
      <c r="M1553" s="67">
        <f>IF(J1553="m",VLOOKUP(L1553,'All Solo Adjustments'!A:D,4,FALSE),VLOOKUP(L1553,'All Solo Adjustments'!A:J,10,FALSE))</f>
        <v>1.1342592592592591E-3</v>
      </c>
      <c r="N1553" s="63"/>
      <c r="O1553" s="63"/>
      <c r="P1553" s="63"/>
      <c r="Q1553" s="63"/>
      <c r="R1553" t="s">
        <v>154</v>
      </c>
      <c r="S1553" t="s">
        <v>153</v>
      </c>
      <c r="T1553" t="s">
        <v>292</v>
      </c>
      <c r="U1553" t="s">
        <v>5324</v>
      </c>
      <c r="V1553" t="s">
        <v>5323</v>
      </c>
      <c r="W1553" t="s">
        <v>673</v>
      </c>
      <c r="Y1553" t="s">
        <v>5322</v>
      </c>
      <c r="Z1553" t="str">
        <f>"07900552266"</f>
        <v>07900552266</v>
      </c>
      <c r="AA1553" t="str">
        <f>""</f>
        <v/>
      </c>
      <c r="AB1553" t="s">
        <v>640</v>
      </c>
      <c r="AC1553" t="s">
        <v>5321</v>
      </c>
      <c r="AD1553" t="s">
        <v>114</v>
      </c>
      <c r="AE1553" s="63">
        <v>45208</v>
      </c>
      <c r="AF1553" t="s">
        <v>156</v>
      </c>
      <c r="AG1553" t="s">
        <v>112</v>
      </c>
      <c r="AH1553" t="s">
        <v>112</v>
      </c>
      <c r="AI1553" s="63">
        <v>44455</v>
      </c>
      <c r="AJ1553" s="63">
        <v>45657</v>
      </c>
      <c r="AK1553" t="s">
        <v>112</v>
      </c>
      <c r="AL1553" t="s">
        <v>111</v>
      </c>
      <c r="AM1553" t="s">
        <v>111</v>
      </c>
      <c r="AN1553">
        <v>41065</v>
      </c>
      <c r="AO1553" t="s">
        <v>110</v>
      </c>
      <c r="AP1553" t="s">
        <v>109</v>
      </c>
    </row>
    <row r="1554" spans="1:42" x14ac:dyDescent="0.25">
      <c r="A1554" s="28" t="str">
        <f>"5550"</f>
        <v>5550</v>
      </c>
      <c r="B1554">
        <v>5550</v>
      </c>
      <c r="C1554" t="s">
        <v>2488</v>
      </c>
      <c r="D1554" t="s">
        <v>121</v>
      </c>
      <c r="F1554" t="s">
        <v>403</v>
      </c>
      <c r="G1554" t="s">
        <v>5320</v>
      </c>
      <c r="I1554" t="s">
        <v>5319</v>
      </c>
      <c r="J1554" t="s">
        <v>7</v>
      </c>
      <c r="K1554" s="63">
        <v>24642</v>
      </c>
      <c r="L1554" s="28">
        <f>DATEDIF(K1554,Zwift25!G$1,"Y")</f>
        <v>57</v>
      </c>
      <c r="M1554" s="67">
        <f>IF(J1554="m",VLOOKUP(L1554,'All Solo Adjustments'!A:D,4,FALSE),VLOOKUP(L1554,'All Solo Adjustments'!A:J,10,FALSE))</f>
        <v>2.488425925925926E-3</v>
      </c>
      <c r="N1554" s="63"/>
      <c r="O1554" s="63"/>
      <c r="P1554" s="63"/>
      <c r="Q1554" s="63"/>
      <c r="R1554" t="s">
        <v>184</v>
      </c>
      <c r="S1554" t="s">
        <v>183</v>
      </c>
      <c r="T1554" t="s">
        <v>292</v>
      </c>
      <c r="U1554" t="s">
        <v>5318</v>
      </c>
      <c r="V1554" t="s">
        <v>1573</v>
      </c>
      <c r="W1554" t="s">
        <v>828</v>
      </c>
      <c r="Y1554" t="s">
        <v>5317</v>
      </c>
      <c r="Z1554" t="str">
        <f>"07476204839"</f>
        <v>07476204839</v>
      </c>
      <c r="AA1554" t="str">
        <f>"01234325499"</f>
        <v>01234325499</v>
      </c>
      <c r="AB1554" t="s">
        <v>5316</v>
      </c>
      <c r="AC1554" t="s">
        <v>5315</v>
      </c>
      <c r="AD1554" t="s">
        <v>114</v>
      </c>
      <c r="AE1554" s="63">
        <v>45263</v>
      </c>
      <c r="AF1554" t="s">
        <v>156</v>
      </c>
      <c r="AG1554" t="s">
        <v>112</v>
      </c>
      <c r="AH1554" t="s">
        <v>112</v>
      </c>
      <c r="AI1554" s="63">
        <v>42185</v>
      </c>
      <c r="AJ1554" s="63">
        <v>45657</v>
      </c>
      <c r="AK1554" t="s">
        <v>111</v>
      </c>
      <c r="AL1554" t="s">
        <v>111</v>
      </c>
      <c r="AM1554" t="s">
        <v>111</v>
      </c>
      <c r="AN1554">
        <v>1326</v>
      </c>
      <c r="AO1554" t="s">
        <v>110</v>
      </c>
      <c r="AP1554" t="s">
        <v>109</v>
      </c>
    </row>
    <row r="1555" spans="1:42" x14ac:dyDescent="0.25">
      <c r="A1555" s="28" t="str">
        <f>"1934"</f>
        <v>1934</v>
      </c>
      <c r="B1555">
        <v>1934</v>
      </c>
      <c r="C1555" t="s">
        <v>2488</v>
      </c>
      <c r="D1555" t="s">
        <v>132</v>
      </c>
      <c r="F1555" t="s">
        <v>120</v>
      </c>
      <c r="G1555" t="s">
        <v>738</v>
      </c>
      <c r="I1555" t="s">
        <v>5314</v>
      </c>
      <c r="J1555" t="s">
        <v>7</v>
      </c>
      <c r="K1555" s="63">
        <v>15586</v>
      </c>
      <c r="L1555" s="28">
        <f>DATEDIF(K1555,Zwift25!G$1,"Y")</f>
        <v>82</v>
      </c>
      <c r="M1555" s="67">
        <f>IF(J1555="m",VLOOKUP(L1555,'All Solo Adjustments'!A:D,4,FALSE),VLOOKUP(L1555,'All Solo Adjustments'!A:J,10,FALSE))</f>
        <v>1.2210648148148148E-2</v>
      </c>
      <c r="N1555" s="63"/>
      <c r="O1555" s="63"/>
      <c r="P1555" s="63"/>
      <c r="Q1555" s="63"/>
      <c r="R1555" t="s">
        <v>118</v>
      </c>
      <c r="S1555" t="s">
        <v>873</v>
      </c>
      <c r="T1555" t="s">
        <v>292</v>
      </c>
      <c r="U1555" t="s">
        <v>5313</v>
      </c>
      <c r="V1555" t="s">
        <v>5312</v>
      </c>
      <c r="W1555" t="s">
        <v>1430</v>
      </c>
      <c r="Y1555" t="s">
        <v>5311</v>
      </c>
      <c r="Z1555" t="str">
        <f>"01709 524659"</f>
        <v>01709 524659</v>
      </c>
      <c r="AA1555" t="str">
        <f>""</f>
        <v/>
      </c>
      <c r="AB1555" t="s">
        <v>1214</v>
      </c>
      <c r="AD1555" t="s">
        <v>145</v>
      </c>
      <c r="AF1555" t="s">
        <v>113</v>
      </c>
      <c r="AG1555" t="s">
        <v>112</v>
      </c>
      <c r="AH1555" t="s">
        <v>112</v>
      </c>
      <c r="AI1555" s="63">
        <v>35431</v>
      </c>
      <c r="AK1555" t="s">
        <v>111</v>
      </c>
      <c r="AL1555" t="s">
        <v>111</v>
      </c>
      <c r="AM1555" t="s">
        <v>111</v>
      </c>
      <c r="AN1555" t="s">
        <v>105</v>
      </c>
      <c r="AO1555" t="s">
        <v>110</v>
      </c>
      <c r="AP1555" t="s">
        <v>109</v>
      </c>
    </row>
    <row r="1556" spans="1:42" x14ac:dyDescent="0.25">
      <c r="A1556" s="28" t="str">
        <f>"12999"</f>
        <v>12999</v>
      </c>
      <c r="B1556">
        <v>12999</v>
      </c>
      <c r="C1556" t="s">
        <v>2488</v>
      </c>
      <c r="D1556" t="s">
        <v>130</v>
      </c>
      <c r="F1556" t="s">
        <v>120</v>
      </c>
      <c r="G1556" t="s">
        <v>2356</v>
      </c>
      <c r="I1556" t="s">
        <v>5314</v>
      </c>
      <c r="J1556" t="s">
        <v>126</v>
      </c>
      <c r="K1556" s="63">
        <v>16222</v>
      </c>
      <c r="L1556" s="28">
        <f>DATEDIF(K1556,Zwift25!G$1,"Y")</f>
        <v>80</v>
      </c>
      <c r="M1556" s="67">
        <f>IF(J1556="m",VLOOKUP(L1556,'All Solo Adjustments'!A:D,4,FALSE),VLOOKUP(L1556,'All Solo Adjustments'!A:J,10,FALSE))</f>
        <v>1.6828703703703703E-2</v>
      </c>
      <c r="N1556" s="63"/>
      <c r="O1556" s="63"/>
      <c r="P1556" s="63"/>
      <c r="Q1556" s="63"/>
      <c r="R1556" t="s">
        <v>118</v>
      </c>
      <c r="S1556" t="s">
        <v>873</v>
      </c>
      <c r="T1556" t="s">
        <v>292</v>
      </c>
      <c r="U1556" t="s">
        <v>5313</v>
      </c>
      <c r="V1556" t="s">
        <v>5312</v>
      </c>
      <c r="W1556" t="s">
        <v>1430</v>
      </c>
      <c r="Y1556" t="s">
        <v>5311</v>
      </c>
      <c r="Z1556" t="str">
        <f>"01709 524659"</f>
        <v>01709 524659</v>
      </c>
      <c r="AA1556" t="str">
        <f>""</f>
        <v/>
      </c>
      <c r="AB1556" t="s">
        <v>1214</v>
      </c>
      <c r="AD1556" t="s">
        <v>145</v>
      </c>
      <c r="AF1556" t="s">
        <v>113</v>
      </c>
      <c r="AG1556" t="s">
        <v>111</v>
      </c>
      <c r="AH1556" t="s">
        <v>111</v>
      </c>
      <c r="AI1556" s="63">
        <v>35431</v>
      </c>
      <c r="AK1556" t="s">
        <v>111</v>
      </c>
      <c r="AL1556" t="s">
        <v>111</v>
      </c>
      <c r="AM1556" t="s">
        <v>111</v>
      </c>
      <c r="AN1556" t="s">
        <v>105</v>
      </c>
      <c r="AO1556" t="s">
        <v>122</v>
      </c>
      <c r="AP1556" t="s">
        <v>122</v>
      </c>
    </row>
    <row r="1557" spans="1:42" x14ac:dyDescent="0.25">
      <c r="A1557" s="28" t="str">
        <f>"16198"</f>
        <v>16198</v>
      </c>
      <c r="B1557">
        <v>16198</v>
      </c>
      <c r="C1557" t="s">
        <v>2488</v>
      </c>
      <c r="D1557" t="s">
        <v>121</v>
      </c>
      <c r="F1557" t="s">
        <v>120</v>
      </c>
      <c r="G1557" t="s">
        <v>5310</v>
      </c>
      <c r="H1557" t="s">
        <v>5309</v>
      </c>
      <c r="I1557" t="s">
        <v>5308</v>
      </c>
      <c r="J1557" t="s">
        <v>7</v>
      </c>
      <c r="K1557" s="63">
        <v>28392</v>
      </c>
      <c r="L1557" s="28">
        <f>DATEDIF(K1557,Zwift25!G$1,"Y")</f>
        <v>47</v>
      </c>
      <c r="M1557" s="67">
        <f>IF(J1557="m",VLOOKUP(L1557,'All Solo Adjustments'!A:D,4,FALSE),VLOOKUP(L1557,'All Solo Adjustments'!A:J,10,FALSE))</f>
        <v>6.9444444444444436E-4</v>
      </c>
      <c r="N1557" s="63"/>
      <c r="O1557" s="63"/>
      <c r="P1557" s="63"/>
      <c r="Q1557" s="63"/>
      <c r="R1557" t="s">
        <v>198</v>
      </c>
      <c r="S1557" t="s">
        <v>461</v>
      </c>
      <c r="T1557" t="s">
        <v>292</v>
      </c>
      <c r="U1557" t="s">
        <v>5307</v>
      </c>
      <c r="W1557" t="s">
        <v>515</v>
      </c>
      <c r="Y1557" t="s">
        <v>5306</v>
      </c>
      <c r="Z1557" t="str">
        <f>"07472032333"</f>
        <v>07472032333</v>
      </c>
      <c r="AA1557" t="str">
        <f>""</f>
        <v/>
      </c>
      <c r="AB1557" t="s">
        <v>408</v>
      </c>
      <c r="AC1557" t="s">
        <v>5305</v>
      </c>
      <c r="AD1557" t="s">
        <v>114</v>
      </c>
      <c r="AE1557" s="63">
        <v>45509</v>
      </c>
      <c r="AF1557" t="s">
        <v>156</v>
      </c>
      <c r="AG1557" t="s">
        <v>112</v>
      </c>
      <c r="AH1557" t="s">
        <v>112</v>
      </c>
      <c r="AI1557" s="63">
        <v>45509</v>
      </c>
      <c r="AJ1557" s="63">
        <v>45657</v>
      </c>
      <c r="AK1557" t="s">
        <v>112</v>
      </c>
      <c r="AL1557" t="s">
        <v>111</v>
      </c>
      <c r="AM1557" t="s">
        <v>111</v>
      </c>
      <c r="AN1557">
        <v>51320</v>
      </c>
      <c r="AO1557" t="s">
        <v>110</v>
      </c>
      <c r="AP1557" t="s">
        <v>109</v>
      </c>
    </row>
    <row r="1558" spans="1:42" x14ac:dyDescent="0.25">
      <c r="A1558" s="28" t="str">
        <f>"1938"</f>
        <v>1938</v>
      </c>
      <c r="B1558">
        <v>1938</v>
      </c>
      <c r="C1558" t="s">
        <v>2488</v>
      </c>
      <c r="D1558" t="s">
        <v>121</v>
      </c>
      <c r="F1558" t="s">
        <v>120</v>
      </c>
      <c r="G1558" t="s">
        <v>3566</v>
      </c>
      <c r="H1558" t="s">
        <v>359</v>
      </c>
      <c r="I1558" t="s">
        <v>2355</v>
      </c>
      <c r="J1558" t="s">
        <v>7</v>
      </c>
      <c r="K1558" s="63">
        <v>13257</v>
      </c>
      <c r="L1558" s="28">
        <f>DATEDIF(K1558,Zwift25!G$1,"Y")</f>
        <v>88</v>
      </c>
      <c r="M1558" s="67">
        <f>IF(J1558="m",VLOOKUP(L1558,'All Solo Adjustments'!A:D,4,FALSE),VLOOKUP(L1558,'All Solo Adjustments'!A:J,10,FALSE))</f>
        <v>1.6597222222222222E-2</v>
      </c>
      <c r="N1558" s="63"/>
      <c r="O1558" s="63"/>
      <c r="P1558" s="63"/>
      <c r="Q1558" s="63"/>
      <c r="R1558" t="s">
        <v>239</v>
      </c>
      <c r="S1558" t="s">
        <v>437</v>
      </c>
      <c r="T1558" t="s">
        <v>292</v>
      </c>
      <c r="U1558" t="s">
        <v>5304</v>
      </c>
      <c r="V1558" t="s">
        <v>5303</v>
      </c>
      <c r="W1558" t="s">
        <v>627</v>
      </c>
      <c r="Y1558" t="s">
        <v>5302</v>
      </c>
      <c r="Z1558" t="str">
        <f>"0113 284 2379"</f>
        <v>0113 284 2379</v>
      </c>
      <c r="AA1558" t="str">
        <f>"07485684117"</f>
        <v>07485684117</v>
      </c>
      <c r="AB1558" t="s">
        <v>679</v>
      </c>
      <c r="AC1558" t="s">
        <v>5301</v>
      </c>
      <c r="AD1558" t="s">
        <v>151</v>
      </c>
      <c r="AF1558" t="s">
        <v>156</v>
      </c>
      <c r="AG1558" t="s">
        <v>112</v>
      </c>
      <c r="AH1558" t="s">
        <v>112</v>
      </c>
      <c r="AI1558" s="63">
        <v>32228</v>
      </c>
      <c r="AK1558" t="s">
        <v>111</v>
      </c>
      <c r="AL1558" t="s">
        <v>111</v>
      </c>
      <c r="AM1558" t="s">
        <v>111</v>
      </c>
      <c r="AN1558" t="s">
        <v>105</v>
      </c>
      <c r="AO1558" t="s">
        <v>110</v>
      </c>
      <c r="AP1558" t="s">
        <v>109</v>
      </c>
    </row>
    <row r="1559" spans="1:42" x14ac:dyDescent="0.25">
      <c r="A1559" s="28" t="str">
        <f>"1939"</f>
        <v>1939</v>
      </c>
      <c r="B1559">
        <v>1939</v>
      </c>
      <c r="C1559" t="s">
        <v>2488</v>
      </c>
      <c r="D1559" t="s">
        <v>121</v>
      </c>
      <c r="F1559" t="s">
        <v>120</v>
      </c>
      <c r="G1559" t="s">
        <v>805</v>
      </c>
      <c r="I1559" t="s">
        <v>5297</v>
      </c>
      <c r="J1559" t="s">
        <v>7</v>
      </c>
      <c r="K1559" s="63">
        <v>18478</v>
      </c>
      <c r="L1559" s="28">
        <f>DATEDIF(K1559,Zwift25!G$1,"Y")</f>
        <v>74</v>
      </c>
      <c r="M1559" s="67">
        <f>IF(J1559="m",VLOOKUP(L1559,'All Solo Adjustments'!A:D,4,FALSE),VLOOKUP(L1559,'All Solo Adjustments'!A:J,10,FALSE))</f>
        <v>7.9861111111111122E-3</v>
      </c>
      <c r="N1559" s="63"/>
      <c r="O1559" s="63"/>
      <c r="P1559" s="63"/>
      <c r="Q1559" s="63"/>
      <c r="R1559" t="s">
        <v>296</v>
      </c>
      <c r="S1559" t="s">
        <v>295</v>
      </c>
      <c r="T1559" t="s">
        <v>292</v>
      </c>
      <c r="U1559" t="s">
        <v>5300</v>
      </c>
      <c r="V1559" t="s">
        <v>5299</v>
      </c>
      <c r="W1559" t="s">
        <v>804</v>
      </c>
      <c r="Y1559" t="s">
        <v>5298</v>
      </c>
      <c r="Z1559" t="str">
        <f>"0141 959 8826"</f>
        <v>0141 959 8826</v>
      </c>
      <c r="AA1559" t="str">
        <f>""</f>
        <v/>
      </c>
      <c r="AB1559" t="s">
        <v>294</v>
      </c>
      <c r="AD1559" t="s">
        <v>145</v>
      </c>
      <c r="AE1559" s="63">
        <v>45260</v>
      </c>
      <c r="AF1559" t="s">
        <v>113</v>
      </c>
      <c r="AG1559" t="s">
        <v>112</v>
      </c>
      <c r="AH1559" t="s">
        <v>112</v>
      </c>
      <c r="AI1559" s="63">
        <v>34484</v>
      </c>
      <c r="AJ1559" s="63">
        <v>45657</v>
      </c>
      <c r="AK1559" t="s">
        <v>111</v>
      </c>
      <c r="AL1559" t="s">
        <v>111</v>
      </c>
      <c r="AM1559" t="s">
        <v>111</v>
      </c>
      <c r="AN1559" t="s">
        <v>105</v>
      </c>
      <c r="AO1559" t="s">
        <v>110</v>
      </c>
      <c r="AP1559" t="s">
        <v>109</v>
      </c>
    </row>
    <row r="1560" spans="1:42" x14ac:dyDescent="0.25">
      <c r="A1560" s="28" t="str">
        <f>"2842"</f>
        <v>2842</v>
      </c>
      <c r="B1560">
        <v>2842</v>
      </c>
      <c r="C1560" t="s">
        <v>2488</v>
      </c>
      <c r="D1560" t="s">
        <v>121</v>
      </c>
      <c r="F1560" t="s">
        <v>120</v>
      </c>
      <c r="G1560" t="s">
        <v>284</v>
      </c>
      <c r="H1560" t="s">
        <v>108</v>
      </c>
      <c r="I1560" t="s">
        <v>5297</v>
      </c>
      <c r="J1560" t="s">
        <v>7</v>
      </c>
      <c r="K1560" s="63">
        <v>15148</v>
      </c>
      <c r="L1560" s="28">
        <f>DATEDIF(K1560,Zwift25!G$1,"Y")</f>
        <v>83</v>
      </c>
      <c r="M1560" s="67">
        <f>IF(J1560="m",VLOOKUP(L1560,'All Solo Adjustments'!A:D,4,FALSE),VLOOKUP(L1560,'All Solo Adjustments'!A:J,10,FALSE))</f>
        <v>1.2858796296296297E-2</v>
      </c>
      <c r="N1560" s="63"/>
      <c r="O1560" s="63"/>
      <c r="P1560" s="63"/>
      <c r="Q1560" s="63"/>
      <c r="R1560" t="s">
        <v>296</v>
      </c>
      <c r="S1560" t="s">
        <v>2310</v>
      </c>
      <c r="T1560" t="s">
        <v>292</v>
      </c>
      <c r="U1560" t="s">
        <v>5296</v>
      </c>
      <c r="V1560" t="s">
        <v>1279</v>
      </c>
      <c r="Y1560" t="s">
        <v>5295</v>
      </c>
      <c r="Z1560" t="str">
        <f>"01330 822556"</f>
        <v>01330 822556</v>
      </c>
      <c r="AA1560" t="str">
        <f>""</f>
        <v/>
      </c>
      <c r="AB1560" t="s">
        <v>1241</v>
      </c>
      <c r="AC1560" t="s">
        <v>5294</v>
      </c>
      <c r="AD1560" t="s">
        <v>145</v>
      </c>
      <c r="AF1560" t="s">
        <v>113</v>
      </c>
      <c r="AG1560" t="s">
        <v>112</v>
      </c>
      <c r="AH1560" t="s">
        <v>112</v>
      </c>
      <c r="AI1560" s="63">
        <v>35227</v>
      </c>
      <c r="AK1560" t="s">
        <v>111</v>
      </c>
      <c r="AL1560" t="s">
        <v>111</v>
      </c>
      <c r="AM1560" t="s">
        <v>111</v>
      </c>
      <c r="AN1560" t="s">
        <v>105</v>
      </c>
      <c r="AO1560" t="s">
        <v>110</v>
      </c>
      <c r="AP1560" t="s">
        <v>109</v>
      </c>
    </row>
    <row r="1561" spans="1:42" x14ac:dyDescent="0.25">
      <c r="A1561" s="28" t="str">
        <f>"15762"</f>
        <v>15762</v>
      </c>
      <c r="B1561">
        <v>15762</v>
      </c>
      <c r="C1561" t="s">
        <v>2488</v>
      </c>
      <c r="D1561" t="s">
        <v>121</v>
      </c>
      <c r="F1561" t="s">
        <v>120</v>
      </c>
      <c r="G1561" t="s">
        <v>449</v>
      </c>
      <c r="H1561" t="s">
        <v>165</v>
      </c>
      <c r="I1561" t="s">
        <v>5293</v>
      </c>
      <c r="J1561" t="s">
        <v>7</v>
      </c>
      <c r="K1561" s="63">
        <v>26332</v>
      </c>
      <c r="L1561" s="28">
        <f>DATEDIF(K1561,Zwift25!G$1,"Y")</f>
        <v>52</v>
      </c>
      <c r="M1561" s="67">
        <f>IF(J1561="m",VLOOKUP(L1561,'All Solo Adjustments'!A:D,4,FALSE),VLOOKUP(L1561,'All Solo Adjustments'!A:J,10,FALSE))</f>
        <v>1.4814814814814816E-3</v>
      </c>
      <c r="N1561" s="63"/>
      <c r="O1561" s="63"/>
      <c r="P1561" s="63"/>
      <c r="Q1561" s="63"/>
      <c r="R1561" t="s">
        <v>180</v>
      </c>
      <c r="S1561" t="s">
        <v>179</v>
      </c>
      <c r="T1561" t="s">
        <v>292</v>
      </c>
      <c r="U1561" t="s">
        <v>5292</v>
      </c>
      <c r="V1561" t="s">
        <v>2106</v>
      </c>
      <c r="W1561" t="s">
        <v>1296</v>
      </c>
      <c r="Y1561" t="s">
        <v>5291</v>
      </c>
      <c r="Z1561" t="str">
        <f>"07950906394"</f>
        <v>07950906394</v>
      </c>
      <c r="AA1561" t="str">
        <f>""</f>
        <v/>
      </c>
      <c r="AB1561" t="s">
        <v>216</v>
      </c>
      <c r="AC1561" t="s">
        <v>5290</v>
      </c>
      <c r="AD1561" t="s">
        <v>114</v>
      </c>
      <c r="AE1561" s="63">
        <v>45384</v>
      </c>
      <c r="AF1561" t="s">
        <v>113</v>
      </c>
      <c r="AG1561" t="s">
        <v>112</v>
      </c>
      <c r="AH1561" t="s">
        <v>112</v>
      </c>
      <c r="AI1561" s="63">
        <v>45019</v>
      </c>
      <c r="AJ1561" s="63">
        <v>45657</v>
      </c>
      <c r="AK1561" t="s">
        <v>112</v>
      </c>
      <c r="AL1561" t="s">
        <v>111</v>
      </c>
      <c r="AM1561" t="s">
        <v>111</v>
      </c>
      <c r="AN1561">
        <v>5866</v>
      </c>
      <c r="AO1561" t="s">
        <v>110</v>
      </c>
      <c r="AP1561" t="s">
        <v>109</v>
      </c>
    </row>
    <row r="1562" spans="1:42" x14ac:dyDescent="0.25">
      <c r="A1562" s="28" t="str">
        <f>"6171"</f>
        <v>6171</v>
      </c>
      <c r="B1562">
        <v>6171</v>
      </c>
      <c r="C1562" t="s">
        <v>2488</v>
      </c>
      <c r="D1562" t="s">
        <v>130</v>
      </c>
      <c r="F1562" t="s">
        <v>149</v>
      </c>
      <c r="G1562" t="s">
        <v>1096</v>
      </c>
      <c r="I1562" t="s">
        <v>5289</v>
      </c>
      <c r="J1562" t="s">
        <v>126</v>
      </c>
      <c r="K1562" s="63">
        <v>23836</v>
      </c>
      <c r="L1562" s="28">
        <f>DATEDIF(K1562,Zwift25!G$1,"Y")</f>
        <v>59</v>
      </c>
      <c r="M1562" s="67">
        <f>IF(J1562="m",VLOOKUP(L1562,'All Solo Adjustments'!A:D,4,FALSE),VLOOKUP(L1562,'All Solo Adjustments'!A:J,10,FALSE))</f>
        <v>6.5972222222222222E-3</v>
      </c>
      <c r="N1562" s="63"/>
      <c r="O1562" s="63"/>
      <c r="P1562" s="63"/>
      <c r="Q1562" s="63"/>
      <c r="R1562" t="s">
        <v>527</v>
      </c>
      <c r="S1562" t="s">
        <v>888</v>
      </c>
      <c r="T1562" t="s">
        <v>292</v>
      </c>
      <c r="U1562" t="s">
        <v>5286</v>
      </c>
      <c r="V1562" t="s">
        <v>5285</v>
      </c>
      <c r="W1562" t="s">
        <v>5284</v>
      </c>
      <c r="X1562" t="s">
        <v>1897</v>
      </c>
      <c r="Y1562" t="s">
        <v>5283</v>
      </c>
      <c r="Z1562" t="str">
        <f>"01740 239256"</f>
        <v>01740 239256</v>
      </c>
      <c r="AA1562" t="str">
        <f>""</f>
        <v/>
      </c>
      <c r="AB1562" t="s">
        <v>1898</v>
      </c>
      <c r="AC1562" t="s">
        <v>5288</v>
      </c>
      <c r="AD1562" t="s">
        <v>145</v>
      </c>
      <c r="AE1562" s="63">
        <v>45299</v>
      </c>
      <c r="AF1562" t="s">
        <v>156</v>
      </c>
      <c r="AG1562" t="s">
        <v>112</v>
      </c>
      <c r="AH1562" t="s">
        <v>112</v>
      </c>
      <c r="AI1562" s="63">
        <v>43471</v>
      </c>
      <c r="AJ1562" s="63">
        <v>45657</v>
      </c>
      <c r="AK1562" t="s">
        <v>111</v>
      </c>
      <c r="AL1562" t="s">
        <v>111</v>
      </c>
      <c r="AM1562" t="s">
        <v>111</v>
      </c>
      <c r="AN1562">
        <v>17003</v>
      </c>
      <c r="AO1562" t="s">
        <v>122</v>
      </c>
      <c r="AP1562" t="s">
        <v>122</v>
      </c>
    </row>
    <row r="1563" spans="1:42" x14ac:dyDescent="0.25">
      <c r="A1563" s="28" t="str">
        <f>"13377"</f>
        <v>13377</v>
      </c>
      <c r="B1563">
        <v>13377</v>
      </c>
      <c r="C1563" t="s">
        <v>2488</v>
      </c>
      <c r="D1563" t="s">
        <v>132</v>
      </c>
      <c r="F1563" t="s">
        <v>120</v>
      </c>
      <c r="G1563" t="s">
        <v>185</v>
      </c>
      <c r="I1563" t="s">
        <v>5287</v>
      </c>
      <c r="J1563" t="s">
        <v>7</v>
      </c>
      <c r="K1563" s="63">
        <v>21208</v>
      </c>
      <c r="L1563" s="28">
        <f>DATEDIF(K1563,Zwift25!G$1,"Y")</f>
        <v>66</v>
      </c>
      <c r="M1563" s="67">
        <f>IF(J1563="m",VLOOKUP(L1563,'All Solo Adjustments'!A:D,4,FALSE),VLOOKUP(L1563,'All Solo Adjustments'!A:J,10,FALSE))</f>
        <v>4.9421296296296297E-3</v>
      </c>
      <c r="N1563" s="63"/>
      <c r="O1563" s="63"/>
      <c r="P1563" s="63"/>
      <c r="Q1563" s="63"/>
      <c r="R1563" t="s">
        <v>527</v>
      </c>
      <c r="S1563" t="s">
        <v>888</v>
      </c>
      <c r="T1563" t="s">
        <v>292</v>
      </c>
      <c r="U1563" t="s">
        <v>5286</v>
      </c>
      <c r="V1563" t="s">
        <v>5285</v>
      </c>
      <c r="W1563" t="s">
        <v>5284</v>
      </c>
      <c r="X1563" t="s">
        <v>1897</v>
      </c>
      <c r="Y1563" t="s">
        <v>5283</v>
      </c>
      <c r="Z1563" t="str">
        <f>"01740 239256"</f>
        <v>01740 239256</v>
      </c>
      <c r="AA1563" t="str">
        <f>""</f>
        <v/>
      </c>
      <c r="AB1563" t="s">
        <v>1898</v>
      </c>
      <c r="AC1563" t="s">
        <v>5282</v>
      </c>
      <c r="AD1563" t="s">
        <v>145</v>
      </c>
      <c r="AE1563" s="63">
        <v>45299</v>
      </c>
      <c r="AF1563" t="s">
        <v>156</v>
      </c>
      <c r="AG1563" t="s">
        <v>112</v>
      </c>
      <c r="AH1563" t="s">
        <v>112</v>
      </c>
      <c r="AI1563" s="63">
        <v>39879</v>
      </c>
      <c r="AJ1563" s="63">
        <v>45657</v>
      </c>
      <c r="AK1563" t="s">
        <v>111</v>
      </c>
      <c r="AL1563" t="s">
        <v>111</v>
      </c>
      <c r="AM1563" t="s">
        <v>111</v>
      </c>
      <c r="AN1563">
        <v>13678</v>
      </c>
      <c r="AO1563" t="s">
        <v>110</v>
      </c>
      <c r="AP1563" t="s">
        <v>109</v>
      </c>
    </row>
    <row r="1564" spans="1:42" x14ac:dyDescent="0.25">
      <c r="A1564" s="28" t="str">
        <f>"6520"</f>
        <v>6520</v>
      </c>
      <c r="B1564">
        <v>6520</v>
      </c>
      <c r="C1564" t="s">
        <v>2488</v>
      </c>
      <c r="D1564" t="s">
        <v>121</v>
      </c>
      <c r="F1564" t="s">
        <v>149</v>
      </c>
      <c r="G1564" t="s">
        <v>2420</v>
      </c>
      <c r="I1564" t="s">
        <v>706</v>
      </c>
      <c r="J1564" t="s">
        <v>126</v>
      </c>
      <c r="K1564" s="63">
        <v>1</v>
      </c>
      <c r="L1564" s="28">
        <f>DATEDIF(K1564,Zwift25!G$1,"Y")</f>
        <v>124</v>
      </c>
      <c r="M1564" s="67" t="e">
        <f>IF(J1564="m",VLOOKUP(L1564,'All Solo Adjustments'!A:D,4,FALSE),VLOOKUP(L1564,'All Solo Adjustments'!A:J,10,FALSE))</f>
        <v>#N/A</v>
      </c>
      <c r="N1564" s="63"/>
      <c r="O1564" s="63"/>
      <c r="P1564" s="63"/>
      <c r="Q1564" s="63"/>
      <c r="R1564" t="s">
        <v>159</v>
      </c>
      <c r="S1564" t="s">
        <v>570</v>
      </c>
      <c r="T1564" t="s">
        <v>292</v>
      </c>
      <c r="U1564" t="s">
        <v>5281</v>
      </c>
      <c r="V1564" t="s">
        <v>5280</v>
      </c>
      <c r="W1564" t="s">
        <v>159</v>
      </c>
      <c r="Y1564" t="s">
        <v>5279</v>
      </c>
      <c r="Z1564" t="str">
        <f>"01304 366526"</f>
        <v>01304 366526</v>
      </c>
      <c r="AA1564" t="str">
        <f>""</f>
        <v/>
      </c>
      <c r="AB1564" t="s">
        <v>2353</v>
      </c>
      <c r="AD1564" t="s">
        <v>145</v>
      </c>
      <c r="AF1564" t="s">
        <v>113</v>
      </c>
      <c r="AG1564" t="s">
        <v>111</v>
      </c>
      <c r="AH1564" t="s">
        <v>111</v>
      </c>
      <c r="AI1564" s="63">
        <v>43342</v>
      </c>
      <c r="AK1564" t="s">
        <v>111</v>
      </c>
      <c r="AL1564" t="s">
        <v>111</v>
      </c>
      <c r="AM1564" t="s">
        <v>111</v>
      </c>
      <c r="AN1564" t="s">
        <v>105</v>
      </c>
      <c r="AO1564" t="s">
        <v>122</v>
      </c>
      <c r="AP1564" t="s">
        <v>122</v>
      </c>
    </row>
    <row r="1565" spans="1:42" x14ac:dyDescent="0.25">
      <c r="A1565" s="28" t="str">
        <f>"15544"</f>
        <v>15544</v>
      </c>
      <c r="B1565">
        <v>15544</v>
      </c>
      <c r="C1565" t="s">
        <v>2488</v>
      </c>
      <c r="D1565" t="s">
        <v>121</v>
      </c>
      <c r="E1565" t="s">
        <v>2752</v>
      </c>
      <c r="F1565" t="s">
        <v>120</v>
      </c>
      <c r="G1565" t="s">
        <v>614</v>
      </c>
      <c r="I1565" t="s">
        <v>5278</v>
      </c>
      <c r="J1565" t="s">
        <v>7</v>
      </c>
      <c r="K1565" s="63">
        <v>17047</v>
      </c>
      <c r="L1565" s="28">
        <f>DATEDIF(K1565,Zwift25!G$1,"Y")</f>
        <v>78</v>
      </c>
      <c r="M1565" s="67">
        <f>IF(J1565="m",VLOOKUP(L1565,'All Solo Adjustments'!A:D,4,FALSE),VLOOKUP(L1565,'All Solo Adjustments'!A:J,10,FALSE))</f>
        <v>9.9189814814814817E-3</v>
      </c>
      <c r="N1565" s="63"/>
      <c r="O1565" s="63"/>
      <c r="P1565" s="63"/>
      <c r="Q1565" s="63"/>
      <c r="R1565" t="s">
        <v>137</v>
      </c>
      <c r="S1565" t="s">
        <v>136</v>
      </c>
      <c r="T1565" t="s">
        <v>292</v>
      </c>
      <c r="U1565">
        <v>59</v>
      </c>
      <c r="V1565" t="s">
        <v>5277</v>
      </c>
      <c r="W1565" t="s">
        <v>5276</v>
      </c>
      <c r="X1565" t="s">
        <v>5275</v>
      </c>
      <c r="Y1565" t="s">
        <v>5274</v>
      </c>
      <c r="Z1565" t="str">
        <f>"01428 651843"</f>
        <v>01428 651843</v>
      </c>
      <c r="AA1565" t="str">
        <f>""</f>
        <v/>
      </c>
      <c r="AB1565" t="s">
        <v>378</v>
      </c>
      <c r="AC1565" t="s">
        <v>5273</v>
      </c>
      <c r="AD1565" t="s">
        <v>114</v>
      </c>
      <c r="AE1565" s="63">
        <v>45313</v>
      </c>
      <c r="AF1565" t="s">
        <v>156</v>
      </c>
      <c r="AG1565" t="s">
        <v>112</v>
      </c>
      <c r="AH1565" t="s">
        <v>112</v>
      </c>
      <c r="AI1565" s="63">
        <v>44740</v>
      </c>
      <c r="AJ1565" s="63">
        <v>45657</v>
      </c>
      <c r="AK1565" t="s">
        <v>112</v>
      </c>
      <c r="AL1565" t="s">
        <v>111</v>
      </c>
      <c r="AM1565" t="s">
        <v>111</v>
      </c>
      <c r="AN1565">
        <v>6520</v>
      </c>
      <c r="AO1565" t="s">
        <v>110</v>
      </c>
      <c r="AP1565" t="s">
        <v>109</v>
      </c>
    </row>
    <row r="1566" spans="1:42" x14ac:dyDescent="0.25">
      <c r="A1566" s="28" t="str">
        <f>"1953"</f>
        <v>1953</v>
      </c>
      <c r="B1566">
        <v>1953</v>
      </c>
      <c r="C1566" t="s">
        <v>2488</v>
      </c>
      <c r="D1566" t="s">
        <v>121</v>
      </c>
      <c r="F1566" t="s">
        <v>120</v>
      </c>
      <c r="G1566" t="s">
        <v>241</v>
      </c>
      <c r="I1566" t="s">
        <v>5272</v>
      </c>
      <c r="J1566" t="s">
        <v>7</v>
      </c>
      <c r="K1566" s="63">
        <v>14039</v>
      </c>
      <c r="L1566" s="28">
        <f>DATEDIF(K1566,Zwift25!G$1,"Y")</f>
        <v>86</v>
      </c>
      <c r="M1566" s="67">
        <f>IF(J1566="m",VLOOKUP(L1566,'All Solo Adjustments'!A:D,4,FALSE),VLOOKUP(L1566,'All Solo Adjustments'!A:J,10,FALSE))</f>
        <v>1.4988425925925926E-2</v>
      </c>
      <c r="N1566" s="63"/>
      <c r="O1566" s="63"/>
      <c r="P1566" s="63"/>
      <c r="Q1566" s="63"/>
      <c r="R1566" t="s">
        <v>296</v>
      </c>
      <c r="S1566" t="s">
        <v>5271</v>
      </c>
      <c r="T1566" t="s">
        <v>292</v>
      </c>
      <c r="U1566" t="s">
        <v>5270</v>
      </c>
      <c r="V1566" t="s">
        <v>5269</v>
      </c>
      <c r="W1566" t="s">
        <v>5268</v>
      </c>
      <c r="X1566" t="s">
        <v>2380</v>
      </c>
      <c r="Y1566" t="s">
        <v>5267</v>
      </c>
      <c r="Z1566" t="str">
        <f>"01506 491926"</f>
        <v>01506 491926</v>
      </c>
      <c r="AA1566" t="str">
        <f>""</f>
        <v/>
      </c>
      <c r="AB1566" t="s">
        <v>4406</v>
      </c>
      <c r="AC1566" t="s">
        <v>5266</v>
      </c>
      <c r="AD1566" t="s">
        <v>151</v>
      </c>
      <c r="AF1566" t="s">
        <v>113</v>
      </c>
      <c r="AG1566" t="s">
        <v>112</v>
      </c>
      <c r="AH1566" t="s">
        <v>112</v>
      </c>
      <c r="AI1566" s="63">
        <v>30915</v>
      </c>
      <c r="AK1566" t="s">
        <v>111</v>
      </c>
      <c r="AL1566" t="s">
        <v>111</v>
      </c>
      <c r="AM1566" t="s">
        <v>111</v>
      </c>
      <c r="AN1566" t="s">
        <v>105</v>
      </c>
      <c r="AO1566" t="s">
        <v>110</v>
      </c>
      <c r="AP1566" t="s">
        <v>109</v>
      </c>
    </row>
    <row r="1567" spans="1:42" x14ac:dyDescent="0.25">
      <c r="A1567" s="28" t="str">
        <f>"16070"</f>
        <v>16070</v>
      </c>
      <c r="B1567">
        <v>16070</v>
      </c>
      <c r="C1567" t="s">
        <v>2488</v>
      </c>
      <c r="D1567" t="s">
        <v>121</v>
      </c>
      <c r="F1567" t="s">
        <v>149</v>
      </c>
      <c r="G1567" t="s">
        <v>5265</v>
      </c>
      <c r="I1567" t="s">
        <v>448</v>
      </c>
      <c r="J1567" t="s">
        <v>126</v>
      </c>
      <c r="K1567" s="63">
        <v>30746</v>
      </c>
      <c r="L1567" s="28">
        <f>DATEDIF(K1567,Zwift25!G$1,"Y")</f>
        <v>40</v>
      </c>
      <c r="M1567" s="67">
        <f>IF(J1567="m",VLOOKUP(L1567,'All Solo Adjustments'!A:D,4,FALSE),VLOOKUP(L1567,'All Solo Adjustments'!A:J,10,FALSE))</f>
        <v>4.4212962962962964E-3</v>
      </c>
      <c r="N1567" s="63"/>
      <c r="O1567" s="63"/>
      <c r="P1567" s="63"/>
      <c r="Q1567" s="63"/>
      <c r="R1567" t="s">
        <v>213</v>
      </c>
      <c r="S1567" t="s">
        <v>212</v>
      </c>
      <c r="T1567" t="s">
        <v>292</v>
      </c>
      <c r="U1567" t="s">
        <v>5264</v>
      </c>
      <c r="V1567" t="s">
        <v>2103</v>
      </c>
      <c r="W1567" t="s">
        <v>2102</v>
      </c>
      <c r="Y1567" t="s">
        <v>5263</v>
      </c>
      <c r="Z1567" t="str">
        <f>"07532 702429"</f>
        <v>07532 702429</v>
      </c>
      <c r="AA1567" t="str">
        <f>""</f>
        <v/>
      </c>
      <c r="AB1567" t="s">
        <v>5262</v>
      </c>
      <c r="AC1567" t="s">
        <v>5261</v>
      </c>
      <c r="AD1567" t="s">
        <v>114</v>
      </c>
      <c r="AE1567" s="63">
        <v>45372</v>
      </c>
      <c r="AF1567" t="s">
        <v>113</v>
      </c>
      <c r="AG1567" t="s">
        <v>112</v>
      </c>
      <c r="AH1567" t="s">
        <v>112</v>
      </c>
      <c r="AI1567" s="63">
        <v>45372</v>
      </c>
      <c r="AJ1567" s="63">
        <v>45657</v>
      </c>
      <c r="AK1567" t="s">
        <v>112</v>
      </c>
      <c r="AL1567" t="s">
        <v>111</v>
      </c>
      <c r="AM1567" t="s">
        <v>111</v>
      </c>
      <c r="AN1567">
        <v>48078</v>
      </c>
      <c r="AO1567" t="s">
        <v>122</v>
      </c>
      <c r="AP1567" t="s">
        <v>122</v>
      </c>
    </row>
    <row r="1568" spans="1:42" x14ac:dyDescent="0.25">
      <c r="A1568" s="28" t="str">
        <f>"5811"</f>
        <v>5811</v>
      </c>
      <c r="B1568">
        <v>5811</v>
      </c>
      <c r="C1568" t="s">
        <v>2488</v>
      </c>
      <c r="D1568" t="s">
        <v>121</v>
      </c>
      <c r="E1568" t="s">
        <v>584</v>
      </c>
      <c r="F1568" t="s">
        <v>120</v>
      </c>
      <c r="G1568" t="s">
        <v>405</v>
      </c>
      <c r="H1568" t="s">
        <v>234</v>
      </c>
      <c r="I1568" t="s">
        <v>5260</v>
      </c>
      <c r="J1568" t="s">
        <v>7</v>
      </c>
      <c r="K1568" s="63">
        <v>25465</v>
      </c>
      <c r="L1568" s="28">
        <f>DATEDIF(K1568,Zwift25!G$1,"Y")</f>
        <v>55</v>
      </c>
      <c r="M1568" s="67">
        <f>IF(J1568="m",VLOOKUP(L1568,'All Solo Adjustments'!A:D,4,FALSE),VLOOKUP(L1568,'All Solo Adjustments'!A:J,10,FALSE))</f>
        <v>2.0601851851851853E-3</v>
      </c>
      <c r="N1568" s="63"/>
      <c r="O1568" s="63"/>
      <c r="P1568" s="63"/>
      <c r="Q1568" s="63"/>
      <c r="R1568" t="s">
        <v>184</v>
      </c>
      <c r="S1568" t="s">
        <v>183</v>
      </c>
      <c r="T1568" t="s">
        <v>292</v>
      </c>
      <c r="U1568" t="s">
        <v>5259</v>
      </c>
      <c r="V1568" t="s">
        <v>5258</v>
      </c>
      <c r="Y1568" t="s">
        <v>5257</v>
      </c>
      <c r="Z1568" t="str">
        <f>"01582 769968"</f>
        <v>01582 769968</v>
      </c>
      <c r="AA1568" t="str">
        <f>"07967828658"</f>
        <v>07967828658</v>
      </c>
      <c r="AB1568" t="s">
        <v>482</v>
      </c>
      <c r="AC1568" t="s">
        <v>5256</v>
      </c>
      <c r="AD1568" t="s">
        <v>114</v>
      </c>
      <c r="AE1568" s="63">
        <v>45263</v>
      </c>
      <c r="AF1568" t="s">
        <v>113</v>
      </c>
      <c r="AG1568" t="s">
        <v>112</v>
      </c>
      <c r="AH1568" t="s">
        <v>112</v>
      </c>
      <c r="AI1568" s="63">
        <v>42472</v>
      </c>
      <c r="AJ1568" s="63">
        <v>45657</v>
      </c>
      <c r="AK1568" t="s">
        <v>111</v>
      </c>
      <c r="AL1568" t="s">
        <v>111</v>
      </c>
      <c r="AM1568" t="s">
        <v>111</v>
      </c>
      <c r="AN1568">
        <v>3512</v>
      </c>
      <c r="AO1568" t="s">
        <v>110</v>
      </c>
      <c r="AP1568" t="s">
        <v>109</v>
      </c>
    </row>
    <row r="1569" spans="1:42" x14ac:dyDescent="0.25">
      <c r="A1569" s="28" t="str">
        <f>"3267"</f>
        <v>3267</v>
      </c>
      <c r="B1569">
        <v>3267</v>
      </c>
      <c r="C1569" t="s">
        <v>2488</v>
      </c>
      <c r="D1569" t="s">
        <v>121</v>
      </c>
      <c r="F1569" t="s">
        <v>120</v>
      </c>
      <c r="G1569" t="s">
        <v>904</v>
      </c>
      <c r="I1569" t="s">
        <v>5255</v>
      </c>
      <c r="J1569" t="s">
        <v>7</v>
      </c>
      <c r="K1569" s="63">
        <v>10739</v>
      </c>
      <c r="L1569" s="28">
        <f>DATEDIF(K1569,Zwift25!G$1,"Y")</f>
        <v>95</v>
      </c>
      <c r="M1569" s="67">
        <f>IF(J1569="m",VLOOKUP(L1569,'All Solo Adjustments'!A:D,4,FALSE),VLOOKUP(L1569,'All Solo Adjustments'!A:J,10,FALSE))</f>
        <v>2.3946759259259258E-2</v>
      </c>
      <c r="N1569" s="63"/>
      <c r="O1569" s="63"/>
      <c r="P1569" s="63"/>
      <c r="Q1569" s="63"/>
      <c r="R1569" t="s">
        <v>125</v>
      </c>
      <c r="S1569" t="s">
        <v>484</v>
      </c>
      <c r="T1569" t="s">
        <v>292</v>
      </c>
      <c r="U1569" t="s">
        <v>5254</v>
      </c>
      <c r="V1569" t="s">
        <v>5253</v>
      </c>
      <c r="W1569" t="s">
        <v>225</v>
      </c>
      <c r="X1569" t="s">
        <v>123</v>
      </c>
      <c r="Y1569" t="s">
        <v>5252</v>
      </c>
      <c r="Z1569" t="str">
        <f>""</f>
        <v/>
      </c>
      <c r="AA1569" t="str">
        <f>""</f>
        <v/>
      </c>
      <c r="AB1569" t="s">
        <v>444</v>
      </c>
      <c r="AD1569" t="s">
        <v>151</v>
      </c>
      <c r="AF1569" t="s">
        <v>113</v>
      </c>
      <c r="AG1569" t="s">
        <v>112</v>
      </c>
      <c r="AH1569" t="s">
        <v>112</v>
      </c>
      <c r="AI1569" s="63">
        <v>25358</v>
      </c>
      <c r="AK1569" t="s">
        <v>111</v>
      </c>
      <c r="AL1569" t="s">
        <v>111</v>
      </c>
      <c r="AM1569" t="s">
        <v>111</v>
      </c>
      <c r="AN1569" t="s">
        <v>105</v>
      </c>
      <c r="AO1569" t="s">
        <v>110</v>
      </c>
      <c r="AP1569" t="s">
        <v>109</v>
      </c>
    </row>
    <row r="1570" spans="1:42" x14ac:dyDescent="0.25">
      <c r="A1570" s="28" t="str">
        <f>"16132"</f>
        <v>16132</v>
      </c>
      <c r="B1570">
        <v>16132</v>
      </c>
      <c r="C1570" t="s">
        <v>2488</v>
      </c>
      <c r="D1570" t="s">
        <v>121</v>
      </c>
      <c r="E1570" t="s">
        <v>584</v>
      </c>
      <c r="F1570" t="s">
        <v>120</v>
      </c>
      <c r="G1570" t="s">
        <v>843</v>
      </c>
      <c r="H1570" t="s">
        <v>251</v>
      </c>
      <c r="I1570" t="s">
        <v>5251</v>
      </c>
      <c r="J1570" t="s">
        <v>7</v>
      </c>
      <c r="K1570" s="63">
        <v>26993</v>
      </c>
      <c r="L1570" s="28">
        <f>DATEDIF(K1570,Zwift25!G$1,"Y")</f>
        <v>50</v>
      </c>
      <c r="M1570" s="67">
        <f>IF(J1570="m",VLOOKUP(L1570,'All Solo Adjustments'!A:D,4,FALSE),VLOOKUP(L1570,'All Solo Adjustments'!A:J,10,FALSE))</f>
        <v>1.1342592592592591E-3</v>
      </c>
      <c r="N1570" s="63"/>
      <c r="O1570" s="63"/>
      <c r="P1570" s="63"/>
      <c r="Q1570" s="63"/>
      <c r="R1570" t="s">
        <v>180</v>
      </c>
      <c r="S1570" t="s">
        <v>179</v>
      </c>
      <c r="T1570" t="s">
        <v>292</v>
      </c>
      <c r="U1570" t="s">
        <v>5250</v>
      </c>
      <c r="V1570" t="s">
        <v>5249</v>
      </c>
      <c r="W1570" t="s">
        <v>5248</v>
      </c>
      <c r="X1570" t="s">
        <v>651</v>
      </c>
      <c r="Y1570" t="s">
        <v>5247</v>
      </c>
      <c r="Z1570" t="str">
        <f>"07748937368"</f>
        <v>07748937368</v>
      </c>
      <c r="AA1570" t="str">
        <f>""</f>
        <v/>
      </c>
      <c r="AB1570" t="s">
        <v>1203</v>
      </c>
      <c r="AC1570" t="s">
        <v>5246</v>
      </c>
      <c r="AD1570" t="s">
        <v>114</v>
      </c>
      <c r="AE1570" s="63">
        <v>45423</v>
      </c>
      <c r="AF1570" t="s">
        <v>156</v>
      </c>
      <c r="AG1570" t="s">
        <v>112</v>
      </c>
      <c r="AH1570" t="s">
        <v>112</v>
      </c>
      <c r="AI1570" s="63">
        <v>45423</v>
      </c>
      <c r="AJ1570" s="63">
        <v>45657</v>
      </c>
      <c r="AK1570" t="s">
        <v>112</v>
      </c>
      <c r="AL1570" t="s">
        <v>111</v>
      </c>
      <c r="AM1570" t="s">
        <v>111</v>
      </c>
      <c r="AN1570">
        <v>35365</v>
      </c>
      <c r="AO1570" t="s">
        <v>110</v>
      </c>
      <c r="AP1570" t="s">
        <v>109</v>
      </c>
    </row>
    <row r="1571" spans="1:42" x14ac:dyDescent="0.25">
      <c r="A1571" s="28" t="str">
        <f>"1963"</f>
        <v>1963</v>
      </c>
      <c r="B1571">
        <v>1963</v>
      </c>
      <c r="C1571" t="s">
        <v>2488</v>
      </c>
      <c r="D1571" t="s">
        <v>121</v>
      </c>
      <c r="F1571" t="s">
        <v>120</v>
      </c>
      <c r="G1571" t="s">
        <v>481</v>
      </c>
      <c r="I1571" t="s">
        <v>5245</v>
      </c>
      <c r="J1571" t="s">
        <v>7</v>
      </c>
      <c r="K1571" s="63">
        <v>12997</v>
      </c>
      <c r="L1571" s="28">
        <f>DATEDIF(K1571,Zwift25!G$1,"Y")</f>
        <v>89</v>
      </c>
      <c r="M1571" s="67">
        <f>IF(J1571="m",VLOOKUP(L1571,'All Solo Adjustments'!A:D,4,FALSE),VLOOKUP(L1571,'All Solo Adjustments'!A:J,10,FALSE))</f>
        <v>1.7465277777777777E-2</v>
      </c>
      <c r="N1571" s="63"/>
      <c r="O1571" s="63"/>
      <c r="P1571" s="63"/>
      <c r="Q1571" s="63"/>
      <c r="R1571" t="s">
        <v>154</v>
      </c>
      <c r="S1571" t="s">
        <v>153</v>
      </c>
      <c r="T1571" t="s">
        <v>292</v>
      </c>
      <c r="U1571" t="s">
        <v>5244</v>
      </c>
      <c r="V1571" t="s">
        <v>5243</v>
      </c>
      <c r="W1571" t="s">
        <v>5242</v>
      </c>
      <c r="X1571" t="s">
        <v>363</v>
      </c>
      <c r="Y1571" t="s">
        <v>5241</v>
      </c>
      <c r="Z1571" t="str">
        <f>"01548580443"</f>
        <v>01548580443</v>
      </c>
      <c r="AA1571" t="str">
        <f>"07885020102"</f>
        <v>07885020102</v>
      </c>
      <c r="AB1571" t="s">
        <v>881</v>
      </c>
      <c r="AC1571" t="s">
        <v>5240</v>
      </c>
      <c r="AD1571" t="s">
        <v>114</v>
      </c>
      <c r="AE1571" s="63">
        <v>45292</v>
      </c>
      <c r="AF1571" t="s">
        <v>156</v>
      </c>
      <c r="AG1571" t="s">
        <v>112</v>
      </c>
      <c r="AH1571" t="s">
        <v>112</v>
      </c>
      <c r="AI1571" s="63">
        <v>37622</v>
      </c>
      <c r="AJ1571" s="63">
        <v>45657</v>
      </c>
      <c r="AK1571" t="s">
        <v>111</v>
      </c>
      <c r="AL1571" t="s">
        <v>111</v>
      </c>
      <c r="AM1571" t="s">
        <v>112</v>
      </c>
      <c r="AN1571" t="s">
        <v>105</v>
      </c>
      <c r="AO1571" t="s">
        <v>110</v>
      </c>
      <c r="AP1571" t="s">
        <v>109</v>
      </c>
    </row>
    <row r="1572" spans="1:42" x14ac:dyDescent="0.25">
      <c r="A1572" s="28" t="str">
        <f>"16188"</f>
        <v>16188</v>
      </c>
      <c r="B1572">
        <v>16188</v>
      </c>
      <c r="C1572" t="s">
        <v>2488</v>
      </c>
      <c r="D1572" t="s">
        <v>121</v>
      </c>
      <c r="E1572" t="s">
        <v>584</v>
      </c>
      <c r="F1572" t="s">
        <v>403</v>
      </c>
      <c r="G1572" t="s">
        <v>359</v>
      </c>
      <c r="H1572" t="s">
        <v>709</v>
      </c>
      <c r="I1572" t="s">
        <v>1458</v>
      </c>
      <c r="J1572" t="s">
        <v>7</v>
      </c>
      <c r="K1572" s="63">
        <v>28499</v>
      </c>
      <c r="L1572" s="28">
        <f>DATEDIF(K1572,Zwift25!G$1,"Y")</f>
        <v>46</v>
      </c>
      <c r="M1572" s="67">
        <f>IF(J1572="m",VLOOKUP(L1572,'All Solo Adjustments'!A:D,4,FALSE),VLOOKUP(L1572,'All Solo Adjustments'!A:J,10,FALSE))</f>
        <v>5.6712962962962956E-4</v>
      </c>
      <c r="N1572" s="63"/>
      <c r="O1572" s="63"/>
      <c r="P1572" s="63"/>
      <c r="Q1572" s="63"/>
      <c r="R1572" t="s">
        <v>198</v>
      </c>
      <c r="S1572" t="s">
        <v>461</v>
      </c>
      <c r="T1572" t="s">
        <v>292</v>
      </c>
      <c r="U1572" t="s">
        <v>5239</v>
      </c>
      <c r="V1572" t="s">
        <v>2352</v>
      </c>
      <c r="Y1572" t="s">
        <v>5238</v>
      </c>
      <c r="Z1572" t="str">
        <f>"07738150690"</f>
        <v>07738150690</v>
      </c>
      <c r="AA1572" t="str">
        <f>""</f>
        <v/>
      </c>
      <c r="AB1572" t="s">
        <v>3293</v>
      </c>
      <c r="AC1572" t="s">
        <v>5237</v>
      </c>
      <c r="AD1572" t="s">
        <v>114</v>
      </c>
      <c r="AE1572" s="63">
        <v>45487</v>
      </c>
      <c r="AF1572" t="s">
        <v>113</v>
      </c>
      <c r="AG1572" t="s">
        <v>112</v>
      </c>
      <c r="AH1572" t="s">
        <v>112</v>
      </c>
      <c r="AI1572" s="63">
        <v>45487</v>
      </c>
      <c r="AJ1572" s="63">
        <v>45657</v>
      </c>
      <c r="AK1572" t="s">
        <v>112</v>
      </c>
      <c r="AL1572" t="s">
        <v>111</v>
      </c>
      <c r="AM1572" t="s">
        <v>111</v>
      </c>
      <c r="AN1572">
        <v>40471</v>
      </c>
      <c r="AO1572" t="s">
        <v>110</v>
      </c>
      <c r="AP1572" t="s">
        <v>109</v>
      </c>
    </row>
    <row r="1573" spans="1:42" x14ac:dyDescent="0.25">
      <c r="A1573" s="28" t="str">
        <f>"3275"</f>
        <v>3275</v>
      </c>
      <c r="B1573">
        <v>3275</v>
      </c>
      <c r="C1573" t="s">
        <v>2488</v>
      </c>
      <c r="D1573" t="s">
        <v>121</v>
      </c>
      <c r="F1573" t="s">
        <v>120</v>
      </c>
      <c r="G1573" t="s">
        <v>251</v>
      </c>
      <c r="I1573" t="s">
        <v>5236</v>
      </c>
      <c r="J1573" t="s">
        <v>7</v>
      </c>
      <c r="K1573" s="63">
        <v>11266</v>
      </c>
      <c r="L1573" s="28">
        <f>DATEDIF(K1573,Zwift25!G$1,"Y")</f>
        <v>93</v>
      </c>
      <c r="M1573" s="67">
        <f>IF(J1573="m",VLOOKUP(L1573,'All Solo Adjustments'!A:D,4,FALSE),VLOOKUP(L1573,'All Solo Adjustments'!A:J,10,FALSE))</f>
        <v>2.1516203703703704E-2</v>
      </c>
      <c r="N1573" s="63"/>
      <c r="O1573" s="63"/>
      <c r="P1573" s="63"/>
      <c r="Q1573" s="63"/>
      <c r="R1573" t="s">
        <v>159</v>
      </c>
      <c r="S1573" t="s">
        <v>570</v>
      </c>
      <c r="T1573" t="s">
        <v>292</v>
      </c>
      <c r="U1573" t="s">
        <v>5235</v>
      </c>
      <c r="V1573" t="s">
        <v>458</v>
      </c>
      <c r="W1573" t="s">
        <v>159</v>
      </c>
      <c r="Y1573" t="s">
        <v>5234</v>
      </c>
      <c r="Z1573" t="str">
        <f>"01227 730278"</f>
        <v>01227 730278</v>
      </c>
      <c r="AA1573" t="str">
        <f>""</f>
        <v/>
      </c>
      <c r="AB1573" t="s">
        <v>290</v>
      </c>
      <c r="AD1573" t="s">
        <v>151</v>
      </c>
      <c r="AF1573" t="s">
        <v>113</v>
      </c>
      <c r="AG1573" t="s">
        <v>111</v>
      </c>
      <c r="AH1573" t="s">
        <v>112</v>
      </c>
      <c r="AK1573" t="s">
        <v>111</v>
      </c>
      <c r="AL1573" t="s">
        <v>111</v>
      </c>
      <c r="AM1573" t="s">
        <v>111</v>
      </c>
      <c r="AN1573" t="s">
        <v>105</v>
      </c>
      <c r="AO1573" t="s">
        <v>110</v>
      </c>
      <c r="AP1573" t="s">
        <v>109</v>
      </c>
    </row>
    <row r="1574" spans="1:42" x14ac:dyDescent="0.25">
      <c r="A1574" s="28" t="str">
        <f>"1966"</f>
        <v>1966</v>
      </c>
      <c r="B1574">
        <v>1966</v>
      </c>
      <c r="C1574" t="s">
        <v>2488</v>
      </c>
      <c r="D1574" t="s">
        <v>121</v>
      </c>
      <c r="F1574" t="s">
        <v>120</v>
      </c>
      <c r="G1574" t="s">
        <v>952</v>
      </c>
      <c r="I1574" t="s">
        <v>1450</v>
      </c>
      <c r="J1574" t="s">
        <v>7</v>
      </c>
      <c r="K1574" s="63">
        <v>12744</v>
      </c>
      <c r="L1574" s="28">
        <f>DATEDIF(K1574,Zwift25!G$1,"Y")</f>
        <v>89</v>
      </c>
      <c r="M1574" s="67">
        <f>IF(J1574="m",VLOOKUP(L1574,'All Solo Adjustments'!A:D,4,FALSE),VLOOKUP(L1574,'All Solo Adjustments'!A:J,10,FALSE))</f>
        <v>1.7465277777777777E-2</v>
      </c>
      <c r="N1574" s="63"/>
      <c r="O1574" s="63"/>
      <c r="P1574" s="63"/>
      <c r="Q1574" s="63"/>
      <c r="R1574" t="s">
        <v>296</v>
      </c>
      <c r="S1574" t="s">
        <v>2310</v>
      </c>
      <c r="T1574" t="s">
        <v>292</v>
      </c>
      <c r="U1574" t="s">
        <v>5233</v>
      </c>
      <c r="V1574" t="s">
        <v>3693</v>
      </c>
      <c r="W1574" t="s">
        <v>1638</v>
      </c>
      <c r="Y1574" t="s">
        <v>5232</v>
      </c>
      <c r="Z1574" t="str">
        <f>"01698 422736"</f>
        <v>01698 422736</v>
      </c>
      <c r="AA1574" t="str">
        <f>""</f>
        <v/>
      </c>
      <c r="AB1574" t="s">
        <v>294</v>
      </c>
      <c r="AC1574" t="s">
        <v>5231</v>
      </c>
      <c r="AD1574" t="s">
        <v>151</v>
      </c>
      <c r="AF1574" t="s">
        <v>113</v>
      </c>
      <c r="AG1574" t="s">
        <v>112</v>
      </c>
      <c r="AH1574" t="s">
        <v>112</v>
      </c>
      <c r="AI1574" s="63">
        <v>31013</v>
      </c>
      <c r="AK1574" t="s">
        <v>111</v>
      </c>
      <c r="AL1574" t="s">
        <v>111</v>
      </c>
      <c r="AM1574" t="s">
        <v>111</v>
      </c>
      <c r="AN1574" t="s">
        <v>105</v>
      </c>
      <c r="AO1574" t="s">
        <v>110</v>
      </c>
      <c r="AP1574" t="s">
        <v>109</v>
      </c>
    </row>
    <row r="1575" spans="1:42" x14ac:dyDescent="0.25">
      <c r="A1575" s="28" t="str">
        <f>"6258"</f>
        <v>6258</v>
      </c>
      <c r="B1575">
        <v>6258</v>
      </c>
      <c r="C1575" t="s">
        <v>2488</v>
      </c>
      <c r="D1575" t="s">
        <v>121</v>
      </c>
      <c r="F1575" t="s">
        <v>120</v>
      </c>
      <c r="G1575" t="s">
        <v>155</v>
      </c>
      <c r="I1575" t="s">
        <v>1450</v>
      </c>
      <c r="J1575" t="s">
        <v>7</v>
      </c>
      <c r="K1575" s="63">
        <v>26006</v>
      </c>
      <c r="L1575" s="28">
        <f>DATEDIF(K1575,Zwift25!G$1,"Y")</f>
        <v>53</v>
      </c>
      <c r="M1575" s="67">
        <f>IF(J1575="m",VLOOKUP(L1575,'All Solo Adjustments'!A:D,4,FALSE),VLOOKUP(L1575,'All Solo Adjustments'!A:J,10,FALSE))</f>
        <v>1.6666666666666668E-3</v>
      </c>
      <c r="N1575" s="63"/>
      <c r="O1575" s="63"/>
      <c r="P1575" s="63"/>
      <c r="Q1575" s="63"/>
      <c r="R1575" t="s">
        <v>239</v>
      </c>
      <c r="S1575" t="s">
        <v>274</v>
      </c>
      <c r="T1575" t="s">
        <v>292</v>
      </c>
      <c r="U1575" t="s">
        <v>5230</v>
      </c>
      <c r="V1575" t="s">
        <v>1837</v>
      </c>
      <c r="W1575" t="s">
        <v>627</v>
      </c>
      <c r="Y1575" t="s">
        <v>5229</v>
      </c>
      <c r="Z1575" t="str">
        <f>"01132 256333"</f>
        <v>01132 256333</v>
      </c>
      <c r="AA1575" t="str">
        <f>""</f>
        <v/>
      </c>
      <c r="AB1575" t="s">
        <v>516</v>
      </c>
      <c r="AC1575" t="s">
        <v>5228</v>
      </c>
      <c r="AD1575" t="s">
        <v>114</v>
      </c>
      <c r="AE1575" s="63">
        <v>45271</v>
      </c>
      <c r="AF1575" t="s">
        <v>156</v>
      </c>
      <c r="AG1575" t="s">
        <v>112</v>
      </c>
      <c r="AH1575" t="s">
        <v>112</v>
      </c>
      <c r="AI1575" s="63">
        <v>42880</v>
      </c>
      <c r="AJ1575" s="63">
        <v>45657</v>
      </c>
      <c r="AK1575" t="s">
        <v>111</v>
      </c>
      <c r="AL1575" t="s">
        <v>111</v>
      </c>
      <c r="AM1575" t="s">
        <v>111</v>
      </c>
      <c r="AN1575">
        <v>1853</v>
      </c>
      <c r="AO1575" t="s">
        <v>110</v>
      </c>
      <c r="AP1575" t="s">
        <v>109</v>
      </c>
    </row>
    <row r="1576" spans="1:42" x14ac:dyDescent="0.25">
      <c r="A1576" s="28" t="str">
        <f>"14387"</f>
        <v>14387</v>
      </c>
      <c r="B1576">
        <v>14387</v>
      </c>
      <c r="C1576" t="s">
        <v>2488</v>
      </c>
      <c r="D1576" t="s">
        <v>121</v>
      </c>
      <c r="E1576" t="s">
        <v>584</v>
      </c>
      <c r="F1576" t="s">
        <v>149</v>
      </c>
      <c r="G1576" t="s">
        <v>5227</v>
      </c>
      <c r="I1576" t="s">
        <v>1450</v>
      </c>
      <c r="J1576" t="s">
        <v>126</v>
      </c>
      <c r="K1576" s="63">
        <v>22032</v>
      </c>
      <c r="L1576" s="28">
        <f>DATEDIF(K1576,Zwift25!G$1,"Y")</f>
        <v>64</v>
      </c>
      <c r="M1576" s="67">
        <f>IF(J1576="m",VLOOKUP(L1576,'All Solo Adjustments'!A:D,4,FALSE),VLOOKUP(L1576,'All Solo Adjustments'!A:J,10,FALSE))</f>
        <v>8.4490740740740741E-3</v>
      </c>
      <c r="N1576" s="63"/>
      <c r="O1576" s="63"/>
      <c r="P1576" s="63"/>
      <c r="Q1576" s="63"/>
      <c r="R1576" t="s">
        <v>184</v>
      </c>
      <c r="S1576" t="s">
        <v>183</v>
      </c>
      <c r="T1576" t="s">
        <v>292</v>
      </c>
      <c r="U1576" t="s">
        <v>5226</v>
      </c>
      <c r="V1576" t="s">
        <v>2282</v>
      </c>
      <c r="W1576" t="s">
        <v>1573</v>
      </c>
      <c r="X1576" t="s">
        <v>337</v>
      </c>
      <c r="Y1576" t="s">
        <v>5225</v>
      </c>
      <c r="Z1576" t="str">
        <f>"0044 7952938561"</f>
        <v>0044 7952938561</v>
      </c>
      <c r="AA1576" t="str">
        <f>""</f>
        <v/>
      </c>
      <c r="AB1576" t="s">
        <v>232</v>
      </c>
      <c r="AC1576" t="s">
        <v>5224</v>
      </c>
      <c r="AD1576" t="s">
        <v>114</v>
      </c>
      <c r="AE1576" s="63">
        <v>45292</v>
      </c>
      <c r="AF1576" t="s">
        <v>113</v>
      </c>
      <c r="AG1576" t="s">
        <v>112</v>
      </c>
      <c r="AH1576" t="s">
        <v>112</v>
      </c>
      <c r="AI1576" s="63">
        <v>43767</v>
      </c>
      <c r="AJ1576" s="63">
        <v>45657</v>
      </c>
      <c r="AK1576" t="s">
        <v>112</v>
      </c>
      <c r="AL1576" t="s">
        <v>111</v>
      </c>
      <c r="AM1576" t="s">
        <v>111</v>
      </c>
      <c r="AN1576">
        <v>10348</v>
      </c>
      <c r="AO1576" t="s">
        <v>122</v>
      </c>
      <c r="AP1576" t="s">
        <v>122</v>
      </c>
    </row>
    <row r="1577" spans="1:42" x14ac:dyDescent="0.25">
      <c r="A1577" s="28" t="str">
        <f>"5705"</f>
        <v>5705</v>
      </c>
      <c r="B1577">
        <v>5705</v>
      </c>
      <c r="C1577" t="s">
        <v>2488</v>
      </c>
      <c r="D1577" t="s">
        <v>121</v>
      </c>
      <c r="E1577" t="s">
        <v>584</v>
      </c>
      <c r="F1577" t="s">
        <v>120</v>
      </c>
      <c r="G1577" t="s">
        <v>410</v>
      </c>
      <c r="H1577" t="s">
        <v>245</v>
      </c>
      <c r="I1577" t="s">
        <v>5223</v>
      </c>
      <c r="J1577" t="s">
        <v>7</v>
      </c>
      <c r="K1577" s="63">
        <v>17326</v>
      </c>
      <c r="L1577" s="28">
        <f>DATEDIF(K1577,Zwift25!G$1,"Y")</f>
        <v>77</v>
      </c>
      <c r="M1577" s="67">
        <f>IF(J1577="m",VLOOKUP(L1577,'All Solo Adjustments'!A:D,4,FALSE),VLOOKUP(L1577,'All Solo Adjustments'!A:J,10,FALSE))</f>
        <v>9.3981481481481485E-3</v>
      </c>
      <c r="N1577" s="63"/>
      <c r="O1577" s="63"/>
      <c r="P1577" s="63"/>
      <c r="Q1577" s="63"/>
      <c r="R1577" t="s">
        <v>198</v>
      </c>
      <c r="S1577" t="s">
        <v>461</v>
      </c>
      <c r="T1577" t="s">
        <v>292</v>
      </c>
      <c r="U1577" t="s">
        <v>5222</v>
      </c>
      <c r="V1577" t="s">
        <v>5221</v>
      </c>
      <c r="W1577" t="s">
        <v>1004</v>
      </c>
      <c r="X1577" t="s">
        <v>196</v>
      </c>
      <c r="Y1577" t="s">
        <v>5220</v>
      </c>
      <c r="Z1577" t="str">
        <f>"01625 572374"</f>
        <v>01625 572374</v>
      </c>
      <c r="AA1577" t="str">
        <f>""</f>
        <v/>
      </c>
      <c r="AB1577" t="s">
        <v>1003</v>
      </c>
      <c r="AC1577" t="s">
        <v>5219</v>
      </c>
      <c r="AD1577" t="s">
        <v>114</v>
      </c>
      <c r="AE1577" s="63">
        <v>45290</v>
      </c>
      <c r="AF1577" t="s">
        <v>113</v>
      </c>
      <c r="AG1577" t="s">
        <v>112</v>
      </c>
      <c r="AH1577" t="s">
        <v>112</v>
      </c>
      <c r="AI1577" s="63">
        <v>42403</v>
      </c>
      <c r="AJ1577" s="63">
        <v>45657</v>
      </c>
      <c r="AK1577" t="s">
        <v>111</v>
      </c>
      <c r="AL1577" t="s">
        <v>111</v>
      </c>
      <c r="AM1577" t="s">
        <v>111</v>
      </c>
      <c r="AN1577">
        <v>11185</v>
      </c>
      <c r="AO1577" t="s">
        <v>110</v>
      </c>
      <c r="AP1577" t="s">
        <v>109</v>
      </c>
    </row>
    <row r="1578" spans="1:42" x14ac:dyDescent="0.25">
      <c r="A1578" s="28" t="str">
        <f>"6062"</f>
        <v>6062</v>
      </c>
      <c r="B1578">
        <v>6062</v>
      </c>
      <c r="C1578" t="s">
        <v>2488</v>
      </c>
      <c r="D1578" t="s">
        <v>121</v>
      </c>
      <c r="E1578" t="s">
        <v>584</v>
      </c>
      <c r="F1578" t="s">
        <v>149</v>
      </c>
      <c r="G1578" t="s">
        <v>3810</v>
      </c>
      <c r="H1578" t="s">
        <v>739</v>
      </c>
      <c r="I1578" t="s">
        <v>5218</v>
      </c>
      <c r="J1578" t="s">
        <v>126</v>
      </c>
      <c r="K1578" s="63">
        <v>22634</v>
      </c>
      <c r="L1578" s="28">
        <f>DATEDIF(K1578,Zwift25!G$1,"Y")</f>
        <v>62</v>
      </c>
      <c r="M1578" s="67">
        <f>IF(J1578="m",VLOOKUP(L1578,'All Solo Adjustments'!A:D,4,FALSE),VLOOKUP(L1578,'All Solo Adjustments'!A:J,10,FALSE))</f>
        <v>7.6041666666666662E-3</v>
      </c>
      <c r="N1578" s="63"/>
      <c r="O1578" s="63"/>
      <c r="P1578" s="63"/>
      <c r="Q1578" s="63"/>
      <c r="R1578" t="s">
        <v>296</v>
      </c>
      <c r="S1578" t="s">
        <v>295</v>
      </c>
      <c r="T1578" t="s">
        <v>292</v>
      </c>
      <c r="U1578" t="s">
        <v>5217</v>
      </c>
      <c r="V1578" t="s">
        <v>5216</v>
      </c>
      <c r="W1578" t="s">
        <v>794</v>
      </c>
      <c r="Y1578" t="s">
        <v>5215</v>
      </c>
      <c r="Z1578" t="str">
        <f>"07425 604078"</f>
        <v>07425 604078</v>
      </c>
      <c r="AA1578" t="str">
        <f>""</f>
        <v/>
      </c>
      <c r="AB1578" t="s">
        <v>1384</v>
      </c>
      <c r="AC1578" t="s">
        <v>5214</v>
      </c>
      <c r="AD1578" t="s">
        <v>114</v>
      </c>
      <c r="AE1578" s="63">
        <v>45268</v>
      </c>
      <c r="AF1578" t="s">
        <v>156</v>
      </c>
      <c r="AG1578" t="s">
        <v>112</v>
      </c>
      <c r="AH1578" t="s">
        <v>112</v>
      </c>
      <c r="AI1578" s="63">
        <v>42756</v>
      </c>
      <c r="AJ1578" s="63">
        <v>45657</v>
      </c>
      <c r="AK1578" t="s">
        <v>111</v>
      </c>
      <c r="AL1578" t="s">
        <v>111</v>
      </c>
      <c r="AM1578" t="s">
        <v>111</v>
      </c>
      <c r="AN1578">
        <v>19259</v>
      </c>
      <c r="AO1578" t="s">
        <v>122</v>
      </c>
      <c r="AP1578" t="s">
        <v>122</v>
      </c>
    </row>
    <row r="1579" spans="1:42" x14ac:dyDescent="0.25">
      <c r="A1579" s="28" t="str">
        <f>"1975"</f>
        <v>1975</v>
      </c>
      <c r="B1579">
        <v>1975</v>
      </c>
      <c r="C1579" t="s">
        <v>2488</v>
      </c>
      <c r="D1579" t="s">
        <v>121</v>
      </c>
      <c r="F1579" t="s">
        <v>120</v>
      </c>
      <c r="G1579" t="s">
        <v>706</v>
      </c>
      <c r="I1579" t="s">
        <v>1448</v>
      </c>
      <c r="J1579" t="s">
        <v>7</v>
      </c>
      <c r="K1579" s="63">
        <v>16736</v>
      </c>
      <c r="L1579" s="28">
        <f>DATEDIF(K1579,Zwift25!G$1,"Y")</f>
        <v>78</v>
      </c>
      <c r="M1579" s="67">
        <f>IF(J1579="m",VLOOKUP(L1579,'All Solo Adjustments'!A:D,4,FALSE),VLOOKUP(L1579,'All Solo Adjustments'!A:J,10,FALSE))</f>
        <v>9.9189814814814817E-3</v>
      </c>
      <c r="N1579" s="63"/>
      <c r="O1579" s="63"/>
      <c r="P1579" s="63"/>
      <c r="Q1579" s="63"/>
      <c r="R1579" t="s">
        <v>154</v>
      </c>
      <c r="S1579" t="s">
        <v>153</v>
      </c>
      <c r="T1579" t="s">
        <v>292</v>
      </c>
      <c r="U1579" t="s">
        <v>5213</v>
      </c>
      <c r="V1579" t="s">
        <v>5212</v>
      </c>
      <c r="W1579" t="s">
        <v>363</v>
      </c>
      <c r="Y1579" t="s">
        <v>5211</v>
      </c>
      <c r="Z1579" t="str">
        <f>"01626 867318"</f>
        <v>01626 867318</v>
      </c>
      <c r="AA1579" t="str">
        <f>""</f>
        <v/>
      </c>
      <c r="AB1579" t="s">
        <v>5210</v>
      </c>
      <c r="AD1579" t="s">
        <v>145</v>
      </c>
      <c r="AE1579" s="63">
        <v>45300</v>
      </c>
      <c r="AF1579" t="s">
        <v>113</v>
      </c>
      <c r="AG1579" t="s">
        <v>112</v>
      </c>
      <c r="AH1579" t="s">
        <v>112</v>
      </c>
      <c r="AI1579" s="63">
        <v>37597</v>
      </c>
      <c r="AJ1579" s="63">
        <v>45657</v>
      </c>
      <c r="AK1579" t="s">
        <v>111</v>
      </c>
      <c r="AL1579" t="s">
        <v>111</v>
      </c>
      <c r="AM1579" t="s">
        <v>111</v>
      </c>
      <c r="AN1579" t="s">
        <v>105</v>
      </c>
      <c r="AO1579" t="s">
        <v>110</v>
      </c>
      <c r="AP1579" t="s">
        <v>109</v>
      </c>
    </row>
    <row r="1580" spans="1:42" x14ac:dyDescent="0.25">
      <c r="A1580" s="28" t="str">
        <f>"1979"</f>
        <v>1979</v>
      </c>
      <c r="B1580">
        <v>1979</v>
      </c>
      <c r="C1580" t="s">
        <v>2488</v>
      </c>
      <c r="D1580" t="s">
        <v>121</v>
      </c>
      <c r="F1580" t="s">
        <v>120</v>
      </c>
      <c r="G1580" t="s">
        <v>1616</v>
      </c>
      <c r="I1580" t="s">
        <v>443</v>
      </c>
      <c r="J1580" t="s">
        <v>7</v>
      </c>
      <c r="K1580" s="63">
        <v>12420</v>
      </c>
      <c r="L1580" s="28">
        <f>DATEDIF(K1580,Zwift25!G$1,"Y")</f>
        <v>90</v>
      </c>
      <c r="M1580" s="67">
        <f>IF(J1580="m",VLOOKUP(L1580,'All Solo Adjustments'!A:D,4,FALSE),VLOOKUP(L1580,'All Solo Adjustments'!A:J,10,FALSE))</f>
        <v>1.8391203703703705E-2</v>
      </c>
      <c r="N1580" s="63"/>
      <c r="O1580" s="63"/>
      <c r="P1580" s="63"/>
      <c r="Q1580" s="63"/>
      <c r="R1580" t="s">
        <v>180</v>
      </c>
      <c r="S1580" t="s">
        <v>2288</v>
      </c>
      <c r="T1580" t="s">
        <v>292</v>
      </c>
      <c r="U1580" t="s">
        <v>2348</v>
      </c>
      <c r="V1580" t="s">
        <v>2347</v>
      </c>
      <c r="W1580" t="s">
        <v>259</v>
      </c>
      <c r="Y1580" t="s">
        <v>2346</v>
      </c>
      <c r="Z1580" t="str">
        <f>"0155 884883"</f>
        <v>0155 884883</v>
      </c>
      <c r="AA1580" t="str">
        <f>""</f>
        <v/>
      </c>
      <c r="AB1580" t="s">
        <v>1470</v>
      </c>
      <c r="AD1580" t="s">
        <v>151</v>
      </c>
      <c r="AF1580" t="s">
        <v>113</v>
      </c>
      <c r="AG1580" t="s">
        <v>112</v>
      </c>
      <c r="AH1580" t="s">
        <v>112</v>
      </c>
      <c r="AK1580" t="s">
        <v>111</v>
      </c>
      <c r="AL1580" t="s">
        <v>111</v>
      </c>
      <c r="AM1580" t="s">
        <v>111</v>
      </c>
      <c r="AN1580" t="s">
        <v>105</v>
      </c>
      <c r="AO1580" t="s">
        <v>110</v>
      </c>
      <c r="AP1580" t="s">
        <v>109</v>
      </c>
    </row>
    <row r="1581" spans="1:42" x14ac:dyDescent="0.25">
      <c r="A1581" s="28" t="str">
        <f>"1977"</f>
        <v>1977</v>
      </c>
      <c r="B1581">
        <v>1977</v>
      </c>
      <c r="C1581" t="s">
        <v>2488</v>
      </c>
      <c r="D1581" t="s">
        <v>130</v>
      </c>
      <c r="F1581" t="s">
        <v>120</v>
      </c>
      <c r="G1581" t="s">
        <v>436</v>
      </c>
      <c r="I1581" t="s">
        <v>443</v>
      </c>
      <c r="J1581" t="s">
        <v>7</v>
      </c>
      <c r="K1581" s="63">
        <v>15022</v>
      </c>
      <c r="L1581" s="28">
        <f>DATEDIF(K1581,Zwift25!G$1,"Y")</f>
        <v>83</v>
      </c>
      <c r="M1581" s="67">
        <f>IF(J1581="m",VLOOKUP(L1581,'All Solo Adjustments'!A:D,4,FALSE),VLOOKUP(L1581,'All Solo Adjustments'!A:J,10,FALSE))</f>
        <v>1.2858796296296297E-2</v>
      </c>
      <c r="N1581" s="63"/>
      <c r="O1581" s="63"/>
      <c r="P1581" s="63"/>
      <c r="Q1581" s="63"/>
      <c r="R1581" t="s">
        <v>184</v>
      </c>
      <c r="S1581" t="s">
        <v>835</v>
      </c>
      <c r="T1581" t="s">
        <v>292</v>
      </c>
      <c r="U1581" t="s">
        <v>5209</v>
      </c>
      <c r="V1581" t="s">
        <v>5208</v>
      </c>
      <c r="Y1581" t="s">
        <v>5207</v>
      </c>
      <c r="Z1581" t="str">
        <f>"020 8863 1773"</f>
        <v>020 8863 1773</v>
      </c>
      <c r="AA1581" t="str">
        <f>""</f>
        <v/>
      </c>
      <c r="AB1581" t="s">
        <v>288</v>
      </c>
      <c r="AC1581" t="s">
        <v>5206</v>
      </c>
      <c r="AD1581" t="s">
        <v>145</v>
      </c>
      <c r="AF1581" t="s">
        <v>113</v>
      </c>
      <c r="AG1581" t="s">
        <v>112</v>
      </c>
      <c r="AH1581" t="s">
        <v>112</v>
      </c>
      <c r="AI1581" s="63">
        <v>43511</v>
      </c>
      <c r="AK1581" t="s">
        <v>111</v>
      </c>
      <c r="AL1581" t="s">
        <v>111</v>
      </c>
      <c r="AM1581" t="s">
        <v>111</v>
      </c>
      <c r="AN1581" t="s">
        <v>105</v>
      </c>
      <c r="AO1581" t="s">
        <v>110</v>
      </c>
      <c r="AP1581" t="s">
        <v>109</v>
      </c>
    </row>
    <row r="1582" spans="1:42" x14ac:dyDescent="0.25">
      <c r="A1582" s="28" t="str">
        <f>"11471"</f>
        <v>11471</v>
      </c>
      <c r="B1582">
        <v>11471</v>
      </c>
      <c r="C1582" t="s">
        <v>2488</v>
      </c>
      <c r="D1582" t="s">
        <v>132</v>
      </c>
      <c r="F1582" t="s">
        <v>149</v>
      </c>
      <c r="G1582" t="s">
        <v>1529</v>
      </c>
      <c r="I1582" t="s">
        <v>443</v>
      </c>
      <c r="J1582" t="s">
        <v>126</v>
      </c>
      <c r="K1582" s="63">
        <v>17860</v>
      </c>
      <c r="L1582" s="28">
        <f>DATEDIF(K1582,Zwift25!G$1,"Y")</f>
        <v>75</v>
      </c>
      <c r="M1582" s="67">
        <f>IF(J1582="m",VLOOKUP(L1582,'All Solo Adjustments'!A:D,4,FALSE),VLOOKUP(L1582,'All Solo Adjustments'!A:J,10,FALSE))</f>
        <v>1.3923611111111112E-2</v>
      </c>
      <c r="N1582" s="63"/>
      <c r="O1582" s="63"/>
      <c r="P1582" s="63"/>
      <c r="Q1582" s="63"/>
      <c r="R1582" t="s">
        <v>184</v>
      </c>
      <c r="S1582" t="s">
        <v>1876</v>
      </c>
      <c r="T1582" t="s">
        <v>292</v>
      </c>
      <c r="U1582" t="s">
        <v>5209</v>
      </c>
      <c r="V1582" t="s">
        <v>5208</v>
      </c>
      <c r="Y1582" t="s">
        <v>5207</v>
      </c>
      <c r="Z1582" t="str">
        <f>"020 8863 1773"</f>
        <v>020 8863 1773</v>
      </c>
      <c r="AA1582" t="str">
        <f>""</f>
        <v/>
      </c>
      <c r="AB1582" t="s">
        <v>288</v>
      </c>
      <c r="AC1582" t="s">
        <v>5206</v>
      </c>
      <c r="AD1582" t="s">
        <v>145</v>
      </c>
      <c r="AE1582" s="63">
        <v>45303</v>
      </c>
      <c r="AF1582" t="s">
        <v>113</v>
      </c>
      <c r="AG1582" t="s">
        <v>112</v>
      </c>
      <c r="AH1582" t="s">
        <v>112</v>
      </c>
      <c r="AI1582" s="63">
        <v>43511</v>
      </c>
      <c r="AJ1582" s="63">
        <v>45657</v>
      </c>
      <c r="AK1582" t="s">
        <v>111</v>
      </c>
      <c r="AL1582" t="s">
        <v>111</v>
      </c>
      <c r="AM1582" t="s">
        <v>111</v>
      </c>
      <c r="AN1582">
        <v>7272</v>
      </c>
      <c r="AO1582" t="s">
        <v>122</v>
      </c>
      <c r="AP1582" t="s">
        <v>122</v>
      </c>
    </row>
    <row r="1583" spans="1:42" x14ac:dyDescent="0.25">
      <c r="A1583" s="28" t="str">
        <f>"3662"</f>
        <v>3662</v>
      </c>
      <c r="B1583">
        <v>3662</v>
      </c>
      <c r="C1583" t="s">
        <v>2488</v>
      </c>
      <c r="D1583" t="s">
        <v>121</v>
      </c>
      <c r="F1583" t="s">
        <v>120</v>
      </c>
      <c r="G1583" t="s">
        <v>5205</v>
      </c>
      <c r="H1583" t="s">
        <v>2108</v>
      </c>
      <c r="I1583" t="s">
        <v>5204</v>
      </c>
      <c r="J1583" t="s">
        <v>7</v>
      </c>
      <c r="K1583" s="63">
        <v>23110</v>
      </c>
      <c r="L1583" s="28">
        <f>DATEDIF(K1583,Zwift25!G$1,"Y")</f>
        <v>61</v>
      </c>
      <c r="M1583" s="67">
        <f>IF(J1583="m",VLOOKUP(L1583,'All Solo Adjustments'!A:D,4,FALSE),VLOOKUP(L1583,'All Solo Adjustments'!A:J,10,FALSE))</f>
        <v>3.4722222222222225E-3</v>
      </c>
      <c r="N1583" s="63"/>
      <c r="O1583" s="63"/>
      <c r="P1583" s="63"/>
      <c r="Q1583" s="63"/>
      <c r="R1583" t="s">
        <v>125</v>
      </c>
      <c r="S1583" t="s">
        <v>170</v>
      </c>
      <c r="T1583" t="s">
        <v>292</v>
      </c>
      <c r="U1583" t="s">
        <v>5203</v>
      </c>
      <c r="V1583" t="s">
        <v>5202</v>
      </c>
      <c r="W1583" t="s">
        <v>223</v>
      </c>
      <c r="X1583" t="s">
        <v>201</v>
      </c>
      <c r="Y1583" t="s">
        <v>5201</v>
      </c>
      <c r="Z1583" t="str">
        <f>"07971 229469"</f>
        <v>07971 229469</v>
      </c>
      <c r="AA1583" t="str">
        <f>""</f>
        <v/>
      </c>
      <c r="AB1583" t="s">
        <v>222</v>
      </c>
      <c r="AC1583" t="s">
        <v>5200</v>
      </c>
      <c r="AD1583" t="s">
        <v>114</v>
      </c>
      <c r="AE1583" s="63">
        <v>45304</v>
      </c>
      <c r="AF1583" t="s">
        <v>113</v>
      </c>
      <c r="AG1583" t="s">
        <v>112</v>
      </c>
      <c r="AH1583" t="s">
        <v>112</v>
      </c>
      <c r="AI1583" s="63">
        <v>39947</v>
      </c>
      <c r="AJ1583" s="63">
        <v>45657</v>
      </c>
      <c r="AK1583" t="s">
        <v>111</v>
      </c>
      <c r="AL1583" t="s">
        <v>111</v>
      </c>
      <c r="AM1583" t="s">
        <v>111</v>
      </c>
      <c r="AN1583">
        <v>390</v>
      </c>
      <c r="AO1583" t="s">
        <v>110</v>
      </c>
      <c r="AP1583" t="s">
        <v>109</v>
      </c>
    </row>
    <row r="1584" spans="1:42" x14ac:dyDescent="0.25">
      <c r="A1584" s="28" t="str">
        <f>"4476"</f>
        <v>4476</v>
      </c>
      <c r="B1584">
        <v>4476</v>
      </c>
      <c r="C1584" t="s">
        <v>2488</v>
      </c>
      <c r="D1584" t="s">
        <v>132</v>
      </c>
      <c r="F1584" t="s">
        <v>120</v>
      </c>
      <c r="G1584" t="s">
        <v>1377</v>
      </c>
      <c r="H1584" t="s">
        <v>1056</v>
      </c>
      <c r="I1584" t="s">
        <v>443</v>
      </c>
      <c r="J1584" t="s">
        <v>7</v>
      </c>
      <c r="K1584" s="63">
        <v>24141</v>
      </c>
      <c r="L1584" s="28">
        <f>DATEDIF(K1584,Zwift25!G$1,"Y")</f>
        <v>58</v>
      </c>
      <c r="M1584" s="67">
        <f>IF(J1584="m",VLOOKUP(L1584,'All Solo Adjustments'!A:D,4,FALSE),VLOOKUP(L1584,'All Solo Adjustments'!A:J,10,FALSE))</f>
        <v>2.7199074074074074E-3</v>
      </c>
      <c r="N1584" s="63"/>
      <c r="O1584" s="63"/>
      <c r="P1584" s="63"/>
      <c r="Q1584" s="63"/>
      <c r="R1584" t="s">
        <v>184</v>
      </c>
      <c r="S1584" t="s">
        <v>1390</v>
      </c>
      <c r="T1584" t="s">
        <v>292</v>
      </c>
      <c r="U1584" t="s">
        <v>5198</v>
      </c>
      <c r="V1584" t="s">
        <v>5197</v>
      </c>
      <c r="W1584" t="s">
        <v>1175</v>
      </c>
      <c r="X1584" t="s">
        <v>347</v>
      </c>
      <c r="Y1584" t="s">
        <v>5196</v>
      </c>
      <c r="Z1584" t="str">
        <f>"07860633588"</f>
        <v>07860633588</v>
      </c>
      <c r="AA1584" t="str">
        <f>""</f>
        <v/>
      </c>
      <c r="AB1584" t="s">
        <v>1361</v>
      </c>
      <c r="AC1584" t="s">
        <v>5199</v>
      </c>
      <c r="AD1584" t="s">
        <v>114</v>
      </c>
      <c r="AE1584" s="63">
        <v>45300</v>
      </c>
      <c r="AF1584" t="s">
        <v>113</v>
      </c>
      <c r="AG1584" t="s">
        <v>112</v>
      </c>
      <c r="AH1584" t="s">
        <v>112</v>
      </c>
      <c r="AI1584" s="63">
        <v>40995</v>
      </c>
      <c r="AJ1584" s="63">
        <v>45657</v>
      </c>
      <c r="AK1584" t="s">
        <v>111</v>
      </c>
      <c r="AL1584" t="s">
        <v>111</v>
      </c>
      <c r="AM1584" t="s">
        <v>111</v>
      </c>
      <c r="AN1584">
        <v>1063</v>
      </c>
      <c r="AO1584" t="s">
        <v>110</v>
      </c>
      <c r="AP1584" t="s">
        <v>109</v>
      </c>
    </row>
    <row r="1585" spans="1:42" x14ac:dyDescent="0.25">
      <c r="A1585" s="28" t="str">
        <f>"12366"</f>
        <v>12366</v>
      </c>
      <c r="B1585">
        <v>12366</v>
      </c>
      <c r="C1585" t="s">
        <v>2488</v>
      </c>
      <c r="D1585" t="s">
        <v>130</v>
      </c>
      <c r="F1585" t="s">
        <v>149</v>
      </c>
      <c r="G1585" t="s">
        <v>780</v>
      </c>
      <c r="H1585" t="s">
        <v>819</v>
      </c>
      <c r="I1585" t="s">
        <v>443</v>
      </c>
      <c r="J1585" t="s">
        <v>126</v>
      </c>
      <c r="K1585" s="63">
        <v>23976</v>
      </c>
      <c r="L1585" s="28">
        <f>DATEDIF(K1585,Zwift25!G$1,"Y")</f>
        <v>59</v>
      </c>
      <c r="M1585" s="67">
        <f>IF(J1585="m",VLOOKUP(L1585,'All Solo Adjustments'!A:D,4,FALSE),VLOOKUP(L1585,'All Solo Adjustments'!A:J,10,FALSE))</f>
        <v>6.5972222222222222E-3</v>
      </c>
      <c r="N1585" s="63"/>
      <c r="O1585" s="63"/>
      <c r="P1585" s="63"/>
      <c r="Q1585" s="63"/>
      <c r="R1585" t="s">
        <v>184</v>
      </c>
      <c r="S1585" t="s">
        <v>1390</v>
      </c>
      <c r="T1585" t="s">
        <v>292</v>
      </c>
      <c r="U1585" t="s">
        <v>5198</v>
      </c>
      <c r="V1585" t="s">
        <v>5197</v>
      </c>
      <c r="W1585" t="s">
        <v>1175</v>
      </c>
      <c r="X1585" t="s">
        <v>347</v>
      </c>
      <c r="Y1585" t="s">
        <v>5196</v>
      </c>
      <c r="Z1585" t="str">
        <f>"07860633588"</f>
        <v>07860633588</v>
      </c>
      <c r="AA1585" t="str">
        <f>""</f>
        <v/>
      </c>
      <c r="AB1585" t="s">
        <v>1361</v>
      </c>
      <c r="AC1585" t="s">
        <v>5195</v>
      </c>
      <c r="AD1585" t="s">
        <v>114</v>
      </c>
      <c r="AE1585" s="63">
        <v>45300</v>
      </c>
      <c r="AF1585" t="s">
        <v>113</v>
      </c>
      <c r="AG1585" t="s">
        <v>111</v>
      </c>
      <c r="AH1585" t="s">
        <v>111</v>
      </c>
      <c r="AI1585" s="63">
        <v>40995</v>
      </c>
      <c r="AJ1585" s="63">
        <v>45657</v>
      </c>
      <c r="AK1585" t="s">
        <v>111</v>
      </c>
      <c r="AL1585" t="s">
        <v>111</v>
      </c>
      <c r="AM1585" t="s">
        <v>111</v>
      </c>
      <c r="AN1585">
        <v>21256</v>
      </c>
      <c r="AO1585" t="s">
        <v>122</v>
      </c>
      <c r="AP1585" t="s">
        <v>122</v>
      </c>
    </row>
    <row r="1586" spans="1:42" x14ac:dyDescent="0.25">
      <c r="A1586" s="28" t="str">
        <f>"15610"</f>
        <v>15610</v>
      </c>
      <c r="B1586">
        <v>15610</v>
      </c>
      <c r="C1586" t="s">
        <v>2488</v>
      </c>
      <c r="D1586" t="s">
        <v>121</v>
      </c>
      <c r="F1586" t="s">
        <v>120</v>
      </c>
      <c r="G1586" t="s">
        <v>506</v>
      </c>
      <c r="I1586" t="s">
        <v>443</v>
      </c>
      <c r="J1586" t="s">
        <v>7</v>
      </c>
      <c r="K1586" s="63">
        <v>15615</v>
      </c>
      <c r="L1586" s="28">
        <f>DATEDIF(K1586,Zwift25!G$1,"Y")</f>
        <v>82</v>
      </c>
      <c r="M1586" s="67">
        <f>IF(J1586="m",VLOOKUP(L1586,'All Solo Adjustments'!A:D,4,FALSE),VLOOKUP(L1586,'All Solo Adjustments'!A:J,10,FALSE))</f>
        <v>1.2210648148148148E-2</v>
      </c>
      <c r="N1586" s="63"/>
      <c r="O1586" s="63"/>
      <c r="P1586" s="63"/>
      <c r="Q1586" s="63"/>
      <c r="R1586" t="s">
        <v>180</v>
      </c>
      <c r="S1586" t="s">
        <v>179</v>
      </c>
      <c r="T1586" t="s">
        <v>292</v>
      </c>
      <c r="U1586" t="s">
        <v>5194</v>
      </c>
      <c r="V1586" t="s">
        <v>5193</v>
      </c>
      <c r="W1586" t="s">
        <v>992</v>
      </c>
      <c r="Y1586" t="s">
        <v>5192</v>
      </c>
      <c r="Z1586" t="str">
        <f>"07712355458"</f>
        <v>07712355458</v>
      </c>
      <c r="AA1586" t="str">
        <f>""</f>
        <v/>
      </c>
      <c r="AB1586" t="s">
        <v>408</v>
      </c>
      <c r="AC1586" t="s">
        <v>5191</v>
      </c>
      <c r="AD1586" t="s">
        <v>114</v>
      </c>
      <c r="AE1586" s="63">
        <v>45272</v>
      </c>
      <c r="AF1586" t="s">
        <v>113</v>
      </c>
      <c r="AG1586" t="s">
        <v>112</v>
      </c>
      <c r="AH1586" t="s">
        <v>112</v>
      </c>
      <c r="AI1586" s="63">
        <v>44851</v>
      </c>
      <c r="AJ1586" s="63">
        <v>45657</v>
      </c>
      <c r="AK1586" t="s">
        <v>112</v>
      </c>
      <c r="AL1586" t="s">
        <v>111</v>
      </c>
      <c r="AM1586" t="s">
        <v>111</v>
      </c>
      <c r="AN1586" t="s">
        <v>105</v>
      </c>
      <c r="AO1586" t="s">
        <v>110</v>
      </c>
      <c r="AP1586" t="s">
        <v>109</v>
      </c>
    </row>
    <row r="1587" spans="1:42" x14ac:dyDescent="0.25">
      <c r="A1587" s="28" t="str">
        <f>"1984"</f>
        <v>1984</v>
      </c>
      <c r="B1587">
        <v>1984</v>
      </c>
      <c r="C1587" t="s">
        <v>2488</v>
      </c>
      <c r="D1587" t="s">
        <v>121</v>
      </c>
      <c r="F1587" t="s">
        <v>120</v>
      </c>
      <c r="G1587" t="s">
        <v>1395</v>
      </c>
      <c r="I1587" t="s">
        <v>441</v>
      </c>
      <c r="J1587" t="s">
        <v>7</v>
      </c>
      <c r="K1587" s="63">
        <v>11630</v>
      </c>
      <c r="L1587" s="28">
        <f>DATEDIF(K1587,Zwift25!G$1,"Y")</f>
        <v>92</v>
      </c>
      <c r="M1587" s="67">
        <f>IF(J1587="m",VLOOKUP(L1587,'All Solo Adjustments'!A:D,4,FALSE),VLOOKUP(L1587,'All Solo Adjustments'!A:J,10,FALSE))</f>
        <v>2.0405092592592593E-2</v>
      </c>
      <c r="N1587" s="63"/>
      <c r="O1587" s="63"/>
      <c r="P1587" s="63"/>
      <c r="Q1587" s="63"/>
      <c r="R1587" t="s">
        <v>198</v>
      </c>
      <c r="S1587" t="s">
        <v>476</v>
      </c>
      <c r="T1587" t="s">
        <v>292</v>
      </c>
      <c r="U1587" t="s">
        <v>5190</v>
      </c>
      <c r="V1587" t="s">
        <v>5189</v>
      </c>
      <c r="W1587" t="s">
        <v>196</v>
      </c>
      <c r="Y1587" t="s">
        <v>5188</v>
      </c>
      <c r="Z1587" t="str">
        <f>"01457 762707"</f>
        <v>01457 762707</v>
      </c>
      <c r="AA1587" t="str">
        <f>""</f>
        <v/>
      </c>
      <c r="AB1587" t="s">
        <v>5187</v>
      </c>
      <c r="AD1587" t="s">
        <v>151</v>
      </c>
      <c r="AF1587" t="s">
        <v>113</v>
      </c>
      <c r="AG1587" t="s">
        <v>112</v>
      </c>
      <c r="AH1587" t="s">
        <v>112</v>
      </c>
      <c r="AI1587" s="63">
        <v>31532</v>
      </c>
      <c r="AK1587" t="s">
        <v>111</v>
      </c>
      <c r="AL1587" t="s">
        <v>111</v>
      </c>
      <c r="AM1587" t="s">
        <v>111</v>
      </c>
      <c r="AN1587" t="s">
        <v>105</v>
      </c>
      <c r="AO1587" t="s">
        <v>110</v>
      </c>
      <c r="AP1587" t="s">
        <v>109</v>
      </c>
    </row>
    <row r="1588" spans="1:42" x14ac:dyDescent="0.25">
      <c r="A1588" s="28" t="str">
        <f>"15837"</f>
        <v>15837</v>
      </c>
      <c r="B1588">
        <v>15837</v>
      </c>
      <c r="C1588" t="s">
        <v>2488</v>
      </c>
      <c r="D1588" t="s">
        <v>121</v>
      </c>
      <c r="F1588" t="s">
        <v>120</v>
      </c>
      <c r="G1588" t="s">
        <v>1342</v>
      </c>
      <c r="H1588" t="s">
        <v>2213</v>
      </c>
      <c r="I1588" t="s">
        <v>5186</v>
      </c>
      <c r="J1588" t="s">
        <v>7</v>
      </c>
      <c r="K1588" s="63">
        <v>30462</v>
      </c>
      <c r="L1588" s="28">
        <f>DATEDIF(K1588,Zwift25!G$1,"Y")</f>
        <v>41</v>
      </c>
      <c r="M1588" s="67">
        <f>IF(J1588="m",VLOOKUP(L1588,'All Solo Adjustments'!A:D,4,FALSE),VLOOKUP(L1588,'All Solo Adjustments'!A:J,10,FALSE))</f>
        <v>6.9444444444444444E-5</v>
      </c>
      <c r="N1588" s="63"/>
      <c r="O1588" s="63"/>
      <c r="P1588" s="63"/>
      <c r="Q1588" s="63"/>
      <c r="R1588" t="s">
        <v>198</v>
      </c>
      <c r="S1588" t="s">
        <v>461</v>
      </c>
      <c r="T1588" t="s">
        <v>292</v>
      </c>
      <c r="U1588" t="s">
        <v>5185</v>
      </c>
      <c r="V1588" t="s">
        <v>1668</v>
      </c>
      <c r="W1588" t="s">
        <v>515</v>
      </c>
      <c r="X1588" t="s">
        <v>196</v>
      </c>
      <c r="Y1588" t="s">
        <v>5184</v>
      </c>
      <c r="Z1588" t="str">
        <f>"07793000510"</f>
        <v>07793000510</v>
      </c>
      <c r="AA1588" t="str">
        <f>""</f>
        <v/>
      </c>
      <c r="AB1588" t="s">
        <v>1177</v>
      </c>
      <c r="AC1588" t="s">
        <v>5183</v>
      </c>
      <c r="AD1588" t="s">
        <v>114</v>
      </c>
      <c r="AE1588" s="63">
        <v>45358</v>
      </c>
      <c r="AF1588" t="s">
        <v>156</v>
      </c>
      <c r="AG1588" t="s">
        <v>112</v>
      </c>
      <c r="AH1588" t="s">
        <v>112</v>
      </c>
      <c r="AI1588" s="63">
        <v>45072</v>
      </c>
      <c r="AJ1588" s="63">
        <v>45657</v>
      </c>
      <c r="AK1588" t="s">
        <v>112</v>
      </c>
      <c r="AL1588" t="s">
        <v>111</v>
      </c>
      <c r="AM1588" t="s">
        <v>111</v>
      </c>
      <c r="AN1588">
        <v>11493</v>
      </c>
      <c r="AO1588" t="s">
        <v>110</v>
      </c>
      <c r="AP1588" t="s">
        <v>109</v>
      </c>
    </row>
    <row r="1589" spans="1:42" x14ac:dyDescent="0.25">
      <c r="A1589" s="28" t="str">
        <f>"5004"</f>
        <v>5004</v>
      </c>
      <c r="B1589">
        <v>5004</v>
      </c>
      <c r="C1589" t="s">
        <v>2488</v>
      </c>
      <c r="D1589" t="s">
        <v>121</v>
      </c>
      <c r="F1589" t="s">
        <v>120</v>
      </c>
      <c r="G1589" t="s">
        <v>761</v>
      </c>
      <c r="I1589" t="s">
        <v>1443</v>
      </c>
      <c r="J1589" t="s">
        <v>7</v>
      </c>
      <c r="K1589" s="63">
        <v>21028</v>
      </c>
      <c r="L1589" s="28">
        <f>DATEDIF(K1589,Zwift25!G$1,"Y")</f>
        <v>67</v>
      </c>
      <c r="M1589" s="67">
        <f>IF(J1589="m",VLOOKUP(L1589,'All Solo Adjustments'!A:D,4,FALSE),VLOOKUP(L1589,'All Solo Adjustments'!A:J,10,FALSE))</f>
        <v>5.2662037037037035E-3</v>
      </c>
      <c r="N1589" s="63"/>
      <c r="O1589" s="63"/>
      <c r="P1589" s="63"/>
      <c r="Q1589" s="63"/>
      <c r="R1589" t="s">
        <v>154</v>
      </c>
      <c r="S1589" t="s">
        <v>153</v>
      </c>
      <c r="T1589" t="s">
        <v>292</v>
      </c>
      <c r="U1589" t="s">
        <v>5182</v>
      </c>
      <c r="V1589" t="s">
        <v>633</v>
      </c>
      <c r="Y1589" t="s">
        <v>5181</v>
      </c>
      <c r="Z1589" t="str">
        <f>"01752 215762"</f>
        <v>01752 215762</v>
      </c>
      <c r="AA1589" t="str">
        <f>""</f>
        <v/>
      </c>
      <c r="AB1589" t="s">
        <v>769</v>
      </c>
      <c r="AC1589" t="s">
        <v>5180</v>
      </c>
      <c r="AD1589" t="s">
        <v>114</v>
      </c>
      <c r="AE1589" s="63">
        <v>45348</v>
      </c>
      <c r="AF1589" t="s">
        <v>113</v>
      </c>
      <c r="AG1589" t="s">
        <v>112</v>
      </c>
      <c r="AH1589" t="s">
        <v>112</v>
      </c>
      <c r="AI1589" s="63">
        <v>41723</v>
      </c>
      <c r="AJ1589" s="63">
        <v>45657</v>
      </c>
      <c r="AK1589" t="s">
        <v>111</v>
      </c>
      <c r="AL1589" t="s">
        <v>111</v>
      </c>
      <c r="AM1589" t="s">
        <v>111</v>
      </c>
      <c r="AN1589">
        <v>2025</v>
      </c>
      <c r="AO1589" t="s">
        <v>110</v>
      </c>
      <c r="AP1589" t="s">
        <v>109</v>
      </c>
    </row>
    <row r="1590" spans="1:42" x14ac:dyDescent="0.25">
      <c r="A1590" s="28" t="str">
        <f>"1990"</f>
        <v>1990</v>
      </c>
      <c r="B1590">
        <v>1990</v>
      </c>
      <c r="C1590" t="s">
        <v>2488</v>
      </c>
      <c r="D1590" t="s">
        <v>121</v>
      </c>
      <c r="F1590" t="s">
        <v>120</v>
      </c>
      <c r="G1590" t="s">
        <v>220</v>
      </c>
      <c r="I1590" t="s">
        <v>1443</v>
      </c>
      <c r="J1590" t="s">
        <v>7</v>
      </c>
      <c r="K1590" s="63">
        <v>17591</v>
      </c>
      <c r="L1590" s="28">
        <f>DATEDIF(K1590,Zwift25!G$1,"Y")</f>
        <v>76</v>
      </c>
      <c r="M1590" s="67">
        <f>IF(J1590="m",VLOOKUP(L1590,'All Solo Adjustments'!A:D,4,FALSE),VLOOKUP(L1590,'All Solo Adjustments'!A:J,10,FALSE))</f>
        <v>8.912037037037036E-3</v>
      </c>
      <c r="N1590" s="63"/>
      <c r="O1590" s="63"/>
      <c r="P1590" s="63"/>
      <c r="Q1590" s="63"/>
      <c r="R1590" t="s">
        <v>137</v>
      </c>
      <c r="S1590" t="s">
        <v>136</v>
      </c>
      <c r="T1590" t="s">
        <v>292</v>
      </c>
      <c r="U1590" t="s">
        <v>5179</v>
      </c>
      <c r="V1590" t="s">
        <v>440</v>
      </c>
      <c r="W1590" t="s">
        <v>208</v>
      </c>
      <c r="Y1590" t="s">
        <v>5178</v>
      </c>
      <c r="Z1590" t="str">
        <f>"01264334690"</f>
        <v>01264334690</v>
      </c>
      <c r="AA1590" t="str">
        <f>""</f>
        <v/>
      </c>
      <c r="AB1590" t="s">
        <v>133</v>
      </c>
      <c r="AC1590" t="s">
        <v>5177</v>
      </c>
      <c r="AD1590" t="s">
        <v>114</v>
      </c>
      <c r="AE1590" s="63">
        <v>45302</v>
      </c>
      <c r="AF1590" t="s">
        <v>156</v>
      </c>
      <c r="AG1590" t="s">
        <v>112</v>
      </c>
      <c r="AH1590" t="s">
        <v>112</v>
      </c>
      <c r="AI1590" s="63">
        <v>32187</v>
      </c>
      <c r="AJ1590" s="63">
        <v>45657</v>
      </c>
      <c r="AK1590" t="s">
        <v>111</v>
      </c>
      <c r="AL1590" t="s">
        <v>111</v>
      </c>
      <c r="AM1590" t="s">
        <v>111</v>
      </c>
      <c r="AN1590" t="s">
        <v>105</v>
      </c>
      <c r="AO1590" t="s">
        <v>110</v>
      </c>
      <c r="AP1590" t="s">
        <v>109</v>
      </c>
    </row>
    <row r="1591" spans="1:42" x14ac:dyDescent="0.25">
      <c r="A1591" s="28" t="str">
        <f>"14249"</f>
        <v>14249</v>
      </c>
      <c r="B1591">
        <v>14249</v>
      </c>
      <c r="C1591" t="s">
        <v>2488</v>
      </c>
      <c r="D1591" t="s">
        <v>121</v>
      </c>
      <c r="F1591" t="s">
        <v>120</v>
      </c>
      <c r="G1591" t="s">
        <v>481</v>
      </c>
      <c r="H1591" t="s">
        <v>492</v>
      </c>
      <c r="I1591" t="s">
        <v>1443</v>
      </c>
      <c r="J1591" t="s">
        <v>7</v>
      </c>
      <c r="K1591" s="63">
        <v>23473</v>
      </c>
      <c r="L1591" s="28">
        <f>DATEDIF(K1591,Zwift25!G$1,"Y")</f>
        <v>60</v>
      </c>
      <c r="M1591" s="67">
        <f>IF(J1591="m",VLOOKUP(L1591,'All Solo Adjustments'!A:D,4,FALSE),VLOOKUP(L1591,'All Solo Adjustments'!A:J,10,FALSE))</f>
        <v>3.2060185185185186E-3</v>
      </c>
      <c r="N1591" s="63"/>
      <c r="O1591" s="63"/>
      <c r="P1591" s="63"/>
      <c r="Q1591" s="63"/>
      <c r="R1591" t="s">
        <v>184</v>
      </c>
      <c r="S1591" t="s">
        <v>183</v>
      </c>
      <c r="T1591" t="s">
        <v>292</v>
      </c>
      <c r="U1591" t="s">
        <v>5176</v>
      </c>
      <c r="V1591" t="s">
        <v>2282</v>
      </c>
      <c r="W1591" t="s">
        <v>1573</v>
      </c>
      <c r="Y1591" t="s">
        <v>5175</v>
      </c>
      <c r="Z1591" t="str">
        <f>"01525 719261"</f>
        <v>01525 719261</v>
      </c>
      <c r="AA1591" t="str">
        <f>""</f>
        <v/>
      </c>
      <c r="AB1591" t="s">
        <v>1057</v>
      </c>
      <c r="AC1591" t="s">
        <v>5174</v>
      </c>
      <c r="AD1591" t="s">
        <v>114</v>
      </c>
      <c r="AE1591" s="63">
        <v>45271</v>
      </c>
      <c r="AF1591" t="s">
        <v>156</v>
      </c>
      <c r="AG1591" t="s">
        <v>112</v>
      </c>
      <c r="AH1591" t="s">
        <v>112</v>
      </c>
      <c r="AI1591" s="63">
        <v>43615</v>
      </c>
      <c r="AJ1591" s="63">
        <v>45657</v>
      </c>
      <c r="AK1591" t="s">
        <v>112</v>
      </c>
      <c r="AL1591" t="s">
        <v>111</v>
      </c>
      <c r="AM1591" t="s">
        <v>111</v>
      </c>
      <c r="AN1591">
        <v>26431</v>
      </c>
      <c r="AO1591" t="s">
        <v>110</v>
      </c>
      <c r="AP1591" t="s">
        <v>109</v>
      </c>
    </row>
    <row r="1592" spans="1:42" x14ac:dyDescent="0.25">
      <c r="A1592" s="28" t="str">
        <f>"16006"</f>
        <v>16006</v>
      </c>
      <c r="B1592">
        <v>16006</v>
      </c>
      <c r="C1592" t="s">
        <v>2488</v>
      </c>
      <c r="D1592" t="s">
        <v>121</v>
      </c>
      <c r="F1592" t="s">
        <v>120</v>
      </c>
      <c r="G1592" t="s">
        <v>181</v>
      </c>
      <c r="I1592" t="s">
        <v>1443</v>
      </c>
      <c r="J1592" t="s">
        <v>7</v>
      </c>
      <c r="K1592" s="63">
        <v>29377</v>
      </c>
      <c r="L1592" s="28">
        <f>DATEDIF(K1592,Zwift25!G$1,"Y")</f>
        <v>44</v>
      </c>
      <c r="M1592" s="67">
        <f>IF(J1592="m",VLOOKUP(L1592,'All Solo Adjustments'!A:D,4,FALSE),VLOOKUP(L1592,'All Solo Adjustments'!A:J,10,FALSE))</f>
        <v>3.3564814814814818E-4</v>
      </c>
      <c r="N1592" s="63"/>
      <c r="O1592" s="63"/>
      <c r="P1592" s="63"/>
      <c r="Q1592" s="63"/>
      <c r="R1592" t="s">
        <v>159</v>
      </c>
      <c r="S1592" t="s">
        <v>162</v>
      </c>
      <c r="T1592" t="s">
        <v>292</v>
      </c>
      <c r="U1592" t="s">
        <v>5173</v>
      </c>
      <c r="W1592" t="s">
        <v>1476</v>
      </c>
      <c r="X1592" t="s">
        <v>159</v>
      </c>
      <c r="Y1592" t="s">
        <v>5172</v>
      </c>
      <c r="Z1592" t="str">
        <f>"07775858652"</f>
        <v>07775858652</v>
      </c>
      <c r="AA1592" t="str">
        <f>""</f>
        <v/>
      </c>
      <c r="AB1592" t="s">
        <v>5171</v>
      </c>
      <c r="AC1592" t="s">
        <v>5170</v>
      </c>
      <c r="AD1592" t="s">
        <v>114</v>
      </c>
      <c r="AE1592" s="63">
        <v>45313</v>
      </c>
      <c r="AF1592" t="s">
        <v>156</v>
      </c>
      <c r="AG1592" t="s">
        <v>112</v>
      </c>
      <c r="AH1592" t="s">
        <v>112</v>
      </c>
      <c r="AI1592" s="63">
        <v>45313</v>
      </c>
      <c r="AJ1592" s="63">
        <v>45657</v>
      </c>
      <c r="AK1592" t="s">
        <v>112</v>
      </c>
      <c r="AL1592" t="s">
        <v>112</v>
      </c>
      <c r="AM1592" t="s">
        <v>111</v>
      </c>
      <c r="AN1592">
        <v>32969</v>
      </c>
      <c r="AO1592" t="s">
        <v>110</v>
      </c>
      <c r="AP1592" t="s">
        <v>109</v>
      </c>
    </row>
    <row r="1593" spans="1:42" x14ac:dyDescent="0.25">
      <c r="A1593" s="28" t="str">
        <f>"4909"</f>
        <v>4909</v>
      </c>
      <c r="B1593">
        <v>4909</v>
      </c>
      <c r="C1593" t="s">
        <v>2488</v>
      </c>
      <c r="D1593" t="s">
        <v>121</v>
      </c>
      <c r="F1593" t="s">
        <v>120</v>
      </c>
      <c r="G1593" t="s">
        <v>820</v>
      </c>
      <c r="H1593" t="s">
        <v>837</v>
      </c>
      <c r="I1593" t="s">
        <v>438</v>
      </c>
      <c r="J1593" t="s">
        <v>7</v>
      </c>
      <c r="K1593" s="63">
        <v>23539</v>
      </c>
      <c r="L1593" s="28">
        <f>DATEDIF(K1593,Zwift25!G$1,"Y")</f>
        <v>60</v>
      </c>
      <c r="M1593" s="67">
        <f>IF(J1593="m",VLOOKUP(L1593,'All Solo Adjustments'!A:D,4,FALSE),VLOOKUP(L1593,'All Solo Adjustments'!A:J,10,FALSE))</f>
        <v>3.2060185185185186E-3</v>
      </c>
      <c r="N1593" s="63"/>
      <c r="O1593" s="63"/>
      <c r="P1593" s="63"/>
      <c r="Q1593" s="63"/>
      <c r="R1593" t="s">
        <v>143</v>
      </c>
      <c r="S1593" t="s">
        <v>142</v>
      </c>
      <c r="T1593" t="s">
        <v>292</v>
      </c>
      <c r="U1593" t="s">
        <v>5169</v>
      </c>
      <c r="V1593" t="s">
        <v>5168</v>
      </c>
      <c r="W1593" t="s">
        <v>229</v>
      </c>
      <c r="X1593" t="s">
        <v>172</v>
      </c>
      <c r="Y1593" t="s">
        <v>5167</v>
      </c>
      <c r="Z1593" t="str">
        <f>"01444 892964"</f>
        <v>01444 892964</v>
      </c>
      <c r="AA1593" t="str">
        <f>"07775 505966"</f>
        <v>07775 505966</v>
      </c>
      <c r="AB1593" t="s">
        <v>1655</v>
      </c>
      <c r="AC1593" t="s">
        <v>5166</v>
      </c>
      <c r="AD1593" t="s">
        <v>114</v>
      </c>
      <c r="AE1593" s="63">
        <v>45295</v>
      </c>
      <c r="AF1593" t="s">
        <v>113</v>
      </c>
      <c r="AG1593" t="s">
        <v>112</v>
      </c>
      <c r="AH1593" t="s">
        <v>112</v>
      </c>
      <c r="AI1593" s="63">
        <v>41681</v>
      </c>
      <c r="AJ1593" s="63">
        <v>45657</v>
      </c>
      <c r="AK1593" t="s">
        <v>111</v>
      </c>
      <c r="AL1593" t="s">
        <v>111</v>
      </c>
      <c r="AM1593" t="s">
        <v>111</v>
      </c>
      <c r="AN1593">
        <v>3639</v>
      </c>
      <c r="AO1593" t="s">
        <v>110</v>
      </c>
      <c r="AP1593" t="s">
        <v>109</v>
      </c>
    </row>
    <row r="1594" spans="1:42" x14ac:dyDescent="0.25">
      <c r="A1594" s="28" t="str">
        <f>"5678"</f>
        <v>5678</v>
      </c>
      <c r="B1594">
        <v>5678</v>
      </c>
      <c r="C1594" t="s">
        <v>2488</v>
      </c>
      <c r="D1594" t="s">
        <v>121</v>
      </c>
      <c r="E1594" t="s">
        <v>584</v>
      </c>
      <c r="F1594" t="s">
        <v>120</v>
      </c>
      <c r="G1594" t="s">
        <v>761</v>
      </c>
      <c r="I1594" t="s">
        <v>438</v>
      </c>
      <c r="J1594" t="s">
        <v>7</v>
      </c>
      <c r="K1594" s="63">
        <v>23975</v>
      </c>
      <c r="L1594" s="28">
        <f>DATEDIF(K1594,Zwift25!G$1,"Y")</f>
        <v>59</v>
      </c>
      <c r="M1594" s="67">
        <f>IF(J1594="m",VLOOKUP(L1594,'All Solo Adjustments'!A:D,4,FALSE),VLOOKUP(L1594,'All Solo Adjustments'!A:J,10,FALSE))</f>
        <v>2.9629629629629632E-3</v>
      </c>
      <c r="N1594" s="63"/>
      <c r="O1594" s="63"/>
      <c r="P1594" s="63"/>
      <c r="Q1594" s="63"/>
      <c r="R1594" t="s">
        <v>137</v>
      </c>
      <c r="S1594" t="s">
        <v>136</v>
      </c>
      <c r="T1594" t="s">
        <v>292</v>
      </c>
      <c r="U1594" t="s">
        <v>5165</v>
      </c>
      <c r="V1594" t="s">
        <v>1989</v>
      </c>
      <c r="W1594" t="s">
        <v>1079</v>
      </c>
      <c r="X1594" t="s">
        <v>1108</v>
      </c>
      <c r="Y1594" t="s">
        <v>5164</v>
      </c>
      <c r="Z1594" t="str">
        <f>"07309772852"</f>
        <v>07309772852</v>
      </c>
      <c r="AA1594" t="str">
        <f>"01202 771987"</f>
        <v>01202 771987</v>
      </c>
      <c r="AB1594" t="s">
        <v>1797</v>
      </c>
      <c r="AC1594" t="s">
        <v>5163</v>
      </c>
      <c r="AD1594" t="s">
        <v>114</v>
      </c>
      <c r="AE1594" s="63">
        <v>45340</v>
      </c>
      <c r="AF1594" t="s">
        <v>156</v>
      </c>
      <c r="AG1594" t="s">
        <v>112</v>
      </c>
      <c r="AH1594" t="s">
        <v>112</v>
      </c>
      <c r="AI1594" s="63">
        <v>42387</v>
      </c>
      <c r="AJ1594" s="63">
        <v>45657</v>
      </c>
      <c r="AK1594" t="s">
        <v>111</v>
      </c>
      <c r="AL1594" t="s">
        <v>111</v>
      </c>
      <c r="AM1594" t="s">
        <v>111</v>
      </c>
      <c r="AN1594">
        <v>7364</v>
      </c>
      <c r="AO1594" t="s">
        <v>110</v>
      </c>
      <c r="AP1594" t="s">
        <v>109</v>
      </c>
    </row>
    <row r="1595" spans="1:42" x14ac:dyDescent="0.25">
      <c r="A1595" s="28" t="str">
        <f>"4518"</f>
        <v>4518</v>
      </c>
      <c r="B1595">
        <v>4518</v>
      </c>
      <c r="C1595" t="s">
        <v>2488</v>
      </c>
      <c r="D1595" t="s">
        <v>121</v>
      </c>
      <c r="E1595" t="s">
        <v>584</v>
      </c>
      <c r="F1595" t="s">
        <v>120</v>
      </c>
      <c r="G1595" t="s">
        <v>241</v>
      </c>
      <c r="H1595" t="s">
        <v>230</v>
      </c>
      <c r="I1595" t="s">
        <v>438</v>
      </c>
      <c r="J1595" t="s">
        <v>7</v>
      </c>
      <c r="K1595" s="63">
        <v>26418</v>
      </c>
      <c r="L1595" s="28">
        <f>DATEDIF(K1595,Zwift25!G$1,"Y")</f>
        <v>52</v>
      </c>
      <c r="M1595" s="67">
        <f>IF(J1595="m",VLOOKUP(L1595,'All Solo Adjustments'!A:D,4,FALSE),VLOOKUP(L1595,'All Solo Adjustments'!A:J,10,FALSE))</f>
        <v>1.4814814814814816E-3</v>
      </c>
      <c r="N1595" s="63"/>
      <c r="O1595" s="63"/>
      <c r="P1595" s="63"/>
      <c r="Q1595" s="63"/>
      <c r="R1595" t="s">
        <v>184</v>
      </c>
      <c r="S1595" t="s">
        <v>183</v>
      </c>
      <c r="T1595" t="s">
        <v>292</v>
      </c>
      <c r="U1595" t="s">
        <v>5142</v>
      </c>
      <c r="V1595" t="s">
        <v>5141</v>
      </c>
      <c r="W1595" t="s">
        <v>3111</v>
      </c>
      <c r="Y1595" t="s">
        <v>5139</v>
      </c>
      <c r="Z1595" t="str">
        <f>"01296 661375"</f>
        <v>01296 661375</v>
      </c>
      <c r="AA1595" t="str">
        <f>"07971562142"</f>
        <v>07971562142</v>
      </c>
      <c r="AB1595" t="s">
        <v>1057</v>
      </c>
      <c r="AC1595" t="s">
        <v>5162</v>
      </c>
      <c r="AD1595" t="s">
        <v>114</v>
      </c>
      <c r="AE1595" s="63">
        <v>45272</v>
      </c>
      <c r="AF1595" t="s">
        <v>113</v>
      </c>
      <c r="AG1595" t="s">
        <v>112</v>
      </c>
      <c r="AH1595" t="s">
        <v>112</v>
      </c>
      <c r="AI1595" s="63">
        <v>41013</v>
      </c>
      <c r="AJ1595" s="63">
        <v>45657</v>
      </c>
      <c r="AK1595" t="s">
        <v>111</v>
      </c>
      <c r="AL1595" t="s">
        <v>111</v>
      </c>
      <c r="AM1595" t="s">
        <v>111</v>
      </c>
      <c r="AN1595">
        <v>7012</v>
      </c>
      <c r="AO1595" t="s">
        <v>110</v>
      </c>
      <c r="AP1595" t="s">
        <v>109</v>
      </c>
    </row>
    <row r="1596" spans="1:42" x14ac:dyDescent="0.25">
      <c r="A1596" s="28" t="str">
        <f>"1993"</f>
        <v>1993</v>
      </c>
      <c r="B1596">
        <v>1993</v>
      </c>
      <c r="C1596" t="s">
        <v>2488</v>
      </c>
      <c r="D1596" t="s">
        <v>121</v>
      </c>
      <c r="E1596" t="s">
        <v>584</v>
      </c>
      <c r="F1596" t="s">
        <v>120</v>
      </c>
      <c r="G1596" t="s">
        <v>413</v>
      </c>
      <c r="I1596" t="s">
        <v>438</v>
      </c>
      <c r="J1596" t="s">
        <v>7</v>
      </c>
      <c r="K1596" s="63">
        <v>20965</v>
      </c>
      <c r="L1596" s="28">
        <f>DATEDIF(K1596,Zwift25!G$1,"Y")</f>
        <v>67</v>
      </c>
      <c r="M1596" s="67">
        <f>IF(J1596="m",VLOOKUP(L1596,'All Solo Adjustments'!A:D,4,FALSE),VLOOKUP(L1596,'All Solo Adjustments'!A:J,10,FALSE))</f>
        <v>5.2662037037037035E-3</v>
      </c>
      <c r="N1596" s="63"/>
      <c r="O1596" s="63"/>
      <c r="P1596" s="63"/>
      <c r="Q1596" s="63"/>
      <c r="R1596" t="s">
        <v>527</v>
      </c>
      <c r="S1596" t="s">
        <v>526</v>
      </c>
      <c r="T1596" t="s">
        <v>292</v>
      </c>
      <c r="U1596" t="s">
        <v>5161</v>
      </c>
      <c r="V1596" t="s">
        <v>2381</v>
      </c>
      <c r="W1596" t="s">
        <v>1135</v>
      </c>
      <c r="Y1596" t="s">
        <v>5160</v>
      </c>
      <c r="Z1596" t="str">
        <f>"07803471212"</f>
        <v>07803471212</v>
      </c>
      <c r="AA1596" t="str">
        <f>"07557803435"</f>
        <v>07557803435</v>
      </c>
      <c r="AB1596" t="s">
        <v>4717</v>
      </c>
      <c r="AC1596" t="s">
        <v>5159</v>
      </c>
      <c r="AD1596" t="s">
        <v>114</v>
      </c>
      <c r="AE1596" s="63">
        <v>45294</v>
      </c>
      <c r="AF1596" t="s">
        <v>156</v>
      </c>
      <c r="AG1596" t="s">
        <v>112</v>
      </c>
      <c r="AH1596" t="s">
        <v>112</v>
      </c>
      <c r="AI1596" s="63">
        <v>39879</v>
      </c>
      <c r="AJ1596" s="63">
        <v>45657</v>
      </c>
      <c r="AK1596" t="s">
        <v>111</v>
      </c>
      <c r="AL1596" t="s">
        <v>111</v>
      </c>
      <c r="AM1596" t="s">
        <v>111</v>
      </c>
      <c r="AN1596">
        <v>942</v>
      </c>
      <c r="AO1596" t="s">
        <v>110</v>
      </c>
      <c r="AP1596" t="s">
        <v>109</v>
      </c>
    </row>
    <row r="1597" spans="1:42" x14ac:dyDescent="0.25">
      <c r="A1597" s="28" t="str">
        <f>"15472"</f>
        <v>15472</v>
      </c>
      <c r="B1597">
        <v>15472</v>
      </c>
      <c r="C1597" t="s">
        <v>2488</v>
      </c>
      <c r="D1597" t="s">
        <v>121</v>
      </c>
      <c r="F1597" t="s">
        <v>149</v>
      </c>
      <c r="G1597" t="s">
        <v>5158</v>
      </c>
      <c r="H1597" t="s">
        <v>5157</v>
      </c>
      <c r="I1597" t="s">
        <v>5156</v>
      </c>
      <c r="J1597" t="s">
        <v>126</v>
      </c>
      <c r="K1597" s="63">
        <v>26629</v>
      </c>
      <c r="L1597" s="28">
        <f>DATEDIF(K1597,Zwift25!G$1,"Y")</f>
        <v>51</v>
      </c>
      <c r="M1597" s="67">
        <f>IF(J1597="m",VLOOKUP(L1597,'All Solo Adjustments'!A:D,4,FALSE),VLOOKUP(L1597,'All Solo Adjustments'!A:J,10,FALSE))</f>
        <v>5.0810185185185186E-3</v>
      </c>
      <c r="N1597" s="63"/>
      <c r="O1597" s="63"/>
      <c r="P1597" s="63"/>
      <c r="Q1597" s="63"/>
      <c r="R1597" t="s">
        <v>154</v>
      </c>
      <c r="S1597" t="s">
        <v>153</v>
      </c>
      <c r="T1597" t="s">
        <v>292</v>
      </c>
      <c r="U1597" t="s">
        <v>5155</v>
      </c>
      <c r="V1597" t="s">
        <v>5154</v>
      </c>
      <c r="W1597" t="s">
        <v>5153</v>
      </c>
      <c r="X1597" t="s">
        <v>5152</v>
      </c>
      <c r="Y1597" t="s">
        <v>5151</v>
      </c>
      <c r="Z1597" t="str">
        <f>"07746819976"</f>
        <v>07746819976</v>
      </c>
      <c r="AA1597" t="str">
        <f>""</f>
        <v/>
      </c>
      <c r="AB1597" t="s">
        <v>5150</v>
      </c>
      <c r="AC1597" t="s">
        <v>5149</v>
      </c>
      <c r="AD1597" t="s">
        <v>114</v>
      </c>
      <c r="AE1597" s="63">
        <v>45355</v>
      </c>
      <c r="AF1597" t="s">
        <v>156</v>
      </c>
      <c r="AG1597" t="s">
        <v>112</v>
      </c>
      <c r="AH1597" t="s">
        <v>112</v>
      </c>
      <c r="AI1597" s="63">
        <v>44681</v>
      </c>
      <c r="AJ1597" s="63">
        <v>45657</v>
      </c>
      <c r="AK1597" t="s">
        <v>112</v>
      </c>
      <c r="AL1597" t="s">
        <v>111</v>
      </c>
      <c r="AM1597" t="s">
        <v>111</v>
      </c>
      <c r="AN1597">
        <v>31486</v>
      </c>
      <c r="AO1597" t="s">
        <v>122</v>
      </c>
      <c r="AP1597" t="s">
        <v>122</v>
      </c>
    </row>
    <row r="1598" spans="1:42" x14ac:dyDescent="0.25">
      <c r="A1598" s="28" t="str">
        <f>"15602"</f>
        <v>15602</v>
      </c>
      <c r="B1598">
        <v>15602</v>
      </c>
      <c r="C1598" t="s">
        <v>2488</v>
      </c>
      <c r="D1598" t="s">
        <v>121</v>
      </c>
      <c r="E1598" t="s">
        <v>584</v>
      </c>
      <c r="F1598" t="s">
        <v>120</v>
      </c>
      <c r="G1598" t="s">
        <v>790</v>
      </c>
      <c r="I1598" t="s">
        <v>438</v>
      </c>
      <c r="J1598" t="s">
        <v>7</v>
      </c>
      <c r="K1598" s="63">
        <v>21636</v>
      </c>
      <c r="L1598" s="28">
        <f>DATEDIF(K1598,Zwift25!G$1,"Y")</f>
        <v>65</v>
      </c>
      <c r="M1598" s="67">
        <f>IF(J1598="m",VLOOKUP(L1598,'All Solo Adjustments'!A:D,4,FALSE),VLOOKUP(L1598,'All Solo Adjustments'!A:J,10,FALSE))</f>
        <v>4.6180555555555558E-3</v>
      </c>
      <c r="N1598" s="63"/>
      <c r="O1598" s="63"/>
      <c r="P1598" s="63"/>
      <c r="Q1598" s="63"/>
      <c r="R1598" t="s">
        <v>159</v>
      </c>
      <c r="S1598" t="s">
        <v>162</v>
      </c>
      <c r="T1598" t="s">
        <v>292</v>
      </c>
      <c r="U1598" t="s">
        <v>5148</v>
      </c>
      <c r="V1598" t="s">
        <v>5147</v>
      </c>
      <c r="W1598" t="s">
        <v>5146</v>
      </c>
      <c r="X1598" t="s">
        <v>1239</v>
      </c>
      <c r="Y1598" t="s">
        <v>5145</v>
      </c>
      <c r="Z1598" t="str">
        <f>"01233850020"</f>
        <v>01233850020</v>
      </c>
      <c r="AA1598" t="str">
        <f>""</f>
        <v/>
      </c>
      <c r="AB1598" t="s">
        <v>256</v>
      </c>
      <c r="AC1598" t="s">
        <v>5144</v>
      </c>
      <c r="AD1598" t="s">
        <v>114</v>
      </c>
      <c r="AE1598" s="63">
        <v>45261</v>
      </c>
      <c r="AF1598" t="s">
        <v>113</v>
      </c>
      <c r="AG1598" t="s">
        <v>112</v>
      </c>
      <c r="AH1598" t="s">
        <v>112</v>
      </c>
      <c r="AI1598" s="63">
        <v>44836</v>
      </c>
      <c r="AJ1598" s="63">
        <v>45657</v>
      </c>
      <c r="AK1598" t="s">
        <v>112</v>
      </c>
      <c r="AL1598" t="s">
        <v>111</v>
      </c>
      <c r="AM1598" t="s">
        <v>111</v>
      </c>
      <c r="AN1598">
        <v>45497</v>
      </c>
      <c r="AO1598" t="s">
        <v>110</v>
      </c>
      <c r="AP1598" t="s">
        <v>109</v>
      </c>
    </row>
    <row r="1599" spans="1:42" x14ac:dyDescent="0.25">
      <c r="A1599" s="28" t="str">
        <f>"14603"</f>
        <v>14603</v>
      </c>
      <c r="B1599">
        <v>14603</v>
      </c>
      <c r="C1599" t="s">
        <v>2488</v>
      </c>
      <c r="D1599" t="s">
        <v>121</v>
      </c>
      <c r="F1599" t="s">
        <v>120</v>
      </c>
      <c r="G1599" t="s">
        <v>241</v>
      </c>
      <c r="I1599" t="s">
        <v>5143</v>
      </c>
      <c r="J1599" t="s">
        <v>7</v>
      </c>
      <c r="K1599" s="63">
        <v>26418</v>
      </c>
      <c r="L1599" s="28">
        <f>DATEDIF(K1599,Zwift25!G$1,"Y")</f>
        <v>52</v>
      </c>
      <c r="M1599" s="67">
        <f>IF(J1599="m",VLOOKUP(L1599,'All Solo Adjustments'!A:D,4,FALSE),VLOOKUP(L1599,'All Solo Adjustments'!A:J,10,FALSE))</f>
        <v>1.4814814814814816E-3</v>
      </c>
      <c r="N1599" s="63"/>
      <c r="O1599" s="63"/>
      <c r="P1599" s="63"/>
      <c r="Q1599" s="63"/>
      <c r="R1599" t="s">
        <v>184</v>
      </c>
      <c r="S1599" t="s">
        <v>1876</v>
      </c>
      <c r="T1599" t="s">
        <v>292</v>
      </c>
      <c r="U1599" t="s">
        <v>5142</v>
      </c>
      <c r="V1599" t="s">
        <v>5141</v>
      </c>
      <c r="W1599" t="s">
        <v>5140</v>
      </c>
      <c r="Y1599" t="s">
        <v>5139</v>
      </c>
      <c r="Z1599" t="str">
        <f>"01296 661375"</f>
        <v>01296 661375</v>
      </c>
      <c r="AA1599" t="str">
        <f>"07971562142"</f>
        <v>07971562142</v>
      </c>
      <c r="AB1599" t="s">
        <v>1057</v>
      </c>
      <c r="AC1599" t="s">
        <v>5138</v>
      </c>
      <c r="AD1599" t="s">
        <v>114</v>
      </c>
      <c r="AE1599" s="63">
        <v>45272</v>
      </c>
      <c r="AF1599" t="s">
        <v>113</v>
      </c>
      <c r="AG1599" t="s">
        <v>111</v>
      </c>
      <c r="AH1599" t="s">
        <v>111</v>
      </c>
      <c r="AI1599" s="63">
        <v>44029</v>
      </c>
      <c r="AJ1599" s="63">
        <v>45657</v>
      </c>
      <c r="AK1599" t="s">
        <v>112</v>
      </c>
      <c r="AL1599" t="s">
        <v>111</v>
      </c>
      <c r="AM1599" t="s">
        <v>111</v>
      </c>
      <c r="AN1599">
        <v>19499</v>
      </c>
      <c r="AO1599" t="s">
        <v>110</v>
      </c>
      <c r="AP1599" t="s">
        <v>109</v>
      </c>
    </row>
    <row r="1600" spans="1:42" x14ac:dyDescent="0.25">
      <c r="A1600" s="28" t="str">
        <f>"1998"</f>
        <v>1998</v>
      </c>
      <c r="B1600">
        <v>1998</v>
      </c>
      <c r="C1600" t="s">
        <v>2488</v>
      </c>
      <c r="D1600" t="s">
        <v>121</v>
      </c>
      <c r="F1600" t="s">
        <v>120</v>
      </c>
      <c r="G1600" t="s">
        <v>513</v>
      </c>
      <c r="I1600" t="s">
        <v>5137</v>
      </c>
      <c r="J1600" t="s">
        <v>7</v>
      </c>
      <c r="K1600" s="63">
        <v>11953</v>
      </c>
      <c r="L1600" s="28">
        <f>DATEDIF(K1600,Zwift25!G$1,"Y")</f>
        <v>92</v>
      </c>
      <c r="M1600" s="67">
        <f>IF(J1600="m",VLOOKUP(L1600,'All Solo Adjustments'!A:D,4,FALSE),VLOOKUP(L1600,'All Solo Adjustments'!A:J,10,FALSE))</f>
        <v>2.0405092592592593E-2</v>
      </c>
      <c r="N1600" s="63"/>
      <c r="O1600" s="63"/>
      <c r="P1600" s="63"/>
      <c r="Q1600" s="63"/>
      <c r="R1600" t="s">
        <v>239</v>
      </c>
      <c r="S1600" t="s">
        <v>437</v>
      </c>
      <c r="T1600" t="s">
        <v>292</v>
      </c>
      <c r="U1600" t="s">
        <v>5136</v>
      </c>
      <c r="V1600" t="s">
        <v>1835</v>
      </c>
      <c r="W1600" t="s">
        <v>322</v>
      </c>
      <c r="X1600" t="s">
        <v>321</v>
      </c>
      <c r="Y1600" t="s">
        <v>320</v>
      </c>
      <c r="Z1600" t="str">
        <f>"+449999999999"</f>
        <v>+449999999999</v>
      </c>
      <c r="AA1600" t="str">
        <f>"+449999999999"</f>
        <v>+449999999999</v>
      </c>
      <c r="AB1600" t="s">
        <v>868</v>
      </c>
      <c r="AD1600" t="s">
        <v>151</v>
      </c>
      <c r="AF1600" t="s">
        <v>113</v>
      </c>
      <c r="AG1600" t="s">
        <v>112</v>
      </c>
      <c r="AH1600" t="s">
        <v>112</v>
      </c>
      <c r="AI1600" s="63">
        <v>30443</v>
      </c>
      <c r="AK1600" t="s">
        <v>111</v>
      </c>
      <c r="AL1600" t="s">
        <v>111</v>
      </c>
      <c r="AM1600" t="s">
        <v>111</v>
      </c>
      <c r="AN1600" t="s">
        <v>105</v>
      </c>
      <c r="AO1600" t="s">
        <v>110</v>
      </c>
      <c r="AP1600" t="s">
        <v>109</v>
      </c>
    </row>
    <row r="1601" spans="1:42" x14ac:dyDescent="0.25">
      <c r="A1601" s="28" t="str">
        <f>"14429"</f>
        <v>14429</v>
      </c>
      <c r="B1601">
        <v>14429</v>
      </c>
      <c r="C1601" t="s">
        <v>2488</v>
      </c>
      <c r="D1601" t="s">
        <v>121</v>
      </c>
      <c r="F1601" t="s">
        <v>120</v>
      </c>
      <c r="G1601" t="s">
        <v>366</v>
      </c>
      <c r="I1601" t="s">
        <v>5135</v>
      </c>
      <c r="J1601" t="s">
        <v>7</v>
      </c>
      <c r="K1601" s="63">
        <v>21007</v>
      </c>
      <c r="L1601" s="28">
        <f>DATEDIF(K1601,Zwift25!G$1,"Y")</f>
        <v>67</v>
      </c>
      <c r="M1601" s="67">
        <f>IF(J1601="m",VLOOKUP(L1601,'All Solo Adjustments'!A:D,4,FALSE),VLOOKUP(L1601,'All Solo Adjustments'!A:J,10,FALSE))</f>
        <v>5.2662037037037035E-3</v>
      </c>
      <c r="N1601" s="63"/>
      <c r="O1601" s="63"/>
      <c r="P1601" s="63"/>
      <c r="Q1601" s="63"/>
      <c r="R1601" t="s">
        <v>159</v>
      </c>
      <c r="S1601" t="s">
        <v>162</v>
      </c>
      <c r="T1601" t="s">
        <v>292</v>
      </c>
      <c r="U1601" t="s">
        <v>5134</v>
      </c>
      <c r="V1601" t="s">
        <v>5133</v>
      </c>
      <c r="W1601" t="s">
        <v>1231</v>
      </c>
      <c r="X1601" t="s">
        <v>159</v>
      </c>
      <c r="Y1601" t="s">
        <v>5132</v>
      </c>
      <c r="Z1601" t="str">
        <f>"01732491726"</f>
        <v>01732491726</v>
      </c>
      <c r="AA1601" t="str">
        <f>"07794218331"</f>
        <v>07794218331</v>
      </c>
      <c r="AB1601" t="s">
        <v>2189</v>
      </c>
      <c r="AC1601" t="s">
        <v>5131</v>
      </c>
      <c r="AD1601" t="s">
        <v>114</v>
      </c>
      <c r="AE1601" s="63">
        <v>45363</v>
      </c>
      <c r="AF1601" t="s">
        <v>156</v>
      </c>
      <c r="AG1601" t="s">
        <v>112</v>
      </c>
      <c r="AH1601" t="s">
        <v>112</v>
      </c>
      <c r="AI1601" s="63">
        <v>43848</v>
      </c>
      <c r="AJ1601" s="63">
        <v>45657</v>
      </c>
      <c r="AK1601" t="s">
        <v>112</v>
      </c>
      <c r="AL1601" t="s">
        <v>111</v>
      </c>
      <c r="AM1601" t="s">
        <v>111</v>
      </c>
      <c r="AN1601">
        <v>2936</v>
      </c>
      <c r="AO1601" t="s">
        <v>110</v>
      </c>
      <c r="AP1601" t="s">
        <v>109</v>
      </c>
    </row>
    <row r="1602" spans="1:42" x14ac:dyDescent="0.25">
      <c r="A1602" s="28" t="str">
        <f>"2000"</f>
        <v>2000</v>
      </c>
      <c r="B1602">
        <v>2000</v>
      </c>
      <c r="C1602" t="s">
        <v>2488</v>
      </c>
      <c r="D1602" t="s">
        <v>121</v>
      </c>
      <c r="F1602" t="s">
        <v>120</v>
      </c>
      <c r="G1602" t="s">
        <v>790</v>
      </c>
      <c r="I1602" t="s">
        <v>5130</v>
      </c>
      <c r="J1602" t="s">
        <v>7</v>
      </c>
      <c r="K1602" s="63">
        <v>11921</v>
      </c>
      <c r="L1602" s="28">
        <f>DATEDIF(K1602,Zwift25!G$1,"Y")</f>
        <v>92</v>
      </c>
      <c r="M1602" s="67">
        <f>IF(J1602="m",VLOOKUP(L1602,'All Solo Adjustments'!A:D,4,FALSE),VLOOKUP(L1602,'All Solo Adjustments'!A:J,10,FALSE))</f>
        <v>2.0405092592592593E-2</v>
      </c>
      <c r="N1602" s="63"/>
      <c r="O1602" s="63"/>
      <c r="P1602" s="63"/>
      <c r="Q1602" s="63"/>
      <c r="R1602" t="s">
        <v>137</v>
      </c>
      <c r="S1602" t="s">
        <v>136</v>
      </c>
      <c r="T1602" t="s">
        <v>292</v>
      </c>
      <c r="U1602" t="s">
        <v>5129</v>
      </c>
      <c r="V1602" t="s">
        <v>5128</v>
      </c>
      <c r="W1602" t="s">
        <v>208</v>
      </c>
      <c r="Y1602" t="s">
        <v>5127</v>
      </c>
      <c r="Z1602" t="str">
        <f>"0118 9814250"</f>
        <v>0118 9814250</v>
      </c>
      <c r="AA1602" t="str">
        <f>""</f>
        <v/>
      </c>
      <c r="AB1602" t="s">
        <v>1873</v>
      </c>
      <c r="AC1602" t="s">
        <v>5126</v>
      </c>
      <c r="AD1602" t="s">
        <v>145</v>
      </c>
      <c r="AE1602" s="63">
        <v>45266</v>
      </c>
      <c r="AF1602" t="s">
        <v>113</v>
      </c>
      <c r="AG1602" t="s">
        <v>112</v>
      </c>
      <c r="AH1602" t="s">
        <v>112</v>
      </c>
      <c r="AI1602" s="63">
        <v>43532</v>
      </c>
      <c r="AJ1602" s="63">
        <v>45657</v>
      </c>
      <c r="AK1602" t="s">
        <v>111</v>
      </c>
      <c r="AL1602" t="s">
        <v>111</v>
      </c>
      <c r="AM1602" t="s">
        <v>111</v>
      </c>
      <c r="AN1602" t="s">
        <v>105</v>
      </c>
      <c r="AO1602" t="s">
        <v>110</v>
      </c>
      <c r="AP1602" t="s">
        <v>109</v>
      </c>
    </row>
    <row r="1603" spans="1:42" x14ac:dyDescent="0.25">
      <c r="A1603" s="28" t="str">
        <f>"15969"</f>
        <v>15969</v>
      </c>
      <c r="B1603">
        <v>15969</v>
      </c>
      <c r="C1603" t="s">
        <v>2488</v>
      </c>
      <c r="D1603" t="s">
        <v>121</v>
      </c>
      <c r="F1603" t="s">
        <v>120</v>
      </c>
      <c r="G1603" t="s">
        <v>219</v>
      </c>
      <c r="I1603" t="s">
        <v>5125</v>
      </c>
      <c r="J1603" t="s">
        <v>7</v>
      </c>
      <c r="K1603" s="63">
        <v>24853</v>
      </c>
      <c r="L1603" s="28">
        <f>DATEDIF(K1603,Zwift25!G$1,"Y")</f>
        <v>56</v>
      </c>
      <c r="M1603" s="67">
        <f>IF(J1603="m",VLOOKUP(L1603,'All Solo Adjustments'!A:D,4,FALSE),VLOOKUP(L1603,'All Solo Adjustments'!A:J,10,FALSE))</f>
        <v>2.2685185185185182E-3</v>
      </c>
      <c r="N1603" s="63"/>
      <c r="O1603" s="63"/>
      <c r="P1603" s="63"/>
      <c r="Q1603" s="63"/>
      <c r="R1603" t="s">
        <v>527</v>
      </c>
      <c r="S1603" t="s">
        <v>526</v>
      </c>
      <c r="T1603" t="s">
        <v>292</v>
      </c>
      <c r="U1603" t="s">
        <v>5124</v>
      </c>
      <c r="W1603" t="s">
        <v>1235</v>
      </c>
      <c r="X1603" t="s">
        <v>337</v>
      </c>
      <c r="Y1603" t="s">
        <v>5123</v>
      </c>
      <c r="Z1603" t="str">
        <f>"07453312057"</f>
        <v>07453312057</v>
      </c>
      <c r="AA1603" t="str">
        <f>""</f>
        <v/>
      </c>
      <c r="AB1603" t="s">
        <v>2240</v>
      </c>
      <c r="AC1603" t="s">
        <v>5122</v>
      </c>
      <c r="AD1603" t="s">
        <v>114</v>
      </c>
      <c r="AE1603" s="63">
        <v>45293</v>
      </c>
      <c r="AF1603" t="s">
        <v>156</v>
      </c>
      <c r="AG1603" t="s">
        <v>112</v>
      </c>
      <c r="AH1603" t="s">
        <v>112</v>
      </c>
      <c r="AI1603" s="63">
        <v>45293</v>
      </c>
      <c r="AJ1603" s="63">
        <v>45657</v>
      </c>
      <c r="AK1603" t="s">
        <v>112</v>
      </c>
      <c r="AL1603" t="s">
        <v>111</v>
      </c>
      <c r="AM1603" t="s">
        <v>111</v>
      </c>
      <c r="AN1603">
        <v>1347</v>
      </c>
      <c r="AO1603" t="s">
        <v>110</v>
      </c>
      <c r="AP1603" t="s">
        <v>109</v>
      </c>
    </row>
    <row r="1604" spans="1:42" x14ac:dyDescent="0.25">
      <c r="A1604" s="28" t="str">
        <f>"15370"</f>
        <v>15370</v>
      </c>
      <c r="B1604">
        <v>15370</v>
      </c>
      <c r="C1604" t="s">
        <v>2488</v>
      </c>
      <c r="D1604" t="s">
        <v>121</v>
      </c>
      <c r="F1604" t="s">
        <v>149</v>
      </c>
      <c r="G1604" t="s">
        <v>365</v>
      </c>
      <c r="H1604" t="s">
        <v>5121</v>
      </c>
      <c r="I1604" t="s">
        <v>1438</v>
      </c>
      <c r="J1604" t="s">
        <v>126</v>
      </c>
      <c r="K1604" s="63">
        <v>29532</v>
      </c>
      <c r="L1604" s="28">
        <f>DATEDIF(K1604,Zwift25!G$1,"Y")</f>
        <v>43</v>
      </c>
      <c r="M1604" s="67">
        <f>IF(J1604="m",VLOOKUP(L1604,'All Solo Adjustments'!A:D,4,FALSE),VLOOKUP(L1604,'All Solo Adjustments'!A:J,10,FALSE))</f>
        <v>4.5254629629629629E-3</v>
      </c>
      <c r="N1604" s="63"/>
      <c r="O1604" s="63"/>
      <c r="P1604" s="63"/>
      <c r="Q1604" s="63"/>
      <c r="R1604" t="s">
        <v>125</v>
      </c>
      <c r="S1604" t="s">
        <v>170</v>
      </c>
      <c r="T1604" t="s">
        <v>292</v>
      </c>
      <c r="U1604" t="s">
        <v>5120</v>
      </c>
      <c r="V1604" t="s">
        <v>5119</v>
      </c>
      <c r="W1604" t="s">
        <v>945</v>
      </c>
      <c r="X1604" t="s">
        <v>169</v>
      </c>
      <c r="Y1604" t="s">
        <v>5118</v>
      </c>
      <c r="Z1604" t="str">
        <f>"07855020419"</f>
        <v>07855020419</v>
      </c>
      <c r="AA1604" t="str">
        <f>""</f>
        <v/>
      </c>
      <c r="AB1604" t="s">
        <v>5117</v>
      </c>
      <c r="AC1604" t="s">
        <v>5116</v>
      </c>
      <c r="AD1604" t="s">
        <v>114</v>
      </c>
      <c r="AE1604" s="63">
        <v>45264</v>
      </c>
      <c r="AF1604" t="s">
        <v>156</v>
      </c>
      <c r="AG1604" t="s">
        <v>112</v>
      </c>
      <c r="AH1604" t="s">
        <v>112</v>
      </c>
      <c r="AI1604" s="63">
        <v>44608</v>
      </c>
      <c r="AJ1604" s="63">
        <v>45657</v>
      </c>
      <c r="AK1604" t="s">
        <v>112</v>
      </c>
      <c r="AL1604" t="s">
        <v>111</v>
      </c>
      <c r="AM1604" t="s">
        <v>111</v>
      </c>
      <c r="AN1604">
        <v>11801</v>
      </c>
      <c r="AO1604" t="s">
        <v>122</v>
      </c>
      <c r="AP1604" t="s">
        <v>122</v>
      </c>
    </row>
    <row r="1605" spans="1:42" x14ac:dyDescent="0.25">
      <c r="A1605" s="28" t="str">
        <f>"2004"</f>
        <v>2004</v>
      </c>
      <c r="B1605">
        <v>2004</v>
      </c>
      <c r="C1605" t="s">
        <v>2488</v>
      </c>
      <c r="D1605" t="s">
        <v>121</v>
      </c>
      <c r="E1605" t="s">
        <v>584</v>
      </c>
      <c r="F1605" t="s">
        <v>120</v>
      </c>
      <c r="G1605" t="s">
        <v>5115</v>
      </c>
      <c r="I1605" t="s">
        <v>5114</v>
      </c>
      <c r="J1605" t="s">
        <v>7</v>
      </c>
      <c r="K1605" s="63">
        <v>23666</v>
      </c>
      <c r="L1605" s="28">
        <f>DATEDIF(K1605,Zwift25!G$1,"Y")</f>
        <v>59</v>
      </c>
      <c r="M1605" s="67">
        <f>IF(J1605="m",VLOOKUP(L1605,'All Solo Adjustments'!A:D,4,FALSE),VLOOKUP(L1605,'All Solo Adjustments'!A:J,10,FALSE))</f>
        <v>2.9629629629629632E-3</v>
      </c>
      <c r="N1605" s="63"/>
      <c r="O1605" s="63"/>
      <c r="P1605" s="63"/>
      <c r="Q1605" s="63"/>
      <c r="R1605" t="s">
        <v>296</v>
      </c>
      <c r="S1605" t="s">
        <v>295</v>
      </c>
      <c r="T1605" t="s">
        <v>292</v>
      </c>
      <c r="U1605" t="s">
        <v>5113</v>
      </c>
      <c r="V1605" t="s">
        <v>5112</v>
      </c>
      <c r="W1605" t="s">
        <v>5111</v>
      </c>
      <c r="Y1605" t="s">
        <v>5110</v>
      </c>
      <c r="Z1605" t="str">
        <f>"01595 696353"</f>
        <v>01595 696353</v>
      </c>
      <c r="AA1605" t="str">
        <f>"07920522185"</f>
        <v>07920522185</v>
      </c>
      <c r="AB1605" t="s">
        <v>5109</v>
      </c>
      <c r="AC1605" t="s">
        <v>5108</v>
      </c>
      <c r="AD1605" t="s">
        <v>114</v>
      </c>
      <c r="AE1605" s="63">
        <v>45275</v>
      </c>
      <c r="AF1605" t="s">
        <v>156</v>
      </c>
      <c r="AG1605" t="s">
        <v>112</v>
      </c>
      <c r="AH1605" t="s">
        <v>112</v>
      </c>
      <c r="AI1605" s="63">
        <v>38353</v>
      </c>
      <c r="AJ1605" s="63">
        <v>45657</v>
      </c>
      <c r="AK1605" t="s">
        <v>111</v>
      </c>
      <c r="AL1605" t="s">
        <v>111</v>
      </c>
      <c r="AM1605" t="s">
        <v>111</v>
      </c>
      <c r="AN1605">
        <v>14428</v>
      </c>
      <c r="AO1605" t="s">
        <v>110</v>
      </c>
      <c r="AP1605" t="s">
        <v>109</v>
      </c>
    </row>
    <row r="1606" spans="1:42" x14ac:dyDescent="0.25">
      <c r="A1606" s="28" t="str">
        <f>"15707"</f>
        <v>15707</v>
      </c>
      <c r="B1606">
        <v>15707</v>
      </c>
      <c r="C1606" t="s">
        <v>2488</v>
      </c>
      <c r="D1606" t="s">
        <v>121</v>
      </c>
      <c r="E1606" t="s">
        <v>584</v>
      </c>
      <c r="F1606" t="s">
        <v>120</v>
      </c>
      <c r="G1606" t="s">
        <v>171</v>
      </c>
      <c r="I1606" t="s">
        <v>5107</v>
      </c>
      <c r="J1606" t="s">
        <v>7</v>
      </c>
      <c r="K1606" s="63">
        <v>24981</v>
      </c>
      <c r="L1606" s="28">
        <f>DATEDIF(K1606,Zwift25!G$1,"Y")</f>
        <v>56</v>
      </c>
      <c r="M1606" s="67">
        <f>IF(J1606="m",VLOOKUP(L1606,'All Solo Adjustments'!A:D,4,FALSE),VLOOKUP(L1606,'All Solo Adjustments'!A:J,10,FALSE))</f>
        <v>2.2685185185185182E-3</v>
      </c>
      <c r="N1606" s="63"/>
      <c r="O1606" s="63"/>
      <c r="P1606" s="63"/>
      <c r="Q1606" s="63"/>
      <c r="R1606" t="s">
        <v>213</v>
      </c>
      <c r="S1606" t="s">
        <v>212</v>
      </c>
      <c r="T1606" t="s">
        <v>292</v>
      </c>
      <c r="U1606" t="s">
        <v>5106</v>
      </c>
      <c r="V1606" t="s">
        <v>5105</v>
      </c>
      <c r="W1606" t="s">
        <v>535</v>
      </c>
      <c r="X1606" t="s">
        <v>534</v>
      </c>
      <c r="Y1606" t="s">
        <v>5104</v>
      </c>
      <c r="Z1606" t="str">
        <f>"07422712190"</f>
        <v>07422712190</v>
      </c>
      <c r="AA1606" t="str">
        <f>"01952510636"</f>
        <v>01952510636</v>
      </c>
      <c r="AB1606" t="s">
        <v>3102</v>
      </c>
      <c r="AC1606" t="s">
        <v>5103</v>
      </c>
      <c r="AD1606" t="s">
        <v>114</v>
      </c>
      <c r="AE1606" s="63">
        <v>45353</v>
      </c>
      <c r="AF1606" t="s">
        <v>156</v>
      </c>
      <c r="AG1606" t="s">
        <v>112</v>
      </c>
      <c r="AH1606" t="s">
        <v>112</v>
      </c>
      <c r="AI1606" s="63">
        <v>44981</v>
      </c>
      <c r="AJ1606" s="63">
        <v>45657</v>
      </c>
      <c r="AK1606" t="s">
        <v>112</v>
      </c>
      <c r="AL1606" t="s">
        <v>111</v>
      </c>
      <c r="AM1606" t="s">
        <v>111</v>
      </c>
      <c r="AN1606">
        <v>29340</v>
      </c>
      <c r="AO1606" t="s">
        <v>110</v>
      </c>
      <c r="AP1606" t="s">
        <v>109</v>
      </c>
    </row>
    <row r="1607" spans="1:42" x14ac:dyDescent="0.25">
      <c r="A1607" s="28" t="str">
        <f>"2006"</f>
        <v>2006</v>
      </c>
      <c r="B1607">
        <v>2006</v>
      </c>
      <c r="C1607" t="s">
        <v>2488</v>
      </c>
      <c r="D1607" t="s">
        <v>121</v>
      </c>
      <c r="F1607" t="s">
        <v>120</v>
      </c>
      <c r="G1607" t="s">
        <v>738</v>
      </c>
      <c r="I1607" t="s">
        <v>5102</v>
      </c>
      <c r="J1607" t="s">
        <v>7</v>
      </c>
      <c r="K1607" s="63">
        <v>17803</v>
      </c>
      <c r="L1607" s="28">
        <f>DATEDIF(K1607,Zwift25!G$1,"Y")</f>
        <v>76</v>
      </c>
      <c r="M1607" s="67">
        <f>IF(J1607="m",VLOOKUP(L1607,'All Solo Adjustments'!A:D,4,FALSE),VLOOKUP(L1607,'All Solo Adjustments'!A:J,10,FALSE))</f>
        <v>8.912037037037036E-3</v>
      </c>
      <c r="N1607" s="63"/>
      <c r="O1607" s="63"/>
      <c r="P1607" s="63"/>
      <c r="Q1607" s="63"/>
      <c r="R1607" t="s">
        <v>180</v>
      </c>
      <c r="S1607" t="s">
        <v>179</v>
      </c>
      <c r="T1607" t="s">
        <v>292</v>
      </c>
      <c r="U1607" t="s">
        <v>5101</v>
      </c>
      <c r="V1607" t="s">
        <v>1693</v>
      </c>
      <c r="W1607" t="s">
        <v>259</v>
      </c>
      <c r="Y1607" t="s">
        <v>5100</v>
      </c>
      <c r="Z1607" t="str">
        <f>"0116 2866131"</f>
        <v>0116 2866131</v>
      </c>
      <c r="AA1607" t="str">
        <f>""</f>
        <v/>
      </c>
      <c r="AB1607" t="s">
        <v>1470</v>
      </c>
      <c r="AD1607" t="s">
        <v>145</v>
      </c>
      <c r="AE1607" s="63">
        <v>45305</v>
      </c>
      <c r="AF1607" t="s">
        <v>113</v>
      </c>
      <c r="AG1607" t="s">
        <v>112</v>
      </c>
      <c r="AH1607" t="s">
        <v>112</v>
      </c>
      <c r="AI1607" s="63">
        <v>43455</v>
      </c>
      <c r="AJ1607" s="63">
        <v>45657</v>
      </c>
      <c r="AK1607" t="s">
        <v>111</v>
      </c>
      <c r="AL1607" t="s">
        <v>111</v>
      </c>
      <c r="AM1607" t="s">
        <v>111</v>
      </c>
      <c r="AN1607" t="s">
        <v>105</v>
      </c>
      <c r="AO1607" t="s">
        <v>110</v>
      </c>
      <c r="AP1607" t="s">
        <v>109</v>
      </c>
    </row>
    <row r="1608" spans="1:42" x14ac:dyDescent="0.25">
      <c r="A1608" s="28" t="str">
        <f>"2008"</f>
        <v>2008</v>
      </c>
      <c r="B1608">
        <v>2008</v>
      </c>
      <c r="C1608" t="s">
        <v>2488</v>
      </c>
      <c r="D1608" t="s">
        <v>121</v>
      </c>
      <c r="F1608" t="s">
        <v>120</v>
      </c>
      <c r="G1608" t="s">
        <v>773</v>
      </c>
      <c r="I1608" t="s">
        <v>5099</v>
      </c>
      <c r="J1608" t="s">
        <v>7</v>
      </c>
      <c r="K1608" s="63">
        <v>11368</v>
      </c>
      <c r="L1608" s="28">
        <f>DATEDIF(K1608,Zwift25!G$1,"Y")</f>
        <v>93</v>
      </c>
      <c r="M1608" s="67">
        <f>IF(J1608="m",VLOOKUP(L1608,'All Solo Adjustments'!A:D,4,FALSE),VLOOKUP(L1608,'All Solo Adjustments'!A:J,10,FALSE))</f>
        <v>2.1516203703703704E-2</v>
      </c>
      <c r="N1608" s="63"/>
      <c r="O1608" s="63"/>
      <c r="P1608" s="63"/>
      <c r="Q1608" s="63"/>
      <c r="R1608" t="s">
        <v>125</v>
      </c>
      <c r="S1608" t="s">
        <v>484</v>
      </c>
      <c r="T1608" t="s">
        <v>292</v>
      </c>
      <c r="U1608" t="s">
        <v>5098</v>
      </c>
      <c r="V1608" t="s">
        <v>2136</v>
      </c>
      <c r="W1608" t="s">
        <v>123</v>
      </c>
      <c r="Y1608" t="s">
        <v>5097</v>
      </c>
      <c r="Z1608" t="str">
        <f>"0208 5927843"</f>
        <v>0208 5927843</v>
      </c>
      <c r="AA1608" t="str">
        <f>""</f>
        <v/>
      </c>
      <c r="AB1608" t="s">
        <v>5096</v>
      </c>
      <c r="AD1608" t="s">
        <v>151</v>
      </c>
      <c r="AF1608" t="s">
        <v>113</v>
      </c>
      <c r="AG1608" t="s">
        <v>112</v>
      </c>
      <c r="AH1608" t="s">
        <v>112</v>
      </c>
      <c r="AI1608" s="63">
        <v>28904</v>
      </c>
      <c r="AK1608" t="s">
        <v>111</v>
      </c>
      <c r="AL1608" t="s">
        <v>111</v>
      </c>
      <c r="AM1608" t="s">
        <v>111</v>
      </c>
      <c r="AN1608" t="s">
        <v>105</v>
      </c>
      <c r="AO1608" t="s">
        <v>110</v>
      </c>
      <c r="AP1608" t="s">
        <v>109</v>
      </c>
    </row>
    <row r="1609" spans="1:42" x14ac:dyDescent="0.25">
      <c r="A1609" s="28" t="str">
        <f>"14650"</f>
        <v>14650</v>
      </c>
      <c r="B1609">
        <v>14650</v>
      </c>
      <c r="C1609" t="s">
        <v>2488</v>
      </c>
      <c r="D1609" t="s">
        <v>121</v>
      </c>
      <c r="E1609" t="s">
        <v>584</v>
      </c>
      <c r="F1609" t="s">
        <v>120</v>
      </c>
      <c r="G1609" t="s">
        <v>952</v>
      </c>
      <c r="H1609" t="s">
        <v>359</v>
      </c>
      <c r="I1609" t="s">
        <v>5095</v>
      </c>
      <c r="J1609" t="s">
        <v>7</v>
      </c>
      <c r="K1609" s="63">
        <v>26141</v>
      </c>
      <c r="L1609" s="28">
        <f>DATEDIF(K1609,Zwift25!G$1,"Y")</f>
        <v>53</v>
      </c>
      <c r="M1609" s="67">
        <f>IF(J1609="m",VLOOKUP(L1609,'All Solo Adjustments'!A:D,4,FALSE),VLOOKUP(L1609,'All Solo Adjustments'!A:J,10,FALSE))</f>
        <v>1.6666666666666668E-3</v>
      </c>
      <c r="N1609" s="63"/>
      <c r="O1609" s="63"/>
      <c r="P1609" s="63"/>
      <c r="Q1609" s="63"/>
      <c r="R1609" t="s">
        <v>137</v>
      </c>
      <c r="S1609" t="s">
        <v>136</v>
      </c>
      <c r="T1609" t="s">
        <v>292</v>
      </c>
      <c r="U1609" t="s">
        <v>5094</v>
      </c>
      <c r="V1609" t="s">
        <v>5093</v>
      </c>
      <c r="W1609" t="s">
        <v>5092</v>
      </c>
      <c r="X1609" t="s">
        <v>729</v>
      </c>
      <c r="Y1609" t="s">
        <v>5091</v>
      </c>
      <c r="Z1609" t="str">
        <f>"07980995253"</f>
        <v>07980995253</v>
      </c>
      <c r="AA1609" t="str">
        <f>""</f>
        <v/>
      </c>
      <c r="AB1609" t="s">
        <v>357</v>
      </c>
      <c r="AC1609" t="s">
        <v>5090</v>
      </c>
      <c r="AD1609" t="s">
        <v>114</v>
      </c>
      <c r="AE1609" s="63">
        <v>45354</v>
      </c>
      <c r="AF1609" t="s">
        <v>156</v>
      </c>
      <c r="AG1609" t="s">
        <v>112</v>
      </c>
      <c r="AH1609" t="s">
        <v>112</v>
      </c>
      <c r="AI1609" s="63">
        <v>44054</v>
      </c>
      <c r="AJ1609" s="63">
        <v>45657</v>
      </c>
      <c r="AK1609" t="s">
        <v>112</v>
      </c>
      <c r="AL1609" t="s">
        <v>111</v>
      </c>
      <c r="AM1609" t="s">
        <v>111</v>
      </c>
      <c r="AN1609">
        <v>5171</v>
      </c>
      <c r="AO1609" t="s">
        <v>110</v>
      </c>
      <c r="AP1609" t="s">
        <v>109</v>
      </c>
    </row>
    <row r="1610" spans="1:42" x14ac:dyDescent="0.25">
      <c r="A1610" s="28" t="str">
        <f>"5231"</f>
        <v>5231</v>
      </c>
      <c r="B1610">
        <v>5231</v>
      </c>
      <c r="C1610" t="s">
        <v>2488</v>
      </c>
      <c r="D1610" t="s">
        <v>121</v>
      </c>
      <c r="E1610" t="s">
        <v>2500</v>
      </c>
      <c r="F1610" t="s">
        <v>120</v>
      </c>
      <c r="G1610" t="s">
        <v>634</v>
      </c>
      <c r="I1610" t="s">
        <v>1437</v>
      </c>
      <c r="J1610" t="s">
        <v>7</v>
      </c>
      <c r="K1610" s="63">
        <v>17413</v>
      </c>
      <c r="L1610" s="28">
        <f>DATEDIF(K1610,Zwift25!G$1,"Y")</f>
        <v>77</v>
      </c>
      <c r="M1610" s="67">
        <f>IF(J1610="m",VLOOKUP(L1610,'All Solo Adjustments'!A:D,4,FALSE),VLOOKUP(L1610,'All Solo Adjustments'!A:J,10,FALSE))</f>
        <v>9.3981481481481485E-3</v>
      </c>
      <c r="N1610" s="63"/>
      <c r="O1610" s="63"/>
      <c r="P1610" s="63"/>
      <c r="Q1610" s="63"/>
      <c r="R1610" t="s">
        <v>328</v>
      </c>
      <c r="S1610" t="s">
        <v>327</v>
      </c>
      <c r="T1610" t="s">
        <v>292</v>
      </c>
      <c r="U1610" t="s">
        <v>5089</v>
      </c>
      <c r="V1610" t="s">
        <v>5088</v>
      </c>
      <c r="W1610" t="s">
        <v>1193</v>
      </c>
      <c r="Y1610" t="s">
        <v>5087</v>
      </c>
      <c r="Z1610" t="str">
        <f>"07779601779"</f>
        <v>07779601779</v>
      </c>
      <c r="AA1610" t="str">
        <f>"07528418667"</f>
        <v>07528418667</v>
      </c>
      <c r="AB1610" t="s">
        <v>1192</v>
      </c>
      <c r="AC1610" t="s">
        <v>5086</v>
      </c>
      <c r="AD1610" t="s">
        <v>114</v>
      </c>
      <c r="AE1610" s="63">
        <v>45263</v>
      </c>
      <c r="AF1610" t="s">
        <v>113</v>
      </c>
      <c r="AG1610" t="s">
        <v>112</v>
      </c>
      <c r="AH1610" t="s">
        <v>112</v>
      </c>
      <c r="AI1610" s="63">
        <v>43514</v>
      </c>
      <c r="AJ1610" s="63">
        <v>45657</v>
      </c>
      <c r="AK1610" t="s">
        <v>111</v>
      </c>
      <c r="AL1610" t="s">
        <v>111</v>
      </c>
      <c r="AM1610" t="s">
        <v>111</v>
      </c>
      <c r="AN1610">
        <v>23712</v>
      </c>
      <c r="AO1610" t="s">
        <v>110</v>
      </c>
      <c r="AP1610" t="s">
        <v>109</v>
      </c>
    </row>
    <row r="1611" spans="1:42" x14ac:dyDescent="0.25">
      <c r="A1611" s="28" t="str">
        <f>"2009"</f>
        <v>2009</v>
      </c>
      <c r="B1611">
        <v>2009</v>
      </c>
      <c r="C1611" t="s">
        <v>2488</v>
      </c>
      <c r="D1611" t="s">
        <v>121</v>
      </c>
      <c r="F1611" t="s">
        <v>120</v>
      </c>
      <c r="G1611" t="s">
        <v>287</v>
      </c>
      <c r="I1611" t="s">
        <v>5085</v>
      </c>
      <c r="J1611" t="s">
        <v>7</v>
      </c>
      <c r="K1611" s="63">
        <v>19260</v>
      </c>
      <c r="L1611" s="28">
        <f>DATEDIF(K1611,Zwift25!G$1,"Y")</f>
        <v>72</v>
      </c>
      <c r="M1611" s="67">
        <f>IF(J1611="m",VLOOKUP(L1611,'All Solo Adjustments'!A:D,4,FALSE),VLOOKUP(L1611,'All Solo Adjustments'!A:J,10,FALSE))</f>
        <v>7.129629629629629E-3</v>
      </c>
      <c r="N1611" s="63"/>
      <c r="O1611" s="63"/>
      <c r="P1611" s="63"/>
      <c r="Q1611" s="63"/>
      <c r="R1611" t="s">
        <v>184</v>
      </c>
      <c r="S1611" t="s">
        <v>183</v>
      </c>
      <c r="T1611" t="s">
        <v>292</v>
      </c>
      <c r="U1611" t="s">
        <v>5084</v>
      </c>
      <c r="V1611" t="s">
        <v>1117</v>
      </c>
      <c r="Y1611" t="s">
        <v>5083</v>
      </c>
      <c r="Z1611" t="str">
        <f>"99999 999999"</f>
        <v>99999 999999</v>
      </c>
      <c r="AA1611" t="str">
        <f>""</f>
        <v/>
      </c>
      <c r="AB1611" t="s">
        <v>2343</v>
      </c>
      <c r="AD1611" t="s">
        <v>145</v>
      </c>
      <c r="AE1611" s="63">
        <v>45353</v>
      </c>
      <c r="AF1611" t="s">
        <v>113</v>
      </c>
      <c r="AG1611" t="s">
        <v>112</v>
      </c>
      <c r="AH1611" t="s">
        <v>112</v>
      </c>
      <c r="AI1611" s="63">
        <v>43523</v>
      </c>
      <c r="AJ1611" s="63">
        <v>45657</v>
      </c>
      <c r="AK1611" t="s">
        <v>111</v>
      </c>
      <c r="AL1611" t="s">
        <v>111</v>
      </c>
      <c r="AM1611" t="s">
        <v>111</v>
      </c>
      <c r="AN1611" t="s">
        <v>105</v>
      </c>
      <c r="AO1611" t="s">
        <v>110</v>
      </c>
      <c r="AP1611" t="s">
        <v>109</v>
      </c>
    </row>
    <row r="1612" spans="1:42" x14ac:dyDescent="0.25">
      <c r="A1612" s="28" t="str">
        <f>"6126"</f>
        <v>6126</v>
      </c>
      <c r="B1612">
        <v>6126</v>
      </c>
      <c r="C1612" t="s">
        <v>2488</v>
      </c>
      <c r="D1612" t="s">
        <v>121</v>
      </c>
      <c r="E1612" t="s">
        <v>584</v>
      </c>
      <c r="F1612" t="s">
        <v>120</v>
      </c>
      <c r="G1612" t="s">
        <v>359</v>
      </c>
      <c r="H1612" t="s">
        <v>643</v>
      </c>
      <c r="I1612" t="s">
        <v>5082</v>
      </c>
      <c r="J1612" t="s">
        <v>7</v>
      </c>
      <c r="K1612" s="63">
        <v>20664</v>
      </c>
      <c r="L1612" s="28">
        <f>DATEDIF(K1612,Zwift25!G$1,"Y")</f>
        <v>68</v>
      </c>
      <c r="M1612" s="67">
        <f>IF(J1612="m",VLOOKUP(L1612,'All Solo Adjustments'!A:D,4,FALSE),VLOOKUP(L1612,'All Solo Adjustments'!A:J,10,FALSE))</f>
        <v>5.6134259259259262E-3</v>
      </c>
      <c r="N1612" s="63"/>
      <c r="O1612" s="63"/>
      <c r="P1612" s="63"/>
      <c r="Q1612" s="63"/>
      <c r="R1612" t="s">
        <v>296</v>
      </c>
      <c r="S1612" t="s">
        <v>295</v>
      </c>
      <c r="T1612" t="s">
        <v>292</v>
      </c>
      <c r="U1612" t="s">
        <v>5081</v>
      </c>
      <c r="V1612" t="s">
        <v>5080</v>
      </c>
      <c r="W1612" t="s">
        <v>1200</v>
      </c>
      <c r="X1612" t="s">
        <v>1242</v>
      </c>
      <c r="Y1612" t="s">
        <v>5079</v>
      </c>
      <c r="Z1612" t="str">
        <f>"01467 671539"</f>
        <v>01467 671539</v>
      </c>
      <c r="AA1612" t="str">
        <f>"07983477839"</f>
        <v>07983477839</v>
      </c>
      <c r="AB1612" t="s">
        <v>1241</v>
      </c>
      <c r="AC1612" t="s">
        <v>5078</v>
      </c>
      <c r="AD1612" t="s">
        <v>114</v>
      </c>
      <c r="AE1612" s="63">
        <v>45227</v>
      </c>
      <c r="AF1612" t="s">
        <v>156</v>
      </c>
      <c r="AG1612" t="s">
        <v>112</v>
      </c>
      <c r="AH1612" t="s">
        <v>112</v>
      </c>
      <c r="AI1612" s="63">
        <v>42800</v>
      </c>
      <c r="AJ1612" s="63">
        <v>45657</v>
      </c>
      <c r="AK1612" t="s">
        <v>111</v>
      </c>
      <c r="AL1612" t="s">
        <v>111</v>
      </c>
      <c r="AM1612" t="s">
        <v>111</v>
      </c>
      <c r="AN1612">
        <v>23304</v>
      </c>
      <c r="AO1612" t="s">
        <v>110</v>
      </c>
      <c r="AP1612" t="s">
        <v>109</v>
      </c>
    </row>
    <row r="1613" spans="1:42" x14ac:dyDescent="0.25">
      <c r="A1613" s="28" t="str">
        <f>"5993"</f>
        <v>5993</v>
      </c>
      <c r="B1613">
        <v>5993</v>
      </c>
      <c r="C1613" t="s">
        <v>2488</v>
      </c>
      <c r="D1613" t="s">
        <v>121</v>
      </c>
      <c r="F1613" t="s">
        <v>120</v>
      </c>
      <c r="G1613" t="s">
        <v>867</v>
      </c>
      <c r="I1613" t="s">
        <v>5074</v>
      </c>
      <c r="J1613" t="s">
        <v>7</v>
      </c>
      <c r="K1613" s="63">
        <v>25960</v>
      </c>
      <c r="L1613" s="28">
        <f>DATEDIF(K1613,Zwift25!G$1,"Y")</f>
        <v>53</v>
      </c>
      <c r="M1613" s="67">
        <f>IF(J1613="m",VLOOKUP(L1613,'All Solo Adjustments'!A:D,4,FALSE),VLOOKUP(L1613,'All Solo Adjustments'!A:J,10,FALSE))</f>
        <v>1.6666666666666668E-3</v>
      </c>
      <c r="N1613" s="63"/>
      <c r="O1613" s="63"/>
      <c r="P1613" s="63"/>
      <c r="Q1613" s="63"/>
      <c r="R1613" t="s">
        <v>154</v>
      </c>
      <c r="S1613" t="s">
        <v>153</v>
      </c>
      <c r="T1613" t="s">
        <v>292</v>
      </c>
      <c r="U1613" t="s">
        <v>5077</v>
      </c>
      <c r="V1613" t="s">
        <v>1383</v>
      </c>
      <c r="W1613" t="s">
        <v>591</v>
      </c>
      <c r="X1613" t="s">
        <v>752</v>
      </c>
      <c r="Y1613" t="s">
        <v>5076</v>
      </c>
      <c r="Z1613" t="str">
        <f>"07920 772642"</f>
        <v>07920 772642</v>
      </c>
      <c r="AA1613" t="str">
        <f>""</f>
        <v/>
      </c>
      <c r="AB1613" t="s">
        <v>751</v>
      </c>
      <c r="AC1613" t="s">
        <v>5075</v>
      </c>
      <c r="AD1613" t="s">
        <v>114</v>
      </c>
      <c r="AE1613" s="63">
        <v>45296</v>
      </c>
      <c r="AF1613" t="s">
        <v>156</v>
      </c>
      <c r="AG1613" t="s">
        <v>112</v>
      </c>
      <c r="AH1613" t="s">
        <v>112</v>
      </c>
      <c r="AI1613" s="63">
        <v>42643</v>
      </c>
      <c r="AJ1613" s="63">
        <v>45657</v>
      </c>
      <c r="AK1613" t="s">
        <v>111</v>
      </c>
      <c r="AL1613" t="s">
        <v>111</v>
      </c>
      <c r="AM1613" t="s">
        <v>111</v>
      </c>
      <c r="AN1613">
        <v>12125</v>
      </c>
      <c r="AO1613" t="s">
        <v>110</v>
      </c>
      <c r="AP1613" t="s">
        <v>109</v>
      </c>
    </row>
    <row r="1614" spans="1:42" x14ac:dyDescent="0.25">
      <c r="A1614" s="28" t="str">
        <f>"14624"</f>
        <v>14624</v>
      </c>
      <c r="B1614">
        <v>14624</v>
      </c>
      <c r="C1614" t="s">
        <v>2488</v>
      </c>
      <c r="D1614" t="s">
        <v>130</v>
      </c>
      <c r="E1614" t="s">
        <v>584</v>
      </c>
      <c r="F1614" t="s">
        <v>149</v>
      </c>
      <c r="G1614" t="s">
        <v>2238</v>
      </c>
      <c r="H1614" t="s">
        <v>853</v>
      </c>
      <c r="I1614" t="s">
        <v>5074</v>
      </c>
      <c r="J1614" t="s">
        <v>126</v>
      </c>
      <c r="K1614" s="63">
        <v>26349</v>
      </c>
      <c r="L1614" s="28">
        <f>DATEDIF(K1614,Zwift25!G$1,"Y")</f>
        <v>52</v>
      </c>
      <c r="M1614" s="67">
        <f>IF(J1614="m",VLOOKUP(L1614,'All Solo Adjustments'!A:D,4,FALSE),VLOOKUP(L1614,'All Solo Adjustments'!A:J,10,FALSE))</f>
        <v>5.1967592592592595E-3</v>
      </c>
      <c r="N1614" s="63"/>
      <c r="O1614" s="63"/>
      <c r="P1614" s="63"/>
      <c r="Q1614" s="63"/>
      <c r="R1614" t="s">
        <v>184</v>
      </c>
      <c r="S1614" t="s">
        <v>1390</v>
      </c>
      <c r="T1614" t="s">
        <v>292</v>
      </c>
      <c r="U1614" t="s">
        <v>5069</v>
      </c>
      <c r="V1614" t="s">
        <v>5068</v>
      </c>
      <c r="W1614" t="s">
        <v>717</v>
      </c>
      <c r="X1614" t="s">
        <v>834</v>
      </c>
      <c r="Y1614" t="s">
        <v>5067</v>
      </c>
      <c r="Z1614" t="str">
        <f>"07472077477"</f>
        <v>07472077477</v>
      </c>
      <c r="AA1614" t="str">
        <f>"07786081760"</f>
        <v>07786081760</v>
      </c>
      <c r="AB1614" t="s">
        <v>5073</v>
      </c>
      <c r="AC1614" t="s">
        <v>5072</v>
      </c>
      <c r="AD1614" t="s">
        <v>114</v>
      </c>
      <c r="AE1614" s="63">
        <v>45264</v>
      </c>
      <c r="AG1614" t="s">
        <v>112</v>
      </c>
      <c r="AH1614" t="s">
        <v>112</v>
      </c>
      <c r="AI1614" s="63">
        <v>44043</v>
      </c>
      <c r="AJ1614" s="63">
        <v>45657</v>
      </c>
      <c r="AK1614" t="s">
        <v>112</v>
      </c>
      <c r="AL1614" t="s">
        <v>112</v>
      </c>
      <c r="AM1614" t="s">
        <v>111</v>
      </c>
      <c r="AN1614">
        <v>29607</v>
      </c>
      <c r="AO1614" t="s">
        <v>122</v>
      </c>
      <c r="AP1614" t="s">
        <v>122</v>
      </c>
    </row>
    <row r="1615" spans="1:42" x14ac:dyDescent="0.25">
      <c r="A1615" s="28" t="str">
        <f>"14623"</f>
        <v>14623</v>
      </c>
      <c r="B1615">
        <v>14623</v>
      </c>
      <c r="C1615" t="s">
        <v>2488</v>
      </c>
      <c r="D1615" t="s">
        <v>132</v>
      </c>
      <c r="F1615" t="s">
        <v>120</v>
      </c>
      <c r="G1615" t="s">
        <v>427</v>
      </c>
      <c r="H1615" t="s">
        <v>5071</v>
      </c>
      <c r="I1615" t="s">
        <v>5070</v>
      </c>
      <c r="J1615" t="s">
        <v>7</v>
      </c>
      <c r="K1615" s="63">
        <v>26195</v>
      </c>
      <c r="L1615" s="28">
        <f>DATEDIF(K1615,Zwift25!G$1,"Y")</f>
        <v>53</v>
      </c>
      <c r="M1615" s="67">
        <f>IF(J1615="m",VLOOKUP(L1615,'All Solo Adjustments'!A:D,4,FALSE),VLOOKUP(L1615,'All Solo Adjustments'!A:J,10,FALSE))</f>
        <v>1.6666666666666668E-3</v>
      </c>
      <c r="N1615" s="63"/>
      <c r="O1615" s="63"/>
      <c r="P1615" s="63"/>
      <c r="Q1615" s="63"/>
      <c r="R1615" t="s">
        <v>184</v>
      </c>
      <c r="S1615" t="s">
        <v>1390</v>
      </c>
      <c r="T1615" t="s">
        <v>292</v>
      </c>
      <c r="U1615" t="s">
        <v>5069</v>
      </c>
      <c r="V1615" t="s">
        <v>5068</v>
      </c>
      <c r="W1615" t="s">
        <v>717</v>
      </c>
      <c r="X1615" t="s">
        <v>834</v>
      </c>
      <c r="Y1615" t="s">
        <v>5067</v>
      </c>
      <c r="Z1615" t="str">
        <f>"07472077477"</f>
        <v>07472077477</v>
      </c>
      <c r="AA1615" t="str">
        <f>"07786081760"</f>
        <v>07786081760</v>
      </c>
      <c r="AB1615" t="s">
        <v>1066</v>
      </c>
      <c r="AC1615" t="s">
        <v>5066</v>
      </c>
      <c r="AD1615" t="s">
        <v>114</v>
      </c>
      <c r="AE1615" s="63">
        <v>45264</v>
      </c>
      <c r="AF1615" t="s">
        <v>156</v>
      </c>
      <c r="AG1615" t="s">
        <v>112</v>
      </c>
      <c r="AH1615" t="s">
        <v>112</v>
      </c>
      <c r="AI1615" s="63">
        <v>44043</v>
      </c>
      <c r="AJ1615" s="63">
        <v>45657</v>
      </c>
      <c r="AK1615" t="s">
        <v>112</v>
      </c>
      <c r="AL1615" t="s">
        <v>112</v>
      </c>
      <c r="AM1615" t="s">
        <v>111</v>
      </c>
      <c r="AN1615">
        <v>8377</v>
      </c>
      <c r="AO1615" t="s">
        <v>110</v>
      </c>
      <c r="AP1615" t="s">
        <v>109</v>
      </c>
    </row>
    <row r="1616" spans="1:42" x14ac:dyDescent="0.25">
      <c r="A1616" s="28" t="str">
        <f>"6178"</f>
        <v>6178</v>
      </c>
      <c r="B1616">
        <v>6178</v>
      </c>
      <c r="C1616" t="s">
        <v>2488</v>
      </c>
      <c r="D1616" t="s">
        <v>121</v>
      </c>
      <c r="E1616" t="s">
        <v>584</v>
      </c>
      <c r="F1616" t="s">
        <v>120</v>
      </c>
      <c r="G1616" t="s">
        <v>359</v>
      </c>
      <c r="H1616" t="s">
        <v>234</v>
      </c>
      <c r="I1616" t="s">
        <v>5065</v>
      </c>
      <c r="J1616" t="s">
        <v>7</v>
      </c>
      <c r="K1616" s="63">
        <v>18645</v>
      </c>
      <c r="L1616" s="28">
        <f>DATEDIF(K1616,Zwift25!G$1,"Y")</f>
        <v>73</v>
      </c>
      <c r="M1616" s="67">
        <f>IF(J1616="m",VLOOKUP(L1616,'All Solo Adjustments'!A:D,4,FALSE),VLOOKUP(L1616,'All Solo Adjustments'!A:J,10,FALSE))</f>
        <v>7.5462962962962966E-3</v>
      </c>
      <c r="N1616" s="63"/>
      <c r="O1616" s="63"/>
      <c r="P1616" s="63"/>
      <c r="Q1616" s="63"/>
      <c r="R1616" t="s">
        <v>184</v>
      </c>
      <c r="S1616" t="s">
        <v>183</v>
      </c>
      <c r="T1616" t="s">
        <v>292</v>
      </c>
      <c r="U1616" t="s">
        <v>5064</v>
      </c>
      <c r="V1616" t="s">
        <v>5063</v>
      </c>
      <c r="W1616" t="s">
        <v>344</v>
      </c>
      <c r="Y1616" t="s">
        <v>5062</v>
      </c>
      <c r="Z1616" t="str">
        <f>"01491 577 171"</f>
        <v>01491 577 171</v>
      </c>
      <c r="AA1616" t="str">
        <f>"07708665663"</f>
        <v>07708665663</v>
      </c>
      <c r="AB1616" t="s">
        <v>5061</v>
      </c>
      <c r="AC1616" t="s">
        <v>5060</v>
      </c>
      <c r="AD1616" t="s">
        <v>114</v>
      </c>
      <c r="AE1616" s="63">
        <v>45363</v>
      </c>
      <c r="AF1616" t="s">
        <v>113</v>
      </c>
      <c r="AG1616" t="s">
        <v>112</v>
      </c>
      <c r="AH1616" t="s">
        <v>112</v>
      </c>
      <c r="AI1616" s="63">
        <v>42829</v>
      </c>
      <c r="AJ1616" s="63">
        <v>45657</v>
      </c>
      <c r="AK1616" t="s">
        <v>111</v>
      </c>
      <c r="AL1616" t="s">
        <v>111</v>
      </c>
      <c r="AM1616" t="s">
        <v>111</v>
      </c>
      <c r="AN1616">
        <v>13886</v>
      </c>
      <c r="AO1616" t="s">
        <v>110</v>
      </c>
      <c r="AP1616" t="s">
        <v>109</v>
      </c>
    </row>
    <row r="1617" spans="1:42" x14ac:dyDescent="0.25">
      <c r="A1617" s="28" t="str">
        <f>"15314"</f>
        <v>15314</v>
      </c>
      <c r="B1617">
        <v>15314</v>
      </c>
      <c r="C1617" t="s">
        <v>2488</v>
      </c>
      <c r="D1617" t="s">
        <v>121</v>
      </c>
      <c r="F1617" t="s">
        <v>120</v>
      </c>
      <c r="G1617" t="s">
        <v>531</v>
      </c>
      <c r="H1617" t="s">
        <v>1130</v>
      </c>
      <c r="I1617" t="s">
        <v>5059</v>
      </c>
      <c r="J1617" t="s">
        <v>7</v>
      </c>
      <c r="K1617" s="63">
        <v>27406</v>
      </c>
      <c r="L1617" s="28">
        <f>DATEDIF(K1617,Zwift25!G$1,"Y")</f>
        <v>49</v>
      </c>
      <c r="M1617" s="67">
        <f>IF(J1617="m",VLOOKUP(L1617,'All Solo Adjustments'!A:D,4,FALSE),VLOOKUP(L1617,'All Solo Adjustments'!A:J,10,FALSE))</f>
        <v>9.837962962962962E-4</v>
      </c>
      <c r="N1617" s="63"/>
      <c r="O1617" s="63"/>
      <c r="P1617" s="63"/>
      <c r="Q1617" s="63"/>
      <c r="R1617" t="s">
        <v>143</v>
      </c>
      <c r="S1617" t="s">
        <v>142</v>
      </c>
      <c r="T1617" t="s">
        <v>292</v>
      </c>
      <c r="U1617" t="s">
        <v>5058</v>
      </c>
      <c r="V1617" t="s">
        <v>173</v>
      </c>
      <c r="W1617" t="s">
        <v>172</v>
      </c>
      <c r="Y1617" t="s">
        <v>5057</v>
      </c>
      <c r="Z1617" t="str">
        <f>"07494583845"</f>
        <v>07494583845</v>
      </c>
      <c r="AA1617" t="str">
        <f>""</f>
        <v/>
      </c>
      <c r="AB1617" t="s">
        <v>5056</v>
      </c>
      <c r="AC1617" t="s">
        <v>5055</v>
      </c>
      <c r="AD1617" t="s">
        <v>114</v>
      </c>
      <c r="AE1617" s="63">
        <v>45292</v>
      </c>
      <c r="AF1617" t="s">
        <v>156</v>
      </c>
      <c r="AG1617" t="s">
        <v>112</v>
      </c>
      <c r="AH1617" t="s">
        <v>112</v>
      </c>
      <c r="AI1617" s="63">
        <v>44562</v>
      </c>
      <c r="AJ1617" s="63">
        <v>45657</v>
      </c>
      <c r="AK1617" t="s">
        <v>112</v>
      </c>
      <c r="AL1617" t="s">
        <v>111</v>
      </c>
      <c r="AM1617" t="s">
        <v>111</v>
      </c>
      <c r="AN1617">
        <v>42148</v>
      </c>
      <c r="AO1617" t="s">
        <v>110</v>
      </c>
      <c r="AP1617" t="s">
        <v>109</v>
      </c>
    </row>
    <row r="1618" spans="1:42" x14ac:dyDescent="0.25">
      <c r="A1618" s="28" t="str">
        <f>"4775"</f>
        <v>4775</v>
      </c>
      <c r="B1618">
        <v>4775</v>
      </c>
      <c r="C1618" t="s">
        <v>2488</v>
      </c>
      <c r="D1618" t="s">
        <v>121</v>
      </c>
      <c r="E1618" t="s">
        <v>584</v>
      </c>
      <c r="F1618" t="s">
        <v>120</v>
      </c>
      <c r="G1618" t="s">
        <v>227</v>
      </c>
      <c r="I1618" t="s">
        <v>428</v>
      </c>
      <c r="J1618" t="s">
        <v>7</v>
      </c>
      <c r="K1618" s="63">
        <v>23733</v>
      </c>
      <c r="L1618" s="28">
        <f>DATEDIF(K1618,Zwift25!G$1,"Y")</f>
        <v>59</v>
      </c>
      <c r="M1618" s="67">
        <f>IF(J1618="m",VLOOKUP(L1618,'All Solo Adjustments'!A:D,4,FALSE),VLOOKUP(L1618,'All Solo Adjustments'!A:J,10,FALSE))</f>
        <v>2.9629629629629632E-3</v>
      </c>
      <c r="N1618" s="63"/>
      <c r="O1618" s="63"/>
      <c r="P1618" s="63"/>
      <c r="Q1618" s="63"/>
      <c r="R1618" t="s">
        <v>184</v>
      </c>
      <c r="S1618" t="s">
        <v>183</v>
      </c>
      <c r="T1618" t="s">
        <v>292</v>
      </c>
      <c r="U1618" t="s">
        <v>5054</v>
      </c>
      <c r="V1618" t="s">
        <v>5053</v>
      </c>
      <c r="W1618" t="s">
        <v>347</v>
      </c>
      <c r="Y1618" t="s">
        <v>5052</v>
      </c>
      <c r="Z1618" t="str">
        <f>"07767 756240"</f>
        <v>07767 756240</v>
      </c>
      <c r="AA1618" t="str">
        <f>""</f>
        <v/>
      </c>
      <c r="AB1618" t="s">
        <v>1491</v>
      </c>
      <c r="AC1618" t="s">
        <v>5051</v>
      </c>
      <c r="AD1618" t="s">
        <v>114</v>
      </c>
      <c r="AE1618" s="63">
        <v>45222</v>
      </c>
      <c r="AF1618" t="s">
        <v>156</v>
      </c>
      <c r="AG1618" t="s">
        <v>112</v>
      </c>
      <c r="AH1618" t="s">
        <v>112</v>
      </c>
      <c r="AI1618" s="63">
        <v>41416</v>
      </c>
      <c r="AJ1618" s="63">
        <v>45657</v>
      </c>
      <c r="AK1618" t="s">
        <v>111</v>
      </c>
      <c r="AL1618" t="s">
        <v>111</v>
      </c>
      <c r="AM1618" t="s">
        <v>111</v>
      </c>
      <c r="AN1618">
        <v>736</v>
      </c>
      <c r="AO1618" t="s">
        <v>110</v>
      </c>
      <c r="AP1618" t="s">
        <v>109</v>
      </c>
    </row>
    <row r="1619" spans="1:42" x14ac:dyDescent="0.25">
      <c r="A1619" s="28" t="str">
        <f>"2012"</f>
        <v>2012</v>
      </c>
      <c r="B1619">
        <v>2012</v>
      </c>
      <c r="C1619" t="s">
        <v>2488</v>
      </c>
      <c r="D1619" t="s">
        <v>121</v>
      </c>
      <c r="F1619" t="s">
        <v>120</v>
      </c>
      <c r="G1619" t="s">
        <v>206</v>
      </c>
      <c r="I1619" t="s">
        <v>428</v>
      </c>
      <c r="J1619" t="s">
        <v>7</v>
      </c>
      <c r="K1619" s="63">
        <v>10141</v>
      </c>
      <c r="L1619" s="28">
        <f>DATEDIF(K1619,Zwift25!G$1,"Y")</f>
        <v>97</v>
      </c>
      <c r="M1619" s="67">
        <f>IF(J1619="m",VLOOKUP(L1619,'All Solo Adjustments'!A:D,4,FALSE),VLOOKUP(L1619,'All Solo Adjustments'!A:J,10,FALSE))</f>
        <v>2.675925925925926E-2</v>
      </c>
      <c r="N1619" s="63"/>
      <c r="O1619" s="63"/>
      <c r="P1619" s="63"/>
      <c r="Q1619" s="63"/>
      <c r="R1619" t="s">
        <v>159</v>
      </c>
      <c r="S1619" t="s">
        <v>570</v>
      </c>
      <c r="T1619" t="s">
        <v>292</v>
      </c>
      <c r="U1619" t="s">
        <v>5050</v>
      </c>
      <c r="V1619" t="s">
        <v>1185</v>
      </c>
      <c r="W1619" t="s">
        <v>486</v>
      </c>
      <c r="Y1619" t="s">
        <v>5049</v>
      </c>
      <c r="Z1619" t="str">
        <f>"01323 460024"</f>
        <v>01323 460024</v>
      </c>
      <c r="AA1619" t="str">
        <f>""</f>
        <v/>
      </c>
      <c r="AB1619" t="s">
        <v>1587</v>
      </c>
      <c r="AC1619" t="s">
        <v>5048</v>
      </c>
      <c r="AD1619" t="s">
        <v>151</v>
      </c>
      <c r="AF1619" t="s">
        <v>113</v>
      </c>
      <c r="AG1619" t="s">
        <v>112</v>
      </c>
      <c r="AH1619" t="s">
        <v>112</v>
      </c>
      <c r="AK1619" t="s">
        <v>111</v>
      </c>
      <c r="AL1619" t="s">
        <v>111</v>
      </c>
      <c r="AM1619" t="s">
        <v>111</v>
      </c>
      <c r="AN1619" t="s">
        <v>105</v>
      </c>
      <c r="AO1619" t="s">
        <v>110</v>
      </c>
      <c r="AP1619" t="s">
        <v>109</v>
      </c>
    </row>
    <row r="1620" spans="1:42" x14ac:dyDescent="0.25">
      <c r="A1620" s="28" t="str">
        <f>"2019"</f>
        <v>2019</v>
      </c>
      <c r="B1620">
        <v>2019</v>
      </c>
      <c r="C1620" t="s">
        <v>2488</v>
      </c>
      <c r="D1620" t="s">
        <v>121</v>
      </c>
      <c r="F1620" t="s">
        <v>120</v>
      </c>
      <c r="G1620" t="s">
        <v>1551</v>
      </c>
      <c r="H1620" t="s">
        <v>5047</v>
      </c>
      <c r="I1620" t="s">
        <v>428</v>
      </c>
      <c r="J1620" t="s">
        <v>7</v>
      </c>
      <c r="K1620" s="63">
        <v>15957</v>
      </c>
      <c r="L1620" s="28">
        <f>DATEDIF(K1620,Zwift25!G$1,"Y")</f>
        <v>81</v>
      </c>
      <c r="M1620" s="67">
        <f>IF(J1620="m",VLOOKUP(L1620,'All Solo Adjustments'!A:D,4,FALSE),VLOOKUP(L1620,'All Solo Adjustments'!A:J,10,FALSE))</f>
        <v>1.1597222222222222E-2</v>
      </c>
      <c r="N1620" s="63"/>
      <c r="O1620" s="63"/>
      <c r="P1620" s="63"/>
      <c r="Q1620" s="63"/>
      <c r="R1620" t="s">
        <v>213</v>
      </c>
      <c r="S1620" t="s">
        <v>2309</v>
      </c>
      <c r="T1620" t="s">
        <v>292</v>
      </c>
      <c r="U1620" t="s">
        <v>5046</v>
      </c>
      <c r="V1620" t="s">
        <v>1477</v>
      </c>
      <c r="W1620" t="s">
        <v>5045</v>
      </c>
      <c r="Y1620" t="s">
        <v>5044</v>
      </c>
      <c r="Z1620" t="str">
        <f>"01745 852626"</f>
        <v>01745 852626</v>
      </c>
      <c r="AA1620" t="str">
        <f>"07762204610"</f>
        <v>07762204610</v>
      </c>
      <c r="AB1620" t="s">
        <v>5043</v>
      </c>
      <c r="AC1620" t="s">
        <v>5042</v>
      </c>
      <c r="AD1620" t="s">
        <v>145</v>
      </c>
      <c r="AF1620" t="s">
        <v>113</v>
      </c>
      <c r="AG1620" t="s">
        <v>112</v>
      </c>
      <c r="AH1620" t="s">
        <v>112</v>
      </c>
      <c r="AI1620" s="63">
        <v>30574</v>
      </c>
      <c r="AK1620" t="s">
        <v>111</v>
      </c>
      <c r="AL1620" t="s">
        <v>111</v>
      </c>
      <c r="AM1620" t="s">
        <v>111</v>
      </c>
      <c r="AN1620" t="s">
        <v>105</v>
      </c>
      <c r="AO1620" t="s">
        <v>110</v>
      </c>
      <c r="AP1620" t="s">
        <v>109</v>
      </c>
    </row>
    <row r="1621" spans="1:42" x14ac:dyDescent="0.25">
      <c r="A1621" s="28" t="str">
        <f>"6461"</f>
        <v>6461</v>
      </c>
      <c r="B1621">
        <v>6461</v>
      </c>
      <c r="C1621" t="s">
        <v>2488</v>
      </c>
      <c r="D1621" t="s">
        <v>121</v>
      </c>
      <c r="F1621" t="s">
        <v>120</v>
      </c>
      <c r="G1621" t="s">
        <v>738</v>
      </c>
      <c r="I1621" t="s">
        <v>428</v>
      </c>
      <c r="J1621" t="s">
        <v>7</v>
      </c>
      <c r="K1621" s="63">
        <v>20158</v>
      </c>
      <c r="L1621" s="28">
        <f>DATEDIF(K1621,Zwift25!G$1,"Y")</f>
        <v>69</v>
      </c>
      <c r="M1621" s="67">
        <f>IF(J1621="m",VLOOKUP(L1621,'All Solo Adjustments'!A:D,4,FALSE),VLOOKUP(L1621,'All Solo Adjustments'!A:J,10,FALSE))</f>
        <v>5.9722222222222225E-3</v>
      </c>
      <c r="N1621" s="63"/>
      <c r="O1621" s="63"/>
      <c r="P1621" s="63"/>
      <c r="Q1621" s="63"/>
      <c r="R1621" t="s">
        <v>328</v>
      </c>
      <c r="S1621" t="s">
        <v>327</v>
      </c>
      <c r="T1621" t="s">
        <v>292</v>
      </c>
      <c r="U1621" t="s">
        <v>5041</v>
      </c>
      <c r="V1621" t="s">
        <v>5040</v>
      </c>
      <c r="W1621" t="s">
        <v>1373</v>
      </c>
      <c r="X1621" t="s">
        <v>326</v>
      </c>
      <c r="Y1621" t="s">
        <v>5039</v>
      </c>
      <c r="Z1621" t="str">
        <f>"01995 601030"</f>
        <v>01995 601030</v>
      </c>
      <c r="AA1621" t="str">
        <f>""</f>
        <v/>
      </c>
      <c r="AB1621" t="s">
        <v>1848</v>
      </c>
      <c r="AC1621" t="s">
        <v>5038</v>
      </c>
      <c r="AD1621" t="s">
        <v>114</v>
      </c>
      <c r="AE1621" s="63">
        <v>45363</v>
      </c>
      <c r="AF1621" t="s">
        <v>113</v>
      </c>
      <c r="AG1621" t="s">
        <v>112</v>
      </c>
      <c r="AH1621" t="s">
        <v>112</v>
      </c>
      <c r="AI1621" s="63">
        <v>43390</v>
      </c>
      <c r="AJ1621" s="63">
        <v>45657</v>
      </c>
      <c r="AK1621" t="s">
        <v>111</v>
      </c>
      <c r="AL1621" t="s">
        <v>111</v>
      </c>
      <c r="AM1621" t="s">
        <v>111</v>
      </c>
      <c r="AN1621">
        <v>2956</v>
      </c>
      <c r="AO1621" t="s">
        <v>110</v>
      </c>
      <c r="AP1621" t="s">
        <v>109</v>
      </c>
    </row>
    <row r="1622" spans="1:42" x14ac:dyDescent="0.25">
      <c r="A1622" s="28" t="str">
        <f>"2013"</f>
        <v>2013</v>
      </c>
      <c r="B1622">
        <v>2013</v>
      </c>
      <c r="C1622" t="s">
        <v>2488</v>
      </c>
      <c r="D1622" t="s">
        <v>121</v>
      </c>
      <c r="F1622" t="s">
        <v>120</v>
      </c>
      <c r="G1622" t="s">
        <v>492</v>
      </c>
      <c r="I1622" t="s">
        <v>428</v>
      </c>
      <c r="J1622" t="s">
        <v>7</v>
      </c>
      <c r="K1622" s="63">
        <v>17475</v>
      </c>
      <c r="L1622" s="28">
        <f>DATEDIF(K1622,Zwift25!G$1,"Y")</f>
        <v>76</v>
      </c>
      <c r="M1622" s="67">
        <f>IF(J1622="m",VLOOKUP(L1622,'All Solo Adjustments'!A:D,4,FALSE),VLOOKUP(L1622,'All Solo Adjustments'!A:J,10,FALSE))</f>
        <v>8.912037037037036E-3</v>
      </c>
      <c r="N1622" s="63"/>
      <c r="O1622" s="63"/>
      <c r="P1622" s="63"/>
      <c r="Q1622" s="63"/>
      <c r="R1622" t="s">
        <v>198</v>
      </c>
      <c r="S1622" t="s">
        <v>461</v>
      </c>
      <c r="T1622" t="s">
        <v>292</v>
      </c>
      <c r="U1622" t="s">
        <v>5037</v>
      </c>
      <c r="V1622" t="s">
        <v>5036</v>
      </c>
      <c r="W1622" t="s">
        <v>532</v>
      </c>
      <c r="X1622" t="s">
        <v>495</v>
      </c>
      <c r="Y1622" t="s">
        <v>5035</v>
      </c>
      <c r="Z1622" t="str">
        <f>"01782644334"</f>
        <v>01782644334</v>
      </c>
      <c r="AA1622" t="str">
        <f>""</f>
        <v/>
      </c>
      <c r="AB1622" t="s">
        <v>1232</v>
      </c>
      <c r="AC1622" t="s">
        <v>5034</v>
      </c>
      <c r="AD1622" t="s">
        <v>145</v>
      </c>
      <c r="AE1622" s="63">
        <v>45299</v>
      </c>
      <c r="AF1622" t="s">
        <v>113</v>
      </c>
      <c r="AG1622" t="s">
        <v>112</v>
      </c>
      <c r="AH1622" t="s">
        <v>112</v>
      </c>
      <c r="AI1622" s="63">
        <v>33328</v>
      </c>
      <c r="AJ1622" s="63">
        <v>45657</v>
      </c>
      <c r="AK1622" t="s">
        <v>111</v>
      </c>
      <c r="AL1622" t="s">
        <v>111</v>
      </c>
      <c r="AM1622" t="s">
        <v>111</v>
      </c>
      <c r="AN1622" t="s">
        <v>105</v>
      </c>
      <c r="AO1622" t="s">
        <v>110</v>
      </c>
      <c r="AP1622" t="s">
        <v>109</v>
      </c>
    </row>
    <row r="1623" spans="1:42" x14ac:dyDescent="0.25">
      <c r="A1623" s="28" t="str">
        <f>"2016"</f>
        <v>2016</v>
      </c>
      <c r="B1623">
        <v>2016</v>
      </c>
      <c r="C1623" t="s">
        <v>2488</v>
      </c>
      <c r="D1623" t="s">
        <v>121</v>
      </c>
      <c r="F1623" t="s">
        <v>139</v>
      </c>
      <c r="G1623" t="s">
        <v>148</v>
      </c>
      <c r="I1623" t="s">
        <v>428</v>
      </c>
      <c r="J1623" t="s">
        <v>126</v>
      </c>
      <c r="K1623" s="63">
        <v>21183</v>
      </c>
      <c r="L1623" s="28">
        <f>DATEDIF(K1623,Zwift25!G$1,"Y")</f>
        <v>66</v>
      </c>
      <c r="M1623" s="67">
        <f>IF(J1623="m",VLOOKUP(L1623,'All Solo Adjustments'!A:D,4,FALSE),VLOOKUP(L1623,'All Solo Adjustments'!A:J,10,FALSE))</f>
        <v>9.4907407407407406E-3</v>
      </c>
      <c r="N1623" s="63"/>
      <c r="O1623" s="63"/>
      <c r="P1623" s="63"/>
      <c r="Q1623" s="63"/>
      <c r="R1623" t="s">
        <v>198</v>
      </c>
      <c r="S1623" t="s">
        <v>476</v>
      </c>
      <c r="T1623" t="s">
        <v>292</v>
      </c>
      <c r="U1623" t="s">
        <v>5033</v>
      </c>
      <c r="V1623" t="s">
        <v>5032</v>
      </c>
      <c r="W1623" t="s">
        <v>5031</v>
      </c>
      <c r="X1623" t="s">
        <v>810</v>
      </c>
      <c r="Y1623" t="s">
        <v>5030</v>
      </c>
      <c r="Z1623" t="str">
        <f>"01228 534803"</f>
        <v>01228 534803</v>
      </c>
      <c r="AA1623" t="str">
        <f>"07375033345"</f>
        <v>07375033345</v>
      </c>
      <c r="AB1623" t="s">
        <v>1269</v>
      </c>
      <c r="AC1623" t="s">
        <v>5029</v>
      </c>
      <c r="AD1623" t="s">
        <v>145</v>
      </c>
      <c r="AF1623" t="s">
        <v>156</v>
      </c>
      <c r="AG1623" t="s">
        <v>112</v>
      </c>
      <c r="AH1623" t="s">
        <v>112</v>
      </c>
      <c r="AI1623" s="63">
        <v>40575</v>
      </c>
      <c r="AK1623" t="s">
        <v>111</v>
      </c>
      <c r="AL1623" t="s">
        <v>111</v>
      </c>
      <c r="AM1623" t="s">
        <v>111</v>
      </c>
      <c r="AN1623" t="s">
        <v>105</v>
      </c>
      <c r="AO1623" t="s">
        <v>122</v>
      </c>
      <c r="AP1623" t="s">
        <v>122</v>
      </c>
    </row>
    <row r="1624" spans="1:42" x14ac:dyDescent="0.25">
      <c r="A1624" s="28" t="str">
        <f>"2014"</f>
        <v>2014</v>
      </c>
      <c r="B1624">
        <v>2014</v>
      </c>
      <c r="C1624" t="s">
        <v>2488</v>
      </c>
      <c r="D1624" t="s">
        <v>121</v>
      </c>
      <c r="F1624" t="s">
        <v>149</v>
      </c>
      <c r="G1624" t="s">
        <v>5028</v>
      </c>
      <c r="I1624" t="s">
        <v>428</v>
      </c>
      <c r="J1624" t="s">
        <v>126</v>
      </c>
      <c r="K1624" s="63">
        <v>11022</v>
      </c>
      <c r="L1624" s="28">
        <f>DATEDIF(K1624,Zwift25!G$1,"Y")</f>
        <v>94</v>
      </c>
      <c r="M1624" s="67">
        <f>IF(J1624="m",VLOOKUP(L1624,'All Solo Adjustments'!A:D,4,FALSE),VLOOKUP(L1624,'All Solo Adjustments'!A:J,10,FALSE))</f>
        <v>2.9988425925925925E-2</v>
      </c>
      <c r="N1624" s="63"/>
      <c r="O1624" s="63"/>
      <c r="P1624" s="63"/>
      <c r="Q1624" s="63"/>
      <c r="R1624" t="s">
        <v>198</v>
      </c>
      <c r="S1624" t="s">
        <v>476</v>
      </c>
      <c r="T1624" t="s">
        <v>292</v>
      </c>
      <c r="U1624" t="s">
        <v>5027</v>
      </c>
      <c r="V1624" t="s">
        <v>5026</v>
      </c>
      <c r="W1624" t="s">
        <v>1004</v>
      </c>
      <c r="X1624" t="s">
        <v>196</v>
      </c>
      <c r="Y1624" t="s">
        <v>5025</v>
      </c>
      <c r="Z1624" t="str">
        <f>"01625 424345"</f>
        <v>01625 424345</v>
      </c>
      <c r="AA1624" t="str">
        <f>""</f>
        <v/>
      </c>
      <c r="AB1624" t="s">
        <v>290</v>
      </c>
      <c r="AD1624" t="s">
        <v>151</v>
      </c>
      <c r="AF1624" t="s">
        <v>113</v>
      </c>
      <c r="AG1624" t="s">
        <v>112</v>
      </c>
      <c r="AH1624" t="s">
        <v>112</v>
      </c>
      <c r="AI1624" s="63">
        <v>27060</v>
      </c>
      <c r="AK1624" t="s">
        <v>111</v>
      </c>
      <c r="AL1624" t="s">
        <v>111</v>
      </c>
      <c r="AM1624" t="s">
        <v>111</v>
      </c>
      <c r="AN1624" t="s">
        <v>105</v>
      </c>
      <c r="AO1624" t="s">
        <v>122</v>
      </c>
      <c r="AP1624" t="s">
        <v>122</v>
      </c>
    </row>
    <row r="1625" spans="1:42" x14ac:dyDescent="0.25">
      <c r="A1625" s="28" t="str">
        <f>"2015"</f>
        <v>2015</v>
      </c>
      <c r="B1625">
        <v>2015</v>
      </c>
      <c r="C1625" t="s">
        <v>2488</v>
      </c>
      <c r="D1625" t="s">
        <v>121</v>
      </c>
      <c r="F1625" t="s">
        <v>120</v>
      </c>
      <c r="G1625" t="s">
        <v>195</v>
      </c>
      <c r="H1625" t="s">
        <v>284</v>
      </c>
      <c r="I1625" t="s">
        <v>428</v>
      </c>
      <c r="J1625" t="s">
        <v>7</v>
      </c>
      <c r="K1625" s="63">
        <v>15768</v>
      </c>
      <c r="L1625" s="28">
        <f>DATEDIF(K1625,Zwift25!G$1,"Y")</f>
        <v>81</v>
      </c>
      <c r="M1625" s="67">
        <f>IF(J1625="m",VLOOKUP(L1625,'All Solo Adjustments'!A:D,4,FALSE),VLOOKUP(L1625,'All Solo Adjustments'!A:J,10,FALSE))</f>
        <v>1.1597222222222222E-2</v>
      </c>
      <c r="N1625" s="63"/>
      <c r="O1625" s="63"/>
      <c r="P1625" s="63"/>
      <c r="Q1625" s="63"/>
      <c r="R1625" t="s">
        <v>198</v>
      </c>
      <c r="S1625" t="s">
        <v>461</v>
      </c>
      <c r="T1625" t="s">
        <v>292</v>
      </c>
      <c r="U1625" t="s">
        <v>5024</v>
      </c>
      <c r="V1625" t="s">
        <v>1004</v>
      </c>
      <c r="W1625" t="s">
        <v>196</v>
      </c>
      <c r="Y1625" t="s">
        <v>5023</v>
      </c>
      <c r="Z1625" t="str">
        <f>"01625 610889"</f>
        <v>01625 610889</v>
      </c>
      <c r="AA1625" t="str">
        <f>"07890629080"</f>
        <v>07890629080</v>
      </c>
      <c r="AB1625" t="s">
        <v>1003</v>
      </c>
      <c r="AC1625" t="s">
        <v>5022</v>
      </c>
      <c r="AD1625" t="s">
        <v>114</v>
      </c>
      <c r="AE1625" s="63">
        <v>45263</v>
      </c>
      <c r="AF1625" t="s">
        <v>113</v>
      </c>
      <c r="AG1625" t="s">
        <v>112</v>
      </c>
      <c r="AH1625" t="s">
        <v>112</v>
      </c>
      <c r="AI1625" s="63">
        <v>33269</v>
      </c>
      <c r="AJ1625" s="63">
        <v>45657</v>
      </c>
      <c r="AK1625" t="s">
        <v>111</v>
      </c>
      <c r="AL1625" t="s">
        <v>111</v>
      </c>
      <c r="AM1625" t="s">
        <v>111</v>
      </c>
      <c r="AN1625">
        <v>8961</v>
      </c>
      <c r="AO1625" t="s">
        <v>110</v>
      </c>
      <c r="AP1625" t="s">
        <v>109</v>
      </c>
    </row>
    <row r="1626" spans="1:42" x14ac:dyDescent="0.25">
      <c r="A1626" s="28" t="str">
        <f>"13630"</f>
        <v>13630</v>
      </c>
      <c r="B1626">
        <v>13630</v>
      </c>
      <c r="C1626" t="s">
        <v>2488</v>
      </c>
      <c r="D1626" t="s">
        <v>121</v>
      </c>
      <c r="F1626" t="s">
        <v>120</v>
      </c>
      <c r="G1626" t="s">
        <v>5021</v>
      </c>
      <c r="I1626" t="s">
        <v>428</v>
      </c>
      <c r="J1626" t="s">
        <v>7</v>
      </c>
      <c r="K1626" s="63">
        <v>27816</v>
      </c>
      <c r="L1626" s="28">
        <f>DATEDIF(K1626,Zwift25!G$1,"Y")</f>
        <v>48</v>
      </c>
      <c r="M1626" s="67">
        <f>IF(J1626="m",VLOOKUP(L1626,'All Solo Adjustments'!A:D,4,FALSE),VLOOKUP(L1626,'All Solo Adjustments'!A:J,10,FALSE))</f>
        <v>8.3333333333333339E-4</v>
      </c>
      <c r="N1626" s="63"/>
      <c r="O1626" s="63"/>
      <c r="P1626" s="63"/>
      <c r="Q1626" s="63"/>
      <c r="R1626" t="s">
        <v>239</v>
      </c>
      <c r="S1626" t="s">
        <v>274</v>
      </c>
      <c r="T1626" t="s">
        <v>292</v>
      </c>
      <c r="U1626" t="s">
        <v>5020</v>
      </c>
      <c r="V1626" t="s">
        <v>547</v>
      </c>
      <c r="W1626" t="s">
        <v>239</v>
      </c>
      <c r="Y1626" t="s">
        <v>5019</v>
      </c>
      <c r="Z1626" t="str">
        <f>"07814677969"</f>
        <v>07814677969</v>
      </c>
      <c r="AA1626" t="str">
        <f>""</f>
        <v/>
      </c>
      <c r="AC1626" t="s">
        <v>5018</v>
      </c>
      <c r="AD1626" t="s">
        <v>114</v>
      </c>
      <c r="AE1626" s="63">
        <v>45426</v>
      </c>
      <c r="AF1626" t="s">
        <v>156</v>
      </c>
      <c r="AG1626" t="s">
        <v>112</v>
      </c>
      <c r="AH1626" t="s">
        <v>112</v>
      </c>
      <c r="AI1626" s="63">
        <v>43263</v>
      </c>
      <c r="AJ1626" s="63">
        <v>45657</v>
      </c>
      <c r="AK1626" t="s">
        <v>112</v>
      </c>
      <c r="AL1626" t="s">
        <v>111</v>
      </c>
      <c r="AM1626" t="s">
        <v>111</v>
      </c>
      <c r="AN1626">
        <v>25072</v>
      </c>
      <c r="AO1626" t="s">
        <v>110</v>
      </c>
      <c r="AP1626" t="s">
        <v>109</v>
      </c>
    </row>
    <row r="1627" spans="1:42" x14ac:dyDescent="0.25">
      <c r="A1627" s="28" t="str">
        <f>"14486"</f>
        <v>14486</v>
      </c>
      <c r="B1627">
        <v>14486</v>
      </c>
      <c r="C1627" t="s">
        <v>2488</v>
      </c>
      <c r="D1627" t="s">
        <v>121</v>
      </c>
      <c r="F1627" t="s">
        <v>120</v>
      </c>
      <c r="G1627" t="s">
        <v>1267</v>
      </c>
      <c r="I1627" t="s">
        <v>5017</v>
      </c>
      <c r="J1627" t="s">
        <v>7</v>
      </c>
      <c r="K1627" s="63">
        <v>22560</v>
      </c>
      <c r="L1627" s="28">
        <f>DATEDIF(K1627,Zwift25!G$1,"Y")</f>
        <v>63</v>
      </c>
      <c r="M1627" s="67">
        <f>IF(J1627="m",VLOOKUP(L1627,'All Solo Adjustments'!A:D,4,FALSE),VLOOKUP(L1627,'All Solo Adjustments'!A:J,10,FALSE))</f>
        <v>4.0277777777777777E-3</v>
      </c>
      <c r="N1627" s="63"/>
      <c r="O1627" s="63"/>
      <c r="P1627" s="63"/>
      <c r="Q1627" s="63"/>
      <c r="R1627" t="s">
        <v>527</v>
      </c>
      <c r="S1627" t="s">
        <v>526</v>
      </c>
      <c r="T1627" t="s">
        <v>292</v>
      </c>
      <c r="U1627" t="s">
        <v>5016</v>
      </c>
      <c r="V1627" t="s">
        <v>5015</v>
      </c>
      <c r="W1627" t="s">
        <v>5014</v>
      </c>
      <c r="Y1627" t="s">
        <v>5013</v>
      </c>
      <c r="Z1627" t="str">
        <f>"01609772731"</f>
        <v>01609772731</v>
      </c>
      <c r="AA1627" t="str">
        <f>""</f>
        <v/>
      </c>
      <c r="AB1627" t="s">
        <v>5012</v>
      </c>
      <c r="AC1627" t="s">
        <v>5011</v>
      </c>
      <c r="AD1627" t="s">
        <v>114</v>
      </c>
      <c r="AE1627" s="63">
        <v>45263</v>
      </c>
      <c r="AF1627" t="s">
        <v>113</v>
      </c>
      <c r="AG1627" t="s">
        <v>112</v>
      </c>
      <c r="AH1627" t="s">
        <v>112</v>
      </c>
      <c r="AI1627" s="63">
        <v>43880</v>
      </c>
      <c r="AJ1627" s="63">
        <v>45657</v>
      </c>
      <c r="AK1627" t="s">
        <v>112</v>
      </c>
      <c r="AL1627" t="s">
        <v>111</v>
      </c>
      <c r="AM1627" t="s">
        <v>111</v>
      </c>
      <c r="AN1627">
        <v>15598</v>
      </c>
      <c r="AO1627" t="s">
        <v>110</v>
      </c>
      <c r="AP1627" t="s">
        <v>109</v>
      </c>
    </row>
    <row r="1628" spans="1:42" x14ac:dyDescent="0.25">
      <c r="A1628" s="28" t="str">
        <f>"15659"</f>
        <v>15659</v>
      </c>
      <c r="B1628">
        <v>15659</v>
      </c>
      <c r="C1628" t="s">
        <v>2488</v>
      </c>
      <c r="D1628" t="s">
        <v>121</v>
      </c>
      <c r="E1628" t="s">
        <v>584</v>
      </c>
      <c r="F1628" t="s">
        <v>120</v>
      </c>
      <c r="G1628" t="s">
        <v>304</v>
      </c>
      <c r="I1628" t="s">
        <v>428</v>
      </c>
      <c r="J1628" t="s">
        <v>7</v>
      </c>
      <c r="K1628" s="63">
        <v>26107</v>
      </c>
      <c r="L1628" s="28">
        <f>DATEDIF(K1628,Zwift25!G$1,"Y")</f>
        <v>53</v>
      </c>
      <c r="M1628" s="67">
        <f>IF(J1628="m",VLOOKUP(L1628,'All Solo Adjustments'!A:D,4,FALSE),VLOOKUP(L1628,'All Solo Adjustments'!A:J,10,FALSE))</f>
        <v>1.6666666666666668E-3</v>
      </c>
      <c r="N1628" s="63"/>
      <c r="O1628" s="63"/>
      <c r="P1628" s="63"/>
      <c r="Q1628" s="63"/>
      <c r="R1628" t="s">
        <v>296</v>
      </c>
      <c r="S1628" t="s">
        <v>295</v>
      </c>
      <c r="T1628" t="s">
        <v>292</v>
      </c>
      <c r="U1628" t="s">
        <v>5010</v>
      </c>
      <c r="V1628" t="s">
        <v>5009</v>
      </c>
      <c r="W1628" t="s">
        <v>1645</v>
      </c>
      <c r="Y1628" t="s">
        <v>5008</v>
      </c>
      <c r="Z1628" t="str">
        <f>"07717747645"</f>
        <v>07717747645</v>
      </c>
      <c r="AA1628" t="str">
        <f>""</f>
        <v/>
      </c>
      <c r="AB1628" t="s">
        <v>5007</v>
      </c>
      <c r="AC1628" t="s">
        <v>5006</v>
      </c>
      <c r="AD1628" t="s">
        <v>114</v>
      </c>
      <c r="AE1628" s="63">
        <v>45295</v>
      </c>
      <c r="AF1628" t="s">
        <v>156</v>
      </c>
      <c r="AG1628" t="s">
        <v>112</v>
      </c>
      <c r="AH1628" t="s">
        <v>112</v>
      </c>
      <c r="AI1628" s="63">
        <v>44942</v>
      </c>
      <c r="AJ1628" s="63">
        <v>45657</v>
      </c>
      <c r="AK1628" t="s">
        <v>112</v>
      </c>
      <c r="AL1628" t="s">
        <v>111</v>
      </c>
      <c r="AM1628" t="s">
        <v>111</v>
      </c>
      <c r="AN1628">
        <v>18384</v>
      </c>
      <c r="AO1628" t="s">
        <v>110</v>
      </c>
      <c r="AP1628" t="s">
        <v>109</v>
      </c>
    </row>
    <row r="1629" spans="1:42" x14ac:dyDescent="0.25">
      <c r="A1629" s="28" t="str">
        <f>"2028"</f>
        <v>2028</v>
      </c>
      <c r="B1629">
        <v>2028</v>
      </c>
      <c r="C1629" t="s">
        <v>2488</v>
      </c>
      <c r="D1629" t="s">
        <v>121</v>
      </c>
      <c r="F1629" t="s">
        <v>120</v>
      </c>
      <c r="G1629" t="s">
        <v>1160</v>
      </c>
      <c r="H1629" t="s">
        <v>112</v>
      </c>
      <c r="I1629" t="s">
        <v>1435</v>
      </c>
      <c r="J1629" t="s">
        <v>7</v>
      </c>
      <c r="K1629" s="63">
        <v>13602</v>
      </c>
      <c r="L1629" s="28">
        <f>DATEDIF(K1629,Zwift25!G$1,"Y")</f>
        <v>87</v>
      </c>
      <c r="M1629" s="67">
        <f>IF(J1629="m",VLOOKUP(L1629,'All Solo Adjustments'!A:D,4,FALSE),VLOOKUP(L1629,'All Solo Adjustments'!A:J,10,FALSE))</f>
        <v>1.576388888888889E-2</v>
      </c>
      <c r="N1629" s="63"/>
      <c r="O1629" s="63"/>
      <c r="P1629" s="63"/>
      <c r="Q1629" s="63"/>
      <c r="R1629" t="s">
        <v>296</v>
      </c>
      <c r="S1629" t="s">
        <v>2310</v>
      </c>
      <c r="T1629" t="s">
        <v>292</v>
      </c>
      <c r="U1629" t="s">
        <v>5005</v>
      </c>
      <c r="V1629" t="s">
        <v>4530</v>
      </c>
      <c r="Y1629" t="s">
        <v>5004</v>
      </c>
      <c r="Z1629" t="str">
        <f>"01382 778379"</f>
        <v>01382 778379</v>
      </c>
      <c r="AA1629" t="str">
        <f>"01382778379"</f>
        <v>01382778379</v>
      </c>
      <c r="AB1629" t="s">
        <v>4528</v>
      </c>
      <c r="AC1629" t="s">
        <v>5003</v>
      </c>
      <c r="AD1629" t="s">
        <v>151</v>
      </c>
      <c r="AF1629" t="s">
        <v>113</v>
      </c>
      <c r="AG1629" t="s">
        <v>112</v>
      </c>
      <c r="AH1629" t="s">
        <v>112</v>
      </c>
      <c r="AI1629" s="63">
        <v>31140</v>
      </c>
      <c r="AK1629" t="s">
        <v>111</v>
      </c>
      <c r="AL1629" t="s">
        <v>111</v>
      </c>
      <c r="AM1629" t="s">
        <v>111</v>
      </c>
      <c r="AN1629" t="s">
        <v>105</v>
      </c>
      <c r="AO1629" t="s">
        <v>110</v>
      </c>
      <c r="AP1629" t="s">
        <v>109</v>
      </c>
    </row>
    <row r="1630" spans="1:42" x14ac:dyDescent="0.25">
      <c r="A1630" s="28" t="str">
        <f>"2031"</f>
        <v>2031</v>
      </c>
      <c r="B1630">
        <v>2031</v>
      </c>
      <c r="C1630" t="s">
        <v>2488</v>
      </c>
      <c r="D1630" t="s">
        <v>121</v>
      </c>
      <c r="F1630" t="s">
        <v>120</v>
      </c>
      <c r="G1630" t="s">
        <v>481</v>
      </c>
      <c r="H1630" t="s">
        <v>5002</v>
      </c>
      <c r="I1630" t="s">
        <v>1435</v>
      </c>
      <c r="J1630" t="s">
        <v>7</v>
      </c>
      <c r="K1630" s="63">
        <v>14908</v>
      </c>
      <c r="L1630" s="28">
        <f>DATEDIF(K1630,Zwift25!G$1,"Y")</f>
        <v>83</v>
      </c>
      <c r="M1630" s="67">
        <f>IF(J1630="m",VLOOKUP(L1630,'All Solo Adjustments'!A:D,4,FALSE),VLOOKUP(L1630,'All Solo Adjustments'!A:J,10,FALSE))</f>
        <v>1.2858796296296297E-2</v>
      </c>
      <c r="N1630" s="63"/>
      <c r="O1630" s="63"/>
      <c r="P1630" s="63"/>
      <c r="Q1630" s="63"/>
      <c r="R1630" t="s">
        <v>296</v>
      </c>
      <c r="S1630" t="s">
        <v>2310</v>
      </c>
      <c r="T1630" t="s">
        <v>292</v>
      </c>
      <c r="U1630" t="s">
        <v>5001</v>
      </c>
      <c r="V1630" t="s">
        <v>2018</v>
      </c>
      <c r="W1630" t="s">
        <v>2034</v>
      </c>
      <c r="Y1630" t="s">
        <v>5000</v>
      </c>
      <c r="Z1630" t="str">
        <f>"01309 673811"</f>
        <v>01309 673811</v>
      </c>
      <c r="AA1630" t="str">
        <f>"07484779630"</f>
        <v>07484779630</v>
      </c>
      <c r="AB1630" t="s">
        <v>4999</v>
      </c>
      <c r="AC1630" t="s">
        <v>4998</v>
      </c>
      <c r="AD1630" t="s">
        <v>145</v>
      </c>
      <c r="AF1630" t="s">
        <v>113</v>
      </c>
      <c r="AG1630" t="s">
        <v>112</v>
      </c>
      <c r="AH1630" t="s">
        <v>112</v>
      </c>
      <c r="AI1630" s="63">
        <v>35925</v>
      </c>
      <c r="AK1630" t="s">
        <v>111</v>
      </c>
      <c r="AL1630" t="s">
        <v>111</v>
      </c>
      <c r="AM1630" t="s">
        <v>111</v>
      </c>
      <c r="AN1630" t="s">
        <v>105</v>
      </c>
      <c r="AO1630" t="s">
        <v>110</v>
      </c>
      <c r="AP1630" t="s">
        <v>109</v>
      </c>
    </row>
    <row r="1631" spans="1:42" x14ac:dyDescent="0.25">
      <c r="A1631" s="28" t="str">
        <f>"5839"</f>
        <v>5839</v>
      </c>
      <c r="B1631">
        <v>5839</v>
      </c>
      <c r="C1631" t="s">
        <v>2488</v>
      </c>
      <c r="D1631" t="s">
        <v>121</v>
      </c>
      <c r="F1631" t="s">
        <v>120</v>
      </c>
      <c r="G1631" t="s">
        <v>818</v>
      </c>
      <c r="I1631" t="s">
        <v>4997</v>
      </c>
      <c r="J1631" t="s">
        <v>7</v>
      </c>
      <c r="K1631" s="63">
        <v>19997</v>
      </c>
      <c r="L1631" s="28">
        <f>DATEDIF(K1631,Zwift25!G$1,"Y")</f>
        <v>70</v>
      </c>
      <c r="M1631" s="67">
        <f>IF(J1631="m",VLOOKUP(L1631,'All Solo Adjustments'!A:D,4,FALSE),VLOOKUP(L1631,'All Solo Adjustments'!A:J,10,FALSE))</f>
        <v>6.3425925925925924E-3</v>
      </c>
      <c r="N1631" s="63"/>
      <c r="O1631" s="63"/>
      <c r="P1631" s="63"/>
      <c r="Q1631" s="63"/>
      <c r="R1631" t="s">
        <v>213</v>
      </c>
      <c r="S1631" t="s">
        <v>212</v>
      </c>
      <c r="T1631" t="s">
        <v>292</v>
      </c>
      <c r="U1631" t="s">
        <v>4996</v>
      </c>
      <c r="V1631" t="s">
        <v>4995</v>
      </c>
      <c r="W1631" t="s">
        <v>1053</v>
      </c>
      <c r="X1631" t="s">
        <v>534</v>
      </c>
      <c r="Y1631" t="s">
        <v>4994</v>
      </c>
      <c r="Z1631" t="str">
        <f>"07933 788657"</f>
        <v>07933 788657</v>
      </c>
      <c r="AA1631" t="str">
        <f>""</f>
        <v/>
      </c>
      <c r="AB1631" t="s">
        <v>4993</v>
      </c>
      <c r="AC1631" t="s">
        <v>4992</v>
      </c>
      <c r="AD1631" t="s">
        <v>114</v>
      </c>
      <c r="AE1631" s="63">
        <v>45355</v>
      </c>
      <c r="AF1631" t="s">
        <v>156</v>
      </c>
      <c r="AG1631" t="s">
        <v>112</v>
      </c>
      <c r="AH1631" t="s">
        <v>112</v>
      </c>
      <c r="AI1631" s="63">
        <v>42390</v>
      </c>
      <c r="AJ1631" s="63">
        <v>45657</v>
      </c>
      <c r="AK1631" t="s">
        <v>111</v>
      </c>
      <c r="AL1631" t="s">
        <v>111</v>
      </c>
      <c r="AM1631" t="s">
        <v>111</v>
      </c>
      <c r="AN1631">
        <v>2510</v>
      </c>
      <c r="AO1631" t="s">
        <v>110</v>
      </c>
      <c r="AP1631" t="s">
        <v>109</v>
      </c>
    </row>
    <row r="1632" spans="1:42" x14ac:dyDescent="0.25">
      <c r="A1632" s="28" t="str">
        <f>"2034"</f>
        <v>2034</v>
      </c>
      <c r="B1632">
        <v>2034</v>
      </c>
      <c r="C1632" t="s">
        <v>2488</v>
      </c>
      <c r="D1632" t="s">
        <v>121</v>
      </c>
      <c r="F1632" t="s">
        <v>120</v>
      </c>
      <c r="G1632" t="s">
        <v>2344</v>
      </c>
      <c r="I1632" t="s">
        <v>4991</v>
      </c>
      <c r="J1632" t="s">
        <v>7</v>
      </c>
      <c r="K1632" s="63">
        <v>11185</v>
      </c>
      <c r="L1632" s="28">
        <f>DATEDIF(K1632,Zwift25!G$1,"Y")</f>
        <v>94</v>
      </c>
      <c r="M1632" s="67">
        <f>IF(J1632="m",VLOOKUP(L1632,'All Solo Adjustments'!A:D,4,FALSE),VLOOKUP(L1632,'All Solo Adjustments'!A:J,10,FALSE))</f>
        <v>2.2685185185185187E-2</v>
      </c>
      <c r="N1632" s="63"/>
      <c r="O1632" s="63"/>
      <c r="P1632" s="63"/>
      <c r="Q1632" s="63"/>
      <c r="R1632" t="s">
        <v>328</v>
      </c>
      <c r="S1632" t="s">
        <v>2290</v>
      </c>
      <c r="T1632" t="s">
        <v>292</v>
      </c>
      <c r="U1632" t="s">
        <v>4990</v>
      </c>
      <c r="V1632" t="s">
        <v>4989</v>
      </c>
      <c r="W1632" t="s">
        <v>4627</v>
      </c>
      <c r="X1632" t="s">
        <v>1510</v>
      </c>
      <c r="Y1632" t="s">
        <v>4988</v>
      </c>
      <c r="Z1632" t="str">
        <f>"01947 884167"</f>
        <v>01947 884167</v>
      </c>
      <c r="AA1632" t="str">
        <f>""</f>
        <v/>
      </c>
      <c r="AB1632" t="s">
        <v>1563</v>
      </c>
      <c r="AD1632" t="s">
        <v>151</v>
      </c>
      <c r="AF1632" t="s">
        <v>113</v>
      </c>
      <c r="AG1632" t="s">
        <v>112</v>
      </c>
      <c r="AH1632" t="s">
        <v>112</v>
      </c>
      <c r="AK1632" t="s">
        <v>111</v>
      </c>
      <c r="AL1632" t="s">
        <v>111</v>
      </c>
      <c r="AM1632" t="s">
        <v>111</v>
      </c>
      <c r="AN1632" t="s">
        <v>105</v>
      </c>
      <c r="AO1632" t="s">
        <v>110</v>
      </c>
      <c r="AP1632" t="s">
        <v>109</v>
      </c>
    </row>
    <row r="1633" spans="1:42" x14ac:dyDescent="0.25">
      <c r="A1633" s="28" t="str">
        <f>"2035"</f>
        <v>2035</v>
      </c>
      <c r="B1633">
        <v>2035</v>
      </c>
      <c r="C1633" t="s">
        <v>2488</v>
      </c>
      <c r="D1633" t="s">
        <v>121</v>
      </c>
      <c r="F1633" t="s">
        <v>149</v>
      </c>
      <c r="G1633" t="s">
        <v>2327</v>
      </c>
      <c r="I1633" t="s">
        <v>4987</v>
      </c>
      <c r="J1633" t="s">
        <v>126</v>
      </c>
      <c r="K1633" s="63">
        <v>10721</v>
      </c>
      <c r="L1633" s="28">
        <f>DATEDIF(K1633,Zwift25!G$1,"Y")</f>
        <v>95</v>
      </c>
      <c r="M1633" s="67">
        <f>IF(J1633="m",VLOOKUP(L1633,'All Solo Adjustments'!A:D,4,FALSE),VLOOKUP(L1633,'All Solo Adjustments'!A:J,10,FALSE))</f>
        <v>3.1412037037037037E-2</v>
      </c>
      <c r="N1633" s="63"/>
      <c r="O1633" s="63"/>
      <c r="P1633" s="63"/>
      <c r="Q1633" s="63"/>
      <c r="R1633" t="s">
        <v>184</v>
      </c>
      <c r="S1633" t="s">
        <v>835</v>
      </c>
      <c r="T1633" t="s">
        <v>292</v>
      </c>
      <c r="U1633" t="s">
        <v>4986</v>
      </c>
      <c r="V1633" t="s">
        <v>1544</v>
      </c>
      <c r="W1633" t="s">
        <v>1531</v>
      </c>
      <c r="Y1633" t="s">
        <v>4985</v>
      </c>
      <c r="Z1633" t="str">
        <f>"01775 422068"</f>
        <v>01775 422068</v>
      </c>
      <c r="AA1633" t="str">
        <f>""</f>
        <v/>
      </c>
      <c r="AB1633" t="s">
        <v>870</v>
      </c>
      <c r="AC1633" t="s">
        <v>4984</v>
      </c>
      <c r="AD1633" t="s">
        <v>151</v>
      </c>
      <c r="AF1633" t="s">
        <v>156</v>
      </c>
      <c r="AG1633" t="s">
        <v>112</v>
      </c>
      <c r="AH1633" t="s">
        <v>112</v>
      </c>
      <c r="AK1633" t="s">
        <v>111</v>
      </c>
      <c r="AL1633" t="s">
        <v>111</v>
      </c>
      <c r="AM1633" t="s">
        <v>111</v>
      </c>
      <c r="AN1633">
        <v>36652</v>
      </c>
      <c r="AO1633" t="s">
        <v>122</v>
      </c>
      <c r="AP1633" t="s">
        <v>122</v>
      </c>
    </row>
    <row r="1634" spans="1:42" x14ac:dyDescent="0.25">
      <c r="A1634" s="28" t="str">
        <f>"2041"</f>
        <v>2041</v>
      </c>
      <c r="B1634">
        <v>2041</v>
      </c>
      <c r="C1634" t="s">
        <v>2488</v>
      </c>
      <c r="D1634" t="s">
        <v>121</v>
      </c>
      <c r="F1634" t="s">
        <v>120</v>
      </c>
      <c r="G1634" t="s">
        <v>492</v>
      </c>
      <c r="I1634" t="s">
        <v>426</v>
      </c>
      <c r="J1634" t="s">
        <v>7</v>
      </c>
      <c r="K1634" s="63">
        <v>14939</v>
      </c>
      <c r="L1634" s="28">
        <f>DATEDIF(K1634,Zwift25!G$1,"Y")</f>
        <v>83</v>
      </c>
      <c r="M1634" s="67">
        <f>IF(J1634="m",VLOOKUP(L1634,'All Solo Adjustments'!A:D,4,FALSE),VLOOKUP(L1634,'All Solo Adjustments'!A:J,10,FALSE))</f>
        <v>1.2858796296296297E-2</v>
      </c>
      <c r="N1634" s="63"/>
      <c r="O1634" s="63"/>
      <c r="P1634" s="63"/>
      <c r="Q1634" s="63"/>
      <c r="R1634" t="s">
        <v>143</v>
      </c>
      <c r="S1634" t="s">
        <v>487</v>
      </c>
      <c r="T1634" t="s">
        <v>292</v>
      </c>
      <c r="U1634" t="s">
        <v>4983</v>
      </c>
      <c r="V1634" t="s">
        <v>4982</v>
      </c>
      <c r="W1634" t="s">
        <v>242</v>
      </c>
      <c r="X1634" t="s">
        <v>172</v>
      </c>
      <c r="Y1634" t="s">
        <v>4981</v>
      </c>
      <c r="Z1634" t="str">
        <f>"01293 886466"</f>
        <v>01293 886466</v>
      </c>
      <c r="AA1634" t="str">
        <f>""</f>
        <v/>
      </c>
      <c r="AB1634" t="s">
        <v>972</v>
      </c>
      <c r="AC1634" t="s">
        <v>4980</v>
      </c>
      <c r="AD1634" t="s">
        <v>145</v>
      </c>
      <c r="AF1634" t="s">
        <v>113</v>
      </c>
      <c r="AG1634" t="s">
        <v>112</v>
      </c>
      <c r="AH1634" t="s">
        <v>112</v>
      </c>
      <c r="AI1634" s="63">
        <v>32509</v>
      </c>
      <c r="AK1634" t="s">
        <v>111</v>
      </c>
      <c r="AL1634" t="s">
        <v>111</v>
      </c>
      <c r="AM1634" t="s">
        <v>111</v>
      </c>
      <c r="AN1634">
        <v>4077</v>
      </c>
      <c r="AO1634" t="s">
        <v>110</v>
      </c>
      <c r="AP1634" t="s">
        <v>109</v>
      </c>
    </row>
    <row r="1635" spans="1:42" x14ac:dyDescent="0.25">
      <c r="A1635" s="28" t="str">
        <f>"2039"</f>
        <v>2039</v>
      </c>
      <c r="B1635">
        <v>2039</v>
      </c>
      <c r="C1635" t="s">
        <v>2488</v>
      </c>
      <c r="D1635" t="s">
        <v>121</v>
      </c>
      <c r="E1635" t="s">
        <v>584</v>
      </c>
      <c r="F1635" t="s">
        <v>120</v>
      </c>
      <c r="G1635" t="s">
        <v>995</v>
      </c>
      <c r="I1635" t="s">
        <v>1434</v>
      </c>
      <c r="J1635" t="s">
        <v>7</v>
      </c>
      <c r="K1635" s="63">
        <v>20781</v>
      </c>
      <c r="L1635" s="28">
        <f>DATEDIF(K1635,Zwift25!G$1,"Y")</f>
        <v>67</v>
      </c>
      <c r="M1635" s="67">
        <f>IF(J1635="m",VLOOKUP(L1635,'All Solo Adjustments'!A:D,4,FALSE),VLOOKUP(L1635,'All Solo Adjustments'!A:J,10,FALSE))</f>
        <v>5.2662037037037035E-3</v>
      </c>
      <c r="N1635" s="63"/>
      <c r="O1635" s="63"/>
      <c r="P1635" s="63"/>
      <c r="Q1635" s="63"/>
      <c r="R1635" t="s">
        <v>118</v>
      </c>
      <c r="S1635" t="s">
        <v>117</v>
      </c>
      <c r="T1635" t="s">
        <v>292</v>
      </c>
      <c r="U1635" t="s">
        <v>4979</v>
      </c>
      <c r="V1635" t="s">
        <v>4978</v>
      </c>
      <c r="W1635" t="s">
        <v>2260</v>
      </c>
      <c r="X1635" t="s">
        <v>1531</v>
      </c>
      <c r="Y1635" t="s">
        <v>4977</v>
      </c>
      <c r="Z1635" t="str">
        <f>"07775 697867"</f>
        <v>07775 697867</v>
      </c>
      <c r="AA1635" t="str">
        <f>""</f>
        <v/>
      </c>
      <c r="AB1635" t="s">
        <v>4976</v>
      </c>
      <c r="AC1635" t="s">
        <v>4975</v>
      </c>
      <c r="AD1635" t="s">
        <v>114</v>
      </c>
      <c r="AE1635" s="63">
        <v>45264</v>
      </c>
      <c r="AF1635" t="s">
        <v>156</v>
      </c>
      <c r="AG1635" t="s">
        <v>112</v>
      </c>
      <c r="AH1635" t="s">
        <v>112</v>
      </c>
      <c r="AI1635" s="63">
        <v>39897</v>
      </c>
      <c r="AJ1635" s="63">
        <v>45657</v>
      </c>
      <c r="AK1635" t="s">
        <v>111</v>
      </c>
      <c r="AL1635" t="s">
        <v>111</v>
      </c>
      <c r="AM1635" t="s">
        <v>111</v>
      </c>
      <c r="AN1635">
        <v>15624</v>
      </c>
      <c r="AO1635" t="s">
        <v>110</v>
      </c>
      <c r="AP1635" t="s">
        <v>109</v>
      </c>
    </row>
    <row r="1636" spans="1:42" x14ac:dyDescent="0.25">
      <c r="A1636" s="28" t="str">
        <f>"4454"</f>
        <v>4454</v>
      </c>
      <c r="B1636">
        <v>4454</v>
      </c>
      <c r="C1636" t="s">
        <v>2488</v>
      </c>
      <c r="D1636" t="s">
        <v>121</v>
      </c>
      <c r="F1636" t="s">
        <v>120</v>
      </c>
      <c r="G1636" t="s">
        <v>251</v>
      </c>
      <c r="H1636" t="s">
        <v>952</v>
      </c>
      <c r="I1636" t="s">
        <v>426</v>
      </c>
      <c r="J1636" t="s">
        <v>7</v>
      </c>
      <c r="K1636" s="63">
        <v>22331</v>
      </c>
      <c r="L1636" s="28">
        <f>DATEDIF(K1636,Zwift25!G$1,"Y")</f>
        <v>63</v>
      </c>
      <c r="M1636" s="67">
        <f>IF(J1636="m",VLOOKUP(L1636,'All Solo Adjustments'!A:D,4,FALSE),VLOOKUP(L1636,'All Solo Adjustments'!A:J,10,FALSE))</f>
        <v>4.0277777777777777E-3</v>
      </c>
      <c r="N1636" s="63"/>
      <c r="O1636" s="63"/>
      <c r="P1636" s="63"/>
      <c r="Q1636" s="63"/>
      <c r="R1636" t="s">
        <v>527</v>
      </c>
      <c r="S1636" t="s">
        <v>526</v>
      </c>
      <c r="T1636" t="s">
        <v>292</v>
      </c>
      <c r="U1636" t="s">
        <v>4974</v>
      </c>
      <c r="V1636" t="s">
        <v>4973</v>
      </c>
      <c r="W1636" t="s">
        <v>4972</v>
      </c>
      <c r="X1636" t="s">
        <v>887</v>
      </c>
      <c r="Y1636" t="s">
        <v>4971</v>
      </c>
      <c r="Z1636" t="str">
        <f>"07711 694429"</f>
        <v>07711 694429</v>
      </c>
      <c r="AA1636" t="str">
        <f>""</f>
        <v/>
      </c>
      <c r="AB1636" t="s">
        <v>4970</v>
      </c>
      <c r="AC1636" t="s">
        <v>4969</v>
      </c>
      <c r="AD1636" t="s">
        <v>114</v>
      </c>
      <c r="AE1636" s="63">
        <v>45262</v>
      </c>
      <c r="AF1636" t="s">
        <v>156</v>
      </c>
      <c r="AG1636" t="s">
        <v>112</v>
      </c>
      <c r="AH1636" t="s">
        <v>112</v>
      </c>
      <c r="AI1636" s="63">
        <v>42426</v>
      </c>
      <c r="AJ1636" s="63">
        <v>45657</v>
      </c>
      <c r="AK1636" t="s">
        <v>111</v>
      </c>
      <c r="AL1636" t="s">
        <v>111</v>
      </c>
      <c r="AM1636" t="s">
        <v>111</v>
      </c>
      <c r="AN1636">
        <v>6872</v>
      </c>
      <c r="AO1636" t="s">
        <v>110</v>
      </c>
      <c r="AP1636" t="s">
        <v>109</v>
      </c>
    </row>
    <row r="1637" spans="1:42" x14ac:dyDescent="0.25">
      <c r="A1637" s="28" t="str">
        <f>"5248"</f>
        <v>5248</v>
      </c>
      <c r="B1637">
        <v>5248</v>
      </c>
      <c r="C1637" t="s">
        <v>2488</v>
      </c>
      <c r="D1637" t="s">
        <v>121</v>
      </c>
      <c r="F1637" t="s">
        <v>120</v>
      </c>
      <c r="G1637" t="s">
        <v>402</v>
      </c>
      <c r="I1637" t="s">
        <v>426</v>
      </c>
      <c r="J1637" t="s">
        <v>7</v>
      </c>
      <c r="K1637" s="63">
        <v>25257</v>
      </c>
      <c r="L1637" s="28">
        <f>DATEDIF(K1637,Zwift25!G$1,"Y")</f>
        <v>55</v>
      </c>
      <c r="M1637" s="67">
        <f>IF(J1637="m",VLOOKUP(L1637,'All Solo Adjustments'!A:D,4,FALSE),VLOOKUP(L1637,'All Solo Adjustments'!A:J,10,FALSE))</f>
        <v>2.0601851851851853E-3</v>
      </c>
      <c r="N1637" s="63"/>
      <c r="O1637" s="63"/>
      <c r="P1637" s="63"/>
      <c r="Q1637" s="63"/>
      <c r="R1637" t="s">
        <v>198</v>
      </c>
      <c r="S1637" t="s">
        <v>461</v>
      </c>
      <c r="T1637" t="s">
        <v>292</v>
      </c>
      <c r="U1637" t="s">
        <v>4968</v>
      </c>
      <c r="V1637" t="s">
        <v>1845</v>
      </c>
      <c r="W1637" t="s">
        <v>1039</v>
      </c>
      <c r="Y1637" t="s">
        <v>4967</v>
      </c>
      <c r="Z1637" t="str">
        <f>"0161 226 5936"</f>
        <v>0161 226 5936</v>
      </c>
      <c r="AA1637" t="str">
        <f>""</f>
        <v/>
      </c>
      <c r="AB1637" t="s">
        <v>885</v>
      </c>
      <c r="AC1637" t="s">
        <v>4966</v>
      </c>
      <c r="AD1637" t="s">
        <v>114</v>
      </c>
      <c r="AE1637" s="63">
        <v>45293</v>
      </c>
      <c r="AF1637" t="s">
        <v>156</v>
      </c>
      <c r="AG1637" t="s">
        <v>112</v>
      </c>
      <c r="AH1637" t="s">
        <v>112</v>
      </c>
      <c r="AI1637" s="63">
        <v>42024</v>
      </c>
      <c r="AJ1637" s="63">
        <v>45657</v>
      </c>
      <c r="AK1637" t="s">
        <v>111</v>
      </c>
      <c r="AL1637" t="s">
        <v>111</v>
      </c>
      <c r="AM1637" t="s">
        <v>111</v>
      </c>
      <c r="AN1637">
        <v>365</v>
      </c>
      <c r="AO1637" t="s">
        <v>110</v>
      </c>
      <c r="AP1637" t="s">
        <v>109</v>
      </c>
    </row>
    <row r="1638" spans="1:42" x14ac:dyDescent="0.25">
      <c r="A1638" s="28" t="str">
        <f>"14565"</f>
        <v>14565</v>
      </c>
      <c r="B1638">
        <v>14565</v>
      </c>
      <c r="C1638" t="s">
        <v>2488</v>
      </c>
      <c r="D1638" t="s">
        <v>121</v>
      </c>
      <c r="F1638" t="s">
        <v>149</v>
      </c>
      <c r="G1638" t="s">
        <v>819</v>
      </c>
      <c r="H1638" t="s">
        <v>1157</v>
      </c>
      <c r="I1638" t="s">
        <v>426</v>
      </c>
      <c r="J1638" t="s">
        <v>126</v>
      </c>
      <c r="K1638" s="63">
        <v>27959</v>
      </c>
      <c r="L1638" s="28">
        <f>DATEDIF(K1638,Zwift25!G$1,"Y")</f>
        <v>48</v>
      </c>
      <c r="M1638" s="67">
        <f>IF(J1638="m",VLOOKUP(L1638,'All Solo Adjustments'!A:D,4,FALSE),VLOOKUP(L1638,'All Solo Adjustments'!A:J,10,FALSE))</f>
        <v>4.8032407407407407E-3</v>
      </c>
      <c r="N1638" s="63"/>
      <c r="O1638" s="63"/>
      <c r="P1638" s="63"/>
      <c r="Q1638" s="63"/>
      <c r="R1638" t="s">
        <v>125</v>
      </c>
      <c r="S1638" t="s">
        <v>170</v>
      </c>
      <c r="T1638" t="s">
        <v>292</v>
      </c>
      <c r="U1638" t="s">
        <v>4965</v>
      </c>
      <c r="V1638" t="s">
        <v>1792</v>
      </c>
      <c r="Y1638" t="s">
        <v>4964</v>
      </c>
      <c r="Z1638" t="str">
        <f>"07714030977"</f>
        <v>07714030977</v>
      </c>
      <c r="AA1638" t="str">
        <f>""</f>
        <v/>
      </c>
      <c r="AB1638" t="s">
        <v>4963</v>
      </c>
      <c r="AC1638" t="s">
        <v>4962</v>
      </c>
      <c r="AD1638" t="s">
        <v>114</v>
      </c>
      <c r="AE1638" s="63">
        <v>45262</v>
      </c>
      <c r="AF1638" t="s">
        <v>156</v>
      </c>
      <c r="AG1638" t="s">
        <v>112</v>
      </c>
      <c r="AH1638" t="s">
        <v>112</v>
      </c>
      <c r="AI1638" s="63">
        <v>44000</v>
      </c>
      <c r="AJ1638" s="63">
        <v>45657</v>
      </c>
      <c r="AK1638" t="s">
        <v>112</v>
      </c>
      <c r="AL1638" t="s">
        <v>111</v>
      </c>
      <c r="AM1638" t="s">
        <v>111</v>
      </c>
      <c r="AN1638">
        <v>27264</v>
      </c>
      <c r="AO1638" t="s">
        <v>122</v>
      </c>
      <c r="AP1638" t="s">
        <v>122</v>
      </c>
    </row>
    <row r="1639" spans="1:42" x14ac:dyDescent="0.25">
      <c r="A1639" s="28" t="str">
        <f>"14793"</f>
        <v>14793</v>
      </c>
      <c r="B1639">
        <v>14793</v>
      </c>
      <c r="C1639" t="s">
        <v>2488</v>
      </c>
      <c r="D1639" t="s">
        <v>121</v>
      </c>
      <c r="E1639" t="s">
        <v>584</v>
      </c>
      <c r="F1639" t="s">
        <v>120</v>
      </c>
      <c r="G1639" t="s">
        <v>685</v>
      </c>
      <c r="I1639" t="s">
        <v>426</v>
      </c>
      <c r="J1639" t="s">
        <v>7</v>
      </c>
      <c r="K1639" s="63">
        <v>20853</v>
      </c>
      <c r="L1639" s="28">
        <f>DATEDIF(K1639,Zwift25!G$1,"Y")</f>
        <v>67</v>
      </c>
      <c r="M1639" s="67">
        <f>IF(J1639="m",VLOOKUP(L1639,'All Solo Adjustments'!A:D,4,FALSE),VLOOKUP(L1639,'All Solo Adjustments'!A:J,10,FALSE))</f>
        <v>5.2662037037037035E-3</v>
      </c>
      <c r="N1639" s="63"/>
      <c r="O1639" s="63"/>
      <c r="P1639" s="63"/>
      <c r="Q1639" s="63"/>
      <c r="R1639" t="s">
        <v>180</v>
      </c>
      <c r="S1639" t="s">
        <v>179</v>
      </c>
      <c r="T1639" t="s">
        <v>292</v>
      </c>
      <c r="U1639" t="s">
        <v>4961</v>
      </c>
      <c r="V1639" t="s">
        <v>2287</v>
      </c>
      <c r="Y1639" t="s">
        <v>4960</v>
      </c>
      <c r="Z1639" t="str">
        <f>"07971705806"</f>
        <v>07971705806</v>
      </c>
      <c r="AA1639" t="str">
        <f>""</f>
        <v/>
      </c>
      <c r="AB1639" t="s">
        <v>4959</v>
      </c>
      <c r="AC1639" t="s">
        <v>4958</v>
      </c>
      <c r="AD1639" t="s">
        <v>114</v>
      </c>
      <c r="AE1639" s="63">
        <v>45363</v>
      </c>
      <c r="AF1639" t="s">
        <v>156</v>
      </c>
      <c r="AG1639" t="s">
        <v>112</v>
      </c>
      <c r="AH1639" t="s">
        <v>112</v>
      </c>
      <c r="AI1639" s="63">
        <v>44184</v>
      </c>
      <c r="AJ1639" s="63">
        <v>45657</v>
      </c>
      <c r="AK1639" t="s">
        <v>112</v>
      </c>
      <c r="AL1639" t="s">
        <v>111</v>
      </c>
      <c r="AM1639" t="s">
        <v>111</v>
      </c>
      <c r="AN1639">
        <v>9028</v>
      </c>
      <c r="AO1639" t="s">
        <v>110</v>
      </c>
      <c r="AP1639" t="s">
        <v>109</v>
      </c>
    </row>
    <row r="1640" spans="1:42" x14ac:dyDescent="0.25">
      <c r="A1640" s="28" t="str">
        <f>"16085"</f>
        <v>16085</v>
      </c>
      <c r="B1640">
        <v>16085</v>
      </c>
      <c r="C1640" t="s">
        <v>2488</v>
      </c>
      <c r="D1640" t="s">
        <v>121</v>
      </c>
      <c r="E1640" t="s">
        <v>584</v>
      </c>
      <c r="F1640" t="s">
        <v>120</v>
      </c>
      <c r="G1640" t="s">
        <v>185</v>
      </c>
      <c r="I1640" t="s">
        <v>426</v>
      </c>
      <c r="J1640" t="s">
        <v>7</v>
      </c>
      <c r="K1640" s="63">
        <v>23265</v>
      </c>
      <c r="L1640" s="28">
        <f>DATEDIF(K1640,Zwift25!G$1,"Y")</f>
        <v>61</v>
      </c>
      <c r="M1640" s="67">
        <f>IF(J1640="m",VLOOKUP(L1640,'All Solo Adjustments'!A:D,4,FALSE),VLOOKUP(L1640,'All Solo Adjustments'!A:J,10,FALSE))</f>
        <v>3.4722222222222225E-3</v>
      </c>
      <c r="N1640" s="63"/>
      <c r="O1640" s="63"/>
      <c r="P1640" s="63"/>
      <c r="Q1640" s="63"/>
      <c r="R1640" t="s">
        <v>198</v>
      </c>
      <c r="S1640" t="s">
        <v>461</v>
      </c>
      <c r="T1640" t="s">
        <v>292</v>
      </c>
      <c r="U1640" t="s">
        <v>4957</v>
      </c>
      <c r="V1640" t="s">
        <v>4956</v>
      </c>
      <c r="W1640" t="s">
        <v>4955</v>
      </c>
      <c r="X1640" t="s">
        <v>1689</v>
      </c>
      <c r="Y1640" t="s">
        <v>4954</v>
      </c>
      <c r="Z1640" t="str">
        <f>"07968888956"</f>
        <v>07968888956</v>
      </c>
      <c r="AA1640" t="str">
        <f>""</f>
        <v/>
      </c>
      <c r="AB1640" t="s">
        <v>4953</v>
      </c>
      <c r="AC1640" t="s">
        <v>4952</v>
      </c>
      <c r="AD1640" t="s">
        <v>114</v>
      </c>
      <c r="AE1640" s="63">
        <v>45383</v>
      </c>
      <c r="AF1640" t="s">
        <v>156</v>
      </c>
      <c r="AG1640" t="s">
        <v>112</v>
      </c>
      <c r="AH1640" t="s">
        <v>112</v>
      </c>
      <c r="AI1640" s="63">
        <v>45383</v>
      </c>
      <c r="AJ1640" s="63">
        <v>45657</v>
      </c>
      <c r="AK1640" t="s">
        <v>112</v>
      </c>
      <c r="AL1640" t="s">
        <v>111</v>
      </c>
      <c r="AM1640" t="s">
        <v>111</v>
      </c>
      <c r="AN1640">
        <v>37203</v>
      </c>
      <c r="AO1640" t="s">
        <v>110</v>
      </c>
      <c r="AP1640" t="s">
        <v>109</v>
      </c>
    </row>
    <row r="1641" spans="1:42" x14ac:dyDescent="0.25">
      <c r="A1641" s="28" t="str">
        <f>"16090"</f>
        <v>16090</v>
      </c>
      <c r="B1641">
        <v>16090</v>
      </c>
      <c r="C1641" t="s">
        <v>2488</v>
      </c>
      <c r="D1641" t="s">
        <v>121</v>
      </c>
      <c r="F1641" t="s">
        <v>120</v>
      </c>
      <c r="G1641" t="s">
        <v>1074</v>
      </c>
      <c r="I1641" t="s">
        <v>426</v>
      </c>
      <c r="J1641" t="s">
        <v>7</v>
      </c>
      <c r="K1641" s="63">
        <v>27748</v>
      </c>
      <c r="L1641" s="28">
        <f>DATEDIF(K1641,Zwift25!G$1,"Y")</f>
        <v>48</v>
      </c>
      <c r="M1641" s="67">
        <f>IF(J1641="m",VLOOKUP(L1641,'All Solo Adjustments'!A:D,4,FALSE),VLOOKUP(L1641,'All Solo Adjustments'!A:J,10,FALSE))</f>
        <v>8.3333333333333339E-4</v>
      </c>
      <c r="N1641" s="63"/>
      <c r="O1641" s="63"/>
      <c r="P1641" s="63"/>
      <c r="Q1641" s="63"/>
      <c r="R1641" t="s">
        <v>118</v>
      </c>
      <c r="S1641" t="s">
        <v>117</v>
      </c>
      <c r="T1641" t="s">
        <v>292</v>
      </c>
      <c r="U1641" t="s">
        <v>4951</v>
      </c>
      <c r="Y1641" t="s">
        <v>4950</v>
      </c>
      <c r="Z1641" t="str">
        <f>"07788859836"</f>
        <v>07788859836</v>
      </c>
      <c r="AA1641" t="str">
        <f>""</f>
        <v/>
      </c>
      <c r="AB1641" t="s">
        <v>4949</v>
      </c>
      <c r="AC1641" t="s">
        <v>4948</v>
      </c>
      <c r="AD1641" t="s">
        <v>114</v>
      </c>
      <c r="AE1641" s="63">
        <v>45422</v>
      </c>
      <c r="AF1641" t="s">
        <v>156</v>
      </c>
      <c r="AG1641" t="s">
        <v>112</v>
      </c>
      <c r="AH1641" t="s">
        <v>112</v>
      </c>
      <c r="AI1641" s="63">
        <v>45422</v>
      </c>
      <c r="AJ1641" s="63">
        <v>45657</v>
      </c>
      <c r="AK1641" t="s">
        <v>112</v>
      </c>
      <c r="AL1641" t="s">
        <v>111</v>
      </c>
      <c r="AM1641" t="s">
        <v>111</v>
      </c>
      <c r="AN1641">
        <v>49913</v>
      </c>
      <c r="AO1641" t="s">
        <v>110</v>
      </c>
      <c r="AP1641" t="s">
        <v>109</v>
      </c>
    </row>
    <row r="1642" spans="1:42" x14ac:dyDescent="0.25">
      <c r="A1642" s="28" t="str">
        <f>"2047"</f>
        <v>2047</v>
      </c>
      <c r="B1642">
        <v>2047</v>
      </c>
      <c r="C1642" t="s">
        <v>2488</v>
      </c>
      <c r="D1642" t="s">
        <v>121</v>
      </c>
      <c r="F1642" t="s">
        <v>120</v>
      </c>
      <c r="G1642" t="s">
        <v>706</v>
      </c>
      <c r="H1642" t="s">
        <v>2850</v>
      </c>
      <c r="I1642" t="s">
        <v>4947</v>
      </c>
      <c r="J1642" t="s">
        <v>7</v>
      </c>
      <c r="K1642" s="63">
        <v>15825</v>
      </c>
      <c r="L1642" s="28">
        <f>DATEDIF(K1642,Zwift25!G$1,"Y")</f>
        <v>81</v>
      </c>
      <c r="M1642" s="67">
        <f>IF(J1642="m",VLOOKUP(L1642,'All Solo Adjustments'!A:D,4,FALSE),VLOOKUP(L1642,'All Solo Adjustments'!A:J,10,FALSE))</f>
        <v>1.1597222222222222E-2</v>
      </c>
      <c r="N1642" s="63"/>
      <c r="O1642" s="63"/>
      <c r="P1642" s="63"/>
      <c r="Q1642" s="63"/>
      <c r="R1642" t="s">
        <v>296</v>
      </c>
      <c r="S1642" t="s">
        <v>2310</v>
      </c>
      <c r="T1642" t="s">
        <v>292</v>
      </c>
      <c r="U1642" t="s">
        <v>4946</v>
      </c>
      <c r="V1642" t="s">
        <v>4945</v>
      </c>
      <c r="W1642" t="s">
        <v>4944</v>
      </c>
      <c r="X1642" t="s">
        <v>854</v>
      </c>
      <c r="Y1642" t="s">
        <v>4943</v>
      </c>
      <c r="Z1642" t="str">
        <f>"01670 854009"</f>
        <v>01670 854009</v>
      </c>
      <c r="AA1642" t="str">
        <f>""</f>
        <v/>
      </c>
      <c r="AB1642" t="s">
        <v>4942</v>
      </c>
      <c r="AD1642" t="s">
        <v>145</v>
      </c>
      <c r="AF1642" t="s">
        <v>113</v>
      </c>
      <c r="AG1642" t="s">
        <v>111</v>
      </c>
      <c r="AH1642" t="s">
        <v>112</v>
      </c>
      <c r="AI1642" s="63">
        <v>31026</v>
      </c>
      <c r="AK1642" t="s">
        <v>111</v>
      </c>
      <c r="AL1642" t="s">
        <v>111</v>
      </c>
      <c r="AM1642" t="s">
        <v>111</v>
      </c>
      <c r="AN1642" t="s">
        <v>105</v>
      </c>
      <c r="AO1642" t="s">
        <v>110</v>
      </c>
      <c r="AP1642" t="s">
        <v>109</v>
      </c>
    </row>
    <row r="1643" spans="1:42" x14ac:dyDescent="0.25">
      <c r="A1643" s="28" t="str">
        <f>"15758"</f>
        <v>15758</v>
      </c>
      <c r="B1643">
        <v>15758</v>
      </c>
      <c r="C1643" t="s">
        <v>2488</v>
      </c>
      <c r="D1643" t="s">
        <v>132</v>
      </c>
      <c r="F1643" t="s">
        <v>149</v>
      </c>
      <c r="G1643" t="s">
        <v>4941</v>
      </c>
      <c r="H1643" t="s">
        <v>4940</v>
      </c>
      <c r="I1643" t="s">
        <v>4938</v>
      </c>
      <c r="J1643" t="s">
        <v>126</v>
      </c>
      <c r="K1643" s="63">
        <v>26125</v>
      </c>
      <c r="L1643" s="28">
        <f>DATEDIF(K1643,Zwift25!G$1,"Y")</f>
        <v>53</v>
      </c>
      <c r="M1643" s="67">
        <f>IF(J1643="m",VLOOKUP(L1643,'All Solo Adjustments'!A:D,4,FALSE),VLOOKUP(L1643,'All Solo Adjustments'!A:J,10,FALSE))</f>
        <v>5.3356481481481475E-3</v>
      </c>
      <c r="N1643" s="63"/>
      <c r="O1643" s="63"/>
      <c r="P1643" s="63"/>
      <c r="Q1643" s="63"/>
      <c r="R1643" t="s">
        <v>213</v>
      </c>
      <c r="S1643" t="s">
        <v>1478</v>
      </c>
      <c r="T1643" t="s">
        <v>292</v>
      </c>
      <c r="U1643" t="s">
        <v>4937</v>
      </c>
      <c r="V1643" t="s">
        <v>4936</v>
      </c>
      <c r="Y1643" t="s">
        <v>4935</v>
      </c>
      <c r="Z1643" t="str">
        <f>"07811948763"</f>
        <v>07811948763</v>
      </c>
      <c r="AA1643" t="str">
        <f>""</f>
        <v/>
      </c>
      <c r="AB1643" t="s">
        <v>4934</v>
      </c>
      <c r="AC1643" t="s">
        <v>4939</v>
      </c>
      <c r="AD1643" t="s">
        <v>114</v>
      </c>
      <c r="AE1643" s="63">
        <v>45343</v>
      </c>
      <c r="AF1643" t="s">
        <v>156</v>
      </c>
      <c r="AG1643" t="s">
        <v>112</v>
      </c>
      <c r="AH1643" t="s">
        <v>112</v>
      </c>
      <c r="AI1643" s="63">
        <v>45018</v>
      </c>
      <c r="AJ1643" s="63">
        <v>45657</v>
      </c>
      <c r="AK1643" t="s">
        <v>112</v>
      </c>
      <c r="AL1643" t="s">
        <v>112</v>
      </c>
      <c r="AM1643" t="s">
        <v>111</v>
      </c>
      <c r="AN1643">
        <v>45849</v>
      </c>
      <c r="AO1643" t="s">
        <v>122</v>
      </c>
      <c r="AP1643" t="s">
        <v>122</v>
      </c>
    </row>
    <row r="1644" spans="1:42" x14ac:dyDescent="0.25">
      <c r="A1644" s="28" t="str">
        <f>"15759"</f>
        <v>15759</v>
      </c>
      <c r="B1644">
        <v>15759</v>
      </c>
      <c r="C1644" t="s">
        <v>2488</v>
      </c>
      <c r="D1644" t="s">
        <v>130</v>
      </c>
      <c r="F1644" t="s">
        <v>120</v>
      </c>
      <c r="G1644" t="s">
        <v>165</v>
      </c>
      <c r="H1644" t="s">
        <v>995</v>
      </c>
      <c r="I1644" t="s">
        <v>4938</v>
      </c>
      <c r="J1644" t="s">
        <v>7</v>
      </c>
      <c r="K1644" s="63">
        <v>24499</v>
      </c>
      <c r="L1644" s="28">
        <f>DATEDIF(K1644,Zwift25!G$1,"Y")</f>
        <v>57</v>
      </c>
      <c r="M1644" s="67">
        <f>IF(J1644="m",VLOOKUP(L1644,'All Solo Adjustments'!A:D,4,FALSE),VLOOKUP(L1644,'All Solo Adjustments'!A:J,10,FALSE))</f>
        <v>2.488425925925926E-3</v>
      </c>
      <c r="N1644" s="63"/>
      <c r="O1644" s="63"/>
      <c r="P1644" s="63"/>
      <c r="Q1644" s="63"/>
      <c r="R1644" t="s">
        <v>213</v>
      </c>
      <c r="S1644" t="s">
        <v>1478</v>
      </c>
      <c r="T1644" t="s">
        <v>292</v>
      </c>
      <c r="U1644" t="s">
        <v>4937</v>
      </c>
      <c r="V1644" t="s">
        <v>4936</v>
      </c>
      <c r="Y1644" t="s">
        <v>4935</v>
      </c>
      <c r="Z1644" t="str">
        <f>"07811948763"</f>
        <v>07811948763</v>
      </c>
      <c r="AA1644" t="str">
        <f>""</f>
        <v/>
      </c>
      <c r="AB1644" t="s">
        <v>4934</v>
      </c>
      <c r="AC1644" t="s">
        <v>4933</v>
      </c>
      <c r="AD1644" t="s">
        <v>114</v>
      </c>
      <c r="AE1644" s="63">
        <v>45343</v>
      </c>
      <c r="AF1644" t="s">
        <v>156</v>
      </c>
      <c r="AG1644" t="s">
        <v>112</v>
      </c>
      <c r="AH1644" t="s">
        <v>112</v>
      </c>
      <c r="AI1644" s="63">
        <v>45018</v>
      </c>
      <c r="AJ1644" s="63">
        <v>45657</v>
      </c>
      <c r="AK1644" t="s">
        <v>112</v>
      </c>
      <c r="AL1644" t="s">
        <v>112</v>
      </c>
      <c r="AM1644" t="s">
        <v>111</v>
      </c>
      <c r="AN1644">
        <v>46587</v>
      </c>
      <c r="AO1644" t="s">
        <v>110</v>
      </c>
      <c r="AP1644" t="s">
        <v>109</v>
      </c>
    </row>
    <row r="1645" spans="1:42" x14ac:dyDescent="0.25">
      <c r="A1645" s="28" t="str">
        <f>"13969"</f>
        <v>13969</v>
      </c>
      <c r="B1645">
        <v>13969</v>
      </c>
      <c r="C1645" t="s">
        <v>2488</v>
      </c>
      <c r="D1645" t="s">
        <v>121</v>
      </c>
      <c r="F1645" t="s">
        <v>403</v>
      </c>
      <c r="G1645" t="s">
        <v>780</v>
      </c>
      <c r="I1645" t="s">
        <v>4932</v>
      </c>
      <c r="J1645" t="s">
        <v>126</v>
      </c>
      <c r="K1645" s="63">
        <v>24467</v>
      </c>
      <c r="L1645" s="28">
        <f>DATEDIF(K1645,Zwift25!G$1,"Y")</f>
        <v>57</v>
      </c>
      <c r="M1645" s="67">
        <f>IF(J1645="m",VLOOKUP(L1645,'All Solo Adjustments'!A:D,4,FALSE),VLOOKUP(L1645,'All Solo Adjustments'!A:J,10,FALSE))</f>
        <v>6.076388888888889E-3</v>
      </c>
      <c r="N1645" s="63"/>
      <c r="O1645" s="63"/>
      <c r="P1645" s="63"/>
      <c r="Q1645" s="63"/>
      <c r="R1645" t="s">
        <v>184</v>
      </c>
      <c r="S1645" t="s">
        <v>183</v>
      </c>
      <c r="T1645" t="s">
        <v>292</v>
      </c>
      <c r="U1645" t="s">
        <v>4931</v>
      </c>
      <c r="V1645" t="s">
        <v>4044</v>
      </c>
      <c r="W1645" t="s">
        <v>860</v>
      </c>
      <c r="X1645" t="s">
        <v>344</v>
      </c>
      <c r="Y1645" t="s">
        <v>4930</v>
      </c>
      <c r="Z1645" t="str">
        <f>"+441296640482"</f>
        <v>+441296640482</v>
      </c>
      <c r="AA1645" t="str">
        <f>"07786886168"</f>
        <v>07786886168</v>
      </c>
      <c r="AB1645" t="s">
        <v>4929</v>
      </c>
      <c r="AC1645" t="s">
        <v>4928</v>
      </c>
      <c r="AD1645" t="s">
        <v>114</v>
      </c>
      <c r="AE1645" s="63">
        <v>45281</v>
      </c>
      <c r="AF1645" t="s">
        <v>156</v>
      </c>
      <c r="AG1645" t="s">
        <v>112</v>
      </c>
      <c r="AH1645" t="s">
        <v>112</v>
      </c>
      <c r="AI1645" s="63">
        <v>43469</v>
      </c>
      <c r="AJ1645" s="63">
        <v>45657</v>
      </c>
      <c r="AK1645" t="s">
        <v>112</v>
      </c>
      <c r="AL1645" t="s">
        <v>111</v>
      </c>
      <c r="AM1645" t="s">
        <v>112</v>
      </c>
      <c r="AN1645">
        <v>13957</v>
      </c>
      <c r="AO1645" t="s">
        <v>122</v>
      </c>
      <c r="AP1645" t="s">
        <v>122</v>
      </c>
    </row>
    <row r="1646" spans="1:42" x14ac:dyDescent="0.25">
      <c r="A1646" s="28" t="str">
        <f>"3290"</f>
        <v>3290</v>
      </c>
      <c r="B1646">
        <v>3290</v>
      </c>
      <c r="C1646" t="s">
        <v>2488</v>
      </c>
      <c r="D1646" t="s">
        <v>121</v>
      </c>
      <c r="F1646" t="s">
        <v>120</v>
      </c>
      <c r="G1646" t="s">
        <v>481</v>
      </c>
      <c r="H1646" t="s">
        <v>952</v>
      </c>
      <c r="I1646" t="s">
        <v>1428</v>
      </c>
      <c r="J1646" t="s">
        <v>7</v>
      </c>
      <c r="K1646" s="63">
        <v>18275</v>
      </c>
      <c r="L1646" s="28">
        <f>DATEDIF(K1646,Zwift25!G$1,"Y")</f>
        <v>74</v>
      </c>
      <c r="M1646" s="67">
        <f>IF(J1646="m",VLOOKUP(L1646,'All Solo Adjustments'!A:D,4,FALSE),VLOOKUP(L1646,'All Solo Adjustments'!A:J,10,FALSE))</f>
        <v>7.9861111111111122E-3</v>
      </c>
      <c r="N1646" s="63"/>
      <c r="O1646" s="63"/>
      <c r="P1646" s="63"/>
      <c r="Q1646" s="63"/>
      <c r="R1646" t="s">
        <v>154</v>
      </c>
      <c r="S1646" t="s">
        <v>2621</v>
      </c>
      <c r="T1646" t="s">
        <v>292</v>
      </c>
      <c r="U1646" t="s">
        <v>4927</v>
      </c>
      <c r="V1646" t="s">
        <v>4926</v>
      </c>
      <c r="W1646" t="s">
        <v>4925</v>
      </c>
      <c r="X1646" t="s">
        <v>152</v>
      </c>
      <c r="Y1646" t="s">
        <v>4924</v>
      </c>
      <c r="Z1646" t="str">
        <f>"01934 733499"</f>
        <v>01934 733499</v>
      </c>
      <c r="AA1646" t="str">
        <f>"07774 782930"</f>
        <v>07774 782930</v>
      </c>
      <c r="AB1646" t="s">
        <v>4923</v>
      </c>
      <c r="AC1646" t="s">
        <v>4922</v>
      </c>
      <c r="AD1646" t="s">
        <v>151</v>
      </c>
      <c r="AF1646" t="s">
        <v>156</v>
      </c>
      <c r="AG1646" t="s">
        <v>112</v>
      </c>
      <c r="AH1646" t="s">
        <v>112</v>
      </c>
      <c r="AK1646" t="s">
        <v>111</v>
      </c>
      <c r="AL1646" t="s">
        <v>111</v>
      </c>
      <c r="AM1646" t="s">
        <v>111</v>
      </c>
      <c r="AN1646">
        <v>4097</v>
      </c>
      <c r="AO1646" t="s">
        <v>110</v>
      </c>
      <c r="AP1646" t="s">
        <v>109</v>
      </c>
    </row>
    <row r="1647" spans="1:42" x14ac:dyDescent="0.25">
      <c r="A1647" s="28" t="str">
        <f>"2052"</f>
        <v>2052</v>
      </c>
      <c r="B1647">
        <v>2052</v>
      </c>
      <c r="C1647" t="s">
        <v>2488</v>
      </c>
      <c r="D1647" t="s">
        <v>121</v>
      </c>
      <c r="F1647" t="s">
        <v>120</v>
      </c>
      <c r="G1647" t="s">
        <v>251</v>
      </c>
      <c r="H1647" t="s">
        <v>1377</v>
      </c>
      <c r="I1647" t="s">
        <v>1428</v>
      </c>
      <c r="J1647" t="s">
        <v>7</v>
      </c>
      <c r="K1647" s="63">
        <v>21269</v>
      </c>
      <c r="L1647" s="28">
        <f>DATEDIF(K1647,Zwift25!G$1,"Y")</f>
        <v>66</v>
      </c>
      <c r="M1647" s="67">
        <f>IF(J1647="m",VLOOKUP(L1647,'All Solo Adjustments'!A:D,4,FALSE),VLOOKUP(L1647,'All Solo Adjustments'!A:J,10,FALSE))</f>
        <v>4.9421296296296297E-3</v>
      </c>
      <c r="N1647" s="63"/>
      <c r="O1647" s="63"/>
      <c r="P1647" s="63"/>
      <c r="Q1647" s="63"/>
      <c r="R1647" t="s">
        <v>184</v>
      </c>
      <c r="S1647" t="s">
        <v>183</v>
      </c>
      <c r="T1647" t="s">
        <v>292</v>
      </c>
      <c r="U1647" t="s">
        <v>4921</v>
      </c>
      <c r="V1647" t="s">
        <v>2194</v>
      </c>
      <c r="Y1647" t="s">
        <v>4920</v>
      </c>
      <c r="Z1647" t="str">
        <f>"01442 256506"</f>
        <v>01442 256506</v>
      </c>
      <c r="AA1647" t="str">
        <f>""</f>
        <v/>
      </c>
      <c r="AB1647" t="s">
        <v>1361</v>
      </c>
      <c r="AC1647" t="s">
        <v>4919</v>
      </c>
      <c r="AD1647" t="s">
        <v>114</v>
      </c>
      <c r="AE1647" s="63">
        <v>45290</v>
      </c>
      <c r="AF1647" t="s">
        <v>113</v>
      </c>
      <c r="AG1647" t="s">
        <v>112</v>
      </c>
      <c r="AH1647" t="s">
        <v>112</v>
      </c>
      <c r="AI1647" s="63">
        <v>43481</v>
      </c>
      <c r="AJ1647" s="63">
        <v>45657</v>
      </c>
      <c r="AK1647" t="s">
        <v>111</v>
      </c>
      <c r="AL1647" t="s">
        <v>111</v>
      </c>
      <c r="AM1647" t="s">
        <v>111</v>
      </c>
      <c r="AN1647">
        <v>2199</v>
      </c>
      <c r="AO1647" t="s">
        <v>110</v>
      </c>
      <c r="AP1647" t="s">
        <v>109</v>
      </c>
    </row>
    <row r="1648" spans="1:42" x14ac:dyDescent="0.25">
      <c r="A1648" s="28" t="str">
        <f>"15245"</f>
        <v>15245</v>
      </c>
      <c r="B1648">
        <v>15245</v>
      </c>
      <c r="C1648" t="s">
        <v>2488</v>
      </c>
      <c r="D1648" t="s">
        <v>121</v>
      </c>
      <c r="E1648" t="s">
        <v>4918</v>
      </c>
      <c r="F1648" t="s">
        <v>120</v>
      </c>
      <c r="G1648" t="s">
        <v>884</v>
      </c>
      <c r="I1648" t="s">
        <v>1428</v>
      </c>
      <c r="J1648" t="s">
        <v>7</v>
      </c>
      <c r="K1648" s="63">
        <v>27444</v>
      </c>
      <c r="L1648" s="28">
        <f>DATEDIF(K1648,Zwift25!G$1,"Y")</f>
        <v>49</v>
      </c>
      <c r="M1648" s="67">
        <f>IF(J1648="m",VLOOKUP(L1648,'All Solo Adjustments'!A:D,4,FALSE),VLOOKUP(L1648,'All Solo Adjustments'!A:J,10,FALSE))</f>
        <v>9.837962962962962E-4</v>
      </c>
      <c r="N1648" s="63"/>
      <c r="O1648" s="63"/>
      <c r="P1648" s="63"/>
      <c r="Q1648" s="63"/>
      <c r="R1648" t="s">
        <v>143</v>
      </c>
      <c r="S1648" t="s">
        <v>142</v>
      </c>
      <c r="T1648" t="s">
        <v>292</v>
      </c>
      <c r="U1648" t="s">
        <v>4917</v>
      </c>
      <c r="V1648" t="s">
        <v>4916</v>
      </c>
      <c r="W1648" t="s">
        <v>4915</v>
      </c>
      <c r="Y1648" t="s">
        <v>4914</v>
      </c>
      <c r="Z1648" t="str">
        <f>"07986057253"</f>
        <v>07986057253</v>
      </c>
      <c r="AA1648" t="str">
        <f>""</f>
        <v/>
      </c>
      <c r="AB1648" t="s">
        <v>1127</v>
      </c>
      <c r="AC1648" t="s">
        <v>4913</v>
      </c>
      <c r="AD1648" t="s">
        <v>114</v>
      </c>
      <c r="AE1648" s="63">
        <v>45280</v>
      </c>
      <c r="AF1648" t="s">
        <v>156</v>
      </c>
      <c r="AG1648" t="s">
        <v>112</v>
      </c>
      <c r="AH1648" t="s">
        <v>112</v>
      </c>
      <c r="AI1648" s="63">
        <v>44458</v>
      </c>
      <c r="AJ1648" s="63">
        <v>45657</v>
      </c>
      <c r="AK1648" t="s">
        <v>112</v>
      </c>
      <c r="AL1648" t="s">
        <v>111</v>
      </c>
      <c r="AM1648" t="s">
        <v>111</v>
      </c>
      <c r="AN1648">
        <v>10517</v>
      </c>
      <c r="AO1648" t="s">
        <v>110</v>
      </c>
      <c r="AP1648" t="s">
        <v>109</v>
      </c>
    </row>
    <row r="1649" spans="1:42" x14ac:dyDescent="0.25">
      <c r="A1649" s="28" t="str">
        <f>"15456"</f>
        <v>15456</v>
      </c>
      <c r="B1649">
        <v>15456</v>
      </c>
      <c r="C1649" t="s">
        <v>2488</v>
      </c>
      <c r="D1649" t="s">
        <v>121</v>
      </c>
      <c r="F1649" t="s">
        <v>139</v>
      </c>
      <c r="G1649" t="s">
        <v>565</v>
      </c>
      <c r="H1649" t="s">
        <v>819</v>
      </c>
      <c r="I1649" t="s">
        <v>1428</v>
      </c>
      <c r="J1649" t="s">
        <v>126</v>
      </c>
      <c r="K1649" s="63">
        <v>25261</v>
      </c>
      <c r="L1649" s="28">
        <f>DATEDIF(K1649,Zwift25!G$1,"Y")</f>
        <v>55</v>
      </c>
      <c r="M1649" s="67">
        <f>IF(J1649="m",VLOOKUP(L1649,'All Solo Adjustments'!A:D,4,FALSE),VLOOKUP(L1649,'All Solo Adjustments'!A:J,10,FALSE))</f>
        <v>5.6597222222222222E-3</v>
      </c>
      <c r="N1649" s="63"/>
      <c r="O1649" s="63"/>
      <c r="P1649" s="63"/>
      <c r="Q1649" s="63"/>
      <c r="R1649" t="s">
        <v>198</v>
      </c>
      <c r="S1649" t="s">
        <v>461</v>
      </c>
      <c r="T1649" t="s">
        <v>292</v>
      </c>
      <c r="U1649" t="s">
        <v>4912</v>
      </c>
      <c r="V1649" t="s">
        <v>4911</v>
      </c>
      <c r="W1649" t="s">
        <v>4910</v>
      </c>
      <c r="Y1649" t="s">
        <v>4909</v>
      </c>
      <c r="Z1649" t="str">
        <f>"07967692685"</f>
        <v>07967692685</v>
      </c>
      <c r="AA1649" t="str">
        <f>""</f>
        <v/>
      </c>
      <c r="AB1649" t="s">
        <v>3337</v>
      </c>
      <c r="AC1649" t="s">
        <v>4908</v>
      </c>
      <c r="AD1649" t="s">
        <v>114</v>
      </c>
      <c r="AE1649" s="63">
        <v>45287</v>
      </c>
      <c r="AF1649" t="s">
        <v>156</v>
      </c>
      <c r="AG1649" t="s">
        <v>112</v>
      </c>
      <c r="AH1649" t="s">
        <v>112</v>
      </c>
      <c r="AI1649" s="63">
        <v>44668</v>
      </c>
      <c r="AJ1649" s="63">
        <v>45657</v>
      </c>
      <c r="AK1649" t="s">
        <v>112</v>
      </c>
      <c r="AL1649" t="s">
        <v>111</v>
      </c>
      <c r="AM1649" t="s">
        <v>111</v>
      </c>
      <c r="AN1649">
        <v>8448</v>
      </c>
      <c r="AO1649" t="s">
        <v>110</v>
      </c>
      <c r="AP1649" t="s">
        <v>109</v>
      </c>
    </row>
    <row r="1650" spans="1:42" x14ac:dyDescent="0.25">
      <c r="A1650" s="28" t="str">
        <f>"15889"</f>
        <v>15889</v>
      </c>
      <c r="B1650">
        <v>15889</v>
      </c>
      <c r="C1650" t="s">
        <v>2488</v>
      </c>
      <c r="D1650" t="s">
        <v>121</v>
      </c>
      <c r="E1650" t="s">
        <v>584</v>
      </c>
      <c r="F1650" t="s">
        <v>149</v>
      </c>
      <c r="G1650" t="s">
        <v>307</v>
      </c>
      <c r="I1650" t="s">
        <v>4907</v>
      </c>
      <c r="J1650" t="s">
        <v>126</v>
      </c>
      <c r="K1650" s="63">
        <v>30139</v>
      </c>
      <c r="L1650" s="28">
        <f>DATEDIF(K1650,Zwift25!G$1,"Y")</f>
        <v>42</v>
      </c>
      <c r="M1650" s="67">
        <f>IF(J1650="m",VLOOKUP(L1650,'All Solo Adjustments'!A:D,4,FALSE),VLOOKUP(L1650,'All Solo Adjustments'!A:J,10,FALSE))</f>
        <v>4.4907407407407405E-3</v>
      </c>
      <c r="N1650" s="63"/>
      <c r="O1650" s="63"/>
      <c r="P1650" s="63"/>
      <c r="Q1650" s="63"/>
      <c r="R1650" t="s">
        <v>296</v>
      </c>
      <c r="S1650" t="s">
        <v>295</v>
      </c>
      <c r="T1650" t="s">
        <v>292</v>
      </c>
      <c r="U1650" t="s">
        <v>4906</v>
      </c>
      <c r="V1650" t="s">
        <v>1956</v>
      </c>
      <c r="W1650" t="s">
        <v>2386</v>
      </c>
      <c r="Y1650" t="s">
        <v>4905</v>
      </c>
      <c r="Z1650" t="str">
        <f>"07555628006"</f>
        <v>07555628006</v>
      </c>
      <c r="AA1650" t="str">
        <f>""</f>
        <v/>
      </c>
      <c r="AB1650" t="s">
        <v>4904</v>
      </c>
      <c r="AC1650" t="s">
        <v>4903</v>
      </c>
      <c r="AD1650" t="s">
        <v>114</v>
      </c>
      <c r="AE1650" s="63">
        <v>45348</v>
      </c>
      <c r="AF1650" t="s">
        <v>156</v>
      </c>
      <c r="AG1650" t="s">
        <v>112</v>
      </c>
      <c r="AH1650" t="s">
        <v>112</v>
      </c>
      <c r="AI1650" s="63">
        <v>45126</v>
      </c>
      <c r="AJ1650" s="63">
        <v>45657</v>
      </c>
      <c r="AK1650" t="s">
        <v>112</v>
      </c>
      <c r="AL1650" t="s">
        <v>111</v>
      </c>
      <c r="AM1650" t="s">
        <v>111</v>
      </c>
      <c r="AN1650">
        <v>41981</v>
      </c>
      <c r="AO1650" t="s">
        <v>122</v>
      </c>
      <c r="AP1650" t="s">
        <v>122</v>
      </c>
    </row>
    <row r="1651" spans="1:42" x14ac:dyDescent="0.25">
      <c r="A1651" s="28" t="str">
        <f>"14162"</f>
        <v>14162</v>
      </c>
      <c r="B1651">
        <v>14162</v>
      </c>
      <c r="C1651" t="s">
        <v>2488</v>
      </c>
      <c r="D1651" t="s">
        <v>121</v>
      </c>
      <c r="E1651" t="s">
        <v>584</v>
      </c>
      <c r="F1651" t="s">
        <v>120</v>
      </c>
      <c r="G1651" t="s">
        <v>185</v>
      </c>
      <c r="H1651" t="s">
        <v>230</v>
      </c>
      <c r="I1651" t="s">
        <v>4902</v>
      </c>
      <c r="J1651" t="s">
        <v>7</v>
      </c>
      <c r="K1651" s="63">
        <v>20651</v>
      </c>
      <c r="L1651" s="28">
        <f>DATEDIF(K1651,Zwift25!G$1,"Y")</f>
        <v>68</v>
      </c>
      <c r="M1651" s="67">
        <f>IF(J1651="m",VLOOKUP(L1651,'All Solo Adjustments'!A:D,4,FALSE),VLOOKUP(L1651,'All Solo Adjustments'!A:J,10,FALSE))</f>
        <v>5.6134259259259262E-3</v>
      </c>
      <c r="N1651" s="63"/>
      <c r="O1651" s="63"/>
      <c r="P1651" s="63"/>
      <c r="Q1651" s="63"/>
      <c r="R1651" t="s">
        <v>154</v>
      </c>
      <c r="S1651" t="s">
        <v>153</v>
      </c>
      <c r="T1651" t="s">
        <v>292</v>
      </c>
      <c r="U1651" t="s">
        <v>4901</v>
      </c>
      <c r="V1651" t="s">
        <v>4900</v>
      </c>
      <c r="W1651" t="s">
        <v>4899</v>
      </c>
      <c r="X1651" t="s">
        <v>457</v>
      </c>
      <c r="Y1651" t="s">
        <v>4898</v>
      </c>
      <c r="Z1651" t="str">
        <f>"01179774403"</f>
        <v>01179774403</v>
      </c>
      <c r="AA1651" t="str">
        <f>"07977938338"</f>
        <v>07977938338</v>
      </c>
      <c r="AB1651" t="s">
        <v>629</v>
      </c>
      <c r="AC1651" t="s">
        <v>4897</v>
      </c>
      <c r="AD1651" t="s">
        <v>114</v>
      </c>
      <c r="AE1651" s="63">
        <v>45288</v>
      </c>
      <c r="AF1651" t="s">
        <v>113</v>
      </c>
      <c r="AG1651" t="s">
        <v>112</v>
      </c>
      <c r="AH1651" t="s">
        <v>112</v>
      </c>
      <c r="AI1651" s="63">
        <v>43563</v>
      </c>
      <c r="AJ1651" s="63">
        <v>45657</v>
      </c>
      <c r="AK1651" t="s">
        <v>112</v>
      </c>
      <c r="AL1651" t="s">
        <v>111</v>
      </c>
      <c r="AM1651" t="s">
        <v>111</v>
      </c>
      <c r="AN1651">
        <v>25085</v>
      </c>
      <c r="AO1651" t="s">
        <v>110</v>
      </c>
      <c r="AP1651" t="s">
        <v>109</v>
      </c>
    </row>
    <row r="1652" spans="1:42" x14ac:dyDescent="0.25">
      <c r="A1652" s="28" t="str">
        <f>"13855"</f>
        <v>13855</v>
      </c>
      <c r="B1652">
        <v>13855</v>
      </c>
      <c r="C1652" t="s">
        <v>2488</v>
      </c>
      <c r="D1652" t="s">
        <v>132</v>
      </c>
      <c r="F1652" t="s">
        <v>403</v>
      </c>
      <c r="G1652" t="s">
        <v>4896</v>
      </c>
      <c r="H1652" t="s">
        <v>595</v>
      </c>
      <c r="I1652" t="s">
        <v>4893</v>
      </c>
      <c r="J1652" t="s">
        <v>126</v>
      </c>
      <c r="K1652" s="63">
        <v>25600</v>
      </c>
      <c r="L1652" s="28">
        <f>DATEDIF(K1652,Zwift25!G$1,"Y")</f>
        <v>54</v>
      </c>
      <c r="M1652" s="67">
        <f>IF(J1652="m",VLOOKUP(L1652,'All Solo Adjustments'!A:D,4,FALSE),VLOOKUP(L1652,'All Solo Adjustments'!A:J,10,FALSE))</f>
        <v>5.4861111111111109E-3</v>
      </c>
      <c r="N1652" s="63"/>
      <c r="O1652" s="63"/>
      <c r="P1652" s="63"/>
      <c r="Q1652" s="63"/>
      <c r="R1652" t="s">
        <v>154</v>
      </c>
      <c r="S1652" t="s">
        <v>412</v>
      </c>
      <c r="T1652" t="s">
        <v>292</v>
      </c>
      <c r="U1652" t="s">
        <v>4892</v>
      </c>
      <c r="V1652" t="s">
        <v>1447</v>
      </c>
      <c r="Y1652" t="s">
        <v>4891</v>
      </c>
      <c r="Z1652" t="str">
        <f>"07976797936"</f>
        <v>07976797936</v>
      </c>
      <c r="AA1652" t="str">
        <f>""</f>
        <v/>
      </c>
      <c r="AB1652" t="s">
        <v>4895</v>
      </c>
      <c r="AC1652" t="s">
        <v>4894</v>
      </c>
      <c r="AD1652" t="s">
        <v>114</v>
      </c>
      <c r="AE1652" s="63">
        <v>45292</v>
      </c>
      <c r="AF1652" t="s">
        <v>156</v>
      </c>
      <c r="AG1652" t="s">
        <v>112</v>
      </c>
      <c r="AH1652" t="s">
        <v>112</v>
      </c>
      <c r="AI1652" s="63">
        <v>44690</v>
      </c>
      <c r="AJ1652" s="63">
        <v>45657</v>
      </c>
      <c r="AK1652" t="s">
        <v>112</v>
      </c>
      <c r="AL1652" t="s">
        <v>111</v>
      </c>
      <c r="AM1652" t="s">
        <v>111</v>
      </c>
      <c r="AN1652">
        <v>2344</v>
      </c>
      <c r="AO1652" t="s">
        <v>122</v>
      </c>
      <c r="AP1652" t="s">
        <v>122</v>
      </c>
    </row>
    <row r="1653" spans="1:42" x14ac:dyDescent="0.25">
      <c r="A1653" s="28" t="str">
        <f>"10491"</f>
        <v>10491</v>
      </c>
      <c r="B1653">
        <v>10491</v>
      </c>
      <c r="C1653" t="s">
        <v>2488</v>
      </c>
      <c r="D1653" t="s">
        <v>121</v>
      </c>
      <c r="E1653" t="s">
        <v>584</v>
      </c>
      <c r="F1653" t="s">
        <v>120</v>
      </c>
      <c r="G1653" t="s">
        <v>171</v>
      </c>
      <c r="H1653" t="s">
        <v>284</v>
      </c>
      <c r="I1653" t="s">
        <v>4890</v>
      </c>
      <c r="J1653" t="s">
        <v>7</v>
      </c>
      <c r="K1653" s="63">
        <v>22082</v>
      </c>
      <c r="L1653" s="28">
        <f>DATEDIF(K1653,Zwift25!G$1,"Y")</f>
        <v>64</v>
      </c>
      <c r="M1653" s="67">
        <f>IF(J1653="m",VLOOKUP(L1653,'All Solo Adjustments'!A:D,4,FALSE),VLOOKUP(L1653,'All Solo Adjustments'!A:J,10,FALSE))</f>
        <v>4.31712962962963E-3</v>
      </c>
      <c r="N1653" s="63"/>
      <c r="O1653" s="63"/>
      <c r="P1653" s="63"/>
      <c r="Q1653" s="63"/>
      <c r="R1653" t="s">
        <v>143</v>
      </c>
      <c r="S1653" t="s">
        <v>142</v>
      </c>
      <c r="T1653" t="s">
        <v>292</v>
      </c>
      <c r="U1653" t="s">
        <v>4889</v>
      </c>
      <c r="V1653" t="s">
        <v>1489</v>
      </c>
      <c r="W1653" t="s">
        <v>909</v>
      </c>
      <c r="X1653" t="s">
        <v>141</v>
      </c>
      <c r="Y1653" t="s">
        <v>4888</v>
      </c>
      <c r="Z1653" t="str">
        <f>"07764673826"</f>
        <v>07764673826</v>
      </c>
      <c r="AA1653" t="str">
        <f>"02083933728"</f>
        <v>02083933728</v>
      </c>
      <c r="AB1653" t="s">
        <v>316</v>
      </c>
      <c r="AC1653" t="s">
        <v>4887</v>
      </c>
      <c r="AD1653" t="s">
        <v>114</v>
      </c>
      <c r="AE1653" s="63">
        <v>45297</v>
      </c>
      <c r="AF1653" t="s">
        <v>156</v>
      </c>
      <c r="AG1653" t="s">
        <v>112</v>
      </c>
      <c r="AH1653" t="s">
        <v>112</v>
      </c>
      <c r="AI1653" s="63">
        <v>43165</v>
      </c>
      <c r="AJ1653" s="63">
        <v>45657</v>
      </c>
      <c r="AK1653" t="s">
        <v>112</v>
      </c>
      <c r="AL1653" t="s">
        <v>111</v>
      </c>
      <c r="AM1653" t="s">
        <v>111</v>
      </c>
      <c r="AN1653">
        <v>10196</v>
      </c>
      <c r="AO1653" t="s">
        <v>110</v>
      </c>
      <c r="AP1653" t="s">
        <v>109</v>
      </c>
    </row>
    <row r="1654" spans="1:42" x14ac:dyDescent="0.25">
      <c r="A1654" s="28" t="str">
        <f>"5339"</f>
        <v>5339</v>
      </c>
      <c r="B1654">
        <v>5339</v>
      </c>
      <c r="C1654" t="s">
        <v>2488</v>
      </c>
      <c r="D1654" t="s">
        <v>121</v>
      </c>
      <c r="F1654" t="s">
        <v>120</v>
      </c>
      <c r="G1654" t="s">
        <v>523</v>
      </c>
      <c r="H1654" t="s">
        <v>1569</v>
      </c>
      <c r="I1654" t="s">
        <v>4886</v>
      </c>
      <c r="J1654" t="s">
        <v>7</v>
      </c>
      <c r="K1654" s="63">
        <v>26808</v>
      </c>
      <c r="L1654" s="28">
        <f>DATEDIF(K1654,Zwift25!G$1,"Y")</f>
        <v>51</v>
      </c>
      <c r="M1654" s="67">
        <f>IF(J1654="m",VLOOKUP(L1654,'All Solo Adjustments'!A:D,4,FALSE),VLOOKUP(L1654,'All Solo Adjustments'!A:J,10,FALSE))</f>
        <v>1.3078703703703703E-3</v>
      </c>
      <c r="N1654" s="63"/>
      <c r="O1654" s="63"/>
      <c r="P1654" s="63"/>
      <c r="Q1654" s="63"/>
      <c r="R1654" t="s">
        <v>184</v>
      </c>
      <c r="S1654" t="s">
        <v>183</v>
      </c>
      <c r="T1654" t="s">
        <v>292</v>
      </c>
      <c r="U1654" t="s">
        <v>4885</v>
      </c>
      <c r="V1654" t="s">
        <v>4884</v>
      </c>
      <c r="Y1654" t="s">
        <v>4883</v>
      </c>
      <c r="Z1654" t="str">
        <f>"07818 024763"</f>
        <v>07818 024763</v>
      </c>
      <c r="AA1654" t="str">
        <f>""</f>
        <v/>
      </c>
      <c r="AB1654" t="s">
        <v>1417</v>
      </c>
      <c r="AC1654" t="s">
        <v>4882</v>
      </c>
      <c r="AD1654" t="s">
        <v>114</v>
      </c>
      <c r="AE1654" s="63">
        <v>45310</v>
      </c>
      <c r="AF1654" t="s">
        <v>113</v>
      </c>
      <c r="AG1654" t="s">
        <v>112</v>
      </c>
      <c r="AH1654" t="s">
        <v>112</v>
      </c>
      <c r="AI1654" s="63">
        <v>42068</v>
      </c>
      <c r="AJ1654" s="63">
        <v>45657</v>
      </c>
      <c r="AK1654" t="s">
        <v>111</v>
      </c>
      <c r="AL1654" t="s">
        <v>111</v>
      </c>
      <c r="AM1654" t="s">
        <v>111</v>
      </c>
      <c r="AN1654" t="s">
        <v>105</v>
      </c>
      <c r="AO1654" t="s">
        <v>110</v>
      </c>
      <c r="AP1654" t="s">
        <v>109</v>
      </c>
    </row>
    <row r="1655" spans="1:42" x14ac:dyDescent="0.25">
      <c r="A1655" s="28" t="str">
        <f>"2069"</f>
        <v>2069</v>
      </c>
      <c r="B1655">
        <v>2069</v>
      </c>
      <c r="C1655" t="s">
        <v>2488</v>
      </c>
      <c r="D1655" t="s">
        <v>121</v>
      </c>
      <c r="F1655" t="s">
        <v>120</v>
      </c>
      <c r="G1655" t="s">
        <v>522</v>
      </c>
      <c r="I1655" t="s">
        <v>1424</v>
      </c>
      <c r="J1655" t="s">
        <v>7</v>
      </c>
      <c r="K1655" s="63">
        <v>11336</v>
      </c>
      <c r="L1655" s="28">
        <f>DATEDIF(K1655,Zwift25!G$1,"Y")</f>
        <v>93</v>
      </c>
      <c r="M1655" s="67">
        <f>IF(J1655="m",VLOOKUP(L1655,'All Solo Adjustments'!A:D,4,FALSE),VLOOKUP(L1655,'All Solo Adjustments'!A:J,10,FALSE))</f>
        <v>2.1516203703703704E-2</v>
      </c>
      <c r="N1655" s="63"/>
      <c r="O1655" s="63"/>
      <c r="P1655" s="63"/>
      <c r="Q1655" s="63"/>
      <c r="R1655" t="s">
        <v>184</v>
      </c>
      <c r="S1655" t="s">
        <v>835</v>
      </c>
      <c r="T1655" t="s">
        <v>292</v>
      </c>
      <c r="U1655" t="s">
        <v>4881</v>
      </c>
      <c r="V1655" t="s">
        <v>2448</v>
      </c>
      <c r="W1655" t="s">
        <v>1423</v>
      </c>
      <c r="X1655" t="s">
        <v>1034</v>
      </c>
      <c r="Y1655" t="s">
        <v>4880</v>
      </c>
      <c r="Z1655" t="str">
        <f>"01784 482552"</f>
        <v>01784 482552</v>
      </c>
      <c r="AA1655" t="str">
        <f>""</f>
        <v/>
      </c>
      <c r="AB1655" t="s">
        <v>2343</v>
      </c>
      <c r="AD1655" t="s">
        <v>151</v>
      </c>
      <c r="AF1655" t="s">
        <v>113</v>
      </c>
      <c r="AG1655" t="s">
        <v>112</v>
      </c>
      <c r="AH1655" t="s">
        <v>112</v>
      </c>
      <c r="AK1655" t="s">
        <v>111</v>
      </c>
      <c r="AL1655" t="s">
        <v>111</v>
      </c>
      <c r="AM1655" t="s">
        <v>111</v>
      </c>
      <c r="AN1655" t="s">
        <v>105</v>
      </c>
      <c r="AO1655" t="s">
        <v>110</v>
      </c>
      <c r="AP1655" t="s">
        <v>109</v>
      </c>
    </row>
    <row r="1656" spans="1:42" x14ac:dyDescent="0.25">
      <c r="A1656" s="28" t="str">
        <f>"15038"</f>
        <v>15038</v>
      </c>
      <c r="B1656">
        <v>15038</v>
      </c>
      <c r="C1656" t="s">
        <v>2488</v>
      </c>
      <c r="D1656" t="s">
        <v>121</v>
      </c>
      <c r="F1656" t="s">
        <v>139</v>
      </c>
      <c r="G1656" t="s">
        <v>4879</v>
      </c>
      <c r="I1656" t="s">
        <v>4878</v>
      </c>
      <c r="J1656" t="s">
        <v>126</v>
      </c>
      <c r="K1656" s="63">
        <v>25649</v>
      </c>
      <c r="L1656" s="28">
        <f>DATEDIF(K1656,Zwift25!G$1,"Y")</f>
        <v>54</v>
      </c>
      <c r="M1656" s="67">
        <f>IF(J1656="m",VLOOKUP(L1656,'All Solo Adjustments'!A:D,4,FALSE),VLOOKUP(L1656,'All Solo Adjustments'!A:J,10,FALSE))</f>
        <v>5.4861111111111109E-3</v>
      </c>
      <c r="N1656" s="63"/>
      <c r="O1656" s="63"/>
      <c r="P1656" s="63"/>
      <c r="Q1656" s="63"/>
      <c r="R1656" t="s">
        <v>125</v>
      </c>
      <c r="S1656" t="s">
        <v>170</v>
      </c>
      <c r="T1656" t="s">
        <v>292</v>
      </c>
      <c r="U1656" t="s">
        <v>4877</v>
      </c>
      <c r="V1656" t="s">
        <v>4876</v>
      </c>
      <c r="W1656" t="s">
        <v>342</v>
      </c>
      <c r="X1656" t="s">
        <v>169</v>
      </c>
      <c r="Y1656" t="s">
        <v>4875</v>
      </c>
      <c r="Z1656" t="str">
        <f>"+447951889945"</f>
        <v>+447951889945</v>
      </c>
      <c r="AA1656" t="str">
        <f>""</f>
        <v/>
      </c>
      <c r="AB1656" t="s">
        <v>4874</v>
      </c>
      <c r="AC1656" t="s">
        <v>4873</v>
      </c>
      <c r="AD1656" t="s">
        <v>114</v>
      </c>
      <c r="AE1656" s="63">
        <v>45292</v>
      </c>
      <c r="AF1656" t="s">
        <v>156</v>
      </c>
      <c r="AG1656" t="s">
        <v>112</v>
      </c>
      <c r="AH1656" t="s">
        <v>112</v>
      </c>
      <c r="AI1656" s="63">
        <v>44316</v>
      </c>
      <c r="AJ1656" s="63">
        <v>45657</v>
      </c>
      <c r="AK1656" t="s">
        <v>112</v>
      </c>
      <c r="AL1656" t="s">
        <v>111</v>
      </c>
      <c r="AM1656" t="s">
        <v>111</v>
      </c>
      <c r="AN1656">
        <v>38915</v>
      </c>
      <c r="AO1656" t="s">
        <v>122</v>
      </c>
      <c r="AP1656" t="s">
        <v>122</v>
      </c>
    </row>
    <row r="1657" spans="1:42" x14ac:dyDescent="0.25">
      <c r="A1657" s="28" t="str">
        <f>"6027"</f>
        <v>6027</v>
      </c>
      <c r="B1657">
        <v>6027</v>
      </c>
      <c r="C1657" t="s">
        <v>2488</v>
      </c>
      <c r="D1657" t="s">
        <v>121</v>
      </c>
      <c r="F1657" t="s">
        <v>120</v>
      </c>
      <c r="G1657" t="s">
        <v>805</v>
      </c>
      <c r="I1657" t="s">
        <v>311</v>
      </c>
      <c r="J1657" t="s">
        <v>7</v>
      </c>
      <c r="K1657" s="63">
        <v>22025</v>
      </c>
      <c r="L1657" s="28">
        <f>DATEDIF(K1657,Zwift25!G$1,"Y")</f>
        <v>64</v>
      </c>
      <c r="M1657" s="67">
        <f>IF(J1657="m",VLOOKUP(L1657,'All Solo Adjustments'!A:D,4,FALSE),VLOOKUP(L1657,'All Solo Adjustments'!A:J,10,FALSE))</f>
        <v>4.31712962962963E-3</v>
      </c>
      <c r="N1657" s="63"/>
      <c r="O1657" s="63"/>
      <c r="P1657" s="63"/>
      <c r="Q1657" s="63"/>
      <c r="R1657" t="s">
        <v>296</v>
      </c>
      <c r="S1657" t="s">
        <v>295</v>
      </c>
      <c r="T1657" t="s">
        <v>292</v>
      </c>
      <c r="U1657" t="s">
        <v>4872</v>
      </c>
      <c r="V1657" t="s">
        <v>1102</v>
      </c>
      <c r="X1657" t="s">
        <v>4871</v>
      </c>
      <c r="Y1657" t="s">
        <v>4870</v>
      </c>
      <c r="Z1657" t="str">
        <f>"07783695317"</f>
        <v>07783695317</v>
      </c>
      <c r="AA1657" t="str">
        <f>""</f>
        <v/>
      </c>
      <c r="AB1657" t="s">
        <v>4869</v>
      </c>
      <c r="AC1657" t="s">
        <v>4868</v>
      </c>
      <c r="AD1657" t="s">
        <v>114</v>
      </c>
      <c r="AE1657" s="63">
        <v>45293</v>
      </c>
      <c r="AF1657" t="s">
        <v>113</v>
      </c>
      <c r="AG1657" t="s">
        <v>112</v>
      </c>
      <c r="AH1657" t="s">
        <v>112</v>
      </c>
      <c r="AI1657" s="63">
        <v>41310</v>
      </c>
      <c r="AJ1657" s="63">
        <v>45657</v>
      </c>
      <c r="AK1657" t="s">
        <v>111</v>
      </c>
      <c r="AL1657" t="s">
        <v>111</v>
      </c>
      <c r="AM1657" t="s">
        <v>111</v>
      </c>
      <c r="AN1657">
        <v>5930</v>
      </c>
      <c r="AO1657" t="s">
        <v>110</v>
      </c>
      <c r="AP1657" t="s">
        <v>109</v>
      </c>
    </row>
    <row r="1658" spans="1:42" x14ac:dyDescent="0.25">
      <c r="A1658" s="28" t="str">
        <f>"13558"</f>
        <v>13558</v>
      </c>
      <c r="B1658">
        <v>13558</v>
      </c>
      <c r="C1658" t="s">
        <v>2488</v>
      </c>
      <c r="D1658" t="s">
        <v>132</v>
      </c>
      <c r="F1658" t="s">
        <v>120</v>
      </c>
      <c r="G1658" t="s">
        <v>1350</v>
      </c>
      <c r="I1658" t="s">
        <v>311</v>
      </c>
      <c r="J1658" t="s">
        <v>126</v>
      </c>
      <c r="K1658" s="63">
        <v>15764</v>
      </c>
      <c r="L1658" s="28">
        <f>DATEDIF(K1658,Zwift25!G$1,"Y")</f>
        <v>81</v>
      </c>
      <c r="M1658" s="67">
        <f>IF(J1658="m",VLOOKUP(L1658,'All Solo Adjustments'!A:D,4,FALSE),VLOOKUP(L1658,'All Solo Adjustments'!A:J,10,FALSE))</f>
        <v>1.7488425925925925E-2</v>
      </c>
      <c r="N1658" s="63"/>
      <c r="O1658" s="63"/>
      <c r="P1658" s="63"/>
      <c r="Q1658" s="63"/>
      <c r="R1658" t="s">
        <v>198</v>
      </c>
      <c r="S1658" t="s">
        <v>476</v>
      </c>
      <c r="T1658" t="s">
        <v>292</v>
      </c>
      <c r="U1658" t="s">
        <v>4866</v>
      </c>
      <c r="V1658" t="s">
        <v>4589</v>
      </c>
      <c r="W1658" t="s">
        <v>196</v>
      </c>
      <c r="Y1658" t="s">
        <v>4865</v>
      </c>
      <c r="Z1658" t="str">
        <f>"01925 755080"</f>
        <v>01925 755080</v>
      </c>
      <c r="AA1658" t="str">
        <f>""</f>
        <v/>
      </c>
      <c r="AB1658" t="s">
        <v>290</v>
      </c>
      <c r="AC1658" t="s">
        <v>4867</v>
      </c>
      <c r="AD1658" t="s">
        <v>145</v>
      </c>
      <c r="AF1658" t="s">
        <v>113</v>
      </c>
      <c r="AG1658" t="s">
        <v>111</v>
      </c>
      <c r="AH1658" t="s">
        <v>111</v>
      </c>
      <c r="AI1658" s="63">
        <v>30528</v>
      </c>
      <c r="AK1658" t="s">
        <v>111</v>
      </c>
      <c r="AL1658" t="s">
        <v>111</v>
      </c>
      <c r="AM1658" t="s">
        <v>111</v>
      </c>
      <c r="AN1658" t="s">
        <v>105</v>
      </c>
      <c r="AO1658" t="s">
        <v>122</v>
      </c>
      <c r="AP1658" t="s">
        <v>122</v>
      </c>
    </row>
    <row r="1659" spans="1:42" x14ac:dyDescent="0.25">
      <c r="A1659" s="28" t="str">
        <f>"15940"</f>
        <v>15940</v>
      </c>
      <c r="B1659">
        <v>15940</v>
      </c>
      <c r="C1659" t="s">
        <v>2488</v>
      </c>
      <c r="D1659" t="s">
        <v>121</v>
      </c>
      <c r="F1659" t="s">
        <v>120</v>
      </c>
      <c r="G1659" t="s">
        <v>300</v>
      </c>
      <c r="I1659" t="s">
        <v>311</v>
      </c>
      <c r="J1659" t="s">
        <v>7</v>
      </c>
      <c r="K1659" s="63">
        <v>16227</v>
      </c>
      <c r="L1659" s="28">
        <f>DATEDIF(K1659,Zwift25!G$1,"Y")</f>
        <v>80</v>
      </c>
      <c r="M1659" s="67">
        <f>IF(J1659="m",VLOOKUP(L1659,'All Solo Adjustments'!A:D,4,FALSE),VLOOKUP(L1659,'All Solo Adjustments'!A:J,10,FALSE))</f>
        <v>1.1018518518518518E-2</v>
      </c>
      <c r="N1659" s="63"/>
      <c r="O1659" s="63"/>
      <c r="P1659" s="63"/>
      <c r="Q1659" s="63"/>
      <c r="R1659" t="s">
        <v>198</v>
      </c>
      <c r="S1659" t="s">
        <v>476</v>
      </c>
      <c r="T1659" t="s">
        <v>292</v>
      </c>
      <c r="U1659" t="s">
        <v>4866</v>
      </c>
      <c r="V1659" t="s">
        <v>4589</v>
      </c>
      <c r="W1659" t="s">
        <v>196</v>
      </c>
      <c r="X1659" t="s">
        <v>196</v>
      </c>
      <c r="Y1659" t="s">
        <v>4865</v>
      </c>
      <c r="Z1659" t="str">
        <f>"+447775953979"</f>
        <v>+447775953979</v>
      </c>
      <c r="AA1659" t="str">
        <f>""</f>
        <v/>
      </c>
      <c r="AB1659" t="s">
        <v>2377</v>
      </c>
      <c r="AC1659" t="s">
        <v>4864</v>
      </c>
      <c r="AD1659" t="s">
        <v>145</v>
      </c>
      <c r="AF1659" t="s">
        <v>156</v>
      </c>
      <c r="AG1659" t="s">
        <v>112</v>
      </c>
      <c r="AH1659" t="s">
        <v>112</v>
      </c>
      <c r="AI1659" s="63">
        <v>45252</v>
      </c>
      <c r="AK1659" t="s">
        <v>112</v>
      </c>
      <c r="AL1659" t="s">
        <v>111</v>
      </c>
      <c r="AM1659" t="s">
        <v>111</v>
      </c>
      <c r="AN1659">
        <v>1618</v>
      </c>
      <c r="AO1659" t="s">
        <v>110</v>
      </c>
      <c r="AP1659" t="s">
        <v>109</v>
      </c>
    </row>
    <row r="1660" spans="1:42" x14ac:dyDescent="0.25">
      <c r="A1660" s="28" t="str">
        <f>"6514"</f>
        <v>6514</v>
      </c>
      <c r="B1660">
        <v>6514</v>
      </c>
      <c r="C1660" t="s">
        <v>2488</v>
      </c>
      <c r="D1660" t="s">
        <v>121</v>
      </c>
      <c r="F1660" t="s">
        <v>120</v>
      </c>
      <c r="G1660" t="s">
        <v>492</v>
      </c>
      <c r="H1660" t="s">
        <v>506</v>
      </c>
      <c r="I1660" t="s">
        <v>4863</v>
      </c>
      <c r="J1660" t="s">
        <v>7</v>
      </c>
      <c r="K1660" s="63">
        <v>14160</v>
      </c>
      <c r="L1660" s="28">
        <f>DATEDIF(K1660,Zwift25!G$1,"Y")</f>
        <v>86</v>
      </c>
      <c r="M1660" s="67">
        <f>IF(J1660="m",VLOOKUP(L1660,'All Solo Adjustments'!A:D,4,FALSE),VLOOKUP(L1660,'All Solo Adjustments'!A:J,10,FALSE))</f>
        <v>1.4988425925925926E-2</v>
      </c>
      <c r="N1660" s="63"/>
      <c r="O1660" s="63"/>
      <c r="P1660" s="63"/>
      <c r="Q1660" s="63"/>
      <c r="R1660" t="s">
        <v>159</v>
      </c>
      <c r="S1660" t="s">
        <v>570</v>
      </c>
      <c r="T1660" t="s">
        <v>292</v>
      </c>
      <c r="U1660" t="s">
        <v>4862</v>
      </c>
      <c r="V1660" t="s">
        <v>4861</v>
      </c>
      <c r="W1660" t="s">
        <v>159</v>
      </c>
      <c r="Y1660" t="s">
        <v>4860</v>
      </c>
      <c r="Z1660" t="str">
        <f>"01474 704901"</f>
        <v>01474 704901</v>
      </c>
      <c r="AA1660" t="str">
        <f>"0864037924"</f>
        <v>0864037924</v>
      </c>
      <c r="AB1660" t="s">
        <v>4859</v>
      </c>
      <c r="AC1660" t="s">
        <v>4858</v>
      </c>
      <c r="AD1660" t="s">
        <v>145</v>
      </c>
      <c r="AF1660" t="s">
        <v>113</v>
      </c>
      <c r="AG1660" t="s">
        <v>112</v>
      </c>
      <c r="AH1660" t="s">
        <v>112</v>
      </c>
      <c r="AI1660" s="63">
        <v>43421</v>
      </c>
      <c r="AK1660" t="s">
        <v>111</v>
      </c>
      <c r="AL1660" t="s">
        <v>111</v>
      </c>
      <c r="AM1660" t="s">
        <v>111</v>
      </c>
      <c r="AN1660">
        <v>1966</v>
      </c>
      <c r="AO1660" t="s">
        <v>110</v>
      </c>
      <c r="AP1660" t="s">
        <v>109</v>
      </c>
    </row>
    <row r="1661" spans="1:42" x14ac:dyDescent="0.25">
      <c r="A1661" s="28" t="str">
        <f>"13062"</f>
        <v>13062</v>
      </c>
      <c r="B1661">
        <v>13062</v>
      </c>
      <c r="C1661" t="s">
        <v>2488</v>
      </c>
      <c r="D1661" t="s">
        <v>121</v>
      </c>
      <c r="F1661" t="s">
        <v>139</v>
      </c>
      <c r="G1661" t="s">
        <v>1739</v>
      </c>
      <c r="H1661" t="s">
        <v>329</v>
      </c>
      <c r="I1661" t="s">
        <v>423</v>
      </c>
      <c r="J1661" t="s">
        <v>126</v>
      </c>
      <c r="K1661" s="63">
        <v>25558</v>
      </c>
      <c r="L1661" s="28">
        <f>DATEDIF(K1661,Zwift25!G$1,"Y")</f>
        <v>54</v>
      </c>
      <c r="M1661" s="67">
        <f>IF(J1661="m",VLOOKUP(L1661,'All Solo Adjustments'!A:D,4,FALSE),VLOOKUP(L1661,'All Solo Adjustments'!A:J,10,FALSE))</f>
        <v>5.4861111111111109E-3</v>
      </c>
      <c r="N1661" s="63"/>
      <c r="O1661" s="63"/>
      <c r="P1661" s="63"/>
      <c r="Q1661" s="63"/>
      <c r="R1661" t="s">
        <v>184</v>
      </c>
      <c r="S1661" t="s">
        <v>183</v>
      </c>
      <c r="T1661" t="s">
        <v>292</v>
      </c>
      <c r="U1661" t="s">
        <v>4857</v>
      </c>
      <c r="V1661" t="s">
        <v>4856</v>
      </c>
      <c r="Y1661" t="s">
        <v>4855</v>
      </c>
      <c r="Z1661" t="str">
        <f>"07793211847"</f>
        <v>07793211847</v>
      </c>
      <c r="AA1661" t="str">
        <f>""</f>
        <v/>
      </c>
      <c r="AB1661" t="s">
        <v>1045</v>
      </c>
      <c r="AC1661" t="s">
        <v>4854</v>
      </c>
      <c r="AD1661" t="s">
        <v>114</v>
      </c>
      <c r="AE1661" s="63">
        <v>45351</v>
      </c>
      <c r="AF1661" t="s">
        <v>113</v>
      </c>
      <c r="AG1661" t="s">
        <v>112</v>
      </c>
      <c r="AH1661" t="s">
        <v>112</v>
      </c>
      <c r="AI1661" s="63">
        <v>43238</v>
      </c>
      <c r="AJ1661" s="63">
        <v>45657</v>
      </c>
      <c r="AK1661" t="s">
        <v>112</v>
      </c>
      <c r="AL1661" t="s">
        <v>111</v>
      </c>
      <c r="AM1661" t="s">
        <v>112</v>
      </c>
      <c r="AN1661">
        <v>24508</v>
      </c>
      <c r="AO1661" t="s">
        <v>122</v>
      </c>
      <c r="AP1661" t="s">
        <v>122</v>
      </c>
    </row>
    <row r="1662" spans="1:42" x14ac:dyDescent="0.25">
      <c r="A1662" s="28" t="str">
        <f>"2081"</f>
        <v>2081</v>
      </c>
      <c r="B1662">
        <v>2081</v>
      </c>
      <c r="C1662" t="s">
        <v>2488</v>
      </c>
      <c r="D1662" t="s">
        <v>121</v>
      </c>
      <c r="F1662" t="s">
        <v>120</v>
      </c>
      <c r="G1662" t="s">
        <v>402</v>
      </c>
      <c r="I1662" t="s">
        <v>1419</v>
      </c>
      <c r="J1662" t="s">
        <v>7</v>
      </c>
      <c r="K1662" s="63">
        <v>20103</v>
      </c>
      <c r="L1662" s="28">
        <f>DATEDIF(K1662,Zwift25!G$1,"Y")</f>
        <v>69</v>
      </c>
      <c r="M1662" s="67">
        <f>IF(J1662="m",VLOOKUP(L1662,'All Solo Adjustments'!A:D,4,FALSE),VLOOKUP(L1662,'All Solo Adjustments'!A:J,10,FALSE))</f>
        <v>5.9722222222222225E-3</v>
      </c>
      <c r="N1662" s="63"/>
      <c r="O1662" s="63"/>
      <c r="P1662" s="63"/>
      <c r="Q1662" s="63"/>
      <c r="R1662" t="s">
        <v>328</v>
      </c>
      <c r="S1662" t="s">
        <v>327</v>
      </c>
      <c r="T1662" t="s">
        <v>292</v>
      </c>
      <c r="U1662" t="s">
        <v>4853</v>
      </c>
      <c r="V1662" t="s">
        <v>4852</v>
      </c>
      <c r="W1662" t="s">
        <v>1247</v>
      </c>
      <c r="X1662" t="s">
        <v>325</v>
      </c>
      <c r="Y1662" t="s">
        <v>4851</v>
      </c>
      <c r="Z1662" t="str">
        <f>"01204 883513"</f>
        <v>01204 883513</v>
      </c>
      <c r="AA1662" t="str">
        <f>"07932852886"</f>
        <v>07932852886</v>
      </c>
      <c r="AB1662" t="s">
        <v>1563</v>
      </c>
      <c r="AC1662" t="s">
        <v>4850</v>
      </c>
      <c r="AD1662" t="s">
        <v>114</v>
      </c>
      <c r="AE1662" s="63">
        <v>45270</v>
      </c>
      <c r="AF1662" t="s">
        <v>156</v>
      </c>
      <c r="AG1662" t="s">
        <v>112</v>
      </c>
      <c r="AH1662" t="s">
        <v>112</v>
      </c>
      <c r="AI1662" s="63">
        <v>42736</v>
      </c>
      <c r="AJ1662" s="63">
        <v>45657</v>
      </c>
      <c r="AK1662" t="s">
        <v>111</v>
      </c>
      <c r="AL1662" t="s">
        <v>111</v>
      </c>
      <c r="AM1662" t="s">
        <v>111</v>
      </c>
      <c r="AN1662" t="s">
        <v>105</v>
      </c>
      <c r="AO1662" t="s">
        <v>110</v>
      </c>
      <c r="AP1662" t="s">
        <v>109</v>
      </c>
    </row>
    <row r="1663" spans="1:42" x14ac:dyDescent="0.25">
      <c r="A1663" s="28" t="str">
        <f>"2084"</f>
        <v>2084</v>
      </c>
      <c r="B1663">
        <v>2084</v>
      </c>
      <c r="C1663" t="s">
        <v>2488</v>
      </c>
      <c r="D1663" t="s">
        <v>121</v>
      </c>
      <c r="F1663" t="s">
        <v>120</v>
      </c>
      <c r="G1663" t="s">
        <v>1166</v>
      </c>
      <c r="I1663" t="s">
        <v>1126</v>
      </c>
      <c r="J1663" t="s">
        <v>7</v>
      </c>
      <c r="K1663" s="63">
        <v>10938</v>
      </c>
      <c r="L1663" s="28">
        <f>DATEDIF(K1663,Zwift25!G$1,"Y")</f>
        <v>94</v>
      </c>
      <c r="M1663" s="67">
        <f>IF(J1663="m",VLOOKUP(L1663,'All Solo Adjustments'!A:D,4,FALSE),VLOOKUP(L1663,'All Solo Adjustments'!A:J,10,FALSE))</f>
        <v>2.2685185185185187E-2</v>
      </c>
      <c r="N1663" s="63"/>
      <c r="O1663" s="63"/>
      <c r="P1663" s="63"/>
      <c r="Q1663" s="63"/>
      <c r="R1663" t="s">
        <v>296</v>
      </c>
      <c r="S1663" t="s">
        <v>2310</v>
      </c>
      <c r="T1663" t="s">
        <v>292</v>
      </c>
      <c r="U1663" t="s">
        <v>4849</v>
      </c>
      <c r="V1663" t="s">
        <v>4848</v>
      </c>
      <c r="W1663" t="s">
        <v>4847</v>
      </c>
      <c r="X1663" t="s">
        <v>1341</v>
      </c>
      <c r="Y1663" t="s">
        <v>4846</v>
      </c>
      <c r="Z1663" t="str">
        <f>"01324 441347"</f>
        <v>01324 441347</v>
      </c>
      <c r="AA1663" t="str">
        <f>""</f>
        <v/>
      </c>
      <c r="AB1663" t="s">
        <v>4845</v>
      </c>
      <c r="AD1663" t="s">
        <v>151</v>
      </c>
      <c r="AF1663" t="s">
        <v>113</v>
      </c>
      <c r="AG1663" t="s">
        <v>112</v>
      </c>
      <c r="AH1663" t="s">
        <v>112</v>
      </c>
      <c r="AI1663" s="63">
        <v>25585</v>
      </c>
      <c r="AK1663" t="s">
        <v>111</v>
      </c>
      <c r="AL1663" t="s">
        <v>111</v>
      </c>
      <c r="AM1663" t="s">
        <v>111</v>
      </c>
      <c r="AN1663" t="s">
        <v>105</v>
      </c>
      <c r="AO1663" t="s">
        <v>110</v>
      </c>
      <c r="AP1663" t="s">
        <v>109</v>
      </c>
    </row>
    <row r="1664" spans="1:42" x14ac:dyDescent="0.25">
      <c r="A1664" s="28" t="str">
        <f>"4594"</f>
        <v>4594</v>
      </c>
      <c r="B1664">
        <v>4594</v>
      </c>
      <c r="C1664" t="s">
        <v>2488</v>
      </c>
      <c r="D1664" t="s">
        <v>121</v>
      </c>
      <c r="F1664" t="s">
        <v>120</v>
      </c>
      <c r="G1664" t="s">
        <v>230</v>
      </c>
      <c r="H1664" t="s">
        <v>359</v>
      </c>
      <c r="I1664" t="s">
        <v>4844</v>
      </c>
      <c r="J1664" t="s">
        <v>7</v>
      </c>
      <c r="K1664" s="63">
        <v>24721</v>
      </c>
      <c r="L1664" s="28">
        <f>DATEDIF(K1664,Zwift25!G$1,"Y")</f>
        <v>57</v>
      </c>
      <c r="M1664" s="67">
        <f>IF(J1664="m",VLOOKUP(L1664,'All Solo Adjustments'!A:D,4,FALSE),VLOOKUP(L1664,'All Solo Adjustments'!A:J,10,FALSE))</f>
        <v>2.488425925925926E-3</v>
      </c>
      <c r="N1664" s="63"/>
      <c r="O1664" s="63"/>
      <c r="P1664" s="63"/>
      <c r="Q1664" s="63"/>
      <c r="R1664" t="s">
        <v>143</v>
      </c>
      <c r="S1664" t="s">
        <v>142</v>
      </c>
      <c r="T1664" t="s">
        <v>292</v>
      </c>
      <c r="U1664" t="s">
        <v>4843</v>
      </c>
      <c r="V1664" t="s">
        <v>1696</v>
      </c>
      <c r="W1664" t="s">
        <v>141</v>
      </c>
      <c r="Y1664" t="s">
        <v>4842</v>
      </c>
      <c r="Z1664" t="str">
        <f>"01886 340954"</f>
        <v>01886 340954</v>
      </c>
      <c r="AA1664" t="str">
        <f>"07941 840041"</f>
        <v>07941 840041</v>
      </c>
      <c r="AB1664" t="s">
        <v>140</v>
      </c>
      <c r="AC1664" t="s">
        <v>4841</v>
      </c>
      <c r="AD1664" t="s">
        <v>114</v>
      </c>
      <c r="AE1664" s="63">
        <v>45309</v>
      </c>
      <c r="AF1664" t="s">
        <v>156</v>
      </c>
      <c r="AG1664" t="s">
        <v>112</v>
      </c>
      <c r="AH1664" t="s">
        <v>112</v>
      </c>
      <c r="AI1664" s="63">
        <v>41098</v>
      </c>
      <c r="AJ1664" s="63">
        <v>45657</v>
      </c>
      <c r="AK1664" t="s">
        <v>111</v>
      </c>
      <c r="AL1664" t="s">
        <v>111</v>
      </c>
      <c r="AM1664" t="s">
        <v>111</v>
      </c>
      <c r="AN1664">
        <v>4939</v>
      </c>
      <c r="AO1664" t="s">
        <v>110</v>
      </c>
      <c r="AP1664" t="s">
        <v>109</v>
      </c>
    </row>
    <row r="1665" spans="1:42" x14ac:dyDescent="0.25">
      <c r="A1665" s="28" t="str">
        <f>"3504"</f>
        <v>3504</v>
      </c>
      <c r="B1665">
        <v>3504</v>
      </c>
      <c r="C1665" t="s">
        <v>2488</v>
      </c>
      <c r="D1665" t="s">
        <v>121</v>
      </c>
      <c r="F1665" t="s">
        <v>120</v>
      </c>
      <c r="G1665" t="s">
        <v>230</v>
      </c>
      <c r="H1665" t="s">
        <v>709</v>
      </c>
      <c r="I1665" t="s">
        <v>796</v>
      </c>
      <c r="J1665" t="s">
        <v>7</v>
      </c>
      <c r="K1665" s="63">
        <v>20040</v>
      </c>
      <c r="L1665" s="28">
        <f>DATEDIF(K1665,Zwift25!G$1,"Y")</f>
        <v>69</v>
      </c>
      <c r="M1665" s="67">
        <f>IF(J1665="m",VLOOKUP(L1665,'All Solo Adjustments'!A:D,4,FALSE),VLOOKUP(L1665,'All Solo Adjustments'!A:J,10,FALSE))</f>
        <v>5.9722222222222225E-3</v>
      </c>
      <c r="N1665" s="63"/>
      <c r="O1665" s="63"/>
      <c r="P1665" s="63"/>
      <c r="Q1665" s="63"/>
      <c r="R1665" t="s">
        <v>159</v>
      </c>
      <c r="S1665" t="s">
        <v>162</v>
      </c>
      <c r="T1665" t="s">
        <v>292</v>
      </c>
      <c r="U1665" t="s">
        <v>4840</v>
      </c>
      <c r="V1665" t="s">
        <v>1231</v>
      </c>
      <c r="W1665" t="s">
        <v>159</v>
      </c>
      <c r="Y1665" t="s">
        <v>4839</v>
      </c>
      <c r="Z1665" t="str">
        <f>"01732 464683"</f>
        <v>01732 464683</v>
      </c>
      <c r="AA1665" t="str">
        <f>"07905918879"</f>
        <v>07905918879</v>
      </c>
      <c r="AB1665" t="s">
        <v>953</v>
      </c>
      <c r="AC1665" t="s">
        <v>4838</v>
      </c>
      <c r="AD1665" t="s">
        <v>114</v>
      </c>
      <c r="AE1665" s="63">
        <v>45277</v>
      </c>
      <c r="AF1665" t="s">
        <v>113</v>
      </c>
      <c r="AG1665" t="s">
        <v>112</v>
      </c>
      <c r="AH1665" t="s">
        <v>112</v>
      </c>
      <c r="AI1665" s="63">
        <v>43420</v>
      </c>
      <c r="AJ1665" s="63">
        <v>45657</v>
      </c>
      <c r="AK1665" t="s">
        <v>111</v>
      </c>
      <c r="AL1665" t="s">
        <v>111</v>
      </c>
      <c r="AM1665" t="s">
        <v>111</v>
      </c>
      <c r="AN1665">
        <v>3200</v>
      </c>
      <c r="AO1665" t="s">
        <v>110</v>
      </c>
      <c r="AP1665" t="s">
        <v>109</v>
      </c>
    </row>
    <row r="1666" spans="1:42" x14ac:dyDescent="0.25">
      <c r="A1666" s="28" t="str">
        <f>"5899"</f>
        <v>5899</v>
      </c>
      <c r="B1666">
        <v>5899</v>
      </c>
      <c r="C1666" t="s">
        <v>2488</v>
      </c>
      <c r="D1666" t="s">
        <v>121</v>
      </c>
      <c r="E1666" t="s">
        <v>584</v>
      </c>
      <c r="F1666" t="s">
        <v>120</v>
      </c>
      <c r="G1666" t="s">
        <v>251</v>
      </c>
      <c r="H1666" t="s">
        <v>284</v>
      </c>
      <c r="I1666" t="s">
        <v>4837</v>
      </c>
      <c r="J1666" t="s">
        <v>7</v>
      </c>
      <c r="K1666" s="63">
        <v>24649</v>
      </c>
      <c r="L1666" s="28">
        <f>DATEDIF(K1666,Zwift25!G$1,"Y")</f>
        <v>57</v>
      </c>
      <c r="M1666" s="67">
        <f>IF(J1666="m",VLOOKUP(L1666,'All Solo Adjustments'!A:D,4,FALSE),VLOOKUP(L1666,'All Solo Adjustments'!A:J,10,FALSE))</f>
        <v>2.488425925925926E-3</v>
      </c>
      <c r="N1666" s="63"/>
      <c r="O1666" s="63"/>
      <c r="P1666" s="63"/>
      <c r="Q1666" s="63"/>
      <c r="R1666" t="s">
        <v>143</v>
      </c>
      <c r="S1666" t="s">
        <v>142</v>
      </c>
      <c r="T1666" t="s">
        <v>292</v>
      </c>
      <c r="U1666" t="s">
        <v>4836</v>
      </c>
      <c r="V1666" t="s">
        <v>4835</v>
      </c>
      <c r="W1666" t="s">
        <v>486</v>
      </c>
      <c r="Y1666" t="s">
        <v>4834</v>
      </c>
      <c r="Z1666" t="str">
        <f>"07899 865909"</f>
        <v>07899 865909</v>
      </c>
      <c r="AA1666" t="str">
        <f>""</f>
        <v/>
      </c>
      <c r="AB1666" t="s">
        <v>298</v>
      </c>
      <c r="AC1666" t="s">
        <v>4833</v>
      </c>
      <c r="AD1666" t="s">
        <v>114</v>
      </c>
      <c r="AE1666" s="63">
        <v>45363</v>
      </c>
      <c r="AF1666" t="s">
        <v>156</v>
      </c>
      <c r="AG1666" t="s">
        <v>112</v>
      </c>
      <c r="AH1666" t="s">
        <v>112</v>
      </c>
      <c r="AI1666" s="63">
        <v>42535</v>
      </c>
      <c r="AJ1666" s="63">
        <v>45657</v>
      </c>
      <c r="AK1666" t="s">
        <v>111</v>
      </c>
      <c r="AL1666" t="s">
        <v>111</v>
      </c>
      <c r="AM1666" t="s">
        <v>111</v>
      </c>
      <c r="AN1666">
        <v>3202</v>
      </c>
      <c r="AO1666" t="s">
        <v>110</v>
      </c>
      <c r="AP1666" t="s">
        <v>109</v>
      </c>
    </row>
    <row r="1667" spans="1:42" x14ac:dyDescent="0.25">
      <c r="A1667" s="28" t="str">
        <f>"13631"</f>
        <v>13631</v>
      </c>
      <c r="B1667">
        <v>13631</v>
      </c>
      <c r="C1667" t="s">
        <v>2488</v>
      </c>
      <c r="D1667" t="s">
        <v>121</v>
      </c>
      <c r="E1667" t="s">
        <v>584</v>
      </c>
      <c r="F1667" t="s">
        <v>120</v>
      </c>
      <c r="G1667" t="s">
        <v>251</v>
      </c>
      <c r="H1667" t="s">
        <v>1202</v>
      </c>
      <c r="I1667" t="s">
        <v>4832</v>
      </c>
      <c r="J1667" t="s">
        <v>7</v>
      </c>
      <c r="K1667" s="63">
        <v>18306</v>
      </c>
      <c r="L1667" s="28">
        <f>DATEDIF(K1667,Zwift25!G$1,"Y")</f>
        <v>74</v>
      </c>
      <c r="M1667" s="67">
        <f>IF(J1667="m",VLOOKUP(L1667,'All Solo Adjustments'!A:D,4,FALSE),VLOOKUP(L1667,'All Solo Adjustments'!A:J,10,FALSE))</f>
        <v>7.9861111111111122E-3</v>
      </c>
      <c r="N1667" s="63"/>
      <c r="O1667" s="63"/>
      <c r="P1667" s="63"/>
      <c r="Q1667" s="63"/>
      <c r="R1667" t="s">
        <v>328</v>
      </c>
      <c r="S1667" t="s">
        <v>327</v>
      </c>
      <c r="T1667" t="s">
        <v>292</v>
      </c>
      <c r="U1667" t="s">
        <v>4831</v>
      </c>
      <c r="V1667" t="s">
        <v>4830</v>
      </c>
      <c r="W1667" t="s">
        <v>1918</v>
      </c>
      <c r="X1667" t="s">
        <v>810</v>
      </c>
      <c r="Y1667" t="s">
        <v>4829</v>
      </c>
      <c r="Z1667" t="str">
        <f>"07940467740"</f>
        <v>07940467740</v>
      </c>
      <c r="AA1667" t="str">
        <f>""</f>
        <v/>
      </c>
      <c r="AB1667" t="s">
        <v>1509</v>
      </c>
      <c r="AC1667" t="s">
        <v>4828</v>
      </c>
      <c r="AD1667" t="s">
        <v>114</v>
      </c>
      <c r="AE1667" s="63">
        <v>45364</v>
      </c>
      <c r="AF1667" t="s">
        <v>156</v>
      </c>
      <c r="AG1667" t="s">
        <v>112</v>
      </c>
      <c r="AH1667" t="s">
        <v>112</v>
      </c>
      <c r="AI1667" s="63">
        <v>43263</v>
      </c>
      <c r="AJ1667" s="63">
        <v>45657</v>
      </c>
      <c r="AK1667" t="s">
        <v>112</v>
      </c>
      <c r="AL1667" t="s">
        <v>111</v>
      </c>
      <c r="AM1667" t="s">
        <v>111</v>
      </c>
      <c r="AN1667">
        <v>25349</v>
      </c>
      <c r="AO1667" t="s">
        <v>110</v>
      </c>
      <c r="AP1667" t="s">
        <v>109</v>
      </c>
    </row>
    <row r="1668" spans="1:42" x14ac:dyDescent="0.25">
      <c r="A1668" s="28" t="str">
        <f>"6075"</f>
        <v>6075</v>
      </c>
      <c r="B1668">
        <v>6075</v>
      </c>
      <c r="C1668" t="s">
        <v>2488</v>
      </c>
      <c r="D1668" t="s">
        <v>121</v>
      </c>
      <c r="F1668" t="s">
        <v>120</v>
      </c>
      <c r="G1668" t="s">
        <v>185</v>
      </c>
      <c r="I1668" t="s">
        <v>413</v>
      </c>
      <c r="J1668" t="s">
        <v>7</v>
      </c>
      <c r="K1668" s="63">
        <v>24522</v>
      </c>
      <c r="L1668" s="28">
        <f>DATEDIF(K1668,Zwift25!G$1,"Y")</f>
        <v>57</v>
      </c>
      <c r="M1668" s="67">
        <f>IF(J1668="m",VLOOKUP(L1668,'All Solo Adjustments'!A:D,4,FALSE),VLOOKUP(L1668,'All Solo Adjustments'!A:J,10,FALSE))</f>
        <v>2.488425925925926E-3</v>
      </c>
      <c r="N1668" s="63"/>
      <c r="O1668" s="63"/>
      <c r="P1668" s="63"/>
      <c r="Q1668" s="63"/>
      <c r="R1668" t="s">
        <v>328</v>
      </c>
      <c r="S1668" t="s">
        <v>327</v>
      </c>
      <c r="T1668" t="s">
        <v>292</v>
      </c>
      <c r="U1668" t="s">
        <v>4827</v>
      </c>
      <c r="V1668" t="s">
        <v>4826</v>
      </c>
      <c r="Y1668" t="s">
        <v>4825</v>
      </c>
      <c r="Z1668" t="str">
        <f>"01253 839272"</f>
        <v>01253 839272</v>
      </c>
      <c r="AA1668" t="str">
        <f>"07816 677162"</f>
        <v>07816 677162</v>
      </c>
      <c r="AB1668" t="s">
        <v>1501</v>
      </c>
      <c r="AC1668" t="s">
        <v>4824</v>
      </c>
      <c r="AD1668" t="s">
        <v>114</v>
      </c>
      <c r="AE1668" s="63">
        <v>45345</v>
      </c>
      <c r="AF1668" t="s">
        <v>113</v>
      </c>
      <c r="AG1668" t="s">
        <v>112</v>
      </c>
      <c r="AH1668" t="s">
        <v>112</v>
      </c>
      <c r="AI1668" s="63">
        <v>42771</v>
      </c>
      <c r="AJ1668" s="63">
        <v>45657</v>
      </c>
      <c r="AK1668" t="s">
        <v>111</v>
      </c>
      <c r="AL1668" t="s">
        <v>111</v>
      </c>
      <c r="AM1668" t="s">
        <v>111</v>
      </c>
      <c r="AN1668">
        <v>2145</v>
      </c>
      <c r="AO1668" t="s">
        <v>110</v>
      </c>
      <c r="AP1668" t="s">
        <v>109</v>
      </c>
    </row>
    <row r="1669" spans="1:42" x14ac:dyDescent="0.25">
      <c r="A1669" s="28" t="str">
        <f>"2092"</f>
        <v>2092</v>
      </c>
      <c r="B1669">
        <v>2092</v>
      </c>
      <c r="C1669" t="s">
        <v>2488</v>
      </c>
      <c r="D1669" t="s">
        <v>121</v>
      </c>
      <c r="F1669" t="s">
        <v>120</v>
      </c>
      <c r="G1669" t="s">
        <v>1085</v>
      </c>
      <c r="I1669" t="s">
        <v>413</v>
      </c>
      <c r="J1669" t="s">
        <v>7</v>
      </c>
      <c r="K1669" s="63">
        <v>16868</v>
      </c>
      <c r="L1669" s="28">
        <f>DATEDIF(K1669,Zwift25!G$1,"Y")</f>
        <v>78</v>
      </c>
      <c r="M1669" s="67">
        <f>IF(J1669="m",VLOOKUP(L1669,'All Solo Adjustments'!A:D,4,FALSE),VLOOKUP(L1669,'All Solo Adjustments'!A:J,10,FALSE))</f>
        <v>9.9189814814814817E-3</v>
      </c>
      <c r="N1669" s="63"/>
      <c r="O1669" s="63"/>
      <c r="P1669" s="63"/>
      <c r="Q1669" s="63"/>
      <c r="R1669" t="s">
        <v>527</v>
      </c>
      <c r="S1669" t="s">
        <v>526</v>
      </c>
      <c r="T1669" t="s">
        <v>292</v>
      </c>
      <c r="U1669" t="s">
        <v>4823</v>
      </c>
      <c r="V1669" t="s">
        <v>4822</v>
      </c>
      <c r="W1669" t="s">
        <v>1248</v>
      </c>
      <c r="Y1669" t="s">
        <v>4821</v>
      </c>
      <c r="Z1669" t="str">
        <f>"01642 654419"</f>
        <v>01642 654419</v>
      </c>
      <c r="AA1669" t="str">
        <f>""</f>
        <v/>
      </c>
      <c r="AB1669" t="s">
        <v>2421</v>
      </c>
      <c r="AC1669" t="s">
        <v>4820</v>
      </c>
      <c r="AD1669" t="s">
        <v>114</v>
      </c>
      <c r="AE1669" s="63">
        <v>45267</v>
      </c>
      <c r="AF1669" t="s">
        <v>113</v>
      </c>
      <c r="AG1669" t="s">
        <v>112</v>
      </c>
      <c r="AH1669" t="s">
        <v>112</v>
      </c>
      <c r="AI1669" s="63">
        <v>44211</v>
      </c>
      <c r="AJ1669" s="63">
        <v>45657</v>
      </c>
      <c r="AK1669" t="s">
        <v>112</v>
      </c>
      <c r="AL1669" t="s">
        <v>111</v>
      </c>
      <c r="AM1669" t="s">
        <v>111</v>
      </c>
      <c r="AN1669">
        <v>6415</v>
      </c>
      <c r="AO1669" t="s">
        <v>110</v>
      </c>
      <c r="AP1669" t="s">
        <v>109</v>
      </c>
    </row>
    <row r="1670" spans="1:42" x14ac:dyDescent="0.25">
      <c r="A1670" s="28" t="str">
        <f>"3503"</f>
        <v>3503</v>
      </c>
      <c r="B1670">
        <v>3503</v>
      </c>
      <c r="C1670" t="s">
        <v>2488</v>
      </c>
      <c r="D1670" t="s">
        <v>121</v>
      </c>
      <c r="F1670" t="s">
        <v>120</v>
      </c>
      <c r="G1670" t="s">
        <v>185</v>
      </c>
      <c r="I1670" t="s">
        <v>4819</v>
      </c>
      <c r="J1670" t="s">
        <v>7</v>
      </c>
      <c r="K1670" s="63">
        <v>17152</v>
      </c>
      <c r="L1670" s="28">
        <f>DATEDIF(K1670,Zwift25!G$1,"Y")</f>
        <v>77</v>
      </c>
      <c r="M1670" s="67">
        <f>IF(J1670="m",VLOOKUP(L1670,'All Solo Adjustments'!A:D,4,FALSE),VLOOKUP(L1670,'All Solo Adjustments'!A:J,10,FALSE))</f>
        <v>9.3981481481481485E-3</v>
      </c>
      <c r="N1670" s="63"/>
      <c r="O1670" s="63"/>
      <c r="P1670" s="63"/>
      <c r="Q1670" s="63"/>
      <c r="R1670" t="s">
        <v>118</v>
      </c>
      <c r="S1670" t="s">
        <v>117</v>
      </c>
      <c r="T1670" t="s">
        <v>292</v>
      </c>
      <c r="U1670" t="s">
        <v>4818</v>
      </c>
      <c r="V1670" t="s">
        <v>2357</v>
      </c>
      <c r="W1670" t="s">
        <v>875</v>
      </c>
      <c r="Y1670" t="s">
        <v>4817</v>
      </c>
      <c r="Z1670" t="str">
        <f>"01226 983747"</f>
        <v>01226 983747</v>
      </c>
      <c r="AA1670" t="str">
        <f>"07548495920"</f>
        <v>07548495920</v>
      </c>
      <c r="AB1670" t="s">
        <v>336</v>
      </c>
      <c r="AC1670" t="s">
        <v>4816</v>
      </c>
      <c r="AD1670" t="s">
        <v>114</v>
      </c>
      <c r="AE1670" s="63">
        <v>45264</v>
      </c>
      <c r="AF1670" t="s">
        <v>156</v>
      </c>
      <c r="AG1670" t="s">
        <v>112</v>
      </c>
      <c r="AH1670" t="s">
        <v>112</v>
      </c>
      <c r="AI1670" s="63">
        <v>40162</v>
      </c>
      <c r="AJ1670" s="63">
        <v>45657</v>
      </c>
      <c r="AK1670" t="s">
        <v>111</v>
      </c>
      <c r="AL1670" t="s">
        <v>111</v>
      </c>
      <c r="AM1670" t="s">
        <v>111</v>
      </c>
      <c r="AN1670">
        <v>846</v>
      </c>
      <c r="AO1670" t="s">
        <v>110</v>
      </c>
      <c r="AP1670" t="s">
        <v>109</v>
      </c>
    </row>
    <row r="1671" spans="1:42" x14ac:dyDescent="0.25">
      <c r="A1671" s="28" t="str">
        <f>"15721"</f>
        <v>15721</v>
      </c>
      <c r="B1671">
        <v>15721</v>
      </c>
      <c r="C1671" t="s">
        <v>2488</v>
      </c>
      <c r="D1671" t="s">
        <v>121</v>
      </c>
      <c r="F1671" t="s">
        <v>120</v>
      </c>
      <c r="G1671" t="s">
        <v>1323</v>
      </c>
      <c r="I1671" t="s">
        <v>1410</v>
      </c>
      <c r="J1671" t="s">
        <v>7</v>
      </c>
      <c r="K1671" s="63">
        <v>29821</v>
      </c>
      <c r="L1671" s="28">
        <f>DATEDIF(K1671,Zwift25!G$1,"Y")</f>
        <v>43</v>
      </c>
      <c r="M1671" s="67">
        <f>IF(J1671="m",VLOOKUP(L1671,'All Solo Adjustments'!A:D,4,FALSE),VLOOKUP(L1671,'All Solo Adjustments'!A:J,10,FALSE))</f>
        <v>2.4305555555555555E-4</v>
      </c>
      <c r="N1671" s="63"/>
      <c r="O1671" s="63"/>
      <c r="P1671" s="63"/>
      <c r="Q1671" s="63"/>
      <c r="R1671" t="s">
        <v>198</v>
      </c>
      <c r="S1671" t="s">
        <v>461</v>
      </c>
      <c r="T1671" t="s">
        <v>292</v>
      </c>
      <c r="U1671" t="s">
        <v>4815</v>
      </c>
      <c r="V1671" t="s">
        <v>1040</v>
      </c>
      <c r="W1671" t="s">
        <v>901</v>
      </c>
      <c r="Y1671" t="s">
        <v>4814</v>
      </c>
      <c r="Z1671" t="str">
        <f>"07803184594"</f>
        <v>07803184594</v>
      </c>
      <c r="AA1671" t="str">
        <f>""</f>
        <v/>
      </c>
      <c r="AB1671" t="s">
        <v>1327</v>
      </c>
      <c r="AC1671" t="s">
        <v>4813</v>
      </c>
      <c r="AD1671" t="s">
        <v>114</v>
      </c>
      <c r="AE1671" s="63">
        <v>45262</v>
      </c>
      <c r="AF1671" t="s">
        <v>156</v>
      </c>
      <c r="AG1671" t="s">
        <v>112</v>
      </c>
      <c r="AH1671" t="s">
        <v>112</v>
      </c>
      <c r="AI1671" s="63">
        <v>44989</v>
      </c>
      <c r="AJ1671" s="63">
        <v>45657</v>
      </c>
      <c r="AK1671" t="s">
        <v>112</v>
      </c>
      <c r="AL1671" t="s">
        <v>111</v>
      </c>
      <c r="AM1671" t="s">
        <v>111</v>
      </c>
      <c r="AN1671">
        <v>8893</v>
      </c>
      <c r="AO1671" t="s">
        <v>110</v>
      </c>
      <c r="AP1671" t="s">
        <v>109</v>
      </c>
    </row>
    <row r="1672" spans="1:42" x14ac:dyDescent="0.25">
      <c r="A1672" s="28" t="str">
        <f>"15433"</f>
        <v>15433</v>
      </c>
      <c r="B1672">
        <v>15433</v>
      </c>
      <c r="C1672" t="s">
        <v>2488</v>
      </c>
      <c r="D1672" t="s">
        <v>121</v>
      </c>
      <c r="E1672" t="s">
        <v>584</v>
      </c>
      <c r="F1672" t="s">
        <v>144</v>
      </c>
      <c r="G1672" t="s">
        <v>1446</v>
      </c>
      <c r="I1672" t="s">
        <v>4812</v>
      </c>
      <c r="J1672" t="s">
        <v>126</v>
      </c>
      <c r="K1672" s="63">
        <v>25748</v>
      </c>
      <c r="L1672" s="28">
        <f>DATEDIF(K1672,Zwift25!G$1,"Y")</f>
        <v>54</v>
      </c>
      <c r="M1672" s="67">
        <f>IF(J1672="m",VLOOKUP(L1672,'All Solo Adjustments'!A:D,4,FALSE),VLOOKUP(L1672,'All Solo Adjustments'!A:J,10,FALSE))</f>
        <v>5.4861111111111109E-3</v>
      </c>
      <c r="N1672" s="63"/>
      <c r="O1672" s="63"/>
      <c r="P1672" s="63"/>
      <c r="Q1672" s="63"/>
      <c r="R1672" t="s">
        <v>527</v>
      </c>
      <c r="S1672" t="s">
        <v>526</v>
      </c>
      <c r="T1672" t="s">
        <v>292</v>
      </c>
      <c r="U1672" t="s">
        <v>4811</v>
      </c>
      <c r="V1672" t="s">
        <v>525</v>
      </c>
      <c r="W1672" t="s">
        <v>1459</v>
      </c>
      <c r="X1672" t="s">
        <v>854</v>
      </c>
      <c r="Y1672" t="s">
        <v>4810</v>
      </c>
      <c r="Z1672" t="str">
        <f>"07854787844"</f>
        <v>07854787844</v>
      </c>
      <c r="AA1672" t="str">
        <f>""</f>
        <v/>
      </c>
      <c r="AB1672" t="s">
        <v>4809</v>
      </c>
      <c r="AC1672" t="s">
        <v>4808</v>
      </c>
      <c r="AD1672" t="s">
        <v>114</v>
      </c>
      <c r="AE1672" s="63">
        <v>45270</v>
      </c>
      <c r="AF1672" t="s">
        <v>156</v>
      </c>
      <c r="AG1672" t="s">
        <v>112</v>
      </c>
      <c r="AH1672" t="s">
        <v>112</v>
      </c>
      <c r="AI1672" s="63">
        <v>44654</v>
      </c>
      <c r="AJ1672" s="63">
        <v>45657</v>
      </c>
      <c r="AK1672" t="s">
        <v>112</v>
      </c>
      <c r="AL1672" t="s">
        <v>111</v>
      </c>
      <c r="AM1672" t="s">
        <v>111</v>
      </c>
      <c r="AN1672">
        <v>9698</v>
      </c>
      <c r="AO1672" t="s">
        <v>122</v>
      </c>
      <c r="AP1672" t="s">
        <v>122</v>
      </c>
    </row>
    <row r="1673" spans="1:42" x14ac:dyDescent="0.25">
      <c r="A1673" s="28" t="str">
        <f>"4213"</f>
        <v>4213</v>
      </c>
      <c r="B1673">
        <v>4213</v>
      </c>
      <c r="C1673" t="s">
        <v>2488</v>
      </c>
      <c r="D1673" t="s">
        <v>121</v>
      </c>
      <c r="F1673" t="s">
        <v>120</v>
      </c>
      <c r="G1673" t="s">
        <v>165</v>
      </c>
      <c r="I1673" t="s">
        <v>4801</v>
      </c>
      <c r="J1673" t="s">
        <v>7</v>
      </c>
      <c r="K1673" s="63">
        <v>21681</v>
      </c>
      <c r="L1673" s="28">
        <f>DATEDIF(K1673,Zwift25!G$1,"Y")</f>
        <v>65</v>
      </c>
      <c r="M1673" s="67">
        <f>IF(J1673="m",VLOOKUP(L1673,'All Solo Adjustments'!A:D,4,FALSE),VLOOKUP(L1673,'All Solo Adjustments'!A:J,10,FALSE))</f>
        <v>4.6180555555555558E-3</v>
      </c>
      <c r="N1673" s="63"/>
      <c r="O1673" s="63"/>
      <c r="P1673" s="63"/>
      <c r="Q1673" s="63"/>
      <c r="R1673" t="s">
        <v>154</v>
      </c>
      <c r="S1673" t="s">
        <v>153</v>
      </c>
      <c r="T1673" t="s">
        <v>292</v>
      </c>
      <c r="U1673" t="s">
        <v>4807</v>
      </c>
      <c r="V1673" t="s">
        <v>4806</v>
      </c>
      <c r="W1673" t="s">
        <v>4805</v>
      </c>
      <c r="X1673" t="s">
        <v>363</v>
      </c>
      <c r="Y1673" t="s">
        <v>4804</v>
      </c>
      <c r="Z1673" t="str">
        <f>"07732643472"</f>
        <v>07732643472</v>
      </c>
      <c r="AA1673" t="str">
        <f>"01626854319"</f>
        <v>01626854319</v>
      </c>
      <c r="AB1673" t="s">
        <v>638</v>
      </c>
      <c r="AC1673" t="s">
        <v>4803</v>
      </c>
      <c r="AD1673" t="s">
        <v>114</v>
      </c>
      <c r="AE1673" s="63">
        <v>45280</v>
      </c>
      <c r="AF1673" t="s">
        <v>113</v>
      </c>
      <c r="AG1673" t="s">
        <v>112</v>
      </c>
      <c r="AH1673" t="s">
        <v>112</v>
      </c>
      <c r="AI1673" s="63">
        <v>40667</v>
      </c>
      <c r="AJ1673" s="63">
        <v>45657</v>
      </c>
      <c r="AK1673" t="s">
        <v>111</v>
      </c>
      <c r="AL1673" t="s">
        <v>111</v>
      </c>
      <c r="AM1673" t="s">
        <v>111</v>
      </c>
      <c r="AN1673">
        <v>392</v>
      </c>
      <c r="AO1673" t="s">
        <v>110</v>
      </c>
      <c r="AP1673" t="s">
        <v>109</v>
      </c>
    </row>
    <row r="1674" spans="1:42" x14ac:dyDescent="0.25">
      <c r="A1674" s="28" t="str">
        <f>"13970"</f>
        <v>13970</v>
      </c>
      <c r="B1674">
        <v>13970</v>
      </c>
      <c r="C1674" t="s">
        <v>2488</v>
      </c>
      <c r="D1674" t="s">
        <v>132</v>
      </c>
      <c r="E1674" t="s">
        <v>584</v>
      </c>
      <c r="F1674" t="s">
        <v>120</v>
      </c>
      <c r="G1674" t="s">
        <v>433</v>
      </c>
      <c r="I1674" t="s">
        <v>4801</v>
      </c>
      <c r="J1674" t="s">
        <v>7</v>
      </c>
      <c r="K1674" s="63">
        <v>25710</v>
      </c>
      <c r="L1674" s="28">
        <f>DATEDIF(K1674,Zwift25!G$1,"Y")</f>
        <v>54</v>
      </c>
      <c r="M1674" s="67">
        <f>IF(J1674="m",VLOOKUP(L1674,'All Solo Adjustments'!A:D,4,FALSE),VLOOKUP(L1674,'All Solo Adjustments'!A:J,10,FALSE))</f>
        <v>1.8518518518518517E-3</v>
      </c>
      <c r="N1674" s="63"/>
      <c r="O1674" s="63"/>
      <c r="P1674" s="63"/>
      <c r="Q1674" s="63"/>
      <c r="R1674" t="s">
        <v>239</v>
      </c>
      <c r="S1674" t="s">
        <v>238</v>
      </c>
      <c r="T1674" t="s">
        <v>292</v>
      </c>
      <c r="U1674" t="s">
        <v>4800</v>
      </c>
      <c r="V1674" t="s">
        <v>4799</v>
      </c>
      <c r="W1674" t="s">
        <v>4798</v>
      </c>
      <c r="X1674" t="s">
        <v>617</v>
      </c>
      <c r="Y1674" t="s">
        <v>4797</v>
      </c>
      <c r="Z1674" t="str">
        <f>"07841951969"</f>
        <v>07841951969</v>
      </c>
      <c r="AA1674" t="str">
        <f>""</f>
        <v/>
      </c>
      <c r="AB1674" t="s">
        <v>1445</v>
      </c>
      <c r="AC1674" t="s">
        <v>4802</v>
      </c>
      <c r="AD1674" t="s">
        <v>114</v>
      </c>
      <c r="AE1674" s="63">
        <v>45238</v>
      </c>
      <c r="AF1674" t="s">
        <v>156</v>
      </c>
      <c r="AG1674" t="s">
        <v>112</v>
      </c>
      <c r="AH1674" t="s">
        <v>112</v>
      </c>
      <c r="AI1674" s="63">
        <v>43470</v>
      </c>
      <c r="AJ1674" s="63">
        <v>45657</v>
      </c>
      <c r="AK1674" t="s">
        <v>112</v>
      </c>
      <c r="AL1674" t="s">
        <v>111</v>
      </c>
      <c r="AM1674" t="s">
        <v>111</v>
      </c>
      <c r="AN1674">
        <v>1768</v>
      </c>
      <c r="AO1674" t="s">
        <v>110</v>
      </c>
      <c r="AP1674" t="s">
        <v>109</v>
      </c>
    </row>
    <row r="1675" spans="1:42" x14ac:dyDescent="0.25">
      <c r="A1675" s="28" t="str">
        <f>"13971"</f>
        <v>13971</v>
      </c>
      <c r="B1675">
        <v>13971</v>
      </c>
      <c r="C1675" t="s">
        <v>2488</v>
      </c>
      <c r="D1675" t="s">
        <v>130</v>
      </c>
      <c r="E1675" t="s">
        <v>584</v>
      </c>
      <c r="F1675" t="s">
        <v>149</v>
      </c>
      <c r="G1675" t="s">
        <v>1475</v>
      </c>
      <c r="I1675" t="s">
        <v>4801</v>
      </c>
      <c r="J1675" t="s">
        <v>126</v>
      </c>
      <c r="K1675" s="63">
        <v>27029</v>
      </c>
      <c r="L1675" s="28">
        <f>DATEDIF(K1675,Zwift25!G$1,"Y")</f>
        <v>50</v>
      </c>
      <c r="M1675" s="67">
        <f>IF(J1675="m",VLOOKUP(L1675,'All Solo Adjustments'!A:D,4,FALSE),VLOOKUP(L1675,'All Solo Adjustments'!A:J,10,FALSE))</f>
        <v>4.9768518518518521E-3</v>
      </c>
      <c r="N1675" s="63"/>
      <c r="O1675" s="63"/>
      <c r="P1675" s="63"/>
      <c r="Q1675" s="63"/>
      <c r="R1675" t="s">
        <v>239</v>
      </c>
      <c r="S1675" t="s">
        <v>238</v>
      </c>
      <c r="T1675" t="s">
        <v>292</v>
      </c>
      <c r="U1675" t="s">
        <v>4800</v>
      </c>
      <c r="V1675" t="s">
        <v>4799</v>
      </c>
      <c r="W1675" t="s">
        <v>4798</v>
      </c>
      <c r="X1675" t="s">
        <v>617</v>
      </c>
      <c r="Y1675" t="s">
        <v>4797</v>
      </c>
      <c r="Z1675" t="str">
        <f>"07841951969"</f>
        <v>07841951969</v>
      </c>
      <c r="AA1675" t="str">
        <f>""</f>
        <v/>
      </c>
      <c r="AB1675" t="s">
        <v>1445</v>
      </c>
      <c r="AC1675" t="s">
        <v>4796</v>
      </c>
      <c r="AD1675" t="s">
        <v>114</v>
      </c>
      <c r="AE1675" s="63">
        <v>45238</v>
      </c>
      <c r="AF1675" t="s">
        <v>113</v>
      </c>
      <c r="AG1675" t="s">
        <v>112</v>
      </c>
      <c r="AH1675" t="s">
        <v>112</v>
      </c>
      <c r="AI1675" s="63">
        <v>43470</v>
      </c>
      <c r="AJ1675" s="63">
        <v>45657</v>
      </c>
      <c r="AK1675" t="s">
        <v>112</v>
      </c>
      <c r="AL1675" t="s">
        <v>111</v>
      </c>
      <c r="AM1675" t="s">
        <v>111</v>
      </c>
      <c r="AN1675">
        <v>2321</v>
      </c>
      <c r="AO1675" t="s">
        <v>122</v>
      </c>
      <c r="AP1675" t="s">
        <v>122</v>
      </c>
    </row>
    <row r="1676" spans="1:42" x14ac:dyDescent="0.25">
      <c r="A1676" s="28" t="str">
        <f>"14895"</f>
        <v>14895</v>
      </c>
      <c r="B1676">
        <v>14895</v>
      </c>
      <c r="C1676" t="s">
        <v>2488</v>
      </c>
      <c r="D1676" t="s">
        <v>121</v>
      </c>
      <c r="F1676" t="s">
        <v>120</v>
      </c>
      <c r="G1676" t="s">
        <v>436</v>
      </c>
      <c r="I1676" t="s">
        <v>4795</v>
      </c>
      <c r="J1676" t="s">
        <v>7</v>
      </c>
      <c r="K1676" s="63">
        <v>22303</v>
      </c>
      <c r="L1676" s="28">
        <f>DATEDIF(K1676,Zwift25!G$1,"Y")</f>
        <v>63</v>
      </c>
      <c r="M1676" s="67">
        <f>IF(J1676="m",VLOOKUP(L1676,'All Solo Adjustments'!A:D,4,FALSE),VLOOKUP(L1676,'All Solo Adjustments'!A:J,10,FALSE))</f>
        <v>4.0277777777777777E-3</v>
      </c>
      <c r="N1676" s="63"/>
      <c r="O1676" s="63"/>
      <c r="P1676" s="63"/>
      <c r="Q1676" s="63"/>
      <c r="R1676" t="s">
        <v>125</v>
      </c>
      <c r="S1676" t="s">
        <v>170</v>
      </c>
      <c r="T1676" t="s">
        <v>292</v>
      </c>
      <c r="U1676" t="s">
        <v>4794</v>
      </c>
      <c r="V1676" t="s">
        <v>4793</v>
      </c>
      <c r="W1676" t="s">
        <v>286</v>
      </c>
      <c r="X1676" t="s">
        <v>169</v>
      </c>
      <c r="Y1676" t="s">
        <v>4792</v>
      </c>
      <c r="Z1676" t="str">
        <f>"07871747221"</f>
        <v>07871747221</v>
      </c>
      <c r="AA1676" t="str">
        <f>""</f>
        <v/>
      </c>
      <c r="AB1676" t="s">
        <v>4791</v>
      </c>
      <c r="AC1676" t="s">
        <v>4790</v>
      </c>
      <c r="AD1676" t="s">
        <v>114</v>
      </c>
      <c r="AE1676" s="63">
        <v>45281</v>
      </c>
      <c r="AF1676" t="s">
        <v>113</v>
      </c>
      <c r="AG1676" t="s">
        <v>112</v>
      </c>
      <c r="AH1676" t="s">
        <v>112</v>
      </c>
      <c r="AI1676" s="63">
        <v>44262</v>
      </c>
      <c r="AJ1676" s="63">
        <v>45657</v>
      </c>
      <c r="AK1676" t="s">
        <v>112</v>
      </c>
      <c r="AL1676" t="s">
        <v>111</v>
      </c>
      <c r="AM1676" t="s">
        <v>111</v>
      </c>
      <c r="AN1676">
        <v>37260</v>
      </c>
      <c r="AO1676" t="s">
        <v>110</v>
      </c>
      <c r="AP1676" t="s">
        <v>109</v>
      </c>
    </row>
    <row r="1677" spans="1:42" x14ac:dyDescent="0.25">
      <c r="A1677" s="28" t="str">
        <f>"14230"</f>
        <v>14230</v>
      </c>
      <c r="B1677">
        <v>14230</v>
      </c>
      <c r="C1677" t="s">
        <v>2488</v>
      </c>
      <c r="D1677" t="s">
        <v>121</v>
      </c>
      <c r="F1677" t="s">
        <v>403</v>
      </c>
      <c r="G1677" t="s">
        <v>1357</v>
      </c>
      <c r="I1677" t="s">
        <v>4789</v>
      </c>
      <c r="J1677" t="s">
        <v>7</v>
      </c>
      <c r="K1677" s="63">
        <v>27884</v>
      </c>
      <c r="L1677" s="28">
        <f>DATEDIF(K1677,Zwift25!G$1,"Y")</f>
        <v>48</v>
      </c>
      <c r="M1677" s="67">
        <f>IF(J1677="m",VLOOKUP(L1677,'All Solo Adjustments'!A:D,4,FALSE),VLOOKUP(L1677,'All Solo Adjustments'!A:J,10,FALSE))</f>
        <v>8.3333333333333339E-4</v>
      </c>
      <c r="N1677" s="63"/>
      <c r="O1677" s="63"/>
      <c r="P1677" s="63"/>
      <c r="Q1677" s="63"/>
      <c r="R1677" t="s">
        <v>159</v>
      </c>
      <c r="S1677" t="s">
        <v>162</v>
      </c>
      <c r="T1677" t="s">
        <v>292</v>
      </c>
      <c r="U1677" t="s">
        <v>4788</v>
      </c>
      <c r="V1677" t="s">
        <v>4787</v>
      </c>
      <c r="W1677" t="s">
        <v>4786</v>
      </c>
      <c r="Y1677" t="s">
        <v>4785</v>
      </c>
      <c r="Z1677" t="str">
        <f>"07969 685 551"</f>
        <v>07969 685 551</v>
      </c>
      <c r="AA1677" t="str">
        <f>""</f>
        <v/>
      </c>
      <c r="AB1677" t="s">
        <v>1230</v>
      </c>
      <c r="AC1677" t="s">
        <v>4784</v>
      </c>
      <c r="AD1677" t="s">
        <v>145</v>
      </c>
      <c r="AE1677" s="63">
        <v>45354</v>
      </c>
      <c r="AF1677" t="s">
        <v>113</v>
      </c>
      <c r="AG1677" t="s">
        <v>112</v>
      </c>
      <c r="AH1677" t="s">
        <v>112</v>
      </c>
      <c r="AI1677" s="63">
        <v>43602</v>
      </c>
      <c r="AJ1677" s="63">
        <v>45657</v>
      </c>
      <c r="AK1677" t="s">
        <v>112</v>
      </c>
      <c r="AL1677" t="s">
        <v>112</v>
      </c>
      <c r="AM1677" t="s">
        <v>111</v>
      </c>
      <c r="AN1677">
        <v>19362</v>
      </c>
      <c r="AO1677" t="s">
        <v>110</v>
      </c>
      <c r="AP1677" t="s">
        <v>109</v>
      </c>
    </row>
    <row r="1678" spans="1:42" x14ac:dyDescent="0.25">
      <c r="A1678" s="28" t="str">
        <f>"16196"</f>
        <v>16196</v>
      </c>
      <c r="B1678">
        <v>16196</v>
      </c>
      <c r="C1678" t="s">
        <v>2488</v>
      </c>
      <c r="D1678" t="s">
        <v>121</v>
      </c>
      <c r="E1678" t="s">
        <v>584</v>
      </c>
      <c r="F1678" t="s">
        <v>403</v>
      </c>
      <c r="G1678" t="s">
        <v>1475</v>
      </c>
      <c r="H1678" t="s">
        <v>595</v>
      </c>
      <c r="I1678" t="s">
        <v>4783</v>
      </c>
      <c r="J1678" t="s">
        <v>126</v>
      </c>
      <c r="K1678" s="63">
        <v>26045</v>
      </c>
      <c r="L1678" s="28">
        <f>DATEDIF(K1678,Zwift25!G$1,"Y")</f>
        <v>53</v>
      </c>
      <c r="M1678" s="67">
        <f>IF(J1678="m",VLOOKUP(L1678,'All Solo Adjustments'!A:D,4,FALSE),VLOOKUP(L1678,'All Solo Adjustments'!A:J,10,FALSE))</f>
        <v>5.3356481481481475E-3</v>
      </c>
      <c r="N1678" s="63"/>
      <c r="O1678" s="63"/>
      <c r="P1678" s="63"/>
      <c r="Q1678" s="63"/>
      <c r="R1678" t="s">
        <v>198</v>
      </c>
      <c r="S1678" t="s">
        <v>461</v>
      </c>
      <c r="T1678" t="s">
        <v>292</v>
      </c>
      <c r="U1678" t="s">
        <v>4782</v>
      </c>
      <c r="W1678" t="s">
        <v>4781</v>
      </c>
      <c r="X1678" t="s">
        <v>196</v>
      </c>
      <c r="Y1678" t="s">
        <v>4780</v>
      </c>
      <c r="Z1678" t="str">
        <f>"07803116919"</f>
        <v>07803116919</v>
      </c>
      <c r="AA1678" t="str">
        <f>""</f>
        <v/>
      </c>
      <c r="AB1678" t="s">
        <v>4779</v>
      </c>
      <c r="AC1678" t="s">
        <v>4778</v>
      </c>
      <c r="AD1678" t="s">
        <v>114</v>
      </c>
      <c r="AE1678" s="63">
        <v>45504</v>
      </c>
      <c r="AF1678" t="s">
        <v>156</v>
      </c>
      <c r="AG1678" t="s">
        <v>112</v>
      </c>
      <c r="AH1678" t="s">
        <v>112</v>
      </c>
      <c r="AI1678" s="63">
        <v>45504</v>
      </c>
      <c r="AJ1678" s="63">
        <v>45657</v>
      </c>
      <c r="AK1678" t="s">
        <v>112</v>
      </c>
      <c r="AL1678" t="s">
        <v>111</v>
      </c>
      <c r="AM1678" t="s">
        <v>111</v>
      </c>
      <c r="AN1678">
        <v>42478</v>
      </c>
      <c r="AO1678" t="s">
        <v>122</v>
      </c>
      <c r="AP1678" t="s">
        <v>122</v>
      </c>
    </row>
    <row r="1679" spans="1:42" x14ac:dyDescent="0.25">
      <c r="A1679" s="28" t="str">
        <f>"16080"</f>
        <v>16080</v>
      </c>
      <c r="B1679">
        <v>16080</v>
      </c>
      <c r="C1679" t="s">
        <v>2488</v>
      </c>
      <c r="D1679" t="s">
        <v>121</v>
      </c>
      <c r="F1679" t="s">
        <v>120</v>
      </c>
      <c r="G1679" t="s">
        <v>546</v>
      </c>
      <c r="I1679" t="s">
        <v>4777</v>
      </c>
      <c r="J1679" t="s">
        <v>7</v>
      </c>
      <c r="K1679" s="63">
        <v>28500</v>
      </c>
      <c r="L1679" s="28">
        <f>DATEDIF(K1679,Zwift25!G$1,"Y")</f>
        <v>46</v>
      </c>
      <c r="M1679" s="67">
        <f>IF(J1679="m",VLOOKUP(L1679,'All Solo Adjustments'!A:D,4,FALSE),VLOOKUP(L1679,'All Solo Adjustments'!A:J,10,FALSE))</f>
        <v>5.6712962962962956E-4</v>
      </c>
      <c r="N1679" s="63"/>
      <c r="O1679" s="63"/>
      <c r="P1679" s="63"/>
      <c r="Q1679" s="63"/>
      <c r="R1679" t="s">
        <v>283</v>
      </c>
      <c r="S1679" t="s">
        <v>530</v>
      </c>
      <c r="T1679" t="s">
        <v>292</v>
      </c>
      <c r="U1679" t="s">
        <v>4776</v>
      </c>
      <c r="V1679" t="s">
        <v>4775</v>
      </c>
      <c r="W1679" t="s">
        <v>1348</v>
      </c>
      <c r="Y1679" t="s">
        <v>4774</v>
      </c>
      <c r="Z1679" t="str">
        <f>"07786 568991 "</f>
        <v xml:space="preserve">07786 568991 </v>
      </c>
      <c r="AA1679" t="str">
        <f>""</f>
        <v/>
      </c>
      <c r="AB1679" t="s">
        <v>4773</v>
      </c>
      <c r="AC1679" t="s">
        <v>4772</v>
      </c>
      <c r="AD1679" t="s">
        <v>114</v>
      </c>
      <c r="AE1679" s="63">
        <v>45380</v>
      </c>
      <c r="AF1679" t="s">
        <v>156</v>
      </c>
      <c r="AG1679" t="s">
        <v>112</v>
      </c>
      <c r="AH1679" t="s">
        <v>112</v>
      </c>
      <c r="AI1679" s="63">
        <v>45380</v>
      </c>
      <c r="AJ1679" s="63">
        <v>45657</v>
      </c>
      <c r="AK1679" t="s">
        <v>112</v>
      </c>
      <c r="AL1679" t="s">
        <v>111</v>
      </c>
      <c r="AM1679" t="s">
        <v>111</v>
      </c>
      <c r="AN1679">
        <v>25854</v>
      </c>
      <c r="AO1679" t="s">
        <v>110</v>
      </c>
      <c r="AP1679" t="s">
        <v>109</v>
      </c>
    </row>
    <row r="1680" spans="1:42" x14ac:dyDescent="0.25">
      <c r="A1680" s="28" t="str">
        <f>"5207"</f>
        <v>5207</v>
      </c>
      <c r="B1680">
        <v>5207</v>
      </c>
      <c r="C1680" t="s">
        <v>2488</v>
      </c>
      <c r="D1680" t="s">
        <v>121</v>
      </c>
      <c r="F1680" t="s">
        <v>403</v>
      </c>
      <c r="G1680" t="s">
        <v>230</v>
      </c>
      <c r="H1680" t="s">
        <v>4771</v>
      </c>
      <c r="I1680" t="s">
        <v>404</v>
      </c>
      <c r="J1680" t="s">
        <v>7</v>
      </c>
      <c r="K1680" s="63">
        <v>21888</v>
      </c>
      <c r="L1680" s="28">
        <f>DATEDIF(K1680,Zwift25!G$1,"Y")</f>
        <v>64</v>
      </c>
      <c r="M1680" s="67">
        <f>IF(J1680="m",VLOOKUP(L1680,'All Solo Adjustments'!A:D,4,FALSE),VLOOKUP(L1680,'All Solo Adjustments'!A:J,10,FALSE))</f>
        <v>4.31712962962963E-3</v>
      </c>
      <c r="N1680" s="63"/>
      <c r="O1680" s="63"/>
      <c r="P1680" s="63"/>
      <c r="Q1680" s="63"/>
      <c r="R1680" t="s">
        <v>184</v>
      </c>
      <c r="S1680" t="s">
        <v>183</v>
      </c>
      <c r="T1680" t="s">
        <v>292</v>
      </c>
      <c r="U1680" t="s">
        <v>4770</v>
      </c>
      <c r="V1680" t="s">
        <v>2671</v>
      </c>
      <c r="W1680" t="s">
        <v>1284</v>
      </c>
      <c r="X1680" t="s">
        <v>828</v>
      </c>
      <c r="Y1680" t="s">
        <v>4769</v>
      </c>
      <c r="Z1680" t="str">
        <f>"01908583612"</f>
        <v>01908583612</v>
      </c>
      <c r="AA1680" t="str">
        <f>""</f>
        <v/>
      </c>
      <c r="AB1680" t="s">
        <v>749</v>
      </c>
      <c r="AC1680" t="s">
        <v>4768</v>
      </c>
      <c r="AD1680" t="s">
        <v>114</v>
      </c>
      <c r="AE1680" s="63">
        <v>45263</v>
      </c>
      <c r="AF1680" t="s">
        <v>113</v>
      </c>
      <c r="AG1680" t="s">
        <v>112</v>
      </c>
      <c r="AH1680" t="s">
        <v>112</v>
      </c>
      <c r="AI1680" s="63">
        <v>42014</v>
      </c>
      <c r="AJ1680" s="63">
        <v>45657</v>
      </c>
      <c r="AK1680" t="s">
        <v>111</v>
      </c>
      <c r="AL1680" t="s">
        <v>112</v>
      </c>
      <c r="AM1680" t="s">
        <v>111</v>
      </c>
      <c r="AN1680">
        <v>141</v>
      </c>
      <c r="AO1680" t="s">
        <v>110</v>
      </c>
      <c r="AP1680" t="s">
        <v>109</v>
      </c>
    </row>
    <row r="1681" spans="1:42" x14ac:dyDescent="0.25">
      <c r="A1681" s="28" t="str">
        <f>"2111"</f>
        <v>2111</v>
      </c>
      <c r="B1681">
        <v>2111</v>
      </c>
      <c r="C1681" t="s">
        <v>2488</v>
      </c>
      <c r="D1681" t="s">
        <v>121</v>
      </c>
      <c r="F1681" t="s">
        <v>120</v>
      </c>
      <c r="G1681" t="s">
        <v>300</v>
      </c>
      <c r="I1681" t="s">
        <v>404</v>
      </c>
      <c r="J1681" t="s">
        <v>7</v>
      </c>
      <c r="K1681" s="63">
        <v>13235</v>
      </c>
      <c r="L1681" s="28">
        <f>DATEDIF(K1681,Zwift25!G$1,"Y")</f>
        <v>88</v>
      </c>
      <c r="M1681" s="67">
        <f>IF(J1681="m",VLOOKUP(L1681,'All Solo Adjustments'!A:D,4,FALSE),VLOOKUP(L1681,'All Solo Adjustments'!A:J,10,FALSE))</f>
        <v>1.6597222222222222E-2</v>
      </c>
      <c r="N1681" s="63"/>
      <c r="O1681" s="63"/>
      <c r="P1681" s="63"/>
      <c r="Q1681" s="63"/>
      <c r="R1681" t="s">
        <v>328</v>
      </c>
      <c r="S1681" t="s">
        <v>2290</v>
      </c>
      <c r="T1681" t="s">
        <v>292</v>
      </c>
      <c r="U1681" t="s">
        <v>4767</v>
      </c>
      <c r="V1681" t="s">
        <v>4766</v>
      </c>
      <c r="W1681" t="s">
        <v>1187</v>
      </c>
      <c r="X1681" t="s">
        <v>810</v>
      </c>
      <c r="Y1681" t="s">
        <v>4765</v>
      </c>
      <c r="Z1681" t="str">
        <f>"01229 583638"</f>
        <v>01229 583638</v>
      </c>
      <c r="AA1681" t="str">
        <f>"07845034453"</f>
        <v>07845034453</v>
      </c>
      <c r="AB1681" t="s">
        <v>831</v>
      </c>
      <c r="AC1681" t="s">
        <v>4764</v>
      </c>
      <c r="AD1681" t="s">
        <v>145</v>
      </c>
      <c r="AF1681" t="s">
        <v>113</v>
      </c>
      <c r="AG1681" t="s">
        <v>112</v>
      </c>
      <c r="AH1681" t="s">
        <v>112</v>
      </c>
      <c r="AI1681" s="63">
        <v>43391</v>
      </c>
      <c r="AK1681" t="s">
        <v>111</v>
      </c>
      <c r="AL1681" t="s">
        <v>111</v>
      </c>
      <c r="AM1681" t="s">
        <v>111</v>
      </c>
      <c r="AN1681" t="s">
        <v>105</v>
      </c>
      <c r="AO1681" t="s">
        <v>110</v>
      </c>
      <c r="AP1681" t="s">
        <v>109</v>
      </c>
    </row>
    <row r="1682" spans="1:42" x14ac:dyDescent="0.25">
      <c r="A1682" s="28" t="str">
        <f>"13611"</f>
        <v>13611</v>
      </c>
      <c r="B1682">
        <v>13611</v>
      </c>
      <c r="C1682" t="s">
        <v>2488</v>
      </c>
      <c r="D1682" t="s">
        <v>121</v>
      </c>
      <c r="F1682" t="s">
        <v>120</v>
      </c>
      <c r="G1682" t="s">
        <v>284</v>
      </c>
      <c r="I1682" t="s">
        <v>1402</v>
      </c>
      <c r="J1682" t="s">
        <v>7</v>
      </c>
      <c r="K1682" s="63">
        <v>22163</v>
      </c>
      <c r="L1682" s="28">
        <f>DATEDIF(K1682,Zwift25!G$1,"Y")</f>
        <v>64</v>
      </c>
      <c r="M1682" s="67">
        <f>IF(J1682="m",VLOOKUP(L1682,'All Solo Adjustments'!A:D,4,FALSE),VLOOKUP(L1682,'All Solo Adjustments'!A:J,10,FALSE))</f>
        <v>4.31712962962963E-3</v>
      </c>
      <c r="N1682" s="63"/>
      <c r="O1682" s="63"/>
      <c r="P1682" s="63"/>
      <c r="Q1682" s="63"/>
      <c r="R1682" t="s">
        <v>239</v>
      </c>
      <c r="S1682" t="s">
        <v>274</v>
      </c>
      <c r="T1682" t="s">
        <v>292</v>
      </c>
      <c r="U1682" t="s">
        <v>4763</v>
      </c>
      <c r="V1682" t="s">
        <v>4762</v>
      </c>
      <c r="W1682" t="s">
        <v>239</v>
      </c>
      <c r="Y1682" t="s">
        <v>4761</v>
      </c>
      <c r="Z1682" t="str">
        <f>"01964534482"</f>
        <v>01964534482</v>
      </c>
      <c r="AA1682" t="str">
        <f>"07398197789"</f>
        <v>07398197789</v>
      </c>
      <c r="AB1682" t="s">
        <v>450</v>
      </c>
      <c r="AC1682" t="s">
        <v>4760</v>
      </c>
      <c r="AD1682" t="s">
        <v>114</v>
      </c>
      <c r="AE1682" s="63">
        <v>45278</v>
      </c>
      <c r="AF1682" t="s">
        <v>156</v>
      </c>
      <c r="AG1682" t="s">
        <v>112</v>
      </c>
      <c r="AH1682" t="s">
        <v>112</v>
      </c>
      <c r="AI1682" s="63">
        <v>43257</v>
      </c>
      <c r="AJ1682" s="63">
        <v>45657</v>
      </c>
      <c r="AK1682" t="s">
        <v>112</v>
      </c>
      <c r="AL1682" t="s">
        <v>111</v>
      </c>
      <c r="AM1682" t="s">
        <v>111</v>
      </c>
      <c r="AN1682">
        <v>685</v>
      </c>
      <c r="AO1682" t="s">
        <v>110</v>
      </c>
      <c r="AP1682" t="s">
        <v>109</v>
      </c>
    </row>
    <row r="1683" spans="1:42" x14ac:dyDescent="0.25">
      <c r="A1683" s="28" t="str">
        <f>"6313"</f>
        <v>6313</v>
      </c>
      <c r="B1683">
        <v>6313</v>
      </c>
      <c r="C1683" t="s">
        <v>2488</v>
      </c>
      <c r="D1683" t="s">
        <v>121</v>
      </c>
      <c r="F1683" t="s">
        <v>120</v>
      </c>
      <c r="G1683" t="s">
        <v>251</v>
      </c>
      <c r="I1683" t="s">
        <v>4759</v>
      </c>
      <c r="J1683" t="s">
        <v>7</v>
      </c>
      <c r="K1683" s="63">
        <v>23127</v>
      </c>
      <c r="L1683" s="28">
        <f>DATEDIF(K1683,Zwift25!G$1,"Y")</f>
        <v>61</v>
      </c>
      <c r="M1683" s="67">
        <f>IF(J1683="m",VLOOKUP(L1683,'All Solo Adjustments'!A:D,4,FALSE),VLOOKUP(L1683,'All Solo Adjustments'!A:J,10,FALSE))</f>
        <v>3.4722222222222225E-3</v>
      </c>
      <c r="N1683" s="63"/>
      <c r="O1683" s="63"/>
      <c r="P1683" s="63"/>
      <c r="Q1683" s="63"/>
      <c r="R1683" t="s">
        <v>125</v>
      </c>
      <c r="S1683" t="s">
        <v>170</v>
      </c>
      <c r="T1683" t="s">
        <v>292</v>
      </c>
      <c r="U1683" t="s">
        <v>4758</v>
      </c>
      <c r="V1683" t="s">
        <v>342</v>
      </c>
      <c r="W1683" t="s">
        <v>169</v>
      </c>
      <c r="Y1683" t="s">
        <v>4757</v>
      </c>
      <c r="Z1683" t="str">
        <f>"07788992725"</f>
        <v>07788992725</v>
      </c>
      <c r="AA1683" t="str">
        <f>""</f>
        <v/>
      </c>
      <c r="AB1683" t="s">
        <v>341</v>
      </c>
      <c r="AC1683" t="s">
        <v>4756</v>
      </c>
      <c r="AD1683" t="s">
        <v>114</v>
      </c>
      <c r="AE1683" s="63">
        <v>45274</v>
      </c>
      <c r="AF1683" t="s">
        <v>156</v>
      </c>
      <c r="AG1683" t="s">
        <v>112</v>
      </c>
      <c r="AH1683" t="s">
        <v>112</v>
      </c>
      <c r="AI1683" s="63">
        <v>42931</v>
      </c>
      <c r="AJ1683" s="63">
        <v>45657</v>
      </c>
      <c r="AK1683" t="s">
        <v>111</v>
      </c>
      <c r="AL1683" t="s">
        <v>111</v>
      </c>
      <c r="AM1683" t="s">
        <v>111</v>
      </c>
      <c r="AN1683">
        <v>3672</v>
      </c>
      <c r="AO1683" t="s">
        <v>110</v>
      </c>
      <c r="AP1683" t="s">
        <v>109</v>
      </c>
    </row>
    <row r="1684" spans="1:42" x14ac:dyDescent="0.25">
      <c r="A1684" s="28" t="str">
        <f>"15522"</f>
        <v>15522</v>
      </c>
      <c r="B1684">
        <v>15522</v>
      </c>
      <c r="C1684" t="s">
        <v>2488</v>
      </c>
      <c r="D1684" t="s">
        <v>121</v>
      </c>
      <c r="E1684" t="s">
        <v>584</v>
      </c>
      <c r="F1684" t="s">
        <v>120</v>
      </c>
      <c r="G1684" t="s">
        <v>410</v>
      </c>
      <c r="I1684" t="s">
        <v>4755</v>
      </c>
      <c r="J1684" t="s">
        <v>7</v>
      </c>
      <c r="K1684" s="63">
        <v>23565</v>
      </c>
      <c r="L1684" s="28">
        <f>DATEDIF(K1684,Zwift25!G$1,"Y")</f>
        <v>60</v>
      </c>
      <c r="M1684" s="67">
        <f>IF(J1684="m",VLOOKUP(L1684,'All Solo Adjustments'!A:D,4,FALSE),VLOOKUP(L1684,'All Solo Adjustments'!A:J,10,FALSE))</f>
        <v>3.2060185185185186E-3</v>
      </c>
      <c r="N1684" s="63"/>
      <c r="O1684" s="63"/>
      <c r="P1684" s="63"/>
      <c r="Q1684" s="63"/>
      <c r="R1684" t="s">
        <v>137</v>
      </c>
      <c r="S1684" t="s">
        <v>136</v>
      </c>
      <c r="T1684" t="s">
        <v>292</v>
      </c>
      <c r="U1684" t="s">
        <v>4754</v>
      </c>
      <c r="V1684" t="s">
        <v>4753</v>
      </c>
      <c r="W1684" t="s">
        <v>4752</v>
      </c>
      <c r="Y1684" t="s">
        <v>4751</v>
      </c>
      <c r="Z1684" t="str">
        <f>"07867557300"</f>
        <v>07867557300</v>
      </c>
      <c r="AA1684" t="str">
        <f>""</f>
        <v/>
      </c>
      <c r="AB1684" t="s">
        <v>357</v>
      </c>
      <c r="AC1684" t="s">
        <v>4750</v>
      </c>
      <c r="AD1684" t="s">
        <v>114</v>
      </c>
      <c r="AE1684" s="63">
        <v>45302</v>
      </c>
      <c r="AF1684" t="s">
        <v>113</v>
      </c>
      <c r="AG1684" t="s">
        <v>112</v>
      </c>
      <c r="AH1684" t="s">
        <v>112</v>
      </c>
      <c r="AI1684" s="63">
        <v>44731</v>
      </c>
      <c r="AJ1684" s="63">
        <v>45657</v>
      </c>
      <c r="AK1684" t="s">
        <v>112</v>
      </c>
      <c r="AL1684" t="s">
        <v>111</v>
      </c>
      <c r="AM1684" t="s">
        <v>111</v>
      </c>
      <c r="AN1684">
        <v>9225</v>
      </c>
      <c r="AO1684" t="s">
        <v>110</v>
      </c>
      <c r="AP1684" t="s">
        <v>109</v>
      </c>
    </row>
    <row r="1685" spans="1:42" x14ac:dyDescent="0.25">
      <c r="A1685" s="28" t="str">
        <f>"4408"</f>
        <v>4408</v>
      </c>
      <c r="B1685">
        <v>4408</v>
      </c>
      <c r="C1685" t="s">
        <v>2488</v>
      </c>
      <c r="D1685" t="s">
        <v>121</v>
      </c>
      <c r="F1685" t="s">
        <v>149</v>
      </c>
      <c r="G1685" t="s">
        <v>4749</v>
      </c>
      <c r="H1685" t="s">
        <v>4748</v>
      </c>
      <c r="I1685" t="s">
        <v>4747</v>
      </c>
      <c r="J1685" t="s">
        <v>126</v>
      </c>
      <c r="K1685" s="63">
        <v>17718</v>
      </c>
      <c r="L1685" s="28">
        <f>DATEDIF(K1685,Zwift25!G$1,"Y")</f>
        <v>76</v>
      </c>
      <c r="M1685" s="67">
        <f>IF(J1685="m",VLOOKUP(L1685,'All Solo Adjustments'!A:D,4,FALSE),VLOOKUP(L1685,'All Solo Adjustments'!A:J,10,FALSE))</f>
        <v>1.4456018518518519E-2</v>
      </c>
      <c r="N1685" s="63"/>
      <c r="O1685" s="63"/>
      <c r="P1685" s="63"/>
      <c r="Q1685" s="63"/>
      <c r="R1685" t="s">
        <v>154</v>
      </c>
      <c r="S1685" t="s">
        <v>153</v>
      </c>
      <c r="T1685" t="s">
        <v>292</v>
      </c>
      <c r="U1685" t="s">
        <v>4746</v>
      </c>
      <c r="V1685" t="s">
        <v>1983</v>
      </c>
      <c r="W1685" t="s">
        <v>1306</v>
      </c>
      <c r="Y1685" t="s">
        <v>4745</v>
      </c>
      <c r="Z1685" t="str">
        <f>"+441386423185"</f>
        <v>+441386423185</v>
      </c>
      <c r="AA1685" t="str">
        <f>"+447410408874"</f>
        <v>+447410408874</v>
      </c>
      <c r="AB1685" t="s">
        <v>1389</v>
      </c>
      <c r="AC1685" t="s">
        <v>4744</v>
      </c>
      <c r="AD1685" t="s">
        <v>114</v>
      </c>
      <c r="AE1685" s="63">
        <v>45256</v>
      </c>
      <c r="AF1685" t="s">
        <v>113</v>
      </c>
      <c r="AG1685" t="s">
        <v>112</v>
      </c>
      <c r="AH1685" t="s">
        <v>112</v>
      </c>
      <c r="AI1685" s="63">
        <v>40909</v>
      </c>
      <c r="AJ1685" s="63">
        <v>45657</v>
      </c>
      <c r="AK1685" t="s">
        <v>111</v>
      </c>
      <c r="AL1685" t="s">
        <v>111</v>
      </c>
      <c r="AM1685" t="s">
        <v>111</v>
      </c>
      <c r="AN1685">
        <v>6227</v>
      </c>
      <c r="AO1685" t="s">
        <v>122</v>
      </c>
      <c r="AP1685" t="s">
        <v>122</v>
      </c>
    </row>
    <row r="1686" spans="1:42" x14ac:dyDescent="0.25">
      <c r="A1686" s="28" t="str">
        <f>"14263"</f>
        <v>14263</v>
      </c>
      <c r="B1686">
        <v>14263</v>
      </c>
      <c r="C1686" t="s">
        <v>2488</v>
      </c>
      <c r="D1686" t="s">
        <v>121</v>
      </c>
      <c r="F1686" t="s">
        <v>120</v>
      </c>
      <c r="G1686" t="s">
        <v>1309</v>
      </c>
      <c r="H1686" t="s">
        <v>1944</v>
      </c>
      <c r="I1686" t="s">
        <v>4743</v>
      </c>
      <c r="J1686" t="s">
        <v>7</v>
      </c>
      <c r="K1686" s="63">
        <v>25290</v>
      </c>
      <c r="L1686" s="28">
        <f>DATEDIF(K1686,Zwift25!G$1,"Y")</f>
        <v>55</v>
      </c>
      <c r="M1686" s="67">
        <f>IF(J1686="m",VLOOKUP(L1686,'All Solo Adjustments'!A:D,4,FALSE),VLOOKUP(L1686,'All Solo Adjustments'!A:J,10,FALSE))</f>
        <v>2.0601851851851853E-3</v>
      </c>
      <c r="N1686" s="63"/>
      <c r="O1686" s="63"/>
      <c r="P1686" s="63"/>
      <c r="Q1686" s="63"/>
      <c r="R1686" t="s">
        <v>184</v>
      </c>
      <c r="S1686" t="s">
        <v>183</v>
      </c>
      <c r="T1686" t="s">
        <v>292</v>
      </c>
      <c r="U1686" t="s">
        <v>4742</v>
      </c>
      <c r="V1686" t="s">
        <v>4741</v>
      </c>
      <c r="W1686" t="s">
        <v>834</v>
      </c>
      <c r="Y1686" t="s">
        <v>4740</v>
      </c>
      <c r="Z1686" t="str">
        <f>"07785988408"</f>
        <v>07785988408</v>
      </c>
      <c r="AA1686" t="str">
        <f>""</f>
        <v/>
      </c>
      <c r="AB1686" t="s">
        <v>833</v>
      </c>
      <c r="AC1686" t="s">
        <v>4739</v>
      </c>
      <c r="AD1686" t="s">
        <v>114</v>
      </c>
      <c r="AE1686" s="63">
        <v>45289</v>
      </c>
      <c r="AF1686" t="s">
        <v>156</v>
      </c>
      <c r="AG1686" t="s">
        <v>112</v>
      </c>
      <c r="AH1686" t="s">
        <v>112</v>
      </c>
      <c r="AI1686" s="63">
        <v>43622</v>
      </c>
      <c r="AJ1686" s="63">
        <v>45657</v>
      </c>
      <c r="AK1686" t="s">
        <v>112</v>
      </c>
      <c r="AL1686" t="s">
        <v>111</v>
      </c>
      <c r="AM1686" t="s">
        <v>111</v>
      </c>
      <c r="AN1686">
        <v>3100</v>
      </c>
      <c r="AO1686" t="s">
        <v>110</v>
      </c>
      <c r="AP1686" t="s">
        <v>109</v>
      </c>
    </row>
    <row r="1687" spans="1:42" x14ac:dyDescent="0.25">
      <c r="A1687" s="28" t="str">
        <f>"5498"</f>
        <v>5498</v>
      </c>
      <c r="B1687">
        <v>5498</v>
      </c>
      <c r="C1687" t="s">
        <v>2488</v>
      </c>
      <c r="D1687" t="s">
        <v>121</v>
      </c>
      <c r="F1687" t="s">
        <v>120</v>
      </c>
      <c r="G1687" t="s">
        <v>195</v>
      </c>
      <c r="I1687" t="s">
        <v>1399</v>
      </c>
      <c r="J1687" t="s">
        <v>7</v>
      </c>
      <c r="K1687" s="63">
        <v>23956</v>
      </c>
      <c r="L1687" s="28">
        <f>DATEDIF(K1687,Zwift25!G$1,"Y")</f>
        <v>59</v>
      </c>
      <c r="M1687" s="67">
        <f>IF(J1687="m",VLOOKUP(L1687,'All Solo Adjustments'!A:D,4,FALSE),VLOOKUP(L1687,'All Solo Adjustments'!A:J,10,FALSE))</f>
        <v>2.9629629629629632E-3</v>
      </c>
      <c r="N1687" s="63"/>
      <c r="O1687" s="63"/>
      <c r="P1687" s="63"/>
      <c r="Q1687" s="63"/>
      <c r="R1687" t="s">
        <v>125</v>
      </c>
      <c r="S1687" t="s">
        <v>170</v>
      </c>
      <c r="T1687" t="s">
        <v>292</v>
      </c>
      <c r="U1687" t="s">
        <v>4738</v>
      </c>
      <c r="V1687" t="s">
        <v>4737</v>
      </c>
      <c r="W1687" t="s">
        <v>4736</v>
      </c>
      <c r="X1687" t="s">
        <v>146</v>
      </c>
      <c r="Y1687" t="s">
        <v>4735</v>
      </c>
      <c r="Z1687" t="str">
        <f>"07825 426796"</f>
        <v>07825 426796</v>
      </c>
      <c r="AA1687" t="str">
        <f>""</f>
        <v/>
      </c>
      <c r="AB1687" t="s">
        <v>482</v>
      </c>
      <c r="AC1687" t="s">
        <v>4734</v>
      </c>
      <c r="AD1687" t="s">
        <v>114</v>
      </c>
      <c r="AE1687" s="63">
        <v>45363</v>
      </c>
      <c r="AF1687" t="s">
        <v>156</v>
      </c>
      <c r="AG1687" t="s">
        <v>112</v>
      </c>
      <c r="AH1687" t="s">
        <v>112</v>
      </c>
      <c r="AI1687" s="63">
        <v>42151</v>
      </c>
      <c r="AJ1687" s="63">
        <v>45657</v>
      </c>
      <c r="AK1687" t="s">
        <v>111</v>
      </c>
      <c r="AL1687" t="s">
        <v>111</v>
      </c>
      <c r="AM1687" t="s">
        <v>111</v>
      </c>
      <c r="AN1687">
        <v>2397</v>
      </c>
      <c r="AO1687" t="s">
        <v>110</v>
      </c>
      <c r="AP1687" t="s">
        <v>109</v>
      </c>
    </row>
    <row r="1688" spans="1:42" x14ac:dyDescent="0.25">
      <c r="A1688" s="28" t="str">
        <f>"14560"</f>
        <v>14560</v>
      </c>
      <c r="B1688">
        <v>14560</v>
      </c>
      <c r="C1688" t="s">
        <v>2488</v>
      </c>
      <c r="D1688" t="s">
        <v>121</v>
      </c>
      <c r="F1688" t="s">
        <v>403</v>
      </c>
      <c r="G1688" t="s">
        <v>185</v>
      </c>
      <c r="I1688" t="s">
        <v>1399</v>
      </c>
      <c r="J1688" t="s">
        <v>7</v>
      </c>
      <c r="K1688" s="63">
        <v>29312</v>
      </c>
      <c r="L1688" s="28">
        <f>DATEDIF(K1688,Zwift25!G$1,"Y")</f>
        <v>44</v>
      </c>
      <c r="M1688" s="67">
        <f>IF(J1688="m",VLOOKUP(L1688,'All Solo Adjustments'!A:D,4,FALSE),VLOOKUP(L1688,'All Solo Adjustments'!A:J,10,FALSE))</f>
        <v>3.3564814814814818E-4</v>
      </c>
      <c r="N1688" s="63"/>
      <c r="O1688" s="63"/>
      <c r="P1688" s="63"/>
      <c r="Q1688" s="63"/>
      <c r="R1688" t="s">
        <v>125</v>
      </c>
      <c r="S1688" t="s">
        <v>170</v>
      </c>
      <c r="T1688" t="s">
        <v>292</v>
      </c>
      <c r="U1688" t="s">
        <v>4733</v>
      </c>
      <c r="V1688" t="s">
        <v>4732</v>
      </c>
      <c r="W1688" t="s">
        <v>201</v>
      </c>
      <c r="Y1688" t="s">
        <v>4731</v>
      </c>
      <c r="Z1688" t="str">
        <f>"07866422022"</f>
        <v>07866422022</v>
      </c>
      <c r="AA1688" t="str">
        <f>""</f>
        <v/>
      </c>
      <c r="AB1688" t="s">
        <v>4730</v>
      </c>
      <c r="AC1688" t="s">
        <v>4729</v>
      </c>
      <c r="AD1688" t="s">
        <v>114</v>
      </c>
      <c r="AE1688" s="63">
        <v>45364</v>
      </c>
      <c r="AF1688" t="s">
        <v>156</v>
      </c>
      <c r="AG1688" t="s">
        <v>112</v>
      </c>
      <c r="AH1688" t="s">
        <v>112</v>
      </c>
      <c r="AI1688" s="63">
        <v>43993</v>
      </c>
      <c r="AJ1688" s="63">
        <v>45657</v>
      </c>
      <c r="AK1688" t="s">
        <v>112</v>
      </c>
      <c r="AL1688" t="s">
        <v>111</v>
      </c>
      <c r="AM1688" t="s">
        <v>111</v>
      </c>
      <c r="AN1688">
        <v>6160</v>
      </c>
      <c r="AO1688" t="s">
        <v>110</v>
      </c>
      <c r="AP1688" t="s">
        <v>109</v>
      </c>
    </row>
    <row r="1689" spans="1:42" x14ac:dyDescent="0.25">
      <c r="A1689" s="28" t="str">
        <f>"16170"</f>
        <v>16170</v>
      </c>
      <c r="B1689">
        <v>16170</v>
      </c>
      <c r="C1689" t="s">
        <v>2488</v>
      </c>
      <c r="D1689" t="s">
        <v>121</v>
      </c>
      <c r="E1689" t="s">
        <v>584</v>
      </c>
      <c r="F1689" t="s">
        <v>120</v>
      </c>
      <c r="G1689" t="s">
        <v>4728</v>
      </c>
      <c r="I1689" t="s">
        <v>4727</v>
      </c>
      <c r="J1689" t="s">
        <v>7</v>
      </c>
      <c r="K1689" s="63">
        <v>19486</v>
      </c>
      <c r="L1689" s="28">
        <f>DATEDIF(K1689,Zwift25!G$1,"Y")</f>
        <v>71</v>
      </c>
      <c r="M1689" s="67">
        <f>IF(J1689="m",VLOOKUP(L1689,'All Solo Adjustments'!A:D,4,FALSE),VLOOKUP(L1689,'All Solo Adjustments'!A:J,10,FALSE))</f>
        <v>6.7245370370370375E-3</v>
      </c>
      <c r="N1689" s="63"/>
      <c r="O1689" s="63"/>
      <c r="P1689" s="63"/>
      <c r="Q1689" s="63"/>
      <c r="R1689" t="s">
        <v>328</v>
      </c>
      <c r="S1689" t="s">
        <v>327</v>
      </c>
      <c r="T1689" t="s">
        <v>292</v>
      </c>
      <c r="U1689" t="s">
        <v>4726</v>
      </c>
      <c r="V1689" t="s">
        <v>4725</v>
      </c>
      <c r="W1689" t="s">
        <v>1285</v>
      </c>
      <c r="X1689" t="s">
        <v>325</v>
      </c>
      <c r="Y1689" t="s">
        <v>4724</v>
      </c>
      <c r="Z1689" t="str">
        <f>"01706536485"</f>
        <v>01706536485</v>
      </c>
      <c r="AA1689" t="str">
        <f>"07366951199"</f>
        <v>07366951199</v>
      </c>
      <c r="AB1689" t="s">
        <v>4723</v>
      </c>
      <c r="AC1689" t="s">
        <v>4722</v>
      </c>
      <c r="AD1689" t="s">
        <v>114</v>
      </c>
      <c r="AE1689" s="63">
        <v>45464</v>
      </c>
      <c r="AF1689" t="s">
        <v>156</v>
      </c>
      <c r="AG1689" t="s">
        <v>112</v>
      </c>
      <c r="AH1689" t="s">
        <v>112</v>
      </c>
      <c r="AI1689" s="63">
        <v>45464</v>
      </c>
      <c r="AJ1689" s="63">
        <v>45657</v>
      </c>
      <c r="AK1689" t="s">
        <v>112</v>
      </c>
      <c r="AL1689" t="s">
        <v>111</v>
      </c>
      <c r="AM1689" t="s">
        <v>111</v>
      </c>
      <c r="AN1689">
        <v>4254</v>
      </c>
      <c r="AO1689" t="s">
        <v>110</v>
      </c>
      <c r="AP1689" t="s">
        <v>109</v>
      </c>
    </row>
    <row r="1690" spans="1:42" x14ac:dyDescent="0.25">
      <c r="A1690" s="28" t="str">
        <f>"15222"</f>
        <v>15222</v>
      </c>
      <c r="B1690">
        <v>15222</v>
      </c>
      <c r="C1690" t="s">
        <v>2488</v>
      </c>
      <c r="D1690" t="s">
        <v>121</v>
      </c>
      <c r="F1690" t="s">
        <v>120</v>
      </c>
      <c r="G1690" t="s">
        <v>4721</v>
      </c>
      <c r="I1690" t="s">
        <v>4720</v>
      </c>
      <c r="J1690" t="s">
        <v>7</v>
      </c>
      <c r="K1690" s="63">
        <v>29780</v>
      </c>
      <c r="L1690" s="28">
        <f>DATEDIF(K1690,Zwift25!G$1,"Y")</f>
        <v>43</v>
      </c>
      <c r="M1690" s="67">
        <f>IF(J1690="m",VLOOKUP(L1690,'All Solo Adjustments'!A:D,4,FALSE),VLOOKUP(L1690,'All Solo Adjustments'!A:J,10,FALSE))</f>
        <v>2.4305555555555555E-4</v>
      </c>
      <c r="N1690" s="63"/>
      <c r="O1690" s="63"/>
      <c r="P1690" s="63"/>
      <c r="Q1690" s="63"/>
      <c r="R1690" t="s">
        <v>527</v>
      </c>
      <c r="S1690" t="s">
        <v>526</v>
      </c>
      <c r="T1690" t="s">
        <v>292</v>
      </c>
      <c r="U1690" t="s">
        <v>4719</v>
      </c>
      <c r="V1690" t="s">
        <v>1136</v>
      </c>
      <c r="Y1690" t="s">
        <v>4718</v>
      </c>
      <c r="Z1690" t="str">
        <f>"07412102735"</f>
        <v>07412102735</v>
      </c>
      <c r="AA1690" t="str">
        <f>""</f>
        <v/>
      </c>
      <c r="AB1690" t="s">
        <v>4717</v>
      </c>
      <c r="AC1690" t="s">
        <v>4716</v>
      </c>
      <c r="AD1690" t="s">
        <v>114</v>
      </c>
      <c r="AE1690" s="63">
        <v>45295</v>
      </c>
      <c r="AF1690" t="s">
        <v>113</v>
      </c>
      <c r="AG1690" t="s">
        <v>112</v>
      </c>
      <c r="AH1690" t="s">
        <v>112</v>
      </c>
      <c r="AI1690" s="63">
        <v>44431</v>
      </c>
      <c r="AJ1690" s="63">
        <v>45657</v>
      </c>
      <c r="AK1690" t="s">
        <v>112</v>
      </c>
      <c r="AL1690" t="s">
        <v>111</v>
      </c>
      <c r="AM1690" t="s">
        <v>111</v>
      </c>
      <c r="AN1690">
        <v>22834</v>
      </c>
      <c r="AO1690" t="s">
        <v>110</v>
      </c>
      <c r="AP1690" t="s">
        <v>109</v>
      </c>
    </row>
    <row r="1691" spans="1:42" x14ac:dyDescent="0.25">
      <c r="A1691" s="28" t="str">
        <f>"15776"</f>
        <v>15776</v>
      </c>
      <c r="B1691">
        <v>15776</v>
      </c>
      <c r="C1691" t="s">
        <v>2488</v>
      </c>
      <c r="D1691" t="s">
        <v>121</v>
      </c>
      <c r="E1691" t="s">
        <v>584</v>
      </c>
      <c r="F1691" t="s">
        <v>120</v>
      </c>
      <c r="G1691" t="s">
        <v>4715</v>
      </c>
      <c r="H1691" t="s">
        <v>506</v>
      </c>
      <c r="I1691" t="s">
        <v>4714</v>
      </c>
      <c r="J1691" t="s">
        <v>7</v>
      </c>
      <c r="K1691" s="63">
        <v>19754</v>
      </c>
      <c r="L1691" s="28">
        <f>DATEDIF(K1691,Zwift25!G$1,"Y")</f>
        <v>70</v>
      </c>
      <c r="M1691" s="67">
        <f>IF(J1691="m",VLOOKUP(L1691,'All Solo Adjustments'!A:D,4,FALSE),VLOOKUP(L1691,'All Solo Adjustments'!A:J,10,FALSE))</f>
        <v>6.3425925925925924E-3</v>
      </c>
      <c r="N1691" s="63"/>
      <c r="O1691" s="63"/>
      <c r="P1691" s="63"/>
      <c r="Q1691" s="63"/>
      <c r="R1691" t="s">
        <v>137</v>
      </c>
      <c r="S1691" t="s">
        <v>136</v>
      </c>
      <c r="T1691" t="s">
        <v>292</v>
      </c>
      <c r="U1691" t="s">
        <v>4713</v>
      </c>
      <c r="W1691" t="s">
        <v>4712</v>
      </c>
      <c r="X1691" t="s">
        <v>564</v>
      </c>
      <c r="Y1691" t="s">
        <v>4711</v>
      </c>
      <c r="Z1691" t="str">
        <f>"07960179231"</f>
        <v>07960179231</v>
      </c>
      <c r="AA1691" t="str">
        <f>""</f>
        <v/>
      </c>
      <c r="AB1691" t="s">
        <v>4710</v>
      </c>
      <c r="AC1691" t="s">
        <v>4709</v>
      </c>
      <c r="AD1691" t="s">
        <v>114</v>
      </c>
      <c r="AE1691" s="63">
        <v>45218</v>
      </c>
      <c r="AF1691" t="s">
        <v>156</v>
      </c>
      <c r="AG1691" t="s">
        <v>112</v>
      </c>
      <c r="AH1691" t="s">
        <v>112</v>
      </c>
      <c r="AI1691" s="63">
        <v>45027</v>
      </c>
      <c r="AJ1691" s="63">
        <v>45657</v>
      </c>
      <c r="AK1691" t="s">
        <v>112</v>
      </c>
      <c r="AL1691" t="s">
        <v>111</v>
      </c>
      <c r="AM1691" t="s">
        <v>111</v>
      </c>
      <c r="AN1691">
        <v>359</v>
      </c>
      <c r="AO1691" t="s">
        <v>110</v>
      </c>
      <c r="AP1691" t="s">
        <v>109</v>
      </c>
    </row>
    <row r="1692" spans="1:42" x14ac:dyDescent="0.25">
      <c r="A1692" s="28" t="str">
        <f>"16103"</f>
        <v>16103</v>
      </c>
      <c r="B1692">
        <v>16103</v>
      </c>
      <c r="C1692" t="s">
        <v>2488</v>
      </c>
      <c r="D1692" t="s">
        <v>121</v>
      </c>
      <c r="F1692" t="s">
        <v>144</v>
      </c>
      <c r="G1692" t="s">
        <v>1150</v>
      </c>
      <c r="I1692" t="s">
        <v>4708</v>
      </c>
      <c r="J1692" t="s">
        <v>126</v>
      </c>
      <c r="K1692" s="63">
        <v>29159</v>
      </c>
      <c r="L1692" s="28">
        <f>DATEDIF(K1692,Zwift25!G$1,"Y")</f>
        <v>44</v>
      </c>
      <c r="M1692" s="67">
        <f>IF(J1692="m",VLOOKUP(L1692,'All Solo Adjustments'!A:D,4,FALSE),VLOOKUP(L1692,'All Solo Adjustments'!A:J,10,FALSE))</f>
        <v>4.5717592592592598E-3</v>
      </c>
      <c r="N1692" s="63"/>
      <c r="O1692" s="63"/>
      <c r="P1692" s="63"/>
      <c r="Q1692" s="63"/>
      <c r="R1692" t="s">
        <v>180</v>
      </c>
      <c r="S1692" t="s">
        <v>179</v>
      </c>
      <c r="T1692" t="s">
        <v>292</v>
      </c>
      <c r="U1692" t="s">
        <v>2919</v>
      </c>
      <c r="V1692" t="s">
        <v>2918</v>
      </c>
      <c r="W1692" t="s">
        <v>2036</v>
      </c>
      <c r="X1692" t="s">
        <v>1576</v>
      </c>
      <c r="Y1692" t="s">
        <v>2917</v>
      </c>
      <c r="Z1692" t="str">
        <f>"+447971647166"</f>
        <v>+447971647166</v>
      </c>
      <c r="AA1692" t="str">
        <f>""</f>
        <v/>
      </c>
      <c r="AB1692" t="s">
        <v>2916</v>
      </c>
      <c r="AC1692" t="s">
        <v>4707</v>
      </c>
      <c r="AD1692" t="s">
        <v>114</v>
      </c>
      <c r="AE1692" s="63">
        <v>45398</v>
      </c>
      <c r="AF1692" t="s">
        <v>156</v>
      </c>
      <c r="AG1692" t="s">
        <v>112</v>
      </c>
      <c r="AH1692" t="s">
        <v>112</v>
      </c>
      <c r="AI1692" s="63">
        <v>45398</v>
      </c>
      <c r="AJ1692" s="63">
        <v>45657</v>
      </c>
      <c r="AK1692" t="s">
        <v>112</v>
      </c>
      <c r="AL1692" t="s">
        <v>111</v>
      </c>
      <c r="AM1692" t="s">
        <v>111</v>
      </c>
      <c r="AN1692">
        <v>47127</v>
      </c>
      <c r="AO1692" t="s">
        <v>122</v>
      </c>
      <c r="AP1692" t="s">
        <v>122</v>
      </c>
    </row>
    <row r="1693" spans="1:42" x14ac:dyDescent="0.25">
      <c r="A1693" s="28" t="str">
        <f>"15431"</f>
        <v>15431</v>
      </c>
      <c r="B1693">
        <v>15431</v>
      </c>
      <c r="C1693" t="s">
        <v>2488</v>
      </c>
      <c r="D1693" t="s">
        <v>121</v>
      </c>
      <c r="E1693" t="s">
        <v>584</v>
      </c>
      <c r="F1693" t="s">
        <v>403</v>
      </c>
      <c r="G1693" t="s">
        <v>234</v>
      </c>
      <c r="H1693" t="s">
        <v>4706</v>
      </c>
      <c r="I1693" t="s">
        <v>4705</v>
      </c>
      <c r="J1693" t="s">
        <v>7</v>
      </c>
      <c r="K1693" s="63">
        <v>29565</v>
      </c>
      <c r="L1693" s="28">
        <f>DATEDIF(K1693,Zwift25!G$1,"Y")</f>
        <v>43</v>
      </c>
      <c r="M1693" s="67">
        <f>IF(J1693="m",VLOOKUP(L1693,'All Solo Adjustments'!A:D,4,FALSE),VLOOKUP(L1693,'All Solo Adjustments'!A:J,10,FALSE))</f>
        <v>2.4305555555555555E-4</v>
      </c>
      <c r="N1693" s="63"/>
      <c r="O1693" s="63"/>
      <c r="P1693" s="63"/>
      <c r="Q1693" s="63"/>
      <c r="R1693" t="s">
        <v>154</v>
      </c>
      <c r="S1693" t="s">
        <v>153</v>
      </c>
      <c r="T1693" t="s">
        <v>292</v>
      </c>
      <c r="U1693" t="s">
        <v>4704</v>
      </c>
      <c r="V1693" t="s">
        <v>4703</v>
      </c>
      <c r="W1693" t="s">
        <v>4702</v>
      </c>
      <c r="X1693" t="s">
        <v>4701</v>
      </c>
      <c r="Y1693" t="s">
        <v>4700</v>
      </c>
      <c r="Z1693" t="str">
        <f>"0790037627"</f>
        <v>0790037627</v>
      </c>
      <c r="AA1693" t="str">
        <f>""</f>
        <v/>
      </c>
      <c r="AB1693" t="s">
        <v>1941</v>
      </c>
      <c r="AC1693" t="s">
        <v>4699</v>
      </c>
      <c r="AD1693" t="s">
        <v>114</v>
      </c>
      <c r="AE1693" s="63">
        <v>45348</v>
      </c>
      <c r="AF1693" t="s">
        <v>113</v>
      </c>
      <c r="AG1693" t="s">
        <v>112</v>
      </c>
      <c r="AH1693" t="s">
        <v>112</v>
      </c>
      <c r="AI1693" s="63">
        <v>44653</v>
      </c>
      <c r="AJ1693" s="63">
        <v>45657</v>
      </c>
      <c r="AK1693" t="s">
        <v>112</v>
      </c>
      <c r="AL1693" t="s">
        <v>111</v>
      </c>
      <c r="AM1693" t="s">
        <v>111</v>
      </c>
      <c r="AN1693">
        <v>28588</v>
      </c>
      <c r="AO1693" t="s">
        <v>110</v>
      </c>
      <c r="AP1693" t="s">
        <v>109</v>
      </c>
    </row>
    <row r="1694" spans="1:42" x14ac:dyDescent="0.25">
      <c r="A1694" s="28" t="str">
        <f>"10502"</f>
        <v>10502</v>
      </c>
      <c r="B1694">
        <v>10502</v>
      </c>
      <c r="C1694" t="s">
        <v>2488</v>
      </c>
      <c r="D1694" t="s">
        <v>121</v>
      </c>
      <c r="E1694" t="s">
        <v>584</v>
      </c>
      <c r="F1694" t="s">
        <v>120</v>
      </c>
      <c r="G1694" t="s">
        <v>284</v>
      </c>
      <c r="H1694" t="s">
        <v>171</v>
      </c>
      <c r="I1694" t="s">
        <v>399</v>
      </c>
      <c r="J1694" t="s">
        <v>7</v>
      </c>
      <c r="K1694" s="63">
        <v>16252</v>
      </c>
      <c r="L1694" s="28">
        <f>DATEDIF(K1694,Zwift25!G$1,"Y")</f>
        <v>80</v>
      </c>
      <c r="M1694" s="67">
        <f>IF(J1694="m",VLOOKUP(L1694,'All Solo Adjustments'!A:D,4,FALSE),VLOOKUP(L1694,'All Solo Adjustments'!A:J,10,FALSE))</f>
        <v>1.1018518518518518E-2</v>
      </c>
      <c r="N1694" s="63"/>
      <c r="O1694" s="63"/>
      <c r="P1694" s="63"/>
      <c r="Q1694" s="63"/>
      <c r="R1694" t="s">
        <v>180</v>
      </c>
      <c r="S1694" t="s">
        <v>179</v>
      </c>
      <c r="T1694" t="s">
        <v>292</v>
      </c>
      <c r="U1694" t="s">
        <v>4698</v>
      </c>
      <c r="V1694" t="s">
        <v>4359</v>
      </c>
      <c r="W1694" t="s">
        <v>1112</v>
      </c>
      <c r="X1694" t="s">
        <v>368</v>
      </c>
      <c r="Y1694" t="s">
        <v>4697</v>
      </c>
      <c r="Z1694" t="str">
        <f>"01400 231062"</f>
        <v>01400 231062</v>
      </c>
      <c r="AA1694" t="str">
        <f>"07849741447"</f>
        <v>07849741447</v>
      </c>
      <c r="AB1694" t="s">
        <v>4696</v>
      </c>
      <c r="AC1694" t="s">
        <v>4695</v>
      </c>
      <c r="AD1694" t="s">
        <v>145</v>
      </c>
      <c r="AE1694" s="63">
        <v>45341</v>
      </c>
      <c r="AF1694" t="s">
        <v>113</v>
      </c>
      <c r="AG1694" t="s">
        <v>112</v>
      </c>
      <c r="AH1694" t="s">
        <v>112</v>
      </c>
      <c r="AI1694" s="63">
        <v>43175</v>
      </c>
      <c r="AJ1694" s="63">
        <v>45657</v>
      </c>
      <c r="AK1694" t="s">
        <v>112</v>
      </c>
      <c r="AL1694" t="s">
        <v>111</v>
      </c>
      <c r="AM1694" t="s">
        <v>111</v>
      </c>
      <c r="AN1694">
        <v>7384</v>
      </c>
      <c r="AO1694" t="s">
        <v>110</v>
      </c>
      <c r="AP1694" t="s">
        <v>109</v>
      </c>
    </row>
    <row r="1695" spans="1:42" x14ac:dyDescent="0.25">
      <c r="A1695" s="28" t="str">
        <f>"2124"</f>
        <v>2124</v>
      </c>
      <c r="B1695">
        <v>2124</v>
      </c>
      <c r="C1695" t="s">
        <v>2488</v>
      </c>
      <c r="D1695" t="s">
        <v>121</v>
      </c>
      <c r="E1695" t="s">
        <v>584</v>
      </c>
      <c r="F1695" t="s">
        <v>120</v>
      </c>
      <c r="G1695" t="s">
        <v>1104</v>
      </c>
      <c r="I1695" t="s">
        <v>399</v>
      </c>
      <c r="J1695" t="s">
        <v>7</v>
      </c>
      <c r="K1695" s="63">
        <v>22358</v>
      </c>
      <c r="L1695" s="28">
        <f>DATEDIF(K1695,Zwift25!G$1,"Y")</f>
        <v>63</v>
      </c>
      <c r="M1695" s="67">
        <f>IF(J1695="m",VLOOKUP(L1695,'All Solo Adjustments'!A:D,4,FALSE),VLOOKUP(L1695,'All Solo Adjustments'!A:J,10,FALSE))</f>
        <v>4.0277777777777777E-3</v>
      </c>
      <c r="N1695" s="63"/>
      <c r="O1695" s="63"/>
      <c r="P1695" s="63"/>
      <c r="Q1695" s="63"/>
      <c r="R1695" t="s">
        <v>154</v>
      </c>
      <c r="S1695" t="s">
        <v>153</v>
      </c>
      <c r="T1695" t="s">
        <v>292</v>
      </c>
      <c r="U1695" t="s">
        <v>4694</v>
      </c>
      <c r="V1695" t="s">
        <v>4693</v>
      </c>
      <c r="W1695" t="s">
        <v>491</v>
      </c>
      <c r="Y1695" t="s">
        <v>4692</v>
      </c>
      <c r="Z1695" t="str">
        <f>"01305 264076"</f>
        <v>01305 264076</v>
      </c>
      <c r="AA1695" t="str">
        <f>""</f>
        <v/>
      </c>
      <c r="AB1695" t="s">
        <v>1735</v>
      </c>
      <c r="AC1695" t="s">
        <v>4691</v>
      </c>
      <c r="AD1695" t="s">
        <v>114</v>
      </c>
      <c r="AE1695" s="63">
        <v>45293</v>
      </c>
      <c r="AF1695" t="s">
        <v>156</v>
      </c>
      <c r="AG1695" t="s">
        <v>112</v>
      </c>
      <c r="AH1695" t="s">
        <v>112</v>
      </c>
      <c r="AI1695" s="63">
        <v>37825</v>
      </c>
      <c r="AJ1695" s="63">
        <v>45657</v>
      </c>
      <c r="AK1695" t="s">
        <v>111</v>
      </c>
      <c r="AL1695" t="s">
        <v>111</v>
      </c>
      <c r="AM1695" t="s">
        <v>111</v>
      </c>
      <c r="AN1695">
        <v>5131</v>
      </c>
      <c r="AO1695" t="s">
        <v>110</v>
      </c>
      <c r="AP1695" t="s">
        <v>109</v>
      </c>
    </row>
    <row r="1696" spans="1:42" x14ac:dyDescent="0.25">
      <c r="A1696" s="28" t="str">
        <f>"6240"</f>
        <v>6240</v>
      </c>
      <c r="B1696">
        <v>6240</v>
      </c>
      <c r="C1696" t="s">
        <v>2488</v>
      </c>
      <c r="D1696" t="s">
        <v>121</v>
      </c>
      <c r="E1696" t="s">
        <v>584</v>
      </c>
      <c r="F1696" t="s">
        <v>139</v>
      </c>
      <c r="G1696" t="s">
        <v>1654</v>
      </c>
      <c r="I1696" t="s">
        <v>399</v>
      </c>
      <c r="J1696" t="s">
        <v>126</v>
      </c>
      <c r="K1696" s="63">
        <v>23191</v>
      </c>
      <c r="L1696" s="28">
        <f>DATEDIF(K1696,Zwift25!G$1,"Y")</f>
        <v>61</v>
      </c>
      <c r="M1696" s="67">
        <f>IF(J1696="m",VLOOKUP(L1696,'All Solo Adjustments'!A:D,4,FALSE),VLOOKUP(L1696,'All Solo Adjustments'!A:J,10,FALSE))</f>
        <v>7.2337962962962963E-3</v>
      </c>
      <c r="N1696" s="63"/>
      <c r="O1696" s="63"/>
      <c r="P1696" s="63"/>
      <c r="Q1696" s="63"/>
      <c r="R1696" t="s">
        <v>527</v>
      </c>
      <c r="S1696" t="s">
        <v>526</v>
      </c>
      <c r="T1696" t="s">
        <v>292</v>
      </c>
      <c r="U1696" t="s">
        <v>4690</v>
      </c>
      <c r="V1696" t="s">
        <v>1136</v>
      </c>
      <c r="Y1696" t="s">
        <v>4689</v>
      </c>
      <c r="Z1696" t="str">
        <f>"07553 636665"</f>
        <v>07553 636665</v>
      </c>
      <c r="AA1696" t="str">
        <f>""</f>
        <v/>
      </c>
      <c r="AB1696" t="s">
        <v>1297</v>
      </c>
      <c r="AC1696" t="s">
        <v>4688</v>
      </c>
      <c r="AD1696" t="s">
        <v>114</v>
      </c>
      <c r="AE1696" s="63">
        <v>45303</v>
      </c>
      <c r="AF1696" t="s">
        <v>113</v>
      </c>
      <c r="AG1696" t="s">
        <v>112</v>
      </c>
      <c r="AH1696" t="s">
        <v>112</v>
      </c>
      <c r="AI1696" s="63">
        <v>38718</v>
      </c>
      <c r="AJ1696" s="63">
        <v>45657</v>
      </c>
      <c r="AK1696" t="s">
        <v>111</v>
      </c>
      <c r="AL1696" t="s">
        <v>111</v>
      </c>
      <c r="AM1696" t="s">
        <v>111</v>
      </c>
      <c r="AN1696">
        <v>6845</v>
      </c>
      <c r="AO1696" t="s">
        <v>122</v>
      </c>
      <c r="AP1696" t="s">
        <v>122</v>
      </c>
    </row>
    <row r="1697" spans="1:42" x14ac:dyDescent="0.25">
      <c r="A1697" s="28" t="str">
        <f>"15764"</f>
        <v>15764</v>
      </c>
      <c r="B1697">
        <v>15764</v>
      </c>
      <c r="C1697" t="s">
        <v>2488</v>
      </c>
      <c r="D1697" t="s">
        <v>121</v>
      </c>
      <c r="F1697" t="s">
        <v>120</v>
      </c>
      <c r="G1697" t="s">
        <v>300</v>
      </c>
      <c r="H1697" t="s">
        <v>995</v>
      </c>
      <c r="I1697" t="s">
        <v>1398</v>
      </c>
      <c r="J1697" t="s">
        <v>7</v>
      </c>
      <c r="K1697" s="63">
        <v>24712</v>
      </c>
      <c r="L1697" s="28">
        <f>DATEDIF(K1697,Zwift25!G$1,"Y")</f>
        <v>57</v>
      </c>
      <c r="M1697" s="67">
        <f>IF(J1697="m",VLOOKUP(L1697,'All Solo Adjustments'!A:D,4,FALSE),VLOOKUP(L1697,'All Solo Adjustments'!A:J,10,FALSE))</f>
        <v>2.488425925925926E-3</v>
      </c>
      <c r="N1697" s="63"/>
      <c r="O1697" s="63"/>
      <c r="P1697" s="63"/>
      <c r="Q1697" s="63"/>
      <c r="R1697" t="s">
        <v>180</v>
      </c>
      <c r="S1697" t="s">
        <v>179</v>
      </c>
      <c r="T1697" t="s">
        <v>292</v>
      </c>
      <c r="U1697" t="s">
        <v>4687</v>
      </c>
      <c r="V1697" t="s">
        <v>4686</v>
      </c>
      <c r="W1697" t="s">
        <v>1999</v>
      </c>
      <c r="X1697" t="s">
        <v>4685</v>
      </c>
      <c r="Y1697" t="s">
        <v>4684</v>
      </c>
      <c r="Z1697" t="str">
        <f>"01205750143"</f>
        <v>01205750143</v>
      </c>
      <c r="AA1697" t="str">
        <f>""</f>
        <v/>
      </c>
      <c r="AB1697" t="s">
        <v>4683</v>
      </c>
      <c r="AC1697" t="s">
        <v>4682</v>
      </c>
      <c r="AD1697" t="s">
        <v>114</v>
      </c>
      <c r="AE1697" s="63">
        <v>45281</v>
      </c>
      <c r="AF1697" t="s">
        <v>156</v>
      </c>
      <c r="AG1697" t="s">
        <v>112</v>
      </c>
      <c r="AH1697" t="s">
        <v>112</v>
      </c>
      <c r="AI1697" s="63">
        <v>45021</v>
      </c>
      <c r="AJ1697" s="63">
        <v>45657</v>
      </c>
      <c r="AK1697" t="s">
        <v>112</v>
      </c>
      <c r="AL1697" t="s">
        <v>111</v>
      </c>
      <c r="AM1697" t="s">
        <v>111</v>
      </c>
      <c r="AN1697">
        <v>7470</v>
      </c>
      <c r="AO1697" t="s">
        <v>110</v>
      </c>
      <c r="AP1697" t="s">
        <v>109</v>
      </c>
    </row>
    <row r="1698" spans="1:42" x14ac:dyDescent="0.25">
      <c r="A1698" s="28" t="str">
        <f>"16097"</f>
        <v>16097</v>
      </c>
      <c r="B1698">
        <v>16097</v>
      </c>
      <c r="C1698" t="s">
        <v>2488</v>
      </c>
      <c r="D1698" t="s">
        <v>121</v>
      </c>
      <c r="F1698" t="s">
        <v>120</v>
      </c>
      <c r="G1698" t="s">
        <v>389</v>
      </c>
      <c r="I1698" t="s">
        <v>399</v>
      </c>
      <c r="J1698" t="s">
        <v>7</v>
      </c>
      <c r="K1698" s="63">
        <v>28648</v>
      </c>
      <c r="L1698" s="28">
        <f>DATEDIF(K1698,Zwift25!G$1,"Y")</f>
        <v>46</v>
      </c>
      <c r="M1698" s="67">
        <f>IF(J1698="m",VLOOKUP(L1698,'All Solo Adjustments'!A:D,4,FALSE),VLOOKUP(L1698,'All Solo Adjustments'!A:J,10,FALSE))</f>
        <v>5.6712962962962956E-4</v>
      </c>
      <c r="N1698" s="63"/>
      <c r="O1698" s="63"/>
      <c r="P1698" s="63"/>
      <c r="Q1698" s="63"/>
      <c r="R1698" t="s">
        <v>296</v>
      </c>
      <c r="S1698" t="s">
        <v>295</v>
      </c>
      <c r="T1698" t="s">
        <v>292</v>
      </c>
      <c r="U1698" t="s">
        <v>4681</v>
      </c>
      <c r="V1698" t="s">
        <v>4680</v>
      </c>
      <c r="W1698" t="s">
        <v>4679</v>
      </c>
      <c r="X1698" t="s">
        <v>1647</v>
      </c>
      <c r="Y1698" t="s">
        <v>4678</v>
      </c>
      <c r="Z1698" t="str">
        <f>"07808957581"</f>
        <v>07808957581</v>
      </c>
      <c r="AA1698" t="str">
        <f>""</f>
        <v/>
      </c>
      <c r="AB1698" t="s">
        <v>4677</v>
      </c>
      <c r="AC1698" t="s">
        <v>4676</v>
      </c>
      <c r="AD1698" t="s">
        <v>114</v>
      </c>
      <c r="AE1698" s="63">
        <v>45394</v>
      </c>
      <c r="AF1698" t="s">
        <v>113</v>
      </c>
      <c r="AG1698" t="s">
        <v>112</v>
      </c>
      <c r="AH1698" t="s">
        <v>112</v>
      </c>
      <c r="AI1698" s="63">
        <v>45394</v>
      </c>
      <c r="AJ1698" s="63">
        <v>45657</v>
      </c>
      <c r="AK1698" t="s">
        <v>112</v>
      </c>
      <c r="AL1698" t="s">
        <v>111</v>
      </c>
      <c r="AM1698" t="s">
        <v>111</v>
      </c>
      <c r="AN1698">
        <v>8732</v>
      </c>
      <c r="AO1698" t="s">
        <v>110</v>
      </c>
      <c r="AP1698" t="s">
        <v>109</v>
      </c>
    </row>
    <row r="1699" spans="1:42" x14ac:dyDescent="0.25">
      <c r="A1699" s="28" t="str">
        <f>"15786"</f>
        <v>15786</v>
      </c>
      <c r="B1699">
        <v>15786</v>
      </c>
      <c r="C1699" t="s">
        <v>2488</v>
      </c>
      <c r="D1699" t="s">
        <v>121</v>
      </c>
      <c r="E1699" t="s">
        <v>584</v>
      </c>
      <c r="F1699" t="s">
        <v>120</v>
      </c>
      <c r="G1699" t="s">
        <v>449</v>
      </c>
      <c r="H1699" t="s">
        <v>536</v>
      </c>
      <c r="I1699" t="s">
        <v>4675</v>
      </c>
      <c r="J1699" t="s">
        <v>7</v>
      </c>
      <c r="K1699" s="63">
        <v>21267</v>
      </c>
      <c r="L1699" s="28">
        <f>DATEDIF(K1699,Zwift25!G$1,"Y")</f>
        <v>66</v>
      </c>
      <c r="M1699" s="67">
        <f>IF(J1699="m",VLOOKUP(L1699,'All Solo Adjustments'!A:D,4,FALSE),VLOOKUP(L1699,'All Solo Adjustments'!A:J,10,FALSE))</f>
        <v>4.9421296296296297E-3</v>
      </c>
      <c r="N1699" s="63"/>
      <c r="O1699" s="63"/>
      <c r="P1699" s="63"/>
      <c r="Q1699" s="63"/>
      <c r="R1699" t="s">
        <v>143</v>
      </c>
      <c r="S1699" t="s">
        <v>142</v>
      </c>
      <c r="T1699" t="s">
        <v>292</v>
      </c>
      <c r="U1699" t="s">
        <v>4674</v>
      </c>
      <c r="V1699" t="s">
        <v>4673</v>
      </c>
      <c r="W1699" t="s">
        <v>882</v>
      </c>
      <c r="X1699" t="s">
        <v>141</v>
      </c>
      <c r="Y1699" t="s">
        <v>4672</v>
      </c>
      <c r="Z1699" t="str">
        <f>"07802472174"</f>
        <v>07802472174</v>
      </c>
      <c r="AA1699" t="str">
        <f>""</f>
        <v/>
      </c>
      <c r="AB1699" t="s">
        <v>4671</v>
      </c>
      <c r="AC1699" t="s">
        <v>4670</v>
      </c>
      <c r="AD1699" t="s">
        <v>114</v>
      </c>
      <c r="AE1699" s="63">
        <v>45293</v>
      </c>
      <c r="AF1699" t="s">
        <v>156</v>
      </c>
      <c r="AG1699" t="s">
        <v>112</v>
      </c>
      <c r="AH1699" t="s">
        <v>112</v>
      </c>
      <c r="AI1699" s="63">
        <v>45034</v>
      </c>
      <c r="AJ1699" s="63">
        <v>45657</v>
      </c>
      <c r="AK1699" t="s">
        <v>112</v>
      </c>
      <c r="AL1699" t="s">
        <v>111</v>
      </c>
      <c r="AM1699" t="s">
        <v>111</v>
      </c>
      <c r="AN1699">
        <v>42603</v>
      </c>
      <c r="AO1699" t="s">
        <v>110</v>
      </c>
      <c r="AP1699" t="s">
        <v>109</v>
      </c>
    </row>
    <row r="1700" spans="1:42" x14ac:dyDescent="0.25">
      <c r="A1700" s="28" t="str">
        <f>"16203"</f>
        <v>16203</v>
      </c>
      <c r="B1700">
        <v>16203</v>
      </c>
      <c r="C1700" t="s">
        <v>2488</v>
      </c>
      <c r="D1700" t="s">
        <v>121</v>
      </c>
      <c r="F1700" t="s">
        <v>120</v>
      </c>
      <c r="G1700" t="s">
        <v>1344</v>
      </c>
      <c r="I1700" t="s">
        <v>4669</v>
      </c>
      <c r="J1700" t="s">
        <v>7</v>
      </c>
      <c r="K1700" s="63">
        <v>22790</v>
      </c>
      <c r="L1700" s="28">
        <f>DATEDIF(K1700,Zwift25!G$1,"Y")</f>
        <v>62</v>
      </c>
      <c r="M1700" s="67">
        <f>IF(J1700="m",VLOOKUP(L1700,'All Solo Adjustments'!A:D,4,FALSE),VLOOKUP(L1700,'All Solo Adjustments'!A:J,10,FALSE))</f>
        <v>3.7384259259259259E-3</v>
      </c>
      <c r="N1700" s="63"/>
      <c r="O1700" s="63"/>
      <c r="P1700" s="63"/>
      <c r="Q1700" s="63"/>
      <c r="R1700" t="s">
        <v>184</v>
      </c>
      <c r="S1700" t="s">
        <v>183</v>
      </c>
      <c r="T1700" t="s">
        <v>292</v>
      </c>
      <c r="U1700">
        <v>41</v>
      </c>
      <c r="V1700" t="s">
        <v>4668</v>
      </c>
      <c r="W1700" t="s">
        <v>4667</v>
      </c>
      <c r="X1700" t="s">
        <v>271</v>
      </c>
      <c r="Y1700" t="s">
        <v>4666</v>
      </c>
      <c r="Z1700" t="str">
        <f>"07889 910987"</f>
        <v>07889 910987</v>
      </c>
      <c r="AA1700" t="str">
        <f>""</f>
        <v/>
      </c>
      <c r="AB1700" t="s">
        <v>4665</v>
      </c>
      <c r="AC1700" t="s">
        <v>4664</v>
      </c>
      <c r="AD1700" t="s">
        <v>114</v>
      </c>
      <c r="AE1700" s="63">
        <v>45523</v>
      </c>
      <c r="AF1700" t="s">
        <v>156</v>
      </c>
      <c r="AG1700" t="s">
        <v>112</v>
      </c>
      <c r="AH1700" t="s">
        <v>112</v>
      </c>
      <c r="AI1700" s="63">
        <v>45523</v>
      </c>
      <c r="AJ1700" s="63">
        <v>45657</v>
      </c>
      <c r="AK1700" t="s">
        <v>112</v>
      </c>
      <c r="AL1700" t="s">
        <v>111</v>
      </c>
      <c r="AM1700" t="s">
        <v>111</v>
      </c>
      <c r="AN1700">
        <v>40760</v>
      </c>
      <c r="AO1700" t="s">
        <v>110</v>
      </c>
      <c r="AP1700" t="s">
        <v>109</v>
      </c>
    </row>
    <row r="1701" spans="1:42" x14ac:dyDescent="0.25">
      <c r="A1701" s="28" t="str">
        <f>"2130"</f>
        <v>2130</v>
      </c>
      <c r="B1701">
        <v>2130</v>
      </c>
      <c r="C1701" t="s">
        <v>2488</v>
      </c>
      <c r="D1701" t="s">
        <v>121</v>
      </c>
      <c r="F1701" t="s">
        <v>120</v>
      </c>
      <c r="G1701" t="s">
        <v>359</v>
      </c>
      <c r="I1701" t="s">
        <v>4663</v>
      </c>
      <c r="J1701" t="s">
        <v>7</v>
      </c>
      <c r="K1701" s="63">
        <v>14666</v>
      </c>
      <c r="L1701" s="28">
        <f>DATEDIF(K1701,Zwift25!G$1,"Y")</f>
        <v>84</v>
      </c>
      <c r="M1701" s="67">
        <f>IF(J1701="m",VLOOKUP(L1701,'All Solo Adjustments'!A:D,4,FALSE),VLOOKUP(L1701,'All Solo Adjustments'!A:J,10,FALSE))</f>
        <v>1.3530092592592592E-2</v>
      </c>
      <c r="N1701" s="63"/>
      <c r="O1701" s="63"/>
      <c r="P1701" s="63"/>
      <c r="Q1701" s="63"/>
      <c r="R1701" t="s">
        <v>328</v>
      </c>
      <c r="S1701" t="s">
        <v>2290</v>
      </c>
      <c r="T1701" t="s">
        <v>292</v>
      </c>
      <c r="U1701" t="s">
        <v>4662</v>
      </c>
      <c r="V1701" t="s">
        <v>1391</v>
      </c>
      <c r="W1701" t="s">
        <v>325</v>
      </c>
      <c r="Y1701" t="s">
        <v>4661</v>
      </c>
      <c r="Z1701" t="str">
        <f>"01254 674741"</f>
        <v>01254 674741</v>
      </c>
      <c r="AA1701" t="str">
        <f>""</f>
        <v/>
      </c>
      <c r="AB1701" t="s">
        <v>4660</v>
      </c>
      <c r="AC1701" t="s">
        <v>4659</v>
      </c>
      <c r="AD1701" t="s">
        <v>145</v>
      </c>
      <c r="AF1701" t="s">
        <v>156</v>
      </c>
      <c r="AG1701" t="s">
        <v>112</v>
      </c>
      <c r="AH1701" t="s">
        <v>112</v>
      </c>
      <c r="AI1701" s="63">
        <v>39930</v>
      </c>
      <c r="AK1701" t="s">
        <v>111</v>
      </c>
      <c r="AL1701" t="s">
        <v>111</v>
      </c>
      <c r="AM1701" t="s">
        <v>111</v>
      </c>
      <c r="AN1701" t="s">
        <v>105</v>
      </c>
      <c r="AO1701" t="s">
        <v>110</v>
      </c>
      <c r="AP1701" t="s">
        <v>109</v>
      </c>
    </row>
    <row r="1702" spans="1:42" x14ac:dyDescent="0.25">
      <c r="A1702" s="28" t="str">
        <f>"15907"</f>
        <v>15907</v>
      </c>
      <c r="B1702">
        <v>15907</v>
      </c>
      <c r="C1702" t="s">
        <v>2488</v>
      </c>
      <c r="D1702" t="s">
        <v>121</v>
      </c>
      <c r="F1702" t="s">
        <v>120</v>
      </c>
      <c r="G1702" t="s">
        <v>427</v>
      </c>
      <c r="I1702" t="s">
        <v>4658</v>
      </c>
      <c r="J1702" t="s">
        <v>7</v>
      </c>
      <c r="K1702" s="63">
        <v>23071</v>
      </c>
      <c r="L1702" s="28">
        <f>DATEDIF(K1702,Zwift25!G$1,"Y")</f>
        <v>61</v>
      </c>
      <c r="M1702" s="67">
        <f>IF(J1702="m",VLOOKUP(L1702,'All Solo Adjustments'!A:D,4,FALSE),VLOOKUP(L1702,'All Solo Adjustments'!A:J,10,FALSE))</f>
        <v>3.4722222222222225E-3</v>
      </c>
      <c r="N1702" s="63"/>
      <c r="O1702" s="63"/>
      <c r="P1702" s="63"/>
      <c r="Q1702" s="63"/>
      <c r="R1702" t="s">
        <v>184</v>
      </c>
      <c r="S1702" t="s">
        <v>183</v>
      </c>
      <c r="T1702" t="s">
        <v>292</v>
      </c>
      <c r="U1702" t="s">
        <v>4657</v>
      </c>
      <c r="W1702" t="s">
        <v>1877</v>
      </c>
      <c r="X1702" t="s">
        <v>337</v>
      </c>
      <c r="Y1702" t="s">
        <v>4656</v>
      </c>
      <c r="Z1702" t="str">
        <f>"07787333121"</f>
        <v>07787333121</v>
      </c>
      <c r="AA1702" t="str">
        <f>""</f>
        <v/>
      </c>
      <c r="AB1702" t="s">
        <v>4655</v>
      </c>
      <c r="AC1702" t="s">
        <v>4654</v>
      </c>
      <c r="AD1702" t="s">
        <v>145</v>
      </c>
      <c r="AE1702" s="63">
        <v>45521</v>
      </c>
      <c r="AF1702" t="s">
        <v>156</v>
      </c>
      <c r="AG1702" t="s">
        <v>112</v>
      </c>
      <c r="AH1702" t="s">
        <v>112</v>
      </c>
      <c r="AI1702" s="63">
        <v>45518</v>
      </c>
      <c r="AJ1702" s="63">
        <v>45657</v>
      </c>
      <c r="AK1702" t="s">
        <v>112</v>
      </c>
      <c r="AL1702" t="s">
        <v>111</v>
      </c>
      <c r="AM1702" t="s">
        <v>111</v>
      </c>
      <c r="AN1702">
        <v>12291</v>
      </c>
      <c r="AO1702" t="s">
        <v>110</v>
      </c>
      <c r="AP1702" t="s">
        <v>109</v>
      </c>
    </row>
    <row r="1703" spans="1:42" x14ac:dyDescent="0.25">
      <c r="A1703" s="28" t="str">
        <f>"3214"</f>
        <v>3214</v>
      </c>
      <c r="B1703">
        <v>3214</v>
      </c>
      <c r="C1703" t="s">
        <v>2488</v>
      </c>
      <c r="D1703" t="s">
        <v>132</v>
      </c>
      <c r="E1703" t="s">
        <v>584</v>
      </c>
      <c r="F1703" t="s">
        <v>120</v>
      </c>
      <c r="G1703" t="s">
        <v>1342</v>
      </c>
      <c r="H1703" t="s">
        <v>1252</v>
      </c>
      <c r="I1703" t="s">
        <v>4652</v>
      </c>
      <c r="J1703" t="s">
        <v>7</v>
      </c>
      <c r="K1703" s="63">
        <v>24713</v>
      </c>
      <c r="L1703" s="28">
        <f>DATEDIF(K1703,Zwift25!G$1,"Y")</f>
        <v>57</v>
      </c>
      <c r="M1703" s="67">
        <f>IF(J1703="m",VLOOKUP(L1703,'All Solo Adjustments'!A:D,4,FALSE),VLOOKUP(L1703,'All Solo Adjustments'!A:J,10,FALSE))</f>
        <v>2.488425925925926E-3</v>
      </c>
      <c r="N1703" s="63"/>
      <c r="O1703" s="63"/>
      <c r="P1703" s="63"/>
      <c r="Q1703" s="63"/>
      <c r="R1703" t="s">
        <v>283</v>
      </c>
      <c r="S1703" t="s">
        <v>282</v>
      </c>
      <c r="T1703" t="s">
        <v>292</v>
      </c>
      <c r="U1703" t="s">
        <v>4651</v>
      </c>
      <c r="V1703" t="s">
        <v>1733</v>
      </c>
      <c r="W1703" t="s">
        <v>1128</v>
      </c>
      <c r="X1703" t="s">
        <v>495</v>
      </c>
      <c r="Y1703" t="s">
        <v>4650</v>
      </c>
      <c r="Z1703" t="str">
        <f>"07955032010"</f>
        <v>07955032010</v>
      </c>
      <c r="AA1703" t="str">
        <f>"07743671988"</f>
        <v>07743671988</v>
      </c>
      <c r="AB1703" t="s">
        <v>2687</v>
      </c>
      <c r="AC1703" t="s">
        <v>4653</v>
      </c>
      <c r="AD1703" t="s">
        <v>114</v>
      </c>
      <c r="AE1703" s="63">
        <v>45288</v>
      </c>
      <c r="AF1703" t="s">
        <v>156</v>
      </c>
      <c r="AG1703" t="s">
        <v>112</v>
      </c>
      <c r="AH1703" t="s">
        <v>112</v>
      </c>
      <c r="AI1703" s="63">
        <v>39512</v>
      </c>
      <c r="AJ1703" s="63">
        <v>45657</v>
      </c>
      <c r="AK1703" t="s">
        <v>111</v>
      </c>
      <c r="AL1703" t="s">
        <v>111</v>
      </c>
      <c r="AM1703" t="s">
        <v>111</v>
      </c>
      <c r="AN1703">
        <v>1119</v>
      </c>
      <c r="AO1703" t="s">
        <v>110</v>
      </c>
      <c r="AP1703" t="s">
        <v>109</v>
      </c>
    </row>
    <row r="1704" spans="1:42" x14ac:dyDescent="0.25">
      <c r="A1704" s="28" t="str">
        <f>"10109"</f>
        <v>10109</v>
      </c>
      <c r="B1704">
        <v>10109</v>
      </c>
      <c r="C1704" t="s">
        <v>2488</v>
      </c>
      <c r="D1704" t="s">
        <v>130</v>
      </c>
      <c r="E1704" t="s">
        <v>584</v>
      </c>
      <c r="F1704" t="s">
        <v>149</v>
      </c>
      <c r="G1704" t="s">
        <v>1475</v>
      </c>
      <c r="I1704" t="s">
        <v>4652</v>
      </c>
      <c r="J1704" t="s">
        <v>126</v>
      </c>
      <c r="K1704" s="63">
        <v>24184</v>
      </c>
      <c r="L1704" s="28">
        <f>DATEDIF(K1704,Zwift25!G$1,"Y")</f>
        <v>58</v>
      </c>
      <c r="M1704" s="67">
        <f>IF(J1704="m",VLOOKUP(L1704,'All Solo Adjustments'!A:D,4,FALSE),VLOOKUP(L1704,'All Solo Adjustments'!A:J,10,FALSE))</f>
        <v>6.3194444444444444E-3</v>
      </c>
      <c r="N1704" s="63"/>
      <c r="O1704" s="63"/>
      <c r="P1704" s="63"/>
      <c r="Q1704" s="63"/>
      <c r="R1704" t="s">
        <v>283</v>
      </c>
      <c r="S1704" t="s">
        <v>282</v>
      </c>
      <c r="T1704" t="s">
        <v>292</v>
      </c>
      <c r="U1704" t="s">
        <v>4651</v>
      </c>
      <c r="V1704" t="s">
        <v>1733</v>
      </c>
      <c r="W1704" t="s">
        <v>1128</v>
      </c>
      <c r="X1704" t="s">
        <v>495</v>
      </c>
      <c r="Y1704" t="s">
        <v>4650</v>
      </c>
      <c r="Z1704" t="str">
        <f>"07955032010"</f>
        <v>07955032010</v>
      </c>
      <c r="AA1704" t="str">
        <f>"07743671988"</f>
        <v>07743671988</v>
      </c>
      <c r="AB1704" t="s">
        <v>2687</v>
      </c>
      <c r="AC1704" t="s">
        <v>4649</v>
      </c>
      <c r="AD1704" t="s">
        <v>114</v>
      </c>
      <c r="AE1704" s="63">
        <v>45288</v>
      </c>
      <c r="AF1704" t="s">
        <v>156</v>
      </c>
      <c r="AG1704" t="s">
        <v>112</v>
      </c>
      <c r="AH1704" t="s">
        <v>112</v>
      </c>
      <c r="AI1704" s="63">
        <v>39512</v>
      </c>
      <c r="AJ1704" s="63">
        <v>45657</v>
      </c>
      <c r="AK1704" t="s">
        <v>111</v>
      </c>
      <c r="AL1704" t="s">
        <v>111</v>
      </c>
      <c r="AM1704" t="s">
        <v>111</v>
      </c>
      <c r="AN1704">
        <v>1457</v>
      </c>
      <c r="AO1704" t="s">
        <v>122</v>
      </c>
      <c r="AP1704" t="s">
        <v>122</v>
      </c>
    </row>
    <row r="1705" spans="1:42" x14ac:dyDescent="0.25">
      <c r="A1705" s="28" t="str">
        <f>"2134"</f>
        <v>2134</v>
      </c>
      <c r="B1705">
        <v>2134</v>
      </c>
      <c r="C1705" t="s">
        <v>2488</v>
      </c>
      <c r="D1705" t="s">
        <v>121</v>
      </c>
      <c r="F1705" t="s">
        <v>120</v>
      </c>
      <c r="G1705" t="s">
        <v>220</v>
      </c>
      <c r="I1705" t="s">
        <v>1387</v>
      </c>
      <c r="J1705" t="s">
        <v>7</v>
      </c>
      <c r="K1705" s="63">
        <v>17351</v>
      </c>
      <c r="L1705" s="28">
        <f>DATEDIF(K1705,Zwift25!G$1,"Y")</f>
        <v>77</v>
      </c>
      <c r="M1705" s="67">
        <f>IF(J1705="m",VLOOKUP(L1705,'All Solo Adjustments'!A:D,4,FALSE),VLOOKUP(L1705,'All Solo Adjustments'!A:J,10,FALSE))</f>
        <v>9.3981481481481485E-3</v>
      </c>
      <c r="N1705" s="63"/>
      <c r="O1705" s="63"/>
      <c r="P1705" s="63"/>
      <c r="Q1705" s="63"/>
      <c r="R1705" t="s">
        <v>125</v>
      </c>
      <c r="S1705" t="s">
        <v>170</v>
      </c>
      <c r="T1705" t="s">
        <v>292</v>
      </c>
      <c r="U1705" t="s">
        <v>4648</v>
      </c>
      <c r="V1705" t="s">
        <v>2197</v>
      </c>
      <c r="W1705" t="s">
        <v>1544</v>
      </c>
      <c r="X1705" t="s">
        <v>1531</v>
      </c>
      <c r="Y1705" t="s">
        <v>4647</v>
      </c>
      <c r="Z1705" t="str">
        <f>"01406 359854"</f>
        <v>01406 359854</v>
      </c>
      <c r="AA1705" t="str">
        <f>""</f>
        <v/>
      </c>
      <c r="AB1705" t="s">
        <v>335</v>
      </c>
      <c r="AC1705" t="s">
        <v>4646</v>
      </c>
      <c r="AD1705" t="s">
        <v>114</v>
      </c>
      <c r="AE1705" s="63">
        <v>45263</v>
      </c>
      <c r="AF1705" t="s">
        <v>113</v>
      </c>
      <c r="AG1705" t="s">
        <v>112</v>
      </c>
      <c r="AH1705" t="s">
        <v>112</v>
      </c>
      <c r="AI1705" s="63">
        <v>36951</v>
      </c>
      <c r="AJ1705" s="63">
        <v>45657</v>
      </c>
      <c r="AK1705" t="s">
        <v>111</v>
      </c>
      <c r="AL1705" t="s">
        <v>111</v>
      </c>
      <c r="AM1705" t="s">
        <v>111</v>
      </c>
      <c r="AN1705">
        <v>6676</v>
      </c>
      <c r="AO1705" t="s">
        <v>110</v>
      </c>
      <c r="AP1705" t="s">
        <v>109</v>
      </c>
    </row>
    <row r="1706" spans="1:42" x14ac:dyDescent="0.25">
      <c r="A1706" s="28" t="str">
        <f>"6278"</f>
        <v>6278</v>
      </c>
      <c r="B1706">
        <v>6278</v>
      </c>
      <c r="C1706" t="s">
        <v>2488</v>
      </c>
      <c r="D1706" t="s">
        <v>121</v>
      </c>
      <c r="E1706" t="s">
        <v>584</v>
      </c>
      <c r="F1706" t="s">
        <v>120</v>
      </c>
      <c r="G1706" t="s">
        <v>392</v>
      </c>
      <c r="I1706" t="s">
        <v>4645</v>
      </c>
      <c r="J1706" t="s">
        <v>7</v>
      </c>
      <c r="K1706" s="63">
        <v>25819</v>
      </c>
      <c r="L1706" s="28">
        <f>DATEDIF(K1706,Zwift25!G$1,"Y")</f>
        <v>54</v>
      </c>
      <c r="M1706" s="67">
        <f>IF(J1706="m",VLOOKUP(L1706,'All Solo Adjustments'!A:D,4,FALSE),VLOOKUP(L1706,'All Solo Adjustments'!A:J,10,FALSE))</f>
        <v>1.8518518518518517E-3</v>
      </c>
      <c r="N1706" s="63"/>
      <c r="O1706" s="63"/>
      <c r="P1706" s="63"/>
      <c r="Q1706" s="63"/>
      <c r="R1706" t="s">
        <v>198</v>
      </c>
      <c r="S1706" t="s">
        <v>461</v>
      </c>
      <c r="T1706" t="s">
        <v>292</v>
      </c>
      <c r="U1706" t="s">
        <v>4644</v>
      </c>
      <c r="V1706" t="s">
        <v>4643</v>
      </c>
      <c r="W1706" t="s">
        <v>1844</v>
      </c>
      <c r="X1706" t="s">
        <v>325</v>
      </c>
      <c r="Y1706" t="s">
        <v>4642</v>
      </c>
      <c r="Z1706" t="str">
        <f>"07973378507"</f>
        <v>07973378507</v>
      </c>
      <c r="AA1706" t="str">
        <f>""</f>
        <v/>
      </c>
      <c r="AB1706" t="s">
        <v>459</v>
      </c>
      <c r="AC1706" t="s">
        <v>4641</v>
      </c>
      <c r="AD1706" t="s">
        <v>114</v>
      </c>
      <c r="AE1706" s="63">
        <v>45293</v>
      </c>
      <c r="AF1706" t="s">
        <v>156</v>
      </c>
      <c r="AG1706" t="s">
        <v>112</v>
      </c>
      <c r="AH1706" t="s">
        <v>112</v>
      </c>
      <c r="AI1706" s="63">
        <v>42856</v>
      </c>
      <c r="AJ1706" s="63">
        <v>45657</v>
      </c>
      <c r="AK1706" t="s">
        <v>111</v>
      </c>
      <c r="AL1706" t="s">
        <v>111</v>
      </c>
      <c r="AM1706" t="s">
        <v>111</v>
      </c>
      <c r="AN1706">
        <v>9355</v>
      </c>
      <c r="AO1706" t="s">
        <v>110</v>
      </c>
      <c r="AP1706" t="s">
        <v>109</v>
      </c>
    </row>
    <row r="1707" spans="1:42" x14ac:dyDescent="0.25">
      <c r="A1707" s="28" t="str">
        <f>"2135"</f>
        <v>2135</v>
      </c>
      <c r="B1707">
        <v>2135</v>
      </c>
      <c r="C1707" t="s">
        <v>2488</v>
      </c>
      <c r="D1707" t="s">
        <v>121</v>
      </c>
      <c r="F1707" t="s">
        <v>120</v>
      </c>
      <c r="G1707" t="s">
        <v>513</v>
      </c>
      <c r="I1707" t="s">
        <v>4640</v>
      </c>
      <c r="J1707" t="s">
        <v>7</v>
      </c>
      <c r="K1707" s="63">
        <v>16198</v>
      </c>
      <c r="L1707" s="28">
        <f>DATEDIF(K1707,Zwift25!G$1,"Y")</f>
        <v>80</v>
      </c>
      <c r="M1707" s="67">
        <f>IF(J1707="m",VLOOKUP(L1707,'All Solo Adjustments'!A:D,4,FALSE),VLOOKUP(L1707,'All Solo Adjustments'!A:J,10,FALSE))</f>
        <v>1.1018518518518518E-2</v>
      </c>
      <c r="N1707" s="63"/>
      <c r="O1707" s="63"/>
      <c r="P1707" s="63"/>
      <c r="Q1707" s="63"/>
      <c r="R1707" t="s">
        <v>239</v>
      </c>
      <c r="S1707" t="s">
        <v>2338</v>
      </c>
      <c r="T1707" t="s">
        <v>292</v>
      </c>
      <c r="U1707" t="s">
        <v>4639</v>
      </c>
      <c r="V1707" t="s">
        <v>1778</v>
      </c>
      <c r="W1707" t="s">
        <v>869</v>
      </c>
      <c r="Y1707" t="s">
        <v>4638</v>
      </c>
      <c r="Z1707" t="str">
        <f>"01423 880479"</f>
        <v>01423 880479</v>
      </c>
      <c r="AA1707" t="str">
        <f>""</f>
        <v/>
      </c>
      <c r="AB1707" t="s">
        <v>868</v>
      </c>
      <c r="AC1707" t="s">
        <v>4637</v>
      </c>
      <c r="AD1707" t="s">
        <v>151</v>
      </c>
      <c r="AF1707" t="s">
        <v>113</v>
      </c>
      <c r="AG1707" t="s">
        <v>112</v>
      </c>
      <c r="AH1707" t="s">
        <v>112</v>
      </c>
      <c r="AI1707" s="63">
        <v>35511</v>
      </c>
      <c r="AK1707" t="s">
        <v>111</v>
      </c>
      <c r="AL1707" t="s">
        <v>111</v>
      </c>
      <c r="AM1707" t="s">
        <v>111</v>
      </c>
      <c r="AN1707" t="s">
        <v>105</v>
      </c>
      <c r="AO1707" t="s">
        <v>110</v>
      </c>
      <c r="AP1707" t="s">
        <v>109</v>
      </c>
    </row>
    <row r="1708" spans="1:42" x14ac:dyDescent="0.25">
      <c r="A1708" s="28" t="str">
        <f>"15930"</f>
        <v>15930</v>
      </c>
      <c r="B1708">
        <v>15930</v>
      </c>
      <c r="C1708" t="s">
        <v>2488</v>
      </c>
      <c r="D1708" t="s">
        <v>121</v>
      </c>
      <c r="F1708" t="s">
        <v>149</v>
      </c>
      <c r="G1708" t="s">
        <v>4636</v>
      </c>
      <c r="I1708" t="s">
        <v>4635</v>
      </c>
      <c r="J1708" t="s">
        <v>126</v>
      </c>
      <c r="K1708" s="63">
        <v>30358</v>
      </c>
      <c r="L1708" s="28">
        <f>DATEDIF(K1708,Zwift25!G$1,"Y")</f>
        <v>41</v>
      </c>
      <c r="M1708" s="67">
        <f>IF(J1708="m",VLOOKUP(L1708,'All Solo Adjustments'!A:D,4,FALSE),VLOOKUP(L1708,'All Solo Adjustments'!A:J,10,FALSE))</f>
        <v>4.456018518518518E-3</v>
      </c>
      <c r="N1708" s="63"/>
      <c r="O1708" s="63"/>
      <c r="P1708" s="63"/>
      <c r="Q1708" s="63"/>
      <c r="R1708" t="s">
        <v>143</v>
      </c>
      <c r="S1708" t="s">
        <v>142</v>
      </c>
      <c r="T1708" t="s">
        <v>292</v>
      </c>
      <c r="U1708" t="s">
        <v>4634</v>
      </c>
      <c r="V1708" t="s">
        <v>4633</v>
      </c>
      <c r="W1708" t="s">
        <v>2132</v>
      </c>
      <c r="Y1708" t="s">
        <v>4632</v>
      </c>
      <c r="Z1708" t="str">
        <f>"07736928106"</f>
        <v>07736928106</v>
      </c>
      <c r="AA1708" t="str">
        <f>""</f>
        <v/>
      </c>
      <c r="AB1708" t="s">
        <v>4631</v>
      </c>
      <c r="AC1708" t="s">
        <v>4630</v>
      </c>
      <c r="AD1708" t="s">
        <v>145</v>
      </c>
      <c r="AE1708" s="63">
        <v>45205</v>
      </c>
      <c r="AF1708" t="s">
        <v>156</v>
      </c>
      <c r="AG1708" t="s">
        <v>112</v>
      </c>
      <c r="AH1708" t="s">
        <v>112</v>
      </c>
      <c r="AI1708" s="63">
        <v>45197</v>
      </c>
      <c r="AJ1708" s="63">
        <v>45657</v>
      </c>
      <c r="AK1708" t="s">
        <v>112</v>
      </c>
      <c r="AL1708" t="s">
        <v>111</v>
      </c>
      <c r="AM1708" t="s">
        <v>111</v>
      </c>
      <c r="AN1708">
        <v>35561</v>
      </c>
      <c r="AO1708" t="s">
        <v>122</v>
      </c>
      <c r="AP1708" t="s">
        <v>122</v>
      </c>
    </row>
    <row r="1709" spans="1:42" x14ac:dyDescent="0.25">
      <c r="A1709" s="28" t="str">
        <f>"4303"</f>
        <v>4303</v>
      </c>
      <c r="B1709">
        <v>4303</v>
      </c>
      <c r="C1709" t="s">
        <v>2488</v>
      </c>
      <c r="D1709" t="s">
        <v>121</v>
      </c>
      <c r="F1709" t="s">
        <v>120</v>
      </c>
      <c r="G1709" t="s">
        <v>185</v>
      </c>
      <c r="I1709" t="s">
        <v>4629</v>
      </c>
      <c r="J1709" t="s">
        <v>7</v>
      </c>
      <c r="K1709" s="63">
        <v>26105</v>
      </c>
      <c r="L1709" s="28">
        <f>DATEDIF(K1709,Zwift25!G$1,"Y")</f>
        <v>53</v>
      </c>
      <c r="M1709" s="67">
        <f>IF(J1709="m",VLOOKUP(L1709,'All Solo Adjustments'!A:D,4,FALSE),VLOOKUP(L1709,'All Solo Adjustments'!A:J,10,FALSE))</f>
        <v>1.6666666666666668E-3</v>
      </c>
      <c r="N1709" s="63"/>
      <c r="O1709" s="63"/>
      <c r="P1709" s="63"/>
      <c r="Q1709" s="63"/>
      <c r="R1709" t="s">
        <v>328</v>
      </c>
      <c r="S1709" t="s">
        <v>327</v>
      </c>
      <c r="T1709" t="s">
        <v>292</v>
      </c>
      <c r="U1709" t="s">
        <v>4628</v>
      </c>
      <c r="V1709" t="s">
        <v>4627</v>
      </c>
      <c r="W1709" t="s">
        <v>1510</v>
      </c>
      <c r="Y1709" t="s">
        <v>4626</v>
      </c>
      <c r="Z1709" t="str">
        <f>"01204 650208"</f>
        <v>01204 650208</v>
      </c>
      <c r="AA1709" t="str">
        <f>""</f>
        <v/>
      </c>
      <c r="AB1709" t="s">
        <v>1613</v>
      </c>
      <c r="AC1709" t="s">
        <v>4625</v>
      </c>
      <c r="AD1709" t="s">
        <v>114</v>
      </c>
      <c r="AE1709" s="63">
        <v>45267</v>
      </c>
      <c r="AF1709" t="s">
        <v>156</v>
      </c>
      <c r="AG1709" t="s">
        <v>112</v>
      </c>
      <c r="AH1709" t="s">
        <v>112</v>
      </c>
      <c r="AI1709" s="63">
        <v>40696</v>
      </c>
      <c r="AJ1709" s="63">
        <v>45657</v>
      </c>
      <c r="AK1709" t="s">
        <v>111</v>
      </c>
      <c r="AL1709" t="s">
        <v>111</v>
      </c>
      <c r="AM1709" t="s">
        <v>111</v>
      </c>
      <c r="AN1709">
        <v>995</v>
      </c>
      <c r="AO1709" t="s">
        <v>110</v>
      </c>
      <c r="AP1709" t="s">
        <v>109</v>
      </c>
    </row>
    <row r="1710" spans="1:42" x14ac:dyDescent="0.25">
      <c r="A1710" s="28" t="str">
        <f>"14454"</f>
        <v>14454</v>
      </c>
      <c r="B1710">
        <v>14454</v>
      </c>
      <c r="C1710" t="s">
        <v>2488</v>
      </c>
      <c r="D1710" t="s">
        <v>121</v>
      </c>
      <c r="F1710" t="s">
        <v>120</v>
      </c>
      <c r="G1710" t="s">
        <v>4624</v>
      </c>
      <c r="I1710" t="s">
        <v>4623</v>
      </c>
      <c r="J1710" t="s">
        <v>7</v>
      </c>
      <c r="K1710" s="63">
        <v>23150</v>
      </c>
      <c r="L1710" s="28">
        <f>DATEDIF(K1710,Zwift25!G$1,"Y")</f>
        <v>61</v>
      </c>
      <c r="M1710" s="67">
        <f>IF(J1710="m",VLOOKUP(L1710,'All Solo Adjustments'!A:D,4,FALSE),VLOOKUP(L1710,'All Solo Adjustments'!A:J,10,FALSE))</f>
        <v>3.4722222222222225E-3</v>
      </c>
      <c r="N1710" s="63"/>
      <c r="O1710" s="63"/>
      <c r="P1710" s="63"/>
      <c r="Q1710" s="63"/>
      <c r="R1710" t="s">
        <v>383</v>
      </c>
      <c r="S1710" t="s">
        <v>382</v>
      </c>
      <c r="T1710" t="s">
        <v>292</v>
      </c>
      <c r="U1710" t="s">
        <v>4622</v>
      </c>
      <c r="V1710" t="s">
        <v>4621</v>
      </c>
      <c r="W1710" t="s">
        <v>4620</v>
      </c>
      <c r="X1710" t="s">
        <v>1754</v>
      </c>
      <c r="Y1710" t="s">
        <v>4619</v>
      </c>
      <c r="Z1710" t="str">
        <f>"07970415685"</f>
        <v>07970415685</v>
      </c>
      <c r="AA1710" t="str">
        <f>"07950434390"</f>
        <v>07950434390</v>
      </c>
      <c r="AB1710" t="s">
        <v>4618</v>
      </c>
      <c r="AC1710" t="s">
        <v>4617</v>
      </c>
      <c r="AD1710" t="s">
        <v>114</v>
      </c>
      <c r="AE1710" s="63">
        <v>45292</v>
      </c>
      <c r="AF1710" t="s">
        <v>156</v>
      </c>
      <c r="AG1710" t="s">
        <v>112</v>
      </c>
      <c r="AH1710" t="s">
        <v>112</v>
      </c>
      <c r="AI1710" s="63">
        <v>43859</v>
      </c>
      <c r="AJ1710" s="63">
        <v>45657</v>
      </c>
      <c r="AK1710" t="s">
        <v>112</v>
      </c>
      <c r="AL1710" t="s">
        <v>111</v>
      </c>
      <c r="AM1710" t="s">
        <v>111</v>
      </c>
      <c r="AN1710">
        <v>33257</v>
      </c>
      <c r="AO1710" t="s">
        <v>110</v>
      </c>
      <c r="AP1710" t="s">
        <v>109</v>
      </c>
    </row>
    <row r="1711" spans="1:42" x14ac:dyDescent="0.25">
      <c r="A1711" s="28" t="str">
        <f>"14029"</f>
        <v>14029</v>
      </c>
      <c r="B1711">
        <v>14029</v>
      </c>
      <c r="C1711" t="s">
        <v>2488</v>
      </c>
      <c r="D1711" t="s">
        <v>121</v>
      </c>
      <c r="F1711" t="s">
        <v>120</v>
      </c>
      <c r="G1711" t="s">
        <v>251</v>
      </c>
      <c r="I1711" t="s">
        <v>4616</v>
      </c>
      <c r="J1711" t="s">
        <v>7</v>
      </c>
      <c r="K1711" s="63">
        <v>23454</v>
      </c>
      <c r="L1711" s="28">
        <f>DATEDIF(K1711,Zwift25!G$1,"Y")</f>
        <v>60</v>
      </c>
      <c r="M1711" s="67">
        <f>IF(J1711="m",VLOOKUP(L1711,'All Solo Adjustments'!A:D,4,FALSE),VLOOKUP(L1711,'All Solo Adjustments'!A:J,10,FALSE))</f>
        <v>3.2060185185185186E-3</v>
      </c>
      <c r="N1711" s="63"/>
      <c r="O1711" s="63"/>
      <c r="P1711" s="63"/>
      <c r="Q1711" s="63"/>
      <c r="R1711" t="s">
        <v>184</v>
      </c>
      <c r="S1711" t="s">
        <v>183</v>
      </c>
      <c r="T1711" t="s">
        <v>292</v>
      </c>
      <c r="U1711" t="s">
        <v>4615</v>
      </c>
      <c r="W1711" t="s">
        <v>924</v>
      </c>
      <c r="X1711" t="s">
        <v>167</v>
      </c>
      <c r="Y1711" t="s">
        <v>4614</v>
      </c>
      <c r="Z1711" t="str">
        <f>"07918147548"</f>
        <v>07918147548</v>
      </c>
      <c r="AA1711" t="str">
        <f>""</f>
        <v/>
      </c>
      <c r="AB1711" t="s">
        <v>1699</v>
      </c>
      <c r="AC1711" t="s">
        <v>4613</v>
      </c>
      <c r="AD1711" t="s">
        <v>114</v>
      </c>
      <c r="AE1711" s="63">
        <v>45262</v>
      </c>
      <c r="AF1711" t="s">
        <v>156</v>
      </c>
      <c r="AG1711" t="s">
        <v>112</v>
      </c>
      <c r="AH1711" t="s">
        <v>112</v>
      </c>
      <c r="AI1711" s="63">
        <v>43637</v>
      </c>
      <c r="AJ1711" s="63">
        <v>45657</v>
      </c>
      <c r="AK1711" t="s">
        <v>112</v>
      </c>
      <c r="AL1711" t="s">
        <v>111</v>
      </c>
      <c r="AM1711" t="s">
        <v>111</v>
      </c>
      <c r="AN1711">
        <v>14488</v>
      </c>
      <c r="AO1711" t="s">
        <v>110</v>
      </c>
      <c r="AP1711" t="s">
        <v>109</v>
      </c>
    </row>
    <row r="1712" spans="1:42" x14ac:dyDescent="0.25">
      <c r="A1712" s="28" t="str">
        <f>"2142"</f>
        <v>2142</v>
      </c>
      <c r="B1712">
        <v>2142</v>
      </c>
      <c r="C1712" t="s">
        <v>2488</v>
      </c>
      <c r="D1712" t="s">
        <v>121</v>
      </c>
      <c r="F1712" t="s">
        <v>120</v>
      </c>
      <c r="G1712" t="s">
        <v>492</v>
      </c>
      <c r="I1712" t="s">
        <v>4612</v>
      </c>
      <c r="J1712" t="s">
        <v>7</v>
      </c>
      <c r="K1712" s="63">
        <v>14517</v>
      </c>
      <c r="L1712" s="28">
        <f>DATEDIF(K1712,Zwift25!G$1,"Y")</f>
        <v>85</v>
      </c>
      <c r="M1712" s="67">
        <f>IF(J1712="m",VLOOKUP(L1712,'All Solo Adjustments'!A:D,4,FALSE),VLOOKUP(L1712,'All Solo Adjustments'!A:J,10,FALSE))</f>
        <v>1.4236111111111111E-2</v>
      </c>
      <c r="N1712" s="63"/>
      <c r="O1712" s="63"/>
      <c r="P1712" s="63"/>
      <c r="Q1712" s="63"/>
      <c r="R1712" t="s">
        <v>137</v>
      </c>
      <c r="S1712" t="s">
        <v>2312</v>
      </c>
      <c r="T1712" t="s">
        <v>292</v>
      </c>
      <c r="U1712" t="s">
        <v>4611</v>
      </c>
      <c r="V1712" t="s">
        <v>1098</v>
      </c>
      <c r="W1712" t="s">
        <v>208</v>
      </c>
      <c r="Y1712" t="s">
        <v>4610</v>
      </c>
      <c r="Z1712" t="str">
        <f>"02380 768295"</f>
        <v>02380 768295</v>
      </c>
      <c r="AA1712" t="str">
        <f>""</f>
        <v/>
      </c>
      <c r="AB1712" t="s">
        <v>996</v>
      </c>
      <c r="AC1712" t="s">
        <v>4609</v>
      </c>
      <c r="AD1712" t="s">
        <v>145</v>
      </c>
      <c r="AF1712" t="s">
        <v>156</v>
      </c>
      <c r="AG1712" t="s">
        <v>112</v>
      </c>
      <c r="AH1712" t="s">
        <v>112</v>
      </c>
      <c r="AI1712" s="63">
        <v>34052</v>
      </c>
      <c r="AK1712" t="s">
        <v>111</v>
      </c>
      <c r="AL1712" t="s">
        <v>111</v>
      </c>
      <c r="AM1712" t="s">
        <v>111</v>
      </c>
      <c r="AN1712">
        <v>2416</v>
      </c>
      <c r="AO1712" t="s">
        <v>110</v>
      </c>
      <c r="AP1712" t="s">
        <v>109</v>
      </c>
    </row>
    <row r="1713" spans="1:42" x14ac:dyDescent="0.25">
      <c r="A1713" s="28" t="str">
        <f>"2148"</f>
        <v>2148</v>
      </c>
      <c r="B1713">
        <v>2148</v>
      </c>
      <c r="C1713" t="s">
        <v>2488</v>
      </c>
      <c r="D1713" t="s">
        <v>121</v>
      </c>
      <c r="F1713" t="s">
        <v>120</v>
      </c>
      <c r="G1713" t="s">
        <v>195</v>
      </c>
      <c r="I1713" t="s">
        <v>388</v>
      </c>
      <c r="J1713" t="s">
        <v>7</v>
      </c>
      <c r="K1713" s="63">
        <v>15690</v>
      </c>
      <c r="L1713" s="28">
        <f>DATEDIF(K1713,Zwift25!G$1,"Y")</f>
        <v>81</v>
      </c>
      <c r="M1713" s="67">
        <f>IF(J1713="m",VLOOKUP(L1713,'All Solo Adjustments'!A:D,4,FALSE),VLOOKUP(L1713,'All Solo Adjustments'!A:J,10,FALSE))</f>
        <v>1.1597222222222222E-2</v>
      </c>
      <c r="N1713" s="63"/>
      <c r="O1713" s="63"/>
      <c r="P1713" s="63"/>
      <c r="Q1713" s="63"/>
      <c r="R1713" t="s">
        <v>328</v>
      </c>
      <c r="S1713" t="s">
        <v>327</v>
      </c>
      <c r="T1713" t="s">
        <v>292</v>
      </c>
      <c r="U1713" t="s">
        <v>4608</v>
      </c>
      <c r="V1713" t="s">
        <v>4607</v>
      </c>
      <c r="W1713" t="s">
        <v>325</v>
      </c>
      <c r="Y1713" t="s">
        <v>4606</v>
      </c>
      <c r="Z1713" t="str">
        <f>"01253 367654"</f>
        <v>01253 367654</v>
      </c>
      <c r="AA1713" t="str">
        <f>""</f>
        <v/>
      </c>
      <c r="AD1713" t="s">
        <v>145</v>
      </c>
      <c r="AE1713" s="63">
        <v>45318</v>
      </c>
      <c r="AF1713" t="s">
        <v>113</v>
      </c>
      <c r="AG1713" t="s">
        <v>112</v>
      </c>
      <c r="AH1713" t="s">
        <v>112</v>
      </c>
      <c r="AI1713" s="63">
        <v>43405</v>
      </c>
      <c r="AJ1713" s="63">
        <v>45657</v>
      </c>
      <c r="AK1713" t="s">
        <v>111</v>
      </c>
      <c r="AL1713" t="s">
        <v>111</v>
      </c>
      <c r="AM1713" t="s">
        <v>111</v>
      </c>
      <c r="AN1713" t="s">
        <v>105</v>
      </c>
      <c r="AO1713" t="s">
        <v>110</v>
      </c>
      <c r="AP1713" t="s">
        <v>109</v>
      </c>
    </row>
    <row r="1714" spans="1:42" x14ac:dyDescent="0.25">
      <c r="A1714" s="28" t="str">
        <f>"14635"</f>
        <v>14635</v>
      </c>
      <c r="B1714">
        <v>14635</v>
      </c>
      <c r="C1714" t="s">
        <v>2488</v>
      </c>
      <c r="D1714" t="s">
        <v>121</v>
      </c>
      <c r="E1714" t="s">
        <v>584</v>
      </c>
      <c r="F1714" t="s">
        <v>120</v>
      </c>
      <c r="G1714" t="s">
        <v>231</v>
      </c>
      <c r="H1714" t="s">
        <v>760</v>
      </c>
      <c r="I1714" t="s">
        <v>388</v>
      </c>
      <c r="J1714" t="s">
        <v>7</v>
      </c>
      <c r="K1714" s="63">
        <v>23108</v>
      </c>
      <c r="L1714" s="28">
        <f>DATEDIF(K1714,Zwift25!G$1,"Y")</f>
        <v>61</v>
      </c>
      <c r="M1714" s="67">
        <f>IF(J1714="m",VLOOKUP(L1714,'All Solo Adjustments'!A:D,4,FALSE),VLOOKUP(L1714,'All Solo Adjustments'!A:J,10,FALSE))</f>
        <v>3.4722222222222225E-3</v>
      </c>
      <c r="N1714" s="63"/>
      <c r="O1714" s="63"/>
      <c r="P1714" s="63"/>
      <c r="Q1714" s="63"/>
      <c r="R1714" t="s">
        <v>125</v>
      </c>
      <c r="S1714" t="s">
        <v>170</v>
      </c>
      <c r="T1714" t="s">
        <v>292</v>
      </c>
      <c r="U1714" t="s">
        <v>4605</v>
      </c>
      <c r="V1714" t="s">
        <v>2542</v>
      </c>
      <c r="W1714" t="s">
        <v>420</v>
      </c>
      <c r="Y1714" t="s">
        <v>2541</v>
      </c>
      <c r="Z1714" t="str">
        <f>"07710246105"</f>
        <v>07710246105</v>
      </c>
      <c r="AA1714" t="str">
        <f>"01778347067"</f>
        <v>01778347067</v>
      </c>
      <c r="AB1714" t="s">
        <v>4604</v>
      </c>
      <c r="AC1714" t="s">
        <v>4603</v>
      </c>
      <c r="AD1714" t="s">
        <v>114</v>
      </c>
      <c r="AE1714" s="63">
        <v>45229</v>
      </c>
      <c r="AF1714" t="s">
        <v>113</v>
      </c>
      <c r="AG1714" t="s">
        <v>112</v>
      </c>
      <c r="AH1714" t="s">
        <v>112</v>
      </c>
      <c r="AI1714" s="63">
        <v>44049</v>
      </c>
      <c r="AJ1714" s="63">
        <v>45657</v>
      </c>
      <c r="AK1714" t="s">
        <v>112</v>
      </c>
      <c r="AL1714" t="s">
        <v>111</v>
      </c>
      <c r="AM1714" t="s">
        <v>111</v>
      </c>
      <c r="AN1714">
        <v>16956</v>
      </c>
      <c r="AO1714" t="s">
        <v>110</v>
      </c>
      <c r="AP1714" t="s">
        <v>109</v>
      </c>
    </row>
    <row r="1715" spans="1:42" x14ac:dyDescent="0.25">
      <c r="A1715" s="28" t="str">
        <f>"15487"</f>
        <v>15487</v>
      </c>
      <c r="B1715">
        <v>15487</v>
      </c>
      <c r="C1715" t="s">
        <v>2488</v>
      </c>
      <c r="D1715" t="s">
        <v>121</v>
      </c>
      <c r="E1715" t="s">
        <v>584</v>
      </c>
      <c r="F1715" t="s">
        <v>120</v>
      </c>
      <c r="G1715" t="s">
        <v>164</v>
      </c>
      <c r="H1715" t="s">
        <v>284</v>
      </c>
      <c r="I1715" t="s">
        <v>388</v>
      </c>
      <c r="J1715" t="s">
        <v>7</v>
      </c>
      <c r="K1715" s="63">
        <v>25046</v>
      </c>
      <c r="L1715" s="28">
        <f>DATEDIF(K1715,Zwift25!G$1,"Y")</f>
        <v>56</v>
      </c>
      <c r="M1715" s="67">
        <f>IF(J1715="m",VLOOKUP(L1715,'All Solo Adjustments'!A:D,4,FALSE),VLOOKUP(L1715,'All Solo Adjustments'!A:J,10,FALSE))</f>
        <v>2.2685185185185182E-3</v>
      </c>
      <c r="N1715" s="63"/>
      <c r="O1715" s="63"/>
      <c r="P1715" s="63"/>
      <c r="Q1715" s="63"/>
      <c r="R1715" t="s">
        <v>198</v>
      </c>
      <c r="S1715" t="s">
        <v>461</v>
      </c>
      <c r="T1715" t="s">
        <v>292</v>
      </c>
      <c r="U1715" t="s">
        <v>4602</v>
      </c>
      <c r="V1715" t="s">
        <v>4589</v>
      </c>
      <c r="W1715" t="s">
        <v>196</v>
      </c>
      <c r="Y1715" t="s">
        <v>4588</v>
      </c>
      <c r="Z1715" t="str">
        <f>"07769711038"</f>
        <v>07769711038</v>
      </c>
      <c r="AA1715" t="str">
        <f>""</f>
        <v/>
      </c>
      <c r="AB1715" t="s">
        <v>514</v>
      </c>
      <c r="AC1715" t="s">
        <v>4601</v>
      </c>
      <c r="AD1715" t="s">
        <v>114</v>
      </c>
      <c r="AE1715" s="63">
        <v>45262</v>
      </c>
      <c r="AF1715" t="s">
        <v>156</v>
      </c>
      <c r="AG1715" t="s">
        <v>112</v>
      </c>
      <c r="AH1715" t="s">
        <v>112</v>
      </c>
      <c r="AI1715" s="63">
        <v>44753</v>
      </c>
      <c r="AJ1715" s="63">
        <v>45657</v>
      </c>
      <c r="AK1715" t="s">
        <v>112</v>
      </c>
      <c r="AL1715" t="s">
        <v>111</v>
      </c>
      <c r="AM1715" t="s">
        <v>111</v>
      </c>
      <c r="AN1715">
        <v>24272</v>
      </c>
      <c r="AO1715" t="s">
        <v>110</v>
      </c>
      <c r="AP1715" t="s">
        <v>109</v>
      </c>
    </row>
    <row r="1716" spans="1:42" x14ac:dyDescent="0.25">
      <c r="A1716" s="28" t="str">
        <f>"15768"</f>
        <v>15768</v>
      </c>
      <c r="B1716">
        <v>15768</v>
      </c>
      <c r="C1716" t="s">
        <v>2488</v>
      </c>
      <c r="D1716" t="s">
        <v>121</v>
      </c>
      <c r="F1716" t="s">
        <v>120</v>
      </c>
      <c r="G1716" t="s">
        <v>820</v>
      </c>
      <c r="I1716" t="s">
        <v>388</v>
      </c>
      <c r="J1716" t="s">
        <v>7</v>
      </c>
      <c r="K1716" s="63">
        <v>29321</v>
      </c>
      <c r="L1716" s="28">
        <f>DATEDIF(K1716,Zwift25!G$1,"Y")</f>
        <v>44</v>
      </c>
      <c r="M1716" s="67">
        <f>IF(J1716="m",VLOOKUP(L1716,'All Solo Adjustments'!A:D,4,FALSE),VLOOKUP(L1716,'All Solo Adjustments'!A:J,10,FALSE))</f>
        <v>3.3564814814814818E-4</v>
      </c>
      <c r="N1716" s="63"/>
      <c r="O1716" s="63"/>
      <c r="P1716" s="63"/>
      <c r="Q1716" s="63"/>
      <c r="R1716" t="s">
        <v>180</v>
      </c>
      <c r="S1716" t="s">
        <v>179</v>
      </c>
      <c r="T1716" t="s">
        <v>292</v>
      </c>
      <c r="U1716" t="s">
        <v>4600</v>
      </c>
      <c r="V1716" t="s">
        <v>1219</v>
      </c>
      <c r="W1716" t="s">
        <v>259</v>
      </c>
      <c r="Y1716" t="s">
        <v>4599</v>
      </c>
      <c r="Z1716" t="str">
        <f>"07789504393"</f>
        <v>07789504393</v>
      </c>
      <c r="AA1716" t="str">
        <f>""</f>
        <v/>
      </c>
      <c r="AB1716" t="s">
        <v>3877</v>
      </c>
      <c r="AC1716" t="s">
        <v>4598</v>
      </c>
      <c r="AD1716" t="s">
        <v>145</v>
      </c>
      <c r="AE1716" s="63">
        <v>45478</v>
      </c>
      <c r="AF1716" t="s">
        <v>156</v>
      </c>
      <c r="AG1716" t="s">
        <v>112</v>
      </c>
      <c r="AH1716" t="s">
        <v>112</v>
      </c>
      <c r="AI1716" s="63">
        <v>45477</v>
      </c>
      <c r="AJ1716" s="63">
        <v>45657</v>
      </c>
      <c r="AK1716" t="s">
        <v>112</v>
      </c>
      <c r="AL1716" t="s">
        <v>111</v>
      </c>
      <c r="AM1716" t="s">
        <v>111</v>
      </c>
      <c r="AN1716">
        <v>2602</v>
      </c>
      <c r="AO1716" t="s">
        <v>110</v>
      </c>
      <c r="AP1716" t="s">
        <v>109</v>
      </c>
    </row>
    <row r="1717" spans="1:42" x14ac:dyDescent="0.25">
      <c r="A1717" s="28" t="str">
        <f>"15781"</f>
        <v>15781</v>
      </c>
      <c r="B1717">
        <v>15781</v>
      </c>
      <c r="C1717" t="s">
        <v>2488</v>
      </c>
      <c r="D1717" t="s">
        <v>121</v>
      </c>
      <c r="E1717" t="s">
        <v>584</v>
      </c>
      <c r="F1717" t="s">
        <v>149</v>
      </c>
      <c r="G1717" t="s">
        <v>4597</v>
      </c>
      <c r="H1717" t="s">
        <v>4596</v>
      </c>
      <c r="I1717" t="s">
        <v>388</v>
      </c>
      <c r="J1717" t="s">
        <v>126</v>
      </c>
      <c r="K1717" s="63">
        <v>20656</v>
      </c>
      <c r="L1717" s="28">
        <f>DATEDIF(K1717,Zwift25!G$1,"Y")</f>
        <v>68</v>
      </c>
      <c r="M1717" s="67">
        <f>IF(J1717="m",VLOOKUP(L1717,'All Solo Adjustments'!A:D,4,FALSE),VLOOKUP(L1717,'All Solo Adjustments'!A:J,10,FALSE))</f>
        <v>1.0729166666666668E-2</v>
      </c>
      <c r="N1717" s="63"/>
      <c r="O1717" s="63"/>
      <c r="P1717" s="63"/>
      <c r="Q1717" s="63"/>
      <c r="R1717" t="s">
        <v>180</v>
      </c>
      <c r="S1717" t="s">
        <v>179</v>
      </c>
      <c r="T1717" t="s">
        <v>292</v>
      </c>
      <c r="U1717" t="s">
        <v>4595</v>
      </c>
      <c r="V1717" t="s">
        <v>2154</v>
      </c>
      <c r="W1717" t="s">
        <v>4594</v>
      </c>
      <c r="X1717" t="e">
        <f>-Oxon</f>
        <v>#NAME?</v>
      </c>
      <c r="Y1717" t="s">
        <v>4593</v>
      </c>
      <c r="Z1717" t="str">
        <f>"01295 261748"</f>
        <v>01295 261748</v>
      </c>
      <c r="AA1717" t="str">
        <f>"07752666034"</f>
        <v>07752666034</v>
      </c>
      <c r="AB1717" t="s">
        <v>4592</v>
      </c>
      <c r="AC1717" t="s">
        <v>4591</v>
      </c>
      <c r="AD1717" t="s">
        <v>114</v>
      </c>
      <c r="AE1717" s="63">
        <v>45351</v>
      </c>
      <c r="AF1717" t="s">
        <v>156</v>
      </c>
      <c r="AG1717" t="s">
        <v>112</v>
      </c>
      <c r="AH1717" t="s">
        <v>112</v>
      </c>
      <c r="AI1717" s="63">
        <v>45045</v>
      </c>
      <c r="AJ1717" s="63">
        <v>45657</v>
      </c>
      <c r="AK1717" t="s">
        <v>112</v>
      </c>
      <c r="AL1717" t="s">
        <v>111</v>
      </c>
      <c r="AM1717" t="s">
        <v>111</v>
      </c>
      <c r="AN1717">
        <v>43228</v>
      </c>
      <c r="AO1717" t="s">
        <v>122</v>
      </c>
      <c r="AP1717" t="s">
        <v>122</v>
      </c>
    </row>
    <row r="1718" spans="1:42" x14ac:dyDescent="0.25">
      <c r="A1718" s="28" t="str">
        <f>"16174"</f>
        <v>16174</v>
      </c>
      <c r="B1718">
        <v>16174</v>
      </c>
      <c r="C1718" t="s">
        <v>2488</v>
      </c>
      <c r="D1718" t="s">
        <v>121</v>
      </c>
      <c r="F1718" t="s">
        <v>149</v>
      </c>
      <c r="G1718" t="s">
        <v>1618</v>
      </c>
      <c r="H1718" t="s">
        <v>1092</v>
      </c>
      <c r="I1718" t="s">
        <v>388</v>
      </c>
      <c r="J1718" t="s">
        <v>126</v>
      </c>
      <c r="K1718" s="63">
        <v>27780</v>
      </c>
      <c r="L1718" s="28">
        <f>DATEDIF(K1718,Zwift25!G$1,"Y")</f>
        <v>48</v>
      </c>
      <c r="M1718" s="67">
        <f>IF(J1718="m",VLOOKUP(L1718,'All Solo Adjustments'!A:D,4,FALSE),VLOOKUP(L1718,'All Solo Adjustments'!A:J,10,FALSE))</f>
        <v>4.8032407407407407E-3</v>
      </c>
      <c r="N1718" s="63"/>
      <c r="O1718" s="63"/>
      <c r="P1718" s="63"/>
      <c r="Q1718" s="63"/>
      <c r="R1718" t="s">
        <v>198</v>
      </c>
      <c r="S1718" t="s">
        <v>461</v>
      </c>
      <c r="T1718" t="s">
        <v>292</v>
      </c>
      <c r="U1718" t="s">
        <v>4590</v>
      </c>
      <c r="V1718" t="s">
        <v>4589</v>
      </c>
      <c r="Y1718" t="s">
        <v>4588</v>
      </c>
      <c r="Z1718" t="str">
        <f>"07879441125"</f>
        <v>07879441125</v>
      </c>
      <c r="AA1718" t="str">
        <f>""</f>
        <v/>
      </c>
      <c r="AB1718" t="s">
        <v>514</v>
      </c>
      <c r="AC1718" t="s">
        <v>4587</v>
      </c>
      <c r="AD1718" t="s">
        <v>114</v>
      </c>
      <c r="AE1718" s="63">
        <v>45466</v>
      </c>
      <c r="AF1718" t="s">
        <v>156</v>
      </c>
      <c r="AG1718" t="s">
        <v>112</v>
      </c>
      <c r="AH1718" t="s">
        <v>112</v>
      </c>
      <c r="AI1718" s="63">
        <v>45466</v>
      </c>
      <c r="AJ1718" s="63">
        <v>45657</v>
      </c>
      <c r="AK1718" t="s">
        <v>112</v>
      </c>
      <c r="AL1718" t="s">
        <v>111</v>
      </c>
      <c r="AM1718" t="s">
        <v>111</v>
      </c>
      <c r="AN1718">
        <v>47561</v>
      </c>
      <c r="AO1718" t="s">
        <v>122</v>
      </c>
      <c r="AP1718" t="s">
        <v>122</v>
      </c>
    </row>
    <row r="1719" spans="1:42" x14ac:dyDescent="0.25">
      <c r="A1719" s="28" t="str">
        <f>"2150"</f>
        <v>2150</v>
      </c>
      <c r="B1719">
        <v>2150</v>
      </c>
      <c r="C1719" t="s">
        <v>2488</v>
      </c>
      <c r="D1719" t="s">
        <v>132</v>
      </c>
      <c r="F1719" t="s">
        <v>120</v>
      </c>
      <c r="G1719" t="s">
        <v>442</v>
      </c>
      <c r="I1719" t="s">
        <v>1376</v>
      </c>
      <c r="J1719" t="s">
        <v>7</v>
      </c>
      <c r="K1719" s="63">
        <v>17555</v>
      </c>
      <c r="L1719" s="28">
        <f>DATEDIF(K1719,Zwift25!G$1,"Y")</f>
        <v>76</v>
      </c>
      <c r="M1719" s="67">
        <f>IF(J1719="m",VLOOKUP(L1719,'All Solo Adjustments'!A:D,4,FALSE),VLOOKUP(L1719,'All Solo Adjustments'!A:J,10,FALSE))</f>
        <v>8.912037037037036E-3</v>
      </c>
      <c r="N1719" s="63"/>
      <c r="O1719" s="63"/>
      <c r="P1719" s="63"/>
      <c r="Q1719" s="63"/>
      <c r="R1719" t="s">
        <v>328</v>
      </c>
      <c r="S1719" t="s">
        <v>327</v>
      </c>
      <c r="T1719" t="s">
        <v>292</v>
      </c>
      <c r="U1719" t="s">
        <v>4586</v>
      </c>
      <c r="V1719" t="s">
        <v>708</v>
      </c>
      <c r="W1719" t="s">
        <v>325</v>
      </c>
      <c r="Y1719" t="s">
        <v>4585</v>
      </c>
      <c r="Z1719" t="str">
        <f>"01257 265680"</f>
        <v>01257 265680</v>
      </c>
      <c r="AA1719" t="str">
        <f>"07955791174"</f>
        <v>07955791174</v>
      </c>
      <c r="AB1719" t="s">
        <v>1146</v>
      </c>
      <c r="AC1719" t="s">
        <v>4584</v>
      </c>
      <c r="AD1719" t="s">
        <v>145</v>
      </c>
      <c r="AE1719" s="63">
        <v>45207</v>
      </c>
      <c r="AF1719" t="s">
        <v>156</v>
      </c>
      <c r="AG1719" t="s">
        <v>112</v>
      </c>
      <c r="AH1719" t="s">
        <v>112</v>
      </c>
      <c r="AI1719" s="63">
        <v>43408</v>
      </c>
      <c r="AJ1719" s="63">
        <v>45657</v>
      </c>
      <c r="AK1719" t="s">
        <v>111</v>
      </c>
      <c r="AL1719" t="s">
        <v>111</v>
      </c>
      <c r="AM1719" t="s">
        <v>111</v>
      </c>
      <c r="AN1719" t="s">
        <v>105</v>
      </c>
      <c r="AO1719" t="s">
        <v>110</v>
      </c>
      <c r="AP1719" t="s">
        <v>109</v>
      </c>
    </row>
    <row r="1720" spans="1:42" x14ac:dyDescent="0.25">
      <c r="A1720" s="28" t="str">
        <f>"2152"</f>
        <v>2152</v>
      </c>
      <c r="B1720">
        <v>2152</v>
      </c>
      <c r="C1720" t="s">
        <v>2488</v>
      </c>
      <c r="D1720" t="s">
        <v>121</v>
      </c>
      <c r="F1720" t="s">
        <v>120</v>
      </c>
      <c r="G1720" t="s">
        <v>4583</v>
      </c>
      <c r="H1720" t="s">
        <v>359</v>
      </c>
      <c r="I1720" t="s">
        <v>4582</v>
      </c>
      <c r="J1720" t="s">
        <v>7</v>
      </c>
      <c r="K1720" s="63">
        <v>17511</v>
      </c>
      <c r="L1720" s="28">
        <f>DATEDIF(K1720,Zwift25!G$1,"Y")</f>
        <v>76</v>
      </c>
      <c r="M1720" s="67">
        <f>IF(J1720="m",VLOOKUP(L1720,'All Solo Adjustments'!A:D,4,FALSE),VLOOKUP(L1720,'All Solo Adjustments'!A:J,10,FALSE))</f>
        <v>8.912037037037036E-3</v>
      </c>
      <c r="N1720" s="63"/>
      <c r="O1720" s="63"/>
      <c r="P1720" s="63"/>
      <c r="Q1720" s="63"/>
      <c r="R1720" t="s">
        <v>125</v>
      </c>
      <c r="S1720" t="s">
        <v>170</v>
      </c>
      <c r="T1720" t="s">
        <v>292</v>
      </c>
      <c r="U1720" t="s">
        <v>4581</v>
      </c>
      <c r="V1720" t="s">
        <v>1125</v>
      </c>
      <c r="W1720" t="s">
        <v>342</v>
      </c>
      <c r="X1720" t="s">
        <v>337</v>
      </c>
      <c r="Y1720" t="s">
        <v>4580</v>
      </c>
      <c r="Z1720" t="str">
        <f>"07789566911"</f>
        <v>07789566911</v>
      </c>
      <c r="AA1720" t="str">
        <f>"01473829601"</f>
        <v>01473829601</v>
      </c>
      <c r="AB1720" t="s">
        <v>4579</v>
      </c>
      <c r="AC1720" t="s">
        <v>4578</v>
      </c>
      <c r="AD1720" t="s">
        <v>114</v>
      </c>
      <c r="AE1720" s="63">
        <v>45263</v>
      </c>
      <c r="AF1720" t="s">
        <v>156</v>
      </c>
      <c r="AG1720" t="s">
        <v>112</v>
      </c>
      <c r="AH1720" t="s">
        <v>112</v>
      </c>
      <c r="AI1720" s="63">
        <v>32121</v>
      </c>
      <c r="AJ1720" s="63">
        <v>45657</v>
      </c>
      <c r="AK1720" t="s">
        <v>111</v>
      </c>
      <c r="AL1720" t="s">
        <v>111</v>
      </c>
      <c r="AM1720" t="s">
        <v>111</v>
      </c>
      <c r="AN1720">
        <v>7034</v>
      </c>
      <c r="AO1720" t="s">
        <v>110</v>
      </c>
      <c r="AP1720" t="s">
        <v>109</v>
      </c>
    </row>
    <row r="1721" spans="1:42" x14ac:dyDescent="0.25">
      <c r="A1721" s="28" t="str">
        <f>"2155"</f>
        <v>2155</v>
      </c>
      <c r="B1721">
        <v>2155</v>
      </c>
      <c r="C1721" t="s">
        <v>2488</v>
      </c>
      <c r="D1721" t="s">
        <v>121</v>
      </c>
      <c r="F1721" t="s">
        <v>120</v>
      </c>
      <c r="G1721" t="s">
        <v>632</v>
      </c>
      <c r="I1721" t="s">
        <v>1375</v>
      </c>
      <c r="J1721" t="s">
        <v>7</v>
      </c>
      <c r="K1721" s="63">
        <v>12726</v>
      </c>
      <c r="L1721" s="28">
        <f>DATEDIF(K1721,Zwift25!G$1,"Y")</f>
        <v>89</v>
      </c>
      <c r="M1721" s="67">
        <f>IF(J1721="m",VLOOKUP(L1721,'All Solo Adjustments'!A:D,4,FALSE),VLOOKUP(L1721,'All Solo Adjustments'!A:J,10,FALSE))</f>
        <v>1.7465277777777777E-2</v>
      </c>
      <c r="N1721" s="63"/>
      <c r="O1721" s="63"/>
      <c r="P1721" s="63"/>
      <c r="Q1721" s="63"/>
      <c r="R1721" t="s">
        <v>180</v>
      </c>
      <c r="S1721" t="s">
        <v>2288</v>
      </c>
      <c r="T1721" t="s">
        <v>292</v>
      </c>
      <c r="U1721" t="s">
        <v>4577</v>
      </c>
      <c r="V1721" t="s">
        <v>4294</v>
      </c>
      <c r="W1721" t="s">
        <v>983</v>
      </c>
      <c r="Y1721" t="s">
        <v>4576</v>
      </c>
      <c r="Z1721" t="str">
        <f>"0115 9562095"</f>
        <v>0115 9562095</v>
      </c>
      <c r="AA1721" t="str">
        <f>""</f>
        <v/>
      </c>
      <c r="AB1721" t="s">
        <v>176</v>
      </c>
      <c r="AD1721" t="s">
        <v>151</v>
      </c>
      <c r="AF1721" t="s">
        <v>113</v>
      </c>
      <c r="AG1721" t="s">
        <v>112</v>
      </c>
      <c r="AH1721" t="s">
        <v>112</v>
      </c>
      <c r="AK1721" t="s">
        <v>111</v>
      </c>
      <c r="AL1721" t="s">
        <v>111</v>
      </c>
      <c r="AM1721" t="s">
        <v>111</v>
      </c>
      <c r="AN1721" t="s">
        <v>105</v>
      </c>
      <c r="AO1721" t="s">
        <v>110</v>
      </c>
      <c r="AP1721" t="s">
        <v>109</v>
      </c>
    </row>
    <row r="1722" spans="1:42" x14ac:dyDescent="0.25">
      <c r="A1722" s="28" t="str">
        <f>"3069"</f>
        <v>3069</v>
      </c>
      <c r="B1722">
        <v>3069</v>
      </c>
      <c r="C1722" t="s">
        <v>2488</v>
      </c>
      <c r="D1722" t="s">
        <v>121</v>
      </c>
      <c r="E1722" t="s">
        <v>584</v>
      </c>
      <c r="F1722" t="s">
        <v>120</v>
      </c>
      <c r="G1722" t="s">
        <v>1466</v>
      </c>
      <c r="H1722" t="s">
        <v>251</v>
      </c>
      <c r="I1722" t="s">
        <v>4575</v>
      </c>
      <c r="J1722" t="s">
        <v>7</v>
      </c>
      <c r="K1722" s="63">
        <v>21169</v>
      </c>
      <c r="L1722" s="28">
        <f>DATEDIF(K1722,Zwift25!G$1,"Y")</f>
        <v>66</v>
      </c>
      <c r="M1722" s="67">
        <f>IF(J1722="m",VLOOKUP(L1722,'All Solo Adjustments'!A:D,4,FALSE),VLOOKUP(L1722,'All Solo Adjustments'!A:J,10,FALSE))</f>
        <v>4.9421296296296297E-3</v>
      </c>
      <c r="N1722" s="63"/>
      <c r="O1722" s="63"/>
      <c r="P1722" s="63"/>
      <c r="Q1722" s="63"/>
      <c r="R1722" t="s">
        <v>296</v>
      </c>
      <c r="S1722" t="s">
        <v>295</v>
      </c>
      <c r="T1722" t="s">
        <v>292</v>
      </c>
      <c r="U1722" t="s">
        <v>4574</v>
      </c>
      <c r="V1722" t="s">
        <v>4573</v>
      </c>
      <c r="W1722" t="s">
        <v>4572</v>
      </c>
      <c r="X1722" t="s">
        <v>4571</v>
      </c>
      <c r="Y1722" t="s">
        <v>4570</v>
      </c>
      <c r="Z1722" t="str">
        <f>"01461 600670"</f>
        <v>01461 600670</v>
      </c>
      <c r="AA1722" t="str">
        <f>""</f>
        <v/>
      </c>
      <c r="AB1722" t="s">
        <v>1582</v>
      </c>
      <c r="AC1722" t="s">
        <v>4569</v>
      </c>
      <c r="AD1722" t="s">
        <v>114</v>
      </c>
      <c r="AE1722" s="63">
        <v>45348</v>
      </c>
      <c r="AF1722" t="s">
        <v>113</v>
      </c>
      <c r="AG1722" t="s">
        <v>112</v>
      </c>
      <c r="AH1722" t="s">
        <v>112</v>
      </c>
      <c r="AI1722" s="63">
        <v>40266</v>
      </c>
      <c r="AJ1722" s="63">
        <v>45657</v>
      </c>
      <c r="AK1722" t="s">
        <v>111</v>
      </c>
      <c r="AL1722" t="s">
        <v>111</v>
      </c>
      <c r="AM1722" t="s">
        <v>111</v>
      </c>
      <c r="AN1722">
        <v>1135</v>
      </c>
      <c r="AO1722" t="s">
        <v>110</v>
      </c>
      <c r="AP1722" t="s">
        <v>109</v>
      </c>
    </row>
    <row r="1723" spans="1:42" x14ac:dyDescent="0.25">
      <c r="A1723" s="28" t="str">
        <f>"14686"</f>
        <v>14686</v>
      </c>
      <c r="B1723">
        <v>14686</v>
      </c>
      <c r="C1723" t="s">
        <v>2488</v>
      </c>
      <c r="D1723" t="s">
        <v>121</v>
      </c>
      <c r="E1723" t="s">
        <v>584</v>
      </c>
      <c r="F1723" t="s">
        <v>120</v>
      </c>
      <c r="G1723" t="s">
        <v>1404</v>
      </c>
      <c r="H1723" t="s">
        <v>195</v>
      </c>
      <c r="I1723" t="s">
        <v>379</v>
      </c>
      <c r="J1723" t="s">
        <v>7</v>
      </c>
      <c r="K1723" s="63">
        <v>28039</v>
      </c>
      <c r="L1723" s="28">
        <f>DATEDIF(K1723,Zwift25!G$1,"Y")</f>
        <v>48</v>
      </c>
      <c r="M1723" s="67">
        <f>IF(J1723="m",VLOOKUP(L1723,'All Solo Adjustments'!A:D,4,FALSE),VLOOKUP(L1723,'All Solo Adjustments'!A:J,10,FALSE))</f>
        <v>8.3333333333333339E-4</v>
      </c>
      <c r="N1723" s="63"/>
      <c r="O1723" s="63"/>
      <c r="P1723" s="63"/>
      <c r="Q1723" s="63"/>
      <c r="R1723" t="s">
        <v>239</v>
      </c>
      <c r="S1723" t="s">
        <v>274</v>
      </c>
      <c r="T1723" t="s">
        <v>292</v>
      </c>
      <c r="U1723" t="s">
        <v>4568</v>
      </c>
      <c r="V1723" t="s">
        <v>4567</v>
      </c>
      <c r="W1723" t="s">
        <v>4566</v>
      </c>
      <c r="Y1723" t="s">
        <v>4565</v>
      </c>
      <c r="Z1723" t="str">
        <f>"07398698787"</f>
        <v>07398698787</v>
      </c>
      <c r="AA1723" t="str">
        <f>"01132209308"</f>
        <v>01132209308</v>
      </c>
      <c r="AB1723" t="s">
        <v>4564</v>
      </c>
      <c r="AC1723" t="s">
        <v>4563</v>
      </c>
      <c r="AD1723" t="s">
        <v>114</v>
      </c>
      <c r="AE1723" s="63">
        <v>45247</v>
      </c>
      <c r="AF1723" t="s">
        <v>156</v>
      </c>
      <c r="AG1723" t="s">
        <v>112</v>
      </c>
      <c r="AH1723" t="s">
        <v>112</v>
      </c>
      <c r="AI1723" s="63">
        <v>44067</v>
      </c>
      <c r="AJ1723" s="63">
        <v>45657</v>
      </c>
      <c r="AK1723" t="s">
        <v>112</v>
      </c>
      <c r="AL1723" t="s">
        <v>111</v>
      </c>
      <c r="AM1723" t="s">
        <v>111</v>
      </c>
      <c r="AN1723">
        <v>33994</v>
      </c>
      <c r="AO1723" t="s">
        <v>110</v>
      </c>
      <c r="AP1723" t="s">
        <v>109</v>
      </c>
    </row>
    <row r="1724" spans="1:42" x14ac:dyDescent="0.25">
      <c r="A1724" s="28" t="str">
        <f>"16194"</f>
        <v>16194</v>
      </c>
      <c r="B1724">
        <v>16194</v>
      </c>
      <c r="C1724" t="s">
        <v>2488</v>
      </c>
      <c r="D1724" t="s">
        <v>121</v>
      </c>
      <c r="F1724" t="s">
        <v>403</v>
      </c>
      <c r="G1724" t="s">
        <v>251</v>
      </c>
      <c r="I1724" t="s">
        <v>379</v>
      </c>
      <c r="J1724" t="s">
        <v>7</v>
      </c>
      <c r="K1724" s="63">
        <v>22564</v>
      </c>
      <c r="L1724" s="28">
        <f>DATEDIF(K1724,Zwift25!G$1,"Y")</f>
        <v>63</v>
      </c>
      <c r="M1724" s="67">
        <f>IF(J1724="m",VLOOKUP(L1724,'All Solo Adjustments'!A:D,4,FALSE),VLOOKUP(L1724,'All Solo Adjustments'!A:J,10,FALSE))</f>
        <v>4.0277777777777777E-3</v>
      </c>
      <c r="N1724" s="63"/>
      <c r="O1724" s="63"/>
      <c r="P1724" s="63"/>
      <c r="Q1724" s="63"/>
      <c r="R1724" t="s">
        <v>118</v>
      </c>
      <c r="S1724" t="s">
        <v>117</v>
      </c>
      <c r="T1724" t="s">
        <v>292</v>
      </c>
      <c r="U1724" t="s">
        <v>4562</v>
      </c>
      <c r="Y1724" t="s">
        <v>4561</v>
      </c>
      <c r="Z1724" t="str">
        <f>"07920098871"</f>
        <v>07920098871</v>
      </c>
      <c r="AA1724" t="str">
        <f>""</f>
        <v/>
      </c>
      <c r="AB1724" t="s">
        <v>4560</v>
      </c>
      <c r="AC1724" t="s">
        <v>4559</v>
      </c>
      <c r="AD1724" t="s">
        <v>114</v>
      </c>
      <c r="AE1724" s="63">
        <v>45496</v>
      </c>
      <c r="AF1724" t="s">
        <v>156</v>
      </c>
      <c r="AG1724" t="s">
        <v>112</v>
      </c>
      <c r="AH1724" t="s">
        <v>112</v>
      </c>
      <c r="AI1724" s="63">
        <v>45496</v>
      </c>
      <c r="AJ1724" s="63">
        <v>45657</v>
      </c>
      <c r="AK1724" t="s">
        <v>112</v>
      </c>
      <c r="AL1724" t="s">
        <v>112</v>
      </c>
      <c r="AM1724" t="s">
        <v>111</v>
      </c>
      <c r="AN1724">
        <v>51292</v>
      </c>
      <c r="AO1724" t="s">
        <v>110</v>
      </c>
      <c r="AP1724" t="s">
        <v>109</v>
      </c>
    </row>
    <row r="1725" spans="1:42" x14ac:dyDescent="0.25">
      <c r="A1725" s="28" t="str">
        <f>"2160"</f>
        <v>2160</v>
      </c>
      <c r="B1725">
        <v>2160</v>
      </c>
      <c r="C1725" t="s">
        <v>2488</v>
      </c>
      <c r="D1725" t="s">
        <v>121</v>
      </c>
      <c r="F1725" t="s">
        <v>120</v>
      </c>
      <c r="G1725" t="s">
        <v>520</v>
      </c>
      <c r="I1725" t="s">
        <v>4558</v>
      </c>
      <c r="J1725" t="s">
        <v>7</v>
      </c>
      <c r="K1725" s="63">
        <v>13786</v>
      </c>
      <c r="L1725" s="28">
        <f>DATEDIF(K1725,Zwift25!G$1,"Y")</f>
        <v>87</v>
      </c>
      <c r="M1725" s="67">
        <f>IF(J1725="m",VLOOKUP(L1725,'All Solo Adjustments'!A:D,4,FALSE),VLOOKUP(L1725,'All Solo Adjustments'!A:J,10,FALSE))</f>
        <v>1.576388888888889E-2</v>
      </c>
      <c r="N1725" s="63"/>
      <c r="O1725" s="63"/>
      <c r="P1725" s="63"/>
      <c r="Q1725" s="63"/>
      <c r="R1725" t="s">
        <v>125</v>
      </c>
      <c r="S1725" t="s">
        <v>484</v>
      </c>
      <c r="T1725" t="s">
        <v>292</v>
      </c>
      <c r="U1725" t="s">
        <v>4557</v>
      </c>
      <c r="V1725" t="s">
        <v>588</v>
      </c>
      <c r="W1725" t="s">
        <v>169</v>
      </c>
      <c r="Y1725" t="s">
        <v>4556</v>
      </c>
      <c r="Z1725" t="str">
        <f>"01986 892907"</f>
        <v>01986 892907</v>
      </c>
      <c r="AA1725" t="str">
        <f>""</f>
        <v/>
      </c>
      <c r="AB1725" t="s">
        <v>587</v>
      </c>
      <c r="AD1725" t="s">
        <v>151</v>
      </c>
      <c r="AF1725" t="s">
        <v>113</v>
      </c>
      <c r="AG1725" t="s">
        <v>112</v>
      </c>
      <c r="AH1725" t="s">
        <v>112</v>
      </c>
      <c r="AI1725" s="63">
        <v>29992</v>
      </c>
      <c r="AK1725" t="s">
        <v>111</v>
      </c>
      <c r="AL1725" t="s">
        <v>111</v>
      </c>
      <c r="AM1725" t="s">
        <v>111</v>
      </c>
      <c r="AN1725" t="s">
        <v>105</v>
      </c>
      <c r="AO1725" t="s">
        <v>110</v>
      </c>
      <c r="AP1725" t="s">
        <v>109</v>
      </c>
    </row>
    <row r="1726" spans="1:42" x14ac:dyDescent="0.25">
      <c r="A1726" s="28" t="str">
        <f>"11147"</f>
        <v>11147</v>
      </c>
      <c r="B1726">
        <v>11147</v>
      </c>
      <c r="C1726" t="s">
        <v>2488</v>
      </c>
      <c r="D1726" t="s">
        <v>132</v>
      </c>
      <c r="E1726" t="s">
        <v>584</v>
      </c>
      <c r="F1726" t="s">
        <v>149</v>
      </c>
      <c r="G1726" t="s">
        <v>4555</v>
      </c>
      <c r="I1726" t="s">
        <v>4547</v>
      </c>
      <c r="J1726" t="s">
        <v>126</v>
      </c>
      <c r="K1726" s="63">
        <v>20790</v>
      </c>
      <c r="L1726" s="28">
        <f>DATEDIF(K1726,Zwift25!G$1,"Y")</f>
        <v>67</v>
      </c>
      <c r="M1726" s="67">
        <f>IF(J1726="m",VLOOKUP(L1726,'All Solo Adjustments'!A:D,4,FALSE),VLOOKUP(L1726,'All Solo Adjustments'!A:J,10,FALSE))</f>
        <v>1.0081018518518519E-2</v>
      </c>
      <c r="N1726" s="63"/>
      <c r="O1726" s="63"/>
      <c r="P1726" s="63"/>
      <c r="Q1726" s="63"/>
      <c r="R1726" t="s">
        <v>283</v>
      </c>
      <c r="S1726" t="s">
        <v>282</v>
      </c>
      <c r="T1726" t="s">
        <v>292</v>
      </c>
      <c r="U1726" t="s">
        <v>4551</v>
      </c>
      <c r="V1726" t="s">
        <v>4550</v>
      </c>
      <c r="W1726" t="s">
        <v>1254</v>
      </c>
      <c r="Y1726" t="s">
        <v>4549</v>
      </c>
      <c r="Z1726" t="str">
        <f>"07927654943"</f>
        <v>07927654943</v>
      </c>
      <c r="AA1726" t="str">
        <f>""</f>
        <v/>
      </c>
      <c r="AB1726" t="s">
        <v>378</v>
      </c>
      <c r="AC1726" t="s">
        <v>4554</v>
      </c>
      <c r="AD1726" t="s">
        <v>114</v>
      </c>
      <c r="AE1726" s="63">
        <v>45296</v>
      </c>
      <c r="AF1726" t="s">
        <v>156</v>
      </c>
      <c r="AG1726" t="s">
        <v>112</v>
      </c>
      <c r="AH1726" t="s">
        <v>112</v>
      </c>
      <c r="AI1726" s="63">
        <v>43190</v>
      </c>
      <c r="AJ1726" s="63">
        <v>45657</v>
      </c>
      <c r="AK1726" t="s">
        <v>112</v>
      </c>
      <c r="AL1726" t="s">
        <v>111</v>
      </c>
      <c r="AM1726" t="s">
        <v>111</v>
      </c>
      <c r="AN1726">
        <v>2978</v>
      </c>
      <c r="AO1726" t="s">
        <v>122</v>
      </c>
      <c r="AP1726" t="s">
        <v>122</v>
      </c>
    </row>
    <row r="1727" spans="1:42" x14ac:dyDescent="0.25">
      <c r="A1727" s="28" t="str">
        <f>"15369"</f>
        <v>15369</v>
      </c>
      <c r="B1727">
        <v>15369</v>
      </c>
      <c r="C1727" t="s">
        <v>2488</v>
      </c>
      <c r="D1727" t="s">
        <v>130</v>
      </c>
      <c r="F1727" t="s">
        <v>120</v>
      </c>
      <c r="G1727" t="s">
        <v>4553</v>
      </c>
      <c r="H1727" t="s">
        <v>4552</v>
      </c>
      <c r="I1727" t="s">
        <v>4547</v>
      </c>
      <c r="J1727" t="s">
        <v>7</v>
      </c>
      <c r="K1727" s="63">
        <v>19799</v>
      </c>
      <c r="L1727" s="28">
        <f>DATEDIF(K1727,Zwift25!G$1,"Y")</f>
        <v>70</v>
      </c>
      <c r="M1727" s="67">
        <f>IF(J1727="m",VLOOKUP(L1727,'All Solo Adjustments'!A:D,4,FALSE),VLOOKUP(L1727,'All Solo Adjustments'!A:J,10,FALSE))</f>
        <v>6.3425925925925924E-3</v>
      </c>
      <c r="N1727" s="63"/>
      <c r="O1727" s="63"/>
      <c r="P1727" s="63"/>
      <c r="Q1727" s="63"/>
      <c r="R1727" t="s">
        <v>283</v>
      </c>
      <c r="S1727" t="s">
        <v>282</v>
      </c>
      <c r="T1727" t="s">
        <v>292</v>
      </c>
      <c r="U1727" t="s">
        <v>4551</v>
      </c>
      <c r="V1727" t="s">
        <v>4550</v>
      </c>
      <c r="W1727" t="s">
        <v>1254</v>
      </c>
      <c r="Y1727" t="s">
        <v>4549</v>
      </c>
      <c r="Z1727" t="str">
        <f>"07927654943"</f>
        <v>07927654943</v>
      </c>
      <c r="AA1727" t="str">
        <f>""</f>
        <v/>
      </c>
      <c r="AB1727" t="s">
        <v>1347</v>
      </c>
      <c r="AC1727" t="s">
        <v>4548</v>
      </c>
      <c r="AD1727" t="s">
        <v>114</v>
      </c>
      <c r="AE1727" s="63">
        <v>45296</v>
      </c>
      <c r="AF1727" t="s">
        <v>156</v>
      </c>
      <c r="AG1727" t="s">
        <v>112</v>
      </c>
      <c r="AH1727" t="s">
        <v>112</v>
      </c>
      <c r="AI1727" s="63">
        <v>44607</v>
      </c>
      <c r="AJ1727" s="63">
        <v>45657</v>
      </c>
      <c r="AK1727" t="s">
        <v>112</v>
      </c>
      <c r="AL1727" t="s">
        <v>111</v>
      </c>
      <c r="AM1727" t="s">
        <v>111</v>
      </c>
      <c r="AN1727">
        <v>2981</v>
      </c>
      <c r="AO1727" t="s">
        <v>110</v>
      </c>
      <c r="AP1727" t="s">
        <v>109</v>
      </c>
    </row>
    <row r="1728" spans="1:42" x14ac:dyDescent="0.25">
      <c r="A1728" s="28" t="str">
        <f>"14043"</f>
        <v>14043</v>
      </c>
      <c r="B1728">
        <v>14043</v>
      </c>
      <c r="C1728" t="s">
        <v>2488</v>
      </c>
      <c r="D1728" t="s">
        <v>121</v>
      </c>
      <c r="E1728" t="s">
        <v>584</v>
      </c>
      <c r="F1728" t="s">
        <v>120</v>
      </c>
      <c r="G1728" t="s">
        <v>220</v>
      </c>
      <c r="H1728" t="s">
        <v>171</v>
      </c>
      <c r="I1728" t="s">
        <v>4547</v>
      </c>
      <c r="J1728" t="s">
        <v>7</v>
      </c>
      <c r="K1728" s="63">
        <v>22213</v>
      </c>
      <c r="L1728" s="28">
        <f>DATEDIF(K1728,Zwift25!G$1,"Y")</f>
        <v>63</v>
      </c>
      <c r="M1728" s="67">
        <f>IF(J1728="m",VLOOKUP(L1728,'All Solo Adjustments'!A:D,4,FALSE),VLOOKUP(L1728,'All Solo Adjustments'!A:J,10,FALSE))</f>
        <v>4.0277777777777777E-3</v>
      </c>
      <c r="N1728" s="63"/>
      <c r="O1728" s="63"/>
      <c r="P1728" s="63"/>
      <c r="Q1728" s="63"/>
      <c r="R1728" t="s">
        <v>154</v>
      </c>
      <c r="S1728" t="s">
        <v>153</v>
      </c>
      <c r="T1728" t="s">
        <v>292</v>
      </c>
      <c r="U1728" t="s">
        <v>4546</v>
      </c>
      <c r="V1728" t="s">
        <v>4545</v>
      </c>
      <c r="W1728" t="s">
        <v>4544</v>
      </c>
      <c r="X1728" t="s">
        <v>425</v>
      </c>
      <c r="Y1728" t="s">
        <v>4543</v>
      </c>
      <c r="Z1728" t="str">
        <f>"07528729332"</f>
        <v>07528729332</v>
      </c>
      <c r="AA1728" t="str">
        <f>""</f>
        <v/>
      </c>
      <c r="AB1728" t="s">
        <v>2231</v>
      </c>
      <c r="AC1728" t="s">
        <v>4542</v>
      </c>
      <c r="AD1728" t="s">
        <v>114</v>
      </c>
      <c r="AE1728" s="63">
        <v>45307</v>
      </c>
      <c r="AF1728" t="s">
        <v>156</v>
      </c>
      <c r="AG1728" t="s">
        <v>112</v>
      </c>
      <c r="AH1728" t="s">
        <v>112</v>
      </c>
      <c r="AI1728" s="63">
        <v>43504</v>
      </c>
      <c r="AJ1728" s="63">
        <v>45657</v>
      </c>
      <c r="AK1728" t="s">
        <v>112</v>
      </c>
      <c r="AL1728" t="s">
        <v>111</v>
      </c>
      <c r="AM1728" t="s">
        <v>111</v>
      </c>
      <c r="AN1728">
        <v>28544</v>
      </c>
      <c r="AO1728" t="s">
        <v>110</v>
      </c>
      <c r="AP1728" t="s">
        <v>109</v>
      </c>
    </row>
    <row r="1729" spans="1:42" x14ac:dyDescent="0.25">
      <c r="A1729" s="28" t="str">
        <f>"14383"</f>
        <v>14383</v>
      </c>
      <c r="B1729">
        <v>14383</v>
      </c>
      <c r="C1729" t="s">
        <v>2488</v>
      </c>
      <c r="D1729" t="s">
        <v>121</v>
      </c>
      <c r="E1729" t="s">
        <v>584</v>
      </c>
      <c r="F1729" t="s">
        <v>120</v>
      </c>
      <c r="G1729" t="s">
        <v>300</v>
      </c>
      <c r="H1729" t="s">
        <v>1464</v>
      </c>
      <c r="I1729" t="s">
        <v>4541</v>
      </c>
      <c r="J1729" t="s">
        <v>7</v>
      </c>
      <c r="K1729" s="63">
        <v>22456</v>
      </c>
      <c r="L1729" s="28">
        <f>DATEDIF(K1729,Zwift25!G$1,"Y")</f>
        <v>63</v>
      </c>
      <c r="M1729" s="67">
        <f>IF(J1729="m",VLOOKUP(L1729,'All Solo Adjustments'!A:D,4,FALSE),VLOOKUP(L1729,'All Solo Adjustments'!A:J,10,FALSE))</f>
        <v>4.0277777777777777E-3</v>
      </c>
      <c r="N1729" s="63"/>
      <c r="O1729" s="63"/>
      <c r="P1729" s="63"/>
      <c r="Q1729" s="63"/>
      <c r="R1729" t="s">
        <v>137</v>
      </c>
      <c r="S1729" t="s">
        <v>136</v>
      </c>
      <c r="T1729" t="s">
        <v>292</v>
      </c>
      <c r="U1729" t="s">
        <v>4540</v>
      </c>
      <c r="V1729" t="s">
        <v>3331</v>
      </c>
      <c r="W1729" t="s">
        <v>1098</v>
      </c>
      <c r="Y1729" t="s">
        <v>4539</v>
      </c>
      <c r="Z1729" t="str">
        <f>"07796 338595"</f>
        <v>07796 338595</v>
      </c>
      <c r="AA1729" t="str">
        <f>""</f>
        <v/>
      </c>
      <c r="AB1729" t="s">
        <v>4538</v>
      </c>
      <c r="AC1729" t="s">
        <v>4537</v>
      </c>
      <c r="AD1729" t="s">
        <v>114</v>
      </c>
      <c r="AE1729" s="63">
        <v>45292</v>
      </c>
      <c r="AF1729" t="s">
        <v>156</v>
      </c>
      <c r="AG1729" t="s">
        <v>112</v>
      </c>
      <c r="AH1729" t="s">
        <v>112</v>
      </c>
      <c r="AI1729" s="63">
        <v>43761</v>
      </c>
      <c r="AJ1729" s="63">
        <v>45657</v>
      </c>
      <c r="AK1729" t="s">
        <v>112</v>
      </c>
      <c r="AL1729" t="s">
        <v>111</v>
      </c>
      <c r="AM1729" t="s">
        <v>111</v>
      </c>
      <c r="AN1729">
        <v>5193</v>
      </c>
      <c r="AO1729" t="s">
        <v>110</v>
      </c>
      <c r="AP1729" t="s">
        <v>109</v>
      </c>
    </row>
    <row r="1730" spans="1:42" x14ac:dyDescent="0.25">
      <c r="A1730" s="28" t="str">
        <f>"2163"</f>
        <v>2163</v>
      </c>
      <c r="B1730">
        <v>2163</v>
      </c>
      <c r="C1730" t="s">
        <v>2488</v>
      </c>
      <c r="D1730" t="s">
        <v>121</v>
      </c>
      <c r="F1730" t="s">
        <v>120</v>
      </c>
      <c r="G1730" t="s">
        <v>1104</v>
      </c>
      <c r="H1730" t="s">
        <v>1155</v>
      </c>
      <c r="I1730" t="s">
        <v>4536</v>
      </c>
      <c r="J1730" t="s">
        <v>7</v>
      </c>
      <c r="K1730" s="63">
        <v>12647</v>
      </c>
      <c r="L1730" s="28">
        <f>DATEDIF(K1730,Zwift25!G$1,"Y")</f>
        <v>90</v>
      </c>
      <c r="M1730" s="67">
        <f>IF(J1730="m",VLOOKUP(L1730,'All Solo Adjustments'!A:D,4,FALSE),VLOOKUP(L1730,'All Solo Adjustments'!A:J,10,FALSE))</f>
        <v>1.8391203703703705E-2</v>
      </c>
      <c r="N1730" s="63"/>
      <c r="O1730" s="63"/>
      <c r="P1730" s="63"/>
      <c r="Q1730" s="63"/>
      <c r="R1730" t="s">
        <v>159</v>
      </c>
      <c r="S1730" t="s">
        <v>570</v>
      </c>
      <c r="T1730" t="s">
        <v>292</v>
      </c>
      <c r="U1730" t="s">
        <v>4535</v>
      </c>
      <c r="V1730" t="s">
        <v>1476</v>
      </c>
      <c r="W1730" t="s">
        <v>159</v>
      </c>
      <c r="Y1730" t="s">
        <v>4534</v>
      </c>
      <c r="Z1730" t="str">
        <f>"01580 761261"</f>
        <v>01580 761261</v>
      </c>
      <c r="AA1730" t="str">
        <f>""</f>
        <v/>
      </c>
      <c r="AB1730" t="s">
        <v>2847</v>
      </c>
      <c r="AC1730" t="s">
        <v>4533</v>
      </c>
      <c r="AD1730" t="s">
        <v>151</v>
      </c>
      <c r="AF1730" t="s">
        <v>113</v>
      </c>
      <c r="AG1730" t="s">
        <v>112</v>
      </c>
      <c r="AH1730" t="s">
        <v>112</v>
      </c>
      <c r="AK1730" t="s">
        <v>111</v>
      </c>
      <c r="AL1730" t="s">
        <v>111</v>
      </c>
      <c r="AM1730" t="s">
        <v>111</v>
      </c>
      <c r="AN1730" t="s">
        <v>105</v>
      </c>
      <c r="AO1730" t="s">
        <v>110</v>
      </c>
      <c r="AP1730" t="s">
        <v>109</v>
      </c>
    </row>
    <row r="1731" spans="1:42" x14ac:dyDescent="0.25">
      <c r="A1731" s="28" t="str">
        <f>"2164"</f>
        <v>2164</v>
      </c>
      <c r="B1731">
        <v>2164</v>
      </c>
      <c r="C1731" t="s">
        <v>2488</v>
      </c>
      <c r="D1731" t="s">
        <v>121</v>
      </c>
      <c r="F1731" t="s">
        <v>120</v>
      </c>
      <c r="G1731" t="s">
        <v>410</v>
      </c>
      <c r="I1731" t="s">
        <v>4532</v>
      </c>
      <c r="J1731" t="s">
        <v>7</v>
      </c>
      <c r="K1731" s="63">
        <v>9273</v>
      </c>
      <c r="L1731" s="28">
        <f>DATEDIF(K1731,Zwift25!G$1,"Y")</f>
        <v>99</v>
      </c>
      <c r="M1731" s="67">
        <f>IF(J1731="m",VLOOKUP(L1731,'All Solo Adjustments'!A:D,4,FALSE),VLOOKUP(L1731,'All Solo Adjustments'!A:J,10,FALSE))</f>
        <v>3.0046296296296297E-2</v>
      </c>
      <c r="N1731" s="63"/>
      <c r="O1731" s="63"/>
      <c r="P1731" s="63"/>
      <c r="Q1731" s="63"/>
      <c r="R1731" t="s">
        <v>296</v>
      </c>
      <c r="S1731" t="s">
        <v>2310</v>
      </c>
      <c r="T1731" t="s">
        <v>292</v>
      </c>
      <c r="U1731" t="s">
        <v>4531</v>
      </c>
      <c r="V1731" t="s">
        <v>4530</v>
      </c>
      <c r="Y1731" t="s">
        <v>4529</v>
      </c>
      <c r="Z1731" t="str">
        <f>"01382 668396"</f>
        <v>01382 668396</v>
      </c>
      <c r="AA1731" t="str">
        <f>""</f>
        <v/>
      </c>
      <c r="AB1731" t="s">
        <v>4528</v>
      </c>
      <c r="AD1731" t="s">
        <v>151</v>
      </c>
      <c r="AF1731" t="s">
        <v>113</v>
      </c>
      <c r="AG1731" t="s">
        <v>112</v>
      </c>
      <c r="AH1731" t="s">
        <v>112</v>
      </c>
      <c r="AI1731" s="63">
        <v>25585</v>
      </c>
      <c r="AK1731" t="s">
        <v>111</v>
      </c>
      <c r="AL1731" t="s">
        <v>111</v>
      </c>
      <c r="AM1731" t="s">
        <v>111</v>
      </c>
      <c r="AN1731" t="s">
        <v>105</v>
      </c>
      <c r="AO1731" t="s">
        <v>110</v>
      </c>
      <c r="AP1731" t="s">
        <v>109</v>
      </c>
    </row>
    <row r="1732" spans="1:42" x14ac:dyDescent="0.25">
      <c r="A1732" s="28" t="str">
        <f>"5879"</f>
        <v>5879</v>
      </c>
      <c r="B1732">
        <v>5879</v>
      </c>
      <c r="C1732" t="s">
        <v>2488</v>
      </c>
      <c r="D1732" t="s">
        <v>121</v>
      </c>
      <c r="E1732" t="s">
        <v>584</v>
      </c>
      <c r="F1732" t="s">
        <v>120</v>
      </c>
      <c r="G1732" t="s">
        <v>189</v>
      </c>
      <c r="I1732" t="s">
        <v>4527</v>
      </c>
      <c r="J1732" t="s">
        <v>7</v>
      </c>
      <c r="K1732" s="63">
        <v>22059</v>
      </c>
      <c r="L1732" s="28">
        <f>DATEDIF(K1732,Zwift25!G$1,"Y")</f>
        <v>64</v>
      </c>
      <c r="M1732" s="67">
        <f>IF(J1732="m",VLOOKUP(L1732,'All Solo Adjustments'!A:D,4,FALSE),VLOOKUP(L1732,'All Solo Adjustments'!A:J,10,FALSE))</f>
        <v>4.31712962962963E-3</v>
      </c>
      <c r="N1732" s="63"/>
      <c r="O1732" s="63"/>
      <c r="P1732" s="63"/>
      <c r="Q1732" s="63"/>
      <c r="R1732" t="s">
        <v>296</v>
      </c>
      <c r="S1732" t="s">
        <v>295</v>
      </c>
      <c r="T1732" t="s">
        <v>292</v>
      </c>
      <c r="U1732" t="s">
        <v>4526</v>
      </c>
      <c r="V1732" t="s">
        <v>1684</v>
      </c>
      <c r="W1732" t="s">
        <v>4525</v>
      </c>
      <c r="Y1732" t="s">
        <v>4524</v>
      </c>
      <c r="Z1732" t="str">
        <f>"0779 2821569"</f>
        <v>0779 2821569</v>
      </c>
      <c r="AA1732" t="str">
        <f>"01560 483813"</f>
        <v>01560 483813</v>
      </c>
      <c r="AB1732" t="s">
        <v>1165</v>
      </c>
      <c r="AC1732" t="s">
        <v>4523</v>
      </c>
      <c r="AD1732" t="s">
        <v>114</v>
      </c>
      <c r="AE1732" s="63">
        <v>45274</v>
      </c>
      <c r="AF1732" t="s">
        <v>113</v>
      </c>
      <c r="AG1732" t="s">
        <v>112</v>
      </c>
      <c r="AH1732" t="s">
        <v>112</v>
      </c>
      <c r="AI1732" s="63">
        <v>42486</v>
      </c>
      <c r="AJ1732" s="63">
        <v>45657</v>
      </c>
      <c r="AK1732" t="s">
        <v>111</v>
      </c>
      <c r="AL1732" t="s">
        <v>111</v>
      </c>
      <c r="AM1732" t="s">
        <v>111</v>
      </c>
      <c r="AN1732">
        <v>3057</v>
      </c>
      <c r="AO1732" t="s">
        <v>110</v>
      </c>
      <c r="AP1732" t="s">
        <v>109</v>
      </c>
    </row>
    <row r="1733" spans="1:42" x14ac:dyDescent="0.25">
      <c r="A1733" s="28" t="str">
        <f>"15783"</f>
        <v>15783</v>
      </c>
      <c r="B1733">
        <v>15783</v>
      </c>
      <c r="C1733" t="s">
        <v>2488</v>
      </c>
      <c r="D1733" t="s">
        <v>121</v>
      </c>
      <c r="F1733" t="s">
        <v>120</v>
      </c>
      <c r="G1733" t="s">
        <v>2006</v>
      </c>
      <c r="H1733" t="s">
        <v>1172</v>
      </c>
      <c r="I1733" t="s">
        <v>4522</v>
      </c>
      <c r="J1733" t="s">
        <v>7</v>
      </c>
      <c r="K1733" s="63">
        <v>28115</v>
      </c>
      <c r="L1733" s="28">
        <f>DATEDIF(K1733,Zwift25!G$1,"Y")</f>
        <v>47</v>
      </c>
      <c r="M1733" s="67">
        <f>IF(J1733="m",VLOOKUP(L1733,'All Solo Adjustments'!A:D,4,FALSE),VLOOKUP(L1733,'All Solo Adjustments'!A:J,10,FALSE))</f>
        <v>6.9444444444444436E-4</v>
      </c>
      <c r="N1733" s="63"/>
      <c r="O1733" s="63"/>
      <c r="P1733" s="63"/>
      <c r="Q1733" s="63"/>
      <c r="R1733" t="s">
        <v>143</v>
      </c>
      <c r="S1733" t="s">
        <v>142</v>
      </c>
      <c r="T1733" t="s">
        <v>292</v>
      </c>
      <c r="U1733">
        <v>17</v>
      </c>
      <c r="V1733" t="s">
        <v>4521</v>
      </c>
      <c r="W1733" t="s">
        <v>4520</v>
      </c>
      <c r="X1733" t="s">
        <v>2012</v>
      </c>
      <c r="Y1733" t="s">
        <v>4519</v>
      </c>
      <c r="Z1733" t="str">
        <f>"07904597383"</f>
        <v>07904597383</v>
      </c>
      <c r="AA1733" t="str">
        <f>""</f>
        <v/>
      </c>
      <c r="AB1733" t="s">
        <v>1127</v>
      </c>
      <c r="AC1733" t="s">
        <v>4518</v>
      </c>
      <c r="AD1733" t="s">
        <v>114</v>
      </c>
      <c r="AE1733" s="63">
        <v>45316</v>
      </c>
      <c r="AF1733" t="s">
        <v>156</v>
      </c>
      <c r="AG1733" t="s">
        <v>112</v>
      </c>
      <c r="AH1733" t="s">
        <v>112</v>
      </c>
      <c r="AI1733" s="63">
        <v>45030</v>
      </c>
      <c r="AJ1733" s="63">
        <v>45657</v>
      </c>
      <c r="AK1733" t="s">
        <v>112</v>
      </c>
      <c r="AL1733" t="s">
        <v>111</v>
      </c>
      <c r="AM1733" t="s">
        <v>111</v>
      </c>
      <c r="AN1733">
        <v>43196</v>
      </c>
      <c r="AO1733" t="s">
        <v>110</v>
      </c>
      <c r="AP1733" t="s">
        <v>109</v>
      </c>
    </row>
    <row r="1734" spans="1:42" x14ac:dyDescent="0.25">
      <c r="A1734" s="28" t="str">
        <f>"4223"</f>
        <v>4223</v>
      </c>
      <c r="B1734">
        <v>4223</v>
      </c>
      <c r="C1734" t="s">
        <v>2488</v>
      </c>
      <c r="D1734" t="s">
        <v>121</v>
      </c>
      <c r="F1734" t="s">
        <v>120</v>
      </c>
      <c r="G1734" t="s">
        <v>685</v>
      </c>
      <c r="H1734" t="s">
        <v>488</v>
      </c>
      <c r="I1734" t="s">
        <v>1337</v>
      </c>
      <c r="J1734" t="s">
        <v>7</v>
      </c>
      <c r="K1734" s="63">
        <v>17229</v>
      </c>
      <c r="L1734" s="28">
        <f>DATEDIF(K1734,Zwift25!G$1,"Y")</f>
        <v>77</v>
      </c>
      <c r="M1734" s="67">
        <f>IF(J1734="m",VLOOKUP(L1734,'All Solo Adjustments'!A:D,4,FALSE),VLOOKUP(L1734,'All Solo Adjustments'!A:J,10,FALSE))</f>
        <v>9.3981481481481485E-3</v>
      </c>
      <c r="N1734" s="63"/>
      <c r="O1734" s="63"/>
      <c r="P1734" s="63"/>
      <c r="Q1734" s="63"/>
      <c r="R1734" t="s">
        <v>125</v>
      </c>
      <c r="S1734" t="s">
        <v>170</v>
      </c>
      <c r="T1734" t="s">
        <v>292</v>
      </c>
      <c r="U1734" t="s">
        <v>4517</v>
      </c>
      <c r="V1734" t="s">
        <v>266</v>
      </c>
      <c r="W1734" t="s">
        <v>123</v>
      </c>
      <c r="Y1734" t="s">
        <v>4516</v>
      </c>
      <c r="Z1734" t="str">
        <f>"01702 711237"</f>
        <v>01702 711237</v>
      </c>
      <c r="AA1734" t="str">
        <f>""</f>
        <v/>
      </c>
      <c r="AB1734" t="s">
        <v>1547</v>
      </c>
      <c r="AC1734" t="s">
        <v>4515</v>
      </c>
      <c r="AD1734" t="s">
        <v>114</v>
      </c>
      <c r="AE1734" s="63">
        <v>45264</v>
      </c>
      <c r="AF1734" t="s">
        <v>156</v>
      </c>
      <c r="AG1734" t="s">
        <v>112</v>
      </c>
      <c r="AH1734" t="s">
        <v>112</v>
      </c>
      <c r="AI1734" s="63">
        <v>40673</v>
      </c>
      <c r="AJ1734" s="63">
        <v>45657</v>
      </c>
      <c r="AK1734" t="s">
        <v>111</v>
      </c>
      <c r="AL1734" t="s">
        <v>111</v>
      </c>
      <c r="AM1734" t="s">
        <v>111</v>
      </c>
      <c r="AN1734">
        <v>8532</v>
      </c>
      <c r="AO1734" t="s">
        <v>110</v>
      </c>
      <c r="AP1734" t="s">
        <v>109</v>
      </c>
    </row>
    <row r="1735" spans="1:42" x14ac:dyDescent="0.25">
      <c r="A1735" s="28" t="str">
        <f>"14207"</f>
        <v>14207</v>
      </c>
      <c r="B1735">
        <v>14207</v>
      </c>
      <c r="C1735" t="s">
        <v>2488</v>
      </c>
      <c r="D1735" t="s">
        <v>121</v>
      </c>
      <c r="F1735" t="s">
        <v>120</v>
      </c>
      <c r="G1735" t="s">
        <v>165</v>
      </c>
      <c r="H1735" t="s">
        <v>709</v>
      </c>
      <c r="I1735" t="s">
        <v>1337</v>
      </c>
      <c r="J1735" t="s">
        <v>7</v>
      </c>
      <c r="K1735" s="63">
        <v>21579</v>
      </c>
      <c r="L1735" s="28">
        <f>DATEDIF(K1735,Zwift25!G$1,"Y")</f>
        <v>65</v>
      </c>
      <c r="M1735" s="67">
        <f>IF(J1735="m",VLOOKUP(L1735,'All Solo Adjustments'!A:D,4,FALSE),VLOOKUP(L1735,'All Solo Adjustments'!A:J,10,FALSE))</f>
        <v>4.6180555555555558E-3</v>
      </c>
      <c r="N1735" s="63"/>
      <c r="O1735" s="63"/>
      <c r="P1735" s="63"/>
      <c r="Q1735" s="63"/>
      <c r="R1735" t="s">
        <v>283</v>
      </c>
      <c r="S1735" t="s">
        <v>530</v>
      </c>
      <c r="T1735" t="s">
        <v>292</v>
      </c>
      <c r="U1735" t="s">
        <v>4514</v>
      </c>
      <c r="V1735" t="s">
        <v>4513</v>
      </c>
      <c r="W1735" t="s">
        <v>4512</v>
      </c>
      <c r="X1735" t="s">
        <v>1253</v>
      </c>
      <c r="Y1735" t="s">
        <v>4511</v>
      </c>
      <c r="Z1735" t="str">
        <f>"07913260697"</f>
        <v>07913260697</v>
      </c>
      <c r="AA1735" t="str">
        <f>"01922 410383"</f>
        <v>01922 410383</v>
      </c>
      <c r="AB1735" t="s">
        <v>3075</v>
      </c>
      <c r="AC1735" t="s">
        <v>4510</v>
      </c>
      <c r="AD1735" t="s">
        <v>114</v>
      </c>
      <c r="AE1735" s="63">
        <v>45292</v>
      </c>
      <c r="AF1735" t="s">
        <v>113</v>
      </c>
      <c r="AG1735" t="s">
        <v>112</v>
      </c>
      <c r="AH1735" t="s">
        <v>112</v>
      </c>
      <c r="AI1735" s="63">
        <v>43591</v>
      </c>
      <c r="AJ1735" s="63">
        <v>45657</v>
      </c>
      <c r="AK1735" t="s">
        <v>112</v>
      </c>
      <c r="AL1735" t="s">
        <v>111</v>
      </c>
      <c r="AM1735" t="s">
        <v>111</v>
      </c>
      <c r="AN1735">
        <v>30723</v>
      </c>
      <c r="AO1735" t="s">
        <v>110</v>
      </c>
      <c r="AP1735" t="s">
        <v>109</v>
      </c>
    </row>
    <row r="1736" spans="1:42" x14ac:dyDescent="0.25">
      <c r="A1736" s="28" t="str">
        <f>"5032"</f>
        <v>5032</v>
      </c>
      <c r="B1736">
        <v>5032</v>
      </c>
      <c r="C1736" t="s">
        <v>2488</v>
      </c>
      <c r="D1736" t="s">
        <v>121</v>
      </c>
      <c r="F1736" t="s">
        <v>120</v>
      </c>
      <c r="G1736" t="s">
        <v>300</v>
      </c>
      <c r="H1736" t="s">
        <v>174</v>
      </c>
      <c r="I1736" t="s">
        <v>1368</v>
      </c>
      <c r="J1736" t="s">
        <v>7</v>
      </c>
      <c r="K1736" s="63">
        <v>26867</v>
      </c>
      <c r="L1736" s="28">
        <f>DATEDIF(K1736,Zwift25!G$1,"Y")</f>
        <v>51</v>
      </c>
      <c r="M1736" s="67">
        <f>IF(J1736="m",VLOOKUP(L1736,'All Solo Adjustments'!A:D,4,FALSE),VLOOKUP(L1736,'All Solo Adjustments'!A:J,10,FALSE))</f>
        <v>1.3078703703703703E-3</v>
      </c>
      <c r="N1736" s="63"/>
      <c r="O1736" s="63"/>
      <c r="P1736" s="63"/>
      <c r="Q1736" s="63"/>
      <c r="R1736" t="s">
        <v>125</v>
      </c>
      <c r="S1736" t="s">
        <v>170</v>
      </c>
      <c r="T1736" t="s">
        <v>292</v>
      </c>
      <c r="U1736" t="s">
        <v>4509</v>
      </c>
      <c r="V1736" t="s">
        <v>4508</v>
      </c>
      <c r="W1736" t="s">
        <v>631</v>
      </c>
      <c r="X1736" t="s">
        <v>169</v>
      </c>
      <c r="Y1736" t="s">
        <v>4507</v>
      </c>
      <c r="Z1736" t="str">
        <f>"07484759751"</f>
        <v>07484759751</v>
      </c>
      <c r="AA1736" t="str">
        <f>""</f>
        <v/>
      </c>
      <c r="AB1736" t="s">
        <v>630</v>
      </c>
      <c r="AC1736" t="s">
        <v>4506</v>
      </c>
      <c r="AD1736" t="s">
        <v>114</v>
      </c>
      <c r="AE1736" s="63">
        <v>45264</v>
      </c>
      <c r="AF1736" t="s">
        <v>156</v>
      </c>
      <c r="AG1736" t="s">
        <v>112</v>
      </c>
      <c r="AH1736" t="s">
        <v>112</v>
      </c>
      <c r="AI1736" s="63">
        <v>41766</v>
      </c>
      <c r="AJ1736" s="63">
        <v>45657</v>
      </c>
      <c r="AK1736" t="s">
        <v>111</v>
      </c>
      <c r="AL1736" t="s">
        <v>111</v>
      </c>
      <c r="AM1736" t="s">
        <v>111</v>
      </c>
      <c r="AN1736">
        <v>1240</v>
      </c>
      <c r="AO1736" t="s">
        <v>110</v>
      </c>
      <c r="AP1736" t="s">
        <v>109</v>
      </c>
    </row>
    <row r="1737" spans="1:42" x14ac:dyDescent="0.25">
      <c r="A1737" s="28" t="str">
        <f>"2168"</f>
        <v>2168</v>
      </c>
      <c r="B1737">
        <v>2168</v>
      </c>
      <c r="C1737" t="s">
        <v>2488</v>
      </c>
      <c r="D1737" t="s">
        <v>121</v>
      </c>
      <c r="F1737" t="s">
        <v>120</v>
      </c>
      <c r="G1737" t="s">
        <v>251</v>
      </c>
      <c r="I1737" t="s">
        <v>1368</v>
      </c>
      <c r="J1737" t="s">
        <v>7</v>
      </c>
      <c r="K1737" s="63">
        <v>15640</v>
      </c>
      <c r="L1737" s="28">
        <f>DATEDIF(K1737,Zwift25!G$1,"Y")</f>
        <v>81</v>
      </c>
      <c r="M1737" s="67">
        <f>IF(J1737="m",VLOOKUP(L1737,'All Solo Adjustments'!A:D,4,FALSE),VLOOKUP(L1737,'All Solo Adjustments'!A:J,10,FALSE))</f>
        <v>1.1597222222222222E-2</v>
      </c>
      <c r="N1737" s="63"/>
      <c r="O1737" s="63"/>
      <c r="P1737" s="63"/>
      <c r="Q1737" s="63"/>
      <c r="R1737" t="s">
        <v>213</v>
      </c>
      <c r="S1737" t="s">
        <v>2309</v>
      </c>
      <c r="T1737" t="s">
        <v>292</v>
      </c>
      <c r="U1737" t="s">
        <v>4505</v>
      </c>
      <c r="V1737" t="s">
        <v>1508</v>
      </c>
      <c r="W1737" t="s">
        <v>2192</v>
      </c>
      <c r="X1737" t="s">
        <v>1220</v>
      </c>
      <c r="Y1737" t="s">
        <v>4504</v>
      </c>
      <c r="Z1737" t="str">
        <f>"01942 711877"</f>
        <v>01942 711877</v>
      </c>
      <c r="AA1737" t="str">
        <f>""</f>
        <v/>
      </c>
      <c r="AB1737" t="s">
        <v>2046</v>
      </c>
      <c r="AD1737" t="s">
        <v>145</v>
      </c>
      <c r="AF1737" t="s">
        <v>113</v>
      </c>
      <c r="AG1737" t="s">
        <v>112</v>
      </c>
      <c r="AH1737" t="s">
        <v>112</v>
      </c>
      <c r="AI1737" s="63">
        <v>30654</v>
      </c>
      <c r="AK1737" t="s">
        <v>111</v>
      </c>
      <c r="AL1737" t="s">
        <v>111</v>
      </c>
      <c r="AM1737" t="s">
        <v>111</v>
      </c>
      <c r="AN1737" t="s">
        <v>105</v>
      </c>
      <c r="AO1737" t="s">
        <v>110</v>
      </c>
      <c r="AP1737" t="s">
        <v>109</v>
      </c>
    </row>
    <row r="1738" spans="1:42" x14ac:dyDescent="0.25">
      <c r="A1738" s="28" t="str">
        <f>"2174"</f>
        <v>2174</v>
      </c>
      <c r="B1738">
        <v>2174</v>
      </c>
      <c r="C1738" t="s">
        <v>2488</v>
      </c>
      <c r="D1738" t="s">
        <v>121</v>
      </c>
      <c r="E1738" t="s">
        <v>584</v>
      </c>
      <c r="F1738" t="s">
        <v>120</v>
      </c>
      <c r="G1738" t="s">
        <v>1338</v>
      </c>
      <c r="I1738" t="s">
        <v>4503</v>
      </c>
      <c r="J1738" t="s">
        <v>7</v>
      </c>
      <c r="K1738" s="63">
        <v>20312</v>
      </c>
      <c r="L1738" s="28">
        <f>DATEDIF(K1738,Zwift25!G$1,"Y")</f>
        <v>69</v>
      </c>
      <c r="M1738" s="67">
        <f>IF(J1738="m",VLOOKUP(L1738,'All Solo Adjustments'!A:D,4,FALSE),VLOOKUP(L1738,'All Solo Adjustments'!A:J,10,FALSE))</f>
        <v>5.9722222222222225E-3</v>
      </c>
      <c r="N1738" s="63"/>
      <c r="O1738" s="63"/>
      <c r="P1738" s="63"/>
      <c r="Q1738" s="63"/>
      <c r="R1738" t="s">
        <v>283</v>
      </c>
      <c r="S1738" t="s">
        <v>530</v>
      </c>
      <c r="T1738" t="s">
        <v>292</v>
      </c>
      <c r="U1738" t="s">
        <v>4502</v>
      </c>
      <c r="V1738" t="s">
        <v>1950</v>
      </c>
      <c r="W1738" t="s">
        <v>1253</v>
      </c>
      <c r="Y1738" t="s">
        <v>4501</v>
      </c>
      <c r="Z1738" t="str">
        <f>"0121 5591405"</f>
        <v>0121 5591405</v>
      </c>
      <c r="AA1738" t="str">
        <f>""</f>
        <v/>
      </c>
      <c r="AB1738" t="s">
        <v>4500</v>
      </c>
      <c r="AC1738" t="s">
        <v>4499</v>
      </c>
      <c r="AD1738" t="s">
        <v>114</v>
      </c>
      <c r="AE1738" s="63">
        <v>45344</v>
      </c>
      <c r="AF1738" t="s">
        <v>113</v>
      </c>
      <c r="AG1738" t="s">
        <v>112</v>
      </c>
      <c r="AH1738" t="s">
        <v>112</v>
      </c>
      <c r="AI1738" s="63">
        <v>43194</v>
      </c>
      <c r="AJ1738" s="63">
        <v>45657</v>
      </c>
      <c r="AK1738" t="s">
        <v>111</v>
      </c>
      <c r="AL1738" t="s">
        <v>111</v>
      </c>
      <c r="AM1738" t="s">
        <v>111</v>
      </c>
      <c r="AN1738">
        <v>8020</v>
      </c>
      <c r="AO1738" t="s">
        <v>110</v>
      </c>
      <c r="AP1738" t="s">
        <v>109</v>
      </c>
    </row>
    <row r="1739" spans="1:42" x14ac:dyDescent="0.25">
      <c r="A1739" s="28" t="str">
        <f>"4622"</f>
        <v>4622</v>
      </c>
      <c r="B1739">
        <v>4622</v>
      </c>
      <c r="C1739" t="s">
        <v>2488</v>
      </c>
      <c r="D1739" t="s">
        <v>121</v>
      </c>
      <c r="F1739" t="s">
        <v>144</v>
      </c>
      <c r="G1739" t="s">
        <v>1157</v>
      </c>
      <c r="H1739" t="s">
        <v>540</v>
      </c>
      <c r="I1739" t="s">
        <v>4493</v>
      </c>
      <c r="J1739" t="s">
        <v>126</v>
      </c>
      <c r="K1739" s="63">
        <v>24345</v>
      </c>
      <c r="L1739" s="28">
        <f>DATEDIF(K1739,Zwift25!G$1,"Y")</f>
        <v>58</v>
      </c>
      <c r="M1739" s="67">
        <f>IF(J1739="m",VLOOKUP(L1739,'All Solo Adjustments'!A:D,4,FALSE),VLOOKUP(L1739,'All Solo Adjustments'!A:J,10,FALSE))</f>
        <v>6.3194444444444444E-3</v>
      </c>
      <c r="N1739" s="63"/>
      <c r="O1739" s="63"/>
      <c r="P1739" s="63"/>
      <c r="Q1739" s="63"/>
      <c r="R1739" t="s">
        <v>125</v>
      </c>
      <c r="S1739" t="s">
        <v>170</v>
      </c>
      <c r="T1739" t="s">
        <v>292</v>
      </c>
      <c r="U1739" t="s">
        <v>4498</v>
      </c>
      <c r="V1739" t="s">
        <v>246</v>
      </c>
      <c r="W1739" t="s">
        <v>123</v>
      </c>
      <c r="Y1739" t="s">
        <v>4497</v>
      </c>
      <c r="Z1739" t="str">
        <f>"07766 476216"</f>
        <v>07766 476216</v>
      </c>
      <c r="AA1739" t="str">
        <f>""</f>
        <v/>
      </c>
      <c r="AB1739" t="s">
        <v>222</v>
      </c>
      <c r="AC1739" t="s">
        <v>4496</v>
      </c>
      <c r="AD1739" t="s">
        <v>145</v>
      </c>
      <c r="AE1739" s="63">
        <v>45303</v>
      </c>
      <c r="AF1739" t="s">
        <v>156</v>
      </c>
      <c r="AG1739" t="s">
        <v>112</v>
      </c>
      <c r="AH1739" t="s">
        <v>112</v>
      </c>
      <c r="AI1739" s="63">
        <v>39575</v>
      </c>
      <c r="AJ1739" s="63">
        <v>45657</v>
      </c>
      <c r="AK1739" t="s">
        <v>111</v>
      </c>
      <c r="AL1739" t="s">
        <v>111</v>
      </c>
      <c r="AM1739" t="s">
        <v>111</v>
      </c>
      <c r="AN1739">
        <v>2508</v>
      </c>
      <c r="AO1739" t="s">
        <v>122</v>
      </c>
      <c r="AP1739" t="s">
        <v>122</v>
      </c>
    </row>
    <row r="1740" spans="1:42" x14ac:dyDescent="0.25">
      <c r="A1740" s="28" t="str">
        <f>"2175"</f>
        <v>2175</v>
      </c>
      <c r="B1740">
        <v>2175</v>
      </c>
      <c r="C1740" t="s">
        <v>2488</v>
      </c>
      <c r="D1740" t="s">
        <v>121</v>
      </c>
      <c r="E1740" t="s">
        <v>4495</v>
      </c>
      <c r="F1740" t="s">
        <v>120</v>
      </c>
      <c r="G1740" t="s">
        <v>492</v>
      </c>
      <c r="I1740" t="s">
        <v>4493</v>
      </c>
      <c r="J1740" t="s">
        <v>7</v>
      </c>
      <c r="K1740" s="63">
        <v>17177</v>
      </c>
      <c r="L1740" s="28">
        <f>DATEDIF(K1740,Zwift25!G$1,"Y")</f>
        <v>77</v>
      </c>
      <c r="M1740" s="67">
        <f>IF(J1740="m",VLOOKUP(L1740,'All Solo Adjustments'!A:D,4,FALSE),VLOOKUP(L1740,'All Solo Adjustments'!A:J,10,FALSE))</f>
        <v>9.3981481481481485E-3</v>
      </c>
      <c r="N1740" s="63"/>
      <c r="O1740" s="63"/>
      <c r="P1740" s="63"/>
      <c r="Q1740" s="63"/>
      <c r="R1740" t="s">
        <v>198</v>
      </c>
      <c r="S1740" t="s">
        <v>461</v>
      </c>
      <c r="T1740" t="s">
        <v>292</v>
      </c>
      <c r="U1740" t="s">
        <v>4494</v>
      </c>
      <c r="V1740" t="s">
        <v>3502</v>
      </c>
      <c r="W1740" t="s">
        <v>1039</v>
      </c>
      <c r="Y1740" t="s">
        <v>4491</v>
      </c>
      <c r="Z1740" t="str">
        <f>"0161 998 7551 "</f>
        <v xml:space="preserve">0161 998 7551 </v>
      </c>
      <c r="AA1740" t="str">
        <f>"07703 398416"</f>
        <v>07703 398416</v>
      </c>
      <c r="AB1740" t="s">
        <v>1071</v>
      </c>
      <c r="AC1740" t="s">
        <v>4490</v>
      </c>
      <c r="AD1740" t="s">
        <v>114</v>
      </c>
      <c r="AE1740" s="63">
        <v>45262</v>
      </c>
      <c r="AF1740" t="s">
        <v>113</v>
      </c>
      <c r="AG1740" t="s">
        <v>112</v>
      </c>
      <c r="AH1740" t="s">
        <v>112</v>
      </c>
      <c r="AI1740" s="63">
        <v>32904</v>
      </c>
      <c r="AJ1740" s="63">
        <v>45657</v>
      </c>
      <c r="AK1740" t="s">
        <v>111</v>
      </c>
      <c r="AL1740" t="s">
        <v>111</v>
      </c>
      <c r="AM1740" t="s">
        <v>111</v>
      </c>
      <c r="AN1740">
        <v>32977</v>
      </c>
      <c r="AO1740" t="s">
        <v>110</v>
      </c>
      <c r="AP1740" t="s">
        <v>109</v>
      </c>
    </row>
    <row r="1741" spans="1:42" x14ac:dyDescent="0.25">
      <c r="A1741" s="28" t="str">
        <f>"15224"</f>
        <v>15224</v>
      </c>
      <c r="B1741">
        <v>15224</v>
      </c>
      <c r="C1741" t="s">
        <v>2488</v>
      </c>
      <c r="D1741" t="s">
        <v>121</v>
      </c>
      <c r="E1741" t="s">
        <v>3539</v>
      </c>
      <c r="F1741" t="s">
        <v>120</v>
      </c>
      <c r="G1741" t="s">
        <v>492</v>
      </c>
      <c r="I1741" t="s">
        <v>4493</v>
      </c>
      <c r="J1741" t="s">
        <v>7</v>
      </c>
      <c r="K1741" s="63">
        <v>17177</v>
      </c>
      <c r="L1741" s="28">
        <f>DATEDIF(K1741,Zwift25!G$1,"Y")</f>
        <v>77</v>
      </c>
      <c r="M1741" s="67">
        <f>IF(J1741="m",VLOOKUP(L1741,'All Solo Adjustments'!A:D,4,FALSE),VLOOKUP(L1741,'All Solo Adjustments'!A:J,10,FALSE))</f>
        <v>9.3981481481481485E-3</v>
      </c>
      <c r="N1741" s="63"/>
      <c r="O1741" s="63"/>
      <c r="P1741" s="63"/>
      <c r="Q1741" s="63"/>
      <c r="R1741" t="s">
        <v>198</v>
      </c>
      <c r="S1741" t="s">
        <v>623</v>
      </c>
      <c r="T1741" t="s">
        <v>292</v>
      </c>
      <c r="U1741" t="s">
        <v>4492</v>
      </c>
      <c r="V1741" t="s">
        <v>3502</v>
      </c>
      <c r="W1741" t="s">
        <v>1039</v>
      </c>
      <c r="Y1741" t="s">
        <v>4491</v>
      </c>
      <c r="Z1741" t="str">
        <f>"01619887551"</f>
        <v>01619887551</v>
      </c>
      <c r="AA1741" t="str">
        <f>"07703398416"</f>
        <v>07703398416</v>
      </c>
      <c r="AB1741" t="s">
        <v>1071</v>
      </c>
      <c r="AC1741" t="s">
        <v>4490</v>
      </c>
      <c r="AD1741" t="s">
        <v>145</v>
      </c>
      <c r="AF1741" t="s">
        <v>113</v>
      </c>
      <c r="AG1741" t="s">
        <v>111</v>
      </c>
      <c r="AH1741" t="s">
        <v>111</v>
      </c>
      <c r="AI1741" s="63">
        <v>44435</v>
      </c>
      <c r="AJ1741" s="63">
        <v>45657</v>
      </c>
      <c r="AK1741" t="s">
        <v>112</v>
      </c>
      <c r="AL1741" t="s">
        <v>111</v>
      </c>
      <c r="AM1741" t="s">
        <v>111</v>
      </c>
      <c r="AN1741" t="s">
        <v>105</v>
      </c>
      <c r="AO1741" t="s">
        <v>110</v>
      </c>
      <c r="AP1741" t="s">
        <v>109</v>
      </c>
    </row>
    <row r="1742" spans="1:42" x14ac:dyDescent="0.25">
      <c r="A1742" s="28" t="str">
        <f>"2179"</f>
        <v>2179</v>
      </c>
      <c r="B1742">
        <v>2179</v>
      </c>
      <c r="C1742" t="s">
        <v>2488</v>
      </c>
      <c r="D1742" t="s">
        <v>132</v>
      </c>
      <c r="E1742" t="s">
        <v>584</v>
      </c>
      <c r="F1742" t="s">
        <v>120</v>
      </c>
      <c r="G1742" t="s">
        <v>492</v>
      </c>
      <c r="I1742" t="s">
        <v>4488</v>
      </c>
      <c r="J1742" t="s">
        <v>7</v>
      </c>
      <c r="K1742" s="63">
        <v>16261</v>
      </c>
      <c r="L1742" s="28">
        <f>DATEDIF(K1742,Zwift25!G$1,"Y")</f>
        <v>80</v>
      </c>
      <c r="M1742" s="67">
        <f>IF(J1742="m",VLOOKUP(L1742,'All Solo Adjustments'!A:D,4,FALSE),VLOOKUP(L1742,'All Solo Adjustments'!A:J,10,FALSE))</f>
        <v>1.1018518518518518E-2</v>
      </c>
      <c r="N1742" s="63"/>
      <c r="O1742" s="63"/>
      <c r="P1742" s="63"/>
      <c r="Q1742" s="63"/>
      <c r="R1742" t="s">
        <v>118</v>
      </c>
      <c r="S1742" t="s">
        <v>873</v>
      </c>
      <c r="T1742" t="s">
        <v>292</v>
      </c>
      <c r="U1742" t="s">
        <v>4487</v>
      </c>
      <c r="V1742" t="s">
        <v>4486</v>
      </c>
      <c r="W1742" t="s">
        <v>1430</v>
      </c>
      <c r="Y1742" t="s">
        <v>4485</v>
      </c>
      <c r="Z1742" t="str">
        <f>"07538159888"</f>
        <v>07538159888</v>
      </c>
      <c r="AA1742" t="str">
        <f>""</f>
        <v/>
      </c>
      <c r="AB1742" t="s">
        <v>872</v>
      </c>
      <c r="AC1742" t="s">
        <v>4489</v>
      </c>
      <c r="AD1742" t="s">
        <v>145</v>
      </c>
      <c r="AF1742" t="s">
        <v>113</v>
      </c>
      <c r="AG1742" t="s">
        <v>112</v>
      </c>
      <c r="AH1742" t="s">
        <v>112</v>
      </c>
      <c r="AI1742" s="63">
        <v>35431</v>
      </c>
      <c r="AK1742" t="s">
        <v>111</v>
      </c>
      <c r="AL1742" t="s">
        <v>111</v>
      </c>
      <c r="AM1742" t="s">
        <v>111</v>
      </c>
      <c r="AN1742">
        <v>44786</v>
      </c>
      <c r="AO1742" t="s">
        <v>110</v>
      </c>
      <c r="AP1742" t="s">
        <v>109</v>
      </c>
    </row>
    <row r="1743" spans="1:42" x14ac:dyDescent="0.25">
      <c r="A1743" s="28" t="str">
        <f>"13001"</f>
        <v>13001</v>
      </c>
      <c r="B1743">
        <v>13001</v>
      </c>
      <c r="C1743" t="s">
        <v>2488</v>
      </c>
      <c r="D1743" t="s">
        <v>130</v>
      </c>
      <c r="F1743" t="s">
        <v>149</v>
      </c>
      <c r="G1743" t="s">
        <v>478</v>
      </c>
      <c r="I1743" t="s">
        <v>4488</v>
      </c>
      <c r="J1743" t="s">
        <v>126</v>
      </c>
      <c r="K1743" s="63">
        <v>18637</v>
      </c>
      <c r="L1743" s="28">
        <f>DATEDIF(K1743,Zwift25!G$1,"Y")</f>
        <v>73</v>
      </c>
      <c r="M1743" s="67">
        <f>IF(J1743="m",VLOOKUP(L1743,'All Solo Adjustments'!A:D,4,FALSE),VLOOKUP(L1743,'All Solo Adjustments'!A:J,10,FALSE))</f>
        <v>1.2928240740740742E-2</v>
      </c>
      <c r="N1743" s="63"/>
      <c r="O1743" s="63"/>
      <c r="P1743" s="63"/>
      <c r="Q1743" s="63"/>
      <c r="R1743" t="s">
        <v>118</v>
      </c>
      <c r="S1743" t="s">
        <v>1517</v>
      </c>
      <c r="T1743" t="s">
        <v>292</v>
      </c>
      <c r="U1743" t="s">
        <v>4487</v>
      </c>
      <c r="V1743" t="s">
        <v>4486</v>
      </c>
      <c r="W1743" t="s">
        <v>1430</v>
      </c>
      <c r="Y1743" t="s">
        <v>4485</v>
      </c>
      <c r="Z1743" t="str">
        <f>"07538159888"</f>
        <v>07538159888</v>
      </c>
      <c r="AA1743" t="str">
        <f>""</f>
        <v/>
      </c>
      <c r="AB1743" t="s">
        <v>1099</v>
      </c>
      <c r="AD1743" t="s">
        <v>145</v>
      </c>
      <c r="AE1743" s="63">
        <v>45345</v>
      </c>
      <c r="AF1743" t="s">
        <v>113</v>
      </c>
      <c r="AG1743" t="s">
        <v>111</v>
      </c>
      <c r="AH1743" t="s">
        <v>111</v>
      </c>
      <c r="AI1743" s="63">
        <v>40510</v>
      </c>
      <c r="AJ1743" s="63">
        <v>45657</v>
      </c>
      <c r="AK1743" t="s">
        <v>111</v>
      </c>
      <c r="AL1743" t="s">
        <v>111</v>
      </c>
      <c r="AM1743" t="s">
        <v>111</v>
      </c>
      <c r="AN1743" t="s">
        <v>105</v>
      </c>
      <c r="AO1743" t="s">
        <v>122</v>
      </c>
      <c r="AP1743" t="s">
        <v>122</v>
      </c>
    </row>
    <row r="1744" spans="1:42" x14ac:dyDescent="0.25">
      <c r="A1744" s="28" t="str">
        <f>"15964"</f>
        <v>15964</v>
      </c>
      <c r="B1744">
        <v>15964</v>
      </c>
      <c r="C1744" t="s">
        <v>2488</v>
      </c>
      <c r="D1744" t="s">
        <v>121</v>
      </c>
      <c r="F1744" t="s">
        <v>120</v>
      </c>
      <c r="G1744" t="s">
        <v>231</v>
      </c>
      <c r="H1744" t="s">
        <v>284</v>
      </c>
      <c r="I1744" t="s">
        <v>4484</v>
      </c>
      <c r="J1744" t="s">
        <v>7</v>
      </c>
      <c r="K1744" s="63">
        <v>28663</v>
      </c>
      <c r="L1744" s="28">
        <f>DATEDIF(K1744,Zwift25!G$1,"Y")</f>
        <v>46</v>
      </c>
      <c r="M1744" s="67">
        <f>IF(J1744="m",VLOOKUP(L1744,'All Solo Adjustments'!A:D,4,FALSE),VLOOKUP(L1744,'All Solo Adjustments'!A:J,10,FALSE))</f>
        <v>5.6712962962962956E-4</v>
      </c>
      <c r="N1744" s="63"/>
      <c r="O1744" s="63"/>
      <c r="P1744" s="63"/>
      <c r="Q1744" s="63"/>
      <c r="R1744" t="s">
        <v>198</v>
      </c>
      <c r="S1744" t="s">
        <v>461</v>
      </c>
      <c r="T1744" t="s">
        <v>292</v>
      </c>
      <c r="U1744" t="s">
        <v>4483</v>
      </c>
      <c r="W1744" t="s">
        <v>4482</v>
      </c>
      <c r="X1744" t="s">
        <v>1039</v>
      </c>
      <c r="Y1744" t="s">
        <v>4481</v>
      </c>
      <c r="Z1744" t="str">
        <f>"07917345216"</f>
        <v>07917345216</v>
      </c>
      <c r="AA1744" t="str">
        <f>""</f>
        <v/>
      </c>
      <c r="AB1744" t="s">
        <v>4480</v>
      </c>
      <c r="AC1744" t="s">
        <v>4479</v>
      </c>
      <c r="AD1744" t="s">
        <v>145</v>
      </c>
      <c r="AE1744" s="63">
        <v>45301</v>
      </c>
      <c r="AF1744" t="s">
        <v>156</v>
      </c>
      <c r="AG1744" t="s">
        <v>112</v>
      </c>
      <c r="AH1744" t="s">
        <v>112</v>
      </c>
      <c r="AI1744" s="63">
        <v>45291</v>
      </c>
      <c r="AJ1744" s="63">
        <v>45657</v>
      </c>
      <c r="AK1744" t="s">
        <v>112</v>
      </c>
      <c r="AL1744" t="s">
        <v>111</v>
      </c>
      <c r="AM1744" t="s">
        <v>111</v>
      </c>
      <c r="AN1744">
        <v>4542</v>
      </c>
      <c r="AO1744" t="s">
        <v>110</v>
      </c>
      <c r="AP1744" t="s">
        <v>109</v>
      </c>
    </row>
    <row r="1745" spans="1:42" x14ac:dyDescent="0.25">
      <c r="A1745" s="28" t="str">
        <f>"5999"</f>
        <v>5999</v>
      </c>
      <c r="B1745">
        <v>5999</v>
      </c>
      <c r="C1745" t="s">
        <v>2488</v>
      </c>
      <c r="D1745" t="s">
        <v>121</v>
      </c>
      <c r="F1745" t="s">
        <v>120</v>
      </c>
      <c r="G1745" t="s">
        <v>377</v>
      </c>
      <c r="H1745" t="s">
        <v>284</v>
      </c>
      <c r="I1745" t="s">
        <v>376</v>
      </c>
      <c r="J1745" t="s">
        <v>7</v>
      </c>
      <c r="K1745" s="63">
        <v>20721</v>
      </c>
      <c r="L1745" s="28">
        <f>DATEDIF(K1745,Zwift25!G$1,"Y")</f>
        <v>68</v>
      </c>
      <c r="M1745" s="67">
        <f>IF(J1745="m",VLOOKUP(L1745,'All Solo Adjustments'!A:D,4,FALSE),VLOOKUP(L1745,'All Solo Adjustments'!A:J,10,FALSE))</f>
        <v>5.6134259259259262E-3</v>
      </c>
      <c r="N1745" s="63"/>
      <c r="O1745" s="63"/>
      <c r="P1745" s="63"/>
      <c r="Q1745" s="63"/>
      <c r="R1745" t="s">
        <v>137</v>
      </c>
      <c r="S1745" t="s">
        <v>136</v>
      </c>
      <c r="T1745" t="s">
        <v>292</v>
      </c>
      <c r="U1745" t="s">
        <v>4478</v>
      </c>
      <c r="V1745" t="s">
        <v>375</v>
      </c>
      <c r="W1745" t="s">
        <v>729</v>
      </c>
      <c r="Y1745" t="s">
        <v>374</v>
      </c>
      <c r="Z1745" t="str">
        <f>"02392552292"</f>
        <v>02392552292</v>
      </c>
      <c r="AA1745" t="str">
        <f>"07909942071"</f>
        <v>07909942071</v>
      </c>
      <c r="AB1745" t="s">
        <v>825</v>
      </c>
      <c r="AC1745" t="s">
        <v>4477</v>
      </c>
      <c r="AD1745" t="s">
        <v>114</v>
      </c>
      <c r="AE1745" s="63">
        <v>45280</v>
      </c>
      <c r="AF1745" t="s">
        <v>113</v>
      </c>
      <c r="AG1745" t="s">
        <v>112</v>
      </c>
      <c r="AH1745" t="s">
        <v>112</v>
      </c>
      <c r="AI1745" s="63">
        <v>43778</v>
      </c>
      <c r="AJ1745" s="63">
        <v>45657</v>
      </c>
      <c r="AK1745" t="s">
        <v>112</v>
      </c>
      <c r="AL1745" t="s">
        <v>111</v>
      </c>
      <c r="AM1745" t="s">
        <v>111</v>
      </c>
      <c r="AN1745">
        <v>547</v>
      </c>
      <c r="AO1745" t="s">
        <v>110</v>
      </c>
      <c r="AP1745" t="s">
        <v>109</v>
      </c>
    </row>
    <row r="1746" spans="1:42" x14ac:dyDescent="0.25">
      <c r="A1746" s="28" t="str">
        <f>"16098"</f>
        <v>16098</v>
      </c>
      <c r="B1746">
        <v>16098</v>
      </c>
      <c r="C1746" t="s">
        <v>2488</v>
      </c>
      <c r="D1746" t="s">
        <v>121</v>
      </c>
      <c r="E1746" t="s">
        <v>584</v>
      </c>
      <c r="F1746" t="s">
        <v>120</v>
      </c>
      <c r="G1746" t="s">
        <v>300</v>
      </c>
      <c r="I1746" t="s">
        <v>4476</v>
      </c>
      <c r="J1746" t="s">
        <v>7</v>
      </c>
      <c r="K1746" s="63">
        <v>28610</v>
      </c>
      <c r="L1746" s="28">
        <f>DATEDIF(K1746,Zwift25!G$1,"Y")</f>
        <v>46</v>
      </c>
      <c r="M1746" s="67">
        <f>IF(J1746="m",VLOOKUP(L1746,'All Solo Adjustments'!A:D,4,FALSE),VLOOKUP(L1746,'All Solo Adjustments'!A:J,10,FALSE))</f>
        <v>5.6712962962962956E-4</v>
      </c>
      <c r="N1746" s="63"/>
      <c r="O1746" s="63"/>
      <c r="P1746" s="63"/>
      <c r="Q1746" s="63"/>
      <c r="R1746" t="s">
        <v>296</v>
      </c>
      <c r="S1746" t="s">
        <v>295</v>
      </c>
      <c r="T1746" t="s">
        <v>292</v>
      </c>
      <c r="U1746" t="s">
        <v>4475</v>
      </c>
      <c r="V1746" t="s">
        <v>804</v>
      </c>
      <c r="Y1746" t="s">
        <v>4474</v>
      </c>
      <c r="Z1746" t="str">
        <f>"07484376416"</f>
        <v>07484376416</v>
      </c>
      <c r="AA1746" t="str">
        <f>""</f>
        <v/>
      </c>
      <c r="AB1746" t="s">
        <v>4473</v>
      </c>
      <c r="AC1746" t="s">
        <v>4472</v>
      </c>
      <c r="AD1746" t="s">
        <v>114</v>
      </c>
      <c r="AE1746" s="63">
        <v>45396</v>
      </c>
      <c r="AF1746" t="s">
        <v>156</v>
      </c>
      <c r="AG1746" t="s">
        <v>112</v>
      </c>
      <c r="AH1746" t="s">
        <v>112</v>
      </c>
      <c r="AI1746" s="63">
        <v>45396</v>
      </c>
      <c r="AJ1746" s="63">
        <v>45657</v>
      </c>
      <c r="AK1746" t="s">
        <v>112</v>
      </c>
      <c r="AL1746" t="s">
        <v>111</v>
      </c>
      <c r="AM1746" t="s">
        <v>111</v>
      </c>
      <c r="AN1746">
        <v>13461</v>
      </c>
      <c r="AO1746" t="s">
        <v>110</v>
      </c>
      <c r="AP1746" t="s">
        <v>109</v>
      </c>
    </row>
    <row r="1747" spans="1:42" x14ac:dyDescent="0.25">
      <c r="A1747" s="28" t="str">
        <f>"2185"</f>
        <v>2185</v>
      </c>
      <c r="B1747">
        <v>2185</v>
      </c>
      <c r="C1747" t="s">
        <v>2488</v>
      </c>
      <c r="D1747" t="s">
        <v>121</v>
      </c>
      <c r="E1747" t="s">
        <v>584</v>
      </c>
      <c r="F1747" t="s">
        <v>120</v>
      </c>
      <c r="G1747" t="s">
        <v>4471</v>
      </c>
      <c r="I1747" t="s">
        <v>4470</v>
      </c>
      <c r="J1747" t="s">
        <v>7</v>
      </c>
      <c r="K1747" s="63">
        <v>18916</v>
      </c>
      <c r="L1747" s="28">
        <f>DATEDIF(K1747,Zwift25!G$1,"Y")</f>
        <v>72</v>
      </c>
      <c r="M1747" s="67">
        <f>IF(J1747="m",VLOOKUP(L1747,'All Solo Adjustments'!A:D,4,FALSE),VLOOKUP(L1747,'All Solo Adjustments'!A:J,10,FALSE))</f>
        <v>7.129629629629629E-3</v>
      </c>
      <c r="N1747" s="63"/>
      <c r="O1747" s="63"/>
      <c r="P1747" s="63"/>
      <c r="Q1747" s="63"/>
      <c r="R1747" t="s">
        <v>137</v>
      </c>
      <c r="S1747" t="s">
        <v>136</v>
      </c>
      <c r="T1747" t="s">
        <v>292</v>
      </c>
      <c r="U1747" t="s">
        <v>4469</v>
      </c>
      <c r="V1747" t="s">
        <v>480</v>
      </c>
      <c r="W1747" t="s">
        <v>134</v>
      </c>
      <c r="Y1747" t="s">
        <v>4468</v>
      </c>
      <c r="Z1747" t="str">
        <f>"01202 475077"</f>
        <v>01202 475077</v>
      </c>
      <c r="AA1747" t="str">
        <f>""</f>
        <v/>
      </c>
      <c r="AB1747" t="s">
        <v>2166</v>
      </c>
      <c r="AC1747" t="s">
        <v>4467</v>
      </c>
      <c r="AD1747" t="s">
        <v>114</v>
      </c>
      <c r="AE1747" s="63">
        <v>45274</v>
      </c>
      <c r="AF1747" t="s">
        <v>156</v>
      </c>
      <c r="AG1747" t="s">
        <v>112</v>
      </c>
      <c r="AH1747" t="s">
        <v>112</v>
      </c>
      <c r="AI1747" s="63">
        <v>43445</v>
      </c>
      <c r="AJ1747" s="63">
        <v>45657</v>
      </c>
      <c r="AK1747" t="s">
        <v>111</v>
      </c>
      <c r="AL1747" t="s">
        <v>111</v>
      </c>
      <c r="AM1747" t="s">
        <v>111</v>
      </c>
      <c r="AN1747">
        <v>3781</v>
      </c>
      <c r="AO1747" t="s">
        <v>110</v>
      </c>
      <c r="AP1747" t="s">
        <v>109</v>
      </c>
    </row>
    <row r="1748" spans="1:42" x14ac:dyDescent="0.25">
      <c r="A1748" s="28" t="str">
        <f>"15187"</f>
        <v>15187</v>
      </c>
      <c r="B1748">
        <v>15187</v>
      </c>
      <c r="C1748" t="s">
        <v>2488</v>
      </c>
      <c r="D1748" t="s">
        <v>121</v>
      </c>
      <c r="F1748" t="s">
        <v>120</v>
      </c>
      <c r="G1748" t="s">
        <v>235</v>
      </c>
      <c r="I1748" t="s">
        <v>4466</v>
      </c>
      <c r="J1748" t="s">
        <v>7</v>
      </c>
      <c r="K1748" s="63">
        <v>24140</v>
      </c>
      <c r="L1748" s="28">
        <f>DATEDIF(K1748,Zwift25!G$1,"Y")</f>
        <v>58</v>
      </c>
      <c r="M1748" s="67">
        <f>IF(J1748="m",VLOOKUP(L1748,'All Solo Adjustments'!A:D,4,FALSE),VLOOKUP(L1748,'All Solo Adjustments'!A:J,10,FALSE))</f>
        <v>2.7199074074074074E-3</v>
      </c>
      <c r="N1748" s="63"/>
      <c r="O1748" s="63"/>
      <c r="P1748" s="63"/>
      <c r="Q1748" s="63"/>
      <c r="R1748" t="s">
        <v>159</v>
      </c>
      <c r="S1748" t="s">
        <v>162</v>
      </c>
      <c r="T1748" t="s">
        <v>292</v>
      </c>
      <c r="U1748" t="s">
        <v>4465</v>
      </c>
      <c r="V1748" t="s">
        <v>1940</v>
      </c>
      <c r="W1748" t="s">
        <v>2145</v>
      </c>
      <c r="Y1748" t="s">
        <v>4464</v>
      </c>
      <c r="Z1748" t="str">
        <f>"07852955160"</f>
        <v>07852955160</v>
      </c>
      <c r="AA1748" t="str">
        <f>""</f>
        <v/>
      </c>
      <c r="AB1748" t="s">
        <v>192</v>
      </c>
      <c r="AC1748" t="s">
        <v>4463</v>
      </c>
      <c r="AD1748" t="s">
        <v>114</v>
      </c>
      <c r="AE1748" s="63">
        <v>45352</v>
      </c>
      <c r="AF1748" t="s">
        <v>113</v>
      </c>
      <c r="AG1748" t="s">
        <v>112</v>
      </c>
      <c r="AH1748" t="s">
        <v>112</v>
      </c>
      <c r="AI1748" s="63">
        <v>44398</v>
      </c>
      <c r="AJ1748" s="63">
        <v>45657</v>
      </c>
      <c r="AK1748" t="s">
        <v>112</v>
      </c>
      <c r="AL1748" t="s">
        <v>111</v>
      </c>
      <c r="AM1748" t="s">
        <v>111</v>
      </c>
      <c r="AN1748">
        <v>40362</v>
      </c>
      <c r="AO1748" t="s">
        <v>110</v>
      </c>
      <c r="AP1748" t="s">
        <v>109</v>
      </c>
    </row>
    <row r="1749" spans="1:42" x14ac:dyDescent="0.25">
      <c r="A1749" s="28" t="str">
        <f>"2186"</f>
        <v>2186</v>
      </c>
      <c r="B1749">
        <v>2186</v>
      </c>
      <c r="C1749" t="s">
        <v>2488</v>
      </c>
      <c r="D1749" t="s">
        <v>121</v>
      </c>
      <c r="E1749" t="s">
        <v>584</v>
      </c>
      <c r="F1749" t="s">
        <v>120</v>
      </c>
      <c r="G1749" t="s">
        <v>952</v>
      </c>
      <c r="I1749" t="s">
        <v>1360</v>
      </c>
      <c r="J1749" t="s">
        <v>7</v>
      </c>
      <c r="K1749" s="63">
        <v>19713</v>
      </c>
      <c r="L1749" s="28">
        <f>DATEDIF(K1749,Zwift25!G$1,"Y")</f>
        <v>70</v>
      </c>
      <c r="M1749" s="67">
        <f>IF(J1749="m",VLOOKUP(L1749,'All Solo Adjustments'!A:D,4,FALSE),VLOOKUP(L1749,'All Solo Adjustments'!A:J,10,FALSE))</f>
        <v>6.3425925925925924E-3</v>
      </c>
      <c r="N1749" s="63"/>
      <c r="O1749" s="63"/>
      <c r="P1749" s="63"/>
      <c r="Q1749" s="63"/>
      <c r="R1749" t="s">
        <v>283</v>
      </c>
      <c r="S1749" t="s">
        <v>530</v>
      </c>
      <c r="T1749" t="s">
        <v>292</v>
      </c>
      <c r="U1749" t="s">
        <v>4462</v>
      </c>
      <c r="V1749" t="s">
        <v>4461</v>
      </c>
      <c r="W1749" t="s">
        <v>2374</v>
      </c>
      <c r="Y1749" t="s">
        <v>4460</v>
      </c>
      <c r="Z1749" t="str">
        <f>"07767 835004"</f>
        <v>07767 835004</v>
      </c>
      <c r="AA1749" t="str">
        <f>""</f>
        <v/>
      </c>
      <c r="AB1749" t="s">
        <v>1389</v>
      </c>
      <c r="AC1749" t="s">
        <v>4459</v>
      </c>
      <c r="AD1749" t="s">
        <v>114</v>
      </c>
      <c r="AE1749" s="63">
        <v>45230</v>
      </c>
      <c r="AF1749" t="s">
        <v>113</v>
      </c>
      <c r="AG1749" t="s">
        <v>112</v>
      </c>
      <c r="AH1749" t="s">
        <v>112</v>
      </c>
      <c r="AI1749" s="63">
        <v>43158</v>
      </c>
      <c r="AJ1749" s="63">
        <v>45657</v>
      </c>
      <c r="AK1749" t="s">
        <v>111</v>
      </c>
      <c r="AL1749" t="s">
        <v>111</v>
      </c>
      <c r="AM1749" t="s">
        <v>111</v>
      </c>
      <c r="AN1749">
        <v>5804</v>
      </c>
      <c r="AO1749" t="s">
        <v>110</v>
      </c>
      <c r="AP1749" t="s">
        <v>109</v>
      </c>
    </row>
    <row r="1750" spans="1:42" x14ac:dyDescent="0.25">
      <c r="A1750" s="28" t="str">
        <f>"6195"</f>
        <v>6195</v>
      </c>
      <c r="B1750">
        <v>6195</v>
      </c>
      <c r="C1750" t="s">
        <v>2488</v>
      </c>
      <c r="D1750" t="s">
        <v>121</v>
      </c>
      <c r="F1750" t="s">
        <v>120</v>
      </c>
      <c r="G1750" t="s">
        <v>366</v>
      </c>
      <c r="I1750" t="s">
        <v>1358</v>
      </c>
      <c r="J1750" t="s">
        <v>7</v>
      </c>
      <c r="K1750" s="63">
        <v>24777</v>
      </c>
      <c r="L1750" s="28">
        <f>DATEDIF(K1750,Zwift25!G$1,"Y")</f>
        <v>56</v>
      </c>
      <c r="M1750" s="67">
        <f>IF(J1750="m",VLOOKUP(L1750,'All Solo Adjustments'!A:D,4,FALSE),VLOOKUP(L1750,'All Solo Adjustments'!A:J,10,FALSE))</f>
        <v>2.2685185185185182E-3</v>
      </c>
      <c r="N1750" s="63"/>
      <c r="O1750" s="63"/>
      <c r="P1750" s="63"/>
      <c r="Q1750" s="63"/>
      <c r="R1750" t="s">
        <v>239</v>
      </c>
      <c r="S1750" t="s">
        <v>274</v>
      </c>
      <c r="T1750" t="s">
        <v>292</v>
      </c>
      <c r="U1750" t="s">
        <v>4458</v>
      </c>
      <c r="V1750" t="s">
        <v>2072</v>
      </c>
      <c r="W1750" t="s">
        <v>627</v>
      </c>
      <c r="Y1750" t="s">
        <v>4457</v>
      </c>
      <c r="Z1750" t="str">
        <f>"07970088799"</f>
        <v>07970088799</v>
      </c>
      <c r="AA1750" t="str">
        <f>""</f>
        <v/>
      </c>
      <c r="AB1750" t="s">
        <v>868</v>
      </c>
      <c r="AC1750" t="s">
        <v>4456</v>
      </c>
      <c r="AD1750" t="s">
        <v>114</v>
      </c>
      <c r="AE1750" s="63">
        <v>45437</v>
      </c>
      <c r="AF1750" t="s">
        <v>156</v>
      </c>
      <c r="AG1750" t="s">
        <v>112</v>
      </c>
      <c r="AH1750" t="s">
        <v>112</v>
      </c>
      <c r="AI1750" s="63">
        <v>43235</v>
      </c>
      <c r="AJ1750" s="63">
        <v>45657</v>
      </c>
      <c r="AK1750" t="s">
        <v>112</v>
      </c>
      <c r="AL1750" t="s">
        <v>111</v>
      </c>
      <c r="AM1750" t="s">
        <v>111</v>
      </c>
      <c r="AN1750">
        <v>2106</v>
      </c>
      <c r="AO1750" t="s">
        <v>110</v>
      </c>
      <c r="AP1750" t="s">
        <v>109</v>
      </c>
    </row>
    <row r="1751" spans="1:42" x14ac:dyDescent="0.25">
      <c r="A1751" s="28" t="str">
        <f>"15344"</f>
        <v>15344</v>
      </c>
      <c r="B1751">
        <v>15344</v>
      </c>
      <c r="C1751" t="s">
        <v>2488</v>
      </c>
      <c r="D1751" t="s">
        <v>121</v>
      </c>
      <c r="F1751" t="s">
        <v>149</v>
      </c>
      <c r="G1751" t="s">
        <v>1865</v>
      </c>
      <c r="H1751" t="s">
        <v>4455</v>
      </c>
      <c r="I1751" t="s">
        <v>1358</v>
      </c>
      <c r="J1751" t="s">
        <v>126</v>
      </c>
      <c r="K1751" s="63">
        <v>25967</v>
      </c>
      <c r="L1751" s="28">
        <f>DATEDIF(K1751,Zwift25!G$1,"Y")</f>
        <v>53</v>
      </c>
      <c r="M1751" s="67">
        <f>IF(J1751="m",VLOOKUP(L1751,'All Solo Adjustments'!A:D,4,FALSE),VLOOKUP(L1751,'All Solo Adjustments'!A:J,10,FALSE))</f>
        <v>5.3356481481481475E-3</v>
      </c>
      <c r="N1751" s="63"/>
      <c r="O1751" s="63"/>
      <c r="P1751" s="63"/>
      <c r="Q1751" s="63"/>
      <c r="R1751" t="s">
        <v>180</v>
      </c>
      <c r="S1751" t="s">
        <v>179</v>
      </c>
      <c r="T1751" t="s">
        <v>292</v>
      </c>
      <c r="U1751" t="s">
        <v>4454</v>
      </c>
      <c r="V1751" t="s">
        <v>1204</v>
      </c>
      <c r="W1751" t="s">
        <v>177</v>
      </c>
      <c r="Y1751" t="s">
        <v>4453</v>
      </c>
      <c r="Z1751" t="str">
        <f>"07976219977"</f>
        <v>07976219977</v>
      </c>
      <c r="AA1751" t="str">
        <f>""</f>
        <v/>
      </c>
      <c r="AB1751" t="s">
        <v>1665</v>
      </c>
      <c r="AC1751" t="s">
        <v>4452</v>
      </c>
      <c r="AD1751" t="s">
        <v>114</v>
      </c>
      <c r="AE1751" s="63">
        <v>45320</v>
      </c>
      <c r="AF1751" t="s">
        <v>156</v>
      </c>
      <c r="AG1751" t="s">
        <v>112</v>
      </c>
      <c r="AH1751" t="s">
        <v>112</v>
      </c>
      <c r="AI1751" s="63">
        <v>44578</v>
      </c>
      <c r="AJ1751" s="63">
        <v>45657</v>
      </c>
      <c r="AK1751" t="s">
        <v>112</v>
      </c>
      <c r="AL1751" t="s">
        <v>111</v>
      </c>
      <c r="AM1751" t="s">
        <v>111</v>
      </c>
      <c r="AN1751">
        <v>39074</v>
      </c>
      <c r="AO1751" t="s">
        <v>122</v>
      </c>
      <c r="AP1751" t="s">
        <v>122</v>
      </c>
    </row>
    <row r="1752" spans="1:42" x14ac:dyDescent="0.25">
      <c r="A1752" s="28" t="str">
        <f>"14310"</f>
        <v>14310</v>
      </c>
      <c r="B1752">
        <v>14310</v>
      </c>
      <c r="C1752" t="s">
        <v>2488</v>
      </c>
      <c r="D1752" t="s">
        <v>121</v>
      </c>
      <c r="F1752" t="s">
        <v>120</v>
      </c>
      <c r="G1752" t="s">
        <v>513</v>
      </c>
      <c r="I1752" t="s">
        <v>4451</v>
      </c>
      <c r="J1752" t="s">
        <v>7</v>
      </c>
      <c r="K1752" s="63">
        <v>21363</v>
      </c>
      <c r="L1752" s="28">
        <f>DATEDIF(K1752,Zwift25!G$1,"Y")</f>
        <v>66</v>
      </c>
      <c r="M1752" s="67">
        <f>IF(J1752="m",VLOOKUP(L1752,'All Solo Adjustments'!A:D,4,FALSE),VLOOKUP(L1752,'All Solo Adjustments'!A:J,10,FALSE))</f>
        <v>4.9421296296296297E-3</v>
      </c>
      <c r="N1752" s="63"/>
      <c r="O1752" s="63"/>
      <c r="P1752" s="63"/>
      <c r="Q1752" s="63"/>
      <c r="R1752" t="s">
        <v>125</v>
      </c>
      <c r="S1752" t="s">
        <v>170</v>
      </c>
      <c r="T1752" t="s">
        <v>292</v>
      </c>
      <c r="U1752" t="s">
        <v>4450</v>
      </c>
      <c r="V1752" t="s">
        <v>4449</v>
      </c>
      <c r="W1752" t="s">
        <v>4448</v>
      </c>
      <c r="X1752" t="s">
        <v>123</v>
      </c>
      <c r="Y1752" t="s">
        <v>4447</v>
      </c>
      <c r="Z1752" t="str">
        <f>"07968272820"</f>
        <v>07968272820</v>
      </c>
      <c r="AA1752" t="str">
        <f>""</f>
        <v/>
      </c>
      <c r="AB1752" t="s">
        <v>4446</v>
      </c>
      <c r="AC1752" t="s">
        <v>4445</v>
      </c>
      <c r="AD1752" t="s">
        <v>114</v>
      </c>
      <c r="AE1752" s="63">
        <v>45343</v>
      </c>
      <c r="AF1752" t="s">
        <v>156</v>
      </c>
      <c r="AG1752" t="s">
        <v>112</v>
      </c>
      <c r="AH1752" t="s">
        <v>112</v>
      </c>
      <c r="AI1752" s="63">
        <v>43649</v>
      </c>
      <c r="AJ1752" s="63">
        <v>45657</v>
      </c>
      <c r="AK1752" t="s">
        <v>112</v>
      </c>
      <c r="AL1752" t="s">
        <v>111</v>
      </c>
      <c r="AM1752" t="s">
        <v>111</v>
      </c>
      <c r="AN1752">
        <v>22883</v>
      </c>
      <c r="AO1752" t="s">
        <v>110</v>
      </c>
      <c r="AP1752" t="s">
        <v>109</v>
      </c>
    </row>
    <row r="1753" spans="1:42" x14ac:dyDescent="0.25">
      <c r="A1753" s="28" t="str">
        <f>"2201"</f>
        <v>2201</v>
      </c>
      <c r="B1753">
        <v>2201</v>
      </c>
      <c r="C1753" t="s">
        <v>2488</v>
      </c>
      <c r="D1753" t="s">
        <v>121</v>
      </c>
      <c r="E1753" t="s">
        <v>4444</v>
      </c>
      <c r="F1753" t="s">
        <v>120</v>
      </c>
      <c r="G1753" t="s">
        <v>506</v>
      </c>
      <c r="I1753" t="s">
        <v>1355</v>
      </c>
      <c r="J1753" t="s">
        <v>7</v>
      </c>
      <c r="K1753" s="63">
        <v>16701</v>
      </c>
      <c r="L1753" s="28">
        <f>DATEDIF(K1753,Zwift25!G$1,"Y")</f>
        <v>79</v>
      </c>
      <c r="M1753" s="67">
        <f>IF(J1753="m",VLOOKUP(L1753,'All Solo Adjustments'!A:D,4,FALSE),VLOOKUP(L1753,'All Solo Adjustments'!A:J,10,FALSE))</f>
        <v>1.0451388888888889E-2</v>
      </c>
      <c r="N1753" s="63"/>
      <c r="O1753" s="63"/>
      <c r="P1753" s="63"/>
      <c r="Q1753" s="63"/>
      <c r="R1753" t="s">
        <v>296</v>
      </c>
      <c r="S1753" t="s">
        <v>4410</v>
      </c>
      <c r="T1753" t="s">
        <v>292</v>
      </c>
      <c r="U1753" t="s">
        <v>4443</v>
      </c>
      <c r="V1753" t="s">
        <v>2279</v>
      </c>
      <c r="W1753" t="s">
        <v>804</v>
      </c>
      <c r="Y1753" t="s">
        <v>4442</v>
      </c>
      <c r="Z1753" t="str">
        <f>"0141 638 5634"</f>
        <v>0141 638 5634</v>
      </c>
      <c r="AA1753" t="str">
        <f>"07942 291363"</f>
        <v>07942 291363</v>
      </c>
      <c r="AB1753" t="s">
        <v>4441</v>
      </c>
      <c r="AC1753" t="s">
        <v>4440</v>
      </c>
      <c r="AD1753" t="s">
        <v>145</v>
      </c>
      <c r="AF1753" t="s">
        <v>113</v>
      </c>
      <c r="AG1753" t="s">
        <v>112</v>
      </c>
      <c r="AH1753" t="s">
        <v>112</v>
      </c>
      <c r="AI1753" s="63">
        <v>34388</v>
      </c>
      <c r="AJ1753" s="63">
        <v>45657</v>
      </c>
      <c r="AK1753" t="s">
        <v>111</v>
      </c>
      <c r="AL1753" t="s">
        <v>111</v>
      </c>
      <c r="AM1753" t="s">
        <v>111</v>
      </c>
      <c r="AN1753">
        <v>9138</v>
      </c>
      <c r="AO1753" t="s">
        <v>110</v>
      </c>
      <c r="AP1753" t="s">
        <v>109</v>
      </c>
    </row>
    <row r="1754" spans="1:42" x14ac:dyDescent="0.25">
      <c r="A1754" s="28" t="str">
        <f>"4865"</f>
        <v>4865</v>
      </c>
      <c r="B1754">
        <v>4865</v>
      </c>
      <c r="C1754" t="s">
        <v>2488</v>
      </c>
      <c r="D1754" t="s">
        <v>121</v>
      </c>
      <c r="E1754" t="s">
        <v>584</v>
      </c>
      <c r="F1754" t="s">
        <v>120</v>
      </c>
      <c r="G1754" t="s">
        <v>359</v>
      </c>
      <c r="I1754" t="s">
        <v>1355</v>
      </c>
      <c r="J1754" t="s">
        <v>7</v>
      </c>
      <c r="K1754" s="63">
        <v>26987</v>
      </c>
      <c r="L1754" s="28">
        <f>DATEDIF(K1754,Zwift25!G$1,"Y")</f>
        <v>50</v>
      </c>
      <c r="M1754" s="67">
        <f>IF(J1754="m",VLOOKUP(L1754,'All Solo Adjustments'!A:D,4,FALSE),VLOOKUP(L1754,'All Solo Adjustments'!A:J,10,FALSE))</f>
        <v>1.1342592592592591E-3</v>
      </c>
      <c r="N1754" s="63"/>
      <c r="O1754" s="63"/>
      <c r="P1754" s="63"/>
      <c r="Q1754" s="63"/>
      <c r="R1754" t="s">
        <v>296</v>
      </c>
      <c r="S1754" t="s">
        <v>295</v>
      </c>
      <c r="T1754" t="s">
        <v>292</v>
      </c>
      <c r="U1754" t="s">
        <v>4439</v>
      </c>
      <c r="V1754" t="s">
        <v>4438</v>
      </c>
      <c r="W1754" t="s">
        <v>1596</v>
      </c>
      <c r="Y1754" t="s">
        <v>4437</v>
      </c>
      <c r="Z1754" t="str">
        <f>"01698 325902"</f>
        <v>01698 325902</v>
      </c>
      <c r="AA1754" t="str">
        <f>""</f>
        <v/>
      </c>
      <c r="AB1754" t="s">
        <v>294</v>
      </c>
      <c r="AC1754" t="s">
        <v>4436</v>
      </c>
      <c r="AD1754" t="s">
        <v>145</v>
      </c>
      <c r="AE1754" s="63">
        <v>45260</v>
      </c>
      <c r="AF1754" t="s">
        <v>113</v>
      </c>
      <c r="AG1754" t="s">
        <v>112</v>
      </c>
      <c r="AH1754" t="s">
        <v>112</v>
      </c>
      <c r="AI1754" s="63">
        <v>41579</v>
      </c>
      <c r="AJ1754" s="63">
        <v>45657</v>
      </c>
      <c r="AK1754" t="s">
        <v>111</v>
      </c>
      <c r="AL1754" t="s">
        <v>111</v>
      </c>
      <c r="AM1754" t="s">
        <v>111</v>
      </c>
      <c r="AN1754">
        <v>9689</v>
      </c>
      <c r="AO1754" t="s">
        <v>110</v>
      </c>
      <c r="AP1754" t="s">
        <v>109</v>
      </c>
    </row>
    <row r="1755" spans="1:42" x14ac:dyDescent="0.25">
      <c r="A1755" s="28" t="str">
        <f>"5653"</f>
        <v>5653</v>
      </c>
      <c r="B1755">
        <v>5653</v>
      </c>
      <c r="C1755" t="s">
        <v>2488</v>
      </c>
      <c r="D1755" t="s">
        <v>121</v>
      </c>
      <c r="E1755" t="s">
        <v>584</v>
      </c>
      <c r="F1755" t="s">
        <v>120</v>
      </c>
      <c r="G1755" t="s">
        <v>402</v>
      </c>
      <c r="I1755" t="s">
        <v>1355</v>
      </c>
      <c r="J1755" t="s">
        <v>7</v>
      </c>
      <c r="K1755" s="63">
        <v>23903</v>
      </c>
      <c r="L1755" s="28">
        <f>DATEDIF(K1755,Zwift25!G$1,"Y")</f>
        <v>59</v>
      </c>
      <c r="M1755" s="67">
        <f>IF(J1755="m",VLOOKUP(L1755,'All Solo Adjustments'!A:D,4,FALSE),VLOOKUP(L1755,'All Solo Adjustments'!A:J,10,FALSE))</f>
        <v>2.9629629629629632E-3</v>
      </c>
      <c r="N1755" s="63"/>
      <c r="O1755" s="63"/>
      <c r="P1755" s="63"/>
      <c r="Q1755" s="63"/>
      <c r="R1755" t="s">
        <v>184</v>
      </c>
      <c r="S1755" t="s">
        <v>183</v>
      </c>
      <c r="T1755" t="s">
        <v>292</v>
      </c>
      <c r="U1755" t="s">
        <v>4435</v>
      </c>
      <c r="V1755" t="s">
        <v>167</v>
      </c>
      <c r="Y1755" t="s">
        <v>4434</v>
      </c>
      <c r="Z1755" t="str">
        <f>"07780 977119"</f>
        <v>07780 977119</v>
      </c>
      <c r="AA1755" t="str">
        <f>""</f>
        <v/>
      </c>
      <c r="AB1755" t="s">
        <v>646</v>
      </c>
      <c r="AC1755" t="s">
        <v>4433</v>
      </c>
      <c r="AD1755" t="s">
        <v>114</v>
      </c>
      <c r="AE1755" s="63">
        <v>45261</v>
      </c>
      <c r="AF1755" t="s">
        <v>113</v>
      </c>
      <c r="AG1755" t="s">
        <v>112</v>
      </c>
      <c r="AH1755" t="s">
        <v>112</v>
      </c>
      <c r="AI1755" s="63">
        <v>42325</v>
      </c>
      <c r="AJ1755" s="63">
        <v>45657</v>
      </c>
      <c r="AK1755" t="s">
        <v>111</v>
      </c>
      <c r="AL1755" t="s">
        <v>111</v>
      </c>
      <c r="AM1755" t="s">
        <v>111</v>
      </c>
      <c r="AN1755">
        <v>6883</v>
      </c>
      <c r="AO1755" t="s">
        <v>110</v>
      </c>
      <c r="AP1755" t="s">
        <v>109</v>
      </c>
    </row>
    <row r="1756" spans="1:42" x14ac:dyDescent="0.25">
      <c r="A1756" s="28" t="str">
        <f>"13619"</f>
        <v>13619</v>
      </c>
      <c r="B1756">
        <v>13619</v>
      </c>
      <c r="C1756" t="s">
        <v>2488</v>
      </c>
      <c r="D1756" t="s">
        <v>121</v>
      </c>
      <c r="F1756" t="s">
        <v>120</v>
      </c>
      <c r="G1756" t="s">
        <v>4432</v>
      </c>
      <c r="H1756" t="s">
        <v>4178</v>
      </c>
      <c r="I1756" t="s">
        <v>1355</v>
      </c>
      <c r="J1756" t="s">
        <v>7</v>
      </c>
      <c r="K1756" s="63">
        <v>20201</v>
      </c>
      <c r="L1756" s="28">
        <f>DATEDIF(K1756,Zwift25!G$1,"Y")</f>
        <v>69</v>
      </c>
      <c r="M1756" s="67">
        <f>IF(J1756="m",VLOOKUP(L1756,'All Solo Adjustments'!A:D,4,FALSE),VLOOKUP(L1756,'All Solo Adjustments'!A:J,10,FALSE))</f>
        <v>5.9722222222222225E-3</v>
      </c>
      <c r="N1756" s="63"/>
      <c r="O1756" s="63"/>
      <c r="P1756" s="63"/>
      <c r="Q1756" s="63"/>
      <c r="R1756" t="s">
        <v>137</v>
      </c>
      <c r="S1756" t="s">
        <v>136</v>
      </c>
      <c r="T1756" t="s">
        <v>292</v>
      </c>
      <c r="U1756" t="s">
        <v>4431</v>
      </c>
      <c r="V1756" t="s">
        <v>4430</v>
      </c>
      <c r="W1756" t="s">
        <v>899</v>
      </c>
      <c r="X1756" t="s">
        <v>1240</v>
      </c>
      <c r="Y1756" t="s">
        <v>4429</v>
      </c>
      <c r="Z1756" t="str">
        <f>"07526645307"</f>
        <v>07526645307</v>
      </c>
      <c r="AA1756" t="str">
        <f>"01903775483"</f>
        <v>01903775483</v>
      </c>
      <c r="AB1756" t="s">
        <v>1351</v>
      </c>
      <c r="AC1756" t="s">
        <v>4428</v>
      </c>
      <c r="AD1756" t="s">
        <v>114</v>
      </c>
      <c r="AE1756" s="63">
        <v>45334</v>
      </c>
      <c r="AF1756" t="s">
        <v>113</v>
      </c>
      <c r="AG1756" t="s">
        <v>112</v>
      </c>
      <c r="AH1756" t="s">
        <v>112</v>
      </c>
      <c r="AI1756" s="63">
        <v>43260</v>
      </c>
      <c r="AJ1756" s="63">
        <v>45657</v>
      </c>
      <c r="AK1756" t="s">
        <v>112</v>
      </c>
      <c r="AL1756" t="s">
        <v>111</v>
      </c>
      <c r="AM1756" t="s">
        <v>111</v>
      </c>
      <c r="AN1756">
        <v>17789</v>
      </c>
      <c r="AO1756" t="s">
        <v>110</v>
      </c>
      <c r="AP1756" t="s">
        <v>109</v>
      </c>
    </row>
    <row r="1757" spans="1:42" x14ac:dyDescent="0.25">
      <c r="A1757" s="28" t="str">
        <f>"15998"</f>
        <v>15998</v>
      </c>
      <c r="B1757">
        <v>15998</v>
      </c>
      <c r="C1757" t="s">
        <v>2488</v>
      </c>
      <c r="D1757" t="s">
        <v>121</v>
      </c>
      <c r="F1757" t="s">
        <v>120</v>
      </c>
      <c r="G1757" t="s">
        <v>185</v>
      </c>
      <c r="I1757" t="s">
        <v>4427</v>
      </c>
      <c r="J1757" t="s">
        <v>7</v>
      </c>
      <c r="K1757" s="63">
        <v>29604</v>
      </c>
      <c r="L1757" s="28">
        <f>DATEDIF(K1757,Zwift25!G$1,"Y")</f>
        <v>43</v>
      </c>
      <c r="M1757" s="67">
        <f>IF(J1757="m",VLOOKUP(L1757,'All Solo Adjustments'!A:D,4,FALSE),VLOOKUP(L1757,'All Solo Adjustments'!A:J,10,FALSE))</f>
        <v>2.4305555555555555E-4</v>
      </c>
      <c r="N1757" s="63"/>
      <c r="O1757" s="63"/>
      <c r="P1757" s="63"/>
      <c r="Q1757" s="63"/>
      <c r="R1757" t="s">
        <v>213</v>
      </c>
      <c r="S1757" t="s">
        <v>212</v>
      </c>
      <c r="T1757" t="s">
        <v>292</v>
      </c>
      <c r="U1757" t="s">
        <v>4426</v>
      </c>
      <c r="V1757" t="s">
        <v>4425</v>
      </c>
      <c r="Y1757" t="s">
        <v>4424</v>
      </c>
      <c r="Z1757" t="str">
        <f>"07884438527"</f>
        <v>07884438527</v>
      </c>
      <c r="AA1757" t="str">
        <f>""</f>
        <v/>
      </c>
      <c r="AB1757" t="s">
        <v>4423</v>
      </c>
      <c r="AC1757" t="s">
        <v>4422</v>
      </c>
      <c r="AD1757" t="s">
        <v>114</v>
      </c>
      <c r="AE1757" s="63">
        <v>45306</v>
      </c>
      <c r="AF1757" t="s">
        <v>156</v>
      </c>
      <c r="AG1757" t="s">
        <v>112</v>
      </c>
      <c r="AH1757" t="s">
        <v>112</v>
      </c>
      <c r="AI1757" s="63">
        <v>45306</v>
      </c>
      <c r="AJ1757" s="63">
        <v>45657</v>
      </c>
      <c r="AK1757" t="s">
        <v>112</v>
      </c>
      <c r="AL1757" t="s">
        <v>111</v>
      </c>
      <c r="AM1757" t="s">
        <v>111</v>
      </c>
      <c r="AN1757">
        <v>26725</v>
      </c>
      <c r="AO1757" t="s">
        <v>110</v>
      </c>
      <c r="AP1757" t="s">
        <v>109</v>
      </c>
    </row>
    <row r="1758" spans="1:42" x14ac:dyDescent="0.25">
      <c r="A1758" s="28" t="str">
        <f>"3404"</f>
        <v>3404</v>
      </c>
      <c r="B1758">
        <v>3404</v>
      </c>
      <c r="C1758" t="s">
        <v>2488</v>
      </c>
      <c r="D1758" t="s">
        <v>121</v>
      </c>
      <c r="F1758" t="s">
        <v>120</v>
      </c>
      <c r="G1758" t="s">
        <v>284</v>
      </c>
      <c r="I1758" t="s">
        <v>372</v>
      </c>
      <c r="J1758" t="s">
        <v>7</v>
      </c>
      <c r="K1758" s="63">
        <v>17248</v>
      </c>
      <c r="L1758" s="28">
        <f>DATEDIF(K1758,Zwift25!G$1,"Y")</f>
        <v>77</v>
      </c>
      <c r="M1758" s="67">
        <f>IF(J1758="m",VLOOKUP(L1758,'All Solo Adjustments'!A:D,4,FALSE),VLOOKUP(L1758,'All Solo Adjustments'!A:J,10,FALSE))</f>
        <v>9.3981481481481485E-3</v>
      </c>
      <c r="N1758" s="63"/>
      <c r="O1758" s="63"/>
      <c r="P1758" s="63"/>
      <c r="Q1758" s="63"/>
      <c r="R1758" t="s">
        <v>118</v>
      </c>
      <c r="S1758" t="s">
        <v>117</v>
      </c>
      <c r="T1758" t="s">
        <v>292</v>
      </c>
      <c r="U1758" t="s">
        <v>4421</v>
      </c>
      <c r="V1758" t="s">
        <v>4420</v>
      </c>
      <c r="W1758" t="s">
        <v>1585</v>
      </c>
      <c r="Y1758" t="s">
        <v>4419</v>
      </c>
      <c r="Z1758" t="str">
        <f>"01302 851444"</f>
        <v>01302 851444</v>
      </c>
      <c r="AA1758" t="str">
        <f>""</f>
        <v/>
      </c>
      <c r="AB1758" t="s">
        <v>4418</v>
      </c>
      <c r="AC1758" t="s">
        <v>4417</v>
      </c>
      <c r="AD1758" t="s">
        <v>145</v>
      </c>
      <c r="AE1758" s="63">
        <v>45226</v>
      </c>
      <c r="AF1758" t="s">
        <v>113</v>
      </c>
      <c r="AG1758" t="s">
        <v>112</v>
      </c>
      <c r="AH1758" t="s">
        <v>112</v>
      </c>
      <c r="AI1758" s="63">
        <v>38852</v>
      </c>
      <c r="AJ1758" s="63">
        <v>45657</v>
      </c>
      <c r="AK1758" t="s">
        <v>111</v>
      </c>
      <c r="AL1758" t="s">
        <v>111</v>
      </c>
      <c r="AM1758" t="s">
        <v>111</v>
      </c>
      <c r="AN1758" t="s">
        <v>105</v>
      </c>
      <c r="AO1758" t="s">
        <v>110</v>
      </c>
      <c r="AP1758" t="s">
        <v>109</v>
      </c>
    </row>
    <row r="1759" spans="1:42" x14ac:dyDescent="0.25">
      <c r="A1759" s="28" t="str">
        <f>"14776"</f>
        <v>14776</v>
      </c>
      <c r="B1759">
        <v>14776</v>
      </c>
      <c r="C1759" t="s">
        <v>2488</v>
      </c>
      <c r="D1759" t="s">
        <v>121</v>
      </c>
      <c r="F1759" t="s">
        <v>120</v>
      </c>
      <c r="G1759" t="s">
        <v>300</v>
      </c>
      <c r="I1759" t="s">
        <v>372</v>
      </c>
      <c r="J1759" t="s">
        <v>7</v>
      </c>
      <c r="K1759" s="63">
        <v>24835</v>
      </c>
      <c r="L1759" s="28">
        <f>DATEDIF(K1759,Zwift25!G$1,"Y")</f>
        <v>56</v>
      </c>
      <c r="M1759" s="67">
        <f>IF(J1759="m",VLOOKUP(L1759,'All Solo Adjustments'!A:D,4,FALSE),VLOOKUP(L1759,'All Solo Adjustments'!A:J,10,FALSE))</f>
        <v>2.2685185185185182E-3</v>
      </c>
      <c r="N1759" s="63"/>
      <c r="O1759" s="63"/>
      <c r="P1759" s="63"/>
      <c r="Q1759" s="63"/>
      <c r="R1759" t="s">
        <v>198</v>
      </c>
      <c r="S1759" t="s">
        <v>461</v>
      </c>
      <c r="T1759" t="s">
        <v>292</v>
      </c>
      <c r="U1759" t="s">
        <v>4416</v>
      </c>
      <c r="V1759" t="s">
        <v>4415</v>
      </c>
      <c r="W1759" t="s">
        <v>4414</v>
      </c>
      <c r="X1759" t="s">
        <v>515</v>
      </c>
      <c r="Y1759" t="s">
        <v>4413</v>
      </c>
      <c r="Z1759" t="str">
        <f>"07447423959"</f>
        <v>07447423959</v>
      </c>
      <c r="AA1759" t="str">
        <f>""</f>
        <v/>
      </c>
      <c r="AB1759" t="s">
        <v>4412</v>
      </c>
      <c r="AC1759" t="s">
        <v>4411</v>
      </c>
      <c r="AD1759" t="s">
        <v>114</v>
      </c>
      <c r="AE1759" s="63">
        <v>45287</v>
      </c>
      <c r="AF1759" t="s">
        <v>156</v>
      </c>
      <c r="AG1759" t="s">
        <v>112</v>
      </c>
      <c r="AH1759" t="s">
        <v>112</v>
      </c>
      <c r="AI1759" s="63">
        <v>44130</v>
      </c>
      <c r="AJ1759" s="63">
        <v>45657</v>
      </c>
      <c r="AK1759" t="s">
        <v>112</v>
      </c>
      <c r="AL1759" t="s">
        <v>111</v>
      </c>
      <c r="AM1759" t="s">
        <v>111</v>
      </c>
      <c r="AN1759">
        <v>36564</v>
      </c>
      <c r="AO1759" t="s">
        <v>110</v>
      </c>
      <c r="AP1759" t="s">
        <v>109</v>
      </c>
    </row>
    <row r="1760" spans="1:42" x14ac:dyDescent="0.25">
      <c r="A1760" s="28" t="str">
        <f>"2204"</f>
        <v>2204</v>
      </c>
      <c r="B1760">
        <v>2204</v>
      </c>
      <c r="C1760" t="s">
        <v>2488</v>
      </c>
      <c r="D1760" t="s">
        <v>121</v>
      </c>
      <c r="F1760" t="s">
        <v>120</v>
      </c>
      <c r="G1760" t="s">
        <v>343</v>
      </c>
      <c r="I1760" t="s">
        <v>1626</v>
      </c>
      <c r="J1760" t="s">
        <v>7</v>
      </c>
      <c r="K1760" s="63">
        <v>15677</v>
      </c>
      <c r="L1760" s="28">
        <f>DATEDIF(K1760,Zwift25!G$1,"Y")</f>
        <v>81</v>
      </c>
      <c r="M1760" s="67">
        <f>IF(J1760="m",VLOOKUP(L1760,'All Solo Adjustments'!A:D,4,FALSE),VLOOKUP(L1760,'All Solo Adjustments'!A:J,10,FALSE))</f>
        <v>1.1597222222222222E-2</v>
      </c>
      <c r="N1760" s="63"/>
      <c r="O1760" s="63"/>
      <c r="P1760" s="63"/>
      <c r="Q1760" s="63"/>
      <c r="R1760" t="s">
        <v>296</v>
      </c>
      <c r="S1760" t="s">
        <v>4410</v>
      </c>
      <c r="T1760" t="s">
        <v>292</v>
      </c>
      <c r="U1760" t="s">
        <v>4409</v>
      </c>
      <c r="V1760" t="s">
        <v>4408</v>
      </c>
      <c r="Y1760" t="s">
        <v>4407</v>
      </c>
      <c r="Z1760" t="str">
        <f>"01324 485945"</f>
        <v>01324 485945</v>
      </c>
      <c r="AA1760" t="str">
        <f>""</f>
        <v/>
      </c>
      <c r="AB1760" t="s">
        <v>4406</v>
      </c>
      <c r="AC1760" t="s">
        <v>4405</v>
      </c>
      <c r="AD1760" t="s">
        <v>145</v>
      </c>
      <c r="AF1760" t="s">
        <v>113</v>
      </c>
      <c r="AG1760" t="s">
        <v>111</v>
      </c>
      <c r="AH1760" t="s">
        <v>112</v>
      </c>
      <c r="AI1760" s="63">
        <v>30361</v>
      </c>
      <c r="AJ1760" s="63">
        <v>45657</v>
      </c>
      <c r="AK1760" t="s">
        <v>111</v>
      </c>
      <c r="AL1760" t="s">
        <v>111</v>
      </c>
      <c r="AM1760" t="s">
        <v>111</v>
      </c>
      <c r="AN1760" t="s">
        <v>105</v>
      </c>
      <c r="AO1760" t="s">
        <v>110</v>
      </c>
      <c r="AP1760" t="s">
        <v>109</v>
      </c>
    </row>
    <row r="1761" spans="1:42" x14ac:dyDescent="0.25">
      <c r="A1761" s="28" t="str">
        <f>"2205"</f>
        <v>2205</v>
      </c>
      <c r="B1761">
        <v>2205</v>
      </c>
      <c r="C1761" t="s">
        <v>2488</v>
      </c>
      <c r="D1761" t="s">
        <v>121</v>
      </c>
      <c r="F1761" t="s">
        <v>120</v>
      </c>
      <c r="G1761" t="s">
        <v>300</v>
      </c>
      <c r="I1761" t="s">
        <v>1353</v>
      </c>
      <c r="J1761" t="s">
        <v>7</v>
      </c>
      <c r="K1761" s="63">
        <v>13411</v>
      </c>
      <c r="L1761" s="28">
        <f>DATEDIF(K1761,Zwift25!G$1,"Y")</f>
        <v>88</v>
      </c>
      <c r="M1761" s="67">
        <f>IF(J1761="m",VLOOKUP(L1761,'All Solo Adjustments'!A:D,4,FALSE),VLOOKUP(L1761,'All Solo Adjustments'!A:J,10,FALSE))</f>
        <v>1.6597222222222222E-2</v>
      </c>
      <c r="N1761" s="63"/>
      <c r="O1761" s="63"/>
      <c r="P1761" s="63"/>
      <c r="Q1761" s="63"/>
      <c r="R1761" t="s">
        <v>198</v>
      </c>
      <c r="S1761" t="s">
        <v>476</v>
      </c>
      <c r="T1761" t="s">
        <v>292</v>
      </c>
      <c r="U1761" t="s">
        <v>4404</v>
      </c>
      <c r="V1761" t="s">
        <v>1527</v>
      </c>
      <c r="W1761" t="s">
        <v>196</v>
      </c>
      <c r="Y1761" t="s">
        <v>4403</v>
      </c>
      <c r="Z1761" t="str">
        <f>"0161 973 0154"</f>
        <v>0161 973 0154</v>
      </c>
      <c r="AA1761" t="str">
        <f>""</f>
        <v/>
      </c>
      <c r="AB1761" t="s">
        <v>290</v>
      </c>
      <c r="AC1761" t="s">
        <v>4402</v>
      </c>
      <c r="AD1761" t="s">
        <v>151</v>
      </c>
      <c r="AF1761" t="s">
        <v>113</v>
      </c>
      <c r="AG1761" t="s">
        <v>112</v>
      </c>
      <c r="AH1761" t="s">
        <v>112</v>
      </c>
      <c r="AI1761" s="63">
        <v>30467</v>
      </c>
      <c r="AK1761" t="s">
        <v>111</v>
      </c>
      <c r="AL1761" t="s">
        <v>111</v>
      </c>
      <c r="AM1761" t="s">
        <v>111</v>
      </c>
      <c r="AN1761" t="s">
        <v>105</v>
      </c>
      <c r="AO1761" t="s">
        <v>110</v>
      </c>
      <c r="AP1761" t="s">
        <v>109</v>
      </c>
    </row>
    <row r="1762" spans="1:42" x14ac:dyDescent="0.25">
      <c r="A1762" s="28" t="str">
        <f>"15932"</f>
        <v>15932</v>
      </c>
      <c r="B1762">
        <v>15932</v>
      </c>
      <c r="C1762" t="s">
        <v>2488</v>
      </c>
      <c r="D1762" t="s">
        <v>121</v>
      </c>
      <c r="E1762" t="s">
        <v>584</v>
      </c>
      <c r="F1762" t="s">
        <v>120</v>
      </c>
      <c r="G1762" t="s">
        <v>4401</v>
      </c>
      <c r="H1762" t="s">
        <v>4400</v>
      </c>
      <c r="I1762" t="s">
        <v>1353</v>
      </c>
      <c r="J1762" t="s">
        <v>7</v>
      </c>
      <c r="K1762" s="63">
        <v>19968</v>
      </c>
      <c r="L1762" s="28">
        <f>DATEDIF(K1762,Zwift25!G$1,"Y")</f>
        <v>70</v>
      </c>
      <c r="M1762" s="67">
        <f>IF(J1762="m",VLOOKUP(L1762,'All Solo Adjustments'!A:D,4,FALSE),VLOOKUP(L1762,'All Solo Adjustments'!A:J,10,FALSE))</f>
        <v>6.3425925925925924E-3</v>
      </c>
      <c r="N1762" s="63"/>
      <c r="O1762" s="63"/>
      <c r="P1762" s="63"/>
      <c r="Q1762" s="63"/>
      <c r="R1762" t="s">
        <v>239</v>
      </c>
      <c r="S1762" t="s">
        <v>274</v>
      </c>
      <c r="T1762" t="s">
        <v>292</v>
      </c>
      <c r="U1762" t="s">
        <v>4399</v>
      </c>
      <c r="V1762" t="s">
        <v>2218</v>
      </c>
      <c r="Y1762" t="s">
        <v>4398</v>
      </c>
      <c r="Z1762" t="str">
        <f>"07881685067"</f>
        <v>07881685067</v>
      </c>
      <c r="AA1762" t="str">
        <f>""</f>
        <v/>
      </c>
      <c r="AB1762" t="s">
        <v>4397</v>
      </c>
      <c r="AC1762" t="s">
        <v>4396</v>
      </c>
      <c r="AD1762" t="s">
        <v>145</v>
      </c>
      <c r="AE1762" s="63">
        <v>45205</v>
      </c>
      <c r="AF1762" t="s">
        <v>113</v>
      </c>
      <c r="AG1762" t="s">
        <v>112</v>
      </c>
      <c r="AH1762" t="s">
        <v>112</v>
      </c>
      <c r="AI1762" s="63">
        <v>45201</v>
      </c>
      <c r="AJ1762" s="63">
        <v>45657</v>
      </c>
      <c r="AK1762" t="s">
        <v>112</v>
      </c>
      <c r="AL1762" t="s">
        <v>111</v>
      </c>
      <c r="AM1762" t="s">
        <v>111</v>
      </c>
      <c r="AN1762">
        <v>49077</v>
      </c>
      <c r="AO1762" t="s">
        <v>110</v>
      </c>
      <c r="AP1762" t="s">
        <v>109</v>
      </c>
    </row>
    <row r="1763" spans="1:42" x14ac:dyDescent="0.25">
      <c r="A1763" s="28" t="str">
        <f>"6180"</f>
        <v>6180</v>
      </c>
      <c r="B1763">
        <v>6180</v>
      </c>
      <c r="C1763" t="s">
        <v>2488</v>
      </c>
      <c r="D1763" t="s">
        <v>121</v>
      </c>
      <c r="F1763" t="s">
        <v>120</v>
      </c>
      <c r="G1763" t="s">
        <v>181</v>
      </c>
      <c r="I1763" t="s">
        <v>369</v>
      </c>
      <c r="J1763" t="s">
        <v>7</v>
      </c>
      <c r="K1763" s="63">
        <v>17882</v>
      </c>
      <c r="L1763" s="28">
        <f>DATEDIF(K1763,Zwift25!G$1,"Y")</f>
        <v>75</v>
      </c>
      <c r="M1763" s="67">
        <f>IF(J1763="m",VLOOKUP(L1763,'All Solo Adjustments'!A:D,4,FALSE),VLOOKUP(L1763,'All Solo Adjustments'!A:J,10,FALSE))</f>
        <v>8.4374999999999988E-3</v>
      </c>
      <c r="N1763" s="63"/>
      <c r="O1763" s="63"/>
      <c r="P1763" s="63"/>
      <c r="Q1763" s="63"/>
      <c r="R1763" t="s">
        <v>328</v>
      </c>
      <c r="S1763" t="s">
        <v>327</v>
      </c>
      <c r="T1763" t="s">
        <v>292</v>
      </c>
      <c r="U1763" t="s">
        <v>4395</v>
      </c>
      <c r="V1763" t="s">
        <v>4394</v>
      </c>
      <c r="W1763" t="s">
        <v>1391</v>
      </c>
      <c r="X1763" t="s">
        <v>325</v>
      </c>
      <c r="Y1763" t="s">
        <v>4393</v>
      </c>
      <c r="Z1763" t="str">
        <f>"07483 851347"</f>
        <v>07483 851347</v>
      </c>
      <c r="AA1763" t="str">
        <f>""</f>
        <v/>
      </c>
      <c r="AB1763" t="s">
        <v>1222</v>
      </c>
      <c r="AC1763" t="s">
        <v>4392</v>
      </c>
      <c r="AD1763" t="s">
        <v>114</v>
      </c>
      <c r="AE1763" s="63">
        <v>45369</v>
      </c>
      <c r="AF1763" t="s">
        <v>113</v>
      </c>
      <c r="AG1763" t="s">
        <v>112</v>
      </c>
      <c r="AH1763" t="s">
        <v>112</v>
      </c>
      <c r="AI1763" s="63">
        <v>42840</v>
      </c>
      <c r="AJ1763" s="63">
        <v>45657</v>
      </c>
      <c r="AK1763" t="s">
        <v>111</v>
      </c>
      <c r="AL1763" t="s">
        <v>111</v>
      </c>
      <c r="AM1763" t="s">
        <v>111</v>
      </c>
      <c r="AN1763">
        <v>16695</v>
      </c>
      <c r="AO1763" t="s">
        <v>110</v>
      </c>
      <c r="AP1763" t="s">
        <v>109</v>
      </c>
    </row>
    <row r="1764" spans="1:42" x14ac:dyDescent="0.25">
      <c r="A1764" s="28" t="str">
        <f>"6283"</f>
        <v>6283</v>
      </c>
      <c r="B1764">
        <v>6283</v>
      </c>
      <c r="C1764" t="s">
        <v>2488</v>
      </c>
      <c r="D1764" t="s">
        <v>121</v>
      </c>
      <c r="E1764" t="s">
        <v>584</v>
      </c>
      <c r="F1764" t="s">
        <v>403</v>
      </c>
      <c r="G1764" t="s">
        <v>2052</v>
      </c>
      <c r="I1764" t="s">
        <v>1352</v>
      </c>
      <c r="J1764" t="s">
        <v>126</v>
      </c>
      <c r="K1764" s="63">
        <v>26604</v>
      </c>
      <c r="L1764" s="28">
        <f>DATEDIF(K1764,Zwift25!G$1,"Y")</f>
        <v>51</v>
      </c>
      <c r="M1764" s="67">
        <f>IF(J1764="m",VLOOKUP(L1764,'All Solo Adjustments'!A:D,4,FALSE),VLOOKUP(L1764,'All Solo Adjustments'!A:J,10,FALSE))</f>
        <v>5.0810185185185186E-3</v>
      </c>
      <c r="N1764" s="63"/>
      <c r="O1764" s="63"/>
      <c r="P1764" s="63"/>
      <c r="Q1764" s="63"/>
      <c r="R1764" t="s">
        <v>296</v>
      </c>
      <c r="S1764" t="s">
        <v>295</v>
      </c>
      <c r="T1764" t="s">
        <v>292</v>
      </c>
      <c r="U1764" t="s">
        <v>4391</v>
      </c>
      <c r="V1764" t="s">
        <v>4390</v>
      </c>
      <c r="W1764" t="s">
        <v>4389</v>
      </c>
      <c r="X1764" t="s">
        <v>794</v>
      </c>
      <c r="Y1764" t="s">
        <v>4388</v>
      </c>
      <c r="Z1764" t="str">
        <f>"07359374548"</f>
        <v>07359374548</v>
      </c>
      <c r="AA1764" t="str">
        <f>""</f>
        <v/>
      </c>
      <c r="AB1764" t="s">
        <v>862</v>
      </c>
      <c r="AC1764" t="s">
        <v>4387</v>
      </c>
      <c r="AD1764" t="s">
        <v>114</v>
      </c>
      <c r="AE1764" s="63">
        <v>45306</v>
      </c>
      <c r="AF1764" t="s">
        <v>156</v>
      </c>
      <c r="AG1764" t="s">
        <v>112</v>
      </c>
      <c r="AH1764" t="s">
        <v>112</v>
      </c>
      <c r="AI1764" s="63">
        <v>42903</v>
      </c>
      <c r="AJ1764" s="63">
        <v>45657</v>
      </c>
      <c r="AK1764" t="s">
        <v>111</v>
      </c>
      <c r="AL1764" t="s">
        <v>111</v>
      </c>
      <c r="AM1764" t="s">
        <v>111</v>
      </c>
      <c r="AN1764">
        <v>1532</v>
      </c>
      <c r="AO1764" t="s">
        <v>122</v>
      </c>
      <c r="AP1764" t="s">
        <v>122</v>
      </c>
    </row>
    <row r="1765" spans="1:42" x14ac:dyDescent="0.25">
      <c r="A1765" s="28" t="str">
        <f>"14149"</f>
        <v>14149</v>
      </c>
      <c r="B1765">
        <v>14149</v>
      </c>
      <c r="C1765" t="s">
        <v>2488</v>
      </c>
      <c r="D1765" t="s">
        <v>121</v>
      </c>
      <c r="F1765" t="s">
        <v>120</v>
      </c>
      <c r="G1765" t="s">
        <v>400</v>
      </c>
      <c r="H1765" t="s">
        <v>284</v>
      </c>
      <c r="I1765" t="s">
        <v>1352</v>
      </c>
      <c r="J1765" t="s">
        <v>7</v>
      </c>
      <c r="K1765" s="63">
        <v>25234</v>
      </c>
      <c r="L1765" s="28">
        <f>DATEDIF(K1765,Zwift25!G$1,"Y")</f>
        <v>55</v>
      </c>
      <c r="M1765" s="67">
        <f>IF(J1765="m",VLOOKUP(L1765,'All Solo Adjustments'!A:D,4,FALSE),VLOOKUP(L1765,'All Solo Adjustments'!A:J,10,FALSE))</f>
        <v>2.0601851851851853E-3</v>
      </c>
      <c r="N1765" s="63"/>
      <c r="O1765" s="63"/>
      <c r="P1765" s="63"/>
      <c r="Q1765" s="63"/>
      <c r="R1765" t="s">
        <v>283</v>
      </c>
      <c r="S1765" t="s">
        <v>530</v>
      </c>
      <c r="T1765" t="s">
        <v>292</v>
      </c>
      <c r="U1765" t="s">
        <v>4386</v>
      </c>
      <c r="V1765" t="s">
        <v>4385</v>
      </c>
      <c r="W1765" t="s">
        <v>1678</v>
      </c>
      <c r="X1765" t="s">
        <v>871</v>
      </c>
      <c r="Y1765" t="s">
        <v>4384</v>
      </c>
      <c r="Z1765" t="str">
        <f>"0780988197"</f>
        <v>0780988197</v>
      </c>
      <c r="AA1765" t="str">
        <f>""</f>
        <v/>
      </c>
      <c r="AB1765" t="s">
        <v>1359</v>
      </c>
      <c r="AC1765" t="s">
        <v>4383</v>
      </c>
      <c r="AD1765" t="s">
        <v>114</v>
      </c>
      <c r="AE1765" s="63">
        <v>45378</v>
      </c>
      <c r="AF1765" t="s">
        <v>113</v>
      </c>
      <c r="AG1765" t="s">
        <v>112</v>
      </c>
      <c r="AH1765" t="s">
        <v>112</v>
      </c>
      <c r="AI1765" s="63">
        <v>43560</v>
      </c>
      <c r="AJ1765" s="63">
        <v>45657</v>
      </c>
      <c r="AK1765" t="s">
        <v>112</v>
      </c>
      <c r="AL1765" t="s">
        <v>111</v>
      </c>
      <c r="AM1765" t="s">
        <v>111</v>
      </c>
      <c r="AN1765">
        <v>26419</v>
      </c>
      <c r="AO1765" t="s">
        <v>110</v>
      </c>
      <c r="AP1765" t="s">
        <v>109</v>
      </c>
    </row>
    <row r="1766" spans="1:42" x14ac:dyDescent="0.25">
      <c r="A1766" s="28" t="str">
        <f>"14516"</f>
        <v>14516</v>
      </c>
      <c r="B1766">
        <v>14516</v>
      </c>
      <c r="C1766" t="s">
        <v>2488</v>
      </c>
      <c r="D1766" t="s">
        <v>121</v>
      </c>
      <c r="E1766" t="s">
        <v>584</v>
      </c>
      <c r="F1766" t="s">
        <v>120</v>
      </c>
      <c r="G1766" t="s">
        <v>1598</v>
      </c>
      <c r="I1766" t="s">
        <v>1352</v>
      </c>
      <c r="J1766" t="s">
        <v>7</v>
      </c>
      <c r="K1766" s="63">
        <v>25032</v>
      </c>
      <c r="L1766" s="28">
        <f>DATEDIF(K1766,Zwift25!G$1,"Y")</f>
        <v>56</v>
      </c>
      <c r="M1766" s="67">
        <f>IF(J1766="m",VLOOKUP(L1766,'All Solo Adjustments'!A:D,4,FALSE),VLOOKUP(L1766,'All Solo Adjustments'!A:J,10,FALSE))</f>
        <v>2.2685185185185182E-3</v>
      </c>
      <c r="N1766" s="63"/>
      <c r="O1766" s="63"/>
      <c r="P1766" s="63"/>
      <c r="Q1766" s="63"/>
      <c r="R1766" t="s">
        <v>239</v>
      </c>
      <c r="S1766" t="s">
        <v>274</v>
      </c>
      <c r="T1766" t="s">
        <v>292</v>
      </c>
      <c r="U1766" t="s">
        <v>4382</v>
      </c>
      <c r="V1766" t="s">
        <v>1292</v>
      </c>
      <c r="Y1766" t="s">
        <v>4381</v>
      </c>
      <c r="Z1766" t="str">
        <f>"07815551665"</f>
        <v>07815551665</v>
      </c>
      <c r="AA1766" t="str">
        <f>""</f>
        <v/>
      </c>
      <c r="AB1766" t="s">
        <v>2313</v>
      </c>
      <c r="AC1766" t="s">
        <v>4380</v>
      </c>
      <c r="AD1766" t="s">
        <v>114</v>
      </c>
      <c r="AE1766" s="63">
        <v>45262</v>
      </c>
      <c r="AF1766" t="s">
        <v>156</v>
      </c>
      <c r="AG1766" t="s">
        <v>112</v>
      </c>
      <c r="AH1766" t="s">
        <v>112</v>
      </c>
      <c r="AI1766" s="63">
        <v>43898</v>
      </c>
      <c r="AJ1766" s="63">
        <v>45657</v>
      </c>
      <c r="AK1766" t="s">
        <v>112</v>
      </c>
      <c r="AL1766" t="s">
        <v>111</v>
      </c>
      <c r="AM1766" t="s">
        <v>111</v>
      </c>
      <c r="AN1766">
        <v>33846</v>
      </c>
      <c r="AO1766" t="s">
        <v>110</v>
      </c>
      <c r="AP1766" t="s">
        <v>109</v>
      </c>
    </row>
    <row r="1767" spans="1:42" x14ac:dyDescent="0.25">
      <c r="A1767" s="28" t="str">
        <f>"16089"</f>
        <v>16089</v>
      </c>
      <c r="B1767">
        <v>16089</v>
      </c>
      <c r="C1767" t="s">
        <v>2488</v>
      </c>
      <c r="D1767" t="s">
        <v>121</v>
      </c>
      <c r="F1767" t="s">
        <v>120</v>
      </c>
      <c r="G1767" t="s">
        <v>231</v>
      </c>
      <c r="I1767" t="s">
        <v>1352</v>
      </c>
      <c r="J1767" t="s">
        <v>7</v>
      </c>
      <c r="K1767" s="63">
        <v>29542</v>
      </c>
      <c r="L1767" s="28">
        <f>DATEDIF(K1767,Zwift25!G$1,"Y")</f>
        <v>43</v>
      </c>
      <c r="M1767" s="67">
        <f>IF(J1767="m",VLOOKUP(L1767,'All Solo Adjustments'!A:D,4,FALSE),VLOOKUP(L1767,'All Solo Adjustments'!A:J,10,FALSE))</f>
        <v>2.4305555555555555E-4</v>
      </c>
      <c r="N1767" s="63"/>
      <c r="O1767" s="63"/>
      <c r="P1767" s="63"/>
      <c r="Q1767" s="63"/>
      <c r="R1767" t="s">
        <v>296</v>
      </c>
      <c r="S1767" t="s">
        <v>295</v>
      </c>
      <c r="T1767" t="s">
        <v>292</v>
      </c>
      <c r="U1767" t="s">
        <v>4379</v>
      </c>
      <c r="V1767" t="s">
        <v>4378</v>
      </c>
      <c r="W1767" t="s">
        <v>4377</v>
      </c>
      <c r="Y1767" t="s">
        <v>4376</v>
      </c>
      <c r="Z1767" t="str">
        <f>"07717842130"</f>
        <v>07717842130</v>
      </c>
      <c r="AA1767" t="str">
        <f>""</f>
        <v/>
      </c>
      <c r="AB1767" t="s">
        <v>4375</v>
      </c>
      <c r="AC1767" t="s">
        <v>4374</v>
      </c>
      <c r="AD1767" t="s">
        <v>114</v>
      </c>
      <c r="AE1767" s="63">
        <v>45387</v>
      </c>
      <c r="AF1767" t="s">
        <v>156</v>
      </c>
      <c r="AG1767" t="s">
        <v>112</v>
      </c>
      <c r="AH1767" t="s">
        <v>112</v>
      </c>
      <c r="AI1767" s="63">
        <v>45387</v>
      </c>
      <c r="AJ1767" s="63">
        <v>45657</v>
      </c>
      <c r="AK1767" t="s">
        <v>112</v>
      </c>
      <c r="AL1767" t="s">
        <v>111</v>
      </c>
      <c r="AM1767" t="s">
        <v>111</v>
      </c>
      <c r="AN1767">
        <v>228</v>
      </c>
      <c r="AO1767" t="s">
        <v>110</v>
      </c>
      <c r="AP1767" t="s">
        <v>109</v>
      </c>
    </row>
    <row r="1768" spans="1:42" x14ac:dyDescent="0.25">
      <c r="A1768" s="28" t="str">
        <f>"16158"</f>
        <v>16158</v>
      </c>
      <c r="B1768">
        <v>16158</v>
      </c>
      <c r="C1768" t="s">
        <v>2488</v>
      </c>
      <c r="D1768" t="s">
        <v>121</v>
      </c>
      <c r="E1768" t="s">
        <v>584</v>
      </c>
      <c r="F1768" t="s">
        <v>120</v>
      </c>
      <c r="G1768" t="s">
        <v>359</v>
      </c>
      <c r="I1768" t="s">
        <v>4373</v>
      </c>
      <c r="J1768" t="s">
        <v>7</v>
      </c>
      <c r="K1768" s="63">
        <v>27935</v>
      </c>
      <c r="L1768" s="28">
        <f>DATEDIF(K1768,Zwift25!G$1,"Y")</f>
        <v>48</v>
      </c>
      <c r="M1768" s="67">
        <f>IF(J1768="m",VLOOKUP(L1768,'All Solo Adjustments'!A:D,4,FALSE),VLOOKUP(L1768,'All Solo Adjustments'!A:J,10,FALSE))</f>
        <v>8.3333333333333339E-4</v>
      </c>
      <c r="N1768" s="63"/>
      <c r="O1768" s="63"/>
      <c r="P1768" s="63"/>
      <c r="Q1768" s="63"/>
      <c r="R1768" t="s">
        <v>143</v>
      </c>
      <c r="S1768" t="s">
        <v>142</v>
      </c>
      <c r="T1768" t="s">
        <v>292</v>
      </c>
      <c r="U1768" t="s">
        <v>4372</v>
      </c>
      <c r="V1768" t="s">
        <v>4371</v>
      </c>
      <c r="W1768" t="s">
        <v>905</v>
      </c>
      <c r="X1768" t="s">
        <v>172</v>
      </c>
      <c r="Y1768" t="s">
        <v>4370</v>
      </c>
      <c r="Z1768" t="str">
        <f>"07407123144"</f>
        <v>07407123144</v>
      </c>
      <c r="AA1768" t="str">
        <f>""</f>
        <v/>
      </c>
      <c r="AB1768" t="s">
        <v>2794</v>
      </c>
      <c r="AC1768" t="s">
        <v>4369</v>
      </c>
      <c r="AD1768" t="s">
        <v>114</v>
      </c>
      <c r="AE1768" s="63">
        <v>45454</v>
      </c>
      <c r="AF1768" t="s">
        <v>156</v>
      </c>
      <c r="AG1768" t="s">
        <v>112</v>
      </c>
      <c r="AH1768" t="s">
        <v>112</v>
      </c>
      <c r="AI1768" s="63">
        <v>45454</v>
      </c>
      <c r="AJ1768" s="63">
        <v>45657</v>
      </c>
      <c r="AK1768" t="s">
        <v>112</v>
      </c>
      <c r="AL1768" t="s">
        <v>111</v>
      </c>
      <c r="AM1768" t="s">
        <v>111</v>
      </c>
      <c r="AN1768">
        <v>35819</v>
      </c>
      <c r="AO1768" t="s">
        <v>110</v>
      </c>
      <c r="AP1768" t="s">
        <v>109</v>
      </c>
    </row>
    <row r="1769" spans="1:42" x14ac:dyDescent="0.25">
      <c r="A1769" s="28" t="str">
        <f>"1071"</f>
        <v>1071</v>
      </c>
      <c r="B1769">
        <v>1071</v>
      </c>
      <c r="C1769" t="s">
        <v>2488</v>
      </c>
      <c r="D1769" t="s">
        <v>121</v>
      </c>
      <c r="F1769" t="s">
        <v>139</v>
      </c>
      <c r="G1769" t="s">
        <v>478</v>
      </c>
      <c r="I1769" t="s">
        <v>364</v>
      </c>
      <c r="J1769" t="s">
        <v>126</v>
      </c>
      <c r="K1769" s="63">
        <v>12440</v>
      </c>
      <c r="L1769" s="28">
        <f>DATEDIF(K1769,Zwift25!G$1,"Y")</f>
        <v>90</v>
      </c>
      <c r="M1769" s="67">
        <f>IF(J1769="m",VLOOKUP(L1769,'All Solo Adjustments'!A:D,4,FALSE),VLOOKUP(L1769,'All Solo Adjustments'!A:J,10,FALSE))</f>
        <v>2.5138888888888888E-2</v>
      </c>
      <c r="N1769" s="63"/>
      <c r="O1769" s="63"/>
      <c r="P1769" s="63"/>
      <c r="Q1769" s="63"/>
      <c r="R1769" t="s">
        <v>283</v>
      </c>
      <c r="S1769" t="s">
        <v>2311</v>
      </c>
      <c r="T1769" t="s">
        <v>292</v>
      </c>
      <c r="U1769" t="s">
        <v>4368</v>
      </c>
      <c r="V1769" t="s">
        <v>4367</v>
      </c>
      <c r="W1769" t="s">
        <v>4366</v>
      </c>
      <c r="Y1769" t="s">
        <v>4365</v>
      </c>
      <c r="Z1769" t="str">
        <f>"01564 779084"</f>
        <v>01564 779084</v>
      </c>
      <c r="AA1769" t="str">
        <f>""</f>
        <v/>
      </c>
      <c r="AB1769" t="s">
        <v>4364</v>
      </c>
      <c r="AD1769" t="s">
        <v>151</v>
      </c>
      <c r="AF1769" t="s">
        <v>113</v>
      </c>
      <c r="AG1769" t="s">
        <v>112</v>
      </c>
      <c r="AH1769" t="s">
        <v>112</v>
      </c>
      <c r="AK1769" t="s">
        <v>111</v>
      </c>
      <c r="AL1769" t="s">
        <v>111</v>
      </c>
      <c r="AM1769" t="s">
        <v>111</v>
      </c>
      <c r="AN1769" t="s">
        <v>105</v>
      </c>
      <c r="AO1769" t="s">
        <v>122</v>
      </c>
      <c r="AP1769" t="s">
        <v>122</v>
      </c>
    </row>
    <row r="1770" spans="1:42" x14ac:dyDescent="0.25">
      <c r="A1770" s="28" t="str">
        <f>"2228"</f>
        <v>2228</v>
      </c>
      <c r="B1770">
        <v>2228</v>
      </c>
      <c r="C1770" t="s">
        <v>2488</v>
      </c>
      <c r="D1770" t="s">
        <v>121</v>
      </c>
      <c r="E1770" t="s">
        <v>584</v>
      </c>
      <c r="F1770" t="s">
        <v>120</v>
      </c>
      <c r="G1770" t="s">
        <v>251</v>
      </c>
      <c r="I1770" t="s">
        <v>364</v>
      </c>
      <c r="J1770" t="s">
        <v>7</v>
      </c>
      <c r="K1770" s="63">
        <v>18779</v>
      </c>
      <c r="L1770" s="28">
        <f>DATEDIF(K1770,Zwift25!G$1,"Y")</f>
        <v>73</v>
      </c>
      <c r="M1770" s="67">
        <f>IF(J1770="m",VLOOKUP(L1770,'All Solo Adjustments'!A:D,4,FALSE),VLOOKUP(L1770,'All Solo Adjustments'!A:J,10,FALSE))</f>
        <v>7.5462962962962966E-3</v>
      </c>
      <c r="N1770" s="63"/>
      <c r="O1770" s="63"/>
      <c r="P1770" s="63"/>
      <c r="Q1770" s="63"/>
      <c r="R1770" t="s">
        <v>180</v>
      </c>
      <c r="S1770" t="s">
        <v>179</v>
      </c>
      <c r="T1770" t="s">
        <v>292</v>
      </c>
      <c r="U1770" t="s">
        <v>4360</v>
      </c>
      <c r="V1770" t="s">
        <v>4359</v>
      </c>
      <c r="W1770" t="s">
        <v>1112</v>
      </c>
      <c r="X1770" t="s">
        <v>368</v>
      </c>
      <c r="Y1770" t="s">
        <v>4358</v>
      </c>
      <c r="Z1770" t="str">
        <f>"01400 230512"</f>
        <v>01400 230512</v>
      </c>
      <c r="AA1770" t="str">
        <f>""</f>
        <v/>
      </c>
      <c r="AB1770" t="s">
        <v>1001</v>
      </c>
      <c r="AC1770" t="s">
        <v>4363</v>
      </c>
      <c r="AD1770" t="s">
        <v>145</v>
      </c>
      <c r="AE1770" s="63">
        <v>45305</v>
      </c>
      <c r="AF1770" t="s">
        <v>113</v>
      </c>
      <c r="AG1770" t="s">
        <v>112</v>
      </c>
      <c r="AH1770" t="s">
        <v>112</v>
      </c>
      <c r="AI1770" s="63">
        <v>33389</v>
      </c>
      <c r="AJ1770" s="63">
        <v>45657</v>
      </c>
      <c r="AK1770" t="s">
        <v>111</v>
      </c>
      <c r="AL1770" t="s">
        <v>111</v>
      </c>
      <c r="AM1770" t="s">
        <v>111</v>
      </c>
      <c r="AN1770">
        <v>31224</v>
      </c>
      <c r="AO1770" t="s">
        <v>110</v>
      </c>
      <c r="AP1770" t="s">
        <v>109</v>
      </c>
    </row>
    <row r="1771" spans="1:42" x14ac:dyDescent="0.25">
      <c r="A1771" s="28" t="str">
        <f>"7540"</f>
        <v>7540</v>
      </c>
      <c r="B1771">
        <v>7540</v>
      </c>
      <c r="C1771" t="s">
        <v>2488</v>
      </c>
      <c r="D1771" t="s">
        <v>121</v>
      </c>
      <c r="E1771" t="s">
        <v>584</v>
      </c>
      <c r="F1771" t="s">
        <v>149</v>
      </c>
      <c r="G1771" t="s">
        <v>4362</v>
      </c>
      <c r="I1771" t="s">
        <v>364</v>
      </c>
      <c r="J1771" t="s">
        <v>126</v>
      </c>
      <c r="K1771" s="63">
        <v>19720</v>
      </c>
      <c r="L1771" s="28">
        <f>DATEDIF(K1771,Zwift25!G$1,"Y")</f>
        <v>70</v>
      </c>
      <c r="M1771" s="67">
        <f>IF(J1771="m",VLOOKUP(L1771,'All Solo Adjustments'!A:D,4,FALSE),VLOOKUP(L1771,'All Solo Adjustments'!A:J,10,FALSE))</f>
        <v>1.15625E-2</v>
      </c>
      <c r="N1771" s="63"/>
      <c r="O1771" s="63"/>
      <c r="P1771" s="63"/>
      <c r="Q1771" s="63"/>
      <c r="R1771" t="s">
        <v>180</v>
      </c>
      <c r="S1771" t="s">
        <v>4361</v>
      </c>
      <c r="T1771" t="s">
        <v>292</v>
      </c>
      <c r="U1771" t="s">
        <v>4360</v>
      </c>
      <c r="V1771" t="s">
        <v>4359</v>
      </c>
      <c r="W1771" t="s">
        <v>1112</v>
      </c>
      <c r="X1771" t="s">
        <v>368</v>
      </c>
      <c r="Y1771" t="s">
        <v>4358</v>
      </c>
      <c r="Z1771" t="str">
        <f>"01400 230512"</f>
        <v>01400 230512</v>
      </c>
      <c r="AA1771" t="str">
        <f>""</f>
        <v/>
      </c>
      <c r="AB1771" t="s">
        <v>1001</v>
      </c>
      <c r="AC1771" t="s">
        <v>4357</v>
      </c>
      <c r="AD1771" t="s">
        <v>151</v>
      </c>
      <c r="AF1771" t="s">
        <v>113</v>
      </c>
      <c r="AG1771" t="s">
        <v>111</v>
      </c>
      <c r="AH1771" t="s">
        <v>111</v>
      </c>
      <c r="AI1771" s="63">
        <v>34330</v>
      </c>
      <c r="AK1771" t="s">
        <v>111</v>
      </c>
      <c r="AL1771" t="s">
        <v>111</v>
      </c>
      <c r="AM1771" t="s">
        <v>111</v>
      </c>
      <c r="AN1771">
        <v>31228</v>
      </c>
      <c r="AO1771" t="s">
        <v>122</v>
      </c>
      <c r="AP1771" t="s">
        <v>122</v>
      </c>
    </row>
    <row r="1772" spans="1:42" x14ac:dyDescent="0.25">
      <c r="A1772" s="28" t="str">
        <f>"2248"</f>
        <v>2248</v>
      </c>
      <c r="B1772">
        <v>2248</v>
      </c>
      <c r="C1772" t="s">
        <v>2488</v>
      </c>
      <c r="D1772" t="s">
        <v>121</v>
      </c>
      <c r="F1772" t="s">
        <v>120</v>
      </c>
      <c r="G1772" t="s">
        <v>4356</v>
      </c>
      <c r="I1772" t="s">
        <v>4355</v>
      </c>
      <c r="J1772" t="s">
        <v>7</v>
      </c>
      <c r="K1772" s="63">
        <v>14985</v>
      </c>
      <c r="L1772" s="28">
        <f>DATEDIF(K1772,Zwift25!G$1,"Y")</f>
        <v>83</v>
      </c>
      <c r="M1772" s="67">
        <f>IF(J1772="m",VLOOKUP(L1772,'All Solo Adjustments'!A:D,4,FALSE),VLOOKUP(L1772,'All Solo Adjustments'!A:J,10,FALSE))</f>
        <v>1.2858796296296297E-2</v>
      </c>
      <c r="N1772" s="63"/>
      <c r="O1772" s="63"/>
      <c r="P1772" s="63"/>
      <c r="Q1772" s="63"/>
      <c r="R1772" t="s">
        <v>137</v>
      </c>
      <c r="S1772" t="s">
        <v>136</v>
      </c>
      <c r="T1772" t="s">
        <v>292</v>
      </c>
      <c r="U1772" t="s">
        <v>4354</v>
      </c>
      <c r="V1772" t="s">
        <v>4353</v>
      </c>
      <c r="W1772" t="s">
        <v>134</v>
      </c>
      <c r="Y1772" t="s">
        <v>4352</v>
      </c>
      <c r="Z1772" t="str">
        <f>"01963 364324"</f>
        <v>01963 364324</v>
      </c>
      <c r="AA1772" t="str">
        <f>"07751006800"</f>
        <v>07751006800</v>
      </c>
      <c r="AB1772" t="s">
        <v>4351</v>
      </c>
      <c r="AC1772" t="s">
        <v>4350</v>
      </c>
      <c r="AD1772" t="s">
        <v>114</v>
      </c>
      <c r="AE1772" s="63">
        <v>45297</v>
      </c>
      <c r="AF1772" t="s">
        <v>156</v>
      </c>
      <c r="AG1772" t="s">
        <v>112</v>
      </c>
      <c r="AH1772" t="s">
        <v>112</v>
      </c>
      <c r="AI1772" s="63">
        <v>43437</v>
      </c>
      <c r="AJ1772" s="63">
        <v>45657</v>
      </c>
      <c r="AK1772" t="s">
        <v>111</v>
      </c>
      <c r="AL1772" t="s">
        <v>111</v>
      </c>
      <c r="AM1772" t="s">
        <v>111</v>
      </c>
      <c r="AN1772">
        <v>9996</v>
      </c>
      <c r="AO1772" t="s">
        <v>110</v>
      </c>
      <c r="AP1772" t="s">
        <v>109</v>
      </c>
    </row>
    <row r="1773" spans="1:42" x14ac:dyDescent="0.25">
      <c r="A1773" s="28" t="str">
        <f>"2243"</f>
        <v>2243</v>
      </c>
      <c r="B1773">
        <v>2243</v>
      </c>
      <c r="C1773" t="s">
        <v>2488</v>
      </c>
      <c r="D1773" t="s">
        <v>121</v>
      </c>
      <c r="F1773" t="s">
        <v>120</v>
      </c>
      <c r="G1773" t="s">
        <v>343</v>
      </c>
      <c r="I1773" t="s">
        <v>364</v>
      </c>
      <c r="J1773" t="s">
        <v>7</v>
      </c>
      <c r="K1773" s="63">
        <v>19099</v>
      </c>
      <c r="L1773" s="28">
        <f>DATEDIF(K1773,Zwift25!G$1,"Y")</f>
        <v>72</v>
      </c>
      <c r="M1773" s="67">
        <f>IF(J1773="m",VLOOKUP(L1773,'All Solo Adjustments'!A:D,4,FALSE),VLOOKUP(L1773,'All Solo Adjustments'!A:J,10,FALSE))</f>
        <v>7.129629629629629E-3</v>
      </c>
      <c r="N1773" s="63"/>
      <c r="O1773" s="63"/>
      <c r="P1773" s="63"/>
      <c r="Q1773" s="63"/>
      <c r="R1773" t="s">
        <v>296</v>
      </c>
      <c r="S1773" t="s">
        <v>295</v>
      </c>
      <c r="T1773" t="s">
        <v>292</v>
      </c>
      <c r="U1773" t="s">
        <v>4349</v>
      </c>
      <c r="V1773" t="s">
        <v>4348</v>
      </c>
      <c r="W1773" t="s">
        <v>4347</v>
      </c>
      <c r="X1773" t="s">
        <v>296</v>
      </c>
      <c r="Y1773" t="s">
        <v>4346</v>
      </c>
      <c r="Z1773" t="str">
        <f>"07801563961"</f>
        <v>07801563961</v>
      </c>
      <c r="AA1773" t="str">
        <f>"07801563961"</f>
        <v>07801563961</v>
      </c>
      <c r="AB1773" t="s">
        <v>2350</v>
      </c>
      <c r="AC1773" t="s">
        <v>4345</v>
      </c>
      <c r="AD1773" t="s">
        <v>114</v>
      </c>
      <c r="AE1773" s="63">
        <v>45273</v>
      </c>
      <c r="AF1773" t="s">
        <v>156</v>
      </c>
      <c r="AG1773" t="s">
        <v>112</v>
      </c>
      <c r="AH1773" t="s">
        <v>112</v>
      </c>
      <c r="AI1773" s="63">
        <v>37647</v>
      </c>
      <c r="AJ1773" s="63">
        <v>45657</v>
      </c>
      <c r="AK1773" t="s">
        <v>111</v>
      </c>
      <c r="AL1773" t="s">
        <v>111</v>
      </c>
      <c r="AM1773" t="s">
        <v>111</v>
      </c>
      <c r="AN1773">
        <v>18605</v>
      </c>
      <c r="AO1773" t="s">
        <v>110</v>
      </c>
      <c r="AP1773" t="s">
        <v>109</v>
      </c>
    </row>
    <row r="1774" spans="1:42" x14ac:dyDescent="0.25">
      <c r="A1774" s="28" t="str">
        <f>"2244"</f>
        <v>2244</v>
      </c>
      <c r="B1774">
        <v>2244</v>
      </c>
      <c r="C1774" t="s">
        <v>2488</v>
      </c>
      <c r="D1774" t="s">
        <v>121</v>
      </c>
      <c r="F1774" t="s">
        <v>120</v>
      </c>
      <c r="G1774" t="s">
        <v>1126</v>
      </c>
      <c r="I1774" t="s">
        <v>364</v>
      </c>
      <c r="J1774" t="s">
        <v>7</v>
      </c>
      <c r="K1774" s="63">
        <v>14813</v>
      </c>
      <c r="L1774" s="28">
        <f>DATEDIF(K1774,Zwift25!G$1,"Y")</f>
        <v>84</v>
      </c>
      <c r="M1774" s="67">
        <f>IF(J1774="m",VLOOKUP(L1774,'All Solo Adjustments'!A:D,4,FALSE),VLOOKUP(L1774,'All Solo Adjustments'!A:J,10,FALSE))</f>
        <v>1.3530092592592592E-2</v>
      </c>
      <c r="N1774" s="63"/>
      <c r="O1774" s="63"/>
      <c r="P1774" s="63"/>
      <c r="Q1774" s="63"/>
      <c r="R1774" t="s">
        <v>296</v>
      </c>
      <c r="S1774" t="s">
        <v>2310</v>
      </c>
      <c r="T1774" t="s">
        <v>292</v>
      </c>
      <c r="U1774" t="s">
        <v>4344</v>
      </c>
      <c r="V1774" t="s">
        <v>4343</v>
      </c>
      <c r="W1774" t="s">
        <v>1638</v>
      </c>
      <c r="Y1774" t="s">
        <v>4342</v>
      </c>
      <c r="Z1774" t="str">
        <f>"01698295793"</f>
        <v>01698295793</v>
      </c>
      <c r="AA1774" t="str">
        <f>""</f>
        <v/>
      </c>
      <c r="AB1774" t="s">
        <v>1780</v>
      </c>
      <c r="AD1774" t="s">
        <v>145</v>
      </c>
      <c r="AF1774" t="s">
        <v>113</v>
      </c>
      <c r="AG1774" t="s">
        <v>112</v>
      </c>
      <c r="AH1774" t="s">
        <v>112</v>
      </c>
      <c r="AI1774" s="63">
        <v>29241</v>
      </c>
      <c r="AK1774" t="s">
        <v>111</v>
      </c>
      <c r="AL1774" t="s">
        <v>111</v>
      </c>
      <c r="AM1774" t="s">
        <v>111</v>
      </c>
      <c r="AN1774" t="s">
        <v>105</v>
      </c>
      <c r="AO1774" t="s">
        <v>110</v>
      </c>
      <c r="AP1774" t="s">
        <v>109</v>
      </c>
    </row>
    <row r="1775" spans="1:42" x14ac:dyDescent="0.25">
      <c r="A1775" s="28" t="str">
        <f>"4948"</f>
        <v>4948</v>
      </c>
      <c r="B1775">
        <v>4948</v>
      </c>
      <c r="C1775" t="s">
        <v>2488</v>
      </c>
      <c r="D1775" t="s">
        <v>121</v>
      </c>
      <c r="F1775" t="s">
        <v>120</v>
      </c>
      <c r="G1775" t="s">
        <v>481</v>
      </c>
      <c r="I1775" t="s">
        <v>364</v>
      </c>
      <c r="J1775" t="s">
        <v>7</v>
      </c>
      <c r="K1775" s="63">
        <v>21089</v>
      </c>
      <c r="L1775" s="28">
        <f>DATEDIF(K1775,Zwift25!G$1,"Y")</f>
        <v>67</v>
      </c>
      <c r="M1775" s="67">
        <f>IF(J1775="m",VLOOKUP(L1775,'All Solo Adjustments'!A:D,4,FALSE),VLOOKUP(L1775,'All Solo Adjustments'!A:J,10,FALSE))</f>
        <v>5.2662037037037035E-3</v>
      </c>
      <c r="N1775" s="63"/>
      <c r="O1775" s="63"/>
      <c r="P1775" s="63"/>
      <c r="Q1775" s="63"/>
      <c r="R1775" t="s">
        <v>184</v>
      </c>
      <c r="S1775" t="s">
        <v>183</v>
      </c>
      <c r="T1775" t="s">
        <v>292</v>
      </c>
      <c r="U1775" t="s">
        <v>4341</v>
      </c>
      <c r="V1775" t="s">
        <v>4340</v>
      </c>
      <c r="Y1775" t="s">
        <v>4339</v>
      </c>
      <c r="Z1775" t="str">
        <f>"07968 342373"</f>
        <v>07968 342373</v>
      </c>
      <c r="AA1775" t="str">
        <f>""</f>
        <v/>
      </c>
      <c r="AB1775" t="s">
        <v>4338</v>
      </c>
      <c r="AC1775" t="s">
        <v>4337</v>
      </c>
      <c r="AD1775" t="s">
        <v>114</v>
      </c>
      <c r="AE1775" s="63">
        <v>45361</v>
      </c>
      <c r="AF1775" t="s">
        <v>156</v>
      </c>
      <c r="AG1775" t="s">
        <v>112</v>
      </c>
      <c r="AH1775" t="s">
        <v>112</v>
      </c>
      <c r="AI1775" s="63">
        <v>41711</v>
      </c>
      <c r="AJ1775" s="63">
        <v>45657</v>
      </c>
      <c r="AK1775" t="s">
        <v>111</v>
      </c>
      <c r="AL1775" t="s">
        <v>111</v>
      </c>
      <c r="AM1775" t="s">
        <v>111</v>
      </c>
      <c r="AN1775">
        <v>4042</v>
      </c>
      <c r="AO1775" t="s">
        <v>110</v>
      </c>
      <c r="AP1775" t="s">
        <v>109</v>
      </c>
    </row>
    <row r="1776" spans="1:42" x14ac:dyDescent="0.25">
      <c r="A1776" s="28" t="str">
        <f>"2215"</f>
        <v>2215</v>
      </c>
      <c r="B1776">
        <v>2215</v>
      </c>
      <c r="C1776" t="s">
        <v>2488</v>
      </c>
      <c r="D1776" t="s">
        <v>121</v>
      </c>
      <c r="F1776" t="s">
        <v>120</v>
      </c>
      <c r="G1776" t="s">
        <v>284</v>
      </c>
      <c r="H1776" t="s">
        <v>410</v>
      </c>
      <c r="I1776" t="s">
        <v>364</v>
      </c>
      <c r="J1776" t="s">
        <v>7</v>
      </c>
      <c r="K1776" s="63">
        <v>15897</v>
      </c>
      <c r="L1776" s="28">
        <f>DATEDIF(K1776,Zwift25!G$1,"Y")</f>
        <v>81</v>
      </c>
      <c r="M1776" s="67">
        <f>IF(J1776="m",VLOOKUP(L1776,'All Solo Adjustments'!A:D,4,FALSE),VLOOKUP(L1776,'All Solo Adjustments'!A:J,10,FALSE))</f>
        <v>1.1597222222222222E-2</v>
      </c>
      <c r="N1776" s="63"/>
      <c r="O1776" s="63"/>
      <c r="P1776" s="63"/>
      <c r="Q1776" s="63"/>
      <c r="R1776" t="s">
        <v>125</v>
      </c>
      <c r="S1776" t="s">
        <v>170</v>
      </c>
      <c r="T1776" t="s">
        <v>292</v>
      </c>
      <c r="U1776" t="s">
        <v>4336</v>
      </c>
      <c r="V1776" t="s">
        <v>4335</v>
      </c>
      <c r="W1776" t="s">
        <v>123</v>
      </c>
      <c r="Y1776" t="s">
        <v>4334</v>
      </c>
      <c r="Z1776" t="str">
        <f>"01279 435904"</f>
        <v>01279 435904</v>
      </c>
      <c r="AA1776" t="str">
        <f>""</f>
        <v/>
      </c>
      <c r="AB1776" t="s">
        <v>4333</v>
      </c>
      <c r="AC1776" t="s">
        <v>4332</v>
      </c>
      <c r="AD1776" t="s">
        <v>114</v>
      </c>
      <c r="AE1776" s="63">
        <v>45287</v>
      </c>
      <c r="AF1776" t="s">
        <v>113</v>
      </c>
      <c r="AG1776" t="s">
        <v>112</v>
      </c>
      <c r="AH1776" t="s">
        <v>112</v>
      </c>
      <c r="AI1776" s="63">
        <v>43444</v>
      </c>
      <c r="AJ1776" s="63">
        <v>45657</v>
      </c>
      <c r="AK1776" t="s">
        <v>111</v>
      </c>
      <c r="AL1776" t="s">
        <v>111</v>
      </c>
      <c r="AM1776" t="s">
        <v>111</v>
      </c>
      <c r="AN1776" t="s">
        <v>105</v>
      </c>
      <c r="AO1776" t="s">
        <v>110</v>
      </c>
      <c r="AP1776" t="s">
        <v>109</v>
      </c>
    </row>
    <row r="1777" spans="1:42" x14ac:dyDescent="0.25">
      <c r="A1777" s="28" t="str">
        <f>"6409"</f>
        <v>6409</v>
      </c>
      <c r="B1777">
        <v>6409</v>
      </c>
      <c r="C1777" t="s">
        <v>2488</v>
      </c>
      <c r="D1777" t="s">
        <v>121</v>
      </c>
      <c r="F1777" t="s">
        <v>120</v>
      </c>
      <c r="G1777" t="s">
        <v>405</v>
      </c>
      <c r="I1777" t="s">
        <v>364</v>
      </c>
      <c r="J1777" t="s">
        <v>7</v>
      </c>
      <c r="K1777" s="63">
        <v>28513</v>
      </c>
      <c r="L1777" s="28">
        <f>DATEDIF(K1777,Zwift25!G$1,"Y")</f>
        <v>46</v>
      </c>
      <c r="M1777" s="67">
        <f>IF(J1777="m",VLOOKUP(L1777,'All Solo Adjustments'!A:D,4,FALSE),VLOOKUP(L1777,'All Solo Adjustments'!A:J,10,FALSE))</f>
        <v>5.6712962962962956E-4</v>
      </c>
      <c r="N1777" s="63"/>
      <c r="O1777" s="63"/>
      <c r="P1777" s="63"/>
      <c r="Q1777" s="63"/>
      <c r="R1777" t="s">
        <v>125</v>
      </c>
      <c r="S1777" t="s">
        <v>170</v>
      </c>
      <c r="T1777" t="s">
        <v>292</v>
      </c>
      <c r="U1777" t="s">
        <v>4331</v>
      </c>
      <c r="V1777" t="s">
        <v>2127</v>
      </c>
      <c r="W1777" t="s">
        <v>1148</v>
      </c>
      <c r="Y1777" t="s">
        <v>4330</v>
      </c>
      <c r="Z1777" t="str">
        <f>"07555 366982"</f>
        <v>07555 366982</v>
      </c>
      <c r="AA1777" t="str">
        <f>""</f>
        <v/>
      </c>
      <c r="AB1777" t="s">
        <v>1359</v>
      </c>
      <c r="AC1777" t="s">
        <v>4329</v>
      </c>
      <c r="AD1777" t="s">
        <v>114</v>
      </c>
      <c r="AE1777" s="63">
        <v>45304</v>
      </c>
      <c r="AF1777" t="s">
        <v>156</v>
      </c>
      <c r="AG1777" t="s">
        <v>112</v>
      </c>
      <c r="AH1777" t="s">
        <v>112</v>
      </c>
      <c r="AI1777" s="63">
        <v>43132</v>
      </c>
      <c r="AJ1777" s="63">
        <v>45657</v>
      </c>
      <c r="AK1777" t="s">
        <v>111</v>
      </c>
      <c r="AL1777" t="s">
        <v>111</v>
      </c>
      <c r="AM1777" t="s">
        <v>111</v>
      </c>
      <c r="AN1777">
        <v>1001</v>
      </c>
      <c r="AO1777" t="s">
        <v>110</v>
      </c>
      <c r="AP1777" t="s">
        <v>109</v>
      </c>
    </row>
    <row r="1778" spans="1:42" x14ac:dyDescent="0.25">
      <c r="A1778" s="28" t="str">
        <f>"2216"</f>
        <v>2216</v>
      </c>
      <c r="B1778">
        <v>2216</v>
      </c>
      <c r="C1778" t="s">
        <v>2488</v>
      </c>
      <c r="D1778" t="s">
        <v>121</v>
      </c>
      <c r="F1778" t="s">
        <v>120</v>
      </c>
      <c r="G1778" t="s">
        <v>370</v>
      </c>
      <c r="I1778" t="s">
        <v>364</v>
      </c>
      <c r="J1778" t="s">
        <v>7</v>
      </c>
      <c r="K1778" s="63">
        <v>11453</v>
      </c>
      <c r="L1778" s="28">
        <f>DATEDIF(K1778,Zwift25!G$1,"Y")</f>
        <v>93</v>
      </c>
      <c r="M1778" s="67">
        <f>IF(J1778="m",VLOOKUP(L1778,'All Solo Adjustments'!A:D,4,FALSE),VLOOKUP(L1778,'All Solo Adjustments'!A:J,10,FALSE))</f>
        <v>2.1516203703703704E-2</v>
      </c>
      <c r="N1778" s="63"/>
      <c r="O1778" s="63"/>
      <c r="P1778" s="63"/>
      <c r="Q1778" s="63"/>
      <c r="R1778" t="s">
        <v>125</v>
      </c>
      <c r="S1778" t="s">
        <v>484</v>
      </c>
      <c r="T1778" t="s">
        <v>292</v>
      </c>
      <c r="U1778" t="s">
        <v>4328</v>
      </c>
      <c r="V1778" t="s">
        <v>4327</v>
      </c>
      <c r="W1778" t="s">
        <v>3478</v>
      </c>
      <c r="X1778" t="s">
        <v>123</v>
      </c>
      <c r="Y1778" t="s">
        <v>4326</v>
      </c>
      <c r="Z1778" t="str">
        <f>"01375 859284"</f>
        <v>01375 859284</v>
      </c>
      <c r="AA1778" t="str">
        <f>""</f>
        <v/>
      </c>
      <c r="AB1778" t="s">
        <v>2319</v>
      </c>
      <c r="AD1778" t="s">
        <v>151</v>
      </c>
      <c r="AF1778" t="s">
        <v>113</v>
      </c>
      <c r="AG1778" t="s">
        <v>112</v>
      </c>
      <c r="AH1778" t="s">
        <v>112</v>
      </c>
      <c r="AI1778" s="63">
        <v>25934</v>
      </c>
      <c r="AK1778" t="s">
        <v>111</v>
      </c>
      <c r="AL1778" t="s">
        <v>111</v>
      </c>
      <c r="AM1778" t="s">
        <v>111</v>
      </c>
      <c r="AN1778" t="s">
        <v>105</v>
      </c>
      <c r="AO1778" t="s">
        <v>110</v>
      </c>
      <c r="AP1778" t="s">
        <v>109</v>
      </c>
    </row>
    <row r="1779" spans="1:42" x14ac:dyDescent="0.25">
      <c r="A1779" s="28" t="str">
        <f>"2234"</f>
        <v>2234</v>
      </c>
      <c r="B1779">
        <v>2234</v>
      </c>
      <c r="C1779" t="s">
        <v>2488</v>
      </c>
      <c r="D1779" t="s">
        <v>121</v>
      </c>
      <c r="F1779" t="s">
        <v>120</v>
      </c>
      <c r="G1779" t="s">
        <v>1126</v>
      </c>
      <c r="I1779" t="s">
        <v>364</v>
      </c>
      <c r="J1779" t="s">
        <v>7</v>
      </c>
      <c r="K1779" s="63">
        <v>12515</v>
      </c>
      <c r="L1779" s="28">
        <f>DATEDIF(K1779,Zwift25!G$1,"Y")</f>
        <v>90</v>
      </c>
      <c r="M1779" s="67">
        <f>IF(J1779="m",VLOOKUP(L1779,'All Solo Adjustments'!A:D,4,FALSE),VLOOKUP(L1779,'All Solo Adjustments'!A:J,10,FALSE))</f>
        <v>1.8391203703703705E-2</v>
      </c>
      <c r="N1779" s="63"/>
      <c r="O1779" s="63"/>
      <c r="P1779" s="63"/>
      <c r="Q1779" s="63"/>
      <c r="R1779" t="s">
        <v>239</v>
      </c>
      <c r="S1779" t="s">
        <v>437</v>
      </c>
      <c r="T1779" t="s">
        <v>292</v>
      </c>
      <c r="U1779" t="s">
        <v>4311</v>
      </c>
      <c r="V1779" t="s">
        <v>4310</v>
      </c>
      <c r="W1779" t="s">
        <v>127</v>
      </c>
      <c r="Y1779" t="s">
        <v>4309</v>
      </c>
      <c r="Z1779" t="str">
        <f>"01904 704174"</f>
        <v>01904 704174</v>
      </c>
      <c r="AA1779" t="str">
        <f>""</f>
        <v/>
      </c>
      <c r="AB1779" t="s">
        <v>3980</v>
      </c>
      <c r="AC1779" t="s">
        <v>4325</v>
      </c>
      <c r="AD1779" t="s">
        <v>151</v>
      </c>
      <c r="AF1779" t="s">
        <v>113</v>
      </c>
      <c r="AG1779" t="s">
        <v>112</v>
      </c>
      <c r="AH1779" t="s">
        <v>112</v>
      </c>
      <c r="AI1779" s="63">
        <v>31073</v>
      </c>
      <c r="AK1779" t="s">
        <v>111</v>
      </c>
      <c r="AL1779" t="s">
        <v>111</v>
      </c>
      <c r="AM1779" t="s">
        <v>111</v>
      </c>
      <c r="AN1779" t="s">
        <v>105</v>
      </c>
      <c r="AO1779" t="s">
        <v>110</v>
      </c>
      <c r="AP1779" t="s">
        <v>109</v>
      </c>
    </row>
    <row r="1780" spans="1:42" x14ac:dyDescent="0.25">
      <c r="A1780" s="28" t="str">
        <f>"3544"</f>
        <v>3544</v>
      </c>
      <c r="B1780">
        <v>3544</v>
      </c>
      <c r="C1780" t="s">
        <v>2488</v>
      </c>
      <c r="D1780" t="s">
        <v>121</v>
      </c>
      <c r="F1780" t="s">
        <v>120</v>
      </c>
      <c r="G1780" t="s">
        <v>251</v>
      </c>
      <c r="H1780" t="s">
        <v>241</v>
      </c>
      <c r="I1780" t="s">
        <v>364</v>
      </c>
      <c r="J1780" t="s">
        <v>7</v>
      </c>
      <c r="K1780" s="63">
        <v>15955</v>
      </c>
      <c r="L1780" s="28">
        <f>DATEDIF(K1780,Zwift25!G$1,"Y")</f>
        <v>81</v>
      </c>
      <c r="M1780" s="67">
        <f>IF(J1780="m",VLOOKUP(L1780,'All Solo Adjustments'!A:D,4,FALSE),VLOOKUP(L1780,'All Solo Adjustments'!A:J,10,FALSE))</f>
        <v>1.1597222222222222E-2</v>
      </c>
      <c r="N1780" s="63"/>
      <c r="O1780" s="63"/>
      <c r="P1780" s="63"/>
      <c r="Q1780" s="63"/>
      <c r="R1780" t="s">
        <v>213</v>
      </c>
      <c r="S1780" t="s">
        <v>2309</v>
      </c>
      <c r="T1780" t="s">
        <v>292</v>
      </c>
      <c r="U1780" t="s">
        <v>4324</v>
      </c>
      <c r="V1780" t="s">
        <v>4323</v>
      </c>
      <c r="W1780" t="s">
        <v>4322</v>
      </c>
      <c r="X1780" t="s">
        <v>1225</v>
      </c>
      <c r="Y1780" t="s">
        <v>4321</v>
      </c>
      <c r="Z1780" t="str">
        <f>"07835388595"</f>
        <v>07835388595</v>
      </c>
      <c r="AA1780" t="str">
        <f>""</f>
        <v/>
      </c>
      <c r="AB1780" t="s">
        <v>1113</v>
      </c>
      <c r="AC1780" t="s">
        <v>4320</v>
      </c>
      <c r="AD1780" t="s">
        <v>145</v>
      </c>
      <c r="AF1780" t="s">
        <v>113</v>
      </c>
      <c r="AG1780" t="s">
        <v>112</v>
      </c>
      <c r="AH1780" t="s">
        <v>112</v>
      </c>
      <c r="AI1780" s="63">
        <v>39844</v>
      </c>
      <c r="AK1780" t="s">
        <v>111</v>
      </c>
      <c r="AL1780" t="s">
        <v>111</v>
      </c>
      <c r="AM1780" t="s">
        <v>111</v>
      </c>
      <c r="AN1780">
        <v>9103</v>
      </c>
      <c r="AO1780" t="s">
        <v>110</v>
      </c>
      <c r="AP1780" t="s">
        <v>109</v>
      </c>
    </row>
    <row r="1781" spans="1:42" x14ac:dyDescent="0.25">
      <c r="A1781" s="28" t="str">
        <f>"4637"</f>
        <v>4637</v>
      </c>
      <c r="B1781">
        <v>4637</v>
      </c>
      <c r="C1781" t="s">
        <v>2488</v>
      </c>
      <c r="D1781" t="s">
        <v>121</v>
      </c>
      <c r="F1781" t="s">
        <v>120</v>
      </c>
      <c r="G1781" t="s">
        <v>284</v>
      </c>
      <c r="H1781" t="s">
        <v>164</v>
      </c>
      <c r="I1781" t="s">
        <v>364</v>
      </c>
      <c r="J1781" t="s">
        <v>7</v>
      </c>
      <c r="K1781" s="63">
        <v>13880</v>
      </c>
      <c r="L1781" s="28">
        <f>DATEDIF(K1781,Zwift25!G$1,"Y")</f>
        <v>86</v>
      </c>
      <c r="M1781" s="67">
        <f>IF(J1781="m",VLOOKUP(L1781,'All Solo Adjustments'!A:D,4,FALSE),VLOOKUP(L1781,'All Solo Adjustments'!A:J,10,FALSE))</f>
        <v>1.4988425925925926E-2</v>
      </c>
      <c r="N1781" s="63"/>
      <c r="O1781" s="63"/>
      <c r="P1781" s="63"/>
      <c r="Q1781" s="63"/>
      <c r="R1781" t="s">
        <v>118</v>
      </c>
      <c r="S1781" t="s">
        <v>117</v>
      </c>
      <c r="T1781" t="s">
        <v>292</v>
      </c>
      <c r="U1781" t="s">
        <v>4319</v>
      </c>
      <c r="V1781" t="s">
        <v>4318</v>
      </c>
      <c r="W1781" t="s">
        <v>1430</v>
      </c>
      <c r="Y1781" t="s">
        <v>4317</v>
      </c>
      <c r="Z1781" t="str">
        <f>"01709 709109"</f>
        <v>01709 709109</v>
      </c>
      <c r="AA1781" t="str">
        <f>""</f>
        <v/>
      </c>
      <c r="AB1781" t="s">
        <v>4316</v>
      </c>
      <c r="AC1781" t="s">
        <v>4315</v>
      </c>
      <c r="AD1781" t="s">
        <v>114</v>
      </c>
      <c r="AE1781" s="63">
        <v>45283</v>
      </c>
      <c r="AF1781" t="s">
        <v>113</v>
      </c>
      <c r="AG1781" t="s">
        <v>112</v>
      </c>
      <c r="AH1781" t="s">
        <v>112</v>
      </c>
      <c r="AI1781" s="63">
        <v>41265</v>
      </c>
      <c r="AJ1781" s="63">
        <v>45657</v>
      </c>
      <c r="AK1781" t="s">
        <v>111</v>
      </c>
      <c r="AL1781" t="s">
        <v>111</v>
      </c>
      <c r="AM1781" t="s">
        <v>111</v>
      </c>
      <c r="AN1781">
        <v>4476</v>
      </c>
      <c r="AO1781" t="s">
        <v>110</v>
      </c>
      <c r="AP1781" t="s">
        <v>109</v>
      </c>
    </row>
    <row r="1782" spans="1:42" x14ac:dyDescent="0.25">
      <c r="A1782" s="28" t="str">
        <f>"6353"</f>
        <v>6353</v>
      </c>
      <c r="B1782">
        <v>6353</v>
      </c>
      <c r="C1782" t="s">
        <v>2488</v>
      </c>
      <c r="D1782" t="s">
        <v>121</v>
      </c>
      <c r="F1782" t="s">
        <v>120</v>
      </c>
      <c r="G1782" t="s">
        <v>783</v>
      </c>
      <c r="H1782" t="s">
        <v>359</v>
      </c>
      <c r="I1782" t="s">
        <v>364</v>
      </c>
      <c r="J1782" t="s">
        <v>7</v>
      </c>
      <c r="K1782" s="63">
        <v>20031</v>
      </c>
      <c r="L1782" s="28">
        <f>DATEDIF(K1782,Zwift25!G$1,"Y")</f>
        <v>69</v>
      </c>
      <c r="M1782" s="67">
        <f>IF(J1782="m",VLOOKUP(L1782,'All Solo Adjustments'!A:D,4,FALSE),VLOOKUP(L1782,'All Solo Adjustments'!A:J,10,FALSE))</f>
        <v>5.9722222222222225E-3</v>
      </c>
      <c r="N1782" s="63"/>
      <c r="O1782" s="63"/>
      <c r="P1782" s="63"/>
      <c r="Q1782" s="63"/>
      <c r="R1782" t="s">
        <v>118</v>
      </c>
      <c r="S1782" t="s">
        <v>117</v>
      </c>
      <c r="T1782" t="s">
        <v>292</v>
      </c>
      <c r="U1782" t="s">
        <v>4314</v>
      </c>
      <c r="V1782" t="s">
        <v>1687</v>
      </c>
      <c r="W1782" t="s">
        <v>968</v>
      </c>
      <c r="Y1782" t="s">
        <v>4313</v>
      </c>
      <c r="Z1782" t="str">
        <f>"07936 099268"</f>
        <v>07936 099268</v>
      </c>
      <c r="AA1782" t="str">
        <f>""</f>
        <v/>
      </c>
      <c r="AC1782" t="s">
        <v>4312</v>
      </c>
      <c r="AD1782" t="s">
        <v>114</v>
      </c>
      <c r="AE1782" s="63">
        <v>45263</v>
      </c>
      <c r="AF1782" t="s">
        <v>113</v>
      </c>
      <c r="AG1782" t="s">
        <v>112</v>
      </c>
      <c r="AH1782" t="s">
        <v>112</v>
      </c>
      <c r="AI1782" s="63">
        <v>42736</v>
      </c>
      <c r="AJ1782" s="63">
        <v>45657</v>
      </c>
      <c r="AK1782" t="s">
        <v>111</v>
      </c>
      <c r="AL1782" t="s">
        <v>111</v>
      </c>
      <c r="AM1782" t="s">
        <v>111</v>
      </c>
      <c r="AN1782">
        <v>2856</v>
      </c>
      <c r="AO1782" t="s">
        <v>110</v>
      </c>
      <c r="AP1782" t="s">
        <v>109</v>
      </c>
    </row>
    <row r="1783" spans="1:42" x14ac:dyDescent="0.25">
      <c r="A1783" s="28" t="str">
        <f>"12987"</f>
        <v>12987</v>
      </c>
      <c r="B1783">
        <v>12987</v>
      </c>
      <c r="C1783" t="s">
        <v>2488</v>
      </c>
      <c r="D1783" t="s">
        <v>121</v>
      </c>
      <c r="F1783" t="s">
        <v>149</v>
      </c>
      <c r="G1783" t="s">
        <v>894</v>
      </c>
      <c r="I1783" t="s">
        <v>364</v>
      </c>
      <c r="J1783" t="s">
        <v>126</v>
      </c>
      <c r="K1783" s="63">
        <v>1</v>
      </c>
      <c r="L1783" s="28">
        <f>DATEDIF(K1783,Zwift25!G$1,"Y")</f>
        <v>124</v>
      </c>
      <c r="M1783" s="67" t="e">
        <f>IF(J1783="m",VLOOKUP(L1783,'All Solo Adjustments'!A:D,4,FALSE),VLOOKUP(L1783,'All Solo Adjustments'!A:J,10,FALSE))</f>
        <v>#N/A</v>
      </c>
      <c r="N1783" s="63"/>
      <c r="O1783" s="63"/>
      <c r="P1783" s="63"/>
      <c r="Q1783" s="63"/>
      <c r="R1783" t="s">
        <v>239</v>
      </c>
      <c r="S1783" t="s">
        <v>437</v>
      </c>
      <c r="T1783" t="s">
        <v>292</v>
      </c>
      <c r="U1783" t="s">
        <v>4311</v>
      </c>
      <c r="V1783" t="s">
        <v>4310</v>
      </c>
      <c r="W1783" t="s">
        <v>127</v>
      </c>
      <c r="Y1783" t="s">
        <v>4309</v>
      </c>
      <c r="Z1783" t="str">
        <f>"01904 704174"</f>
        <v>01904 704174</v>
      </c>
      <c r="AA1783" t="str">
        <f>""</f>
        <v/>
      </c>
      <c r="AB1783" t="s">
        <v>3980</v>
      </c>
      <c r="AD1783" t="s">
        <v>145</v>
      </c>
      <c r="AF1783" t="s">
        <v>113</v>
      </c>
      <c r="AG1783" t="s">
        <v>111</v>
      </c>
      <c r="AH1783" t="s">
        <v>111</v>
      </c>
      <c r="AI1783" s="63">
        <v>31073</v>
      </c>
      <c r="AK1783" t="s">
        <v>111</v>
      </c>
      <c r="AL1783" t="s">
        <v>111</v>
      </c>
      <c r="AM1783" t="s">
        <v>111</v>
      </c>
      <c r="AN1783" t="s">
        <v>105</v>
      </c>
      <c r="AO1783" t="s">
        <v>122</v>
      </c>
      <c r="AP1783" t="s">
        <v>122</v>
      </c>
    </row>
    <row r="1784" spans="1:42" x14ac:dyDescent="0.25">
      <c r="A1784" s="28" t="str">
        <f>"2225"</f>
        <v>2225</v>
      </c>
      <c r="B1784">
        <v>2225</v>
      </c>
      <c r="C1784" t="s">
        <v>2488</v>
      </c>
      <c r="D1784" t="s">
        <v>121</v>
      </c>
      <c r="F1784" t="s">
        <v>120</v>
      </c>
      <c r="G1784" t="s">
        <v>195</v>
      </c>
      <c r="H1784" t="s">
        <v>506</v>
      </c>
      <c r="I1784" t="s">
        <v>364</v>
      </c>
      <c r="J1784" t="s">
        <v>7</v>
      </c>
      <c r="K1784" s="63">
        <v>18266</v>
      </c>
      <c r="L1784" s="28">
        <f>DATEDIF(K1784,Zwift25!G$1,"Y")</f>
        <v>74</v>
      </c>
      <c r="M1784" s="67">
        <f>IF(J1784="m",VLOOKUP(L1784,'All Solo Adjustments'!A:D,4,FALSE),VLOOKUP(L1784,'All Solo Adjustments'!A:J,10,FALSE))</f>
        <v>7.9861111111111122E-3</v>
      </c>
      <c r="N1784" s="63"/>
      <c r="O1784" s="63"/>
      <c r="P1784" s="63"/>
      <c r="Q1784" s="63"/>
      <c r="R1784" t="s">
        <v>328</v>
      </c>
      <c r="S1784" t="s">
        <v>327</v>
      </c>
      <c r="T1784" t="s">
        <v>292</v>
      </c>
      <c r="U1784" t="s">
        <v>4308</v>
      </c>
      <c r="V1784" t="s">
        <v>4307</v>
      </c>
      <c r="W1784" t="s">
        <v>708</v>
      </c>
      <c r="X1784" t="s">
        <v>325</v>
      </c>
      <c r="Y1784" t="s">
        <v>4306</v>
      </c>
      <c r="Z1784" t="str">
        <f>"01257 480840"</f>
        <v>01257 480840</v>
      </c>
      <c r="AA1784" t="str">
        <f>"07930 117722"</f>
        <v>07930 117722</v>
      </c>
      <c r="AB1784" t="s">
        <v>1704</v>
      </c>
      <c r="AC1784" t="s">
        <v>4305</v>
      </c>
      <c r="AD1784" t="s">
        <v>114</v>
      </c>
      <c r="AE1784" s="63">
        <v>45292</v>
      </c>
      <c r="AF1784" t="s">
        <v>113</v>
      </c>
      <c r="AG1784" t="s">
        <v>112</v>
      </c>
      <c r="AH1784" t="s">
        <v>112</v>
      </c>
      <c r="AI1784" s="63">
        <v>42027</v>
      </c>
      <c r="AJ1784" s="63">
        <v>45657</v>
      </c>
      <c r="AK1784" t="s">
        <v>111</v>
      </c>
      <c r="AL1784" t="s">
        <v>111</v>
      </c>
      <c r="AM1784" t="s">
        <v>111</v>
      </c>
      <c r="AN1784">
        <v>2379</v>
      </c>
      <c r="AO1784" t="s">
        <v>110</v>
      </c>
      <c r="AP1784" t="s">
        <v>109</v>
      </c>
    </row>
    <row r="1785" spans="1:42" x14ac:dyDescent="0.25">
      <c r="A1785" s="28" t="str">
        <f>"13255"</f>
        <v>13255</v>
      </c>
      <c r="B1785">
        <v>13255</v>
      </c>
      <c r="C1785" t="s">
        <v>2488</v>
      </c>
      <c r="D1785" t="s">
        <v>121</v>
      </c>
      <c r="E1785" t="s">
        <v>584</v>
      </c>
      <c r="F1785" t="s">
        <v>120</v>
      </c>
      <c r="G1785" t="s">
        <v>952</v>
      </c>
      <c r="I1785" t="s">
        <v>364</v>
      </c>
      <c r="J1785" t="s">
        <v>7</v>
      </c>
      <c r="K1785" s="63">
        <v>23764</v>
      </c>
      <c r="L1785" s="28">
        <f>DATEDIF(K1785,Zwift25!G$1,"Y")</f>
        <v>59</v>
      </c>
      <c r="M1785" s="67">
        <f>IF(J1785="m",VLOOKUP(L1785,'All Solo Adjustments'!A:D,4,FALSE),VLOOKUP(L1785,'All Solo Adjustments'!A:J,10,FALSE))</f>
        <v>2.9629629629629632E-3</v>
      </c>
      <c r="N1785" s="63"/>
      <c r="O1785" s="63"/>
      <c r="P1785" s="63"/>
      <c r="Q1785" s="63"/>
      <c r="R1785" t="s">
        <v>296</v>
      </c>
      <c r="S1785" t="s">
        <v>295</v>
      </c>
      <c r="T1785" t="s">
        <v>292</v>
      </c>
      <c r="U1785" t="s">
        <v>4304</v>
      </c>
      <c r="V1785" t="s">
        <v>1956</v>
      </c>
      <c r="W1785" t="s">
        <v>804</v>
      </c>
      <c r="Y1785" t="s">
        <v>4303</v>
      </c>
      <c r="Z1785" t="str">
        <f>"07704 417319"</f>
        <v>07704 417319</v>
      </c>
      <c r="AA1785" t="str">
        <f>""</f>
        <v/>
      </c>
      <c r="AB1785" t="s">
        <v>803</v>
      </c>
      <c r="AC1785" t="s">
        <v>4302</v>
      </c>
      <c r="AD1785" t="s">
        <v>114</v>
      </c>
      <c r="AE1785" s="63">
        <v>45264</v>
      </c>
      <c r="AF1785" t="s">
        <v>156</v>
      </c>
      <c r="AG1785" t="s">
        <v>112</v>
      </c>
      <c r="AH1785" t="s">
        <v>112</v>
      </c>
      <c r="AI1785" s="63">
        <v>43249</v>
      </c>
      <c r="AJ1785" s="63">
        <v>45657</v>
      </c>
      <c r="AK1785" t="s">
        <v>112</v>
      </c>
      <c r="AL1785" t="s">
        <v>111</v>
      </c>
      <c r="AM1785" t="s">
        <v>111</v>
      </c>
      <c r="AN1785">
        <v>18045</v>
      </c>
      <c r="AO1785" t="s">
        <v>110</v>
      </c>
      <c r="AP1785" t="s">
        <v>109</v>
      </c>
    </row>
    <row r="1786" spans="1:42" x14ac:dyDescent="0.25">
      <c r="A1786" s="28" t="str">
        <f>"13696"</f>
        <v>13696</v>
      </c>
      <c r="B1786">
        <v>13696</v>
      </c>
      <c r="C1786" t="s">
        <v>2488</v>
      </c>
      <c r="D1786" t="s">
        <v>121</v>
      </c>
      <c r="E1786" t="s">
        <v>584</v>
      </c>
      <c r="F1786" t="s">
        <v>120</v>
      </c>
      <c r="G1786" t="s">
        <v>185</v>
      </c>
      <c r="I1786" t="s">
        <v>364</v>
      </c>
      <c r="J1786" t="s">
        <v>7</v>
      </c>
      <c r="K1786" s="63">
        <v>26327</v>
      </c>
      <c r="L1786" s="28">
        <f>DATEDIF(K1786,Zwift25!G$1,"Y")</f>
        <v>52</v>
      </c>
      <c r="M1786" s="67">
        <f>IF(J1786="m",VLOOKUP(L1786,'All Solo Adjustments'!A:D,4,FALSE),VLOOKUP(L1786,'All Solo Adjustments'!A:J,10,FALSE))</f>
        <v>1.4814814814814816E-3</v>
      </c>
      <c r="N1786" s="63"/>
      <c r="O1786" s="63"/>
      <c r="P1786" s="63"/>
      <c r="Q1786" s="63"/>
      <c r="R1786" t="s">
        <v>159</v>
      </c>
      <c r="S1786" t="s">
        <v>162</v>
      </c>
      <c r="T1786" t="s">
        <v>292</v>
      </c>
      <c r="U1786" t="s">
        <v>4301</v>
      </c>
      <c r="V1786" t="s">
        <v>293</v>
      </c>
      <c r="Y1786" t="s">
        <v>4300</v>
      </c>
      <c r="Z1786" t="str">
        <f>"07920 50 50 55"</f>
        <v>07920 50 50 55</v>
      </c>
      <c r="AA1786" t="str">
        <f>"07920505055"</f>
        <v>07920505055</v>
      </c>
      <c r="AB1786" t="s">
        <v>3442</v>
      </c>
      <c r="AC1786" t="s">
        <v>4299</v>
      </c>
      <c r="AD1786" t="s">
        <v>114</v>
      </c>
      <c r="AE1786" s="63">
        <v>45343</v>
      </c>
      <c r="AF1786" t="s">
        <v>156</v>
      </c>
      <c r="AG1786" t="s">
        <v>112</v>
      </c>
      <c r="AH1786" t="s">
        <v>112</v>
      </c>
      <c r="AI1786" s="63">
        <v>43285</v>
      </c>
      <c r="AJ1786" s="63">
        <v>45657</v>
      </c>
      <c r="AK1786" t="s">
        <v>112</v>
      </c>
      <c r="AL1786" t="s">
        <v>111</v>
      </c>
      <c r="AM1786" t="s">
        <v>111</v>
      </c>
      <c r="AN1786" t="s">
        <v>105</v>
      </c>
      <c r="AO1786" t="s">
        <v>110</v>
      </c>
      <c r="AP1786" t="s">
        <v>109</v>
      </c>
    </row>
    <row r="1787" spans="1:42" x14ac:dyDescent="0.25">
      <c r="A1787" s="28" t="str">
        <f>"13909"</f>
        <v>13909</v>
      </c>
      <c r="B1787">
        <v>13909</v>
      </c>
      <c r="C1787" t="s">
        <v>2488</v>
      </c>
      <c r="D1787" t="s">
        <v>121</v>
      </c>
      <c r="E1787" t="s">
        <v>584</v>
      </c>
      <c r="F1787" t="s">
        <v>120</v>
      </c>
      <c r="G1787" t="s">
        <v>1183</v>
      </c>
      <c r="I1787" t="s">
        <v>364</v>
      </c>
      <c r="J1787" t="s">
        <v>7</v>
      </c>
      <c r="K1787" s="63">
        <v>25047</v>
      </c>
      <c r="L1787" s="28">
        <f>DATEDIF(K1787,Zwift25!G$1,"Y")</f>
        <v>56</v>
      </c>
      <c r="M1787" s="67">
        <f>IF(J1787="m",VLOOKUP(L1787,'All Solo Adjustments'!A:D,4,FALSE),VLOOKUP(L1787,'All Solo Adjustments'!A:J,10,FALSE))</f>
        <v>2.2685185185185182E-3</v>
      </c>
      <c r="N1787" s="63"/>
      <c r="O1787" s="63"/>
      <c r="P1787" s="63"/>
      <c r="Q1787" s="63"/>
      <c r="R1787" t="s">
        <v>154</v>
      </c>
      <c r="S1787" t="s">
        <v>153</v>
      </c>
      <c r="T1787" t="s">
        <v>292</v>
      </c>
      <c r="U1787" t="s">
        <v>4298</v>
      </c>
      <c r="W1787" t="s">
        <v>669</v>
      </c>
      <c r="Y1787" t="s">
        <v>4297</v>
      </c>
      <c r="Z1787" t="str">
        <f>"07428817818"</f>
        <v>07428817818</v>
      </c>
      <c r="AA1787" t="str">
        <f>"07428817818"</f>
        <v>07428817818</v>
      </c>
      <c r="AB1787" t="s">
        <v>668</v>
      </c>
      <c r="AC1787" t="s">
        <v>4296</v>
      </c>
      <c r="AD1787" t="s">
        <v>114</v>
      </c>
      <c r="AE1787" s="63">
        <v>45284</v>
      </c>
      <c r="AF1787" t="s">
        <v>156</v>
      </c>
      <c r="AG1787" t="s">
        <v>112</v>
      </c>
      <c r="AH1787" t="s">
        <v>112</v>
      </c>
      <c r="AI1787" s="63">
        <v>43434</v>
      </c>
      <c r="AJ1787" s="63">
        <v>45657</v>
      </c>
      <c r="AK1787" t="s">
        <v>112</v>
      </c>
      <c r="AL1787" t="s">
        <v>111</v>
      </c>
      <c r="AM1787" t="s">
        <v>111</v>
      </c>
      <c r="AN1787">
        <v>599</v>
      </c>
      <c r="AO1787" t="s">
        <v>110</v>
      </c>
      <c r="AP1787" t="s">
        <v>109</v>
      </c>
    </row>
    <row r="1788" spans="1:42" x14ac:dyDescent="0.25">
      <c r="A1788" s="28" t="str">
        <f>"14078"</f>
        <v>14078</v>
      </c>
      <c r="B1788">
        <v>14078</v>
      </c>
      <c r="C1788" t="s">
        <v>2488</v>
      </c>
      <c r="D1788" t="s">
        <v>121</v>
      </c>
      <c r="E1788" t="s">
        <v>584</v>
      </c>
      <c r="F1788" t="s">
        <v>120</v>
      </c>
      <c r="G1788" t="s">
        <v>1245</v>
      </c>
      <c r="H1788" t="s">
        <v>492</v>
      </c>
      <c r="I1788" t="s">
        <v>364</v>
      </c>
      <c r="J1788" t="s">
        <v>7</v>
      </c>
      <c r="K1788" s="63">
        <v>24655</v>
      </c>
      <c r="L1788" s="28">
        <f>DATEDIF(K1788,Zwift25!G$1,"Y")</f>
        <v>57</v>
      </c>
      <c r="M1788" s="67">
        <f>IF(J1788="m",VLOOKUP(L1788,'All Solo Adjustments'!A:D,4,FALSE),VLOOKUP(L1788,'All Solo Adjustments'!A:J,10,FALSE))</f>
        <v>2.488425925925926E-3</v>
      </c>
      <c r="N1788" s="63"/>
      <c r="O1788" s="63"/>
      <c r="P1788" s="63"/>
      <c r="Q1788" s="63"/>
      <c r="R1788" t="s">
        <v>180</v>
      </c>
      <c r="S1788" t="s">
        <v>179</v>
      </c>
      <c r="T1788" t="s">
        <v>292</v>
      </c>
      <c r="U1788" t="s">
        <v>4295</v>
      </c>
      <c r="V1788" t="s">
        <v>4294</v>
      </c>
      <c r="W1788" t="s">
        <v>983</v>
      </c>
      <c r="Y1788" t="s">
        <v>4293</v>
      </c>
      <c r="Z1788" t="str">
        <f>"7974561629"</f>
        <v>7974561629</v>
      </c>
      <c r="AA1788" t="str">
        <f>""</f>
        <v/>
      </c>
      <c r="AB1788" t="s">
        <v>2078</v>
      </c>
      <c r="AC1788" t="s">
        <v>4292</v>
      </c>
      <c r="AD1788" t="s">
        <v>114</v>
      </c>
      <c r="AE1788" s="63">
        <v>45262</v>
      </c>
      <c r="AF1788" t="s">
        <v>156</v>
      </c>
      <c r="AG1788" t="s">
        <v>112</v>
      </c>
      <c r="AH1788" t="s">
        <v>112</v>
      </c>
      <c r="AI1788" s="63">
        <v>43519</v>
      </c>
      <c r="AJ1788" s="63">
        <v>45657</v>
      </c>
      <c r="AK1788" t="s">
        <v>112</v>
      </c>
      <c r="AL1788" t="s">
        <v>111</v>
      </c>
      <c r="AM1788" t="s">
        <v>111</v>
      </c>
      <c r="AN1788">
        <v>28563</v>
      </c>
      <c r="AO1788" t="s">
        <v>110</v>
      </c>
      <c r="AP1788" t="s">
        <v>109</v>
      </c>
    </row>
    <row r="1789" spans="1:42" x14ac:dyDescent="0.25">
      <c r="A1789" s="28" t="str">
        <f>"15699"</f>
        <v>15699</v>
      </c>
      <c r="B1789">
        <v>15699</v>
      </c>
      <c r="C1789" t="s">
        <v>2488</v>
      </c>
      <c r="D1789" t="s">
        <v>121</v>
      </c>
      <c r="E1789" t="s">
        <v>584</v>
      </c>
      <c r="F1789" t="s">
        <v>120</v>
      </c>
      <c r="G1789" t="s">
        <v>230</v>
      </c>
      <c r="H1789" t="s">
        <v>245</v>
      </c>
      <c r="I1789" t="s">
        <v>364</v>
      </c>
      <c r="J1789" t="s">
        <v>7</v>
      </c>
      <c r="K1789" s="63">
        <v>21502</v>
      </c>
      <c r="L1789" s="28">
        <f>DATEDIF(K1789,Zwift25!G$1,"Y")</f>
        <v>65</v>
      </c>
      <c r="M1789" s="67">
        <f>IF(J1789="m",VLOOKUP(L1789,'All Solo Adjustments'!A:D,4,FALSE),VLOOKUP(L1789,'All Solo Adjustments'!A:J,10,FALSE))</f>
        <v>4.6180555555555558E-3</v>
      </c>
      <c r="N1789" s="63"/>
      <c r="O1789" s="63"/>
      <c r="P1789" s="63"/>
      <c r="Q1789" s="63"/>
      <c r="R1789" t="s">
        <v>296</v>
      </c>
      <c r="S1789" t="s">
        <v>295</v>
      </c>
      <c r="T1789" t="s">
        <v>292</v>
      </c>
      <c r="U1789" t="s">
        <v>4291</v>
      </c>
      <c r="V1789" t="s">
        <v>4290</v>
      </c>
      <c r="W1789" t="s">
        <v>1954</v>
      </c>
      <c r="X1789" t="s">
        <v>2034</v>
      </c>
      <c r="Y1789" t="s">
        <v>4289</v>
      </c>
      <c r="Z1789" t="str">
        <f>"07425219018"</f>
        <v>07425219018</v>
      </c>
      <c r="AA1789" t="str">
        <f>""</f>
        <v/>
      </c>
      <c r="AB1789" t="s">
        <v>290</v>
      </c>
      <c r="AC1789" t="s">
        <v>4288</v>
      </c>
      <c r="AD1789" t="s">
        <v>114</v>
      </c>
      <c r="AE1789" s="63">
        <v>45293</v>
      </c>
      <c r="AF1789" t="s">
        <v>156</v>
      </c>
      <c r="AG1789" t="s">
        <v>112</v>
      </c>
      <c r="AH1789" t="s">
        <v>112</v>
      </c>
      <c r="AI1789" s="63">
        <v>44976</v>
      </c>
      <c r="AJ1789" s="63">
        <v>45657</v>
      </c>
      <c r="AK1789" t="s">
        <v>112</v>
      </c>
      <c r="AL1789" t="s">
        <v>111</v>
      </c>
      <c r="AM1789" t="s">
        <v>111</v>
      </c>
      <c r="AN1789">
        <v>25953</v>
      </c>
      <c r="AO1789" t="s">
        <v>110</v>
      </c>
      <c r="AP1789" t="s">
        <v>109</v>
      </c>
    </row>
    <row r="1790" spans="1:42" x14ac:dyDescent="0.25">
      <c r="A1790" s="28" t="str">
        <f>"15741"</f>
        <v>15741</v>
      </c>
      <c r="B1790">
        <v>15741</v>
      </c>
      <c r="C1790" t="s">
        <v>2488</v>
      </c>
      <c r="D1790" t="s">
        <v>121</v>
      </c>
      <c r="F1790" t="s">
        <v>120</v>
      </c>
      <c r="G1790" t="s">
        <v>405</v>
      </c>
      <c r="I1790" t="s">
        <v>364</v>
      </c>
      <c r="J1790" t="s">
        <v>7</v>
      </c>
      <c r="K1790" s="63">
        <v>29234</v>
      </c>
      <c r="L1790" s="28">
        <f>DATEDIF(K1790,Zwift25!G$1,"Y")</f>
        <v>44</v>
      </c>
      <c r="M1790" s="67">
        <f>IF(J1790="m",VLOOKUP(L1790,'All Solo Adjustments'!A:D,4,FALSE),VLOOKUP(L1790,'All Solo Adjustments'!A:J,10,FALSE))</f>
        <v>3.3564814814814818E-4</v>
      </c>
      <c r="N1790" s="63"/>
      <c r="O1790" s="63"/>
      <c r="P1790" s="63"/>
      <c r="Q1790" s="63"/>
      <c r="R1790" t="s">
        <v>159</v>
      </c>
      <c r="S1790" t="s">
        <v>162</v>
      </c>
      <c r="T1790" t="s">
        <v>292</v>
      </c>
      <c r="U1790" t="s">
        <v>4287</v>
      </c>
      <c r="V1790" t="s">
        <v>4286</v>
      </c>
      <c r="W1790" t="s">
        <v>167</v>
      </c>
      <c r="Y1790" t="s">
        <v>4285</v>
      </c>
      <c r="Z1790" t="str">
        <f>"07761634019"</f>
        <v>07761634019</v>
      </c>
      <c r="AA1790" t="str">
        <f>""</f>
        <v/>
      </c>
      <c r="AB1790" t="s">
        <v>4284</v>
      </c>
      <c r="AC1790" t="s">
        <v>4283</v>
      </c>
      <c r="AD1790" t="s">
        <v>114</v>
      </c>
      <c r="AE1790" s="63">
        <v>45293</v>
      </c>
      <c r="AF1790" t="s">
        <v>156</v>
      </c>
      <c r="AG1790" t="s">
        <v>112</v>
      </c>
      <c r="AH1790" t="s">
        <v>112</v>
      </c>
      <c r="AI1790" s="63">
        <v>45007</v>
      </c>
      <c r="AJ1790" s="63">
        <v>45657</v>
      </c>
      <c r="AK1790" t="s">
        <v>112</v>
      </c>
      <c r="AL1790" t="s">
        <v>111</v>
      </c>
      <c r="AM1790" t="s">
        <v>111</v>
      </c>
      <c r="AN1790">
        <v>37059</v>
      </c>
      <c r="AO1790" t="s">
        <v>110</v>
      </c>
      <c r="AP1790" t="s">
        <v>109</v>
      </c>
    </row>
    <row r="1791" spans="1:42" x14ac:dyDescent="0.25">
      <c r="A1791" s="28" t="str">
        <f>"15854"</f>
        <v>15854</v>
      </c>
      <c r="B1791">
        <v>15854</v>
      </c>
      <c r="C1791" t="s">
        <v>2488</v>
      </c>
      <c r="D1791" t="s">
        <v>121</v>
      </c>
      <c r="F1791" t="s">
        <v>149</v>
      </c>
      <c r="G1791" t="s">
        <v>4282</v>
      </c>
      <c r="H1791" t="s">
        <v>4281</v>
      </c>
      <c r="I1791" t="s">
        <v>364</v>
      </c>
      <c r="J1791" t="s">
        <v>126</v>
      </c>
      <c r="K1791" s="63">
        <v>27487</v>
      </c>
      <c r="L1791" s="28">
        <f>DATEDIF(K1791,Zwift25!G$1,"Y")</f>
        <v>49</v>
      </c>
      <c r="M1791" s="67">
        <f>IF(J1791="m",VLOOKUP(L1791,'All Solo Adjustments'!A:D,4,FALSE),VLOOKUP(L1791,'All Solo Adjustments'!A:J,10,FALSE))</f>
        <v>4.8842592592592592E-3</v>
      </c>
      <c r="N1791" s="63"/>
      <c r="O1791" s="63"/>
      <c r="P1791" s="63"/>
      <c r="Q1791" s="63"/>
      <c r="R1791" t="s">
        <v>159</v>
      </c>
      <c r="S1791" t="s">
        <v>162</v>
      </c>
      <c r="T1791" t="s">
        <v>292</v>
      </c>
      <c r="U1791" t="s">
        <v>4280</v>
      </c>
      <c r="W1791" t="s">
        <v>787</v>
      </c>
      <c r="X1791" t="s">
        <v>159</v>
      </c>
      <c r="Y1791" t="s">
        <v>4279</v>
      </c>
      <c r="Z1791" t="str">
        <f>"07736550927"</f>
        <v>07736550927</v>
      </c>
      <c r="AA1791" t="str">
        <f>"01304382325"</f>
        <v>01304382325</v>
      </c>
      <c r="AB1791" t="s">
        <v>1851</v>
      </c>
      <c r="AC1791" t="s">
        <v>4278</v>
      </c>
      <c r="AD1791" t="s">
        <v>114</v>
      </c>
      <c r="AE1791" s="63">
        <v>45305</v>
      </c>
      <c r="AF1791" t="s">
        <v>156</v>
      </c>
      <c r="AG1791" t="s">
        <v>112</v>
      </c>
      <c r="AH1791" t="s">
        <v>112</v>
      </c>
      <c r="AI1791" s="63">
        <v>45095</v>
      </c>
      <c r="AJ1791" s="63">
        <v>45657</v>
      </c>
      <c r="AK1791" t="s">
        <v>112</v>
      </c>
      <c r="AL1791" t="s">
        <v>111</v>
      </c>
      <c r="AM1791" t="s">
        <v>111</v>
      </c>
      <c r="AN1791">
        <v>38739</v>
      </c>
      <c r="AO1791" t="s">
        <v>122</v>
      </c>
      <c r="AP1791" t="s">
        <v>122</v>
      </c>
    </row>
    <row r="1792" spans="1:42" x14ac:dyDescent="0.25">
      <c r="A1792" s="28" t="str">
        <f>"15945"</f>
        <v>15945</v>
      </c>
      <c r="B1792">
        <v>15945</v>
      </c>
      <c r="C1792" t="s">
        <v>2488</v>
      </c>
      <c r="D1792" t="s">
        <v>121</v>
      </c>
      <c r="F1792" t="s">
        <v>120</v>
      </c>
      <c r="G1792" t="s">
        <v>567</v>
      </c>
      <c r="I1792" t="s">
        <v>364</v>
      </c>
      <c r="J1792" t="s">
        <v>7</v>
      </c>
      <c r="K1792" s="63">
        <v>24657</v>
      </c>
      <c r="L1792" s="28">
        <f>DATEDIF(K1792,Zwift25!G$1,"Y")</f>
        <v>57</v>
      </c>
      <c r="M1792" s="67">
        <f>IF(J1792="m",VLOOKUP(L1792,'All Solo Adjustments'!A:D,4,FALSE),VLOOKUP(L1792,'All Solo Adjustments'!A:J,10,FALSE))</f>
        <v>2.488425925925926E-3</v>
      </c>
      <c r="N1792" s="63"/>
      <c r="O1792" s="63"/>
      <c r="P1792" s="63"/>
      <c r="Q1792" s="63"/>
      <c r="R1792" t="s">
        <v>180</v>
      </c>
      <c r="S1792" t="s">
        <v>179</v>
      </c>
      <c r="T1792" t="s">
        <v>292</v>
      </c>
      <c r="U1792" t="s">
        <v>4277</v>
      </c>
      <c r="V1792" t="s">
        <v>4276</v>
      </c>
      <c r="W1792" t="s">
        <v>4275</v>
      </c>
      <c r="Y1792" t="s">
        <v>4274</v>
      </c>
      <c r="Z1792" t="str">
        <f>"07710169933"</f>
        <v>07710169933</v>
      </c>
      <c r="AA1792" t="str">
        <f>""</f>
        <v/>
      </c>
      <c r="AB1792" t="s">
        <v>4273</v>
      </c>
      <c r="AC1792" t="s">
        <v>4272</v>
      </c>
      <c r="AD1792" t="s">
        <v>114</v>
      </c>
      <c r="AE1792" s="63">
        <v>45268</v>
      </c>
      <c r="AF1792" t="s">
        <v>156</v>
      </c>
      <c r="AG1792" t="s">
        <v>112</v>
      </c>
      <c r="AH1792" t="s">
        <v>112</v>
      </c>
      <c r="AI1792" s="63">
        <v>45268</v>
      </c>
      <c r="AJ1792" s="63">
        <v>45657</v>
      </c>
      <c r="AK1792" t="s">
        <v>112</v>
      </c>
      <c r="AL1792" t="s">
        <v>111</v>
      </c>
      <c r="AM1792" t="s">
        <v>111</v>
      </c>
      <c r="AN1792">
        <v>7796</v>
      </c>
      <c r="AO1792" t="s">
        <v>110</v>
      </c>
      <c r="AP1792" t="s">
        <v>109</v>
      </c>
    </row>
    <row r="1793" spans="1:42" x14ac:dyDescent="0.25">
      <c r="A1793" s="28" t="str">
        <f>"15993"</f>
        <v>15993</v>
      </c>
      <c r="B1793">
        <v>15993</v>
      </c>
      <c r="C1793" t="s">
        <v>2488</v>
      </c>
      <c r="D1793" t="s">
        <v>121</v>
      </c>
      <c r="F1793" t="s">
        <v>149</v>
      </c>
      <c r="G1793" t="s">
        <v>659</v>
      </c>
      <c r="I1793" t="s">
        <v>364</v>
      </c>
      <c r="J1793" t="s">
        <v>126</v>
      </c>
      <c r="K1793" s="63">
        <v>25700</v>
      </c>
      <c r="L1793" s="28">
        <f>DATEDIF(K1793,Zwift25!G$1,"Y")</f>
        <v>54</v>
      </c>
      <c r="M1793" s="67">
        <f>IF(J1793="m",VLOOKUP(L1793,'All Solo Adjustments'!A:D,4,FALSE),VLOOKUP(L1793,'All Solo Adjustments'!A:J,10,FALSE))</f>
        <v>5.4861111111111109E-3</v>
      </c>
      <c r="N1793" s="63"/>
      <c r="O1793" s="63"/>
      <c r="P1793" s="63"/>
      <c r="Q1793" s="63"/>
      <c r="R1793" t="s">
        <v>137</v>
      </c>
      <c r="S1793" t="s">
        <v>136</v>
      </c>
      <c r="T1793" t="s">
        <v>292</v>
      </c>
      <c r="U1793" t="s">
        <v>4271</v>
      </c>
      <c r="V1793" t="s">
        <v>4270</v>
      </c>
      <c r="Y1793" t="s">
        <v>4269</v>
      </c>
      <c r="Z1793" t="str">
        <f>"07765241878"</f>
        <v>07765241878</v>
      </c>
      <c r="AA1793" t="str">
        <f>""</f>
        <v/>
      </c>
      <c r="AB1793" t="s">
        <v>4207</v>
      </c>
      <c r="AC1793" t="s">
        <v>4268</v>
      </c>
      <c r="AD1793" t="s">
        <v>114</v>
      </c>
      <c r="AE1793" s="63">
        <v>45303</v>
      </c>
      <c r="AF1793" t="s">
        <v>156</v>
      </c>
      <c r="AG1793" t="s">
        <v>112</v>
      </c>
      <c r="AH1793" t="s">
        <v>112</v>
      </c>
      <c r="AI1793" s="63">
        <v>45303</v>
      </c>
      <c r="AJ1793" s="63">
        <v>45657</v>
      </c>
      <c r="AK1793" t="s">
        <v>112</v>
      </c>
      <c r="AL1793" t="s">
        <v>111</v>
      </c>
      <c r="AM1793" t="s">
        <v>111</v>
      </c>
      <c r="AN1793">
        <v>48530</v>
      </c>
      <c r="AO1793" t="s">
        <v>122</v>
      </c>
      <c r="AP1793" t="s">
        <v>122</v>
      </c>
    </row>
    <row r="1794" spans="1:42" x14ac:dyDescent="0.25">
      <c r="A1794" s="28" t="str">
        <f>"16075"</f>
        <v>16075</v>
      </c>
      <c r="B1794">
        <v>16075</v>
      </c>
      <c r="C1794" t="s">
        <v>2488</v>
      </c>
      <c r="D1794" t="s">
        <v>121</v>
      </c>
      <c r="E1794" t="s">
        <v>584</v>
      </c>
      <c r="F1794" t="s">
        <v>403</v>
      </c>
      <c r="G1794" t="s">
        <v>165</v>
      </c>
      <c r="I1794" t="s">
        <v>364</v>
      </c>
      <c r="J1794" t="s">
        <v>7</v>
      </c>
      <c r="K1794" s="63">
        <v>21470</v>
      </c>
      <c r="L1794" s="28">
        <f>DATEDIF(K1794,Zwift25!G$1,"Y")</f>
        <v>66</v>
      </c>
      <c r="M1794" s="67">
        <f>IF(J1794="m",VLOOKUP(L1794,'All Solo Adjustments'!A:D,4,FALSE),VLOOKUP(L1794,'All Solo Adjustments'!A:J,10,FALSE))</f>
        <v>4.9421296296296297E-3</v>
      </c>
      <c r="N1794" s="63"/>
      <c r="O1794" s="63"/>
      <c r="P1794" s="63"/>
      <c r="Q1794" s="63"/>
      <c r="R1794" t="s">
        <v>180</v>
      </c>
      <c r="S1794" t="s">
        <v>179</v>
      </c>
      <c r="T1794" t="s">
        <v>292</v>
      </c>
      <c r="U1794" t="s">
        <v>4267</v>
      </c>
      <c r="V1794" t="s">
        <v>4266</v>
      </c>
      <c r="W1794" t="s">
        <v>4265</v>
      </c>
      <c r="X1794" t="s">
        <v>4264</v>
      </c>
      <c r="Y1794" t="s">
        <v>4263</v>
      </c>
      <c r="Z1794" t="str">
        <f>"07816522885"</f>
        <v>07816522885</v>
      </c>
      <c r="AA1794" t="str">
        <f>""</f>
        <v/>
      </c>
      <c r="AB1794" t="s">
        <v>4262</v>
      </c>
      <c r="AC1794" t="s">
        <v>4261</v>
      </c>
      <c r="AD1794" t="s">
        <v>114</v>
      </c>
      <c r="AE1794" s="63">
        <v>45376</v>
      </c>
      <c r="AF1794" t="s">
        <v>156</v>
      </c>
      <c r="AG1794" t="s">
        <v>112</v>
      </c>
      <c r="AH1794" t="s">
        <v>112</v>
      </c>
      <c r="AI1794" s="63">
        <v>45376</v>
      </c>
      <c r="AJ1794" s="63">
        <v>45657</v>
      </c>
      <c r="AK1794" t="s">
        <v>112</v>
      </c>
      <c r="AL1794" t="s">
        <v>111</v>
      </c>
      <c r="AM1794" t="s">
        <v>111</v>
      </c>
      <c r="AN1794">
        <v>34870</v>
      </c>
      <c r="AO1794" t="s">
        <v>110</v>
      </c>
      <c r="AP1794" t="s">
        <v>109</v>
      </c>
    </row>
    <row r="1795" spans="1:42" x14ac:dyDescent="0.25">
      <c r="A1795" s="28" t="str">
        <f>"16114"</f>
        <v>16114</v>
      </c>
      <c r="B1795">
        <v>16114</v>
      </c>
      <c r="C1795" t="s">
        <v>2488</v>
      </c>
      <c r="D1795" t="s">
        <v>121</v>
      </c>
      <c r="E1795" t="s">
        <v>584</v>
      </c>
      <c r="F1795" t="s">
        <v>120</v>
      </c>
      <c r="G1795" t="s">
        <v>366</v>
      </c>
      <c r="I1795" t="s">
        <v>364</v>
      </c>
      <c r="J1795" t="s">
        <v>7</v>
      </c>
      <c r="K1795" s="63">
        <v>20931</v>
      </c>
      <c r="L1795" s="28">
        <f>DATEDIF(K1795,Zwift25!G$1,"Y")</f>
        <v>67</v>
      </c>
      <c r="M1795" s="67">
        <f>IF(J1795="m",VLOOKUP(L1795,'All Solo Adjustments'!A:D,4,FALSE),VLOOKUP(L1795,'All Solo Adjustments'!A:J,10,FALSE))</f>
        <v>5.2662037037037035E-3</v>
      </c>
      <c r="N1795" s="63"/>
      <c r="O1795" s="63"/>
      <c r="P1795" s="63"/>
      <c r="Q1795" s="63"/>
      <c r="R1795" t="s">
        <v>283</v>
      </c>
      <c r="S1795" t="s">
        <v>530</v>
      </c>
      <c r="T1795" t="s">
        <v>292</v>
      </c>
      <c r="U1795" t="s">
        <v>4260</v>
      </c>
      <c r="V1795" t="s">
        <v>4259</v>
      </c>
      <c r="W1795" t="s">
        <v>1933</v>
      </c>
      <c r="X1795" t="s">
        <v>1253</v>
      </c>
      <c r="Y1795" t="s">
        <v>4258</v>
      </c>
      <c r="Z1795" t="str">
        <f>"07436 869334"</f>
        <v>07436 869334</v>
      </c>
      <c r="AA1795" t="str">
        <f>""</f>
        <v/>
      </c>
      <c r="AB1795" t="s">
        <v>879</v>
      </c>
      <c r="AC1795" t="s">
        <v>4257</v>
      </c>
      <c r="AD1795" t="s">
        <v>114</v>
      </c>
      <c r="AE1795" s="63">
        <v>45404</v>
      </c>
      <c r="AF1795" t="s">
        <v>156</v>
      </c>
      <c r="AG1795" t="s">
        <v>112</v>
      </c>
      <c r="AH1795" t="s">
        <v>112</v>
      </c>
      <c r="AI1795" s="63">
        <v>45404</v>
      </c>
      <c r="AJ1795" s="63">
        <v>45657</v>
      </c>
      <c r="AK1795" t="s">
        <v>112</v>
      </c>
      <c r="AL1795" t="s">
        <v>111</v>
      </c>
      <c r="AM1795" t="s">
        <v>111</v>
      </c>
      <c r="AN1795">
        <v>8478</v>
      </c>
      <c r="AO1795" t="s">
        <v>110</v>
      </c>
      <c r="AP1795" t="s">
        <v>109</v>
      </c>
    </row>
    <row r="1796" spans="1:42" x14ac:dyDescent="0.25">
      <c r="A1796" s="28" t="str">
        <f>"16186"</f>
        <v>16186</v>
      </c>
      <c r="B1796">
        <v>16186</v>
      </c>
      <c r="C1796" t="s">
        <v>2488</v>
      </c>
      <c r="D1796" t="s">
        <v>121</v>
      </c>
      <c r="F1796" t="s">
        <v>120</v>
      </c>
      <c r="G1796" t="s">
        <v>4256</v>
      </c>
      <c r="I1796" t="s">
        <v>364</v>
      </c>
      <c r="J1796" t="s">
        <v>7</v>
      </c>
      <c r="K1796" s="63">
        <v>29459</v>
      </c>
      <c r="L1796" s="28">
        <f>DATEDIF(K1796,Zwift25!G$1,"Y")</f>
        <v>44</v>
      </c>
      <c r="M1796" s="67">
        <f>IF(J1796="m",VLOOKUP(L1796,'All Solo Adjustments'!A:D,4,FALSE),VLOOKUP(L1796,'All Solo Adjustments'!A:J,10,FALSE))</f>
        <v>3.3564814814814818E-4</v>
      </c>
      <c r="N1796" s="63"/>
      <c r="O1796" s="63"/>
      <c r="P1796" s="63"/>
      <c r="Q1796" s="63"/>
      <c r="R1796" t="s">
        <v>296</v>
      </c>
      <c r="S1796" t="s">
        <v>295</v>
      </c>
      <c r="T1796" t="s">
        <v>292</v>
      </c>
      <c r="U1796" t="s">
        <v>4255</v>
      </c>
      <c r="V1796" t="s">
        <v>4254</v>
      </c>
      <c r="Y1796" t="s">
        <v>4253</v>
      </c>
      <c r="Z1796" t="str">
        <f>"07879437251"</f>
        <v>07879437251</v>
      </c>
      <c r="AA1796" t="str">
        <f>""</f>
        <v/>
      </c>
      <c r="AB1796" t="s">
        <v>4252</v>
      </c>
      <c r="AC1796" t="s">
        <v>4251</v>
      </c>
      <c r="AD1796" t="s">
        <v>114</v>
      </c>
      <c r="AE1796" s="63">
        <v>45486</v>
      </c>
      <c r="AF1796" t="s">
        <v>156</v>
      </c>
      <c r="AG1796" t="s">
        <v>112</v>
      </c>
      <c r="AH1796" t="s">
        <v>112</v>
      </c>
      <c r="AI1796" s="63">
        <v>45486</v>
      </c>
      <c r="AJ1796" s="63">
        <v>45657</v>
      </c>
      <c r="AK1796" t="s">
        <v>112</v>
      </c>
      <c r="AL1796" t="s">
        <v>111</v>
      </c>
      <c r="AM1796" t="s">
        <v>111</v>
      </c>
      <c r="AN1796">
        <v>43736</v>
      </c>
      <c r="AO1796" t="s">
        <v>110</v>
      </c>
      <c r="AP1796" t="s">
        <v>109</v>
      </c>
    </row>
    <row r="1797" spans="1:42" x14ac:dyDescent="0.25">
      <c r="A1797" s="28" t="str">
        <f>"5807"</f>
        <v>5807</v>
      </c>
      <c r="B1797">
        <v>5807</v>
      </c>
      <c r="C1797" t="s">
        <v>2488</v>
      </c>
      <c r="D1797" t="s">
        <v>121</v>
      </c>
      <c r="F1797" t="s">
        <v>149</v>
      </c>
      <c r="G1797" t="s">
        <v>4250</v>
      </c>
      <c r="H1797" t="s">
        <v>681</v>
      </c>
      <c r="I1797" t="s">
        <v>4249</v>
      </c>
      <c r="J1797" t="s">
        <v>126</v>
      </c>
      <c r="K1797" s="63">
        <v>27759</v>
      </c>
      <c r="L1797" s="28">
        <f>DATEDIF(K1797,Zwift25!G$1,"Y")</f>
        <v>48</v>
      </c>
      <c r="M1797" s="67">
        <f>IF(J1797="m",VLOOKUP(L1797,'All Solo Adjustments'!A:D,4,FALSE),VLOOKUP(L1797,'All Solo Adjustments'!A:J,10,FALSE))</f>
        <v>4.8032407407407407E-3</v>
      </c>
      <c r="N1797" s="63"/>
      <c r="O1797" s="63"/>
      <c r="P1797" s="63"/>
      <c r="Q1797" s="63"/>
      <c r="R1797" t="s">
        <v>184</v>
      </c>
      <c r="S1797" t="s">
        <v>183</v>
      </c>
      <c r="T1797" t="s">
        <v>292</v>
      </c>
      <c r="U1797" t="s">
        <v>4248</v>
      </c>
      <c r="V1797" t="s">
        <v>4247</v>
      </c>
      <c r="Y1797" t="s">
        <v>4246</v>
      </c>
      <c r="Z1797" t="str">
        <f>"07780 678119"</f>
        <v>07780 678119</v>
      </c>
      <c r="AA1797" t="str">
        <f>""</f>
        <v/>
      </c>
      <c r="AB1797" t="s">
        <v>2222</v>
      </c>
      <c r="AC1797" t="s">
        <v>4245</v>
      </c>
      <c r="AD1797" t="s">
        <v>114</v>
      </c>
      <c r="AE1797" s="63">
        <v>45520</v>
      </c>
      <c r="AF1797" t="s">
        <v>156</v>
      </c>
      <c r="AG1797" t="s">
        <v>112</v>
      </c>
      <c r="AH1797" t="s">
        <v>112</v>
      </c>
      <c r="AI1797" s="63">
        <v>42467</v>
      </c>
      <c r="AJ1797" s="63">
        <v>45657</v>
      </c>
      <c r="AK1797" t="s">
        <v>111</v>
      </c>
      <c r="AL1797" t="s">
        <v>111</v>
      </c>
      <c r="AM1797" t="s">
        <v>111</v>
      </c>
      <c r="AN1797" t="s">
        <v>105</v>
      </c>
      <c r="AO1797" t="s">
        <v>122</v>
      </c>
      <c r="AP1797" t="s">
        <v>122</v>
      </c>
    </row>
    <row r="1798" spans="1:42" x14ac:dyDescent="0.25">
      <c r="A1798" s="28" t="str">
        <f>"13846"</f>
        <v>13846</v>
      </c>
      <c r="B1798">
        <v>13846</v>
      </c>
      <c r="C1798" t="s">
        <v>2488</v>
      </c>
      <c r="D1798" t="s">
        <v>121</v>
      </c>
      <c r="F1798" t="s">
        <v>120</v>
      </c>
      <c r="G1798" t="s">
        <v>1369</v>
      </c>
      <c r="I1798" t="s">
        <v>4244</v>
      </c>
      <c r="J1798" t="s">
        <v>7</v>
      </c>
      <c r="K1798" s="63">
        <v>19468</v>
      </c>
      <c r="L1798" s="28">
        <f>DATEDIF(K1798,Zwift25!G$1,"Y")</f>
        <v>71</v>
      </c>
      <c r="M1798" s="67">
        <f>IF(J1798="m",VLOOKUP(L1798,'All Solo Adjustments'!A:D,4,FALSE),VLOOKUP(L1798,'All Solo Adjustments'!A:J,10,FALSE))</f>
        <v>6.7245370370370375E-3</v>
      </c>
      <c r="N1798" s="63"/>
      <c r="O1798" s="63"/>
      <c r="P1798" s="63"/>
      <c r="Q1798" s="63"/>
      <c r="R1798" t="s">
        <v>154</v>
      </c>
      <c r="S1798" t="s">
        <v>153</v>
      </c>
      <c r="T1798" t="s">
        <v>292</v>
      </c>
      <c r="U1798" t="s">
        <v>4243</v>
      </c>
      <c r="V1798" t="s">
        <v>4242</v>
      </c>
      <c r="W1798" t="s">
        <v>4241</v>
      </c>
      <c r="X1798" t="s">
        <v>1017</v>
      </c>
      <c r="Y1798" t="s">
        <v>4240</v>
      </c>
      <c r="Z1798" t="str">
        <f>"01872 865039"</f>
        <v>01872 865039</v>
      </c>
      <c r="AA1798" t="str">
        <f>"07769565796"</f>
        <v>07769565796</v>
      </c>
      <c r="AB1798" t="s">
        <v>4239</v>
      </c>
      <c r="AC1798" t="s">
        <v>4238</v>
      </c>
      <c r="AD1798" t="s">
        <v>114</v>
      </c>
      <c r="AE1798" s="63">
        <v>45294</v>
      </c>
      <c r="AF1798" t="s">
        <v>156</v>
      </c>
      <c r="AG1798" t="s">
        <v>112</v>
      </c>
      <c r="AH1798" t="s">
        <v>112</v>
      </c>
      <c r="AI1798" s="63">
        <v>43379</v>
      </c>
      <c r="AJ1798" s="63">
        <v>45657</v>
      </c>
      <c r="AK1798" t="s">
        <v>112</v>
      </c>
      <c r="AL1798" t="s">
        <v>111</v>
      </c>
      <c r="AM1798" t="s">
        <v>111</v>
      </c>
      <c r="AN1798">
        <v>42801</v>
      </c>
      <c r="AO1798" t="s">
        <v>110</v>
      </c>
      <c r="AP1798" t="s">
        <v>109</v>
      </c>
    </row>
    <row r="1799" spans="1:42" x14ac:dyDescent="0.25">
      <c r="A1799" s="28" t="str">
        <f>"16074"</f>
        <v>16074</v>
      </c>
      <c r="B1799">
        <v>16074</v>
      </c>
      <c r="C1799" t="s">
        <v>2488</v>
      </c>
      <c r="D1799" t="s">
        <v>121</v>
      </c>
      <c r="E1799" t="s">
        <v>584</v>
      </c>
      <c r="F1799" t="s">
        <v>120</v>
      </c>
      <c r="G1799" t="s">
        <v>251</v>
      </c>
      <c r="I1799" t="s">
        <v>4237</v>
      </c>
      <c r="J1799" t="s">
        <v>7</v>
      </c>
      <c r="K1799" s="63">
        <v>25580</v>
      </c>
      <c r="L1799" s="28">
        <f>DATEDIF(K1799,Zwift25!G$1,"Y")</f>
        <v>54</v>
      </c>
      <c r="M1799" s="67">
        <f>IF(J1799="m",VLOOKUP(L1799,'All Solo Adjustments'!A:D,4,FALSE),VLOOKUP(L1799,'All Solo Adjustments'!A:J,10,FALSE))</f>
        <v>1.8518518518518517E-3</v>
      </c>
      <c r="N1799" s="63"/>
      <c r="O1799" s="63"/>
      <c r="P1799" s="63"/>
      <c r="Q1799" s="63"/>
      <c r="R1799" t="s">
        <v>527</v>
      </c>
      <c r="S1799" t="s">
        <v>526</v>
      </c>
      <c r="T1799" t="s">
        <v>292</v>
      </c>
      <c r="U1799" t="s">
        <v>4236</v>
      </c>
      <c r="W1799" t="s">
        <v>4235</v>
      </c>
      <c r="X1799" t="s">
        <v>4234</v>
      </c>
      <c r="Y1799" t="s">
        <v>4233</v>
      </c>
      <c r="Z1799" t="str">
        <f>"07976741695"</f>
        <v>07976741695</v>
      </c>
      <c r="AA1799" t="str">
        <f>""</f>
        <v/>
      </c>
      <c r="AB1799" t="s">
        <v>4232</v>
      </c>
      <c r="AC1799" t="s">
        <v>4231</v>
      </c>
      <c r="AD1799" t="s">
        <v>114</v>
      </c>
      <c r="AE1799" s="63">
        <v>45383</v>
      </c>
      <c r="AF1799" t="s">
        <v>156</v>
      </c>
      <c r="AG1799" t="s">
        <v>112</v>
      </c>
      <c r="AH1799" t="s">
        <v>112</v>
      </c>
      <c r="AI1799" s="63">
        <v>45383</v>
      </c>
      <c r="AJ1799" s="63">
        <v>45657</v>
      </c>
      <c r="AK1799" t="s">
        <v>112</v>
      </c>
      <c r="AL1799" t="s">
        <v>111</v>
      </c>
      <c r="AM1799" t="s">
        <v>111</v>
      </c>
      <c r="AN1799">
        <v>1197</v>
      </c>
      <c r="AO1799" t="s">
        <v>110</v>
      </c>
      <c r="AP1799" t="s">
        <v>109</v>
      </c>
    </row>
    <row r="1800" spans="1:42" x14ac:dyDescent="0.25">
      <c r="A1800" s="28" t="str">
        <f>"15970"</f>
        <v>15970</v>
      </c>
      <c r="B1800">
        <v>15970</v>
      </c>
      <c r="C1800" t="s">
        <v>2488</v>
      </c>
      <c r="D1800" t="s">
        <v>121</v>
      </c>
      <c r="F1800" t="s">
        <v>149</v>
      </c>
      <c r="G1800" t="s">
        <v>463</v>
      </c>
      <c r="I1800" t="s">
        <v>4230</v>
      </c>
      <c r="J1800" t="s">
        <v>126</v>
      </c>
      <c r="K1800" s="63">
        <v>27194</v>
      </c>
      <c r="L1800" s="28">
        <f>DATEDIF(K1800,Zwift25!G$1,"Y")</f>
        <v>50</v>
      </c>
      <c r="M1800" s="67">
        <f>IF(J1800="m",VLOOKUP(L1800,'All Solo Adjustments'!A:D,4,FALSE),VLOOKUP(L1800,'All Solo Adjustments'!A:J,10,FALSE))</f>
        <v>4.9768518518518521E-3</v>
      </c>
      <c r="N1800" s="63"/>
      <c r="O1800" s="63"/>
      <c r="P1800" s="63"/>
      <c r="Q1800" s="63"/>
      <c r="R1800" t="s">
        <v>125</v>
      </c>
      <c r="S1800" t="s">
        <v>170</v>
      </c>
      <c r="T1800" t="s">
        <v>292</v>
      </c>
      <c r="U1800" t="s">
        <v>4229</v>
      </c>
      <c r="V1800" t="s">
        <v>435</v>
      </c>
      <c r="Y1800" t="s">
        <v>4228</v>
      </c>
      <c r="Z1800" t="str">
        <f>"07710 716377"</f>
        <v>07710 716377</v>
      </c>
      <c r="AA1800" t="str">
        <f>""</f>
        <v/>
      </c>
      <c r="AB1800" t="s">
        <v>4227</v>
      </c>
      <c r="AC1800" t="s">
        <v>4226</v>
      </c>
      <c r="AD1800" t="s">
        <v>114</v>
      </c>
      <c r="AE1800" s="63">
        <v>45293</v>
      </c>
      <c r="AF1800" t="s">
        <v>156</v>
      </c>
      <c r="AG1800" t="s">
        <v>112</v>
      </c>
      <c r="AH1800" t="s">
        <v>112</v>
      </c>
      <c r="AI1800" s="63">
        <v>45293</v>
      </c>
      <c r="AJ1800" s="63">
        <v>45657</v>
      </c>
      <c r="AK1800" t="s">
        <v>112</v>
      </c>
      <c r="AL1800" t="s">
        <v>111</v>
      </c>
      <c r="AM1800" t="s">
        <v>111</v>
      </c>
      <c r="AN1800">
        <v>36987</v>
      </c>
      <c r="AO1800" t="s">
        <v>122</v>
      </c>
      <c r="AP1800" t="s">
        <v>122</v>
      </c>
    </row>
    <row r="1801" spans="1:42" x14ac:dyDescent="0.25">
      <c r="A1801" s="28" t="str">
        <f>"2260"</f>
        <v>2260</v>
      </c>
      <c r="B1801">
        <v>2260</v>
      </c>
      <c r="C1801" t="s">
        <v>2488</v>
      </c>
      <c r="D1801" t="s">
        <v>121</v>
      </c>
      <c r="F1801" t="s">
        <v>120</v>
      </c>
      <c r="G1801" t="s">
        <v>251</v>
      </c>
      <c r="I1801" t="s">
        <v>4225</v>
      </c>
      <c r="J1801" t="s">
        <v>7</v>
      </c>
      <c r="K1801" s="63">
        <v>18979</v>
      </c>
      <c r="L1801" s="28">
        <f>DATEDIF(K1801,Zwift25!G$1,"Y")</f>
        <v>72</v>
      </c>
      <c r="M1801" s="67">
        <f>IF(J1801="m",VLOOKUP(L1801,'All Solo Adjustments'!A:D,4,FALSE),VLOOKUP(L1801,'All Solo Adjustments'!A:J,10,FALSE))</f>
        <v>7.129629629629629E-3</v>
      </c>
      <c r="N1801" s="63"/>
      <c r="O1801" s="63"/>
      <c r="P1801" s="63"/>
      <c r="Q1801" s="63"/>
      <c r="R1801" t="s">
        <v>184</v>
      </c>
      <c r="S1801" t="s">
        <v>183</v>
      </c>
      <c r="T1801" t="s">
        <v>292</v>
      </c>
      <c r="U1801" t="s">
        <v>4224</v>
      </c>
      <c r="V1801" t="s">
        <v>1449</v>
      </c>
      <c r="W1801" t="s">
        <v>123</v>
      </c>
      <c r="Y1801" t="s">
        <v>4223</v>
      </c>
      <c r="Z1801" t="str">
        <f>"01799 540072"</f>
        <v>01799 540072</v>
      </c>
      <c r="AA1801" t="str">
        <f>""</f>
        <v/>
      </c>
      <c r="AB1801" t="s">
        <v>2173</v>
      </c>
      <c r="AC1801" t="s">
        <v>4222</v>
      </c>
      <c r="AD1801" t="s">
        <v>114</v>
      </c>
      <c r="AE1801" s="63">
        <v>45266</v>
      </c>
      <c r="AF1801" t="s">
        <v>156</v>
      </c>
      <c r="AG1801" t="s">
        <v>112</v>
      </c>
      <c r="AH1801" t="s">
        <v>112</v>
      </c>
      <c r="AI1801" s="63">
        <v>43447</v>
      </c>
      <c r="AJ1801" s="63">
        <v>45657</v>
      </c>
      <c r="AK1801" t="s">
        <v>111</v>
      </c>
      <c r="AL1801" t="s">
        <v>111</v>
      </c>
      <c r="AM1801" t="s">
        <v>111</v>
      </c>
      <c r="AN1801">
        <v>6395</v>
      </c>
      <c r="AO1801" t="s">
        <v>110</v>
      </c>
      <c r="AP1801" t="s">
        <v>109</v>
      </c>
    </row>
    <row r="1802" spans="1:42" x14ac:dyDescent="0.25">
      <c r="A1802" s="28" t="str">
        <f>"15816"</f>
        <v>15816</v>
      </c>
      <c r="B1802">
        <v>15816</v>
      </c>
      <c r="C1802" t="s">
        <v>2488</v>
      </c>
      <c r="D1802" t="s">
        <v>121</v>
      </c>
      <c r="F1802" t="s">
        <v>120</v>
      </c>
      <c r="G1802" t="s">
        <v>230</v>
      </c>
      <c r="I1802" t="s">
        <v>4221</v>
      </c>
      <c r="J1802" t="s">
        <v>7</v>
      </c>
      <c r="K1802" s="63">
        <v>28257</v>
      </c>
      <c r="L1802" s="28">
        <f>DATEDIF(K1802,Zwift25!G$1,"Y")</f>
        <v>47</v>
      </c>
      <c r="M1802" s="67">
        <f>IF(J1802="m",VLOOKUP(L1802,'All Solo Adjustments'!A:D,4,FALSE),VLOOKUP(L1802,'All Solo Adjustments'!A:J,10,FALSE))</f>
        <v>6.9444444444444436E-4</v>
      </c>
      <c r="N1802" s="63"/>
      <c r="O1802" s="63"/>
      <c r="P1802" s="63"/>
      <c r="Q1802" s="63"/>
      <c r="R1802" t="s">
        <v>125</v>
      </c>
      <c r="S1802" t="s">
        <v>170</v>
      </c>
      <c r="T1802" t="s">
        <v>292</v>
      </c>
      <c r="U1802">
        <v>33</v>
      </c>
      <c r="V1802" t="s">
        <v>4220</v>
      </c>
      <c r="W1802" t="s">
        <v>4219</v>
      </c>
      <c r="X1802" t="s">
        <v>1904</v>
      </c>
      <c r="Y1802" t="s">
        <v>4218</v>
      </c>
      <c r="Z1802" t="str">
        <f>"07789761731"</f>
        <v>07789761731</v>
      </c>
      <c r="AA1802" t="str">
        <f>""</f>
        <v/>
      </c>
      <c r="AB1802" t="s">
        <v>942</v>
      </c>
      <c r="AC1802" t="s">
        <v>4217</v>
      </c>
      <c r="AD1802" t="s">
        <v>114</v>
      </c>
      <c r="AE1802" s="63">
        <v>45347</v>
      </c>
      <c r="AF1802" t="s">
        <v>156</v>
      </c>
      <c r="AG1802" t="s">
        <v>112</v>
      </c>
      <c r="AH1802" t="s">
        <v>112</v>
      </c>
      <c r="AI1802" s="63">
        <v>45058</v>
      </c>
      <c r="AJ1802" s="63">
        <v>45657</v>
      </c>
      <c r="AK1802" t="s">
        <v>112</v>
      </c>
      <c r="AL1802" t="s">
        <v>111</v>
      </c>
      <c r="AM1802" t="s">
        <v>111</v>
      </c>
      <c r="AN1802">
        <v>32341</v>
      </c>
      <c r="AO1802" t="s">
        <v>110</v>
      </c>
      <c r="AP1802" t="s">
        <v>109</v>
      </c>
    </row>
    <row r="1803" spans="1:42" x14ac:dyDescent="0.25">
      <c r="A1803" s="28" t="str">
        <f>"2272"</f>
        <v>2272</v>
      </c>
      <c r="B1803">
        <v>2272</v>
      </c>
      <c r="C1803" t="s">
        <v>2488</v>
      </c>
      <c r="D1803" t="s">
        <v>121</v>
      </c>
      <c r="F1803" t="s">
        <v>120</v>
      </c>
      <c r="G1803" t="s">
        <v>359</v>
      </c>
      <c r="I1803" t="s">
        <v>4216</v>
      </c>
      <c r="J1803" t="s">
        <v>7</v>
      </c>
      <c r="K1803" s="63">
        <v>13620</v>
      </c>
      <c r="L1803" s="28">
        <f>DATEDIF(K1803,Zwift25!G$1,"Y")</f>
        <v>87</v>
      </c>
      <c r="M1803" s="67">
        <f>IF(J1803="m",VLOOKUP(L1803,'All Solo Adjustments'!A:D,4,FALSE),VLOOKUP(L1803,'All Solo Adjustments'!A:J,10,FALSE))</f>
        <v>1.576388888888889E-2</v>
      </c>
      <c r="N1803" s="63"/>
      <c r="O1803" s="63"/>
      <c r="P1803" s="63"/>
      <c r="Q1803" s="63"/>
      <c r="R1803" t="s">
        <v>296</v>
      </c>
      <c r="S1803" t="s">
        <v>2310</v>
      </c>
      <c r="T1803" t="s">
        <v>292</v>
      </c>
      <c r="U1803" t="s">
        <v>4215</v>
      </c>
      <c r="V1803" t="s">
        <v>4214</v>
      </c>
      <c r="W1803" t="s">
        <v>804</v>
      </c>
      <c r="Y1803" t="s">
        <v>4213</v>
      </c>
      <c r="Z1803" t="str">
        <f>"01698 826328"</f>
        <v>01698 826328</v>
      </c>
      <c r="AA1803" t="str">
        <f>""</f>
        <v/>
      </c>
      <c r="AB1803" t="s">
        <v>4212</v>
      </c>
      <c r="AD1803" t="s">
        <v>145</v>
      </c>
      <c r="AF1803" t="s">
        <v>113</v>
      </c>
      <c r="AG1803" t="s">
        <v>112</v>
      </c>
      <c r="AH1803" t="s">
        <v>112</v>
      </c>
      <c r="AI1803" s="63">
        <v>28140</v>
      </c>
      <c r="AK1803" t="s">
        <v>111</v>
      </c>
      <c r="AL1803" t="s">
        <v>111</v>
      </c>
      <c r="AM1803" t="s">
        <v>111</v>
      </c>
      <c r="AN1803" t="s">
        <v>105</v>
      </c>
      <c r="AO1803" t="s">
        <v>110</v>
      </c>
      <c r="AP1803" t="s">
        <v>109</v>
      </c>
    </row>
    <row r="1804" spans="1:42" x14ac:dyDescent="0.25">
      <c r="A1804" s="28" t="str">
        <f>"16060"</f>
        <v>16060</v>
      </c>
      <c r="B1804">
        <v>16060</v>
      </c>
      <c r="C1804" t="s">
        <v>2488</v>
      </c>
      <c r="D1804" t="s">
        <v>121</v>
      </c>
      <c r="F1804" t="s">
        <v>149</v>
      </c>
      <c r="G1804" t="s">
        <v>4211</v>
      </c>
      <c r="I1804" t="s">
        <v>1772</v>
      </c>
      <c r="J1804" t="s">
        <v>126</v>
      </c>
      <c r="K1804" s="63">
        <v>30743</v>
      </c>
      <c r="L1804" s="28">
        <f>DATEDIF(K1804,Zwift25!G$1,"Y")</f>
        <v>40</v>
      </c>
      <c r="M1804" s="67">
        <f>IF(J1804="m",VLOOKUP(L1804,'All Solo Adjustments'!A:D,4,FALSE),VLOOKUP(L1804,'All Solo Adjustments'!A:J,10,FALSE))</f>
        <v>4.4212962962962964E-3</v>
      </c>
      <c r="N1804" s="63"/>
      <c r="O1804" s="63"/>
      <c r="P1804" s="63"/>
      <c r="Q1804" s="63"/>
      <c r="R1804" t="s">
        <v>137</v>
      </c>
      <c r="S1804" t="s">
        <v>136</v>
      </c>
      <c r="T1804" t="s">
        <v>292</v>
      </c>
      <c r="U1804" t="s">
        <v>4210</v>
      </c>
      <c r="W1804" t="s">
        <v>4209</v>
      </c>
      <c r="X1804" t="s">
        <v>1091</v>
      </c>
      <c r="Y1804" t="s">
        <v>4208</v>
      </c>
      <c r="Z1804" t="str">
        <f>"07977242785"</f>
        <v>07977242785</v>
      </c>
      <c r="AA1804" t="str">
        <f>""</f>
        <v/>
      </c>
      <c r="AB1804" t="s">
        <v>4207</v>
      </c>
      <c r="AC1804" t="s">
        <v>4206</v>
      </c>
      <c r="AD1804" t="s">
        <v>114</v>
      </c>
      <c r="AE1804" s="63">
        <v>45360</v>
      </c>
      <c r="AF1804" t="s">
        <v>156</v>
      </c>
      <c r="AG1804" t="s">
        <v>112</v>
      </c>
      <c r="AH1804" t="s">
        <v>112</v>
      </c>
      <c r="AI1804" s="63">
        <v>45360</v>
      </c>
      <c r="AJ1804" s="63">
        <v>45657</v>
      </c>
      <c r="AK1804" t="s">
        <v>112</v>
      </c>
      <c r="AL1804" t="s">
        <v>111</v>
      </c>
      <c r="AM1804" t="s">
        <v>111</v>
      </c>
      <c r="AN1804">
        <v>39253</v>
      </c>
      <c r="AO1804" t="s">
        <v>122</v>
      </c>
      <c r="AP1804" t="s">
        <v>122</v>
      </c>
    </row>
    <row r="1805" spans="1:42" x14ac:dyDescent="0.25">
      <c r="A1805" s="28" t="str">
        <f>"2274"</f>
        <v>2274</v>
      </c>
      <c r="B1805">
        <v>2274</v>
      </c>
      <c r="C1805" t="s">
        <v>2488</v>
      </c>
      <c r="D1805" t="s">
        <v>121</v>
      </c>
      <c r="F1805" t="s">
        <v>139</v>
      </c>
      <c r="G1805" t="s">
        <v>4205</v>
      </c>
      <c r="I1805" t="s">
        <v>4204</v>
      </c>
      <c r="J1805" t="s">
        <v>126</v>
      </c>
      <c r="K1805" s="63">
        <v>13745</v>
      </c>
      <c r="L1805" s="28">
        <f>DATEDIF(K1805,Zwift25!G$1,"Y")</f>
        <v>87</v>
      </c>
      <c r="M1805" s="67">
        <f>IF(J1805="m",VLOOKUP(L1805,'All Solo Adjustments'!A:D,4,FALSE),VLOOKUP(L1805,'All Solo Adjustments'!A:J,10,FALSE))</f>
        <v>2.2187500000000002E-2</v>
      </c>
      <c r="N1805" s="63"/>
      <c r="O1805" s="63"/>
      <c r="P1805" s="63"/>
      <c r="Q1805" s="63"/>
      <c r="R1805" t="s">
        <v>283</v>
      </c>
      <c r="S1805" t="s">
        <v>2311</v>
      </c>
      <c r="T1805" t="s">
        <v>292</v>
      </c>
      <c r="U1805" t="s">
        <v>4203</v>
      </c>
      <c r="V1805" t="s">
        <v>4202</v>
      </c>
      <c r="W1805" t="s">
        <v>4201</v>
      </c>
      <c r="X1805" t="s">
        <v>4200</v>
      </c>
      <c r="Y1805" t="s">
        <v>4199</v>
      </c>
      <c r="Z1805" t="str">
        <f>"01789 491119"</f>
        <v>01789 491119</v>
      </c>
      <c r="AA1805" t="str">
        <f>""</f>
        <v/>
      </c>
      <c r="AB1805" t="s">
        <v>4198</v>
      </c>
      <c r="AC1805" t="s">
        <v>4197</v>
      </c>
      <c r="AD1805" t="s">
        <v>151</v>
      </c>
      <c r="AF1805" t="s">
        <v>113</v>
      </c>
      <c r="AG1805" t="s">
        <v>111</v>
      </c>
      <c r="AH1805" t="s">
        <v>112</v>
      </c>
      <c r="AK1805" t="s">
        <v>111</v>
      </c>
      <c r="AL1805" t="s">
        <v>111</v>
      </c>
      <c r="AM1805" t="s">
        <v>111</v>
      </c>
      <c r="AN1805" t="s">
        <v>105</v>
      </c>
      <c r="AO1805" t="s">
        <v>122</v>
      </c>
      <c r="AP1805" t="s">
        <v>122</v>
      </c>
    </row>
    <row r="1806" spans="1:42" x14ac:dyDescent="0.25">
      <c r="A1806" s="28" t="str">
        <f>"2276"</f>
        <v>2276</v>
      </c>
      <c r="B1806">
        <v>2276</v>
      </c>
      <c r="C1806" t="s">
        <v>2488</v>
      </c>
      <c r="D1806" t="s">
        <v>121</v>
      </c>
      <c r="F1806" t="s">
        <v>120</v>
      </c>
      <c r="G1806" t="s">
        <v>546</v>
      </c>
      <c r="H1806" t="s">
        <v>206</v>
      </c>
      <c r="I1806" t="s">
        <v>4192</v>
      </c>
      <c r="J1806" t="s">
        <v>7</v>
      </c>
      <c r="K1806" s="63">
        <v>24126</v>
      </c>
      <c r="L1806" s="28">
        <f>DATEDIF(K1806,Zwift25!G$1,"Y")</f>
        <v>58</v>
      </c>
      <c r="M1806" s="67">
        <f>IF(J1806="m",VLOOKUP(L1806,'All Solo Adjustments'!A:D,4,FALSE),VLOOKUP(L1806,'All Solo Adjustments'!A:J,10,FALSE))</f>
        <v>2.7199074074074074E-3</v>
      </c>
      <c r="N1806" s="63"/>
      <c r="O1806" s="63"/>
      <c r="P1806" s="63"/>
      <c r="Q1806" s="63"/>
      <c r="R1806" t="s">
        <v>239</v>
      </c>
      <c r="S1806" t="s">
        <v>274</v>
      </c>
      <c r="T1806" t="s">
        <v>292</v>
      </c>
      <c r="U1806" t="s">
        <v>4196</v>
      </c>
      <c r="V1806" t="s">
        <v>3679</v>
      </c>
      <c r="W1806" t="s">
        <v>627</v>
      </c>
      <c r="Y1806" t="s">
        <v>4195</v>
      </c>
      <c r="Z1806" t="str">
        <f>"07882348511"</f>
        <v>07882348511</v>
      </c>
      <c r="AA1806" t="str">
        <f>""</f>
        <v/>
      </c>
      <c r="AB1806" t="s">
        <v>4194</v>
      </c>
      <c r="AC1806" t="s">
        <v>4193</v>
      </c>
      <c r="AD1806" t="s">
        <v>114</v>
      </c>
      <c r="AE1806" s="63">
        <v>45250</v>
      </c>
      <c r="AF1806" t="s">
        <v>113</v>
      </c>
      <c r="AG1806" t="s">
        <v>112</v>
      </c>
      <c r="AH1806" t="s">
        <v>112</v>
      </c>
      <c r="AI1806" s="63">
        <v>38838</v>
      </c>
      <c r="AJ1806" s="63">
        <v>45657</v>
      </c>
      <c r="AK1806" t="s">
        <v>111</v>
      </c>
      <c r="AL1806" t="s">
        <v>111</v>
      </c>
      <c r="AM1806" t="s">
        <v>111</v>
      </c>
      <c r="AN1806" t="s">
        <v>105</v>
      </c>
      <c r="AO1806" t="s">
        <v>110</v>
      </c>
      <c r="AP1806" t="s">
        <v>109</v>
      </c>
    </row>
    <row r="1807" spans="1:42" x14ac:dyDescent="0.25">
      <c r="A1807" s="28" t="str">
        <f>"2275"</f>
        <v>2275</v>
      </c>
      <c r="B1807">
        <v>2275</v>
      </c>
      <c r="C1807" t="s">
        <v>2488</v>
      </c>
      <c r="D1807" t="s">
        <v>121</v>
      </c>
      <c r="F1807" t="s">
        <v>120</v>
      </c>
      <c r="G1807" t="s">
        <v>783</v>
      </c>
      <c r="I1807" t="s">
        <v>4192</v>
      </c>
      <c r="J1807" t="s">
        <v>7</v>
      </c>
      <c r="K1807" s="63">
        <v>14051</v>
      </c>
      <c r="L1807" s="28">
        <f>DATEDIF(K1807,Zwift25!G$1,"Y")</f>
        <v>86</v>
      </c>
      <c r="M1807" s="67">
        <f>IF(J1807="m",VLOOKUP(L1807,'All Solo Adjustments'!A:D,4,FALSE),VLOOKUP(L1807,'All Solo Adjustments'!A:J,10,FALSE))</f>
        <v>1.4988425925925926E-2</v>
      </c>
      <c r="N1807" s="63"/>
      <c r="O1807" s="63"/>
      <c r="P1807" s="63"/>
      <c r="Q1807" s="63"/>
      <c r="R1807" t="s">
        <v>239</v>
      </c>
      <c r="S1807" t="s">
        <v>437</v>
      </c>
      <c r="T1807" t="s">
        <v>292</v>
      </c>
      <c r="U1807" t="s">
        <v>4191</v>
      </c>
      <c r="V1807" t="s">
        <v>4190</v>
      </c>
      <c r="W1807" t="s">
        <v>627</v>
      </c>
      <c r="Y1807" t="s">
        <v>4189</v>
      </c>
      <c r="Z1807" t="str">
        <f>"99999 999999"</f>
        <v>99999 999999</v>
      </c>
      <c r="AA1807" t="str">
        <f>"99999 999999"</f>
        <v>99999 999999</v>
      </c>
      <c r="AB1807" t="s">
        <v>4188</v>
      </c>
      <c r="AD1807" t="s">
        <v>145</v>
      </c>
      <c r="AF1807" t="s">
        <v>113</v>
      </c>
      <c r="AG1807" t="s">
        <v>112</v>
      </c>
      <c r="AH1807" t="s">
        <v>112</v>
      </c>
      <c r="AI1807" s="63">
        <v>29912</v>
      </c>
      <c r="AK1807" t="s">
        <v>111</v>
      </c>
      <c r="AL1807" t="s">
        <v>111</v>
      </c>
      <c r="AM1807" t="s">
        <v>111</v>
      </c>
      <c r="AN1807" t="s">
        <v>105</v>
      </c>
      <c r="AO1807" t="s">
        <v>110</v>
      </c>
      <c r="AP1807" t="s">
        <v>109</v>
      </c>
    </row>
    <row r="1808" spans="1:42" x14ac:dyDescent="0.25">
      <c r="A1808" s="28" t="str">
        <f>"6011"</f>
        <v>6011</v>
      </c>
      <c r="B1808">
        <v>6011</v>
      </c>
      <c r="C1808" t="s">
        <v>2488</v>
      </c>
      <c r="D1808" t="s">
        <v>121</v>
      </c>
      <c r="F1808" t="s">
        <v>120</v>
      </c>
      <c r="G1808" t="s">
        <v>171</v>
      </c>
      <c r="H1808" t="s">
        <v>251</v>
      </c>
      <c r="I1808" t="s">
        <v>4187</v>
      </c>
      <c r="J1808" t="s">
        <v>7</v>
      </c>
      <c r="K1808" s="63">
        <v>24346</v>
      </c>
      <c r="L1808" s="28">
        <f>DATEDIF(K1808,Zwift25!G$1,"Y")</f>
        <v>58</v>
      </c>
      <c r="M1808" s="67">
        <f>IF(J1808="m",VLOOKUP(L1808,'All Solo Adjustments'!A:D,4,FALSE),VLOOKUP(L1808,'All Solo Adjustments'!A:J,10,FALSE))</f>
        <v>2.7199074074074074E-3</v>
      </c>
      <c r="N1808" s="63"/>
      <c r="O1808" s="63"/>
      <c r="P1808" s="63"/>
      <c r="Q1808" s="63"/>
      <c r="R1808" t="s">
        <v>180</v>
      </c>
      <c r="S1808" t="s">
        <v>179</v>
      </c>
      <c r="T1808" t="s">
        <v>292</v>
      </c>
      <c r="U1808" t="s">
        <v>4186</v>
      </c>
      <c r="V1808" t="s">
        <v>992</v>
      </c>
      <c r="Y1808" t="s">
        <v>4185</v>
      </c>
      <c r="Z1808" t="str">
        <f>"07539832984"</f>
        <v>07539832984</v>
      </c>
      <c r="AA1808" t="str">
        <f>""</f>
        <v/>
      </c>
      <c r="AB1808" t="s">
        <v>991</v>
      </c>
      <c r="AC1808" t="s">
        <v>4184</v>
      </c>
      <c r="AD1808" t="s">
        <v>114</v>
      </c>
      <c r="AE1808" s="63">
        <v>45313</v>
      </c>
      <c r="AF1808" t="s">
        <v>156</v>
      </c>
      <c r="AG1808" t="s">
        <v>112</v>
      </c>
      <c r="AH1808" t="s">
        <v>112</v>
      </c>
      <c r="AI1808" s="63">
        <v>42673</v>
      </c>
      <c r="AJ1808" s="63">
        <v>45657</v>
      </c>
      <c r="AK1808" t="s">
        <v>111</v>
      </c>
      <c r="AL1808" t="s">
        <v>111</v>
      </c>
      <c r="AM1808" t="s">
        <v>111</v>
      </c>
      <c r="AN1808">
        <v>900</v>
      </c>
      <c r="AO1808" t="s">
        <v>110</v>
      </c>
      <c r="AP1808" t="s">
        <v>109</v>
      </c>
    </row>
    <row r="1809" spans="1:42" x14ac:dyDescent="0.25">
      <c r="A1809" s="28" t="str">
        <f>"16057"</f>
        <v>16057</v>
      </c>
      <c r="B1809">
        <v>16057</v>
      </c>
      <c r="C1809" t="s">
        <v>2488</v>
      </c>
      <c r="D1809" t="s">
        <v>121</v>
      </c>
      <c r="F1809" t="s">
        <v>120</v>
      </c>
      <c r="G1809" t="s">
        <v>492</v>
      </c>
      <c r="I1809" t="s">
        <v>4183</v>
      </c>
      <c r="J1809" t="s">
        <v>7</v>
      </c>
      <c r="K1809" s="63">
        <v>24986</v>
      </c>
      <c r="L1809" s="28">
        <f>DATEDIF(K1809,Zwift25!G$1,"Y")</f>
        <v>56</v>
      </c>
      <c r="M1809" s="67">
        <f>IF(J1809="m",VLOOKUP(L1809,'All Solo Adjustments'!A:D,4,FALSE),VLOOKUP(L1809,'All Solo Adjustments'!A:J,10,FALSE))</f>
        <v>2.2685185185185182E-3</v>
      </c>
      <c r="N1809" s="63"/>
      <c r="O1809" s="63"/>
      <c r="P1809" s="63"/>
      <c r="Q1809" s="63"/>
      <c r="R1809" t="s">
        <v>125</v>
      </c>
      <c r="S1809" t="s">
        <v>170</v>
      </c>
      <c r="T1809" t="s">
        <v>292</v>
      </c>
      <c r="U1809" t="s">
        <v>4182</v>
      </c>
      <c r="V1809" t="s">
        <v>4181</v>
      </c>
      <c r="W1809" t="s">
        <v>167</v>
      </c>
      <c r="X1809" t="s">
        <v>167</v>
      </c>
      <c r="Y1809" t="s">
        <v>4180</v>
      </c>
      <c r="Z1809" t="str">
        <f>"07955654854"</f>
        <v>07955654854</v>
      </c>
      <c r="AA1809" t="str">
        <f>""</f>
        <v/>
      </c>
      <c r="AB1809" t="s">
        <v>1453</v>
      </c>
      <c r="AC1809" t="s">
        <v>4179</v>
      </c>
      <c r="AD1809" t="s">
        <v>114</v>
      </c>
      <c r="AE1809" s="63">
        <v>45358</v>
      </c>
      <c r="AF1809" t="s">
        <v>156</v>
      </c>
      <c r="AG1809" t="s">
        <v>112</v>
      </c>
      <c r="AH1809" t="s">
        <v>112</v>
      </c>
      <c r="AI1809" s="63">
        <v>45358</v>
      </c>
      <c r="AJ1809" s="63">
        <v>45657</v>
      </c>
      <c r="AK1809" t="s">
        <v>112</v>
      </c>
      <c r="AL1809" t="s">
        <v>111</v>
      </c>
      <c r="AM1809" t="s">
        <v>111</v>
      </c>
      <c r="AN1809">
        <v>48484</v>
      </c>
      <c r="AO1809" t="s">
        <v>110</v>
      </c>
      <c r="AP1809" t="s">
        <v>109</v>
      </c>
    </row>
    <row r="1810" spans="1:42" x14ac:dyDescent="0.25">
      <c r="A1810" s="28" t="str">
        <f>"4088"</f>
        <v>4088</v>
      </c>
      <c r="B1810">
        <v>4088</v>
      </c>
      <c r="C1810" t="s">
        <v>2488</v>
      </c>
      <c r="D1810" t="s">
        <v>121</v>
      </c>
      <c r="F1810" t="s">
        <v>120</v>
      </c>
      <c r="G1810" t="s">
        <v>4178</v>
      </c>
      <c r="H1810" t="s">
        <v>941</v>
      </c>
      <c r="I1810" t="s">
        <v>4177</v>
      </c>
      <c r="J1810" t="s">
        <v>7</v>
      </c>
      <c r="K1810" s="63">
        <v>15559</v>
      </c>
      <c r="L1810" s="28">
        <f>DATEDIF(K1810,Zwift25!G$1,"Y")</f>
        <v>82</v>
      </c>
      <c r="M1810" s="67">
        <f>IF(J1810="m",VLOOKUP(L1810,'All Solo Adjustments'!A:D,4,FALSE),VLOOKUP(L1810,'All Solo Adjustments'!A:J,10,FALSE))</f>
        <v>1.2210648148148148E-2</v>
      </c>
      <c r="N1810" s="63"/>
      <c r="O1810" s="63"/>
      <c r="P1810" s="63"/>
      <c r="Q1810" s="63"/>
      <c r="R1810" t="s">
        <v>125</v>
      </c>
      <c r="S1810" t="s">
        <v>170</v>
      </c>
      <c r="T1810" t="s">
        <v>292</v>
      </c>
      <c r="U1810" t="s">
        <v>4176</v>
      </c>
      <c r="V1810" t="s">
        <v>4175</v>
      </c>
      <c r="W1810" t="s">
        <v>225</v>
      </c>
      <c r="X1810" t="s">
        <v>123</v>
      </c>
      <c r="Y1810" t="s">
        <v>4174</v>
      </c>
      <c r="Z1810" t="str">
        <f>"01206 617541"</f>
        <v>01206 617541</v>
      </c>
      <c r="AA1810" t="str">
        <f>""</f>
        <v/>
      </c>
      <c r="AB1810" t="s">
        <v>444</v>
      </c>
      <c r="AC1810" t="s">
        <v>4173</v>
      </c>
      <c r="AD1810" t="s">
        <v>114</v>
      </c>
      <c r="AE1810" s="63">
        <v>45292</v>
      </c>
      <c r="AF1810" t="s">
        <v>156</v>
      </c>
      <c r="AG1810" t="s">
        <v>112</v>
      </c>
      <c r="AH1810" t="s">
        <v>112</v>
      </c>
      <c r="AI1810" s="63">
        <v>40576</v>
      </c>
      <c r="AJ1810" s="63">
        <v>45657</v>
      </c>
      <c r="AK1810" t="s">
        <v>111</v>
      </c>
      <c r="AL1810" t="s">
        <v>111</v>
      </c>
      <c r="AM1810" t="s">
        <v>111</v>
      </c>
      <c r="AN1810" t="s">
        <v>105</v>
      </c>
      <c r="AO1810" t="s">
        <v>110</v>
      </c>
      <c r="AP1810" t="s">
        <v>109</v>
      </c>
    </row>
    <row r="1811" spans="1:42" x14ac:dyDescent="0.25">
      <c r="A1811" s="28" t="str">
        <f>"3867"</f>
        <v>3867</v>
      </c>
      <c r="B1811">
        <v>3867</v>
      </c>
      <c r="C1811" t="s">
        <v>2488</v>
      </c>
      <c r="D1811" t="s">
        <v>121</v>
      </c>
      <c r="E1811" t="s">
        <v>584</v>
      </c>
      <c r="F1811" t="s">
        <v>403</v>
      </c>
      <c r="G1811" t="s">
        <v>195</v>
      </c>
      <c r="I1811" t="s">
        <v>4172</v>
      </c>
      <c r="J1811" t="s">
        <v>7</v>
      </c>
      <c r="K1811" s="63">
        <v>15367</v>
      </c>
      <c r="L1811" s="28">
        <f>DATEDIF(K1811,Zwift25!G$1,"Y")</f>
        <v>82</v>
      </c>
      <c r="M1811" s="67">
        <f>IF(J1811="m",VLOOKUP(L1811,'All Solo Adjustments'!A:D,4,FALSE),VLOOKUP(L1811,'All Solo Adjustments'!A:J,10,FALSE))</f>
        <v>1.2210648148148148E-2</v>
      </c>
      <c r="N1811" s="63"/>
      <c r="O1811" s="63"/>
      <c r="P1811" s="63"/>
      <c r="Q1811" s="63"/>
      <c r="R1811" t="s">
        <v>180</v>
      </c>
      <c r="S1811" t="s">
        <v>2288</v>
      </c>
      <c r="T1811" t="s">
        <v>292</v>
      </c>
      <c r="U1811" t="s">
        <v>4171</v>
      </c>
      <c r="V1811" t="s">
        <v>4170</v>
      </c>
      <c r="W1811" t="s">
        <v>992</v>
      </c>
      <c r="Y1811" t="s">
        <v>4169</v>
      </c>
      <c r="Z1811" t="str">
        <f>"0116 2362959"</f>
        <v>0116 2362959</v>
      </c>
      <c r="AA1811" t="str">
        <f>"01162356688"</f>
        <v>01162356688</v>
      </c>
      <c r="AB1811" t="s">
        <v>1238</v>
      </c>
      <c r="AC1811" t="s">
        <v>4168</v>
      </c>
      <c r="AD1811" t="s">
        <v>145</v>
      </c>
      <c r="AF1811" t="s">
        <v>113</v>
      </c>
      <c r="AG1811" t="s">
        <v>112</v>
      </c>
      <c r="AH1811" t="s">
        <v>112</v>
      </c>
      <c r="AI1811" s="63">
        <v>40238</v>
      </c>
      <c r="AK1811" t="s">
        <v>111</v>
      </c>
      <c r="AL1811" t="s">
        <v>111</v>
      </c>
      <c r="AM1811" t="s">
        <v>111</v>
      </c>
      <c r="AN1811">
        <v>5204</v>
      </c>
      <c r="AO1811" t="s">
        <v>110</v>
      </c>
      <c r="AP1811" t="s">
        <v>109</v>
      </c>
    </row>
    <row r="1812" spans="1:42" x14ac:dyDescent="0.25">
      <c r="A1812" s="28" t="str">
        <f>"14818"</f>
        <v>14818</v>
      </c>
      <c r="B1812">
        <v>14818</v>
      </c>
      <c r="C1812" t="s">
        <v>2488</v>
      </c>
      <c r="D1812" t="s">
        <v>121</v>
      </c>
      <c r="F1812" t="s">
        <v>120</v>
      </c>
      <c r="G1812" t="s">
        <v>485</v>
      </c>
      <c r="I1812" t="s">
        <v>1317</v>
      </c>
      <c r="J1812" t="s">
        <v>7</v>
      </c>
      <c r="K1812" s="63">
        <v>23231</v>
      </c>
      <c r="L1812" s="28">
        <f>DATEDIF(K1812,Zwift25!G$1,"Y")</f>
        <v>61</v>
      </c>
      <c r="M1812" s="67">
        <f>IF(J1812="m",VLOOKUP(L1812,'All Solo Adjustments'!A:D,4,FALSE),VLOOKUP(L1812,'All Solo Adjustments'!A:J,10,FALSE))</f>
        <v>3.4722222222222225E-3</v>
      </c>
      <c r="N1812" s="63"/>
      <c r="O1812" s="63"/>
      <c r="P1812" s="63"/>
      <c r="Q1812" s="63"/>
      <c r="R1812" t="s">
        <v>137</v>
      </c>
      <c r="S1812" t="s">
        <v>136</v>
      </c>
      <c r="T1812" t="s">
        <v>292</v>
      </c>
      <c r="U1812" t="s">
        <v>1316</v>
      </c>
      <c r="W1812" t="s">
        <v>1315</v>
      </c>
      <c r="Y1812" t="s">
        <v>1314</v>
      </c>
      <c r="Z1812" t="str">
        <f>"07485564167"</f>
        <v>07485564167</v>
      </c>
      <c r="AA1812" t="str">
        <f>""</f>
        <v/>
      </c>
      <c r="AB1812" t="s">
        <v>4167</v>
      </c>
      <c r="AC1812" t="s">
        <v>4166</v>
      </c>
      <c r="AD1812" t="s">
        <v>114</v>
      </c>
      <c r="AE1812" s="63">
        <v>45332</v>
      </c>
      <c r="AF1812" t="s">
        <v>113</v>
      </c>
      <c r="AG1812" t="s">
        <v>112</v>
      </c>
      <c r="AH1812" t="s">
        <v>112</v>
      </c>
      <c r="AI1812" s="63">
        <v>44206</v>
      </c>
      <c r="AJ1812" s="63">
        <v>45657</v>
      </c>
      <c r="AK1812" t="s">
        <v>112</v>
      </c>
      <c r="AL1812" t="s">
        <v>111</v>
      </c>
      <c r="AM1812" t="s">
        <v>111</v>
      </c>
      <c r="AN1812">
        <v>35576</v>
      </c>
      <c r="AO1812" t="s">
        <v>110</v>
      </c>
      <c r="AP1812" t="s">
        <v>109</v>
      </c>
    </row>
    <row r="1813" spans="1:42" x14ac:dyDescent="0.25">
      <c r="A1813" s="28" t="str">
        <f>"2280"</f>
        <v>2280</v>
      </c>
      <c r="B1813">
        <v>2280</v>
      </c>
      <c r="C1813" t="s">
        <v>2488</v>
      </c>
      <c r="D1813" t="s">
        <v>121</v>
      </c>
      <c r="F1813" t="s">
        <v>120</v>
      </c>
      <c r="G1813" t="s">
        <v>241</v>
      </c>
      <c r="I1813" t="s">
        <v>1312</v>
      </c>
      <c r="J1813" t="s">
        <v>7</v>
      </c>
      <c r="K1813" s="63">
        <v>16525</v>
      </c>
      <c r="L1813" s="28">
        <f>DATEDIF(K1813,Zwift25!G$1,"Y")</f>
        <v>79</v>
      </c>
      <c r="M1813" s="67">
        <f>IF(J1813="m",VLOOKUP(L1813,'All Solo Adjustments'!A:D,4,FALSE),VLOOKUP(L1813,'All Solo Adjustments'!A:J,10,FALSE))</f>
        <v>1.0451388888888889E-2</v>
      </c>
      <c r="N1813" s="63"/>
      <c r="O1813" s="63"/>
      <c r="P1813" s="63"/>
      <c r="Q1813" s="63"/>
      <c r="R1813" t="s">
        <v>198</v>
      </c>
      <c r="S1813" t="s">
        <v>461</v>
      </c>
      <c r="T1813" t="s">
        <v>292</v>
      </c>
      <c r="U1813" t="s">
        <v>4165</v>
      </c>
      <c r="V1813" t="s">
        <v>986</v>
      </c>
      <c r="W1813" t="s">
        <v>196</v>
      </c>
      <c r="Y1813" t="s">
        <v>4164</v>
      </c>
      <c r="Z1813" t="str">
        <f>"01565 755276"</f>
        <v>01565 755276</v>
      </c>
      <c r="AA1813" t="str">
        <f>""</f>
        <v/>
      </c>
      <c r="AB1813" t="s">
        <v>514</v>
      </c>
      <c r="AC1813" t="s">
        <v>4163</v>
      </c>
      <c r="AD1813" t="s">
        <v>114</v>
      </c>
      <c r="AE1813" s="63">
        <v>45264</v>
      </c>
      <c r="AF1813" t="s">
        <v>113</v>
      </c>
      <c r="AG1813" t="s">
        <v>112</v>
      </c>
      <c r="AH1813" t="s">
        <v>112</v>
      </c>
      <c r="AI1813" s="63">
        <v>31167</v>
      </c>
      <c r="AJ1813" s="63">
        <v>45657</v>
      </c>
      <c r="AK1813" t="s">
        <v>111</v>
      </c>
      <c r="AL1813" t="s">
        <v>111</v>
      </c>
      <c r="AM1813" t="s">
        <v>111</v>
      </c>
      <c r="AN1813" t="s">
        <v>105</v>
      </c>
      <c r="AO1813" t="s">
        <v>110</v>
      </c>
      <c r="AP1813" t="s">
        <v>109</v>
      </c>
    </row>
    <row r="1814" spans="1:42" x14ac:dyDescent="0.25">
      <c r="A1814" s="28" t="str">
        <f>"13728"</f>
        <v>13728</v>
      </c>
      <c r="B1814">
        <v>13728</v>
      </c>
      <c r="C1814" t="s">
        <v>2488</v>
      </c>
      <c r="D1814" t="s">
        <v>121</v>
      </c>
      <c r="F1814" t="s">
        <v>149</v>
      </c>
      <c r="G1814" t="s">
        <v>455</v>
      </c>
      <c r="I1814" t="s">
        <v>4162</v>
      </c>
      <c r="J1814" t="s">
        <v>126</v>
      </c>
      <c r="K1814" s="63">
        <v>18476</v>
      </c>
      <c r="L1814" s="28">
        <f>DATEDIF(K1814,Zwift25!G$1,"Y")</f>
        <v>74</v>
      </c>
      <c r="M1814" s="67">
        <f>IF(J1814="m",VLOOKUP(L1814,'All Solo Adjustments'!A:D,4,FALSE),VLOOKUP(L1814,'All Solo Adjustments'!A:J,10,FALSE))</f>
        <v>1.3414351851851853E-2</v>
      </c>
      <c r="N1814" s="63"/>
      <c r="O1814" s="63"/>
      <c r="P1814" s="63"/>
      <c r="Q1814" s="63"/>
      <c r="R1814" t="s">
        <v>180</v>
      </c>
      <c r="S1814" t="s">
        <v>179</v>
      </c>
      <c r="T1814" t="s">
        <v>292</v>
      </c>
      <c r="U1814" t="s">
        <v>4161</v>
      </c>
      <c r="V1814" t="s">
        <v>4160</v>
      </c>
      <c r="W1814" t="s">
        <v>1109</v>
      </c>
      <c r="X1814" t="s">
        <v>892</v>
      </c>
      <c r="Y1814" t="s">
        <v>4159</v>
      </c>
      <c r="Z1814" t="str">
        <f>"07713 266000"</f>
        <v>07713 266000</v>
      </c>
      <c r="AA1814" t="str">
        <f>""</f>
        <v/>
      </c>
      <c r="AB1814" t="s">
        <v>1688</v>
      </c>
      <c r="AC1814" t="s">
        <v>4158</v>
      </c>
      <c r="AD1814" t="s">
        <v>114</v>
      </c>
      <c r="AE1814" s="63">
        <v>45314</v>
      </c>
      <c r="AF1814" t="s">
        <v>113</v>
      </c>
      <c r="AG1814" t="s">
        <v>112</v>
      </c>
      <c r="AH1814" t="s">
        <v>112</v>
      </c>
      <c r="AI1814" s="63">
        <v>43300</v>
      </c>
      <c r="AJ1814" s="63">
        <v>45657</v>
      </c>
      <c r="AK1814" t="s">
        <v>112</v>
      </c>
      <c r="AL1814" t="s">
        <v>111</v>
      </c>
      <c r="AM1814" t="s">
        <v>111</v>
      </c>
      <c r="AN1814">
        <v>3169</v>
      </c>
      <c r="AO1814" t="s">
        <v>122</v>
      </c>
      <c r="AP1814" t="s">
        <v>122</v>
      </c>
    </row>
    <row r="1815" spans="1:42" x14ac:dyDescent="0.25">
      <c r="A1815" s="28" t="str">
        <f>"15973"</f>
        <v>15973</v>
      </c>
      <c r="B1815">
        <v>15973</v>
      </c>
      <c r="C1815" t="s">
        <v>2488</v>
      </c>
      <c r="D1815" t="s">
        <v>121</v>
      </c>
      <c r="E1815" t="s">
        <v>584</v>
      </c>
      <c r="F1815" t="s">
        <v>120</v>
      </c>
      <c r="G1815" t="s">
        <v>695</v>
      </c>
      <c r="I1815" t="s">
        <v>4157</v>
      </c>
      <c r="J1815" t="s">
        <v>7</v>
      </c>
      <c r="K1815" s="63">
        <v>21677</v>
      </c>
      <c r="L1815" s="28">
        <f>DATEDIF(K1815,Zwift25!G$1,"Y")</f>
        <v>65</v>
      </c>
      <c r="M1815" s="67">
        <f>IF(J1815="m",VLOOKUP(L1815,'All Solo Adjustments'!A:D,4,FALSE),VLOOKUP(L1815,'All Solo Adjustments'!A:J,10,FALSE))</f>
        <v>4.6180555555555558E-3</v>
      </c>
      <c r="N1815" s="63"/>
      <c r="O1815" s="63"/>
      <c r="P1815" s="63"/>
      <c r="Q1815" s="63"/>
      <c r="R1815" t="s">
        <v>180</v>
      </c>
      <c r="S1815" t="s">
        <v>179</v>
      </c>
      <c r="T1815" t="s">
        <v>292</v>
      </c>
      <c r="U1815" t="s">
        <v>4156</v>
      </c>
      <c r="V1815" t="s">
        <v>1572</v>
      </c>
      <c r="W1815" t="s">
        <v>259</v>
      </c>
      <c r="Y1815" t="s">
        <v>4155</v>
      </c>
      <c r="Z1815" t="str">
        <f>"07776854656"</f>
        <v>07776854656</v>
      </c>
      <c r="AA1815" t="str">
        <f>""</f>
        <v/>
      </c>
      <c r="AB1815" t="s">
        <v>418</v>
      </c>
      <c r="AC1815" t="s">
        <v>4154</v>
      </c>
      <c r="AD1815" t="s">
        <v>114</v>
      </c>
      <c r="AE1815" s="63">
        <v>45294</v>
      </c>
      <c r="AF1815" t="s">
        <v>156</v>
      </c>
      <c r="AG1815" t="s">
        <v>112</v>
      </c>
      <c r="AH1815" t="s">
        <v>112</v>
      </c>
      <c r="AI1815" s="63">
        <v>45294</v>
      </c>
      <c r="AJ1815" s="63">
        <v>45657</v>
      </c>
      <c r="AK1815" t="s">
        <v>112</v>
      </c>
      <c r="AL1815" t="s">
        <v>111</v>
      </c>
      <c r="AM1815" t="s">
        <v>111</v>
      </c>
      <c r="AN1815">
        <v>48223</v>
      </c>
      <c r="AO1815" t="s">
        <v>110</v>
      </c>
      <c r="AP1815" t="s">
        <v>109</v>
      </c>
    </row>
    <row r="1816" spans="1:42" x14ac:dyDescent="0.25">
      <c r="A1816" s="28" t="str">
        <f>"2285"</f>
        <v>2285</v>
      </c>
      <c r="B1816">
        <v>2285</v>
      </c>
      <c r="C1816" t="s">
        <v>2488</v>
      </c>
      <c r="D1816" t="s">
        <v>121</v>
      </c>
      <c r="F1816" t="s">
        <v>120</v>
      </c>
      <c r="G1816" t="s">
        <v>1126</v>
      </c>
      <c r="I1816" t="s">
        <v>4153</v>
      </c>
      <c r="J1816" t="s">
        <v>7</v>
      </c>
      <c r="K1816" s="63">
        <v>14581</v>
      </c>
      <c r="L1816" s="28">
        <f>DATEDIF(K1816,Zwift25!G$1,"Y")</f>
        <v>84</v>
      </c>
      <c r="M1816" s="67">
        <f>IF(J1816="m",VLOOKUP(L1816,'All Solo Adjustments'!A:D,4,FALSE),VLOOKUP(L1816,'All Solo Adjustments'!A:J,10,FALSE))</f>
        <v>1.3530092592592592E-2</v>
      </c>
      <c r="N1816" s="63"/>
      <c r="O1816" s="63"/>
      <c r="P1816" s="63"/>
      <c r="Q1816" s="63"/>
      <c r="R1816" t="s">
        <v>118</v>
      </c>
      <c r="S1816" t="s">
        <v>117</v>
      </c>
      <c r="T1816" t="s">
        <v>292</v>
      </c>
      <c r="U1816" t="s">
        <v>4152</v>
      </c>
      <c r="V1816" t="s">
        <v>4151</v>
      </c>
      <c r="W1816" t="s">
        <v>253</v>
      </c>
      <c r="Y1816" t="s">
        <v>4150</v>
      </c>
      <c r="Z1816" t="str">
        <f>"01226754730"</f>
        <v>01226754730</v>
      </c>
      <c r="AA1816" t="str">
        <f>"01226754730"</f>
        <v>01226754730</v>
      </c>
      <c r="AB1816" t="s">
        <v>1899</v>
      </c>
      <c r="AC1816" t="s">
        <v>4149</v>
      </c>
      <c r="AD1816" t="s">
        <v>114</v>
      </c>
      <c r="AE1816" s="63">
        <v>45285</v>
      </c>
      <c r="AF1816" t="s">
        <v>113</v>
      </c>
      <c r="AG1816" t="s">
        <v>112</v>
      </c>
      <c r="AH1816" t="s">
        <v>112</v>
      </c>
      <c r="AI1816" s="63">
        <v>35963</v>
      </c>
      <c r="AJ1816" s="63">
        <v>45657</v>
      </c>
      <c r="AK1816" t="s">
        <v>111</v>
      </c>
      <c r="AL1816" t="s">
        <v>111</v>
      </c>
      <c r="AM1816" t="s">
        <v>111</v>
      </c>
      <c r="AN1816" t="s">
        <v>105</v>
      </c>
      <c r="AO1816" t="s">
        <v>110</v>
      </c>
      <c r="AP1816" t="s">
        <v>109</v>
      </c>
    </row>
    <row r="1817" spans="1:42" x14ac:dyDescent="0.25">
      <c r="A1817" s="28" t="str">
        <f>"2286"</f>
        <v>2286</v>
      </c>
      <c r="B1817">
        <v>2286</v>
      </c>
      <c r="C1817" t="s">
        <v>2488</v>
      </c>
      <c r="D1817" t="s">
        <v>121</v>
      </c>
      <c r="F1817" t="s">
        <v>120</v>
      </c>
      <c r="G1817" t="s">
        <v>721</v>
      </c>
      <c r="I1817" t="s">
        <v>370</v>
      </c>
      <c r="J1817" t="s">
        <v>7</v>
      </c>
      <c r="K1817" s="63">
        <v>14804</v>
      </c>
      <c r="L1817" s="28">
        <f>DATEDIF(K1817,Zwift25!G$1,"Y")</f>
        <v>84</v>
      </c>
      <c r="M1817" s="67">
        <f>IF(J1817="m",VLOOKUP(L1817,'All Solo Adjustments'!A:D,4,FALSE),VLOOKUP(L1817,'All Solo Adjustments'!A:J,10,FALSE))</f>
        <v>1.3530092592592592E-2</v>
      </c>
      <c r="N1817" s="63"/>
      <c r="O1817" s="63"/>
      <c r="P1817" s="63"/>
      <c r="Q1817" s="63"/>
      <c r="R1817" t="s">
        <v>180</v>
      </c>
      <c r="S1817" t="s">
        <v>2288</v>
      </c>
      <c r="T1817" t="s">
        <v>292</v>
      </c>
      <c r="U1817" t="s">
        <v>4148</v>
      </c>
      <c r="V1817" t="s">
        <v>1825</v>
      </c>
      <c r="W1817" t="s">
        <v>259</v>
      </c>
      <c r="Y1817" t="s">
        <v>4147</v>
      </c>
      <c r="Z1817" t="str">
        <f>"01664 850627"</f>
        <v>01664 850627</v>
      </c>
      <c r="AA1817" t="str">
        <f>""</f>
        <v/>
      </c>
      <c r="AB1817" t="s">
        <v>1138</v>
      </c>
      <c r="AC1817" t="s">
        <v>4146</v>
      </c>
      <c r="AD1817" t="s">
        <v>145</v>
      </c>
      <c r="AF1817" t="s">
        <v>113</v>
      </c>
      <c r="AG1817" t="s">
        <v>112</v>
      </c>
      <c r="AH1817" t="s">
        <v>112</v>
      </c>
      <c r="AI1817" s="63">
        <v>43186</v>
      </c>
      <c r="AK1817" t="s">
        <v>111</v>
      </c>
      <c r="AL1817" t="s">
        <v>111</v>
      </c>
      <c r="AM1817" t="s">
        <v>111</v>
      </c>
      <c r="AN1817" t="s">
        <v>105</v>
      </c>
      <c r="AO1817" t="s">
        <v>110</v>
      </c>
      <c r="AP1817" t="s">
        <v>109</v>
      </c>
    </row>
    <row r="1818" spans="1:42" x14ac:dyDescent="0.25">
      <c r="A1818" s="28" t="str">
        <f>"14660"</f>
        <v>14660</v>
      </c>
      <c r="B1818">
        <v>14660</v>
      </c>
      <c r="C1818" t="s">
        <v>2488</v>
      </c>
      <c r="D1818" t="s">
        <v>121</v>
      </c>
      <c r="F1818" t="s">
        <v>120</v>
      </c>
      <c r="G1818" t="s">
        <v>189</v>
      </c>
      <c r="I1818" t="s">
        <v>370</v>
      </c>
      <c r="J1818" t="s">
        <v>7</v>
      </c>
      <c r="K1818" s="63">
        <v>27188</v>
      </c>
      <c r="L1818" s="28">
        <f>DATEDIF(K1818,Zwift25!G$1,"Y")</f>
        <v>50</v>
      </c>
      <c r="M1818" s="67">
        <f>IF(J1818="m",VLOOKUP(L1818,'All Solo Adjustments'!A:D,4,FALSE),VLOOKUP(L1818,'All Solo Adjustments'!A:J,10,FALSE))</f>
        <v>1.1342592592592591E-3</v>
      </c>
      <c r="N1818" s="63"/>
      <c r="O1818" s="63"/>
      <c r="P1818" s="63"/>
      <c r="Q1818" s="63"/>
      <c r="R1818" t="s">
        <v>184</v>
      </c>
      <c r="S1818" t="s">
        <v>183</v>
      </c>
      <c r="T1818" t="s">
        <v>292</v>
      </c>
      <c r="U1818" t="s">
        <v>4145</v>
      </c>
      <c r="V1818" t="s">
        <v>1143</v>
      </c>
      <c r="W1818" t="s">
        <v>1228</v>
      </c>
      <c r="Y1818" t="s">
        <v>4144</v>
      </c>
      <c r="Z1818" t="str">
        <f>"07887773885"</f>
        <v>07887773885</v>
      </c>
      <c r="AA1818" t="str">
        <f>""</f>
        <v/>
      </c>
      <c r="AB1818" t="s">
        <v>1142</v>
      </c>
      <c r="AC1818" t="s">
        <v>4143</v>
      </c>
      <c r="AD1818" t="s">
        <v>114</v>
      </c>
      <c r="AE1818" s="63">
        <v>45515</v>
      </c>
      <c r="AF1818" t="s">
        <v>156</v>
      </c>
      <c r="AG1818" t="s">
        <v>112</v>
      </c>
      <c r="AH1818" t="s">
        <v>112</v>
      </c>
      <c r="AI1818" s="63">
        <v>44059</v>
      </c>
      <c r="AJ1818" s="63">
        <v>45657</v>
      </c>
      <c r="AK1818" t="s">
        <v>112</v>
      </c>
      <c r="AL1818" t="s">
        <v>111</v>
      </c>
      <c r="AM1818" t="s">
        <v>111</v>
      </c>
      <c r="AN1818">
        <v>181</v>
      </c>
      <c r="AO1818" t="s">
        <v>110</v>
      </c>
      <c r="AP1818" t="s">
        <v>109</v>
      </c>
    </row>
    <row r="1819" spans="1:42" x14ac:dyDescent="0.25">
      <c r="A1819" s="28" t="str">
        <f>"13979"</f>
        <v>13979</v>
      </c>
      <c r="B1819">
        <v>13979</v>
      </c>
      <c r="C1819" t="s">
        <v>2488</v>
      </c>
      <c r="D1819" t="s">
        <v>121</v>
      </c>
      <c r="F1819" t="s">
        <v>149</v>
      </c>
      <c r="G1819" t="s">
        <v>660</v>
      </c>
      <c r="I1819" t="s">
        <v>358</v>
      </c>
      <c r="J1819" t="s">
        <v>126</v>
      </c>
      <c r="K1819" s="63">
        <v>18500</v>
      </c>
      <c r="L1819" s="28">
        <f>DATEDIF(K1819,Zwift25!G$1,"Y")</f>
        <v>74</v>
      </c>
      <c r="M1819" s="67">
        <f>IF(J1819="m",VLOOKUP(L1819,'All Solo Adjustments'!A:D,4,FALSE),VLOOKUP(L1819,'All Solo Adjustments'!A:J,10,FALSE))</f>
        <v>1.3414351851851853E-2</v>
      </c>
      <c r="N1819" s="63"/>
      <c r="O1819" s="63"/>
      <c r="P1819" s="63"/>
      <c r="Q1819" s="63"/>
      <c r="R1819" t="s">
        <v>180</v>
      </c>
      <c r="S1819" t="s">
        <v>179</v>
      </c>
      <c r="T1819" t="s">
        <v>292</v>
      </c>
      <c r="U1819" t="s">
        <v>4142</v>
      </c>
      <c r="W1819" t="s">
        <v>1567</v>
      </c>
      <c r="X1819" t="s">
        <v>177</v>
      </c>
      <c r="Y1819" t="s">
        <v>4141</v>
      </c>
      <c r="Z1819" t="str">
        <f>"07928615762"</f>
        <v>07928615762</v>
      </c>
      <c r="AA1819" t="str">
        <f>"01777949303"</f>
        <v>01777949303</v>
      </c>
      <c r="AB1819" t="s">
        <v>290</v>
      </c>
      <c r="AC1819" t="s">
        <v>4140</v>
      </c>
      <c r="AD1819" t="s">
        <v>114</v>
      </c>
      <c r="AE1819" s="63">
        <v>45267</v>
      </c>
      <c r="AF1819" t="s">
        <v>113</v>
      </c>
      <c r="AG1819" t="s">
        <v>112</v>
      </c>
      <c r="AH1819" t="s">
        <v>112</v>
      </c>
      <c r="AI1819" s="63">
        <v>43472</v>
      </c>
      <c r="AJ1819" s="63">
        <v>45657</v>
      </c>
      <c r="AK1819" t="s">
        <v>112</v>
      </c>
      <c r="AL1819" t="s">
        <v>111</v>
      </c>
      <c r="AM1819" t="s">
        <v>112</v>
      </c>
      <c r="AN1819" t="s">
        <v>105</v>
      </c>
      <c r="AO1819" t="s">
        <v>122</v>
      </c>
      <c r="AP1819" t="s">
        <v>122</v>
      </c>
    </row>
    <row r="1820" spans="1:42" x14ac:dyDescent="0.25">
      <c r="A1820" s="28" t="str">
        <f>"14557"</f>
        <v>14557</v>
      </c>
      <c r="B1820">
        <v>14557</v>
      </c>
      <c r="C1820" t="s">
        <v>2488</v>
      </c>
      <c r="D1820" t="s">
        <v>121</v>
      </c>
      <c r="E1820" t="s">
        <v>584</v>
      </c>
      <c r="F1820" t="s">
        <v>120</v>
      </c>
      <c r="G1820" t="s">
        <v>4139</v>
      </c>
      <c r="I1820" t="s">
        <v>4138</v>
      </c>
      <c r="J1820" t="s">
        <v>7</v>
      </c>
      <c r="K1820" s="63">
        <v>26816</v>
      </c>
      <c r="L1820" s="28">
        <f>DATEDIF(K1820,Zwift25!G$1,"Y")</f>
        <v>51</v>
      </c>
      <c r="M1820" s="67">
        <f>IF(J1820="m",VLOOKUP(L1820,'All Solo Adjustments'!A:D,4,FALSE),VLOOKUP(L1820,'All Solo Adjustments'!A:J,10,FALSE))</f>
        <v>1.3078703703703703E-3</v>
      </c>
      <c r="N1820" s="63"/>
      <c r="O1820" s="63"/>
      <c r="P1820" s="63"/>
      <c r="Q1820" s="63"/>
      <c r="R1820" t="s">
        <v>180</v>
      </c>
      <c r="S1820" t="s">
        <v>179</v>
      </c>
      <c r="T1820" t="s">
        <v>292</v>
      </c>
      <c r="U1820" t="s">
        <v>4137</v>
      </c>
      <c r="V1820" t="s">
        <v>4136</v>
      </c>
      <c r="W1820" t="s">
        <v>1022</v>
      </c>
      <c r="Y1820" t="s">
        <v>4135</v>
      </c>
      <c r="Z1820" t="str">
        <f>"07921776603"</f>
        <v>07921776603</v>
      </c>
      <c r="AA1820" t="str">
        <f>""</f>
        <v/>
      </c>
      <c r="AB1820" t="s">
        <v>1543</v>
      </c>
      <c r="AC1820" t="s">
        <v>4134</v>
      </c>
      <c r="AD1820" t="s">
        <v>114</v>
      </c>
      <c r="AE1820" s="63">
        <v>45292</v>
      </c>
      <c r="AF1820" t="s">
        <v>113</v>
      </c>
      <c r="AG1820" t="s">
        <v>112</v>
      </c>
      <c r="AH1820" t="s">
        <v>111</v>
      </c>
      <c r="AI1820" s="63">
        <v>43992</v>
      </c>
      <c r="AJ1820" s="63">
        <v>45657</v>
      </c>
      <c r="AK1820" t="s">
        <v>112</v>
      </c>
      <c r="AL1820" t="s">
        <v>111</v>
      </c>
      <c r="AM1820" t="s">
        <v>111</v>
      </c>
      <c r="AN1820">
        <v>10631</v>
      </c>
      <c r="AO1820" t="s">
        <v>110</v>
      </c>
      <c r="AP1820" t="s">
        <v>109</v>
      </c>
    </row>
    <row r="1821" spans="1:42" x14ac:dyDescent="0.25">
      <c r="A1821" s="28" t="str">
        <f>"2297"</f>
        <v>2297</v>
      </c>
      <c r="B1821">
        <v>2297</v>
      </c>
      <c r="C1821" t="s">
        <v>2488</v>
      </c>
      <c r="D1821" t="s">
        <v>132</v>
      </c>
      <c r="F1821" t="s">
        <v>120</v>
      </c>
      <c r="G1821" t="s">
        <v>776</v>
      </c>
      <c r="I1821" t="s">
        <v>3464</v>
      </c>
      <c r="J1821" t="s">
        <v>7</v>
      </c>
      <c r="K1821" s="63">
        <v>24034</v>
      </c>
      <c r="L1821" s="28">
        <f>DATEDIF(K1821,Zwift25!G$1,"Y")</f>
        <v>58</v>
      </c>
      <c r="M1821" s="67">
        <f>IF(J1821="m",VLOOKUP(L1821,'All Solo Adjustments'!A:D,4,FALSE),VLOOKUP(L1821,'All Solo Adjustments'!A:J,10,FALSE))</f>
        <v>2.7199074074074074E-3</v>
      </c>
      <c r="N1821" s="63"/>
      <c r="O1821" s="63"/>
      <c r="P1821" s="63"/>
      <c r="Q1821" s="63"/>
      <c r="R1821" t="s">
        <v>125</v>
      </c>
      <c r="S1821" t="s">
        <v>124</v>
      </c>
      <c r="T1821" t="s">
        <v>292</v>
      </c>
      <c r="U1821" t="s">
        <v>4131</v>
      </c>
      <c r="V1821" t="s">
        <v>4130</v>
      </c>
      <c r="W1821" t="s">
        <v>123</v>
      </c>
      <c r="Y1821" t="s">
        <v>4129</v>
      </c>
      <c r="Z1821" t="str">
        <f>"07881 502505"</f>
        <v>07881 502505</v>
      </c>
      <c r="AA1821" t="str">
        <f>""</f>
        <v/>
      </c>
      <c r="AB1821" t="s">
        <v>4133</v>
      </c>
      <c r="AC1821" t="s">
        <v>4132</v>
      </c>
      <c r="AD1821" t="s">
        <v>145</v>
      </c>
      <c r="AE1821" s="63">
        <v>45299</v>
      </c>
      <c r="AF1821" t="s">
        <v>113</v>
      </c>
      <c r="AG1821" t="s">
        <v>112</v>
      </c>
      <c r="AH1821" t="s">
        <v>112</v>
      </c>
      <c r="AI1821" s="63">
        <v>38815</v>
      </c>
      <c r="AJ1821" s="63">
        <v>45657</v>
      </c>
      <c r="AK1821" t="s">
        <v>111</v>
      </c>
      <c r="AL1821" t="s">
        <v>111</v>
      </c>
      <c r="AM1821" t="s">
        <v>111</v>
      </c>
      <c r="AN1821">
        <v>3470</v>
      </c>
      <c r="AO1821" t="s">
        <v>110</v>
      </c>
      <c r="AP1821" t="s">
        <v>109</v>
      </c>
    </row>
    <row r="1822" spans="1:42" x14ac:dyDescent="0.25">
      <c r="A1822" s="28" t="str">
        <f>"2289"</f>
        <v>2289</v>
      </c>
      <c r="B1822">
        <v>2289</v>
      </c>
      <c r="C1822" t="s">
        <v>2488</v>
      </c>
      <c r="D1822" t="s">
        <v>121</v>
      </c>
      <c r="E1822" t="s">
        <v>2387</v>
      </c>
      <c r="F1822" t="s">
        <v>120</v>
      </c>
      <c r="G1822" t="s">
        <v>761</v>
      </c>
      <c r="H1822" t="s">
        <v>760</v>
      </c>
      <c r="I1822" t="s">
        <v>4128</v>
      </c>
      <c r="J1822" t="s">
        <v>7</v>
      </c>
      <c r="K1822" s="63">
        <v>14323</v>
      </c>
      <c r="L1822" s="28">
        <f>DATEDIF(K1822,Zwift25!G$1,"Y")</f>
        <v>85</v>
      </c>
      <c r="M1822" s="67">
        <f>IF(J1822="m",VLOOKUP(L1822,'All Solo Adjustments'!A:D,4,FALSE),VLOOKUP(L1822,'All Solo Adjustments'!A:J,10,FALSE))</f>
        <v>1.4236111111111111E-2</v>
      </c>
      <c r="N1822" s="63"/>
      <c r="O1822" s="63"/>
      <c r="P1822" s="63"/>
      <c r="Q1822" s="63"/>
      <c r="R1822" t="s">
        <v>143</v>
      </c>
      <c r="S1822" t="s">
        <v>142</v>
      </c>
      <c r="T1822" t="s">
        <v>292</v>
      </c>
      <c r="U1822" t="s">
        <v>4127</v>
      </c>
      <c r="V1822" t="s">
        <v>4126</v>
      </c>
      <c r="W1822" t="s">
        <v>141</v>
      </c>
      <c r="Y1822" t="s">
        <v>4125</v>
      </c>
      <c r="Z1822" t="str">
        <f>"02086 684985"</f>
        <v>02086 684985</v>
      </c>
      <c r="AA1822" t="str">
        <f>""</f>
        <v/>
      </c>
      <c r="AB1822" t="s">
        <v>316</v>
      </c>
      <c r="AD1822" t="s">
        <v>145</v>
      </c>
      <c r="AE1822" s="63">
        <v>45317</v>
      </c>
      <c r="AF1822" t="s">
        <v>113</v>
      </c>
      <c r="AG1822" t="s">
        <v>112</v>
      </c>
      <c r="AH1822" t="s">
        <v>112</v>
      </c>
      <c r="AI1822" s="63">
        <v>32509</v>
      </c>
      <c r="AJ1822" s="63">
        <v>45657</v>
      </c>
      <c r="AK1822" t="s">
        <v>111</v>
      </c>
      <c r="AL1822" t="s">
        <v>111</v>
      </c>
      <c r="AM1822" t="s">
        <v>111</v>
      </c>
      <c r="AN1822" t="s">
        <v>105</v>
      </c>
      <c r="AO1822" t="s">
        <v>110</v>
      </c>
      <c r="AP1822" t="s">
        <v>109</v>
      </c>
    </row>
    <row r="1823" spans="1:42" x14ac:dyDescent="0.25">
      <c r="A1823" s="28" t="str">
        <f>"3022"</f>
        <v>3022</v>
      </c>
      <c r="B1823">
        <v>3022</v>
      </c>
      <c r="C1823" t="s">
        <v>2488</v>
      </c>
      <c r="D1823" t="s">
        <v>121</v>
      </c>
      <c r="F1823" t="s">
        <v>120</v>
      </c>
      <c r="G1823" t="s">
        <v>492</v>
      </c>
      <c r="I1823" t="s">
        <v>4124</v>
      </c>
      <c r="J1823" t="s">
        <v>7</v>
      </c>
      <c r="K1823" s="63">
        <v>17378</v>
      </c>
      <c r="L1823" s="28">
        <f>DATEDIF(K1823,Zwift25!G$1,"Y")</f>
        <v>77</v>
      </c>
      <c r="M1823" s="67">
        <f>IF(J1823="m",VLOOKUP(L1823,'All Solo Adjustments'!A:D,4,FALSE),VLOOKUP(L1823,'All Solo Adjustments'!A:J,10,FALSE))</f>
        <v>9.3981481481481485E-3</v>
      </c>
      <c r="N1823" s="63"/>
      <c r="O1823" s="63"/>
      <c r="P1823" s="63"/>
      <c r="Q1823" s="63"/>
      <c r="R1823" t="s">
        <v>328</v>
      </c>
      <c r="S1823" t="s">
        <v>327</v>
      </c>
      <c r="T1823" t="s">
        <v>292</v>
      </c>
      <c r="U1823" t="s">
        <v>4123</v>
      </c>
      <c r="V1823" t="s">
        <v>1275</v>
      </c>
      <c r="W1823" t="s">
        <v>325</v>
      </c>
      <c r="Y1823" t="s">
        <v>4122</v>
      </c>
      <c r="Z1823" t="str">
        <f>"01772 641516"</f>
        <v>01772 641516</v>
      </c>
      <c r="AA1823" t="str">
        <f>"07904 385683"</f>
        <v>07904 385683</v>
      </c>
      <c r="AB1823" t="s">
        <v>1192</v>
      </c>
      <c r="AC1823" t="s">
        <v>4121</v>
      </c>
      <c r="AD1823" t="s">
        <v>114</v>
      </c>
      <c r="AE1823" s="63">
        <v>45345</v>
      </c>
      <c r="AF1823" t="s">
        <v>113</v>
      </c>
      <c r="AG1823" t="s">
        <v>112</v>
      </c>
      <c r="AH1823" t="s">
        <v>112</v>
      </c>
      <c r="AI1823" s="63">
        <v>43101</v>
      </c>
      <c r="AJ1823" s="63">
        <v>45657</v>
      </c>
      <c r="AK1823" t="s">
        <v>111</v>
      </c>
      <c r="AL1823" t="s">
        <v>111</v>
      </c>
      <c r="AM1823" t="s">
        <v>111</v>
      </c>
      <c r="AN1823">
        <v>21835</v>
      </c>
      <c r="AO1823" t="s">
        <v>110</v>
      </c>
      <c r="AP1823" t="s">
        <v>109</v>
      </c>
    </row>
    <row r="1824" spans="1:42" x14ac:dyDescent="0.25">
      <c r="A1824" s="28" t="str">
        <f>"3920"</f>
        <v>3920</v>
      </c>
      <c r="B1824">
        <v>3920</v>
      </c>
      <c r="C1824" t="s">
        <v>2488</v>
      </c>
      <c r="D1824" t="s">
        <v>121</v>
      </c>
      <c r="E1824" t="s">
        <v>584</v>
      </c>
      <c r="F1824" t="s">
        <v>120</v>
      </c>
      <c r="G1824" t="s">
        <v>543</v>
      </c>
      <c r="I1824" t="s">
        <v>4120</v>
      </c>
      <c r="J1824" t="s">
        <v>7</v>
      </c>
      <c r="K1824" s="63">
        <v>17267</v>
      </c>
      <c r="L1824" s="28">
        <f>DATEDIF(K1824,Zwift25!G$1,"Y")</f>
        <v>77</v>
      </c>
      <c r="M1824" s="67">
        <f>IF(J1824="m",VLOOKUP(L1824,'All Solo Adjustments'!A:D,4,FALSE),VLOOKUP(L1824,'All Solo Adjustments'!A:J,10,FALSE))</f>
        <v>9.3981481481481485E-3</v>
      </c>
      <c r="N1824" s="63"/>
      <c r="O1824" s="63"/>
      <c r="P1824" s="63"/>
      <c r="Q1824" s="63"/>
      <c r="R1824" t="s">
        <v>283</v>
      </c>
      <c r="S1824" t="s">
        <v>530</v>
      </c>
      <c r="T1824" t="s">
        <v>292</v>
      </c>
      <c r="U1824" t="s">
        <v>4119</v>
      </c>
      <c r="V1824" t="s">
        <v>4118</v>
      </c>
      <c r="W1824" t="s">
        <v>4117</v>
      </c>
      <c r="X1824" t="s">
        <v>710</v>
      </c>
      <c r="Y1824" t="s">
        <v>4116</v>
      </c>
      <c r="Z1824" t="str">
        <f>"01432820159"</f>
        <v>01432820159</v>
      </c>
      <c r="AA1824" t="str">
        <f>""</f>
        <v/>
      </c>
      <c r="AB1824" t="s">
        <v>1190</v>
      </c>
      <c r="AC1824" t="s">
        <v>4115</v>
      </c>
      <c r="AD1824" t="s">
        <v>114</v>
      </c>
      <c r="AE1824" s="63">
        <v>45474</v>
      </c>
      <c r="AF1824" t="s">
        <v>113</v>
      </c>
      <c r="AG1824" t="s">
        <v>112</v>
      </c>
      <c r="AH1824" t="s">
        <v>112</v>
      </c>
      <c r="AI1824" s="63">
        <v>40298</v>
      </c>
      <c r="AJ1824" s="63">
        <v>45657</v>
      </c>
      <c r="AK1824" t="s">
        <v>111</v>
      </c>
      <c r="AL1824" t="s">
        <v>111</v>
      </c>
      <c r="AM1824" t="s">
        <v>111</v>
      </c>
      <c r="AN1824">
        <v>5555</v>
      </c>
      <c r="AO1824" t="s">
        <v>110</v>
      </c>
      <c r="AP1824" t="s">
        <v>109</v>
      </c>
    </row>
    <row r="1825" spans="1:42" x14ac:dyDescent="0.25">
      <c r="A1825" s="28" t="str">
        <f>"5948"</f>
        <v>5948</v>
      </c>
      <c r="B1825">
        <v>5948</v>
      </c>
      <c r="C1825" t="s">
        <v>2488</v>
      </c>
      <c r="D1825" t="s">
        <v>121</v>
      </c>
      <c r="F1825" t="s">
        <v>120</v>
      </c>
      <c r="G1825" t="s">
        <v>373</v>
      </c>
      <c r="I1825" t="s">
        <v>4114</v>
      </c>
      <c r="J1825" t="s">
        <v>7</v>
      </c>
      <c r="K1825" s="63">
        <v>27575</v>
      </c>
      <c r="L1825" s="28">
        <f>DATEDIF(K1825,Zwift25!G$1,"Y")</f>
        <v>49</v>
      </c>
      <c r="M1825" s="67">
        <f>IF(J1825="m",VLOOKUP(L1825,'All Solo Adjustments'!A:D,4,FALSE),VLOOKUP(L1825,'All Solo Adjustments'!A:J,10,FALSE))</f>
        <v>9.837962962962962E-4</v>
      </c>
      <c r="N1825" s="63"/>
      <c r="O1825" s="63"/>
      <c r="P1825" s="63"/>
      <c r="Q1825" s="63"/>
      <c r="R1825" t="s">
        <v>125</v>
      </c>
      <c r="S1825" t="s">
        <v>170</v>
      </c>
      <c r="T1825" t="s">
        <v>292</v>
      </c>
      <c r="U1825" t="s">
        <v>4113</v>
      </c>
      <c r="V1825" t="s">
        <v>4112</v>
      </c>
      <c r="X1825" t="s">
        <v>123</v>
      </c>
      <c r="Y1825" t="s">
        <v>4111</v>
      </c>
      <c r="Z1825" t="str">
        <f>"07718 279256"</f>
        <v>07718 279256</v>
      </c>
      <c r="AA1825" t="str">
        <f>""</f>
        <v/>
      </c>
      <c r="AB1825" t="s">
        <v>4110</v>
      </c>
      <c r="AC1825" t="s">
        <v>4109</v>
      </c>
      <c r="AD1825" t="s">
        <v>114</v>
      </c>
      <c r="AE1825" s="63">
        <v>45355</v>
      </c>
      <c r="AF1825" t="s">
        <v>156</v>
      </c>
      <c r="AG1825" t="s">
        <v>112</v>
      </c>
      <c r="AH1825" t="s">
        <v>112</v>
      </c>
      <c r="AI1825" s="63">
        <v>42571</v>
      </c>
      <c r="AJ1825" s="63">
        <v>45657</v>
      </c>
      <c r="AK1825" t="s">
        <v>111</v>
      </c>
      <c r="AL1825" t="s">
        <v>111</v>
      </c>
      <c r="AM1825" t="s">
        <v>111</v>
      </c>
      <c r="AN1825">
        <v>7174</v>
      </c>
      <c r="AO1825" t="s">
        <v>110</v>
      </c>
      <c r="AP1825" t="s">
        <v>109</v>
      </c>
    </row>
    <row r="1826" spans="1:42" x14ac:dyDescent="0.25">
      <c r="A1826" s="28" t="str">
        <f>"2294"</f>
        <v>2294</v>
      </c>
      <c r="B1826">
        <v>2294</v>
      </c>
      <c r="C1826" t="s">
        <v>2488</v>
      </c>
      <c r="D1826" t="s">
        <v>121</v>
      </c>
      <c r="F1826" t="s">
        <v>120</v>
      </c>
      <c r="G1826" t="s">
        <v>251</v>
      </c>
      <c r="I1826" t="s">
        <v>1302</v>
      </c>
      <c r="J1826" t="s">
        <v>7</v>
      </c>
      <c r="K1826" s="63">
        <v>14568</v>
      </c>
      <c r="L1826" s="28">
        <f>DATEDIF(K1826,Zwift25!G$1,"Y")</f>
        <v>84</v>
      </c>
      <c r="M1826" s="67">
        <f>IF(J1826="m",VLOOKUP(L1826,'All Solo Adjustments'!A:D,4,FALSE),VLOOKUP(L1826,'All Solo Adjustments'!A:J,10,FALSE))</f>
        <v>1.3530092592592592E-2</v>
      </c>
      <c r="N1826" s="63"/>
      <c r="O1826" s="63"/>
      <c r="P1826" s="63"/>
      <c r="Q1826" s="63"/>
      <c r="R1826" t="s">
        <v>198</v>
      </c>
      <c r="S1826" t="s">
        <v>461</v>
      </c>
      <c r="T1826" t="s">
        <v>292</v>
      </c>
      <c r="U1826" t="s">
        <v>4108</v>
      </c>
      <c r="V1826" t="s">
        <v>4107</v>
      </c>
      <c r="W1826" t="s">
        <v>4106</v>
      </c>
      <c r="X1826" t="s">
        <v>892</v>
      </c>
      <c r="Y1826" t="s">
        <v>4105</v>
      </c>
      <c r="Z1826" t="str">
        <f>""</f>
        <v/>
      </c>
      <c r="AA1826" t="str">
        <f>""</f>
        <v/>
      </c>
      <c r="AB1826" t="s">
        <v>1311</v>
      </c>
      <c r="AC1826" t="s">
        <v>4104</v>
      </c>
      <c r="AD1826" t="s">
        <v>145</v>
      </c>
      <c r="AE1826" s="63">
        <v>45435</v>
      </c>
      <c r="AF1826" t="s">
        <v>113</v>
      </c>
      <c r="AG1826" t="s">
        <v>112</v>
      </c>
      <c r="AH1826" t="s">
        <v>112</v>
      </c>
      <c r="AI1826" s="63">
        <v>29280</v>
      </c>
      <c r="AJ1826" s="63">
        <v>45657</v>
      </c>
      <c r="AK1826" t="s">
        <v>111</v>
      </c>
      <c r="AL1826" t="s">
        <v>111</v>
      </c>
      <c r="AM1826" t="s">
        <v>111</v>
      </c>
      <c r="AN1826" t="s">
        <v>105</v>
      </c>
      <c r="AO1826" t="s">
        <v>110</v>
      </c>
      <c r="AP1826" t="s">
        <v>109</v>
      </c>
    </row>
    <row r="1827" spans="1:42" x14ac:dyDescent="0.25">
      <c r="A1827" s="28" t="str">
        <f>"15972"</f>
        <v>15972</v>
      </c>
      <c r="B1827">
        <v>15972</v>
      </c>
      <c r="C1827" t="s">
        <v>2488</v>
      </c>
      <c r="D1827" t="s">
        <v>121</v>
      </c>
      <c r="F1827" t="s">
        <v>120</v>
      </c>
      <c r="G1827" t="s">
        <v>4103</v>
      </c>
      <c r="I1827" t="s">
        <v>4102</v>
      </c>
      <c r="J1827" t="s">
        <v>7</v>
      </c>
      <c r="K1827" s="63">
        <v>22551</v>
      </c>
      <c r="L1827" s="28">
        <f>DATEDIF(K1827,Zwift25!G$1,"Y")</f>
        <v>63</v>
      </c>
      <c r="M1827" s="67">
        <f>IF(J1827="m",VLOOKUP(L1827,'All Solo Adjustments'!A:D,4,FALSE),VLOOKUP(L1827,'All Solo Adjustments'!A:J,10,FALSE))</f>
        <v>4.0277777777777777E-3</v>
      </c>
      <c r="N1827" s="63"/>
      <c r="O1827" s="63"/>
      <c r="P1827" s="63"/>
      <c r="Q1827" s="63"/>
      <c r="R1827" t="s">
        <v>137</v>
      </c>
      <c r="S1827" t="s">
        <v>136</v>
      </c>
      <c r="T1827" t="s">
        <v>292</v>
      </c>
      <c r="U1827" t="s">
        <v>4101</v>
      </c>
      <c r="W1827" t="s">
        <v>4100</v>
      </c>
      <c r="X1827" t="s">
        <v>564</v>
      </c>
      <c r="Y1827" t="s">
        <v>4099</v>
      </c>
      <c r="Z1827" t="str">
        <f>"07883459147"</f>
        <v>07883459147</v>
      </c>
      <c r="AA1827" t="str">
        <f>""</f>
        <v/>
      </c>
      <c r="AB1827" t="s">
        <v>4098</v>
      </c>
      <c r="AC1827" t="s">
        <v>4097</v>
      </c>
      <c r="AD1827" t="s">
        <v>114</v>
      </c>
      <c r="AE1827" s="63">
        <v>45294</v>
      </c>
      <c r="AF1827" t="s">
        <v>156</v>
      </c>
      <c r="AG1827" t="s">
        <v>112</v>
      </c>
      <c r="AH1827" t="s">
        <v>112</v>
      </c>
      <c r="AI1827" s="63">
        <v>45294</v>
      </c>
      <c r="AJ1827" s="63">
        <v>45657</v>
      </c>
      <c r="AK1827" t="s">
        <v>112</v>
      </c>
      <c r="AL1827" t="s">
        <v>111</v>
      </c>
      <c r="AM1827" t="s">
        <v>111</v>
      </c>
      <c r="AN1827">
        <v>49371</v>
      </c>
      <c r="AO1827" t="s">
        <v>110</v>
      </c>
      <c r="AP1827" t="s">
        <v>109</v>
      </c>
    </row>
    <row r="1828" spans="1:42" x14ac:dyDescent="0.25">
      <c r="A1828" s="28" t="str">
        <f>"13239"</f>
        <v>13239</v>
      </c>
      <c r="B1828">
        <v>13239</v>
      </c>
      <c r="C1828" t="s">
        <v>2488</v>
      </c>
      <c r="D1828" t="s">
        <v>121</v>
      </c>
      <c r="F1828" t="s">
        <v>120</v>
      </c>
      <c r="G1828" t="s">
        <v>373</v>
      </c>
      <c r="I1828" t="s">
        <v>4096</v>
      </c>
      <c r="J1828" t="s">
        <v>7</v>
      </c>
      <c r="K1828" s="63">
        <v>28342</v>
      </c>
      <c r="L1828" s="28">
        <f>DATEDIF(K1828,Zwift25!G$1,"Y")</f>
        <v>47</v>
      </c>
      <c r="M1828" s="67">
        <f>IF(J1828="m",VLOOKUP(L1828,'All Solo Adjustments'!A:D,4,FALSE),VLOOKUP(L1828,'All Solo Adjustments'!A:J,10,FALSE))</f>
        <v>6.9444444444444436E-4</v>
      </c>
      <c r="N1828" s="63"/>
      <c r="O1828" s="63"/>
      <c r="P1828" s="63"/>
      <c r="Q1828" s="63"/>
      <c r="R1828" t="s">
        <v>328</v>
      </c>
      <c r="S1828" t="s">
        <v>327</v>
      </c>
      <c r="T1828" t="s">
        <v>292</v>
      </c>
      <c r="U1828" t="s">
        <v>4095</v>
      </c>
      <c r="V1828" t="s">
        <v>4094</v>
      </c>
      <c r="W1828" t="s">
        <v>326</v>
      </c>
      <c r="Y1828" t="s">
        <v>4093</v>
      </c>
      <c r="Z1828" t="str">
        <f>"07773262447"</f>
        <v>07773262447</v>
      </c>
      <c r="AA1828" t="str">
        <f>"01772 330815"</f>
        <v>01772 330815</v>
      </c>
      <c r="AB1828" t="s">
        <v>1501</v>
      </c>
      <c r="AC1828" t="s">
        <v>4092</v>
      </c>
      <c r="AD1828" t="s">
        <v>114</v>
      </c>
      <c r="AE1828" s="63">
        <v>45365</v>
      </c>
      <c r="AF1828" t="s">
        <v>156</v>
      </c>
      <c r="AG1828" t="s">
        <v>112</v>
      </c>
      <c r="AH1828" t="s">
        <v>112</v>
      </c>
      <c r="AI1828" s="63">
        <v>43209</v>
      </c>
      <c r="AJ1828" s="63">
        <v>45657</v>
      </c>
      <c r="AK1828" t="s">
        <v>111</v>
      </c>
      <c r="AL1828" t="s">
        <v>111</v>
      </c>
      <c r="AM1828" t="s">
        <v>111</v>
      </c>
      <c r="AN1828">
        <v>5549</v>
      </c>
      <c r="AO1828" t="s">
        <v>110</v>
      </c>
      <c r="AP1828" t="s">
        <v>109</v>
      </c>
    </row>
    <row r="1829" spans="1:42" x14ac:dyDescent="0.25">
      <c r="A1829" s="28" t="str">
        <f>"15418"</f>
        <v>15418</v>
      </c>
      <c r="B1829">
        <v>15418</v>
      </c>
      <c r="C1829" t="s">
        <v>2488</v>
      </c>
      <c r="D1829" t="s">
        <v>132</v>
      </c>
      <c r="F1829" t="s">
        <v>149</v>
      </c>
      <c r="G1829" t="s">
        <v>732</v>
      </c>
      <c r="H1829" t="s">
        <v>660</v>
      </c>
      <c r="I1829" t="s">
        <v>355</v>
      </c>
      <c r="J1829" t="s">
        <v>126</v>
      </c>
      <c r="K1829" s="63">
        <v>25510</v>
      </c>
      <c r="L1829" s="28">
        <f>DATEDIF(K1829,Zwift25!G$1,"Y")</f>
        <v>54</v>
      </c>
      <c r="M1829" s="67">
        <f>IF(J1829="m",VLOOKUP(L1829,'All Solo Adjustments'!A:D,4,FALSE),VLOOKUP(L1829,'All Solo Adjustments'!A:J,10,FALSE))</f>
        <v>5.4861111111111109E-3</v>
      </c>
      <c r="N1829" s="63"/>
      <c r="O1829" s="63"/>
      <c r="P1829" s="63"/>
      <c r="Q1829" s="63"/>
      <c r="R1829" t="s">
        <v>198</v>
      </c>
      <c r="S1829" t="s">
        <v>197</v>
      </c>
      <c r="T1829" t="s">
        <v>292</v>
      </c>
      <c r="U1829" t="s">
        <v>4090</v>
      </c>
      <c r="V1829" t="s">
        <v>1364</v>
      </c>
      <c r="W1829" t="s">
        <v>196</v>
      </c>
      <c r="Y1829" t="s">
        <v>4089</v>
      </c>
      <c r="Z1829" t="str">
        <f>"07912652526"</f>
        <v>07912652526</v>
      </c>
      <c r="AA1829" t="str">
        <f>""</f>
        <v/>
      </c>
      <c r="AB1829" t="s">
        <v>1177</v>
      </c>
      <c r="AC1829" t="s">
        <v>4091</v>
      </c>
      <c r="AD1829" t="s">
        <v>114</v>
      </c>
      <c r="AE1829" s="63">
        <v>45341</v>
      </c>
      <c r="AF1829" t="s">
        <v>156</v>
      </c>
      <c r="AG1829" t="s">
        <v>112</v>
      </c>
      <c r="AH1829" t="s">
        <v>112</v>
      </c>
      <c r="AI1829" s="63">
        <v>44649</v>
      </c>
      <c r="AJ1829" s="63">
        <v>45657</v>
      </c>
      <c r="AK1829" t="s">
        <v>112</v>
      </c>
      <c r="AL1829" t="s">
        <v>111</v>
      </c>
      <c r="AM1829" t="s">
        <v>111</v>
      </c>
      <c r="AN1829">
        <v>24678</v>
      </c>
      <c r="AO1829" t="s">
        <v>122</v>
      </c>
      <c r="AP1829" t="s">
        <v>122</v>
      </c>
    </row>
    <row r="1830" spans="1:42" x14ac:dyDescent="0.25">
      <c r="A1830" s="28" t="str">
        <f>"15419"</f>
        <v>15419</v>
      </c>
      <c r="B1830">
        <v>15419</v>
      </c>
      <c r="C1830" t="s">
        <v>2488</v>
      </c>
      <c r="D1830" t="s">
        <v>130</v>
      </c>
      <c r="F1830" t="s">
        <v>120</v>
      </c>
      <c r="G1830" t="s">
        <v>1281</v>
      </c>
      <c r="H1830" t="s">
        <v>400</v>
      </c>
      <c r="I1830" t="s">
        <v>355</v>
      </c>
      <c r="J1830" t="s">
        <v>7</v>
      </c>
      <c r="K1830" s="63">
        <v>24936</v>
      </c>
      <c r="L1830" s="28">
        <f>DATEDIF(K1830,Zwift25!G$1,"Y")</f>
        <v>56</v>
      </c>
      <c r="M1830" s="67">
        <f>IF(J1830="m",VLOOKUP(L1830,'All Solo Adjustments'!A:D,4,FALSE),VLOOKUP(L1830,'All Solo Adjustments'!A:J,10,FALSE))</f>
        <v>2.2685185185185182E-3</v>
      </c>
      <c r="N1830" s="63"/>
      <c r="O1830" s="63"/>
      <c r="P1830" s="63"/>
      <c r="Q1830" s="63"/>
      <c r="R1830" t="s">
        <v>198</v>
      </c>
      <c r="S1830" t="s">
        <v>197</v>
      </c>
      <c r="T1830" t="s">
        <v>292</v>
      </c>
      <c r="U1830" t="s">
        <v>4090</v>
      </c>
      <c r="V1830" t="s">
        <v>1364</v>
      </c>
      <c r="W1830" t="s">
        <v>196</v>
      </c>
      <c r="Y1830" t="s">
        <v>4089</v>
      </c>
      <c r="Z1830" t="str">
        <f>"07912652526"</f>
        <v>07912652526</v>
      </c>
      <c r="AA1830" t="str">
        <f>""</f>
        <v/>
      </c>
      <c r="AB1830" t="s">
        <v>1177</v>
      </c>
      <c r="AC1830" t="s">
        <v>4088</v>
      </c>
      <c r="AD1830" t="s">
        <v>114</v>
      </c>
      <c r="AE1830" s="63">
        <v>45341</v>
      </c>
      <c r="AF1830" t="s">
        <v>113</v>
      </c>
      <c r="AG1830" t="s">
        <v>112</v>
      </c>
      <c r="AH1830" t="s">
        <v>112</v>
      </c>
      <c r="AI1830" s="63">
        <v>44649</v>
      </c>
      <c r="AJ1830" s="63">
        <v>45657</v>
      </c>
      <c r="AK1830" t="s">
        <v>112</v>
      </c>
      <c r="AL1830" t="s">
        <v>111</v>
      </c>
      <c r="AM1830" t="s">
        <v>111</v>
      </c>
      <c r="AN1830">
        <v>7733</v>
      </c>
      <c r="AO1830" t="s">
        <v>110</v>
      </c>
      <c r="AP1830" t="s">
        <v>109</v>
      </c>
    </row>
    <row r="1831" spans="1:42" x14ac:dyDescent="0.25">
      <c r="A1831" s="28" t="str">
        <f>"2301"</f>
        <v>2301</v>
      </c>
      <c r="B1831">
        <v>2301</v>
      </c>
      <c r="C1831" t="s">
        <v>2488</v>
      </c>
      <c r="D1831" t="s">
        <v>121</v>
      </c>
      <c r="F1831" t="s">
        <v>120</v>
      </c>
      <c r="G1831" t="s">
        <v>614</v>
      </c>
      <c r="I1831" t="s">
        <v>351</v>
      </c>
      <c r="J1831" t="s">
        <v>7</v>
      </c>
      <c r="K1831" s="63">
        <v>11179</v>
      </c>
      <c r="L1831" s="28">
        <f>DATEDIF(K1831,Zwift25!G$1,"Y")</f>
        <v>94</v>
      </c>
      <c r="M1831" s="67">
        <f>IF(J1831="m",VLOOKUP(L1831,'All Solo Adjustments'!A:D,4,FALSE),VLOOKUP(L1831,'All Solo Adjustments'!A:J,10,FALSE))</f>
        <v>2.2685185185185187E-2</v>
      </c>
      <c r="N1831" s="63"/>
      <c r="O1831" s="63"/>
      <c r="P1831" s="63"/>
      <c r="Q1831" s="63"/>
      <c r="R1831" t="s">
        <v>180</v>
      </c>
      <c r="S1831" t="s">
        <v>2288</v>
      </c>
      <c r="T1831" t="s">
        <v>292</v>
      </c>
      <c r="U1831" t="s">
        <v>4086</v>
      </c>
      <c r="V1831" t="s">
        <v>4085</v>
      </c>
      <c r="W1831" t="s">
        <v>968</v>
      </c>
      <c r="Y1831" t="s">
        <v>4084</v>
      </c>
      <c r="Z1831" t="str">
        <f>"01283 732660"</f>
        <v>01283 732660</v>
      </c>
      <c r="AA1831" t="str">
        <f>""</f>
        <v/>
      </c>
      <c r="AB1831" t="s">
        <v>2023</v>
      </c>
      <c r="AC1831" t="s">
        <v>4083</v>
      </c>
      <c r="AD1831" t="s">
        <v>151</v>
      </c>
      <c r="AF1831" t="s">
        <v>113</v>
      </c>
      <c r="AG1831" t="s">
        <v>112</v>
      </c>
      <c r="AH1831" t="s">
        <v>112</v>
      </c>
      <c r="AK1831" t="s">
        <v>111</v>
      </c>
      <c r="AL1831" t="s">
        <v>111</v>
      </c>
      <c r="AM1831" t="s">
        <v>111</v>
      </c>
      <c r="AN1831">
        <v>168</v>
      </c>
      <c r="AO1831" t="s">
        <v>110</v>
      </c>
      <c r="AP1831" t="s">
        <v>109</v>
      </c>
    </row>
    <row r="1832" spans="1:42" x14ac:dyDescent="0.25">
      <c r="A1832" s="28" t="str">
        <f>"7541"</f>
        <v>7541</v>
      </c>
      <c r="B1832">
        <v>7541</v>
      </c>
      <c r="C1832" t="s">
        <v>2488</v>
      </c>
      <c r="D1832" t="s">
        <v>121</v>
      </c>
      <c r="F1832" t="s">
        <v>149</v>
      </c>
      <c r="G1832" t="s">
        <v>4087</v>
      </c>
      <c r="I1832" t="s">
        <v>351</v>
      </c>
      <c r="J1832" t="s">
        <v>126</v>
      </c>
      <c r="K1832" s="63">
        <v>13852</v>
      </c>
      <c r="L1832" s="28">
        <f>DATEDIF(K1832,Zwift25!G$1,"Y")</f>
        <v>86</v>
      </c>
      <c r="M1832" s="67">
        <f>IF(J1832="m",VLOOKUP(L1832,'All Solo Adjustments'!A:D,4,FALSE),VLOOKUP(L1832,'All Solo Adjustments'!A:J,10,FALSE))</f>
        <v>2.1307870370370369E-2</v>
      </c>
      <c r="N1832" s="63"/>
      <c r="O1832" s="63"/>
      <c r="P1832" s="63"/>
      <c r="Q1832" s="63"/>
      <c r="R1832" t="s">
        <v>180</v>
      </c>
      <c r="S1832" t="s">
        <v>2288</v>
      </c>
      <c r="T1832" t="s">
        <v>292</v>
      </c>
      <c r="U1832" t="s">
        <v>4086</v>
      </c>
      <c r="V1832" t="s">
        <v>4085</v>
      </c>
      <c r="W1832" t="s">
        <v>968</v>
      </c>
      <c r="Y1832" t="s">
        <v>4084</v>
      </c>
      <c r="Z1832" t="str">
        <f>"01283 732660"</f>
        <v>01283 732660</v>
      </c>
      <c r="AA1832" t="str">
        <f>""</f>
        <v/>
      </c>
      <c r="AB1832" t="s">
        <v>2023</v>
      </c>
      <c r="AC1832" t="s">
        <v>4083</v>
      </c>
      <c r="AD1832" t="s">
        <v>151</v>
      </c>
      <c r="AF1832" t="s">
        <v>113</v>
      </c>
      <c r="AG1832" t="s">
        <v>111</v>
      </c>
      <c r="AH1832" t="s">
        <v>111</v>
      </c>
      <c r="AK1832" t="s">
        <v>111</v>
      </c>
      <c r="AL1832" t="s">
        <v>111</v>
      </c>
      <c r="AM1832" t="s">
        <v>111</v>
      </c>
      <c r="AN1832" t="s">
        <v>105</v>
      </c>
      <c r="AO1832" t="s">
        <v>122</v>
      </c>
      <c r="AP1832" t="s">
        <v>122</v>
      </c>
    </row>
    <row r="1833" spans="1:42" x14ac:dyDescent="0.25">
      <c r="A1833" s="28" t="str">
        <f>"10487"</f>
        <v>10487</v>
      </c>
      <c r="B1833">
        <v>10487</v>
      </c>
      <c r="C1833" t="s">
        <v>2488</v>
      </c>
      <c r="D1833" t="s">
        <v>121</v>
      </c>
      <c r="E1833" t="s">
        <v>4082</v>
      </c>
      <c r="F1833" t="s">
        <v>120</v>
      </c>
      <c r="G1833" t="s">
        <v>1464</v>
      </c>
      <c r="I1833" t="s">
        <v>4081</v>
      </c>
      <c r="J1833" t="s">
        <v>7</v>
      </c>
      <c r="K1833" s="63">
        <v>18211</v>
      </c>
      <c r="L1833" s="28">
        <f>DATEDIF(K1833,Zwift25!G$1,"Y")</f>
        <v>74</v>
      </c>
      <c r="M1833" s="67">
        <f>IF(J1833="m",VLOOKUP(L1833,'All Solo Adjustments'!A:D,4,FALSE),VLOOKUP(L1833,'All Solo Adjustments'!A:J,10,FALSE))</f>
        <v>7.9861111111111122E-3</v>
      </c>
      <c r="N1833" s="63"/>
      <c r="O1833" s="63"/>
      <c r="P1833" s="63"/>
      <c r="Q1833" s="63"/>
      <c r="R1833" t="s">
        <v>180</v>
      </c>
      <c r="S1833" t="s">
        <v>179</v>
      </c>
      <c r="T1833" t="s">
        <v>292</v>
      </c>
      <c r="U1833" t="s">
        <v>4080</v>
      </c>
      <c r="V1833" t="s">
        <v>1917</v>
      </c>
      <c r="W1833" t="s">
        <v>360</v>
      </c>
      <c r="Y1833" t="s">
        <v>4079</v>
      </c>
      <c r="Z1833" t="str">
        <f>"07816060177"</f>
        <v>07816060177</v>
      </c>
      <c r="AA1833" t="str">
        <f>""</f>
        <v/>
      </c>
      <c r="AB1833" t="s">
        <v>1138</v>
      </c>
      <c r="AC1833" t="s">
        <v>4078</v>
      </c>
      <c r="AD1833" t="s">
        <v>114</v>
      </c>
      <c r="AE1833" s="63">
        <v>45292</v>
      </c>
      <c r="AF1833" t="s">
        <v>113</v>
      </c>
      <c r="AG1833" t="s">
        <v>112</v>
      </c>
      <c r="AH1833" t="s">
        <v>112</v>
      </c>
      <c r="AI1833" s="63">
        <v>43164</v>
      </c>
      <c r="AJ1833" s="63">
        <v>45657</v>
      </c>
      <c r="AK1833" t="s">
        <v>112</v>
      </c>
      <c r="AL1833" t="s">
        <v>111</v>
      </c>
      <c r="AM1833" t="s">
        <v>111</v>
      </c>
      <c r="AN1833">
        <v>22119</v>
      </c>
      <c r="AO1833" t="s">
        <v>110</v>
      </c>
      <c r="AP1833" t="s">
        <v>109</v>
      </c>
    </row>
    <row r="1834" spans="1:42" x14ac:dyDescent="0.25">
      <c r="A1834" s="28" t="str">
        <f>"6302"</f>
        <v>6302</v>
      </c>
      <c r="B1834">
        <v>6302</v>
      </c>
      <c r="C1834" t="s">
        <v>2488</v>
      </c>
      <c r="D1834" t="s">
        <v>121</v>
      </c>
      <c r="E1834" t="s">
        <v>584</v>
      </c>
      <c r="F1834" t="s">
        <v>120</v>
      </c>
      <c r="G1834" t="s">
        <v>195</v>
      </c>
      <c r="H1834" t="s">
        <v>4077</v>
      </c>
      <c r="I1834" t="s">
        <v>351</v>
      </c>
      <c r="J1834" t="s">
        <v>7</v>
      </c>
      <c r="K1834" s="63">
        <v>22294</v>
      </c>
      <c r="L1834" s="28">
        <f>DATEDIF(K1834,Zwift25!G$1,"Y")</f>
        <v>63</v>
      </c>
      <c r="M1834" s="67">
        <f>IF(J1834="m",VLOOKUP(L1834,'All Solo Adjustments'!A:D,4,FALSE),VLOOKUP(L1834,'All Solo Adjustments'!A:J,10,FALSE))</f>
        <v>4.0277777777777777E-3</v>
      </c>
      <c r="N1834" s="63"/>
      <c r="O1834" s="63"/>
      <c r="P1834" s="63"/>
      <c r="Q1834" s="63"/>
      <c r="R1834" t="s">
        <v>137</v>
      </c>
      <c r="S1834" t="s">
        <v>136</v>
      </c>
      <c r="T1834" t="s">
        <v>292</v>
      </c>
      <c r="U1834" t="s">
        <v>4076</v>
      </c>
      <c r="V1834" t="s">
        <v>350</v>
      </c>
      <c r="W1834" t="s">
        <v>208</v>
      </c>
      <c r="Y1834" t="s">
        <v>4075</v>
      </c>
      <c r="Z1834" t="str">
        <f>"01329 517795"</f>
        <v>01329 517795</v>
      </c>
      <c r="AA1834" t="str">
        <f>"07747483908"</f>
        <v>07747483908</v>
      </c>
      <c r="AB1834" t="s">
        <v>825</v>
      </c>
      <c r="AC1834" t="s">
        <v>4074</v>
      </c>
      <c r="AD1834" t="s">
        <v>114</v>
      </c>
      <c r="AE1834" s="63">
        <v>45287</v>
      </c>
      <c r="AF1834" t="s">
        <v>156</v>
      </c>
      <c r="AG1834" t="s">
        <v>112</v>
      </c>
      <c r="AH1834" t="s">
        <v>112</v>
      </c>
      <c r="AI1834" s="63">
        <v>42916</v>
      </c>
      <c r="AJ1834" s="63">
        <v>45657</v>
      </c>
      <c r="AK1834" t="s">
        <v>111</v>
      </c>
      <c r="AL1834" t="s">
        <v>111</v>
      </c>
      <c r="AM1834" t="s">
        <v>111</v>
      </c>
      <c r="AN1834">
        <v>1744</v>
      </c>
      <c r="AO1834" t="s">
        <v>110</v>
      </c>
      <c r="AP1834" t="s">
        <v>109</v>
      </c>
    </row>
    <row r="1835" spans="1:42" x14ac:dyDescent="0.25">
      <c r="A1835" s="28" t="str">
        <f>"14408"</f>
        <v>14408</v>
      </c>
      <c r="B1835">
        <v>14408</v>
      </c>
      <c r="C1835" t="s">
        <v>2488</v>
      </c>
      <c r="D1835" t="s">
        <v>121</v>
      </c>
      <c r="F1835" t="s">
        <v>120</v>
      </c>
      <c r="G1835" t="s">
        <v>185</v>
      </c>
      <c r="I1835" t="s">
        <v>351</v>
      </c>
      <c r="J1835" t="s">
        <v>7</v>
      </c>
      <c r="K1835" s="63">
        <v>23657</v>
      </c>
      <c r="L1835" s="28">
        <f>DATEDIF(K1835,Zwift25!G$1,"Y")</f>
        <v>60</v>
      </c>
      <c r="M1835" s="67">
        <f>IF(J1835="m",VLOOKUP(L1835,'All Solo Adjustments'!A:D,4,FALSE),VLOOKUP(L1835,'All Solo Adjustments'!A:J,10,FALSE))</f>
        <v>3.2060185185185186E-3</v>
      </c>
      <c r="N1835" s="63"/>
      <c r="O1835" s="63"/>
      <c r="P1835" s="63"/>
      <c r="Q1835" s="63"/>
      <c r="R1835" t="s">
        <v>296</v>
      </c>
      <c r="S1835" t="s">
        <v>295</v>
      </c>
      <c r="T1835" t="s">
        <v>292</v>
      </c>
      <c r="U1835" t="s">
        <v>4073</v>
      </c>
      <c r="V1835" t="s">
        <v>4072</v>
      </c>
      <c r="Y1835" t="s">
        <v>4071</v>
      </c>
      <c r="Z1835" t="str">
        <f>"07595629162"</f>
        <v>07595629162</v>
      </c>
      <c r="AA1835" t="str">
        <f>"07595629162"</f>
        <v>07595629162</v>
      </c>
      <c r="AB1835" t="s">
        <v>4070</v>
      </c>
      <c r="AC1835" t="s">
        <v>4069</v>
      </c>
      <c r="AD1835" t="s">
        <v>114</v>
      </c>
      <c r="AE1835" s="63">
        <v>45293</v>
      </c>
      <c r="AF1835" t="s">
        <v>156</v>
      </c>
      <c r="AG1835" t="s">
        <v>112</v>
      </c>
      <c r="AH1835" t="s">
        <v>112</v>
      </c>
      <c r="AI1835" s="63">
        <v>43827</v>
      </c>
      <c r="AJ1835" s="63">
        <v>45657</v>
      </c>
      <c r="AK1835" t="s">
        <v>112</v>
      </c>
      <c r="AL1835" t="s">
        <v>111</v>
      </c>
      <c r="AM1835" t="s">
        <v>111</v>
      </c>
      <c r="AN1835">
        <v>29921</v>
      </c>
      <c r="AO1835" t="s">
        <v>110</v>
      </c>
      <c r="AP1835" t="s">
        <v>109</v>
      </c>
    </row>
    <row r="1836" spans="1:42" x14ac:dyDescent="0.25">
      <c r="A1836" s="28" t="str">
        <f>"2312"</f>
        <v>2312</v>
      </c>
      <c r="B1836">
        <v>2312</v>
      </c>
      <c r="C1836" t="s">
        <v>2488</v>
      </c>
      <c r="D1836" t="s">
        <v>121</v>
      </c>
      <c r="F1836" t="s">
        <v>120</v>
      </c>
      <c r="G1836" t="s">
        <v>506</v>
      </c>
      <c r="I1836" t="s">
        <v>643</v>
      </c>
      <c r="J1836" t="s">
        <v>7</v>
      </c>
      <c r="K1836" s="63">
        <v>14948</v>
      </c>
      <c r="L1836" s="28">
        <f>DATEDIF(K1836,Zwift25!G$1,"Y")</f>
        <v>83</v>
      </c>
      <c r="M1836" s="67">
        <f>IF(J1836="m",VLOOKUP(L1836,'All Solo Adjustments'!A:D,4,FALSE),VLOOKUP(L1836,'All Solo Adjustments'!A:J,10,FALSE))</f>
        <v>1.2858796296296297E-2</v>
      </c>
      <c r="N1836" s="63"/>
      <c r="O1836" s="63"/>
      <c r="P1836" s="63"/>
      <c r="Q1836" s="63"/>
      <c r="R1836" t="s">
        <v>296</v>
      </c>
      <c r="S1836" t="s">
        <v>2310</v>
      </c>
      <c r="T1836" t="s">
        <v>292</v>
      </c>
      <c r="U1836" t="s">
        <v>4068</v>
      </c>
      <c r="V1836" t="s">
        <v>4067</v>
      </c>
      <c r="W1836" t="s">
        <v>1902</v>
      </c>
      <c r="Y1836" t="s">
        <v>4066</v>
      </c>
      <c r="Z1836" t="str">
        <f>"01389 758260"</f>
        <v>01389 758260</v>
      </c>
      <c r="AA1836" t="str">
        <f>""</f>
        <v/>
      </c>
      <c r="AB1836" t="s">
        <v>294</v>
      </c>
      <c r="AC1836" t="s">
        <v>4065</v>
      </c>
      <c r="AD1836" t="s">
        <v>145</v>
      </c>
      <c r="AF1836" t="s">
        <v>113</v>
      </c>
      <c r="AG1836" t="s">
        <v>112</v>
      </c>
      <c r="AH1836" t="s">
        <v>112</v>
      </c>
      <c r="AI1836" s="63">
        <v>34064</v>
      </c>
      <c r="AK1836" t="s">
        <v>111</v>
      </c>
      <c r="AL1836" t="s">
        <v>111</v>
      </c>
      <c r="AM1836" t="s">
        <v>111</v>
      </c>
      <c r="AN1836" t="s">
        <v>105</v>
      </c>
      <c r="AO1836" t="s">
        <v>110</v>
      </c>
      <c r="AP1836" t="s">
        <v>109</v>
      </c>
    </row>
    <row r="1837" spans="1:42" x14ac:dyDescent="0.25">
      <c r="A1837" s="28" t="str">
        <f>"14551"</f>
        <v>14551</v>
      </c>
      <c r="B1837">
        <v>14551</v>
      </c>
      <c r="C1837" t="s">
        <v>2488</v>
      </c>
      <c r="D1837" t="s">
        <v>121</v>
      </c>
      <c r="F1837" t="s">
        <v>120</v>
      </c>
      <c r="G1837" t="s">
        <v>4064</v>
      </c>
      <c r="I1837" t="s">
        <v>643</v>
      </c>
      <c r="J1837" t="s">
        <v>7</v>
      </c>
      <c r="K1837" s="63">
        <v>27264</v>
      </c>
      <c r="L1837" s="28">
        <f>DATEDIF(K1837,Zwift25!G$1,"Y")</f>
        <v>50</v>
      </c>
      <c r="M1837" s="67">
        <f>IF(J1837="m",VLOOKUP(L1837,'All Solo Adjustments'!A:D,4,FALSE),VLOOKUP(L1837,'All Solo Adjustments'!A:J,10,FALSE))</f>
        <v>1.1342592592592591E-3</v>
      </c>
      <c r="N1837" s="63"/>
      <c r="O1837" s="63"/>
      <c r="P1837" s="63"/>
      <c r="Q1837" s="63"/>
      <c r="R1837" t="s">
        <v>184</v>
      </c>
      <c r="S1837" t="s">
        <v>183</v>
      </c>
      <c r="T1837" t="s">
        <v>292</v>
      </c>
      <c r="U1837" t="s">
        <v>4063</v>
      </c>
      <c r="W1837" t="s">
        <v>4062</v>
      </c>
      <c r="X1837" t="s">
        <v>2236</v>
      </c>
      <c r="Y1837" t="s">
        <v>4061</v>
      </c>
      <c r="Z1837" t="str">
        <f>"07834343453"</f>
        <v>07834343453</v>
      </c>
      <c r="AA1837" t="str">
        <f>""</f>
        <v/>
      </c>
      <c r="AB1837" t="s">
        <v>1550</v>
      </c>
      <c r="AC1837" t="s">
        <v>4060</v>
      </c>
      <c r="AD1837" t="s">
        <v>114</v>
      </c>
      <c r="AE1837" s="63">
        <v>45395</v>
      </c>
      <c r="AF1837" t="s">
        <v>156</v>
      </c>
      <c r="AG1837" t="s">
        <v>112</v>
      </c>
      <c r="AH1837" t="s">
        <v>112</v>
      </c>
      <c r="AI1837" s="63">
        <v>43990</v>
      </c>
      <c r="AJ1837" s="63">
        <v>45657</v>
      </c>
      <c r="AK1837" t="s">
        <v>112</v>
      </c>
      <c r="AL1837" t="s">
        <v>111</v>
      </c>
      <c r="AM1837" t="s">
        <v>111</v>
      </c>
      <c r="AN1837">
        <v>34108</v>
      </c>
      <c r="AO1837" t="s">
        <v>110</v>
      </c>
      <c r="AP1837" t="s">
        <v>109</v>
      </c>
    </row>
    <row r="1838" spans="1:42" x14ac:dyDescent="0.25">
      <c r="A1838" s="28" t="str">
        <f>"16136"</f>
        <v>16136</v>
      </c>
      <c r="B1838">
        <v>16136</v>
      </c>
      <c r="C1838" t="s">
        <v>2488</v>
      </c>
      <c r="D1838" t="s">
        <v>121</v>
      </c>
      <c r="E1838" t="s">
        <v>584</v>
      </c>
      <c r="F1838" t="s">
        <v>120</v>
      </c>
      <c r="G1838" t="s">
        <v>492</v>
      </c>
      <c r="H1838" t="s">
        <v>506</v>
      </c>
      <c r="I1838" t="s">
        <v>4059</v>
      </c>
      <c r="J1838" t="s">
        <v>7</v>
      </c>
      <c r="K1838" s="63">
        <v>19673</v>
      </c>
      <c r="L1838" s="28">
        <f>DATEDIF(K1838,Zwift25!G$1,"Y")</f>
        <v>70</v>
      </c>
      <c r="M1838" s="67">
        <f>IF(J1838="m",VLOOKUP(L1838,'All Solo Adjustments'!A:D,4,FALSE),VLOOKUP(L1838,'All Solo Adjustments'!A:J,10,FALSE))</f>
        <v>6.3425925925925924E-3</v>
      </c>
      <c r="N1838" s="63"/>
      <c r="O1838" s="63"/>
      <c r="P1838" s="63"/>
      <c r="Q1838" s="63"/>
      <c r="R1838" t="s">
        <v>154</v>
      </c>
      <c r="S1838" t="s">
        <v>153</v>
      </c>
      <c r="T1838" t="s">
        <v>292</v>
      </c>
      <c r="U1838" t="s">
        <v>4058</v>
      </c>
      <c r="V1838" t="s">
        <v>4057</v>
      </c>
      <c r="W1838" t="s">
        <v>1652</v>
      </c>
      <c r="X1838" t="s">
        <v>1017</v>
      </c>
      <c r="Y1838" t="s">
        <v>4056</v>
      </c>
      <c r="Z1838" t="str">
        <f>"07973415561"</f>
        <v>07973415561</v>
      </c>
      <c r="AA1838" t="str">
        <f>"01208821541"</f>
        <v>01208821541</v>
      </c>
      <c r="AB1838" t="s">
        <v>4055</v>
      </c>
      <c r="AC1838" t="s">
        <v>4054</v>
      </c>
      <c r="AD1838" t="s">
        <v>114</v>
      </c>
      <c r="AE1838" s="63">
        <v>45426</v>
      </c>
      <c r="AF1838" t="s">
        <v>156</v>
      </c>
      <c r="AG1838" t="s">
        <v>112</v>
      </c>
      <c r="AH1838" t="s">
        <v>112</v>
      </c>
      <c r="AI1838" s="63">
        <v>45426</v>
      </c>
      <c r="AJ1838" s="63">
        <v>45657</v>
      </c>
      <c r="AK1838" t="s">
        <v>112</v>
      </c>
      <c r="AL1838" t="s">
        <v>111</v>
      </c>
      <c r="AM1838" t="s">
        <v>111</v>
      </c>
      <c r="AN1838">
        <v>50543</v>
      </c>
      <c r="AO1838" t="s">
        <v>110</v>
      </c>
      <c r="AP1838" t="s">
        <v>109</v>
      </c>
    </row>
    <row r="1839" spans="1:42" x14ac:dyDescent="0.25">
      <c r="A1839" s="28" t="str">
        <f>"14847"</f>
        <v>14847</v>
      </c>
      <c r="B1839">
        <v>14847</v>
      </c>
      <c r="C1839" t="s">
        <v>2488</v>
      </c>
      <c r="D1839" t="s">
        <v>121</v>
      </c>
      <c r="F1839" t="s">
        <v>120</v>
      </c>
      <c r="G1839" t="s">
        <v>165</v>
      </c>
      <c r="H1839" t="s">
        <v>402</v>
      </c>
      <c r="I1839" t="s">
        <v>4053</v>
      </c>
      <c r="J1839" t="s">
        <v>7</v>
      </c>
      <c r="K1839" s="63">
        <v>23411</v>
      </c>
      <c r="L1839" s="28">
        <f>DATEDIF(K1839,Zwift25!G$1,"Y")</f>
        <v>60</v>
      </c>
      <c r="M1839" s="67">
        <f>IF(J1839="m",VLOOKUP(L1839,'All Solo Adjustments'!A:D,4,FALSE),VLOOKUP(L1839,'All Solo Adjustments'!A:J,10,FALSE))</f>
        <v>3.2060185185185186E-3</v>
      </c>
      <c r="N1839" s="63"/>
      <c r="O1839" s="63"/>
      <c r="P1839" s="63"/>
      <c r="Q1839" s="63"/>
      <c r="R1839" t="s">
        <v>180</v>
      </c>
      <c r="S1839" t="s">
        <v>179</v>
      </c>
      <c r="T1839" t="s">
        <v>292</v>
      </c>
      <c r="U1839" t="s">
        <v>4052</v>
      </c>
      <c r="V1839" t="s">
        <v>4051</v>
      </c>
      <c r="W1839" t="s">
        <v>259</v>
      </c>
      <c r="Y1839" t="s">
        <v>4050</v>
      </c>
      <c r="Z1839" t="str">
        <f>"07788800155"</f>
        <v>07788800155</v>
      </c>
      <c r="AA1839" t="str">
        <f>""</f>
        <v/>
      </c>
      <c r="AB1839" t="s">
        <v>4049</v>
      </c>
      <c r="AC1839" t="s">
        <v>4048</v>
      </c>
      <c r="AD1839" t="s">
        <v>114</v>
      </c>
      <c r="AE1839" s="63">
        <v>45292</v>
      </c>
      <c r="AF1839" t="s">
        <v>156</v>
      </c>
      <c r="AG1839" t="s">
        <v>112</v>
      </c>
      <c r="AH1839" t="s">
        <v>112</v>
      </c>
      <c r="AI1839" s="63">
        <v>44249</v>
      </c>
      <c r="AJ1839" s="63">
        <v>45657</v>
      </c>
      <c r="AK1839" t="s">
        <v>112</v>
      </c>
      <c r="AL1839" t="s">
        <v>111</v>
      </c>
      <c r="AM1839" t="s">
        <v>111</v>
      </c>
      <c r="AN1839">
        <v>1304</v>
      </c>
      <c r="AO1839" t="s">
        <v>110</v>
      </c>
      <c r="AP1839" t="s">
        <v>109</v>
      </c>
    </row>
    <row r="1840" spans="1:42" x14ac:dyDescent="0.25">
      <c r="A1840" s="28" t="str">
        <f>"2976"</f>
        <v>2976</v>
      </c>
      <c r="B1840">
        <v>2976</v>
      </c>
      <c r="C1840" t="s">
        <v>2488</v>
      </c>
      <c r="D1840" t="s">
        <v>121</v>
      </c>
      <c r="F1840" t="s">
        <v>120</v>
      </c>
      <c r="G1840" t="s">
        <v>1224</v>
      </c>
      <c r="H1840" t="s">
        <v>4047</v>
      </c>
      <c r="I1840" t="s">
        <v>4046</v>
      </c>
      <c r="J1840" t="s">
        <v>7</v>
      </c>
      <c r="K1840" s="63">
        <v>14812</v>
      </c>
      <c r="L1840" s="28">
        <f>DATEDIF(K1840,Zwift25!G$1,"Y")</f>
        <v>84</v>
      </c>
      <c r="M1840" s="67">
        <f>IF(J1840="m",VLOOKUP(L1840,'All Solo Adjustments'!A:D,4,FALSE),VLOOKUP(L1840,'All Solo Adjustments'!A:J,10,FALSE))</f>
        <v>1.3530092592592592E-2</v>
      </c>
      <c r="N1840" s="63"/>
      <c r="O1840" s="63"/>
      <c r="P1840" s="63"/>
      <c r="Q1840" s="63"/>
      <c r="R1840" t="s">
        <v>283</v>
      </c>
      <c r="S1840" t="s">
        <v>530</v>
      </c>
      <c r="T1840" t="s">
        <v>292</v>
      </c>
      <c r="U1840" t="s">
        <v>4045</v>
      </c>
      <c r="V1840" t="s">
        <v>4044</v>
      </c>
      <c r="W1840" t="s">
        <v>871</v>
      </c>
      <c r="Y1840" t="s">
        <v>4043</v>
      </c>
      <c r="Z1840" t="str">
        <f>"01327 342467"</f>
        <v>01327 342467</v>
      </c>
      <c r="AA1840" t="str">
        <f>""</f>
        <v/>
      </c>
      <c r="AB1840" t="s">
        <v>1534</v>
      </c>
      <c r="AC1840" t="s">
        <v>4042</v>
      </c>
      <c r="AD1840" t="s">
        <v>114</v>
      </c>
      <c r="AE1840" s="63">
        <v>45296</v>
      </c>
      <c r="AF1840" t="s">
        <v>113</v>
      </c>
      <c r="AG1840" t="s">
        <v>112</v>
      </c>
      <c r="AH1840" t="s">
        <v>112</v>
      </c>
      <c r="AI1840" s="63">
        <v>42095</v>
      </c>
      <c r="AJ1840" s="63">
        <v>45657</v>
      </c>
      <c r="AK1840" t="s">
        <v>111</v>
      </c>
      <c r="AL1840" t="s">
        <v>111</v>
      </c>
      <c r="AM1840" t="s">
        <v>111</v>
      </c>
      <c r="AN1840">
        <v>19661</v>
      </c>
      <c r="AO1840" t="s">
        <v>110</v>
      </c>
      <c r="AP1840" t="s">
        <v>109</v>
      </c>
    </row>
    <row r="1841" spans="1:42" x14ac:dyDescent="0.25">
      <c r="A1841" s="28" t="str">
        <f>"14716"</f>
        <v>14716</v>
      </c>
      <c r="B1841">
        <v>14716</v>
      </c>
      <c r="C1841" t="s">
        <v>2488</v>
      </c>
      <c r="D1841" t="s">
        <v>121</v>
      </c>
      <c r="E1841" t="s">
        <v>584</v>
      </c>
      <c r="F1841" t="s">
        <v>120</v>
      </c>
      <c r="G1841" t="s">
        <v>952</v>
      </c>
      <c r="H1841" t="s">
        <v>284</v>
      </c>
      <c r="I1841" t="s">
        <v>345</v>
      </c>
      <c r="J1841" t="s">
        <v>7</v>
      </c>
      <c r="K1841" s="63">
        <v>24724</v>
      </c>
      <c r="L1841" s="28">
        <f>DATEDIF(K1841,Zwift25!G$1,"Y")</f>
        <v>57</v>
      </c>
      <c r="M1841" s="67">
        <f>IF(J1841="m",VLOOKUP(L1841,'All Solo Adjustments'!A:D,4,FALSE),VLOOKUP(L1841,'All Solo Adjustments'!A:J,10,FALSE))</f>
        <v>2.488425925925926E-3</v>
      </c>
      <c r="N1841" s="63"/>
      <c r="O1841" s="63"/>
      <c r="P1841" s="63"/>
      <c r="Q1841" s="63"/>
      <c r="R1841" t="s">
        <v>118</v>
      </c>
      <c r="S1841" t="s">
        <v>117</v>
      </c>
      <c r="T1841" t="s">
        <v>292</v>
      </c>
      <c r="U1841" t="s">
        <v>4041</v>
      </c>
      <c r="V1841" t="s">
        <v>4040</v>
      </c>
      <c r="W1841" t="s">
        <v>1087</v>
      </c>
      <c r="Y1841" t="s">
        <v>4039</v>
      </c>
      <c r="Z1841" t="str">
        <f>"07595219001"</f>
        <v>07595219001</v>
      </c>
      <c r="AA1841" t="str">
        <f>""</f>
        <v/>
      </c>
      <c r="AB1841" t="s">
        <v>967</v>
      </c>
      <c r="AC1841" t="s">
        <v>4038</v>
      </c>
      <c r="AD1841" t="s">
        <v>114</v>
      </c>
      <c r="AE1841" s="63">
        <v>45278</v>
      </c>
      <c r="AF1841" t="s">
        <v>156</v>
      </c>
      <c r="AG1841" t="s">
        <v>112</v>
      </c>
      <c r="AH1841" t="s">
        <v>112</v>
      </c>
      <c r="AI1841" s="63">
        <v>44077</v>
      </c>
      <c r="AJ1841" s="63">
        <v>45657</v>
      </c>
      <c r="AK1841" t="s">
        <v>112</v>
      </c>
      <c r="AL1841" t="s">
        <v>111</v>
      </c>
      <c r="AM1841" t="s">
        <v>111</v>
      </c>
      <c r="AN1841">
        <v>20427</v>
      </c>
      <c r="AO1841" t="s">
        <v>110</v>
      </c>
      <c r="AP1841" t="s">
        <v>109</v>
      </c>
    </row>
    <row r="1842" spans="1:42" x14ac:dyDescent="0.25">
      <c r="A1842" s="28" t="str">
        <f>"2323"</f>
        <v>2323</v>
      </c>
      <c r="B1842">
        <v>2323</v>
      </c>
      <c r="C1842" t="s">
        <v>2488</v>
      </c>
      <c r="D1842" t="s">
        <v>121</v>
      </c>
      <c r="F1842" t="s">
        <v>120</v>
      </c>
      <c r="G1842" t="s">
        <v>4037</v>
      </c>
      <c r="I1842" t="s">
        <v>4036</v>
      </c>
      <c r="J1842" t="s">
        <v>7</v>
      </c>
      <c r="K1842" s="63">
        <v>13022</v>
      </c>
      <c r="L1842" s="28">
        <f>DATEDIF(K1842,Zwift25!G$1,"Y")</f>
        <v>89</v>
      </c>
      <c r="M1842" s="67">
        <f>IF(J1842="m",VLOOKUP(L1842,'All Solo Adjustments'!A:D,4,FALSE),VLOOKUP(L1842,'All Solo Adjustments'!A:J,10,FALSE))</f>
        <v>1.7465277777777777E-2</v>
      </c>
      <c r="N1842" s="63"/>
      <c r="O1842" s="63"/>
      <c r="P1842" s="63"/>
      <c r="Q1842" s="63"/>
      <c r="R1842" t="s">
        <v>154</v>
      </c>
      <c r="S1842" t="s">
        <v>2621</v>
      </c>
      <c r="T1842" t="s">
        <v>292</v>
      </c>
      <c r="U1842" t="s">
        <v>4035</v>
      </c>
      <c r="V1842" t="s">
        <v>591</v>
      </c>
      <c r="W1842" t="s">
        <v>752</v>
      </c>
      <c r="Y1842" t="s">
        <v>4034</v>
      </c>
      <c r="Z1842" t="str">
        <f>""</f>
        <v/>
      </c>
      <c r="AA1842" t="str">
        <f>""</f>
        <v/>
      </c>
      <c r="AB1842" t="s">
        <v>290</v>
      </c>
      <c r="AD1842" t="s">
        <v>151</v>
      </c>
      <c r="AF1842" t="s">
        <v>113</v>
      </c>
      <c r="AG1842" t="s">
        <v>112</v>
      </c>
      <c r="AH1842" t="s">
        <v>112</v>
      </c>
      <c r="AI1842" s="63">
        <v>31048</v>
      </c>
      <c r="AK1842" t="s">
        <v>111</v>
      </c>
      <c r="AL1842" t="s">
        <v>111</v>
      </c>
      <c r="AM1842" t="s">
        <v>111</v>
      </c>
      <c r="AN1842" t="s">
        <v>105</v>
      </c>
      <c r="AO1842" t="s">
        <v>110</v>
      </c>
      <c r="AP1842" t="s">
        <v>109</v>
      </c>
    </row>
    <row r="1843" spans="1:42" x14ac:dyDescent="0.25">
      <c r="A1843" s="28" t="str">
        <f>"15960"</f>
        <v>15960</v>
      </c>
      <c r="B1843">
        <v>15960</v>
      </c>
      <c r="C1843" t="s">
        <v>2488</v>
      </c>
      <c r="D1843" t="s">
        <v>121</v>
      </c>
      <c r="F1843" t="s">
        <v>120</v>
      </c>
      <c r="G1843" t="s">
        <v>4033</v>
      </c>
      <c r="I1843" t="s">
        <v>1145</v>
      </c>
      <c r="J1843" t="s">
        <v>7</v>
      </c>
      <c r="K1843" s="63">
        <v>27817</v>
      </c>
      <c r="L1843" s="28">
        <f>DATEDIF(K1843,Zwift25!G$1,"Y")</f>
        <v>48</v>
      </c>
      <c r="M1843" s="67">
        <f>IF(J1843="m",VLOOKUP(L1843,'All Solo Adjustments'!A:D,4,FALSE),VLOOKUP(L1843,'All Solo Adjustments'!A:J,10,FALSE))</f>
        <v>8.3333333333333339E-4</v>
      </c>
      <c r="N1843" s="63"/>
      <c r="O1843" s="63"/>
      <c r="P1843" s="63"/>
      <c r="Q1843" s="63"/>
      <c r="R1843" t="s">
        <v>159</v>
      </c>
      <c r="S1843" t="s">
        <v>162</v>
      </c>
      <c r="T1843" t="s">
        <v>292</v>
      </c>
      <c r="U1843">
        <v>17</v>
      </c>
      <c r="V1843" t="s">
        <v>4032</v>
      </c>
      <c r="W1843" t="s">
        <v>1231</v>
      </c>
      <c r="Y1843" t="s">
        <v>4031</v>
      </c>
      <c r="Z1843" t="str">
        <f>"07764494213"</f>
        <v>07764494213</v>
      </c>
      <c r="AA1843" t="str">
        <f>""</f>
        <v/>
      </c>
      <c r="AB1843" t="s">
        <v>2949</v>
      </c>
      <c r="AC1843" t="s">
        <v>4030</v>
      </c>
      <c r="AD1843" t="s">
        <v>114</v>
      </c>
      <c r="AE1843" s="63">
        <v>45286</v>
      </c>
      <c r="AF1843" t="s">
        <v>156</v>
      </c>
      <c r="AG1843" t="s">
        <v>112</v>
      </c>
      <c r="AH1843" t="s">
        <v>112</v>
      </c>
      <c r="AI1843" s="63">
        <v>45286</v>
      </c>
      <c r="AJ1843" s="63">
        <v>45657</v>
      </c>
      <c r="AK1843" t="s">
        <v>112</v>
      </c>
      <c r="AL1843" t="s">
        <v>111</v>
      </c>
      <c r="AM1843" t="s">
        <v>111</v>
      </c>
      <c r="AN1843" t="s">
        <v>105</v>
      </c>
      <c r="AO1843" t="s">
        <v>110</v>
      </c>
      <c r="AP1843" t="s">
        <v>109</v>
      </c>
    </row>
    <row r="1844" spans="1:42" x14ac:dyDescent="0.25">
      <c r="A1844" s="28" t="str">
        <f>"15274"</f>
        <v>15274</v>
      </c>
      <c r="B1844">
        <v>15274</v>
      </c>
      <c r="C1844" t="s">
        <v>2488</v>
      </c>
      <c r="D1844" t="s">
        <v>121</v>
      </c>
      <c r="F1844" t="s">
        <v>120</v>
      </c>
      <c r="G1844" t="s">
        <v>241</v>
      </c>
      <c r="I1844" t="s">
        <v>4029</v>
      </c>
      <c r="J1844" t="s">
        <v>7</v>
      </c>
      <c r="K1844" s="63">
        <v>22480</v>
      </c>
      <c r="L1844" s="28">
        <f>DATEDIF(K1844,Zwift25!G$1,"Y")</f>
        <v>63</v>
      </c>
      <c r="M1844" s="67">
        <f>IF(J1844="m",VLOOKUP(L1844,'All Solo Adjustments'!A:D,4,FALSE),VLOOKUP(L1844,'All Solo Adjustments'!A:J,10,FALSE))</f>
        <v>4.0277777777777777E-3</v>
      </c>
      <c r="N1844" s="63"/>
      <c r="O1844" s="63"/>
      <c r="P1844" s="63"/>
      <c r="Q1844" s="63"/>
      <c r="R1844" t="s">
        <v>239</v>
      </c>
      <c r="S1844" t="s">
        <v>274</v>
      </c>
      <c r="T1844" t="s">
        <v>292</v>
      </c>
      <c r="U1844" t="s">
        <v>4028</v>
      </c>
      <c r="V1844" t="s">
        <v>4027</v>
      </c>
      <c r="W1844" t="s">
        <v>627</v>
      </c>
      <c r="X1844" t="s">
        <v>239</v>
      </c>
      <c r="Y1844" t="s">
        <v>4026</v>
      </c>
      <c r="Z1844" t="str">
        <f>"07970487722"</f>
        <v>07970487722</v>
      </c>
      <c r="AA1844" t="str">
        <f>""</f>
        <v/>
      </c>
      <c r="AB1844" t="s">
        <v>2423</v>
      </c>
      <c r="AC1844" t="s">
        <v>4025</v>
      </c>
      <c r="AD1844" t="s">
        <v>114</v>
      </c>
      <c r="AE1844" s="63">
        <v>45300</v>
      </c>
      <c r="AF1844" t="s">
        <v>156</v>
      </c>
      <c r="AG1844" t="s">
        <v>112</v>
      </c>
      <c r="AH1844" t="s">
        <v>112</v>
      </c>
      <c r="AI1844" s="63">
        <v>44495</v>
      </c>
      <c r="AJ1844" s="63">
        <v>45657</v>
      </c>
      <c r="AK1844" t="s">
        <v>112</v>
      </c>
      <c r="AL1844" t="s">
        <v>111</v>
      </c>
      <c r="AM1844" t="s">
        <v>111</v>
      </c>
      <c r="AN1844">
        <v>23324</v>
      </c>
      <c r="AO1844" t="s">
        <v>110</v>
      </c>
      <c r="AP1844" t="s">
        <v>109</v>
      </c>
    </row>
    <row r="1845" spans="1:42" x14ac:dyDescent="0.25">
      <c r="A1845" s="28" t="str">
        <f>"2328"</f>
        <v>2328</v>
      </c>
      <c r="B1845">
        <v>2328</v>
      </c>
      <c r="C1845" t="s">
        <v>2488</v>
      </c>
      <c r="D1845" t="s">
        <v>121</v>
      </c>
      <c r="F1845" t="s">
        <v>120</v>
      </c>
      <c r="G1845" t="s">
        <v>389</v>
      </c>
      <c r="I1845" t="s">
        <v>4024</v>
      </c>
      <c r="J1845" t="s">
        <v>7</v>
      </c>
      <c r="K1845" s="63">
        <v>16471</v>
      </c>
      <c r="L1845" s="28">
        <f>DATEDIF(K1845,Zwift25!G$1,"Y")</f>
        <v>79</v>
      </c>
      <c r="M1845" s="67">
        <f>IF(J1845="m",VLOOKUP(L1845,'All Solo Adjustments'!A:D,4,FALSE),VLOOKUP(L1845,'All Solo Adjustments'!A:J,10,FALSE))</f>
        <v>1.0451388888888889E-2</v>
      </c>
      <c r="N1845" s="63"/>
      <c r="O1845" s="63"/>
      <c r="P1845" s="63"/>
      <c r="Q1845" s="63"/>
      <c r="R1845" t="s">
        <v>239</v>
      </c>
      <c r="S1845" t="s">
        <v>274</v>
      </c>
      <c r="T1845" t="s">
        <v>292</v>
      </c>
      <c r="U1845" t="s">
        <v>4023</v>
      </c>
      <c r="V1845" t="s">
        <v>1705</v>
      </c>
      <c r="W1845" t="s">
        <v>4022</v>
      </c>
      <c r="X1845" t="s">
        <v>1777</v>
      </c>
      <c r="Y1845" t="s">
        <v>4021</v>
      </c>
      <c r="Z1845" t="str">
        <f>"01377 790554"</f>
        <v>01377 790554</v>
      </c>
      <c r="AA1845" t="str">
        <f>"07491920926"</f>
        <v>07491920926</v>
      </c>
      <c r="AB1845" t="s">
        <v>1440</v>
      </c>
      <c r="AC1845" t="s">
        <v>4020</v>
      </c>
      <c r="AD1845" t="s">
        <v>114</v>
      </c>
      <c r="AE1845" s="63">
        <v>45262</v>
      </c>
      <c r="AF1845" t="s">
        <v>156</v>
      </c>
      <c r="AG1845" t="s">
        <v>112</v>
      </c>
      <c r="AH1845" t="s">
        <v>112</v>
      </c>
      <c r="AI1845" s="63">
        <v>35339</v>
      </c>
      <c r="AJ1845" s="63">
        <v>45657</v>
      </c>
      <c r="AK1845" t="s">
        <v>111</v>
      </c>
      <c r="AL1845" t="s">
        <v>111</v>
      </c>
      <c r="AM1845" t="s">
        <v>111</v>
      </c>
      <c r="AN1845">
        <v>5250</v>
      </c>
      <c r="AO1845" t="s">
        <v>110</v>
      </c>
      <c r="AP1845" t="s">
        <v>109</v>
      </c>
    </row>
    <row r="1846" spans="1:42" x14ac:dyDescent="0.25">
      <c r="A1846" s="28" t="str">
        <f>"6186"</f>
        <v>6186</v>
      </c>
      <c r="B1846">
        <v>6186</v>
      </c>
      <c r="C1846" t="s">
        <v>2488</v>
      </c>
      <c r="D1846" t="s">
        <v>121</v>
      </c>
      <c r="E1846" t="s">
        <v>584</v>
      </c>
      <c r="F1846" t="s">
        <v>120</v>
      </c>
      <c r="G1846" t="s">
        <v>304</v>
      </c>
      <c r="H1846" t="s">
        <v>284</v>
      </c>
      <c r="I1846" t="s">
        <v>4019</v>
      </c>
      <c r="J1846" t="s">
        <v>7</v>
      </c>
      <c r="K1846" s="63">
        <v>27119</v>
      </c>
      <c r="L1846" s="28">
        <f>DATEDIF(K1846,Zwift25!G$1,"Y")</f>
        <v>50</v>
      </c>
      <c r="M1846" s="67">
        <f>IF(J1846="m",VLOOKUP(L1846,'All Solo Adjustments'!A:D,4,FALSE),VLOOKUP(L1846,'All Solo Adjustments'!A:J,10,FALSE))</f>
        <v>1.1342592592592591E-3</v>
      </c>
      <c r="N1846" s="63"/>
      <c r="O1846" s="63"/>
      <c r="P1846" s="63"/>
      <c r="Q1846" s="63"/>
      <c r="R1846" t="s">
        <v>154</v>
      </c>
      <c r="S1846" t="s">
        <v>153</v>
      </c>
      <c r="T1846" t="s">
        <v>292</v>
      </c>
      <c r="U1846" t="s">
        <v>4018</v>
      </c>
      <c r="V1846" t="s">
        <v>4017</v>
      </c>
      <c r="W1846" t="s">
        <v>1053</v>
      </c>
      <c r="X1846" t="s">
        <v>669</v>
      </c>
      <c r="Y1846" t="s">
        <v>4016</v>
      </c>
      <c r="Z1846" t="str">
        <f>"07899 680669"</f>
        <v>07899 680669</v>
      </c>
      <c r="AA1846" t="str">
        <f>""</f>
        <v/>
      </c>
      <c r="AB1846" t="s">
        <v>629</v>
      </c>
      <c r="AC1846" t="s">
        <v>4015</v>
      </c>
      <c r="AD1846" t="s">
        <v>114</v>
      </c>
      <c r="AE1846" s="63">
        <v>45293</v>
      </c>
      <c r="AF1846" t="s">
        <v>156</v>
      </c>
      <c r="AG1846" t="s">
        <v>112</v>
      </c>
      <c r="AH1846" t="s">
        <v>112</v>
      </c>
      <c r="AI1846" s="63">
        <v>42776</v>
      </c>
      <c r="AJ1846" s="63">
        <v>45657</v>
      </c>
      <c r="AK1846" t="s">
        <v>111</v>
      </c>
      <c r="AL1846" t="s">
        <v>111</v>
      </c>
      <c r="AM1846" t="s">
        <v>111</v>
      </c>
      <c r="AN1846">
        <v>125</v>
      </c>
      <c r="AO1846" t="s">
        <v>110</v>
      </c>
      <c r="AP1846" t="s">
        <v>109</v>
      </c>
    </row>
    <row r="1847" spans="1:42" x14ac:dyDescent="0.25">
      <c r="A1847" s="28" t="str">
        <f>"15880"</f>
        <v>15880</v>
      </c>
      <c r="B1847">
        <v>15880</v>
      </c>
      <c r="C1847" t="s">
        <v>2488</v>
      </c>
      <c r="D1847" t="s">
        <v>121</v>
      </c>
      <c r="F1847" t="s">
        <v>120</v>
      </c>
      <c r="G1847" t="s">
        <v>4014</v>
      </c>
      <c r="I1847" t="s">
        <v>269</v>
      </c>
      <c r="J1847" t="s">
        <v>7</v>
      </c>
      <c r="K1847" s="63">
        <v>23935</v>
      </c>
      <c r="L1847" s="28">
        <f>DATEDIF(K1847,Zwift25!G$1,"Y")</f>
        <v>59</v>
      </c>
      <c r="M1847" s="67">
        <f>IF(J1847="m",VLOOKUP(L1847,'All Solo Adjustments'!A:D,4,FALSE),VLOOKUP(L1847,'All Solo Adjustments'!A:J,10,FALSE))</f>
        <v>2.9629629629629632E-3</v>
      </c>
      <c r="N1847" s="63"/>
      <c r="O1847" s="63"/>
      <c r="P1847" s="63"/>
      <c r="Q1847" s="63"/>
      <c r="R1847" t="s">
        <v>125</v>
      </c>
      <c r="S1847" t="s">
        <v>170</v>
      </c>
      <c r="T1847" t="s">
        <v>292</v>
      </c>
      <c r="U1847" t="s">
        <v>4013</v>
      </c>
      <c r="V1847" t="s">
        <v>4012</v>
      </c>
      <c r="W1847" t="s">
        <v>4011</v>
      </c>
      <c r="X1847" t="s">
        <v>4010</v>
      </c>
      <c r="Y1847" t="s">
        <v>4009</v>
      </c>
      <c r="Z1847" t="str">
        <f>"07795172439"</f>
        <v>07795172439</v>
      </c>
      <c r="AA1847" t="str">
        <f>""</f>
        <v/>
      </c>
      <c r="AB1847" t="s">
        <v>4008</v>
      </c>
      <c r="AC1847" t="s">
        <v>4007</v>
      </c>
      <c r="AD1847" t="s">
        <v>114</v>
      </c>
      <c r="AE1847" s="63">
        <v>45113</v>
      </c>
      <c r="AF1847" t="s">
        <v>156</v>
      </c>
      <c r="AG1847" t="s">
        <v>112</v>
      </c>
      <c r="AH1847" t="s">
        <v>112</v>
      </c>
      <c r="AI1847" s="63">
        <v>45113</v>
      </c>
      <c r="AJ1847" s="63">
        <v>45657</v>
      </c>
      <c r="AK1847" t="s">
        <v>112</v>
      </c>
      <c r="AL1847" t="s">
        <v>112</v>
      </c>
      <c r="AM1847" t="s">
        <v>111</v>
      </c>
      <c r="AN1847" t="s">
        <v>105</v>
      </c>
      <c r="AO1847" t="s">
        <v>110</v>
      </c>
      <c r="AP1847" t="s">
        <v>109</v>
      </c>
    </row>
    <row r="1848" spans="1:42" x14ac:dyDescent="0.25">
      <c r="A1848" s="28" t="str">
        <f>"15436"</f>
        <v>15436</v>
      </c>
      <c r="B1848">
        <v>15436</v>
      </c>
      <c r="C1848" t="s">
        <v>2488</v>
      </c>
      <c r="D1848" t="s">
        <v>121</v>
      </c>
      <c r="F1848" t="s">
        <v>120</v>
      </c>
      <c r="G1848" t="s">
        <v>402</v>
      </c>
      <c r="H1848" t="s">
        <v>251</v>
      </c>
      <c r="I1848" t="s">
        <v>4006</v>
      </c>
      <c r="J1848" t="s">
        <v>7</v>
      </c>
      <c r="K1848" s="63">
        <v>23395</v>
      </c>
      <c r="L1848" s="28">
        <f>DATEDIF(K1848,Zwift25!G$1,"Y")</f>
        <v>60</v>
      </c>
      <c r="M1848" s="67">
        <f>IF(J1848="m",VLOOKUP(L1848,'All Solo Adjustments'!A:D,4,FALSE),VLOOKUP(L1848,'All Solo Adjustments'!A:J,10,FALSE))</f>
        <v>3.2060185185185186E-3</v>
      </c>
      <c r="N1848" s="63"/>
      <c r="O1848" s="63"/>
      <c r="P1848" s="63"/>
      <c r="Q1848" s="63"/>
      <c r="R1848" t="s">
        <v>184</v>
      </c>
      <c r="S1848" t="s">
        <v>183</v>
      </c>
      <c r="T1848" t="s">
        <v>292</v>
      </c>
      <c r="U1848" t="s">
        <v>4005</v>
      </c>
      <c r="V1848" t="s">
        <v>4004</v>
      </c>
      <c r="W1848" t="s">
        <v>929</v>
      </c>
      <c r="X1848" t="s">
        <v>1228</v>
      </c>
      <c r="Y1848" t="s">
        <v>4003</v>
      </c>
      <c r="Z1848" t="str">
        <f>"+447902275043"</f>
        <v>+447902275043</v>
      </c>
      <c r="AA1848" t="str">
        <f>"+441993842117"</f>
        <v>+441993842117</v>
      </c>
      <c r="AB1848" t="s">
        <v>1417</v>
      </c>
      <c r="AC1848" t="s">
        <v>4002</v>
      </c>
      <c r="AD1848" t="s">
        <v>114</v>
      </c>
      <c r="AE1848" s="63">
        <v>45262</v>
      </c>
      <c r="AF1848" t="s">
        <v>156</v>
      </c>
      <c r="AG1848" t="s">
        <v>112</v>
      </c>
      <c r="AH1848" t="s">
        <v>112</v>
      </c>
      <c r="AI1848" s="63">
        <v>44655</v>
      </c>
      <c r="AJ1848" s="63">
        <v>45657</v>
      </c>
      <c r="AK1848" t="s">
        <v>112</v>
      </c>
      <c r="AL1848" t="s">
        <v>111</v>
      </c>
      <c r="AM1848" t="s">
        <v>111</v>
      </c>
      <c r="AN1848">
        <v>5852</v>
      </c>
      <c r="AO1848" t="s">
        <v>110</v>
      </c>
      <c r="AP1848" t="s">
        <v>109</v>
      </c>
    </row>
    <row r="1849" spans="1:42" x14ac:dyDescent="0.25">
      <c r="A1849" s="28" t="str">
        <f>"14424"</f>
        <v>14424</v>
      </c>
      <c r="B1849">
        <v>14424</v>
      </c>
      <c r="C1849" t="s">
        <v>2488</v>
      </c>
      <c r="D1849" t="s">
        <v>121</v>
      </c>
      <c r="E1849" t="s">
        <v>584</v>
      </c>
      <c r="F1849" t="s">
        <v>120</v>
      </c>
      <c r="G1849" t="s">
        <v>970</v>
      </c>
      <c r="I1849" t="s">
        <v>204</v>
      </c>
      <c r="J1849" t="s">
        <v>7</v>
      </c>
      <c r="K1849" s="63">
        <v>25593</v>
      </c>
      <c r="L1849" s="28">
        <f>DATEDIF(K1849,Zwift25!G$1,"Y")</f>
        <v>54</v>
      </c>
      <c r="M1849" s="67">
        <f>IF(J1849="m",VLOOKUP(L1849,'All Solo Adjustments'!A:D,4,FALSE),VLOOKUP(L1849,'All Solo Adjustments'!A:J,10,FALSE))</f>
        <v>1.8518518518518517E-3</v>
      </c>
      <c r="N1849" s="63"/>
      <c r="O1849" s="63"/>
      <c r="P1849" s="63"/>
      <c r="Q1849" s="63"/>
      <c r="R1849" t="s">
        <v>283</v>
      </c>
      <c r="S1849" t="s">
        <v>530</v>
      </c>
      <c r="T1849" t="s">
        <v>292</v>
      </c>
      <c r="U1849" t="s">
        <v>4001</v>
      </c>
      <c r="V1849" t="s">
        <v>4000</v>
      </c>
      <c r="W1849" t="s">
        <v>1191</v>
      </c>
      <c r="X1849" t="s">
        <v>710</v>
      </c>
      <c r="Y1849" t="s">
        <v>3999</v>
      </c>
      <c r="Z1849" t="str">
        <f>"01981240712"</f>
        <v>01981240712</v>
      </c>
      <c r="AA1849" t="str">
        <f>""</f>
        <v/>
      </c>
      <c r="AB1849" t="s">
        <v>3998</v>
      </c>
      <c r="AC1849" t="s">
        <v>3997</v>
      </c>
      <c r="AD1849" t="s">
        <v>114</v>
      </c>
      <c r="AE1849" s="63">
        <v>45258</v>
      </c>
      <c r="AF1849" t="s">
        <v>156</v>
      </c>
      <c r="AG1849" t="s">
        <v>112</v>
      </c>
      <c r="AH1849" t="s">
        <v>112</v>
      </c>
      <c r="AI1849" s="63">
        <v>43946</v>
      </c>
      <c r="AJ1849" s="63">
        <v>45657</v>
      </c>
      <c r="AK1849" t="s">
        <v>112</v>
      </c>
      <c r="AL1849" t="s">
        <v>111</v>
      </c>
      <c r="AM1849" t="s">
        <v>111</v>
      </c>
      <c r="AN1849">
        <v>31550</v>
      </c>
      <c r="AO1849" t="s">
        <v>110</v>
      </c>
      <c r="AP1849" t="s">
        <v>109</v>
      </c>
    </row>
    <row r="1850" spans="1:42" x14ac:dyDescent="0.25">
      <c r="A1850" s="28" t="str">
        <f>"14631"</f>
        <v>14631</v>
      </c>
      <c r="B1850">
        <v>14631</v>
      </c>
      <c r="C1850" t="s">
        <v>2488</v>
      </c>
      <c r="D1850" t="s">
        <v>121</v>
      </c>
      <c r="E1850" t="s">
        <v>584</v>
      </c>
      <c r="F1850" t="s">
        <v>120</v>
      </c>
      <c r="G1850" t="s">
        <v>1967</v>
      </c>
      <c r="H1850" t="s">
        <v>3996</v>
      </c>
      <c r="I1850" t="s">
        <v>204</v>
      </c>
      <c r="J1850" t="s">
        <v>7</v>
      </c>
      <c r="K1850" s="63">
        <v>23599</v>
      </c>
      <c r="L1850" s="28">
        <f>DATEDIF(K1850,Zwift25!G$1,"Y")</f>
        <v>60</v>
      </c>
      <c r="M1850" s="67">
        <f>IF(J1850="m",VLOOKUP(L1850,'All Solo Adjustments'!A:D,4,FALSE),VLOOKUP(L1850,'All Solo Adjustments'!A:J,10,FALSE))</f>
        <v>3.2060185185185186E-3</v>
      </c>
      <c r="N1850" s="63"/>
      <c r="O1850" s="63"/>
      <c r="P1850" s="63"/>
      <c r="Q1850" s="63"/>
      <c r="R1850" t="s">
        <v>154</v>
      </c>
      <c r="S1850" t="s">
        <v>153</v>
      </c>
      <c r="T1850" t="s">
        <v>292</v>
      </c>
      <c r="U1850" t="s">
        <v>3995</v>
      </c>
      <c r="V1850" t="s">
        <v>3994</v>
      </c>
      <c r="W1850" t="s">
        <v>641</v>
      </c>
      <c r="X1850" t="s">
        <v>1333</v>
      </c>
      <c r="Y1850" t="s">
        <v>3993</v>
      </c>
      <c r="Z1850" t="str">
        <f>"07809549108"</f>
        <v>07809549108</v>
      </c>
      <c r="AA1850" t="str">
        <f>""</f>
        <v/>
      </c>
      <c r="AB1850" t="s">
        <v>640</v>
      </c>
      <c r="AC1850" t="s">
        <v>3992</v>
      </c>
      <c r="AD1850" t="s">
        <v>114</v>
      </c>
      <c r="AE1850" s="63">
        <v>45334</v>
      </c>
      <c r="AF1850" t="s">
        <v>156</v>
      </c>
      <c r="AG1850" t="s">
        <v>112</v>
      </c>
      <c r="AH1850" t="s">
        <v>112</v>
      </c>
      <c r="AI1850" s="63">
        <v>44047</v>
      </c>
      <c r="AJ1850" s="63">
        <v>45657</v>
      </c>
      <c r="AK1850" t="s">
        <v>112</v>
      </c>
      <c r="AL1850" t="s">
        <v>111</v>
      </c>
      <c r="AM1850" t="s">
        <v>111</v>
      </c>
      <c r="AN1850">
        <v>15608</v>
      </c>
      <c r="AO1850" t="s">
        <v>110</v>
      </c>
      <c r="AP1850" t="s">
        <v>109</v>
      </c>
    </row>
    <row r="1851" spans="1:42" x14ac:dyDescent="0.25">
      <c r="A1851" s="28" t="str">
        <f>"5662"</f>
        <v>5662</v>
      </c>
      <c r="B1851">
        <v>5662</v>
      </c>
      <c r="C1851" t="s">
        <v>2488</v>
      </c>
      <c r="D1851" t="s">
        <v>121</v>
      </c>
      <c r="F1851" t="s">
        <v>120</v>
      </c>
      <c r="G1851" t="s">
        <v>427</v>
      </c>
      <c r="I1851" t="s">
        <v>601</v>
      </c>
      <c r="J1851" t="s">
        <v>7</v>
      </c>
      <c r="K1851" s="63">
        <v>27442</v>
      </c>
      <c r="L1851" s="28">
        <f>DATEDIF(K1851,Zwift25!G$1,"Y")</f>
        <v>49</v>
      </c>
      <c r="M1851" s="67">
        <f>IF(J1851="m",VLOOKUP(L1851,'All Solo Adjustments'!A:D,4,FALSE),VLOOKUP(L1851,'All Solo Adjustments'!A:J,10,FALSE))</f>
        <v>9.837962962962962E-4</v>
      </c>
      <c r="N1851" s="63"/>
      <c r="O1851" s="63"/>
      <c r="P1851" s="63"/>
      <c r="Q1851" s="63"/>
      <c r="R1851" t="s">
        <v>125</v>
      </c>
      <c r="S1851" t="s">
        <v>170</v>
      </c>
      <c r="T1851" t="s">
        <v>292</v>
      </c>
      <c r="U1851" t="s">
        <v>3991</v>
      </c>
      <c r="V1851" t="s">
        <v>3990</v>
      </c>
      <c r="W1851" t="s">
        <v>223</v>
      </c>
      <c r="Y1851" t="s">
        <v>3989</v>
      </c>
      <c r="Z1851" t="str">
        <f>"07817 076010"</f>
        <v>07817 076010</v>
      </c>
      <c r="AA1851" t="str">
        <f>""</f>
        <v/>
      </c>
      <c r="AB1851" t="s">
        <v>3988</v>
      </c>
      <c r="AC1851" t="s">
        <v>3987</v>
      </c>
      <c r="AD1851" t="s">
        <v>114</v>
      </c>
      <c r="AE1851" s="63">
        <v>45262</v>
      </c>
      <c r="AF1851" t="s">
        <v>156</v>
      </c>
      <c r="AG1851" t="s">
        <v>112</v>
      </c>
      <c r="AH1851" t="s">
        <v>112</v>
      </c>
      <c r="AI1851" s="63">
        <v>42373</v>
      </c>
      <c r="AJ1851" s="63">
        <v>45657</v>
      </c>
      <c r="AK1851" t="s">
        <v>111</v>
      </c>
      <c r="AL1851" t="s">
        <v>111</v>
      </c>
      <c r="AM1851" t="s">
        <v>111</v>
      </c>
      <c r="AN1851">
        <v>3301</v>
      </c>
      <c r="AO1851" t="s">
        <v>110</v>
      </c>
      <c r="AP1851" t="s">
        <v>109</v>
      </c>
    </row>
    <row r="1852" spans="1:42" x14ac:dyDescent="0.25">
      <c r="A1852" s="28" t="str">
        <f>"2335"</f>
        <v>2335</v>
      </c>
      <c r="B1852">
        <v>2335</v>
      </c>
      <c r="C1852" t="s">
        <v>2488</v>
      </c>
      <c r="D1852" t="s">
        <v>121</v>
      </c>
      <c r="F1852" t="s">
        <v>120</v>
      </c>
      <c r="G1852" t="s">
        <v>489</v>
      </c>
      <c r="I1852" t="s">
        <v>601</v>
      </c>
      <c r="J1852" t="s">
        <v>7</v>
      </c>
      <c r="K1852" s="63">
        <v>14089</v>
      </c>
      <c r="L1852" s="28">
        <f>DATEDIF(K1852,Zwift25!G$1,"Y")</f>
        <v>86</v>
      </c>
      <c r="M1852" s="67">
        <f>IF(J1852="m",VLOOKUP(L1852,'All Solo Adjustments'!A:D,4,FALSE),VLOOKUP(L1852,'All Solo Adjustments'!A:J,10,FALSE))</f>
        <v>1.4988425925925926E-2</v>
      </c>
      <c r="N1852" s="63"/>
      <c r="O1852" s="63"/>
      <c r="P1852" s="63"/>
      <c r="Q1852" s="63"/>
      <c r="R1852" t="s">
        <v>527</v>
      </c>
      <c r="S1852" t="s">
        <v>612</v>
      </c>
      <c r="T1852" t="s">
        <v>292</v>
      </c>
      <c r="U1852" t="s">
        <v>3986</v>
      </c>
      <c r="V1852" t="s">
        <v>3985</v>
      </c>
      <c r="Y1852" t="s">
        <v>3984</v>
      </c>
      <c r="Z1852" t="str">
        <f>"01642 000000"</f>
        <v>01642 000000</v>
      </c>
      <c r="AA1852" t="str">
        <f>""</f>
        <v/>
      </c>
      <c r="AB1852" t="s">
        <v>1049</v>
      </c>
      <c r="AD1852" t="s">
        <v>145</v>
      </c>
      <c r="AF1852" t="s">
        <v>113</v>
      </c>
      <c r="AG1852" t="s">
        <v>112</v>
      </c>
      <c r="AH1852" t="s">
        <v>112</v>
      </c>
      <c r="AI1852" s="63">
        <v>43467</v>
      </c>
      <c r="AK1852" t="s">
        <v>111</v>
      </c>
      <c r="AL1852" t="s">
        <v>111</v>
      </c>
      <c r="AM1852" t="s">
        <v>111</v>
      </c>
      <c r="AN1852" t="s">
        <v>105</v>
      </c>
      <c r="AO1852" t="s">
        <v>110</v>
      </c>
      <c r="AP1852" t="s">
        <v>109</v>
      </c>
    </row>
    <row r="1853" spans="1:42" x14ac:dyDescent="0.25">
      <c r="A1853" s="28" t="str">
        <f>"14330"</f>
        <v>14330</v>
      </c>
      <c r="B1853">
        <v>14330</v>
      </c>
      <c r="C1853" t="s">
        <v>2488</v>
      </c>
      <c r="D1853" t="s">
        <v>121</v>
      </c>
      <c r="F1853" t="s">
        <v>120</v>
      </c>
      <c r="G1853" t="s">
        <v>1312</v>
      </c>
      <c r="H1853" t="s">
        <v>1126</v>
      </c>
      <c r="I1853" t="s">
        <v>3983</v>
      </c>
      <c r="J1853" t="s">
        <v>7</v>
      </c>
      <c r="K1853" s="63">
        <v>25008</v>
      </c>
      <c r="L1853" s="28">
        <f>DATEDIF(K1853,Zwift25!G$1,"Y")</f>
        <v>56</v>
      </c>
      <c r="M1853" s="67">
        <f>IF(J1853="m",VLOOKUP(L1853,'All Solo Adjustments'!A:D,4,FALSE),VLOOKUP(L1853,'All Solo Adjustments'!A:J,10,FALSE))</f>
        <v>2.2685185185185182E-3</v>
      </c>
      <c r="N1853" s="63"/>
      <c r="O1853" s="63"/>
      <c r="P1853" s="63"/>
      <c r="Q1853" s="63"/>
      <c r="R1853" t="s">
        <v>239</v>
      </c>
      <c r="S1853" t="s">
        <v>274</v>
      </c>
      <c r="T1853" t="s">
        <v>292</v>
      </c>
      <c r="U1853" t="s">
        <v>3982</v>
      </c>
      <c r="V1853" t="s">
        <v>127</v>
      </c>
      <c r="Y1853" t="s">
        <v>3981</v>
      </c>
      <c r="Z1853" t="str">
        <f>"07803607369"</f>
        <v>07803607369</v>
      </c>
      <c r="AA1853" t="str">
        <f>""</f>
        <v/>
      </c>
      <c r="AB1853" t="s">
        <v>3980</v>
      </c>
      <c r="AC1853" t="s">
        <v>3979</v>
      </c>
      <c r="AD1853" t="s">
        <v>114</v>
      </c>
      <c r="AE1853" s="63">
        <v>45298</v>
      </c>
      <c r="AF1853" t="s">
        <v>156</v>
      </c>
      <c r="AG1853" t="s">
        <v>112</v>
      </c>
      <c r="AH1853" t="s">
        <v>112</v>
      </c>
      <c r="AI1853" s="63">
        <v>43674</v>
      </c>
      <c r="AJ1853" s="63">
        <v>45657</v>
      </c>
      <c r="AK1853" t="s">
        <v>112</v>
      </c>
      <c r="AL1853" t="s">
        <v>111</v>
      </c>
      <c r="AM1853" t="s">
        <v>111</v>
      </c>
      <c r="AN1853" t="s">
        <v>105</v>
      </c>
      <c r="AO1853" t="s">
        <v>110</v>
      </c>
      <c r="AP1853" t="s">
        <v>109</v>
      </c>
    </row>
    <row r="1854" spans="1:42" x14ac:dyDescent="0.25">
      <c r="A1854" s="28" t="str">
        <f>"5841"</f>
        <v>5841</v>
      </c>
      <c r="B1854">
        <v>5841</v>
      </c>
      <c r="C1854" t="s">
        <v>2488</v>
      </c>
      <c r="D1854" t="s">
        <v>121</v>
      </c>
      <c r="E1854" t="s">
        <v>584</v>
      </c>
      <c r="F1854" t="s">
        <v>120</v>
      </c>
      <c r="G1854" t="s">
        <v>189</v>
      </c>
      <c r="H1854" t="s">
        <v>339</v>
      </c>
      <c r="I1854" t="s">
        <v>3978</v>
      </c>
      <c r="J1854" t="s">
        <v>7</v>
      </c>
      <c r="K1854" s="63">
        <v>24373</v>
      </c>
      <c r="L1854" s="28">
        <f>DATEDIF(K1854,Zwift25!G$1,"Y")</f>
        <v>58</v>
      </c>
      <c r="M1854" s="67">
        <f>IF(J1854="m",VLOOKUP(L1854,'All Solo Adjustments'!A:D,4,FALSE),VLOOKUP(L1854,'All Solo Adjustments'!A:J,10,FALSE))</f>
        <v>2.7199074074074074E-3</v>
      </c>
      <c r="N1854" s="63"/>
      <c r="O1854" s="63"/>
      <c r="P1854" s="63"/>
      <c r="Q1854" s="63"/>
      <c r="R1854" t="s">
        <v>213</v>
      </c>
      <c r="S1854" t="s">
        <v>212</v>
      </c>
      <c r="T1854" t="s">
        <v>292</v>
      </c>
      <c r="U1854" t="s">
        <v>3977</v>
      </c>
      <c r="V1854" t="s">
        <v>211</v>
      </c>
      <c r="Y1854" t="s">
        <v>3976</v>
      </c>
      <c r="Z1854" t="str">
        <f>"01244 677774"</f>
        <v>01244 677774</v>
      </c>
      <c r="AA1854" t="str">
        <f>"07729307350"</f>
        <v>07729307350</v>
      </c>
      <c r="AB1854" t="s">
        <v>1113</v>
      </c>
      <c r="AC1854" t="s">
        <v>3975</v>
      </c>
      <c r="AD1854" t="s">
        <v>114</v>
      </c>
      <c r="AE1854" s="63">
        <v>45298</v>
      </c>
      <c r="AF1854" t="s">
        <v>113</v>
      </c>
      <c r="AG1854" t="s">
        <v>112</v>
      </c>
      <c r="AH1854" t="s">
        <v>112</v>
      </c>
      <c r="AI1854" s="63">
        <v>42380</v>
      </c>
      <c r="AJ1854" s="63">
        <v>45657</v>
      </c>
      <c r="AK1854" t="s">
        <v>111</v>
      </c>
      <c r="AL1854" t="s">
        <v>111</v>
      </c>
      <c r="AM1854" t="s">
        <v>111</v>
      </c>
      <c r="AN1854">
        <v>556</v>
      </c>
      <c r="AO1854" t="s">
        <v>110</v>
      </c>
      <c r="AP1854" t="s">
        <v>109</v>
      </c>
    </row>
    <row r="1855" spans="1:42" x14ac:dyDescent="0.25">
      <c r="A1855" s="28" t="str">
        <f>"16107"</f>
        <v>16107</v>
      </c>
      <c r="B1855">
        <v>16107</v>
      </c>
      <c r="C1855" t="s">
        <v>2488</v>
      </c>
      <c r="D1855" t="s">
        <v>121</v>
      </c>
      <c r="F1855" t="s">
        <v>144</v>
      </c>
      <c r="G1855" t="s">
        <v>3974</v>
      </c>
      <c r="H1855" t="s">
        <v>1092</v>
      </c>
      <c r="I1855" t="s">
        <v>3967</v>
      </c>
      <c r="J1855" t="s">
        <v>126</v>
      </c>
      <c r="K1855" s="63">
        <v>27289</v>
      </c>
      <c r="L1855" s="28">
        <f>DATEDIF(K1855,Zwift25!G$1,"Y")</f>
        <v>50</v>
      </c>
      <c r="M1855" s="67">
        <f>IF(J1855="m",VLOOKUP(L1855,'All Solo Adjustments'!A:D,4,FALSE),VLOOKUP(L1855,'All Solo Adjustments'!A:J,10,FALSE))</f>
        <v>4.9768518518518521E-3</v>
      </c>
      <c r="N1855" s="63"/>
      <c r="O1855" s="63"/>
      <c r="P1855" s="63"/>
      <c r="Q1855" s="63"/>
      <c r="R1855" t="s">
        <v>383</v>
      </c>
      <c r="S1855" t="s">
        <v>382</v>
      </c>
      <c r="T1855" t="s">
        <v>292</v>
      </c>
      <c r="U1855" t="s">
        <v>3973</v>
      </c>
      <c r="V1855" t="s">
        <v>3972</v>
      </c>
      <c r="Y1855" t="s">
        <v>3971</v>
      </c>
      <c r="Z1855" t="str">
        <f>"07960700734"</f>
        <v>07960700734</v>
      </c>
      <c r="AA1855" t="str">
        <f>""</f>
        <v/>
      </c>
      <c r="AB1855" t="s">
        <v>3970</v>
      </c>
      <c r="AC1855" t="s">
        <v>3969</v>
      </c>
      <c r="AD1855" t="s">
        <v>114</v>
      </c>
      <c r="AE1855" s="63">
        <v>45398</v>
      </c>
      <c r="AF1855" t="s">
        <v>156</v>
      </c>
      <c r="AG1855" t="s">
        <v>112</v>
      </c>
      <c r="AH1855" t="s">
        <v>112</v>
      </c>
      <c r="AI1855" s="63">
        <v>45398</v>
      </c>
      <c r="AJ1855" s="63">
        <v>45657</v>
      </c>
      <c r="AK1855" t="s">
        <v>112</v>
      </c>
      <c r="AL1855" t="s">
        <v>111</v>
      </c>
      <c r="AM1855" t="s">
        <v>111</v>
      </c>
      <c r="AN1855">
        <v>9889</v>
      </c>
      <c r="AO1855" t="s">
        <v>122</v>
      </c>
      <c r="AP1855" t="s">
        <v>122</v>
      </c>
    </row>
    <row r="1856" spans="1:42" x14ac:dyDescent="0.25">
      <c r="A1856" s="28" t="str">
        <f>"16108"</f>
        <v>16108</v>
      </c>
      <c r="B1856">
        <v>16108</v>
      </c>
      <c r="C1856" t="s">
        <v>2488</v>
      </c>
      <c r="D1856" t="s">
        <v>121</v>
      </c>
      <c r="F1856" t="s">
        <v>120</v>
      </c>
      <c r="G1856" t="s">
        <v>995</v>
      </c>
      <c r="H1856" t="s">
        <v>3968</v>
      </c>
      <c r="I1856" t="s">
        <v>3967</v>
      </c>
      <c r="J1856" t="s">
        <v>7</v>
      </c>
      <c r="K1856" s="63">
        <v>24142</v>
      </c>
      <c r="L1856" s="28">
        <f>DATEDIF(K1856,Zwift25!G$1,"Y")</f>
        <v>58</v>
      </c>
      <c r="M1856" s="67">
        <f>IF(J1856="m",VLOOKUP(L1856,'All Solo Adjustments'!A:D,4,FALSE),VLOOKUP(L1856,'All Solo Adjustments'!A:J,10,FALSE))</f>
        <v>2.7199074074074074E-3</v>
      </c>
      <c r="N1856" s="63"/>
      <c r="O1856" s="63"/>
      <c r="P1856" s="63"/>
      <c r="Q1856" s="63"/>
      <c r="R1856" t="s">
        <v>184</v>
      </c>
      <c r="S1856" t="s">
        <v>183</v>
      </c>
      <c r="T1856" t="s">
        <v>292</v>
      </c>
      <c r="U1856" t="s">
        <v>3966</v>
      </c>
      <c r="V1856" t="s">
        <v>3965</v>
      </c>
      <c r="X1856" t="s">
        <v>3964</v>
      </c>
      <c r="Y1856" t="s">
        <v>3963</v>
      </c>
      <c r="Z1856" t="str">
        <f>"01234 870620"</f>
        <v>01234 870620</v>
      </c>
      <c r="AA1856" t="str">
        <f>""</f>
        <v/>
      </c>
      <c r="AB1856" t="s">
        <v>3962</v>
      </c>
      <c r="AC1856" t="s">
        <v>3961</v>
      </c>
      <c r="AD1856" t="s">
        <v>114</v>
      </c>
      <c r="AE1856" s="63">
        <v>45399</v>
      </c>
      <c r="AF1856" t="s">
        <v>156</v>
      </c>
      <c r="AG1856" t="s">
        <v>112</v>
      </c>
      <c r="AH1856" t="s">
        <v>112</v>
      </c>
      <c r="AI1856" s="63">
        <v>45399</v>
      </c>
      <c r="AJ1856" s="63">
        <v>45657</v>
      </c>
      <c r="AK1856" t="s">
        <v>112</v>
      </c>
      <c r="AL1856" t="s">
        <v>111</v>
      </c>
      <c r="AM1856" t="s">
        <v>111</v>
      </c>
      <c r="AN1856">
        <v>50225</v>
      </c>
      <c r="AO1856" t="s">
        <v>110</v>
      </c>
      <c r="AP1856" t="s">
        <v>109</v>
      </c>
    </row>
    <row r="1857" spans="1:42" x14ac:dyDescent="0.25">
      <c r="A1857" s="28" t="str">
        <f>"2343"</f>
        <v>2343</v>
      </c>
      <c r="B1857">
        <v>2343</v>
      </c>
      <c r="C1857" t="s">
        <v>2488</v>
      </c>
      <c r="D1857" t="s">
        <v>121</v>
      </c>
      <c r="F1857" t="s">
        <v>149</v>
      </c>
      <c r="G1857" t="s">
        <v>200</v>
      </c>
      <c r="I1857" t="s">
        <v>3960</v>
      </c>
      <c r="J1857" t="s">
        <v>126</v>
      </c>
      <c r="K1857" s="63">
        <v>15583</v>
      </c>
      <c r="L1857" s="28">
        <f>DATEDIF(K1857,Zwift25!G$1,"Y")</f>
        <v>82</v>
      </c>
      <c r="M1857" s="67">
        <f>IF(J1857="m",VLOOKUP(L1857,'All Solo Adjustments'!A:D,4,FALSE),VLOOKUP(L1857,'All Solo Adjustments'!A:J,10,FALSE))</f>
        <v>1.818287037037037E-2</v>
      </c>
      <c r="N1857" s="63"/>
      <c r="O1857" s="63"/>
      <c r="P1857" s="63"/>
      <c r="Q1857" s="63"/>
      <c r="R1857" t="s">
        <v>180</v>
      </c>
      <c r="S1857" t="s">
        <v>2288</v>
      </c>
      <c r="T1857" t="s">
        <v>292</v>
      </c>
      <c r="U1857" t="s">
        <v>3959</v>
      </c>
      <c r="V1857" t="s">
        <v>3958</v>
      </c>
      <c r="W1857" t="s">
        <v>983</v>
      </c>
      <c r="Y1857" t="s">
        <v>3957</v>
      </c>
      <c r="Z1857" t="str">
        <f>"0115 9398984"</f>
        <v>0115 9398984</v>
      </c>
      <c r="AA1857" t="str">
        <f>""</f>
        <v/>
      </c>
      <c r="AB1857" t="s">
        <v>2023</v>
      </c>
      <c r="AC1857" t="s">
        <v>3956</v>
      </c>
      <c r="AD1857" t="s">
        <v>145</v>
      </c>
      <c r="AF1857" t="s">
        <v>113</v>
      </c>
      <c r="AG1857" t="s">
        <v>112</v>
      </c>
      <c r="AH1857" t="s">
        <v>112</v>
      </c>
      <c r="AI1857" s="63">
        <v>44620</v>
      </c>
      <c r="AK1857" t="s">
        <v>111</v>
      </c>
      <c r="AL1857" t="s">
        <v>111</v>
      </c>
      <c r="AM1857" t="s">
        <v>111</v>
      </c>
      <c r="AN1857" t="s">
        <v>105</v>
      </c>
      <c r="AO1857" t="s">
        <v>122</v>
      </c>
      <c r="AP1857" t="s">
        <v>122</v>
      </c>
    </row>
    <row r="1858" spans="1:42" x14ac:dyDescent="0.25">
      <c r="A1858" s="28" t="str">
        <f>"2344"</f>
        <v>2344</v>
      </c>
      <c r="B1858">
        <v>2344</v>
      </c>
      <c r="C1858" t="s">
        <v>2488</v>
      </c>
      <c r="D1858" t="s">
        <v>121</v>
      </c>
      <c r="F1858" t="s">
        <v>120</v>
      </c>
      <c r="G1858" t="s">
        <v>231</v>
      </c>
      <c r="I1858" t="s">
        <v>1274</v>
      </c>
      <c r="J1858" t="s">
        <v>7</v>
      </c>
      <c r="K1858" s="63">
        <v>18939</v>
      </c>
      <c r="L1858" s="28">
        <f>DATEDIF(K1858,Zwift25!G$1,"Y")</f>
        <v>72</v>
      </c>
      <c r="M1858" s="67">
        <f>IF(J1858="m",VLOOKUP(L1858,'All Solo Adjustments'!A:D,4,FALSE),VLOOKUP(L1858,'All Solo Adjustments'!A:J,10,FALSE))</f>
        <v>7.129629629629629E-3</v>
      </c>
      <c r="N1858" s="63"/>
      <c r="O1858" s="63"/>
      <c r="P1858" s="63"/>
      <c r="Q1858" s="63"/>
      <c r="R1858" t="s">
        <v>137</v>
      </c>
      <c r="S1858" t="s">
        <v>136</v>
      </c>
      <c r="T1858" t="s">
        <v>292</v>
      </c>
      <c r="U1858" t="s">
        <v>3955</v>
      </c>
      <c r="V1858" t="s">
        <v>935</v>
      </c>
      <c r="W1858" t="s">
        <v>1098</v>
      </c>
      <c r="X1858" t="s">
        <v>208</v>
      </c>
      <c r="Y1858" t="s">
        <v>3954</v>
      </c>
      <c r="Z1858" t="str">
        <f>"02380 777678"</f>
        <v>02380 777678</v>
      </c>
      <c r="AA1858" t="str">
        <f>""</f>
        <v/>
      </c>
      <c r="AB1858" t="s">
        <v>996</v>
      </c>
      <c r="AC1858" t="s">
        <v>3953</v>
      </c>
      <c r="AD1858" t="s">
        <v>114</v>
      </c>
      <c r="AE1858" s="63">
        <v>45214</v>
      </c>
      <c r="AF1858" t="s">
        <v>113</v>
      </c>
      <c r="AG1858" t="s">
        <v>112</v>
      </c>
      <c r="AH1858" t="s">
        <v>112</v>
      </c>
      <c r="AI1858" s="63">
        <v>43452</v>
      </c>
      <c r="AJ1858" s="63">
        <v>45657</v>
      </c>
      <c r="AK1858" t="s">
        <v>111</v>
      </c>
      <c r="AL1858" t="s">
        <v>111</v>
      </c>
      <c r="AM1858" t="s">
        <v>111</v>
      </c>
      <c r="AN1858">
        <v>18274</v>
      </c>
      <c r="AO1858" t="s">
        <v>110</v>
      </c>
      <c r="AP1858" t="s">
        <v>109</v>
      </c>
    </row>
    <row r="1859" spans="1:42" x14ac:dyDescent="0.25">
      <c r="A1859" s="28" t="str">
        <f>"2346"</f>
        <v>2346</v>
      </c>
      <c r="B1859">
        <v>2346</v>
      </c>
      <c r="C1859" t="s">
        <v>2488</v>
      </c>
      <c r="D1859" t="s">
        <v>121</v>
      </c>
      <c r="F1859" t="s">
        <v>120</v>
      </c>
      <c r="G1859" t="s">
        <v>649</v>
      </c>
      <c r="I1859" t="s">
        <v>3952</v>
      </c>
      <c r="J1859" t="s">
        <v>7</v>
      </c>
      <c r="K1859" s="63">
        <v>15847</v>
      </c>
      <c r="L1859" s="28">
        <f>DATEDIF(K1859,Zwift25!G$1,"Y")</f>
        <v>81</v>
      </c>
      <c r="M1859" s="67">
        <f>IF(J1859="m",VLOOKUP(L1859,'All Solo Adjustments'!A:D,4,FALSE),VLOOKUP(L1859,'All Solo Adjustments'!A:J,10,FALSE))</f>
        <v>1.1597222222222222E-2</v>
      </c>
      <c r="N1859" s="63"/>
      <c r="O1859" s="63"/>
      <c r="P1859" s="63"/>
      <c r="Q1859" s="63"/>
      <c r="R1859" t="s">
        <v>239</v>
      </c>
      <c r="S1859" t="s">
        <v>437</v>
      </c>
      <c r="T1859" t="s">
        <v>292</v>
      </c>
      <c r="U1859" t="s">
        <v>3951</v>
      </c>
      <c r="V1859" t="s">
        <v>3950</v>
      </c>
      <c r="W1859" t="s">
        <v>3949</v>
      </c>
      <c r="X1859" t="s">
        <v>555</v>
      </c>
      <c r="Y1859" t="s">
        <v>3948</v>
      </c>
      <c r="Z1859" t="str">
        <f>"01422 376136"</f>
        <v>01422 376136</v>
      </c>
      <c r="AA1859" t="str">
        <f>""</f>
        <v/>
      </c>
      <c r="AB1859" t="s">
        <v>1961</v>
      </c>
      <c r="AC1859" t="s">
        <v>3947</v>
      </c>
      <c r="AD1859" t="s">
        <v>145</v>
      </c>
      <c r="AF1859" t="s">
        <v>113</v>
      </c>
      <c r="AG1859" t="s">
        <v>112</v>
      </c>
      <c r="AH1859" t="s">
        <v>112</v>
      </c>
      <c r="AI1859" s="63">
        <v>35949</v>
      </c>
      <c r="AK1859" t="s">
        <v>111</v>
      </c>
      <c r="AL1859" t="s">
        <v>111</v>
      </c>
      <c r="AM1859" t="s">
        <v>111</v>
      </c>
      <c r="AN1859" t="s">
        <v>105</v>
      </c>
      <c r="AO1859" t="s">
        <v>110</v>
      </c>
      <c r="AP1859" t="s">
        <v>109</v>
      </c>
    </row>
    <row r="1860" spans="1:42" x14ac:dyDescent="0.25">
      <c r="A1860" s="28" t="str">
        <f>"14356"</f>
        <v>14356</v>
      </c>
      <c r="B1860">
        <v>14356</v>
      </c>
      <c r="C1860" t="s">
        <v>2488</v>
      </c>
      <c r="D1860" t="s">
        <v>121</v>
      </c>
      <c r="F1860" t="s">
        <v>120</v>
      </c>
      <c r="G1860" t="s">
        <v>601</v>
      </c>
      <c r="I1860" t="s">
        <v>3946</v>
      </c>
      <c r="J1860" t="s">
        <v>7</v>
      </c>
      <c r="K1860" s="63">
        <v>27653</v>
      </c>
      <c r="L1860" s="28">
        <f>DATEDIF(K1860,Zwift25!G$1,"Y")</f>
        <v>49</v>
      </c>
      <c r="M1860" s="67">
        <f>IF(J1860="m",VLOOKUP(L1860,'All Solo Adjustments'!A:D,4,FALSE),VLOOKUP(L1860,'All Solo Adjustments'!A:J,10,FALSE))</f>
        <v>9.837962962962962E-4</v>
      </c>
      <c r="N1860" s="63"/>
      <c r="O1860" s="63"/>
      <c r="P1860" s="63"/>
      <c r="Q1860" s="63"/>
      <c r="R1860" t="s">
        <v>125</v>
      </c>
      <c r="S1860" t="s">
        <v>170</v>
      </c>
      <c r="T1860" t="s">
        <v>292</v>
      </c>
      <c r="U1860" t="s">
        <v>3945</v>
      </c>
      <c r="V1860" t="s">
        <v>3944</v>
      </c>
      <c r="W1860" t="s">
        <v>3943</v>
      </c>
      <c r="X1860" t="s">
        <v>169</v>
      </c>
      <c r="Y1860" t="s">
        <v>3942</v>
      </c>
      <c r="Z1860" t="str">
        <f>"+447881378587"</f>
        <v>+447881378587</v>
      </c>
      <c r="AA1860" t="str">
        <f>""</f>
        <v/>
      </c>
      <c r="AB1860" t="s">
        <v>3941</v>
      </c>
      <c r="AC1860" t="s">
        <v>3940</v>
      </c>
      <c r="AD1860" t="s">
        <v>114</v>
      </c>
      <c r="AE1860" s="63">
        <v>45262</v>
      </c>
      <c r="AF1860" t="s">
        <v>156</v>
      </c>
      <c r="AG1860" t="s">
        <v>112</v>
      </c>
      <c r="AH1860" t="s">
        <v>112</v>
      </c>
      <c r="AI1860" s="63">
        <v>43710</v>
      </c>
      <c r="AJ1860" s="63">
        <v>45657</v>
      </c>
      <c r="AK1860" t="s">
        <v>112</v>
      </c>
      <c r="AL1860" t="s">
        <v>111</v>
      </c>
      <c r="AM1860" t="s">
        <v>111</v>
      </c>
      <c r="AN1860">
        <v>30074</v>
      </c>
      <c r="AO1860" t="s">
        <v>110</v>
      </c>
      <c r="AP1860" t="s">
        <v>109</v>
      </c>
    </row>
    <row r="1861" spans="1:42" x14ac:dyDescent="0.25">
      <c r="A1861" s="28" t="str">
        <f>"2348"</f>
        <v>2348</v>
      </c>
      <c r="B1861">
        <v>2348</v>
      </c>
      <c r="C1861" t="s">
        <v>2488</v>
      </c>
      <c r="D1861" t="s">
        <v>121</v>
      </c>
      <c r="F1861" t="s">
        <v>120</v>
      </c>
      <c r="G1861" t="s">
        <v>410</v>
      </c>
      <c r="H1861" t="s">
        <v>773</v>
      </c>
      <c r="I1861" t="s">
        <v>3939</v>
      </c>
      <c r="J1861" t="s">
        <v>7</v>
      </c>
      <c r="K1861" s="63">
        <v>20754</v>
      </c>
      <c r="L1861" s="28">
        <f>DATEDIF(K1861,Zwift25!G$1,"Y")</f>
        <v>67</v>
      </c>
      <c r="M1861" s="67">
        <f>IF(J1861="m",VLOOKUP(L1861,'All Solo Adjustments'!A:D,4,FALSE),VLOOKUP(L1861,'All Solo Adjustments'!A:J,10,FALSE))</f>
        <v>5.2662037037037035E-3</v>
      </c>
      <c r="N1861" s="63"/>
      <c r="O1861" s="63"/>
      <c r="P1861" s="63"/>
      <c r="Q1861" s="63"/>
      <c r="R1861" t="s">
        <v>137</v>
      </c>
      <c r="S1861" t="s">
        <v>136</v>
      </c>
      <c r="T1861" t="s">
        <v>292</v>
      </c>
      <c r="U1861" t="s">
        <v>3938</v>
      </c>
      <c r="V1861" t="s">
        <v>3937</v>
      </c>
      <c r="W1861" t="s">
        <v>603</v>
      </c>
      <c r="Y1861" t="s">
        <v>3936</v>
      </c>
      <c r="Z1861" t="str">
        <f>"01344 623637"</f>
        <v>01344 623637</v>
      </c>
      <c r="AA1861" t="str">
        <f>""</f>
        <v/>
      </c>
      <c r="AB1861" t="s">
        <v>1797</v>
      </c>
      <c r="AC1861" t="s">
        <v>3935</v>
      </c>
      <c r="AD1861" t="s">
        <v>114</v>
      </c>
      <c r="AE1861" s="63">
        <v>45279</v>
      </c>
      <c r="AF1861" t="s">
        <v>113</v>
      </c>
      <c r="AG1861" t="s">
        <v>112</v>
      </c>
      <c r="AH1861" t="s">
        <v>112</v>
      </c>
      <c r="AI1861" s="63">
        <v>35374</v>
      </c>
      <c r="AJ1861" s="63">
        <v>45657</v>
      </c>
      <c r="AK1861" t="s">
        <v>111</v>
      </c>
      <c r="AL1861" t="s">
        <v>111</v>
      </c>
      <c r="AM1861" t="s">
        <v>111</v>
      </c>
      <c r="AN1861">
        <v>42144</v>
      </c>
      <c r="AO1861" t="s">
        <v>110</v>
      </c>
      <c r="AP1861" t="s">
        <v>109</v>
      </c>
    </row>
    <row r="1862" spans="1:42" x14ac:dyDescent="0.25">
      <c r="A1862" s="28" t="str">
        <f>"3282"</f>
        <v>3282</v>
      </c>
      <c r="B1862">
        <v>3282</v>
      </c>
      <c r="C1862" t="s">
        <v>2488</v>
      </c>
      <c r="D1862" t="s">
        <v>121</v>
      </c>
      <c r="F1862" t="s">
        <v>120</v>
      </c>
      <c r="G1862" t="s">
        <v>181</v>
      </c>
      <c r="I1862" t="s">
        <v>3934</v>
      </c>
      <c r="J1862" t="s">
        <v>7</v>
      </c>
      <c r="K1862" s="63">
        <v>11883</v>
      </c>
      <c r="L1862" s="28">
        <f>DATEDIF(K1862,Zwift25!G$1,"Y")</f>
        <v>92</v>
      </c>
      <c r="M1862" s="67">
        <f>IF(J1862="m",VLOOKUP(L1862,'All Solo Adjustments'!A:D,4,FALSE),VLOOKUP(L1862,'All Solo Adjustments'!A:J,10,FALSE))</f>
        <v>2.0405092592592593E-2</v>
      </c>
      <c r="N1862" s="63"/>
      <c r="O1862" s="63"/>
      <c r="P1862" s="63"/>
      <c r="Q1862" s="63"/>
      <c r="R1862" t="s">
        <v>213</v>
      </c>
      <c r="S1862" t="s">
        <v>2309</v>
      </c>
      <c r="T1862" t="s">
        <v>292</v>
      </c>
      <c r="U1862" t="s">
        <v>3933</v>
      </c>
      <c r="V1862" t="s">
        <v>671</v>
      </c>
      <c r="W1862" t="s">
        <v>503</v>
      </c>
      <c r="Y1862" t="s">
        <v>3932</v>
      </c>
      <c r="Z1862" t="str">
        <f>"0151 3344619"</f>
        <v>0151 3344619</v>
      </c>
      <c r="AA1862" t="str">
        <f>""</f>
        <v/>
      </c>
      <c r="AB1862" t="s">
        <v>3931</v>
      </c>
      <c r="AC1862" t="s">
        <v>3930</v>
      </c>
      <c r="AD1862" t="s">
        <v>151</v>
      </c>
      <c r="AF1862" t="s">
        <v>113</v>
      </c>
      <c r="AG1862" t="s">
        <v>112</v>
      </c>
      <c r="AH1862" t="s">
        <v>112</v>
      </c>
      <c r="AI1862" s="63">
        <v>30356</v>
      </c>
      <c r="AK1862" t="s">
        <v>111</v>
      </c>
      <c r="AL1862" t="s">
        <v>111</v>
      </c>
      <c r="AM1862" t="s">
        <v>111</v>
      </c>
      <c r="AN1862" t="s">
        <v>105</v>
      </c>
      <c r="AO1862" t="s">
        <v>110</v>
      </c>
      <c r="AP1862" t="s">
        <v>109</v>
      </c>
    </row>
    <row r="1863" spans="1:42" x14ac:dyDescent="0.25">
      <c r="A1863" s="28" t="str">
        <f>"3106"</f>
        <v>3106</v>
      </c>
      <c r="B1863">
        <v>3106</v>
      </c>
      <c r="C1863" t="s">
        <v>2488</v>
      </c>
      <c r="D1863" t="s">
        <v>121</v>
      </c>
      <c r="F1863" t="s">
        <v>120</v>
      </c>
      <c r="G1863" t="s">
        <v>649</v>
      </c>
      <c r="I1863" t="s">
        <v>3929</v>
      </c>
      <c r="J1863" t="s">
        <v>7</v>
      </c>
      <c r="K1863" s="63">
        <v>13680</v>
      </c>
      <c r="L1863" s="28">
        <f>DATEDIF(K1863,Zwift25!G$1,"Y")</f>
        <v>87</v>
      </c>
      <c r="M1863" s="67">
        <f>IF(J1863="m",VLOOKUP(L1863,'All Solo Adjustments'!A:D,4,FALSE),VLOOKUP(L1863,'All Solo Adjustments'!A:J,10,FALSE))</f>
        <v>1.576388888888889E-2</v>
      </c>
      <c r="N1863" s="63"/>
      <c r="O1863" s="63"/>
      <c r="P1863" s="63"/>
      <c r="Q1863" s="63"/>
      <c r="R1863" t="s">
        <v>125</v>
      </c>
      <c r="S1863" t="s">
        <v>484</v>
      </c>
      <c r="T1863" t="s">
        <v>292</v>
      </c>
      <c r="U1863" t="s">
        <v>3928</v>
      </c>
      <c r="V1863" t="s">
        <v>3927</v>
      </c>
      <c r="W1863" t="s">
        <v>169</v>
      </c>
      <c r="Y1863" t="s">
        <v>3926</v>
      </c>
      <c r="Z1863" t="str">
        <f>"01842 860862"</f>
        <v>01842 860862</v>
      </c>
      <c r="AA1863" t="str">
        <f>""</f>
        <v/>
      </c>
      <c r="AB1863" t="s">
        <v>2251</v>
      </c>
      <c r="AC1863" t="s">
        <v>3925</v>
      </c>
      <c r="AD1863" t="s">
        <v>151</v>
      </c>
      <c r="AF1863" t="s">
        <v>113</v>
      </c>
      <c r="AG1863" t="s">
        <v>112</v>
      </c>
      <c r="AH1863" t="s">
        <v>112</v>
      </c>
      <c r="AI1863" s="63">
        <v>28577</v>
      </c>
      <c r="AK1863" t="s">
        <v>111</v>
      </c>
      <c r="AL1863" t="s">
        <v>111</v>
      </c>
      <c r="AM1863" t="s">
        <v>111</v>
      </c>
      <c r="AN1863" t="s">
        <v>105</v>
      </c>
      <c r="AO1863" t="s">
        <v>110</v>
      </c>
      <c r="AP1863" t="s">
        <v>109</v>
      </c>
    </row>
    <row r="1864" spans="1:42" x14ac:dyDescent="0.25">
      <c r="A1864" s="28" t="str">
        <f>"2830"</f>
        <v>2830</v>
      </c>
      <c r="B1864">
        <v>2830</v>
      </c>
      <c r="C1864" t="s">
        <v>2488</v>
      </c>
      <c r="D1864" t="s">
        <v>121</v>
      </c>
      <c r="E1864" t="s">
        <v>3000</v>
      </c>
      <c r="F1864" t="s">
        <v>120</v>
      </c>
      <c r="G1864" t="s">
        <v>284</v>
      </c>
      <c r="I1864" t="s">
        <v>3924</v>
      </c>
      <c r="J1864" t="s">
        <v>7</v>
      </c>
      <c r="K1864" s="63">
        <v>17181</v>
      </c>
      <c r="L1864" s="28">
        <f>DATEDIF(K1864,Zwift25!G$1,"Y")</f>
        <v>77</v>
      </c>
      <c r="M1864" s="67">
        <f>IF(J1864="m",VLOOKUP(L1864,'All Solo Adjustments'!A:D,4,FALSE),VLOOKUP(L1864,'All Solo Adjustments'!A:J,10,FALSE))</f>
        <v>9.3981481481481485E-3</v>
      </c>
      <c r="N1864" s="63"/>
      <c r="O1864" s="63"/>
      <c r="P1864" s="63"/>
      <c r="Q1864" s="63"/>
      <c r="R1864" t="s">
        <v>125</v>
      </c>
      <c r="S1864" t="s">
        <v>170</v>
      </c>
      <c r="T1864" t="s">
        <v>292</v>
      </c>
      <c r="U1864" t="s">
        <v>3923</v>
      </c>
      <c r="V1864" t="s">
        <v>746</v>
      </c>
      <c r="W1864" t="s">
        <v>169</v>
      </c>
      <c r="Y1864" t="s">
        <v>3922</v>
      </c>
      <c r="Z1864" t="str">
        <f>"01502 562775"</f>
        <v>01502 562775</v>
      </c>
      <c r="AA1864" t="str">
        <f>"07951933839"</f>
        <v>07951933839</v>
      </c>
      <c r="AB1864" t="s">
        <v>745</v>
      </c>
      <c r="AC1864" t="s">
        <v>3921</v>
      </c>
      <c r="AD1864" t="s">
        <v>114</v>
      </c>
      <c r="AE1864" s="63">
        <v>45304</v>
      </c>
      <c r="AF1864" t="s">
        <v>113</v>
      </c>
      <c r="AG1864" t="s">
        <v>112</v>
      </c>
      <c r="AH1864" t="s">
        <v>112</v>
      </c>
      <c r="AI1864" s="63">
        <v>39064</v>
      </c>
      <c r="AJ1864" s="63">
        <v>45657</v>
      </c>
      <c r="AK1864" t="s">
        <v>111</v>
      </c>
      <c r="AL1864" t="s">
        <v>111</v>
      </c>
      <c r="AM1864" t="s">
        <v>111</v>
      </c>
      <c r="AN1864">
        <v>3155</v>
      </c>
      <c r="AO1864" t="s">
        <v>110</v>
      </c>
      <c r="AP1864" t="s">
        <v>109</v>
      </c>
    </row>
    <row r="1865" spans="1:42" x14ac:dyDescent="0.25">
      <c r="A1865" s="28" t="str">
        <f>"5946"</f>
        <v>5946</v>
      </c>
      <c r="B1865">
        <v>5946</v>
      </c>
      <c r="C1865" t="s">
        <v>2488</v>
      </c>
      <c r="D1865" t="s">
        <v>121</v>
      </c>
      <c r="E1865" t="s">
        <v>584</v>
      </c>
      <c r="F1865" t="s">
        <v>120</v>
      </c>
      <c r="G1865" t="s">
        <v>2047</v>
      </c>
      <c r="H1865" t="s">
        <v>489</v>
      </c>
      <c r="I1865" t="s">
        <v>3920</v>
      </c>
      <c r="J1865" t="s">
        <v>7</v>
      </c>
      <c r="K1865" s="63">
        <v>24912</v>
      </c>
      <c r="L1865" s="28">
        <f>DATEDIF(K1865,Zwift25!G$1,"Y")</f>
        <v>56</v>
      </c>
      <c r="M1865" s="67">
        <f>IF(J1865="m",VLOOKUP(L1865,'All Solo Adjustments'!A:D,4,FALSE),VLOOKUP(L1865,'All Solo Adjustments'!A:J,10,FALSE))</f>
        <v>2.2685185185185182E-3</v>
      </c>
      <c r="N1865" s="63"/>
      <c r="O1865" s="63"/>
      <c r="P1865" s="63"/>
      <c r="Q1865" s="63"/>
      <c r="R1865" t="s">
        <v>296</v>
      </c>
      <c r="S1865" t="s">
        <v>295</v>
      </c>
      <c r="T1865" t="s">
        <v>292</v>
      </c>
      <c r="U1865" t="s">
        <v>3919</v>
      </c>
      <c r="V1865" t="s">
        <v>3918</v>
      </c>
      <c r="W1865" t="s">
        <v>1645</v>
      </c>
      <c r="Y1865" t="s">
        <v>3917</v>
      </c>
      <c r="Z1865" t="str">
        <f>"01786 475512"</f>
        <v>01786 475512</v>
      </c>
      <c r="AA1865" t="str">
        <f>"07500305919"</f>
        <v>07500305919</v>
      </c>
      <c r="AB1865" t="s">
        <v>1158</v>
      </c>
      <c r="AC1865" t="s">
        <v>3916</v>
      </c>
      <c r="AD1865" t="s">
        <v>114</v>
      </c>
      <c r="AE1865" s="63">
        <v>45354</v>
      </c>
      <c r="AF1865" t="s">
        <v>156</v>
      </c>
      <c r="AG1865" t="s">
        <v>112</v>
      </c>
      <c r="AH1865" t="s">
        <v>112</v>
      </c>
      <c r="AI1865" s="63">
        <v>42558</v>
      </c>
      <c r="AJ1865" s="63">
        <v>45657</v>
      </c>
      <c r="AK1865" t="s">
        <v>111</v>
      </c>
      <c r="AL1865" t="s">
        <v>111</v>
      </c>
      <c r="AM1865" t="s">
        <v>111</v>
      </c>
      <c r="AN1865">
        <v>4594</v>
      </c>
      <c r="AO1865" t="s">
        <v>110</v>
      </c>
      <c r="AP1865" t="s">
        <v>109</v>
      </c>
    </row>
    <row r="1866" spans="1:42" x14ac:dyDescent="0.25">
      <c r="A1866" s="28" t="str">
        <f>"14602"</f>
        <v>14602</v>
      </c>
      <c r="B1866">
        <v>14602</v>
      </c>
      <c r="C1866" t="s">
        <v>2488</v>
      </c>
      <c r="D1866" t="s">
        <v>121</v>
      </c>
      <c r="F1866" t="s">
        <v>120</v>
      </c>
      <c r="G1866" t="s">
        <v>230</v>
      </c>
      <c r="I1866" t="s">
        <v>3915</v>
      </c>
      <c r="J1866" t="s">
        <v>7</v>
      </c>
      <c r="K1866" s="63">
        <v>22539</v>
      </c>
      <c r="L1866" s="28">
        <f>DATEDIF(K1866,Zwift25!G$1,"Y")</f>
        <v>63</v>
      </c>
      <c r="M1866" s="67">
        <f>IF(J1866="m",VLOOKUP(L1866,'All Solo Adjustments'!A:D,4,FALSE),VLOOKUP(L1866,'All Solo Adjustments'!A:J,10,FALSE))</f>
        <v>4.0277777777777777E-3</v>
      </c>
      <c r="N1866" s="63"/>
      <c r="O1866" s="63"/>
      <c r="P1866" s="63"/>
      <c r="Q1866" s="63"/>
      <c r="R1866" t="s">
        <v>137</v>
      </c>
      <c r="S1866" t="s">
        <v>136</v>
      </c>
      <c r="T1866" t="s">
        <v>292</v>
      </c>
      <c r="U1866" t="s">
        <v>3914</v>
      </c>
      <c r="V1866" t="s">
        <v>3913</v>
      </c>
      <c r="W1866" t="s">
        <v>3913</v>
      </c>
      <c r="X1866" t="s">
        <v>564</v>
      </c>
      <c r="Y1866" t="s">
        <v>3912</v>
      </c>
      <c r="Z1866" t="str">
        <f>"07585319154"</f>
        <v>07585319154</v>
      </c>
      <c r="AA1866" t="str">
        <f>""</f>
        <v/>
      </c>
      <c r="AB1866" t="s">
        <v>628</v>
      </c>
      <c r="AC1866" t="s">
        <v>3911</v>
      </c>
      <c r="AD1866" t="s">
        <v>114</v>
      </c>
      <c r="AE1866" s="63">
        <v>45338</v>
      </c>
      <c r="AF1866" t="s">
        <v>156</v>
      </c>
      <c r="AG1866" t="s">
        <v>112</v>
      </c>
      <c r="AH1866" t="s">
        <v>112</v>
      </c>
      <c r="AI1866" s="63">
        <v>44028</v>
      </c>
      <c r="AJ1866" s="63">
        <v>45657</v>
      </c>
      <c r="AK1866" t="s">
        <v>112</v>
      </c>
      <c r="AL1866" t="s">
        <v>111</v>
      </c>
      <c r="AM1866" t="s">
        <v>111</v>
      </c>
      <c r="AN1866">
        <v>34310</v>
      </c>
      <c r="AO1866" t="s">
        <v>110</v>
      </c>
      <c r="AP1866" t="s">
        <v>109</v>
      </c>
    </row>
    <row r="1867" spans="1:42" x14ac:dyDescent="0.25">
      <c r="A1867" s="28" t="str">
        <f>"2354"</f>
        <v>2354</v>
      </c>
      <c r="B1867">
        <v>2354</v>
      </c>
      <c r="C1867" t="s">
        <v>2488</v>
      </c>
      <c r="D1867" t="s">
        <v>121</v>
      </c>
      <c r="F1867" t="s">
        <v>120</v>
      </c>
      <c r="G1867" t="s">
        <v>481</v>
      </c>
      <c r="H1867" t="s">
        <v>112</v>
      </c>
      <c r="I1867" t="s">
        <v>3910</v>
      </c>
      <c r="J1867" t="s">
        <v>7</v>
      </c>
      <c r="K1867" s="63">
        <v>13658</v>
      </c>
      <c r="L1867" s="28">
        <f>DATEDIF(K1867,Zwift25!G$1,"Y")</f>
        <v>87</v>
      </c>
      <c r="M1867" s="67">
        <f>IF(J1867="m",VLOOKUP(L1867,'All Solo Adjustments'!A:D,4,FALSE),VLOOKUP(L1867,'All Solo Adjustments'!A:J,10,FALSE))</f>
        <v>1.576388888888889E-2</v>
      </c>
      <c r="N1867" s="63"/>
      <c r="O1867" s="63"/>
      <c r="P1867" s="63"/>
      <c r="Q1867" s="63"/>
      <c r="R1867" t="s">
        <v>143</v>
      </c>
      <c r="S1867" t="s">
        <v>487</v>
      </c>
      <c r="T1867" t="s">
        <v>292</v>
      </c>
      <c r="U1867" t="s">
        <v>3909</v>
      </c>
      <c r="V1867" t="s">
        <v>909</v>
      </c>
      <c r="W1867" t="s">
        <v>141</v>
      </c>
      <c r="Y1867" t="s">
        <v>3908</v>
      </c>
      <c r="Z1867" t="str">
        <f>"01372 722652"</f>
        <v>01372 722652</v>
      </c>
      <c r="AA1867" t="str">
        <f>""</f>
        <v/>
      </c>
      <c r="AB1867" t="s">
        <v>928</v>
      </c>
      <c r="AC1867" t="s">
        <v>3907</v>
      </c>
      <c r="AD1867" t="s">
        <v>151</v>
      </c>
      <c r="AF1867" t="s">
        <v>113</v>
      </c>
      <c r="AG1867" t="s">
        <v>112</v>
      </c>
      <c r="AH1867" t="s">
        <v>112</v>
      </c>
      <c r="AI1867" s="63">
        <v>28126</v>
      </c>
      <c r="AK1867" t="s">
        <v>111</v>
      </c>
      <c r="AL1867" t="s">
        <v>111</v>
      </c>
      <c r="AM1867" t="s">
        <v>111</v>
      </c>
      <c r="AN1867" t="s">
        <v>105</v>
      </c>
      <c r="AO1867" t="s">
        <v>110</v>
      </c>
      <c r="AP1867" t="s">
        <v>109</v>
      </c>
    </row>
    <row r="1868" spans="1:42" x14ac:dyDescent="0.25">
      <c r="A1868" s="28" t="str">
        <f>"2356"</f>
        <v>2356</v>
      </c>
      <c r="B1868">
        <v>2356</v>
      </c>
      <c r="C1868" t="s">
        <v>2488</v>
      </c>
      <c r="D1868" t="s">
        <v>121</v>
      </c>
      <c r="F1868" t="s">
        <v>120</v>
      </c>
      <c r="G1868" t="s">
        <v>1847</v>
      </c>
      <c r="I1868" t="s">
        <v>1271</v>
      </c>
      <c r="J1868" t="s">
        <v>7</v>
      </c>
      <c r="K1868" s="63">
        <v>8130</v>
      </c>
      <c r="L1868" s="28">
        <f>DATEDIF(K1868,Zwift25!G$1,"Y")</f>
        <v>102</v>
      </c>
      <c r="M1868" s="67" t="e">
        <f>IF(J1868="m",VLOOKUP(L1868,'All Solo Adjustments'!A:D,4,FALSE),VLOOKUP(L1868,'All Solo Adjustments'!A:J,10,FALSE))</f>
        <v>#N/A</v>
      </c>
      <c r="N1868" s="63"/>
      <c r="O1868" s="63"/>
      <c r="P1868" s="63"/>
      <c r="Q1868" s="63"/>
      <c r="R1868" t="s">
        <v>184</v>
      </c>
      <c r="S1868" t="s">
        <v>835</v>
      </c>
      <c r="T1868" t="s">
        <v>292</v>
      </c>
      <c r="U1868" t="s">
        <v>3906</v>
      </c>
      <c r="V1868" t="s">
        <v>3905</v>
      </c>
      <c r="W1868" t="s">
        <v>3904</v>
      </c>
      <c r="X1868" t="s">
        <v>152</v>
      </c>
      <c r="Y1868" t="s">
        <v>3903</v>
      </c>
      <c r="Z1868" t="str">
        <f>"01458 832651"</f>
        <v>01458 832651</v>
      </c>
      <c r="AA1868" t="str">
        <f>""</f>
        <v/>
      </c>
      <c r="AB1868" t="s">
        <v>2343</v>
      </c>
      <c r="AD1868" t="s">
        <v>151</v>
      </c>
      <c r="AF1868" t="s">
        <v>113</v>
      </c>
      <c r="AG1868" t="s">
        <v>112</v>
      </c>
      <c r="AH1868" t="s">
        <v>112</v>
      </c>
      <c r="AK1868" t="s">
        <v>111</v>
      </c>
      <c r="AL1868" t="s">
        <v>111</v>
      </c>
      <c r="AM1868" t="s">
        <v>111</v>
      </c>
      <c r="AN1868" t="s">
        <v>105</v>
      </c>
      <c r="AO1868" t="s">
        <v>110</v>
      </c>
      <c r="AP1868" t="s">
        <v>109</v>
      </c>
    </row>
    <row r="1869" spans="1:42" x14ac:dyDescent="0.25">
      <c r="A1869" s="28" t="str">
        <f>"15140"</f>
        <v>15140</v>
      </c>
      <c r="B1869">
        <v>15140</v>
      </c>
      <c r="C1869" t="s">
        <v>2488</v>
      </c>
      <c r="D1869" t="s">
        <v>121</v>
      </c>
      <c r="F1869" t="s">
        <v>120</v>
      </c>
      <c r="G1869" t="s">
        <v>300</v>
      </c>
      <c r="I1869" t="s">
        <v>3902</v>
      </c>
      <c r="J1869" t="s">
        <v>7</v>
      </c>
      <c r="K1869" s="63">
        <v>25201</v>
      </c>
      <c r="L1869" s="28">
        <f>DATEDIF(K1869,Zwift25!G$1,"Y")</f>
        <v>55</v>
      </c>
      <c r="M1869" s="67">
        <f>IF(J1869="m",VLOOKUP(L1869,'All Solo Adjustments'!A:D,4,FALSE),VLOOKUP(L1869,'All Solo Adjustments'!A:J,10,FALSE))</f>
        <v>2.0601851851851853E-3</v>
      </c>
      <c r="N1869" s="63"/>
      <c r="O1869" s="63"/>
      <c r="P1869" s="63"/>
      <c r="Q1869" s="63"/>
      <c r="R1869" t="s">
        <v>239</v>
      </c>
      <c r="S1869" t="s">
        <v>274</v>
      </c>
      <c r="T1869" t="s">
        <v>292</v>
      </c>
      <c r="U1869" t="s">
        <v>3901</v>
      </c>
      <c r="V1869" t="s">
        <v>3900</v>
      </c>
      <c r="W1869" t="s">
        <v>3899</v>
      </c>
      <c r="X1869" t="s">
        <v>869</v>
      </c>
      <c r="Y1869" t="s">
        <v>3898</v>
      </c>
      <c r="Z1869" t="str">
        <f>"07595162432"</f>
        <v>07595162432</v>
      </c>
      <c r="AA1869" t="str">
        <f>""</f>
        <v/>
      </c>
      <c r="AB1869" t="s">
        <v>1080</v>
      </c>
      <c r="AC1869" t="s">
        <v>3897</v>
      </c>
      <c r="AD1869" t="s">
        <v>114</v>
      </c>
      <c r="AE1869" s="63">
        <v>45363</v>
      </c>
      <c r="AF1869" t="s">
        <v>156</v>
      </c>
      <c r="AG1869" t="s">
        <v>112</v>
      </c>
      <c r="AH1869" t="s">
        <v>112</v>
      </c>
      <c r="AI1869" s="63">
        <v>44375</v>
      </c>
      <c r="AJ1869" s="63">
        <v>45657</v>
      </c>
      <c r="AK1869" t="s">
        <v>112</v>
      </c>
      <c r="AL1869" t="s">
        <v>111</v>
      </c>
      <c r="AM1869" t="s">
        <v>111</v>
      </c>
      <c r="AN1869">
        <v>28012</v>
      </c>
      <c r="AO1869" t="s">
        <v>110</v>
      </c>
      <c r="AP1869" t="s">
        <v>109</v>
      </c>
    </row>
    <row r="1870" spans="1:42" x14ac:dyDescent="0.25">
      <c r="A1870" s="28" t="str">
        <f>"5918"</f>
        <v>5918</v>
      </c>
      <c r="B1870">
        <v>5918</v>
      </c>
      <c r="C1870" t="s">
        <v>2488</v>
      </c>
      <c r="D1870" t="s">
        <v>121</v>
      </c>
      <c r="F1870" t="s">
        <v>120</v>
      </c>
      <c r="G1870" t="s">
        <v>231</v>
      </c>
      <c r="I1870" t="s">
        <v>3896</v>
      </c>
      <c r="J1870" t="s">
        <v>7</v>
      </c>
      <c r="K1870" s="63">
        <v>26989</v>
      </c>
      <c r="L1870" s="28">
        <f>DATEDIF(K1870,Zwift25!G$1,"Y")</f>
        <v>50</v>
      </c>
      <c r="M1870" s="67">
        <f>IF(J1870="m",VLOOKUP(L1870,'All Solo Adjustments'!A:D,4,FALSE),VLOOKUP(L1870,'All Solo Adjustments'!A:J,10,FALSE))</f>
        <v>1.1342592592592591E-3</v>
      </c>
      <c r="N1870" s="63"/>
      <c r="O1870" s="63"/>
      <c r="P1870" s="63"/>
      <c r="Q1870" s="63"/>
      <c r="R1870" t="s">
        <v>125</v>
      </c>
      <c r="S1870" t="s">
        <v>170</v>
      </c>
      <c r="T1870" t="s">
        <v>292</v>
      </c>
      <c r="U1870" t="s">
        <v>3895</v>
      </c>
      <c r="V1870" t="s">
        <v>167</v>
      </c>
      <c r="W1870" t="s">
        <v>167</v>
      </c>
      <c r="Y1870" t="s">
        <v>3894</v>
      </c>
      <c r="Z1870" t="str">
        <f>"07707547179"</f>
        <v>07707547179</v>
      </c>
      <c r="AA1870" t="str">
        <f>""</f>
        <v/>
      </c>
      <c r="AB1870" t="s">
        <v>301</v>
      </c>
      <c r="AC1870" t="s">
        <v>3893</v>
      </c>
      <c r="AD1870" t="s">
        <v>145</v>
      </c>
      <c r="AE1870" s="63">
        <v>45300</v>
      </c>
      <c r="AF1870" t="s">
        <v>156</v>
      </c>
      <c r="AG1870" t="s">
        <v>112</v>
      </c>
      <c r="AH1870" t="s">
        <v>112</v>
      </c>
      <c r="AI1870" s="63">
        <v>42551</v>
      </c>
      <c r="AJ1870" s="63">
        <v>45657</v>
      </c>
      <c r="AK1870" t="s">
        <v>111</v>
      </c>
      <c r="AL1870" t="s">
        <v>111</v>
      </c>
      <c r="AM1870" t="s">
        <v>111</v>
      </c>
      <c r="AN1870">
        <v>4772</v>
      </c>
      <c r="AO1870" t="s">
        <v>110</v>
      </c>
      <c r="AP1870" t="s">
        <v>109</v>
      </c>
    </row>
    <row r="1871" spans="1:42" x14ac:dyDescent="0.25">
      <c r="A1871" s="28" t="str">
        <f>"6084"</f>
        <v>6084</v>
      </c>
      <c r="B1871">
        <v>6084</v>
      </c>
      <c r="C1871" t="s">
        <v>2488</v>
      </c>
      <c r="D1871" t="s">
        <v>121</v>
      </c>
      <c r="E1871" t="s">
        <v>584</v>
      </c>
      <c r="F1871" t="s">
        <v>120</v>
      </c>
      <c r="G1871" t="s">
        <v>761</v>
      </c>
      <c r="H1871" t="s">
        <v>506</v>
      </c>
      <c r="I1871" t="s">
        <v>1265</v>
      </c>
      <c r="J1871" t="s">
        <v>7</v>
      </c>
      <c r="K1871" s="63">
        <v>19946</v>
      </c>
      <c r="L1871" s="28">
        <f>DATEDIF(K1871,Zwift25!G$1,"Y")</f>
        <v>70</v>
      </c>
      <c r="M1871" s="67">
        <f>IF(J1871="m",VLOOKUP(L1871,'All Solo Adjustments'!A:D,4,FALSE),VLOOKUP(L1871,'All Solo Adjustments'!A:J,10,FALSE))</f>
        <v>6.3425925925925924E-3</v>
      </c>
      <c r="N1871" s="63"/>
      <c r="O1871" s="63"/>
      <c r="P1871" s="63"/>
      <c r="Q1871" s="63"/>
      <c r="R1871" t="s">
        <v>154</v>
      </c>
      <c r="S1871" t="s">
        <v>153</v>
      </c>
      <c r="T1871" t="s">
        <v>292</v>
      </c>
      <c r="U1871" t="s">
        <v>3892</v>
      </c>
      <c r="V1871" t="s">
        <v>3891</v>
      </c>
      <c r="W1871" t="s">
        <v>669</v>
      </c>
      <c r="Y1871" t="s">
        <v>3890</v>
      </c>
      <c r="Z1871" t="str">
        <f>"07739 379630"</f>
        <v>07739 379630</v>
      </c>
      <c r="AA1871" t="str">
        <f>""</f>
        <v/>
      </c>
      <c r="AB1871" t="s">
        <v>629</v>
      </c>
      <c r="AC1871" t="s">
        <v>3889</v>
      </c>
      <c r="AD1871" t="s">
        <v>114</v>
      </c>
      <c r="AE1871" s="63">
        <v>45292</v>
      </c>
      <c r="AF1871" t="s">
        <v>156</v>
      </c>
      <c r="AG1871" t="s">
        <v>112</v>
      </c>
      <c r="AH1871" t="s">
        <v>112</v>
      </c>
      <c r="AI1871" s="63">
        <v>42744</v>
      </c>
      <c r="AJ1871" s="63">
        <v>45657</v>
      </c>
      <c r="AK1871" t="s">
        <v>111</v>
      </c>
      <c r="AL1871" t="s">
        <v>111</v>
      </c>
      <c r="AM1871" t="s">
        <v>111</v>
      </c>
      <c r="AN1871">
        <v>4768</v>
      </c>
      <c r="AO1871" t="s">
        <v>110</v>
      </c>
      <c r="AP1871" t="s">
        <v>109</v>
      </c>
    </row>
    <row r="1872" spans="1:42" x14ac:dyDescent="0.25">
      <c r="A1872" s="28" t="str">
        <f>"5974"</f>
        <v>5974</v>
      </c>
      <c r="B1872">
        <v>5974</v>
      </c>
      <c r="C1872" t="s">
        <v>2488</v>
      </c>
      <c r="D1872" t="s">
        <v>121</v>
      </c>
      <c r="F1872" t="s">
        <v>120</v>
      </c>
      <c r="G1872" t="s">
        <v>165</v>
      </c>
      <c r="H1872" t="s">
        <v>164</v>
      </c>
      <c r="I1872" t="s">
        <v>1265</v>
      </c>
      <c r="J1872" t="s">
        <v>7</v>
      </c>
      <c r="K1872" s="63">
        <v>22140</v>
      </c>
      <c r="L1872" s="28">
        <f>DATEDIF(K1872,Zwift25!G$1,"Y")</f>
        <v>64</v>
      </c>
      <c r="M1872" s="67">
        <f>IF(J1872="m",VLOOKUP(L1872,'All Solo Adjustments'!A:D,4,FALSE),VLOOKUP(L1872,'All Solo Adjustments'!A:J,10,FALSE))</f>
        <v>4.31712962962963E-3</v>
      </c>
      <c r="N1872" s="63"/>
      <c r="O1872" s="63"/>
      <c r="P1872" s="63"/>
      <c r="Q1872" s="63"/>
      <c r="R1872" t="s">
        <v>239</v>
      </c>
      <c r="S1872" t="s">
        <v>238</v>
      </c>
      <c r="T1872" t="s">
        <v>292</v>
      </c>
      <c r="U1872" t="s">
        <v>454</v>
      </c>
      <c r="V1872" t="s">
        <v>453</v>
      </c>
      <c r="W1872" t="s">
        <v>452</v>
      </c>
      <c r="Y1872" t="s">
        <v>451</v>
      </c>
      <c r="Z1872" t="str">
        <f>"07533654751"</f>
        <v>07533654751</v>
      </c>
      <c r="AA1872" t="str">
        <f>""</f>
        <v/>
      </c>
      <c r="AB1872" t="s">
        <v>450</v>
      </c>
      <c r="AC1872" t="s">
        <v>3888</v>
      </c>
      <c r="AD1872" t="s">
        <v>114</v>
      </c>
      <c r="AE1872" s="63">
        <v>45297</v>
      </c>
      <c r="AF1872" t="s">
        <v>113</v>
      </c>
      <c r="AG1872" t="s">
        <v>112</v>
      </c>
      <c r="AH1872" t="s">
        <v>112</v>
      </c>
      <c r="AI1872" s="63">
        <v>42608</v>
      </c>
      <c r="AJ1872" s="63">
        <v>45657</v>
      </c>
      <c r="AK1872" t="s">
        <v>111</v>
      </c>
      <c r="AL1872" t="s">
        <v>111</v>
      </c>
      <c r="AM1872" t="s">
        <v>111</v>
      </c>
      <c r="AN1872">
        <v>9038</v>
      </c>
      <c r="AO1872" t="s">
        <v>110</v>
      </c>
      <c r="AP1872" t="s">
        <v>109</v>
      </c>
    </row>
    <row r="1873" spans="1:42" x14ac:dyDescent="0.25">
      <c r="A1873" s="28" t="str">
        <f>"15325"</f>
        <v>15325</v>
      </c>
      <c r="B1873">
        <v>15325</v>
      </c>
      <c r="C1873" t="s">
        <v>2488</v>
      </c>
      <c r="D1873" t="s">
        <v>121</v>
      </c>
      <c r="F1873" t="s">
        <v>149</v>
      </c>
      <c r="G1873" t="s">
        <v>456</v>
      </c>
      <c r="H1873" t="s">
        <v>455</v>
      </c>
      <c r="I1873" t="s">
        <v>1265</v>
      </c>
      <c r="J1873" t="s">
        <v>126</v>
      </c>
      <c r="K1873" s="63">
        <v>25218</v>
      </c>
      <c r="L1873" s="28">
        <f>DATEDIF(K1873,Zwift25!G$1,"Y")</f>
        <v>55</v>
      </c>
      <c r="M1873" s="67">
        <f>IF(J1873="m",VLOOKUP(L1873,'All Solo Adjustments'!A:D,4,FALSE),VLOOKUP(L1873,'All Solo Adjustments'!A:J,10,FALSE))</f>
        <v>5.6597222222222222E-3</v>
      </c>
      <c r="N1873" s="63"/>
      <c r="O1873" s="63"/>
      <c r="P1873" s="63"/>
      <c r="Q1873" s="63"/>
      <c r="R1873" t="s">
        <v>239</v>
      </c>
      <c r="S1873" t="s">
        <v>238</v>
      </c>
      <c r="T1873" t="s">
        <v>292</v>
      </c>
      <c r="U1873" t="s">
        <v>3887</v>
      </c>
      <c r="V1873" t="s">
        <v>453</v>
      </c>
      <c r="W1873" t="s">
        <v>452</v>
      </c>
      <c r="X1873" t="s">
        <v>960</v>
      </c>
      <c r="Y1873" t="s">
        <v>451</v>
      </c>
      <c r="Z1873" t="str">
        <f>"07971379679"</f>
        <v>07971379679</v>
      </c>
      <c r="AA1873" t="str">
        <f>""</f>
        <v/>
      </c>
      <c r="AB1873" t="s">
        <v>450</v>
      </c>
      <c r="AC1873" t="s">
        <v>3886</v>
      </c>
      <c r="AD1873" t="s">
        <v>114</v>
      </c>
      <c r="AE1873" s="63">
        <v>45297</v>
      </c>
      <c r="AF1873" t="s">
        <v>113</v>
      </c>
      <c r="AG1873" t="s">
        <v>111</v>
      </c>
      <c r="AH1873" t="s">
        <v>111</v>
      </c>
      <c r="AI1873" s="63">
        <v>44566</v>
      </c>
      <c r="AJ1873" s="63">
        <v>45657</v>
      </c>
      <c r="AK1873" t="s">
        <v>112</v>
      </c>
      <c r="AL1873" t="s">
        <v>111</v>
      </c>
      <c r="AM1873" t="s">
        <v>111</v>
      </c>
      <c r="AN1873">
        <v>33190</v>
      </c>
      <c r="AO1873" t="s">
        <v>122</v>
      </c>
      <c r="AP1873" t="s">
        <v>122</v>
      </c>
    </row>
    <row r="1874" spans="1:42" x14ac:dyDescent="0.25">
      <c r="A1874" s="28" t="str">
        <f>"14475"</f>
        <v>14475</v>
      </c>
      <c r="B1874">
        <v>14475</v>
      </c>
      <c r="C1874" t="s">
        <v>2488</v>
      </c>
      <c r="D1874" t="s">
        <v>121</v>
      </c>
      <c r="E1874" t="s">
        <v>584</v>
      </c>
      <c r="F1874" t="s">
        <v>120</v>
      </c>
      <c r="G1874" t="s">
        <v>221</v>
      </c>
      <c r="H1874" t="s">
        <v>195</v>
      </c>
      <c r="I1874" t="s">
        <v>3885</v>
      </c>
      <c r="J1874" t="s">
        <v>7</v>
      </c>
      <c r="K1874" s="63">
        <v>26757</v>
      </c>
      <c r="L1874" s="28">
        <f>DATEDIF(K1874,Zwift25!G$1,"Y")</f>
        <v>51</v>
      </c>
      <c r="M1874" s="67">
        <f>IF(J1874="m",VLOOKUP(L1874,'All Solo Adjustments'!A:D,4,FALSE),VLOOKUP(L1874,'All Solo Adjustments'!A:J,10,FALSE))</f>
        <v>1.3078703703703703E-3</v>
      </c>
      <c r="N1874" s="63"/>
      <c r="O1874" s="63"/>
      <c r="P1874" s="63"/>
      <c r="Q1874" s="63"/>
      <c r="R1874" t="s">
        <v>137</v>
      </c>
      <c r="S1874" t="s">
        <v>136</v>
      </c>
      <c r="T1874" t="s">
        <v>292</v>
      </c>
      <c r="U1874" t="s">
        <v>3884</v>
      </c>
      <c r="V1874" t="s">
        <v>2409</v>
      </c>
      <c r="W1874" t="s">
        <v>1217</v>
      </c>
      <c r="X1874" t="s">
        <v>564</v>
      </c>
      <c r="Y1874" t="s">
        <v>3883</v>
      </c>
      <c r="Z1874" t="str">
        <f>"07305603776"</f>
        <v>07305603776</v>
      </c>
      <c r="AA1874" t="str">
        <f>""</f>
        <v/>
      </c>
      <c r="AB1874" t="s">
        <v>357</v>
      </c>
      <c r="AC1874" t="s">
        <v>3882</v>
      </c>
      <c r="AD1874" t="s">
        <v>114</v>
      </c>
      <c r="AE1874" s="63">
        <v>45307</v>
      </c>
      <c r="AF1874" t="s">
        <v>113</v>
      </c>
      <c r="AG1874" t="s">
        <v>112</v>
      </c>
      <c r="AH1874" t="s">
        <v>112</v>
      </c>
      <c r="AI1874" s="63">
        <v>43870</v>
      </c>
      <c r="AJ1874" s="63">
        <v>45657</v>
      </c>
      <c r="AK1874" t="s">
        <v>112</v>
      </c>
      <c r="AL1874" t="s">
        <v>111</v>
      </c>
      <c r="AM1874" t="s">
        <v>111</v>
      </c>
      <c r="AN1874">
        <v>17744</v>
      </c>
      <c r="AO1874" t="s">
        <v>110</v>
      </c>
      <c r="AP1874" t="s">
        <v>109</v>
      </c>
    </row>
    <row r="1875" spans="1:42" x14ac:dyDescent="0.25">
      <c r="A1875" s="28" t="str">
        <f>"6200"</f>
        <v>6200</v>
      </c>
      <c r="B1875">
        <v>6200</v>
      </c>
      <c r="C1875" t="s">
        <v>2488</v>
      </c>
      <c r="D1875" t="s">
        <v>121</v>
      </c>
      <c r="F1875" t="s">
        <v>120</v>
      </c>
      <c r="G1875" t="s">
        <v>348</v>
      </c>
      <c r="I1875" t="s">
        <v>3881</v>
      </c>
      <c r="J1875" t="s">
        <v>7</v>
      </c>
      <c r="K1875" s="63">
        <v>26361</v>
      </c>
      <c r="L1875" s="28">
        <f>DATEDIF(K1875,Zwift25!G$1,"Y")</f>
        <v>52</v>
      </c>
      <c r="M1875" s="67">
        <f>IF(J1875="m",VLOOKUP(L1875,'All Solo Adjustments'!A:D,4,FALSE),VLOOKUP(L1875,'All Solo Adjustments'!A:J,10,FALSE))</f>
        <v>1.4814814814814816E-3</v>
      </c>
      <c r="N1875" s="63"/>
      <c r="O1875" s="63"/>
      <c r="P1875" s="63"/>
      <c r="Q1875" s="63"/>
      <c r="R1875" t="s">
        <v>180</v>
      </c>
      <c r="S1875" t="s">
        <v>179</v>
      </c>
      <c r="T1875" t="s">
        <v>292</v>
      </c>
      <c r="U1875" t="s">
        <v>3880</v>
      </c>
      <c r="V1875" t="s">
        <v>3879</v>
      </c>
      <c r="W1875" t="s">
        <v>259</v>
      </c>
      <c r="Y1875" t="s">
        <v>3878</v>
      </c>
      <c r="Z1875" t="str">
        <f>"07775 724835"</f>
        <v>07775 724835</v>
      </c>
      <c r="AA1875" t="str">
        <f>""</f>
        <v/>
      </c>
      <c r="AB1875" t="s">
        <v>3877</v>
      </c>
      <c r="AC1875" t="s">
        <v>3876</v>
      </c>
      <c r="AD1875" t="s">
        <v>114</v>
      </c>
      <c r="AE1875" s="63">
        <v>45262</v>
      </c>
      <c r="AF1875" t="s">
        <v>156</v>
      </c>
      <c r="AG1875" t="s">
        <v>112</v>
      </c>
      <c r="AH1875" t="s">
        <v>112</v>
      </c>
      <c r="AI1875" s="63">
        <v>42834</v>
      </c>
      <c r="AJ1875" s="63">
        <v>45657</v>
      </c>
      <c r="AK1875" t="s">
        <v>111</v>
      </c>
      <c r="AL1875" t="s">
        <v>111</v>
      </c>
      <c r="AM1875" t="s">
        <v>111</v>
      </c>
      <c r="AN1875">
        <v>6916</v>
      </c>
      <c r="AO1875" t="s">
        <v>110</v>
      </c>
      <c r="AP1875" t="s">
        <v>109</v>
      </c>
    </row>
    <row r="1876" spans="1:42" x14ac:dyDescent="0.25">
      <c r="A1876" s="28" t="str">
        <f>"16102"</f>
        <v>16102</v>
      </c>
      <c r="B1876">
        <v>16102</v>
      </c>
      <c r="C1876" t="s">
        <v>2488</v>
      </c>
      <c r="D1876" t="s">
        <v>121</v>
      </c>
      <c r="F1876" t="s">
        <v>120</v>
      </c>
      <c r="G1876" t="s">
        <v>185</v>
      </c>
      <c r="I1876" t="s">
        <v>3875</v>
      </c>
      <c r="J1876" t="s">
        <v>7</v>
      </c>
      <c r="K1876" s="63">
        <v>23776</v>
      </c>
      <c r="L1876" s="28">
        <f>DATEDIF(K1876,Zwift25!G$1,"Y")</f>
        <v>59</v>
      </c>
      <c r="M1876" s="67">
        <f>IF(J1876="m",VLOOKUP(L1876,'All Solo Adjustments'!A:D,4,FALSE),VLOOKUP(L1876,'All Solo Adjustments'!A:J,10,FALSE))</f>
        <v>2.9629629629629632E-3</v>
      </c>
      <c r="N1876" s="63"/>
      <c r="O1876" s="63"/>
      <c r="P1876" s="63"/>
      <c r="Q1876" s="63"/>
      <c r="R1876" t="s">
        <v>328</v>
      </c>
      <c r="S1876" t="s">
        <v>327</v>
      </c>
      <c r="T1876" t="s">
        <v>292</v>
      </c>
      <c r="U1876">
        <v>12</v>
      </c>
      <c r="V1876" t="s">
        <v>3874</v>
      </c>
      <c r="W1876" t="s">
        <v>3873</v>
      </c>
      <c r="X1876" t="s">
        <v>1468</v>
      </c>
      <c r="Y1876" t="s">
        <v>3872</v>
      </c>
      <c r="Z1876" t="str">
        <f>"07761577675"</f>
        <v>07761577675</v>
      </c>
      <c r="AA1876" t="str">
        <f>""</f>
        <v/>
      </c>
      <c r="AB1876" t="s">
        <v>408</v>
      </c>
      <c r="AC1876" t="s">
        <v>3871</v>
      </c>
      <c r="AD1876" t="s">
        <v>114</v>
      </c>
      <c r="AE1876" s="63">
        <v>45397</v>
      </c>
      <c r="AF1876" t="s">
        <v>113</v>
      </c>
      <c r="AG1876" t="s">
        <v>112</v>
      </c>
      <c r="AH1876" t="s">
        <v>112</v>
      </c>
      <c r="AI1876" s="63">
        <v>45397</v>
      </c>
      <c r="AJ1876" s="63">
        <v>45657</v>
      </c>
      <c r="AK1876" t="s">
        <v>112</v>
      </c>
      <c r="AL1876" t="s">
        <v>111</v>
      </c>
      <c r="AM1876" t="s">
        <v>111</v>
      </c>
      <c r="AN1876">
        <v>5360</v>
      </c>
      <c r="AO1876" t="s">
        <v>110</v>
      </c>
      <c r="AP1876" t="s">
        <v>109</v>
      </c>
    </row>
    <row r="1877" spans="1:42" x14ac:dyDescent="0.25">
      <c r="A1877" s="28" t="str">
        <f>"2365"</f>
        <v>2365</v>
      </c>
      <c r="B1877">
        <v>2365</v>
      </c>
      <c r="C1877" t="s">
        <v>2488</v>
      </c>
      <c r="D1877" t="s">
        <v>121</v>
      </c>
      <c r="F1877" t="s">
        <v>120</v>
      </c>
      <c r="G1877" t="s">
        <v>481</v>
      </c>
      <c r="I1877" t="s">
        <v>1263</v>
      </c>
      <c r="J1877" t="s">
        <v>7</v>
      </c>
      <c r="K1877" s="63">
        <v>13644</v>
      </c>
      <c r="L1877" s="28">
        <f>DATEDIF(K1877,Zwift25!G$1,"Y")</f>
        <v>87</v>
      </c>
      <c r="M1877" s="67">
        <f>IF(J1877="m",VLOOKUP(L1877,'All Solo Adjustments'!A:D,4,FALSE),VLOOKUP(L1877,'All Solo Adjustments'!A:J,10,FALSE))</f>
        <v>1.576388888888889E-2</v>
      </c>
      <c r="N1877" s="63"/>
      <c r="O1877" s="63"/>
      <c r="P1877" s="63"/>
      <c r="Q1877" s="63"/>
      <c r="R1877" t="s">
        <v>184</v>
      </c>
      <c r="S1877" t="s">
        <v>835</v>
      </c>
      <c r="T1877" t="s">
        <v>292</v>
      </c>
      <c r="U1877" t="s">
        <v>3870</v>
      </c>
      <c r="V1877" t="s">
        <v>3869</v>
      </c>
      <c r="W1877" t="s">
        <v>828</v>
      </c>
      <c r="Y1877" t="s">
        <v>3868</v>
      </c>
      <c r="Z1877" t="str">
        <f>"01582 661077"</f>
        <v>01582 661077</v>
      </c>
      <c r="AA1877" t="str">
        <f>"Mob 07743585929"</f>
        <v>Mob 07743585929</v>
      </c>
      <c r="AB1877" t="s">
        <v>1057</v>
      </c>
      <c r="AC1877" t="s">
        <v>3867</v>
      </c>
      <c r="AD1877" t="s">
        <v>151</v>
      </c>
      <c r="AF1877" t="s">
        <v>113</v>
      </c>
      <c r="AG1877" t="s">
        <v>112</v>
      </c>
      <c r="AH1877" t="s">
        <v>112</v>
      </c>
      <c r="AI1877" s="63">
        <v>28522</v>
      </c>
      <c r="AK1877" t="s">
        <v>111</v>
      </c>
      <c r="AL1877" t="s">
        <v>111</v>
      </c>
      <c r="AM1877" t="s">
        <v>111</v>
      </c>
      <c r="AN1877" t="s">
        <v>105</v>
      </c>
      <c r="AO1877" t="s">
        <v>110</v>
      </c>
      <c r="AP1877" t="s">
        <v>109</v>
      </c>
    </row>
    <row r="1878" spans="1:42" x14ac:dyDescent="0.25">
      <c r="A1878" s="28" t="str">
        <f>"2366"</f>
        <v>2366</v>
      </c>
      <c r="B1878">
        <v>2366</v>
      </c>
      <c r="C1878" t="s">
        <v>2488</v>
      </c>
      <c r="D1878" t="s">
        <v>121</v>
      </c>
      <c r="F1878" t="s">
        <v>120</v>
      </c>
      <c r="G1878" t="s">
        <v>649</v>
      </c>
      <c r="I1878" t="s">
        <v>1262</v>
      </c>
      <c r="J1878" t="s">
        <v>7</v>
      </c>
      <c r="K1878" s="63">
        <v>12317</v>
      </c>
      <c r="L1878" s="28">
        <f>DATEDIF(K1878,Zwift25!G$1,"Y")</f>
        <v>91</v>
      </c>
      <c r="M1878" s="67">
        <f>IF(J1878="m",VLOOKUP(L1878,'All Solo Adjustments'!A:D,4,FALSE),VLOOKUP(L1878,'All Solo Adjustments'!A:J,10,FALSE))</f>
        <v>1.9363425925925926E-2</v>
      </c>
      <c r="N1878" s="63"/>
      <c r="O1878" s="63"/>
      <c r="P1878" s="63"/>
      <c r="Q1878" s="63"/>
      <c r="R1878" t="s">
        <v>125</v>
      </c>
      <c r="S1878" t="s">
        <v>484</v>
      </c>
      <c r="T1878" t="s">
        <v>292</v>
      </c>
      <c r="U1878" t="s">
        <v>2333</v>
      </c>
      <c r="V1878" t="s">
        <v>303</v>
      </c>
      <c r="W1878" t="s">
        <v>193</v>
      </c>
      <c r="Y1878" t="s">
        <v>2332</v>
      </c>
      <c r="Z1878" t="str">
        <f>"01603 455793"</f>
        <v>01603 455793</v>
      </c>
      <c r="AA1878" t="str">
        <f>""</f>
        <v/>
      </c>
      <c r="AB1878" t="s">
        <v>2331</v>
      </c>
      <c r="AC1878" t="s">
        <v>2330</v>
      </c>
      <c r="AD1878" t="s">
        <v>151</v>
      </c>
      <c r="AF1878" t="s">
        <v>113</v>
      </c>
      <c r="AG1878" t="s">
        <v>112</v>
      </c>
      <c r="AH1878" t="s">
        <v>112</v>
      </c>
      <c r="AI1878" s="63">
        <v>27057</v>
      </c>
      <c r="AK1878" t="s">
        <v>111</v>
      </c>
      <c r="AL1878" t="s">
        <v>111</v>
      </c>
      <c r="AM1878" t="s">
        <v>111</v>
      </c>
      <c r="AN1878" t="s">
        <v>105</v>
      </c>
      <c r="AO1878" t="s">
        <v>110</v>
      </c>
      <c r="AP1878" t="s">
        <v>109</v>
      </c>
    </row>
    <row r="1879" spans="1:42" x14ac:dyDescent="0.25">
      <c r="A1879" s="28" t="str">
        <f>"2371"</f>
        <v>2371</v>
      </c>
      <c r="B1879">
        <v>2371</v>
      </c>
      <c r="C1879" t="s">
        <v>2488</v>
      </c>
      <c r="D1879" t="s">
        <v>121</v>
      </c>
      <c r="F1879" t="s">
        <v>120</v>
      </c>
      <c r="G1879" t="s">
        <v>488</v>
      </c>
      <c r="I1879" t="s">
        <v>1255</v>
      </c>
      <c r="J1879" t="s">
        <v>7</v>
      </c>
      <c r="K1879" s="63">
        <v>14996</v>
      </c>
      <c r="L1879" s="28">
        <f>DATEDIF(K1879,Zwift25!G$1,"Y")</f>
        <v>83</v>
      </c>
      <c r="M1879" s="67">
        <f>IF(J1879="m",VLOOKUP(L1879,'All Solo Adjustments'!A:D,4,FALSE),VLOOKUP(L1879,'All Solo Adjustments'!A:J,10,FALSE))</f>
        <v>1.2858796296296297E-2</v>
      </c>
      <c r="N1879" s="63"/>
      <c r="O1879" s="63"/>
      <c r="P1879" s="63"/>
      <c r="Q1879" s="63"/>
      <c r="R1879" t="s">
        <v>283</v>
      </c>
      <c r="S1879" t="s">
        <v>3866</v>
      </c>
      <c r="T1879" t="s">
        <v>292</v>
      </c>
      <c r="U1879" t="s">
        <v>3865</v>
      </c>
      <c r="V1879" t="s">
        <v>3864</v>
      </c>
      <c r="W1879" t="s">
        <v>2205</v>
      </c>
      <c r="Y1879" t="s">
        <v>3863</v>
      </c>
      <c r="Z1879" t="str">
        <f>""</f>
        <v/>
      </c>
      <c r="AA1879" t="str">
        <f>""</f>
        <v/>
      </c>
      <c r="AB1879" t="s">
        <v>870</v>
      </c>
      <c r="AD1879" t="s">
        <v>151</v>
      </c>
      <c r="AF1879" t="s">
        <v>113</v>
      </c>
      <c r="AG1879" t="s">
        <v>111</v>
      </c>
      <c r="AH1879" t="s">
        <v>112</v>
      </c>
      <c r="AK1879" t="s">
        <v>111</v>
      </c>
      <c r="AL1879" t="s">
        <v>111</v>
      </c>
      <c r="AM1879" t="s">
        <v>111</v>
      </c>
      <c r="AN1879" t="s">
        <v>105</v>
      </c>
      <c r="AO1879" t="s">
        <v>110</v>
      </c>
      <c r="AP1879" t="s">
        <v>109</v>
      </c>
    </row>
    <row r="1880" spans="1:42" x14ac:dyDescent="0.25">
      <c r="A1880" s="28" t="str">
        <f>"4215"</f>
        <v>4215</v>
      </c>
      <c r="B1880">
        <v>4215</v>
      </c>
      <c r="C1880" t="s">
        <v>2488</v>
      </c>
      <c r="D1880" t="s">
        <v>121</v>
      </c>
      <c r="F1880" t="s">
        <v>120</v>
      </c>
      <c r="G1880" t="s">
        <v>3862</v>
      </c>
      <c r="I1880" t="s">
        <v>3832</v>
      </c>
      <c r="J1880" t="s">
        <v>7</v>
      </c>
      <c r="K1880" s="63">
        <v>16829</v>
      </c>
      <c r="L1880" s="28">
        <f>DATEDIF(K1880,Zwift25!G$1,"Y")</f>
        <v>78</v>
      </c>
      <c r="M1880" s="67">
        <f>IF(J1880="m",VLOOKUP(L1880,'All Solo Adjustments'!A:D,4,FALSE),VLOOKUP(L1880,'All Solo Adjustments'!A:J,10,FALSE))</f>
        <v>9.9189814814814817E-3</v>
      </c>
      <c r="N1880" s="63"/>
      <c r="O1880" s="63"/>
      <c r="P1880" s="63"/>
      <c r="Q1880" s="63"/>
      <c r="R1880" t="s">
        <v>154</v>
      </c>
      <c r="S1880" t="s">
        <v>153</v>
      </c>
      <c r="T1880" t="s">
        <v>292</v>
      </c>
      <c r="U1880" t="s">
        <v>3861</v>
      </c>
      <c r="V1880" t="s">
        <v>2839</v>
      </c>
      <c r="W1880" t="s">
        <v>1059</v>
      </c>
      <c r="Y1880" t="s">
        <v>3860</v>
      </c>
      <c r="Z1880" t="str">
        <f>"01225863785"</f>
        <v>01225863785</v>
      </c>
      <c r="AA1880" t="str">
        <f>""</f>
        <v/>
      </c>
      <c r="AB1880" t="s">
        <v>2117</v>
      </c>
      <c r="AC1880" t="s">
        <v>3859</v>
      </c>
      <c r="AD1880" t="s">
        <v>145</v>
      </c>
      <c r="AE1880" s="63">
        <v>45288</v>
      </c>
      <c r="AF1880" t="s">
        <v>113</v>
      </c>
      <c r="AG1880" t="s">
        <v>112</v>
      </c>
      <c r="AH1880" t="s">
        <v>112</v>
      </c>
      <c r="AI1880" s="63">
        <v>40667</v>
      </c>
      <c r="AJ1880" s="63">
        <v>45657</v>
      </c>
      <c r="AK1880" t="s">
        <v>111</v>
      </c>
      <c r="AL1880" t="s">
        <v>111</v>
      </c>
      <c r="AM1880" t="s">
        <v>111</v>
      </c>
      <c r="AN1880">
        <v>4997</v>
      </c>
      <c r="AO1880" t="s">
        <v>110</v>
      </c>
      <c r="AP1880" t="s">
        <v>109</v>
      </c>
    </row>
    <row r="1881" spans="1:42" x14ac:dyDescent="0.25">
      <c r="A1881" s="28" t="str">
        <f>"2384"</f>
        <v>2384</v>
      </c>
      <c r="B1881">
        <v>2384</v>
      </c>
      <c r="C1881" t="s">
        <v>2488</v>
      </c>
      <c r="D1881" t="s">
        <v>121</v>
      </c>
      <c r="F1881" t="s">
        <v>120</v>
      </c>
      <c r="G1881" t="s">
        <v>613</v>
      </c>
      <c r="I1881" t="s">
        <v>1255</v>
      </c>
      <c r="J1881" t="s">
        <v>7</v>
      </c>
      <c r="K1881" s="63">
        <v>14394</v>
      </c>
      <c r="L1881" s="28">
        <f>DATEDIF(K1881,Zwift25!G$1,"Y")</f>
        <v>85</v>
      </c>
      <c r="M1881" s="67">
        <f>IF(J1881="m",VLOOKUP(L1881,'All Solo Adjustments'!A:D,4,FALSE),VLOOKUP(L1881,'All Solo Adjustments'!A:J,10,FALSE))</f>
        <v>1.4236111111111111E-2</v>
      </c>
      <c r="N1881" s="63"/>
      <c r="O1881" s="63"/>
      <c r="P1881" s="63"/>
      <c r="Q1881" s="63"/>
      <c r="R1881" t="s">
        <v>137</v>
      </c>
      <c r="S1881" t="s">
        <v>2312</v>
      </c>
      <c r="T1881" t="s">
        <v>292</v>
      </c>
      <c r="U1881" t="s">
        <v>3858</v>
      </c>
      <c r="V1881" t="s">
        <v>3857</v>
      </c>
      <c r="W1881" t="s">
        <v>3854</v>
      </c>
      <c r="X1881" t="s">
        <v>3856</v>
      </c>
      <c r="Y1881" t="s">
        <v>3853</v>
      </c>
      <c r="Z1881" t="str">
        <f>"01252 547469	"</f>
        <v xml:space="preserve">01252 547469	</v>
      </c>
      <c r="AA1881" t="str">
        <f>"07761 300406"</f>
        <v>07761 300406</v>
      </c>
      <c r="AB1881" t="s">
        <v>2196</v>
      </c>
      <c r="AD1881" t="s">
        <v>145</v>
      </c>
      <c r="AF1881" t="s">
        <v>113</v>
      </c>
      <c r="AG1881" t="s">
        <v>112</v>
      </c>
      <c r="AH1881" t="s">
        <v>112</v>
      </c>
      <c r="AI1881" s="63">
        <v>30773</v>
      </c>
      <c r="AK1881" t="s">
        <v>111</v>
      </c>
      <c r="AL1881" t="s">
        <v>111</v>
      </c>
      <c r="AM1881" t="s">
        <v>111</v>
      </c>
      <c r="AN1881" t="s">
        <v>105</v>
      </c>
      <c r="AO1881" t="s">
        <v>110</v>
      </c>
      <c r="AP1881" t="s">
        <v>109</v>
      </c>
    </row>
    <row r="1882" spans="1:42" x14ac:dyDescent="0.25">
      <c r="A1882" s="28" t="str">
        <f>"2919"</f>
        <v>2919</v>
      </c>
      <c r="B1882">
        <v>2919</v>
      </c>
      <c r="C1882" t="s">
        <v>2488</v>
      </c>
      <c r="D1882" t="s">
        <v>121</v>
      </c>
      <c r="F1882" t="s">
        <v>120</v>
      </c>
      <c r="G1882" t="s">
        <v>442</v>
      </c>
      <c r="I1882" t="s">
        <v>1255</v>
      </c>
      <c r="J1882" t="s">
        <v>7</v>
      </c>
      <c r="K1882" s="63">
        <v>24465</v>
      </c>
      <c r="L1882" s="28">
        <f>DATEDIF(K1882,Zwift25!G$1,"Y")</f>
        <v>57</v>
      </c>
      <c r="M1882" s="67">
        <f>IF(J1882="m",VLOOKUP(L1882,'All Solo Adjustments'!A:D,4,FALSE),VLOOKUP(L1882,'All Solo Adjustments'!A:J,10,FALSE))</f>
        <v>2.488425925925926E-3</v>
      </c>
      <c r="N1882" s="63"/>
      <c r="O1882" s="63"/>
      <c r="P1882" s="63"/>
      <c r="Q1882" s="63"/>
      <c r="R1882" t="s">
        <v>137</v>
      </c>
      <c r="S1882" t="s">
        <v>136</v>
      </c>
      <c r="T1882" t="s">
        <v>292</v>
      </c>
      <c r="U1882" t="s">
        <v>3855</v>
      </c>
      <c r="V1882" t="s">
        <v>3854</v>
      </c>
      <c r="W1882" t="s">
        <v>208</v>
      </c>
      <c r="Y1882" t="s">
        <v>3853</v>
      </c>
      <c r="Z1882" t="str">
        <f>""</f>
        <v/>
      </c>
      <c r="AA1882" t="str">
        <f>""</f>
        <v/>
      </c>
      <c r="AB1882" t="s">
        <v>2196</v>
      </c>
      <c r="AD1882" t="s">
        <v>145</v>
      </c>
      <c r="AE1882" s="63">
        <v>45344</v>
      </c>
      <c r="AF1882" t="s">
        <v>113</v>
      </c>
      <c r="AG1882" t="s">
        <v>112</v>
      </c>
      <c r="AH1882" t="s">
        <v>112</v>
      </c>
      <c r="AI1882" s="63">
        <v>42005</v>
      </c>
      <c r="AJ1882" s="63">
        <v>45657</v>
      </c>
      <c r="AK1882" t="s">
        <v>111</v>
      </c>
      <c r="AL1882" t="s">
        <v>111</v>
      </c>
      <c r="AM1882" t="s">
        <v>111</v>
      </c>
      <c r="AN1882" t="s">
        <v>105</v>
      </c>
      <c r="AO1882" t="s">
        <v>110</v>
      </c>
      <c r="AP1882" t="s">
        <v>109</v>
      </c>
    </row>
    <row r="1883" spans="1:42" x14ac:dyDescent="0.25">
      <c r="A1883" s="28" t="str">
        <f>"2383"</f>
        <v>2383</v>
      </c>
      <c r="B1883">
        <v>2383</v>
      </c>
      <c r="C1883" t="s">
        <v>2488</v>
      </c>
      <c r="D1883" t="s">
        <v>121</v>
      </c>
      <c r="E1883" t="s">
        <v>2387</v>
      </c>
      <c r="F1883" t="s">
        <v>120</v>
      </c>
      <c r="G1883" t="s">
        <v>230</v>
      </c>
      <c r="H1883" t="s">
        <v>388</v>
      </c>
      <c r="I1883" t="s">
        <v>1255</v>
      </c>
      <c r="J1883" t="s">
        <v>7</v>
      </c>
      <c r="K1883" s="63">
        <v>16566</v>
      </c>
      <c r="L1883" s="28">
        <f>DATEDIF(K1883,Zwift25!G$1,"Y")</f>
        <v>79</v>
      </c>
      <c r="M1883" s="67">
        <f>IF(J1883="m",VLOOKUP(L1883,'All Solo Adjustments'!A:D,4,FALSE),VLOOKUP(L1883,'All Solo Adjustments'!A:J,10,FALSE))</f>
        <v>1.0451388888888889E-2</v>
      </c>
      <c r="N1883" s="63"/>
      <c r="O1883" s="63"/>
      <c r="P1883" s="63"/>
      <c r="Q1883" s="63"/>
      <c r="R1883" t="s">
        <v>296</v>
      </c>
      <c r="S1883" t="s">
        <v>295</v>
      </c>
      <c r="T1883" t="s">
        <v>292</v>
      </c>
      <c r="U1883" t="s">
        <v>3852</v>
      </c>
      <c r="V1883" t="s">
        <v>3851</v>
      </c>
      <c r="Y1883" t="s">
        <v>3850</v>
      </c>
      <c r="Z1883" t="str">
        <f>"07971 109741"</f>
        <v>07971 109741</v>
      </c>
      <c r="AA1883" t="str">
        <f>""</f>
        <v/>
      </c>
      <c r="AB1883" t="s">
        <v>1682</v>
      </c>
      <c r="AC1883" t="s">
        <v>3849</v>
      </c>
      <c r="AD1883" t="s">
        <v>151</v>
      </c>
      <c r="AF1883" t="s">
        <v>113</v>
      </c>
      <c r="AG1883" t="s">
        <v>112</v>
      </c>
      <c r="AH1883" t="s">
        <v>112</v>
      </c>
      <c r="AI1883" s="63">
        <v>33025</v>
      </c>
      <c r="AK1883" t="s">
        <v>111</v>
      </c>
      <c r="AL1883" t="s">
        <v>111</v>
      </c>
      <c r="AM1883" t="s">
        <v>111</v>
      </c>
      <c r="AN1883" t="s">
        <v>105</v>
      </c>
      <c r="AO1883" t="s">
        <v>110</v>
      </c>
      <c r="AP1883" t="s">
        <v>109</v>
      </c>
    </row>
    <row r="1884" spans="1:42" x14ac:dyDescent="0.25">
      <c r="A1884" s="28" t="str">
        <f>"3304"</f>
        <v>3304</v>
      </c>
      <c r="B1884">
        <v>3304</v>
      </c>
      <c r="C1884" t="s">
        <v>2488</v>
      </c>
      <c r="D1884" t="s">
        <v>121</v>
      </c>
      <c r="F1884" t="s">
        <v>120</v>
      </c>
      <c r="G1884" t="s">
        <v>3848</v>
      </c>
      <c r="I1884" t="s">
        <v>1255</v>
      </c>
      <c r="J1884" t="s">
        <v>7</v>
      </c>
      <c r="K1884" s="63">
        <v>24952</v>
      </c>
      <c r="L1884" s="28">
        <f>DATEDIF(K1884,Zwift25!G$1,"Y")</f>
        <v>56</v>
      </c>
      <c r="M1884" s="67">
        <f>IF(J1884="m",VLOOKUP(L1884,'All Solo Adjustments'!A:D,4,FALSE),VLOOKUP(L1884,'All Solo Adjustments'!A:J,10,FALSE))</f>
        <v>2.2685185185185182E-3</v>
      </c>
      <c r="N1884" s="63"/>
      <c r="O1884" s="63"/>
      <c r="P1884" s="63"/>
      <c r="Q1884" s="63"/>
      <c r="R1884" t="s">
        <v>125</v>
      </c>
      <c r="S1884" t="s">
        <v>170</v>
      </c>
      <c r="T1884" t="s">
        <v>292</v>
      </c>
      <c r="U1884" t="s">
        <v>3847</v>
      </c>
      <c r="V1884" t="s">
        <v>3846</v>
      </c>
      <c r="W1884" t="s">
        <v>169</v>
      </c>
      <c r="Y1884" t="s">
        <v>3845</v>
      </c>
      <c r="Z1884" t="str">
        <f>"078964 26069"</f>
        <v>078964 26069</v>
      </c>
      <c r="AA1884" t="str">
        <f>""</f>
        <v/>
      </c>
      <c r="AB1884" t="s">
        <v>844</v>
      </c>
      <c r="AC1884" t="s">
        <v>3844</v>
      </c>
      <c r="AD1884" t="s">
        <v>114</v>
      </c>
      <c r="AE1884" s="63">
        <v>45263</v>
      </c>
      <c r="AF1884" t="s">
        <v>156</v>
      </c>
      <c r="AG1884" t="s">
        <v>112</v>
      </c>
      <c r="AH1884" t="s">
        <v>112</v>
      </c>
      <c r="AI1884" s="63">
        <v>39562</v>
      </c>
      <c r="AJ1884" s="63">
        <v>45657</v>
      </c>
      <c r="AK1884" t="s">
        <v>111</v>
      </c>
      <c r="AL1884" t="s">
        <v>111</v>
      </c>
      <c r="AM1884" t="s">
        <v>111</v>
      </c>
      <c r="AN1884">
        <v>18857</v>
      </c>
      <c r="AO1884" t="s">
        <v>110</v>
      </c>
      <c r="AP1884" t="s">
        <v>109</v>
      </c>
    </row>
    <row r="1885" spans="1:42" x14ac:dyDescent="0.25">
      <c r="A1885" s="28" t="str">
        <f>"12465"</f>
        <v>12465</v>
      </c>
      <c r="B1885">
        <v>12465</v>
      </c>
      <c r="C1885" t="s">
        <v>2488</v>
      </c>
      <c r="D1885" t="s">
        <v>121</v>
      </c>
      <c r="E1885" t="s">
        <v>584</v>
      </c>
      <c r="F1885" t="s">
        <v>120</v>
      </c>
      <c r="G1885" t="s">
        <v>251</v>
      </c>
      <c r="I1885" t="s">
        <v>1255</v>
      </c>
      <c r="J1885" t="s">
        <v>7</v>
      </c>
      <c r="K1885" s="63">
        <v>20294</v>
      </c>
      <c r="L1885" s="28">
        <f>DATEDIF(K1885,Zwift25!G$1,"Y")</f>
        <v>69</v>
      </c>
      <c r="M1885" s="67">
        <f>IF(J1885="m",VLOOKUP(L1885,'All Solo Adjustments'!A:D,4,FALSE),VLOOKUP(L1885,'All Solo Adjustments'!A:J,10,FALSE))</f>
        <v>5.9722222222222225E-3</v>
      </c>
      <c r="N1885" s="63"/>
      <c r="O1885" s="63"/>
      <c r="P1885" s="63"/>
      <c r="Q1885" s="63"/>
      <c r="R1885" t="s">
        <v>239</v>
      </c>
      <c r="S1885" t="s">
        <v>274</v>
      </c>
      <c r="T1885" t="s">
        <v>292</v>
      </c>
      <c r="U1885" t="s">
        <v>3843</v>
      </c>
      <c r="V1885" t="s">
        <v>914</v>
      </c>
      <c r="W1885" t="s">
        <v>236</v>
      </c>
      <c r="Y1885" t="s">
        <v>3842</v>
      </c>
      <c r="Z1885" t="str">
        <f>"07789955545"</f>
        <v>07789955545</v>
      </c>
      <c r="AA1885" t="str">
        <f>""</f>
        <v/>
      </c>
      <c r="AB1885" t="s">
        <v>1063</v>
      </c>
      <c r="AC1885" t="s">
        <v>3841</v>
      </c>
      <c r="AD1885" t="s">
        <v>114</v>
      </c>
      <c r="AE1885" s="63">
        <v>45234</v>
      </c>
      <c r="AF1885" t="s">
        <v>156</v>
      </c>
      <c r="AG1885" t="s">
        <v>112</v>
      </c>
      <c r="AH1885" t="s">
        <v>112</v>
      </c>
      <c r="AI1885" s="63">
        <v>43214</v>
      </c>
      <c r="AJ1885" s="63">
        <v>45657</v>
      </c>
      <c r="AK1885" t="s">
        <v>112</v>
      </c>
      <c r="AL1885" t="s">
        <v>111</v>
      </c>
      <c r="AM1885" t="s">
        <v>111</v>
      </c>
      <c r="AN1885">
        <v>24359</v>
      </c>
      <c r="AO1885" t="s">
        <v>110</v>
      </c>
      <c r="AP1885" t="s">
        <v>109</v>
      </c>
    </row>
    <row r="1886" spans="1:42" x14ac:dyDescent="0.25">
      <c r="A1886" s="28" t="str">
        <f>"3989"</f>
        <v>3989</v>
      </c>
      <c r="B1886">
        <v>3989</v>
      </c>
      <c r="C1886" t="s">
        <v>2488</v>
      </c>
      <c r="D1886" t="s">
        <v>121</v>
      </c>
      <c r="E1886" t="s">
        <v>584</v>
      </c>
      <c r="F1886" t="s">
        <v>149</v>
      </c>
      <c r="G1886" t="s">
        <v>853</v>
      </c>
      <c r="I1886" t="s">
        <v>1255</v>
      </c>
      <c r="J1886" t="s">
        <v>126</v>
      </c>
      <c r="K1886" s="63">
        <v>24309</v>
      </c>
      <c r="L1886" s="28">
        <f>DATEDIF(K1886,Zwift25!G$1,"Y")</f>
        <v>58</v>
      </c>
      <c r="M1886" s="67">
        <f>IF(J1886="m",VLOOKUP(L1886,'All Solo Adjustments'!A:D,4,FALSE),VLOOKUP(L1886,'All Solo Adjustments'!A:J,10,FALSE))</f>
        <v>6.3194444444444444E-3</v>
      </c>
      <c r="N1886" s="63"/>
      <c r="O1886" s="63"/>
      <c r="P1886" s="63"/>
      <c r="Q1886" s="63"/>
      <c r="R1886" t="s">
        <v>239</v>
      </c>
      <c r="S1886" t="s">
        <v>274</v>
      </c>
      <c r="T1886" t="s">
        <v>292</v>
      </c>
      <c r="U1886" t="s">
        <v>3840</v>
      </c>
      <c r="V1886" t="s">
        <v>2376</v>
      </c>
      <c r="W1886" t="s">
        <v>236</v>
      </c>
      <c r="Y1886" t="s">
        <v>3839</v>
      </c>
      <c r="Z1886" t="str">
        <f>"01274 428059"</f>
        <v>01274 428059</v>
      </c>
      <c r="AA1886" t="str">
        <f>"07812144508"</f>
        <v>07812144508</v>
      </c>
      <c r="AB1886" t="s">
        <v>1501</v>
      </c>
      <c r="AC1886" t="s">
        <v>3838</v>
      </c>
      <c r="AD1886" t="s">
        <v>114</v>
      </c>
      <c r="AE1886" s="63">
        <v>45234</v>
      </c>
      <c r="AF1886" t="s">
        <v>113</v>
      </c>
      <c r="AG1886" t="s">
        <v>112</v>
      </c>
      <c r="AH1886" t="s">
        <v>112</v>
      </c>
      <c r="AI1886" s="63">
        <v>40337</v>
      </c>
      <c r="AJ1886" s="63">
        <v>45657</v>
      </c>
      <c r="AK1886" t="s">
        <v>111</v>
      </c>
      <c r="AL1886" t="s">
        <v>111</v>
      </c>
      <c r="AM1886" t="s">
        <v>111</v>
      </c>
      <c r="AN1886">
        <v>3374</v>
      </c>
      <c r="AO1886" t="s">
        <v>122</v>
      </c>
      <c r="AP1886" t="s">
        <v>122</v>
      </c>
    </row>
    <row r="1887" spans="1:42" x14ac:dyDescent="0.25">
      <c r="A1887" s="28" t="str">
        <f>"2381"</f>
        <v>2381</v>
      </c>
      <c r="B1887">
        <v>2381</v>
      </c>
      <c r="C1887" t="s">
        <v>2488</v>
      </c>
      <c r="D1887" t="s">
        <v>121</v>
      </c>
      <c r="F1887" t="s">
        <v>120</v>
      </c>
      <c r="G1887" t="s">
        <v>164</v>
      </c>
      <c r="I1887" t="s">
        <v>1255</v>
      </c>
      <c r="J1887" t="s">
        <v>7</v>
      </c>
      <c r="K1887" s="63">
        <v>22122</v>
      </c>
      <c r="L1887" s="28">
        <f>DATEDIF(K1887,Zwift25!G$1,"Y")</f>
        <v>64</v>
      </c>
      <c r="M1887" s="67">
        <f>IF(J1887="m",VLOOKUP(L1887,'All Solo Adjustments'!A:D,4,FALSE),VLOOKUP(L1887,'All Solo Adjustments'!A:J,10,FALSE))</f>
        <v>4.31712962962963E-3</v>
      </c>
      <c r="N1887" s="63"/>
      <c r="O1887" s="63"/>
      <c r="P1887" s="63"/>
      <c r="Q1887" s="63"/>
      <c r="R1887" t="s">
        <v>328</v>
      </c>
      <c r="S1887" t="s">
        <v>327</v>
      </c>
      <c r="T1887" t="s">
        <v>292</v>
      </c>
      <c r="U1887" t="s">
        <v>3837</v>
      </c>
      <c r="V1887" t="s">
        <v>3836</v>
      </c>
      <c r="W1887" t="s">
        <v>1844</v>
      </c>
      <c r="X1887" t="s">
        <v>325</v>
      </c>
      <c r="Y1887" t="s">
        <v>3835</v>
      </c>
      <c r="Z1887" t="str">
        <f>"07533 679101"</f>
        <v>07533 679101</v>
      </c>
      <c r="AA1887" t="str">
        <f>""</f>
        <v/>
      </c>
      <c r="AB1887" t="s">
        <v>1673</v>
      </c>
      <c r="AC1887" t="s">
        <v>3834</v>
      </c>
      <c r="AD1887" t="s">
        <v>114</v>
      </c>
      <c r="AE1887" s="63">
        <v>45283</v>
      </c>
      <c r="AF1887" t="s">
        <v>113</v>
      </c>
      <c r="AG1887" t="s">
        <v>112</v>
      </c>
      <c r="AH1887" t="s">
        <v>112</v>
      </c>
      <c r="AI1887" s="63">
        <v>43408</v>
      </c>
      <c r="AJ1887" s="63">
        <v>45657</v>
      </c>
      <c r="AK1887" t="s">
        <v>111</v>
      </c>
      <c r="AL1887" t="s">
        <v>111</v>
      </c>
      <c r="AM1887" t="s">
        <v>111</v>
      </c>
      <c r="AN1887">
        <v>1517</v>
      </c>
      <c r="AO1887" t="s">
        <v>110</v>
      </c>
      <c r="AP1887" t="s">
        <v>109</v>
      </c>
    </row>
    <row r="1888" spans="1:42" x14ac:dyDescent="0.25">
      <c r="A1888" s="28" t="str">
        <f>"13606"</f>
        <v>13606</v>
      </c>
      <c r="B1888">
        <v>13606</v>
      </c>
      <c r="C1888" t="s">
        <v>2488</v>
      </c>
      <c r="D1888" t="s">
        <v>121</v>
      </c>
      <c r="F1888" t="s">
        <v>120</v>
      </c>
      <c r="G1888" t="s">
        <v>3833</v>
      </c>
      <c r="I1888" t="s">
        <v>3832</v>
      </c>
      <c r="J1888" t="s">
        <v>7</v>
      </c>
      <c r="K1888" s="63">
        <v>22977</v>
      </c>
      <c r="L1888" s="28">
        <f>DATEDIF(K1888,Zwift25!G$1,"Y")</f>
        <v>61</v>
      </c>
      <c r="M1888" s="67">
        <f>IF(J1888="m",VLOOKUP(L1888,'All Solo Adjustments'!A:D,4,FALSE),VLOOKUP(L1888,'All Solo Adjustments'!A:J,10,FALSE))</f>
        <v>3.4722222222222225E-3</v>
      </c>
      <c r="N1888" s="63"/>
      <c r="O1888" s="63"/>
      <c r="P1888" s="63"/>
      <c r="Q1888" s="63"/>
      <c r="R1888" t="s">
        <v>328</v>
      </c>
      <c r="S1888" t="s">
        <v>327</v>
      </c>
      <c r="T1888" t="s">
        <v>292</v>
      </c>
      <c r="U1888" t="s">
        <v>3831</v>
      </c>
      <c r="V1888" t="s">
        <v>3830</v>
      </c>
      <c r="W1888" t="s">
        <v>713</v>
      </c>
      <c r="Y1888" t="s">
        <v>3829</v>
      </c>
      <c r="Z1888" t="str">
        <f>"07939093887"</f>
        <v>07939093887</v>
      </c>
      <c r="AA1888" t="str">
        <f>""</f>
        <v/>
      </c>
      <c r="AB1888" t="s">
        <v>1501</v>
      </c>
      <c r="AC1888" t="s">
        <v>3828</v>
      </c>
      <c r="AD1888" t="s">
        <v>114</v>
      </c>
      <c r="AE1888" s="63">
        <v>45363</v>
      </c>
      <c r="AF1888" t="s">
        <v>156</v>
      </c>
      <c r="AG1888" t="s">
        <v>112</v>
      </c>
      <c r="AH1888" t="s">
        <v>112</v>
      </c>
      <c r="AI1888" s="63">
        <v>43253</v>
      </c>
      <c r="AJ1888" s="63">
        <v>45657</v>
      </c>
      <c r="AK1888" t="s">
        <v>112</v>
      </c>
      <c r="AL1888" t="s">
        <v>111</v>
      </c>
      <c r="AM1888" t="s">
        <v>111</v>
      </c>
      <c r="AN1888">
        <v>10524</v>
      </c>
      <c r="AO1888" t="s">
        <v>110</v>
      </c>
      <c r="AP1888" t="s">
        <v>109</v>
      </c>
    </row>
    <row r="1889" spans="1:42" x14ac:dyDescent="0.25">
      <c r="A1889" s="28" t="str">
        <f>"15134"</f>
        <v>15134</v>
      </c>
      <c r="B1889">
        <v>15134</v>
      </c>
      <c r="C1889" t="s">
        <v>2488</v>
      </c>
      <c r="D1889" t="s">
        <v>121</v>
      </c>
      <c r="F1889" t="s">
        <v>120</v>
      </c>
      <c r="G1889" t="s">
        <v>334</v>
      </c>
      <c r="I1889" t="s">
        <v>1255</v>
      </c>
      <c r="J1889" t="s">
        <v>7</v>
      </c>
      <c r="K1889" s="63">
        <v>24691</v>
      </c>
      <c r="L1889" s="28">
        <f>DATEDIF(K1889,Zwift25!G$1,"Y")</f>
        <v>57</v>
      </c>
      <c r="M1889" s="67">
        <f>IF(J1889="m",VLOOKUP(L1889,'All Solo Adjustments'!A:D,4,FALSE),VLOOKUP(L1889,'All Solo Adjustments'!A:J,10,FALSE))</f>
        <v>2.488425925925926E-3</v>
      </c>
      <c r="N1889" s="63"/>
      <c r="O1889" s="63"/>
      <c r="P1889" s="63"/>
      <c r="Q1889" s="63"/>
      <c r="R1889" t="s">
        <v>125</v>
      </c>
      <c r="S1889" t="s">
        <v>170</v>
      </c>
      <c r="T1889" t="s">
        <v>292</v>
      </c>
      <c r="U1889" t="s">
        <v>3827</v>
      </c>
      <c r="W1889" t="s">
        <v>3826</v>
      </c>
      <c r="X1889" t="s">
        <v>146</v>
      </c>
      <c r="Y1889" t="s">
        <v>3825</v>
      </c>
      <c r="Z1889" t="str">
        <f>"07939346085"</f>
        <v>07939346085</v>
      </c>
      <c r="AA1889" t="str">
        <f>""</f>
        <v/>
      </c>
      <c r="AB1889" t="s">
        <v>3824</v>
      </c>
      <c r="AC1889" t="s">
        <v>3823</v>
      </c>
      <c r="AD1889" t="s">
        <v>114</v>
      </c>
      <c r="AE1889" s="63">
        <v>45263</v>
      </c>
      <c r="AF1889" t="s">
        <v>156</v>
      </c>
      <c r="AG1889" t="s">
        <v>112</v>
      </c>
      <c r="AH1889" t="s">
        <v>112</v>
      </c>
      <c r="AI1889" s="63">
        <v>44375</v>
      </c>
      <c r="AJ1889" s="63">
        <v>45657</v>
      </c>
      <c r="AK1889" t="s">
        <v>112</v>
      </c>
      <c r="AL1889" t="s">
        <v>112</v>
      </c>
      <c r="AM1889" t="s">
        <v>111</v>
      </c>
      <c r="AN1889">
        <v>17974</v>
      </c>
      <c r="AO1889" t="s">
        <v>110</v>
      </c>
      <c r="AP1889" t="s">
        <v>109</v>
      </c>
    </row>
    <row r="1890" spans="1:42" x14ac:dyDescent="0.25">
      <c r="A1890" s="28" t="str">
        <f>"15338"</f>
        <v>15338</v>
      </c>
      <c r="B1890">
        <v>15338</v>
      </c>
      <c r="C1890" t="s">
        <v>2488</v>
      </c>
      <c r="D1890" t="s">
        <v>121</v>
      </c>
      <c r="F1890" t="s">
        <v>149</v>
      </c>
      <c r="G1890" t="s">
        <v>330</v>
      </c>
      <c r="H1890" t="s">
        <v>329</v>
      </c>
      <c r="I1890" t="s">
        <v>1255</v>
      </c>
      <c r="J1890" t="s">
        <v>126</v>
      </c>
      <c r="K1890" s="63">
        <v>21973</v>
      </c>
      <c r="L1890" s="28">
        <f>DATEDIF(K1890,Zwift25!G$1,"Y")</f>
        <v>64</v>
      </c>
      <c r="M1890" s="67">
        <f>IF(J1890="m",VLOOKUP(L1890,'All Solo Adjustments'!A:D,4,FALSE),VLOOKUP(L1890,'All Solo Adjustments'!A:J,10,FALSE))</f>
        <v>8.4490740740740741E-3</v>
      </c>
      <c r="N1890" s="63"/>
      <c r="O1890" s="63"/>
      <c r="P1890" s="63"/>
      <c r="Q1890" s="63"/>
      <c r="R1890" t="s">
        <v>328</v>
      </c>
      <c r="S1890" t="s">
        <v>327</v>
      </c>
      <c r="T1890" t="s">
        <v>292</v>
      </c>
      <c r="U1890" t="s">
        <v>3822</v>
      </c>
      <c r="V1890" t="s">
        <v>3821</v>
      </c>
      <c r="W1890" t="s">
        <v>3820</v>
      </c>
      <c r="X1890" t="s">
        <v>325</v>
      </c>
      <c r="Y1890" t="s">
        <v>3819</v>
      </c>
      <c r="Z1890" t="str">
        <f>"07429755461"</f>
        <v>07429755461</v>
      </c>
      <c r="AA1890" t="str">
        <f>""</f>
        <v/>
      </c>
      <c r="AB1890" t="s">
        <v>1501</v>
      </c>
      <c r="AC1890" t="s">
        <v>3818</v>
      </c>
      <c r="AD1890" t="s">
        <v>114</v>
      </c>
      <c r="AE1890" s="63">
        <v>45308</v>
      </c>
      <c r="AF1890" t="s">
        <v>113</v>
      </c>
      <c r="AG1890" t="s">
        <v>112</v>
      </c>
      <c r="AH1890" t="s">
        <v>112</v>
      </c>
      <c r="AI1890" s="63">
        <v>44601</v>
      </c>
      <c r="AJ1890" s="63">
        <v>45657</v>
      </c>
      <c r="AK1890" t="s">
        <v>112</v>
      </c>
      <c r="AL1890" t="s">
        <v>111</v>
      </c>
      <c r="AM1890" t="s">
        <v>111</v>
      </c>
      <c r="AN1890">
        <v>2038</v>
      </c>
      <c r="AO1890" t="s">
        <v>122</v>
      </c>
      <c r="AP1890" t="s">
        <v>122</v>
      </c>
    </row>
    <row r="1891" spans="1:42" x14ac:dyDescent="0.25">
      <c r="A1891" s="28" t="str">
        <f>"15971"</f>
        <v>15971</v>
      </c>
      <c r="B1891">
        <v>15971</v>
      </c>
      <c r="C1891" t="s">
        <v>2488</v>
      </c>
      <c r="D1891" t="s">
        <v>121</v>
      </c>
      <c r="F1891" t="s">
        <v>120</v>
      </c>
      <c r="G1891" t="s">
        <v>245</v>
      </c>
      <c r="H1891" t="s">
        <v>108</v>
      </c>
      <c r="I1891" t="s">
        <v>1255</v>
      </c>
      <c r="J1891" t="s">
        <v>7</v>
      </c>
      <c r="K1891" s="63">
        <v>25508</v>
      </c>
      <c r="L1891" s="28">
        <f>DATEDIF(K1891,Zwift25!G$1,"Y")</f>
        <v>54</v>
      </c>
      <c r="M1891" s="67">
        <f>IF(J1891="m",VLOOKUP(L1891,'All Solo Adjustments'!A:D,4,FALSE),VLOOKUP(L1891,'All Solo Adjustments'!A:J,10,FALSE))</f>
        <v>1.8518518518518517E-3</v>
      </c>
      <c r="N1891" s="63"/>
      <c r="O1891" s="63"/>
      <c r="P1891" s="63"/>
      <c r="Q1891" s="63"/>
      <c r="R1891" t="s">
        <v>198</v>
      </c>
      <c r="S1891" t="s">
        <v>461</v>
      </c>
      <c r="T1891" t="s">
        <v>292</v>
      </c>
      <c r="U1891" t="s">
        <v>3817</v>
      </c>
      <c r="Y1891" t="s">
        <v>3816</v>
      </c>
      <c r="Z1891" t="str">
        <f>""</f>
        <v/>
      </c>
      <c r="AA1891" t="str">
        <f>"07881 640348"</f>
        <v>07881 640348</v>
      </c>
      <c r="AB1891" t="s">
        <v>3815</v>
      </c>
      <c r="AC1891" t="s">
        <v>3814</v>
      </c>
      <c r="AD1891" t="s">
        <v>114</v>
      </c>
      <c r="AE1891" s="63">
        <v>45293</v>
      </c>
      <c r="AF1891" t="s">
        <v>156</v>
      </c>
      <c r="AG1891" t="s">
        <v>112</v>
      </c>
      <c r="AH1891" t="s">
        <v>112</v>
      </c>
      <c r="AI1891" s="63">
        <v>45293</v>
      </c>
      <c r="AJ1891" s="63">
        <v>45657</v>
      </c>
      <c r="AK1891" t="s">
        <v>112</v>
      </c>
      <c r="AL1891" t="s">
        <v>111</v>
      </c>
      <c r="AM1891" t="s">
        <v>111</v>
      </c>
      <c r="AN1891">
        <v>2150</v>
      </c>
      <c r="AO1891" t="s">
        <v>110</v>
      </c>
      <c r="AP1891" t="s">
        <v>109</v>
      </c>
    </row>
    <row r="1892" spans="1:42" x14ac:dyDescent="0.25">
      <c r="A1892" s="28" t="str">
        <f>"16003"</f>
        <v>16003</v>
      </c>
      <c r="B1892">
        <v>16003</v>
      </c>
      <c r="C1892" t="s">
        <v>2488</v>
      </c>
      <c r="D1892" t="s">
        <v>121</v>
      </c>
      <c r="E1892" t="s">
        <v>584</v>
      </c>
      <c r="F1892" t="s">
        <v>120</v>
      </c>
      <c r="G1892" t="s">
        <v>245</v>
      </c>
      <c r="I1892" t="s">
        <v>1255</v>
      </c>
      <c r="J1892" t="s">
        <v>7</v>
      </c>
      <c r="K1892" s="63">
        <v>22279</v>
      </c>
      <c r="L1892" s="28">
        <f>DATEDIF(K1892,Zwift25!G$1,"Y")</f>
        <v>63</v>
      </c>
      <c r="M1892" s="67">
        <f>IF(J1892="m",VLOOKUP(L1892,'All Solo Adjustments'!A:D,4,FALSE),VLOOKUP(L1892,'All Solo Adjustments'!A:J,10,FALSE))</f>
        <v>4.0277777777777777E-3</v>
      </c>
      <c r="N1892" s="63"/>
      <c r="O1892" s="63"/>
      <c r="P1892" s="63"/>
      <c r="Q1892" s="63"/>
      <c r="R1892" t="s">
        <v>184</v>
      </c>
      <c r="S1892" t="s">
        <v>183</v>
      </c>
      <c r="T1892" t="s">
        <v>292</v>
      </c>
      <c r="U1892" t="s">
        <v>3813</v>
      </c>
      <c r="X1892" t="s">
        <v>167</v>
      </c>
      <c r="Y1892" t="s">
        <v>3812</v>
      </c>
      <c r="Z1892" t="str">
        <f>"07977235735"</f>
        <v>07977235735</v>
      </c>
      <c r="AA1892" t="str">
        <f>""</f>
        <v/>
      </c>
      <c r="AB1892" t="s">
        <v>2130</v>
      </c>
      <c r="AC1892" t="s">
        <v>3811</v>
      </c>
      <c r="AD1892" t="s">
        <v>114</v>
      </c>
      <c r="AE1892" s="63">
        <v>45309</v>
      </c>
      <c r="AF1892" t="s">
        <v>156</v>
      </c>
      <c r="AG1892" t="s">
        <v>112</v>
      </c>
      <c r="AH1892" t="s">
        <v>112</v>
      </c>
      <c r="AI1892" s="63">
        <v>45309</v>
      </c>
      <c r="AJ1892" s="63">
        <v>45657</v>
      </c>
      <c r="AK1892" t="s">
        <v>112</v>
      </c>
      <c r="AL1892" t="s">
        <v>111</v>
      </c>
      <c r="AM1892" t="s">
        <v>111</v>
      </c>
      <c r="AN1892">
        <v>3239</v>
      </c>
      <c r="AO1892" t="s">
        <v>110</v>
      </c>
      <c r="AP1892" t="s">
        <v>109</v>
      </c>
    </row>
    <row r="1893" spans="1:42" x14ac:dyDescent="0.25">
      <c r="A1893" s="28" t="str">
        <f>"15797"</f>
        <v>15797</v>
      </c>
      <c r="B1893">
        <v>15797</v>
      </c>
      <c r="C1893" t="s">
        <v>2488</v>
      </c>
      <c r="D1893" t="s">
        <v>121</v>
      </c>
      <c r="F1893" t="s">
        <v>149</v>
      </c>
      <c r="G1893" t="s">
        <v>780</v>
      </c>
      <c r="H1893" t="s">
        <v>3810</v>
      </c>
      <c r="I1893" t="s">
        <v>3809</v>
      </c>
      <c r="J1893" t="s">
        <v>126</v>
      </c>
      <c r="K1893" s="63">
        <v>26486</v>
      </c>
      <c r="L1893" s="28">
        <f>DATEDIF(K1893,Zwift25!G$1,"Y")</f>
        <v>52</v>
      </c>
      <c r="M1893" s="67">
        <f>IF(J1893="m",VLOOKUP(L1893,'All Solo Adjustments'!A:D,4,FALSE),VLOOKUP(L1893,'All Solo Adjustments'!A:J,10,FALSE))</f>
        <v>5.1967592592592595E-3</v>
      </c>
      <c r="N1893" s="63"/>
      <c r="O1893" s="63"/>
      <c r="P1893" s="63"/>
      <c r="Q1893" s="63"/>
      <c r="R1893" t="s">
        <v>125</v>
      </c>
      <c r="S1893" t="s">
        <v>170</v>
      </c>
      <c r="T1893" t="s">
        <v>292</v>
      </c>
      <c r="U1893" t="s">
        <v>3808</v>
      </c>
      <c r="V1893" t="s">
        <v>3807</v>
      </c>
      <c r="W1893" t="s">
        <v>1573</v>
      </c>
      <c r="X1893" t="s">
        <v>735</v>
      </c>
      <c r="Y1893" t="s">
        <v>3806</v>
      </c>
      <c r="Z1893" t="str">
        <f>"07928463692"</f>
        <v>07928463692</v>
      </c>
      <c r="AA1893" t="str">
        <f>""</f>
        <v/>
      </c>
      <c r="AB1893" t="s">
        <v>3805</v>
      </c>
      <c r="AC1893" t="s">
        <v>3804</v>
      </c>
      <c r="AD1893" t="s">
        <v>114</v>
      </c>
      <c r="AE1893" s="63">
        <v>45405</v>
      </c>
      <c r="AF1893" t="s">
        <v>156</v>
      </c>
      <c r="AG1893" t="s">
        <v>112</v>
      </c>
      <c r="AH1893" t="s">
        <v>112</v>
      </c>
      <c r="AI1893" s="63">
        <v>45039</v>
      </c>
      <c r="AJ1893" s="63">
        <v>45657</v>
      </c>
      <c r="AK1893" t="s">
        <v>112</v>
      </c>
      <c r="AL1893" t="s">
        <v>111</v>
      </c>
      <c r="AM1893" t="s">
        <v>111</v>
      </c>
      <c r="AN1893">
        <v>34524</v>
      </c>
      <c r="AO1893" t="s">
        <v>122</v>
      </c>
      <c r="AP1893" t="s">
        <v>122</v>
      </c>
    </row>
    <row r="1894" spans="1:42" x14ac:dyDescent="0.25">
      <c r="A1894" s="28" t="str">
        <f>"2386"</f>
        <v>2386</v>
      </c>
      <c r="B1894">
        <v>2386</v>
      </c>
      <c r="C1894" t="s">
        <v>2488</v>
      </c>
      <c r="D1894" t="s">
        <v>121</v>
      </c>
      <c r="F1894" t="s">
        <v>149</v>
      </c>
      <c r="G1894" t="s">
        <v>2356</v>
      </c>
      <c r="I1894" t="s">
        <v>1251</v>
      </c>
      <c r="J1894" t="s">
        <v>126</v>
      </c>
      <c r="K1894" s="63">
        <v>13227</v>
      </c>
      <c r="L1894" s="28">
        <f>DATEDIF(K1894,Zwift25!G$1,"Y")</f>
        <v>88</v>
      </c>
      <c r="M1894" s="67">
        <f>IF(J1894="m",VLOOKUP(L1894,'All Solo Adjustments'!A:D,4,FALSE),VLOOKUP(L1894,'All Solo Adjustments'!A:J,10,FALSE))</f>
        <v>2.3113425925925926E-2</v>
      </c>
      <c r="N1894" s="63"/>
      <c r="O1894" s="63"/>
      <c r="P1894" s="63"/>
      <c r="Q1894" s="63"/>
      <c r="R1894" t="s">
        <v>154</v>
      </c>
      <c r="S1894" t="s">
        <v>153</v>
      </c>
      <c r="T1894" t="s">
        <v>292</v>
      </c>
      <c r="U1894" t="s">
        <v>3803</v>
      </c>
      <c r="V1894" t="s">
        <v>3802</v>
      </c>
      <c r="W1894" t="s">
        <v>2070</v>
      </c>
      <c r="X1894" t="s">
        <v>669</v>
      </c>
      <c r="Y1894" t="s">
        <v>3801</v>
      </c>
      <c r="Z1894" t="str">
        <f>""</f>
        <v/>
      </c>
      <c r="AA1894" t="str">
        <f>""</f>
        <v/>
      </c>
      <c r="AB1894" t="s">
        <v>290</v>
      </c>
      <c r="AC1894" t="s">
        <v>3800</v>
      </c>
      <c r="AD1894" t="s">
        <v>145</v>
      </c>
      <c r="AE1894" s="63">
        <v>45288</v>
      </c>
      <c r="AF1894" t="s">
        <v>113</v>
      </c>
      <c r="AG1894" t="s">
        <v>112</v>
      </c>
      <c r="AH1894" t="s">
        <v>112</v>
      </c>
      <c r="AI1894" s="63">
        <v>29587</v>
      </c>
      <c r="AJ1894" s="63">
        <v>45657</v>
      </c>
      <c r="AK1894" t="s">
        <v>111</v>
      </c>
      <c r="AL1894" t="s">
        <v>111</v>
      </c>
      <c r="AM1894" t="s">
        <v>111</v>
      </c>
      <c r="AN1894" t="s">
        <v>105</v>
      </c>
      <c r="AO1894" t="s">
        <v>122</v>
      </c>
      <c r="AP1894" t="s">
        <v>122</v>
      </c>
    </row>
    <row r="1895" spans="1:42" x14ac:dyDescent="0.25">
      <c r="A1895" s="28" t="str">
        <f>"2387"</f>
        <v>2387</v>
      </c>
      <c r="B1895">
        <v>2387</v>
      </c>
      <c r="C1895" t="s">
        <v>2488</v>
      </c>
      <c r="D1895" t="s">
        <v>121</v>
      </c>
      <c r="F1895" t="s">
        <v>120</v>
      </c>
      <c r="G1895" t="s">
        <v>1393</v>
      </c>
      <c r="I1895" t="s">
        <v>3799</v>
      </c>
      <c r="J1895" t="s">
        <v>7</v>
      </c>
      <c r="K1895" s="63">
        <v>15558</v>
      </c>
      <c r="L1895" s="28">
        <f>DATEDIF(K1895,Zwift25!G$1,"Y")</f>
        <v>82</v>
      </c>
      <c r="M1895" s="67">
        <f>IF(J1895="m",VLOOKUP(L1895,'All Solo Adjustments'!A:D,4,FALSE),VLOOKUP(L1895,'All Solo Adjustments'!A:J,10,FALSE))</f>
        <v>1.2210648148148148E-2</v>
      </c>
      <c r="N1895" s="63"/>
      <c r="O1895" s="63"/>
      <c r="P1895" s="63"/>
      <c r="Q1895" s="63"/>
      <c r="R1895" t="s">
        <v>154</v>
      </c>
      <c r="S1895" t="s">
        <v>153</v>
      </c>
      <c r="T1895" t="s">
        <v>292</v>
      </c>
      <c r="U1895" t="s">
        <v>3798</v>
      </c>
      <c r="V1895" t="s">
        <v>3797</v>
      </c>
      <c r="W1895" t="s">
        <v>793</v>
      </c>
      <c r="Y1895" t="s">
        <v>3796</v>
      </c>
      <c r="Z1895" t="str">
        <f>"01452 610403"</f>
        <v>01452 610403</v>
      </c>
      <c r="AA1895" t="str">
        <f>""</f>
        <v/>
      </c>
      <c r="AB1895" t="s">
        <v>290</v>
      </c>
      <c r="AC1895" t="s">
        <v>3795</v>
      </c>
      <c r="AD1895" t="s">
        <v>145</v>
      </c>
      <c r="AE1895" s="63">
        <v>45315</v>
      </c>
      <c r="AF1895" t="s">
        <v>113</v>
      </c>
      <c r="AG1895" t="s">
        <v>112</v>
      </c>
      <c r="AH1895" t="s">
        <v>112</v>
      </c>
      <c r="AI1895" s="63">
        <v>31413</v>
      </c>
      <c r="AJ1895" s="63">
        <v>45657</v>
      </c>
      <c r="AK1895" t="s">
        <v>111</v>
      </c>
      <c r="AL1895" t="s">
        <v>111</v>
      </c>
      <c r="AM1895" t="s">
        <v>111</v>
      </c>
      <c r="AN1895" t="s">
        <v>105</v>
      </c>
      <c r="AO1895" t="s">
        <v>110</v>
      </c>
      <c r="AP1895" t="s">
        <v>109</v>
      </c>
    </row>
    <row r="1896" spans="1:42" x14ac:dyDescent="0.25">
      <c r="A1896" s="28" t="str">
        <f>"2388"</f>
        <v>2388</v>
      </c>
      <c r="B1896">
        <v>2388</v>
      </c>
      <c r="C1896" t="s">
        <v>2488</v>
      </c>
      <c r="D1896" t="s">
        <v>121</v>
      </c>
      <c r="F1896" t="s">
        <v>120</v>
      </c>
      <c r="G1896" t="s">
        <v>402</v>
      </c>
      <c r="I1896" t="s">
        <v>3794</v>
      </c>
      <c r="J1896" t="s">
        <v>7</v>
      </c>
      <c r="K1896" s="63">
        <v>12828</v>
      </c>
      <c r="L1896" s="28">
        <f>DATEDIF(K1896,Zwift25!G$1,"Y")</f>
        <v>89</v>
      </c>
      <c r="M1896" s="67">
        <f>IF(J1896="m",VLOOKUP(L1896,'All Solo Adjustments'!A:D,4,FALSE),VLOOKUP(L1896,'All Solo Adjustments'!A:J,10,FALSE))</f>
        <v>1.7465277777777777E-2</v>
      </c>
      <c r="N1896" s="63"/>
      <c r="O1896" s="63"/>
      <c r="P1896" s="63"/>
      <c r="Q1896" s="63"/>
      <c r="R1896" t="s">
        <v>239</v>
      </c>
      <c r="S1896" t="s">
        <v>437</v>
      </c>
      <c r="T1896" t="s">
        <v>292</v>
      </c>
      <c r="U1896" t="s">
        <v>3793</v>
      </c>
      <c r="V1896" t="s">
        <v>627</v>
      </c>
      <c r="Y1896" t="s">
        <v>3792</v>
      </c>
      <c r="Z1896" t="str">
        <f>""</f>
        <v/>
      </c>
      <c r="AA1896" t="str">
        <f>""</f>
        <v/>
      </c>
      <c r="AB1896" t="s">
        <v>1961</v>
      </c>
      <c r="AD1896" t="s">
        <v>151</v>
      </c>
      <c r="AF1896" t="s">
        <v>113</v>
      </c>
      <c r="AG1896" t="s">
        <v>112</v>
      </c>
      <c r="AH1896" t="s">
        <v>112</v>
      </c>
      <c r="AI1896" s="63">
        <v>31843</v>
      </c>
      <c r="AK1896" t="s">
        <v>111</v>
      </c>
      <c r="AL1896" t="s">
        <v>111</v>
      </c>
      <c r="AM1896" t="s">
        <v>111</v>
      </c>
      <c r="AN1896" t="s">
        <v>105</v>
      </c>
      <c r="AO1896" t="s">
        <v>110</v>
      </c>
      <c r="AP1896" t="s">
        <v>109</v>
      </c>
    </row>
    <row r="1897" spans="1:42" x14ac:dyDescent="0.25">
      <c r="A1897" s="28" t="str">
        <f>"16122"</f>
        <v>16122</v>
      </c>
      <c r="B1897">
        <v>16122</v>
      </c>
      <c r="C1897" t="s">
        <v>2488</v>
      </c>
      <c r="D1897" t="s">
        <v>121</v>
      </c>
      <c r="F1897" t="s">
        <v>120</v>
      </c>
      <c r="G1897" t="s">
        <v>3791</v>
      </c>
      <c r="I1897" t="s">
        <v>3790</v>
      </c>
      <c r="J1897" t="s">
        <v>7</v>
      </c>
      <c r="K1897" s="63">
        <v>27412</v>
      </c>
      <c r="L1897" s="28">
        <f>DATEDIF(K1897,Zwift25!G$1,"Y")</f>
        <v>49</v>
      </c>
      <c r="M1897" s="67">
        <f>IF(J1897="m",VLOOKUP(L1897,'All Solo Adjustments'!A:D,4,FALSE),VLOOKUP(L1897,'All Solo Adjustments'!A:J,10,FALSE))</f>
        <v>9.837962962962962E-4</v>
      </c>
      <c r="N1897" s="63"/>
      <c r="O1897" s="63"/>
      <c r="P1897" s="63"/>
      <c r="Q1897" s="63"/>
      <c r="R1897" t="s">
        <v>324</v>
      </c>
      <c r="S1897" t="s">
        <v>323</v>
      </c>
      <c r="T1897" t="s">
        <v>292</v>
      </c>
      <c r="U1897" t="s">
        <v>3789</v>
      </c>
      <c r="W1897" t="s">
        <v>669</v>
      </c>
      <c r="X1897" t="s">
        <v>152</v>
      </c>
      <c r="Y1897" t="s">
        <v>3788</v>
      </c>
      <c r="Z1897" t="str">
        <f>"07890583253"</f>
        <v>07890583253</v>
      </c>
      <c r="AA1897" t="str">
        <f>""</f>
        <v/>
      </c>
      <c r="AB1897" t="s">
        <v>3787</v>
      </c>
      <c r="AC1897" t="s">
        <v>3786</v>
      </c>
      <c r="AD1897" t="s">
        <v>145</v>
      </c>
      <c r="AE1897" s="63">
        <v>45408</v>
      </c>
      <c r="AF1897" t="s">
        <v>156</v>
      </c>
      <c r="AG1897" t="s">
        <v>112</v>
      </c>
      <c r="AH1897" t="s">
        <v>112</v>
      </c>
      <c r="AI1897" s="63">
        <v>45408</v>
      </c>
      <c r="AJ1897" s="63">
        <v>45657</v>
      </c>
      <c r="AK1897" t="s">
        <v>112</v>
      </c>
      <c r="AL1897" t="s">
        <v>111</v>
      </c>
      <c r="AM1897" t="s">
        <v>112</v>
      </c>
      <c r="AN1897" t="s">
        <v>105</v>
      </c>
      <c r="AO1897" t="s">
        <v>110</v>
      </c>
      <c r="AP1897" t="s">
        <v>109</v>
      </c>
    </row>
    <row r="1898" spans="1:42" x14ac:dyDescent="0.25">
      <c r="A1898" s="28" t="str">
        <f>"9999990"</f>
        <v>9999990</v>
      </c>
      <c r="B1898">
        <v>9999990</v>
      </c>
      <c r="C1898" t="s">
        <v>2488</v>
      </c>
      <c r="D1898" t="s">
        <v>121</v>
      </c>
      <c r="E1898" t="s">
        <v>3785</v>
      </c>
      <c r="F1898" t="s">
        <v>120</v>
      </c>
      <c r="G1898" t="s">
        <v>3784</v>
      </c>
      <c r="I1898" t="s">
        <v>3783</v>
      </c>
      <c r="J1898" t="s">
        <v>7</v>
      </c>
      <c r="K1898" s="63">
        <v>23377</v>
      </c>
      <c r="L1898" s="28">
        <f>DATEDIF(K1898,Zwift25!G$1,"Y")</f>
        <v>60</v>
      </c>
      <c r="M1898" s="67">
        <f>IF(J1898="m",VLOOKUP(L1898,'All Solo Adjustments'!A:D,4,FALSE),VLOOKUP(L1898,'All Solo Adjustments'!A:J,10,FALSE))</f>
        <v>3.2060185185185186E-3</v>
      </c>
      <c r="N1898" s="63"/>
      <c r="O1898" s="63"/>
      <c r="P1898" s="63"/>
      <c r="Q1898" s="63"/>
      <c r="R1898" t="s">
        <v>324</v>
      </c>
      <c r="S1898" t="s">
        <v>323</v>
      </c>
      <c r="T1898" t="s">
        <v>292</v>
      </c>
      <c r="U1898" t="s">
        <v>3735</v>
      </c>
      <c r="V1898" t="s">
        <v>3734</v>
      </c>
      <c r="Y1898" t="s">
        <v>3762</v>
      </c>
      <c r="Z1898" t="str">
        <f>"9999 999999"</f>
        <v>9999 999999</v>
      </c>
      <c r="AA1898" t="str">
        <f>""</f>
        <v/>
      </c>
      <c r="AB1898" t="s">
        <v>3739</v>
      </c>
      <c r="AC1898" t="s">
        <v>3782</v>
      </c>
      <c r="AD1898" t="s">
        <v>145</v>
      </c>
      <c r="AE1898" s="63">
        <v>45348</v>
      </c>
      <c r="AF1898" t="s">
        <v>156</v>
      </c>
      <c r="AG1898" t="s">
        <v>112</v>
      </c>
      <c r="AH1898" t="s">
        <v>112</v>
      </c>
      <c r="AI1898" s="63">
        <v>43626</v>
      </c>
      <c r="AJ1898" s="63">
        <v>45657</v>
      </c>
      <c r="AK1898" t="s">
        <v>112</v>
      </c>
      <c r="AL1898" t="s">
        <v>111</v>
      </c>
      <c r="AM1898" t="s">
        <v>111</v>
      </c>
      <c r="AN1898" t="s">
        <v>105</v>
      </c>
      <c r="AO1898" t="s">
        <v>110</v>
      </c>
      <c r="AP1898" t="s">
        <v>109</v>
      </c>
    </row>
    <row r="1899" spans="1:42" x14ac:dyDescent="0.25">
      <c r="A1899" s="28" t="str">
        <f>"99999"</f>
        <v>99999</v>
      </c>
      <c r="B1899">
        <v>99999</v>
      </c>
      <c r="C1899" t="s">
        <v>2488</v>
      </c>
      <c r="D1899" t="s">
        <v>121</v>
      </c>
      <c r="F1899" t="s">
        <v>120</v>
      </c>
      <c r="G1899" t="s">
        <v>3781</v>
      </c>
      <c r="I1899" t="s">
        <v>3780</v>
      </c>
      <c r="J1899" t="s">
        <v>7</v>
      </c>
      <c r="K1899" s="63">
        <v>24185</v>
      </c>
      <c r="L1899" s="28">
        <f>DATEDIF(K1899,Zwift25!G$1,"Y")</f>
        <v>58</v>
      </c>
      <c r="M1899" s="67">
        <f>IF(J1899="m",VLOOKUP(L1899,'All Solo Adjustments'!A:D,4,FALSE),VLOOKUP(L1899,'All Solo Adjustments'!A:J,10,FALSE))</f>
        <v>2.7199074074074074E-3</v>
      </c>
      <c r="N1899" s="63"/>
      <c r="O1899" s="63"/>
      <c r="P1899" s="63"/>
      <c r="Q1899" s="63"/>
      <c r="R1899" t="s">
        <v>324</v>
      </c>
      <c r="S1899" t="s">
        <v>323</v>
      </c>
      <c r="T1899" t="s">
        <v>292</v>
      </c>
      <c r="U1899" t="s">
        <v>3779</v>
      </c>
      <c r="V1899" t="s">
        <v>3778</v>
      </c>
      <c r="W1899" t="s">
        <v>3777</v>
      </c>
      <c r="Y1899" t="s">
        <v>3776</v>
      </c>
      <c r="Z1899" t="str">
        <f>"111111111"</f>
        <v>111111111</v>
      </c>
      <c r="AA1899" t="str">
        <f>"111111111"</f>
        <v>111111111</v>
      </c>
      <c r="AB1899" t="s">
        <v>1028</v>
      </c>
      <c r="AC1899" t="s">
        <v>3775</v>
      </c>
      <c r="AD1899" t="s">
        <v>145</v>
      </c>
      <c r="AE1899" s="63">
        <v>45348</v>
      </c>
      <c r="AF1899" t="s">
        <v>113</v>
      </c>
      <c r="AG1899" t="s">
        <v>112</v>
      </c>
      <c r="AH1899" t="s">
        <v>112</v>
      </c>
      <c r="AI1899" s="63">
        <v>44926</v>
      </c>
      <c r="AJ1899" s="63">
        <v>45657</v>
      </c>
      <c r="AK1899" t="s">
        <v>112</v>
      </c>
      <c r="AL1899" t="s">
        <v>111</v>
      </c>
      <c r="AM1899" t="s">
        <v>111</v>
      </c>
      <c r="AN1899" t="s">
        <v>105</v>
      </c>
      <c r="AO1899" t="s">
        <v>110</v>
      </c>
      <c r="AP1899" t="s">
        <v>109</v>
      </c>
    </row>
    <row r="1900" spans="1:42" x14ac:dyDescent="0.25">
      <c r="A1900" s="28" t="str">
        <f>"9999992"</f>
        <v>9999992</v>
      </c>
      <c r="B1900">
        <v>9999992</v>
      </c>
      <c r="C1900" t="s">
        <v>2488</v>
      </c>
      <c r="D1900" t="s">
        <v>121</v>
      </c>
      <c r="F1900" t="s">
        <v>120</v>
      </c>
      <c r="G1900" t="s">
        <v>3774</v>
      </c>
      <c r="I1900" t="s">
        <v>3773</v>
      </c>
      <c r="J1900" t="s">
        <v>7</v>
      </c>
      <c r="K1900" s="63">
        <v>13881</v>
      </c>
      <c r="L1900" s="28">
        <f>DATEDIF(K1900,Zwift25!G$1,"Y")</f>
        <v>86</v>
      </c>
      <c r="M1900" s="67">
        <f>IF(J1900="m",VLOOKUP(L1900,'All Solo Adjustments'!A:D,4,FALSE),VLOOKUP(L1900,'All Solo Adjustments'!A:J,10,FALSE))</f>
        <v>1.4988425925925926E-2</v>
      </c>
      <c r="N1900" s="63"/>
      <c r="O1900" s="63"/>
      <c r="P1900" s="63"/>
      <c r="Q1900" s="63"/>
      <c r="R1900" t="s">
        <v>324</v>
      </c>
      <c r="S1900" t="s">
        <v>3765</v>
      </c>
      <c r="T1900" t="s">
        <v>292</v>
      </c>
      <c r="U1900" t="s">
        <v>3735</v>
      </c>
      <c r="V1900" t="s">
        <v>3734</v>
      </c>
      <c r="Y1900" t="s">
        <v>3731</v>
      </c>
      <c r="Z1900" t="str">
        <f>"99999999999"</f>
        <v>99999999999</v>
      </c>
      <c r="AA1900" t="str">
        <f>""</f>
        <v/>
      </c>
      <c r="AB1900" t="s">
        <v>3739</v>
      </c>
      <c r="AD1900" t="s">
        <v>145</v>
      </c>
      <c r="AF1900" t="s">
        <v>113</v>
      </c>
      <c r="AG1900" t="s">
        <v>112</v>
      </c>
      <c r="AH1900" t="s">
        <v>112</v>
      </c>
      <c r="AI1900" s="63">
        <v>43985</v>
      </c>
      <c r="AK1900" t="s">
        <v>112</v>
      </c>
      <c r="AL1900" t="s">
        <v>111</v>
      </c>
      <c r="AM1900" t="s">
        <v>111</v>
      </c>
      <c r="AN1900" t="s">
        <v>105</v>
      </c>
      <c r="AO1900" t="s">
        <v>110</v>
      </c>
      <c r="AP1900" t="s">
        <v>109</v>
      </c>
    </row>
    <row r="1901" spans="1:42" x14ac:dyDescent="0.25">
      <c r="A1901" s="28" t="str">
        <f>"876543"</f>
        <v>876543</v>
      </c>
      <c r="B1901">
        <v>876543</v>
      </c>
      <c r="C1901" t="s">
        <v>2488</v>
      </c>
      <c r="D1901" t="s">
        <v>121</v>
      </c>
      <c r="F1901" t="s">
        <v>120</v>
      </c>
      <c r="G1901" t="s">
        <v>3772</v>
      </c>
      <c r="I1901" t="s">
        <v>3771</v>
      </c>
      <c r="J1901" t="s">
        <v>7</v>
      </c>
      <c r="K1901" s="63">
        <v>24091</v>
      </c>
      <c r="L1901" s="28">
        <f>DATEDIF(K1901,Zwift25!G$1,"Y")</f>
        <v>58</v>
      </c>
      <c r="M1901" s="67">
        <f>IF(J1901="m",VLOOKUP(L1901,'All Solo Adjustments'!A:D,4,FALSE),VLOOKUP(L1901,'All Solo Adjustments'!A:J,10,FALSE))</f>
        <v>2.7199074074074074E-3</v>
      </c>
      <c r="N1901" s="63"/>
      <c r="O1901" s="63"/>
      <c r="P1901" s="63"/>
      <c r="Q1901" s="63"/>
      <c r="R1901" t="s">
        <v>324</v>
      </c>
      <c r="S1901" t="s">
        <v>323</v>
      </c>
      <c r="T1901" t="s">
        <v>292</v>
      </c>
      <c r="U1901" t="s">
        <v>3735</v>
      </c>
      <c r="V1901" t="s">
        <v>3734</v>
      </c>
      <c r="W1901" t="s">
        <v>322</v>
      </c>
      <c r="X1901" t="s">
        <v>321</v>
      </c>
      <c r="Y1901" t="s">
        <v>320</v>
      </c>
      <c r="Z1901" t="str">
        <f>"+449999999999"</f>
        <v>+449999999999</v>
      </c>
      <c r="AA1901" t="str">
        <f>""</f>
        <v/>
      </c>
      <c r="AB1901" t="s">
        <v>3739</v>
      </c>
      <c r="AD1901" t="s">
        <v>145</v>
      </c>
      <c r="AE1901" s="63">
        <v>45348</v>
      </c>
      <c r="AF1901" t="s">
        <v>113</v>
      </c>
      <c r="AG1901" t="s">
        <v>112</v>
      </c>
      <c r="AH1901" t="s">
        <v>112</v>
      </c>
      <c r="AI1901" s="63">
        <v>44978</v>
      </c>
      <c r="AJ1901" s="63">
        <v>45657</v>
      </c>
      <c r="AK1901" t="s">
        <v>112</v>
      </c>
      <c r="AL1901" t="s">
        <v>111</v>
      </c>
      <c r="AM1901" t="s">
        <v>111</v>
      </c>
      <c r="AN1901" t="s">
        <v>105</v>
      </c>
      <c r="AO1901" t="s">
        <v>110</v>
      </c>
      <c r="AP1901" t="s">
        <v>109</v>
      </c>
    </row>
    <row r="1902" spans="1:42" x14ac:dyDescent="0.25">
      <c r="A1902" s="28" t="str">
        <f>"1234567"</f>
        <v>1234567</v>
      </c>
      <c r="B1902">
        <v>1234567</v>
      </c>
      <c r="C1902" t="s">
        <v>2488</v>
      </c>
      <c r="D1902" t="s">
        <v>121</v>
      </c>
      <c r="F1902" t="s">
        <v>120</v>
      </c>
      <c r="G1902" t="s">
        <v>3770</v>
      </c>
      <c r="I1902" t="s">
        <v>3769</v>
      </c>
      <c r="J1902" t="s">
        <v>7</v>
      </c>
      <c r="K1902" s="63">
        <v>24457</v>
      </c>
      <c r="L1902" s="28">
        <f>DATEDIF(K1902,Zwift25!G$1,"Y")</f>
        <v>57</v>
      </c>
      <c r="M1902" s="67">
        <f>IF(J1902="m",VLOOKUP(L1902,'All Solo Adjustments'!A:D,4,FALSE),VLOOKUP(L1902,'All Solo Adjustments'!A:J,10,FALSE))</f>
        <v>2.488425925925926E-3</v>
      </c>
      <c r="N1902" s="63"/>
      <c r="O1902" s="63"/>
      <c r="P1902" s="63"/>
      <c r="Q1902" s="63"/>
      <c r="R1902" t="s">
        <v>324</v>
      </c>
      <c r="S1902" t="s">
        <v>3768</v>
      </c>
      <c r="T1902" t="s">
        <v>292</v>
      </c>
      <c r="U1902" t="s">
        <v>3735</v>
      </c>
      <c r="V1902" t="s">
        <v>3734</v>
      </c>
      <c r="W1902" t="s">
        <v>322</v>
      </c>
      <c r="Y1902" t="s">
        <v>320</v>
      </c>
      <c r="Z1902" t="str">
        <f>"+449999999999"</f>
        <v>+449999999999</v>
      </c>
      <c r="AA1902" t="str">
        <f>""</f>
        <v/>
      </c>
      <c r="AB1902" t="s">
        <v>3739</v>
      </c>
      <c r="AC1902" t="s">
        <v>3750</v>
      </c>
      <c r="AD1902" t="s">
        <v>145</v>
      </c>
      <c r="AE1902" s="63">
        <v>45353</v>
      </c>
      <c r="AF1902" t="s">
        <v>156</v>
      </c>
      <c r="AG1902" t="s">
        <v>112</v>
      </c>
      <c r="AH1902" t="s">
        <v>112</v>
      </c>
      <c r="AI1902" s="63">
        <v>44978</v>
      </c>
      <c r="AJ1902" s="63">
        <v>45657</v>
      </c>
      <c r="AK1902" t="s">
        <v>112</v>
      </c>
      <c r="AL1902" t="s">
        <v>111</v>
      </c>
      <c r="AM1902" t="s">
        <v>111</v>
      </c>
      <c r="AN1902" t="s">
        <v>105</v>
      </c>
      <c r="AO1902" t="s">
        <v>110</v>
      </c>
      <c r="AP1902" t="s">
        <v>109</v>
      </c>
    </row>
    <row r="1903" spans="1:42" x14ac:dyDescent="0.25">
      <c r="A1903" s="28" t="str">
        <f>"9999999"</f>
        <v>9999999</v>
      </c>
      <c r="B1903">
        <v>9999999</v>
      </c>
      <c r="C1903" t="s">
        <v>2488</v>
      </c>
      <c r="D1903" t="s">
        <v>121</v>
      </c>
      <c r="F1903" t="s">
        <v>120</v>
      </c>
      <c r="G1903" t="s">
        <v>3767</v>
      </c>
      <c r="I1903" t="s">
        <v>3766</v>
      </c>
      <c r="J1903" t="s">
        <v>7</v>
      </c>
      <c r="K1903" s="63">
        <v>17023</v>
      </c>
      <c r="L1903" s="28">
        <f>DATEDIF(K1903,Zwift25!G$1,"Y")</f>
        <v>78</v>
      </c>
      <c r="M1903" s="67">
        <f>IF(J1903="m",VLOOKUP(L1903,'All Solo Adjustments'!A:D,4,FALSE),VLOOKUP(L1903,'All Solo Adjustments'!A:J,10,FALSE))</f>
        <v>9.9189814814814817E-3</v>
      </c>
      <c r="N1903" s="63"/>
      <c r="O1903" s="63"/>
      <c r="P1903" s="63"/>
      <c r="Q1903" s="63"/>
      <c r="R1903" t="s">
        <v>324</v>
      </c>
      <c r="S1903" t="s">
        <v>3765</v>
      </c>
      <c r="T1903" t="s">
        <v>292</v>
      </c>
      <c r="U1903" t="s">
        <v>3735</v>
      </c>
      <c r="V1903" t="s">
        <v>3734</v>
      </c>
      <c r="W1903" t="s">
        <v>3764</v>
      </c>
      <c r="X1903" t="s">
        <v>3763</v>
      </c>
      <c r="Y1903" t="s">
        <v>3762</v>
      </c>
      <c r="Z1903" t="str">
        <f>"9999999999"</f>
        <v>9999999999</v>
      </c>
      <c r="AA1903" t="str">
        <f>""</f>
        <v/>
      </c>
      <c r="AB1903" t="s">
        <v>3739</v>
      </c>
      <c r="AC1903" t="s">
        <v>3761</v>
      </c>
      <c r="AD1903" t="s">
        <v>145</v>
      </c>
      <c r="AF1903" t="s">
        <v>156</v>
      </c>
      <c r="AG1903" t="s">
        <v>112</v>
      </c>
      <c r="AH1903" t="s">
        <v>112</v>
      </c>
      <c r="AI1903" s="63">
        <v>43382</v>
      </c>
      <c r="AK1903" t="s">
        <v>112</v>
      </c>
      <c r="AL1903" t="s">
        <v>111</v>
      </c>
      <c r="AM1903" t="s">
        <v>111</v>
      </c>
      <c r="AN1903">
        <v>34089</v>
      </c>
      <c r="AO1903" t="s">
        <v>110</v>
      </c>
      <c r="AP1903" t="s">
        <v>109</v>
      </c>
    </row>
    <row r="1904" spans="1:42" x14ac:dyDescent="0.25">
      <c r="A1904" s="28" t="str">
        <f>"14548"</f>
        <v>14548</v>
      </c>
      <c r="B1904">
        <v>14548</v>
      </c>
      <c r="C1904" t="s">
        <v>2488</v>
      </c>
      <c r="D1904" t="s">
        <v>121</v>
      </c>
      <c r="F1904" t="s">
        <v>120</v>
      </c>
      <c r="G1904" t="s">
        <v>3760</v>
      </c>
      <c r="I1904" t="s">
        <v>3759</v>
      </c>
      <c r="J1904" t="s">
        <v>126</v>
      </c>
      <c r="K1904" s="63">
        <v>19123</v>
      </c>
      <c r="L1904" s="28">
        <f>DATEDIF(K1904,Zwift25!G$1,"Y")</f>
        <v>72</v>
      </c>
      <c r="M1904" s="67">
        <f>IF(J1904="m",VLOOKUP(L1904,'All Solo Adjustments'!A:D,4,FALSE),VLOOKUP(L1904,'All Solo Adjustments'!A:J,10,FALSE))</f>
        <v>1.2453703703703705E-2</v>
      </c>
      <c r="N1904" s="63"/>
      <c r="O1904" s="63"/>
      <c r="P1904" s="63"/>
      <c r="Q1904" s="63"/>
      <c r="R1904" t="s">
        <v>324</v>
      </c>
      <c r="S1904" t="s">
        <v>323</v>
      </c>
      <c r="T1904" t="s">
        <v>292</v>
      </c>
      <c r="U1904" t="s">
        <v>3758</v>
      </c>
      <c r="V1904" t="s">
        <v>322</v>
      </c>
      <c r="W1904" t="s">
        <v>321</v>
      </c>
      <c r="Y1904" t="s">
        <v>3757</v>
      </c>
      <c r="Z1904" t="str">
        <f>"05555 555555"</f>
        <v>05555 555555</v>
      </c>
      <c r="AA1904" t="str">
        <f>""</f>
        <v/>
      </c>
      <c r="AB1904" t="s">
        <v>3739</v>
      </c>
      <c r="AC1904" t="s">
        <v>3756</v>
      </c>
      <c r="AD1904" t="s">
        <v>145</v>
      </c>
      <c r="AE1904" s="63">
        <v>45348</v>
      </c>
      <c r="AF1904" t="s">
        <v>113</v>
      </c>
      <c r="AG1904" t="s">
        <v>112</v>
      </c>
      <c r="AH1904" t="s">
        <v>112</v>
      </c>
      <c r="AI1904" s="63">
        <v>43989</v>
      </c>
      <c r="AJ1904" s="63">
        <v>45657</v>
      </c>
      <c r="AK1904" t="s">
        <v>112</v>
      </c>
      <c r="AL1904" t="s">
        <v>111</v>
      </c>
      <c r="AM1904" t="s">
        <v>111</v>
      </c>
      <c r="AN1904" t="s">
        <v>105</v>
      </c>
      <c r="AO1904" t="s">
        <v>122</v>
      </c>
      <c r="AP1904" t="s">
        <v>122</v>
      </c>
    </row>
    <row r="1905" spans="1:42" x14ac:dyDescent="0.25">
      <c r="A1905" s="28" t="str">
        <f>"14549"</f>
        <v>14549</v>
      </c>
      <c r="B1905">
        <v>14549</v>
      </c>
      <c r="C1905" t="s">
        <v>2488</v>
      </c>
      <c r="D1905" t="s">
        <v>121</v>
      </c>
      <c r="F1905" t="s">
        <v>149</v>
      </c>
      <c r="G1905" t="s">
        <v>3755</v>
      </c>
      <c r="I1905" t="s">
        <v>3754</v>
      </c>
      <c r="J1905" t="s">
        <v>126</v>
      </c>
      <c r="K1905" s="63">
        <v>22894</v>
      </c>
      <c r="L1905" s="28">
        <f>DATEDIF(K1905,Zwift25!G$1,"Y")</f>
        <v>62</v>
      </c>
      <c r="M1905" s="67">
        <f>IF(J1905="m",VLOOKUP(L1905,'All Solo Adjustments'!A:D,4,FALSE),VLOOKUP(L1905,'All Solo Adjustments'!A:J,10,FALSE))</f>
        <v>7.6041666666666662E-3</v>
      </c>
      <c r="N1905" s="63"/>
      <c r="O1905" s="63"/>
      <c r="P1905" s="63"/>
      <c r="Q1905" s="63"/>
      <c r="R1905" t="s">
        <v>296</v>
      </c>
      <c r="S1905" t="s">
        <v>2310</v>
      </c>
      <c r="T1905" t="s">
        <v>292</v>
      </c>
      <c r="U1905" t="s">
        <v>3753</v>
      </c>
      <c r="V1905" t="s">
        <v>322</v>
      </c>
      <c r="W1905" t="s">
        <v>3752</v>
      </c>
      <c r="Y1905" t="s">
        <v>3751</v>
      </c>
      <c r="Z1905" t="str">
        <f>"999999999"</f>
        <v>999999999</v>
      </c>
      <c r="AA1905" t="str">
        <f>""</f>
        <v/>
      </c>
      <c r="AB1905" t="s">
        <v>319</v>
      </c>
      <c r="AC1905" t="s">
        <v>3750</v>
      </c>
      <c r="AD1905" t="s">
        <v>145</v>
      </c>
      <c r="AF1905" t="s">
        <v>156</v>
      </c>
      <c r="AG1905" t="s">
        <v>111</v>
      </c>
      <c r="AH1905" t="s">
        <v>111</v>
      </c>
      <c r="AI1905" s="63">
        <v>43989</v>
      </c>
      <c r="AK1905" t="s">
        <v>112</v>
      </c>
      <c r="AL1905" t="s">
        <v>111</v>
      </c>
      <c r="AM1905" t="s">
        <v>111</v>
      </c>
      <c r="AN1905" t="s">
        <v>105</v>
      </c>
      <c r="AO1905" t="s">
        <v>122</v>
      </c>
      <c r="AP1905" t="s">
        <v>122</v>
      </c>
    </row>
    <row r="1906" spans="1:42" x14ac:dyDescent="0.25">
      <c r="A1906" s="28" t="str">
        <f>"14570"</f>
        <v>14570</v>
      </c>
      <c r="B1906">
        <v>14570</v>
      </c>
      <c r="C1906" t="s">
        <v>2488</v>
      </c>
      <c r="D1906" t="s">
        <v>121</v>
      </c>
      <c r="F1906" t="s">
        <v>120</v>
      </c>
      <c r="G1906" t="s">
        <v>3749</v>
      </c>
      <c r="I1906" t="s">
        <v>3748</v>
      </c>
      <c r="J1906" t="s">
        <v>7</v>
      </c>
      <c r="K1906" s="63">
        <v>26229</v>
      </c>
      <c r="L1906" s="28">
        <f>DATEDIF(K1906,Zwift25!G$1,"Y")</f>
        <v>52</v>
      </c>
      <c r="M1906" s="67">
        <f>IF(J1906="m",VLOOKUP(L1906,'All Solo Adjustments'!A:D,4,FALSE),VLOOKUP(L1906,'All Solo Adjustments'!A:J,10,FALSE))</f>
        <v>1.4814814814814816E-3</v>
      </c>
      <c r="N1906" s="63"/>
      <c r="O1906" s="63"/>
      <c r="P1906" s="63"/>
      <c r="Q1906" s="63"/>
      <c r="R1906" t="s">
        <v>324</v>
      </c>
      <c r="S1906" t="s">
        <v>323</v>
      </c>
      <c r="T1906" t="s">
        <v>292</v>
      </c>
      <c r="U1906" t="s">
        <v>3747</v>
      </c>
      <c r="V1906" t="s">
        <v>440</v>
      </c>
      <c r="W1906" t="s">
        <v>564</v>
      </c>
      <c r="Y1906" t="s">
        <v>3746</v>
      </c>
      <c r="Z1906" t="str">
        <f>"09999 999999"</f>
        <v>09999 999999</v>
      </c>
      <c r="AA1906" t="str">
        <f>""</f>
        <v/>
      </c>
      <c r="AB1906" t="s">
        <v>3739</v>
      </c>
      <c r="AC1906" t="s">
        <v>3745</v>
      </c>
      <c r="AD1906" t="s">
        <v>145</v>
      </c>
      <c r="AE1906" s="63">
        <v>45348</v>
      </c>
      <c r="AF1906" t="s">
        <v>156</v>
      </c>
      <c r="AG1906" t="s">
        <v>112</v>
      </c>
      <c r="AH1906" t="s">
        <v>112</v>
      </c>
      <c r="AI1906" s="63">
        <v>44012</v>
      </c>
      <c r="AJ1906" s="63">
        <v>45657</v>
      </c>
      <c r="AK1906" t="s">
        <v>112</v>
      </c>
      <c r="AL1906" t="s">
        <v>111</v>
      </c>
      <c r="AM1906" t="s">
        <v>111</v>
      </c>
      <c r="AN1906" t="s">
        <v>105</v>
      </c>
      <c r="AO1906" t="s">
        <v>110</v>
      </c>
      <c r="AP1906" t="s">
        <v>109</v>
      </c>
    </row>
    <row r="1907" spans="1:42" x14ac:dyDescent="0.25">
      <c r="A1907" s="28" t="str">
        <f>"14738"</f>
        <v>14738</v>
      </c>
      <c r="B1907">
        <v>14738</v>
      </c>
      <c r="C1907" t="s">
        <v>2488</v>
      </c>
      <c r="D1907" t="s">
        <v>121</v>
      </c>
      <c r="F1907" t="s">
        <v>120</v>
      </c>
      <c r="G1907" t="s">
        <v>3744</v>
      </c>
      <c r="I1907" t="s">
        <v>3743</v>
      </c>
      <c r="J1907" t="s">
        <v>7</v>
      </c>
      <c r="K1907" s="63">
        <v>24456</v>
      </c>
      <c r="L1907" s="28">
        <f>DATEDIF(K1907,Zwift25!G$1,"Y")</f>
        <v>57</v>
      </c>
      <c r="M1907" s="67">
        <f>IF(J1907="m",VLOOKUP(L1907,'All Solo Adjustments'!A:D,4,FALSE),VLOOKUP(L1907,'All Solo Adjustments'!A:J,10,FALSE))</f>
        <v>2.488425925925926E-3</v>
      </c>
      <c r="N1907" s="63"/>
      <c r="O1907" s="63"/>
      <c r="P1907" s="63"/>
      <c r="Q1907" s="63"/>
      <c r="R1907" t="s">
        <v>324</v>
      </c>
      <c r="S1907" t="s">
        <v>323</v>
      </c>
      <c r="T1907" t="s">
        <v>292</v>
      </c>
      <c r="U1907" t="s">
        <v>3735</v>
      </c>
      <c r="V1907" t="s">
        <v>3734</v>
      </c>
      <c r="Y1907" t="s">
        <v>3742</v>
      </c>
      <c r="Z1907" t="str">
        <f>"+44999999999"</f>
        <v>+44999999999</v>
      </c>
      <c r="AA1907" t="str">
        <f>""</f>
        <v/>
      </c>
      <c r="AB1907" t="s">
        <v>3739</v>
      </c>
      <c r="AD1907" t="s">
        <v>145</v>
      </c>
      <c r="AE1907" s="63">
        <v>45348</v>
      </c>
      <c r="AF1907" t="s">
        <v>113</v>
      </c>
      <c r="AG1907" t="s">
        <v>112</v>
      </c>
      <c r="AH1907" t="s">
        <v>112</v>
      </c>
      <c r="AI1907" s="63">
        <v>44081</v>
      </c>
      <c r="AJ1907" s="63">
        <v>45657</v>
      </c>
      <c r="AK1907" t="s">
        <v>112</v>
      </c>
      <c r="AL1907" t="s">
        <v>111</v>
      </c>
      <c r="AM1907" t="s">
        <v>111</v>
      </c>
      <c r="AN1907" t="s">
        <v>105</v>
      </c>
      <c r="AO1907" t="s">
        <v>110</v>
      </c>
      <c r="AP1907" t="s">
        <v>109</v>
      </c>
    </row>
    <row r="1908" spans="1:42" x14ac:dyDescent="0.25">
      <c r="A1908" s="28" t="str">
        <f>"9999991"</f>
        <v>9999991</v>
      </c>
      <c r="B1908">
        <v>9999991</v>
      </c>
      <c r="C1908" t="s">
        <v>2488</v>
      </c>
      <c r="D1908" t="s">
        <v>121</v>
      </c>
      <c r="F1908" t="s">
        <v>120</v>
      </c>
      <c r="G1908" t="s">
        <v>3741</v>
      </c>
      <c r="I1908" t="s">
        <v>3740</v>
      </c>
      <c r="J1908" t="s">
        <v>7</v>
      </c>
      <c r="K1908" s="63">
        <v>13150</v>
      </c>
      <c r="L1908" s="28">
        <f>DATEDIF(K1908,Zwift25!G$1,"Y")</f>
        <v>88</v>
      </c>
      <c r="M1908" s="67">
        <f>IF(J1908="m",VLOOKUP(L1908,'All Solo Adjustments'!A:D,4,FALSE),VLOOKUP(L1908,'All Solo Adjustments'!A:J,10,FALSE))</f>
        <v>1.6597222222222222E-2</v>
      </c>
      <c r="N1908" s="63"/>
      <c r="O1908" s="63"/>
      <c r="P1908" s="63"/>
      <c r="Q1908" s="63"/>
      <c r="R1908" t="s">
        <v>324</v>
      </c>
      <c r="S1908" t="s">
        <v>3736</v>
      </c>
      <c r="T1908" t="s">
        <v>292</v>
      </c>
      <c r="U1908" t="s">
        <v>3735</v>
      </c>
      <c r="V1908" t="s">
        <v>3734</v>
      </c>
      <c r="Y1908" t="s">
        <v>3731</v>
      </c>
      <c r="Z1908" t="str">
        <f>"99999 999999"</f>
        <v>99999 999999</v>
      </c>
      <c r="AA1908" t="str">
        <f>""</f>
        <v/>
      </c>
      <c r="AB1908" t="s">
        <v>3739</v>
      </c>
      <c r="AC1908" t="s">
        <v>3730</v>
      </c>
      <c r="AD1908" t="s">
        <v>145</v>
      </c>
      <c r="AE1908" s="63">
        <v>45348</v>
      </c>
      <c r="AF1908" t="s">
        <v>156</v>
      </c>
      <c r="AG1908" t="s">
        <v>112</v>
      </c>
      <c r="AH1908" t="s">
        <v>112</v>
      </c>
      <c r="AI1908" s="63">
        <v>43985</v>
      </c>
      <c r="AJ1908" s="63">
        <v>45657</v>
      </c>
      <c r="AK1908" t="s">
        <v>112</v>
      </c>
      <c r="AL1908" t="s">
        <v>111</v>
      </c>
      <c r="AM1908" t="s">
        <v>111</v>
      </c>
      <c r="AN1908" t="s">
        <v>105</v>
      </c>
      <c r="AO1908" t="s">
        <v>110</v>
      </c>
      <c r="AP1908" t="s">
        <v>109</v>
      </c>
    </row>
    <row r="1909" spans="1:42" x14ac:dyDescent="0.25">
      <c r="A1909" s="28" t="str">
        <f>"14540"</f>
        <v>14540</v>
      </c>
      <c r="B1909">
        <v>14540</v>
      </c>
      <c r="C1909" t="s">
        <v>2488</v>
      </c>
      <c r="D1909" t="s">
        <v>121</v>
      </c>
      <c r="F1909" t="s">
        <v>149</v>
      </c>
      <c r="G1909" t="s">
        <v>3738</v>
      </c>
      <c r="I1909" t="s">
        <v>3737</v>
      </c>
      <c r="J1909" t="s">
        <v>126</v>
      </c>
      <c r="K1909" s="63">
        <v>29252</v>
      </c>
      <c r="L1909" s="28">
        <f>DATEDIF(K1909,Zwift25!G$1,"Y")</f>
        <v>44</v>
      </c>
      <c r="M1909" s="67">
        <f>IF(J1909="m",VLOOKUP(L1909,'All Solo Adjustments'!A:D,4,FALSE),VLOOKUP(L1909,'All Solo Adjustments'!A:J,10,FALSE))</f>
        <v>4.5717592592592598E-3</v>
      </c>
      <c r="N1909" s="63"/>
      <c r="O1909" s="63"/>
      <c r="P1909" s="63"/>
      <c r="Q1909" s="63"/>
      <c r="R1909" t="s">
        <v>324</v>
      </c>
      <c r="S1909" t="s">
        <v>3736</v>
      </c>
      <c r="T1909" t="s">
        <v>292</v>
      </c>
      <c r="U1909" t="s">
        <v>3735</v>
      </c>
      <c r="V1909" t="s">
        <v>3734</v>
      </c>
      <c r="W1909" t="s">
        <v>3733</v>
      </c>
      <c r="X1909" t="s">
        <v>3732</v>
      </c>
      <c r="Y1909" t="s">
        <v>3731</v>
      </c>
      <c r="Z1909" t="str">
        <f>"99999999999"</f>
        <v>99999999999</v>
      </c>
      <c r="AA1909" t="str">
        <f>"99999999999"</f>
        <v>99999999999</v>
      </c>
      <c r="AB1909" t="s">
        <v>319</v>
      </c>
      <c r="AC1909" t="s">
        <v>3730</v>
      </c>
      <c r="AD1909" t="s">
        <v>145</v>
      </c>
      <c r="AE1909" s="63">
        <v>45348</v>
      </c>
      <c r="AF1909" t="s">
        <v>156</v>
      </c>
      <c r="AG1909" t="s">
        <v>112</v>
      </c>
      <c r="AH1909" t="s">
        <v>112</v>
      </c>
      <c r="AI1909" s="63">
        <v>43985</v>
      </c>
      <c r="AJ1909" s="63">
        <v>45657</v>
      </c>
      <c r="AK1909" t="s">
        <v>112</v>
      </c>
      <c r="AL1909" t="s">
        <v>112</v>
      </c>
      <c r="AM1909" t="s">
        <v>112</v>
      </c>
      <c r="AN1909" t="s">
        <v>105</v>
      </c>
      <c r="AO1909" t="s">
        <v>122</v>
      </c>
      <c r="AP1909" t="s">
        <v>122</v>
      </c>
    </row>
    <row r="1910" spans="1:42" x14ac:dyDescent="0.25">
      <c r="A1910" s="28" t="str">
        <f>"15513"</f>
        <v>15513</v>
      </c>
      <c r="B1910">
        <v>15513</v>
      </c>
      <c r="C1910" t="s">
        <v>2488</v>
      </c>
      <c r="D1910" t="s">
        <v>121</v>
      </c>
      <c r="E1910" t="s">
        <v>584</v>
      </c>
      <c r="F1910" t="s">
        <v>120</v>
      </c>
      <c r="G1910" t="s">
        <v>1409</v>
      </c>
      <c r="H1910" t="s">
        <v>705</v>
      </c>
      <c r="I1910" t="s">
        <v>3729</v>
      </c>
      <c r="J1910" t="s">
        <v>7</v>
      </c>
      <c r="K1910" s="63">
        <v>23146</v>
      </c>
      <c r="L1910" s="28">
        <f>DATEDIF(K1910,Zwift25!G$1,"Y")</f>
        <v>61</v>
      </c>
      <c r="M1910" s="67">
        <f>IF(J1910="m",VLOOKUP(L1910,'All Solo Adjustments'!A:D,4,FALSE),VLOOKUP(L1910,'All Solo Adjustments'!A:J,10,FALSE))</f>
        <v>3.4722222222222225E-3</v>
      </c>
      <c r="N1910" s="63"/>
      <c r="O1910" s="63"/>
      <c r="P1910" s="63"/>
      <c r="Q1910" s="63"/>
      <c r="R1910" t="s">
        <v>143</v>
      </c>
      <c r="S1910" t="s">
        <v>142</v>
      </c>
      <c r="T1910" t="s">
        <v>292</v>
      </c>
      <c r="U1910" t="s">
        <v>3728</v>
      </c>
      <c r="V1910" t="s">
        <v>3727</v>
      </c>
      <c r="X1910" t="s">
        <v>1900</v>
      </c>
      <c r="Y1910" t="s">
        <v>3726</v>
      </c>
      <c r="Z1910" t="str">
        <f>"07827274513"</f>
        <v>07827274513</v>
      </c>
      <c r="AA1910" t="str">
        <f>""</f>
        <v/>
      </c>
      <c r="AB1910" t="s">
        <v>305</v>
      </c>
      <c r="AC1910" t="s">
        <v>3725</v>
      </c>
      <c r="AD1910" t="s">
        <v>114</v>
      </c>
      <c r="AE1910" s="63">
        <v>45363</v>
      </c>
      <c r="AF1910" t="s">
        <v>156</v>
      </c>
      <c r="AG1910" t="s">
        <v>112</v>
      </c>
      <c r="AH1910" t="s">
        <v>112</v>
      </c>
      <c r="AI1910" s="63">
        <v>44717</v>
      </c>
      <c r="AJ1910" s="63">
        <v>45657</v>
      </c>
      <c r="AK1910" t="s">
        <v>112</v>
      </c>
      <c r="AL1910" t="s">
        <v>111</v>
      </c>
      <c r="AM1910" t="s">
        <v>111</v>
      </c>
      <c r="AN1910">
        <v>4184</v>
      </c>
      <c r="AO1910" t="s">
        <v>110</v>
      </c>
      <c r="AP1910" t="s">
        <v>109</v>
      </c>
    </row>
    <row r="1911" spans="1:42" x14ac:dyDescent="0.25">
      <c r="A1911" s="28" t="str">
        <f>"2392"</f>
        <v>2392</v>
      </c>
      <c r="B1911">
        <v>2392</v>
      </c>
      <c r="C1911" t="s">
        <v>2488</v>
      </c>
      <c r="D1911" t="s">
        <v>121</v>
      </c>
      <c r="F1911" t="s">
        <v>149</v>
      </c>
      <c r="G1911" t="s">
        <v>3724</v>
      </c>
      <c r="I1911" t="s">
        <v>3723</v>
      </c>
      <c r="J1911" t="s">
        <v>126</v>
      </c>
      <c r="K1911" s="63">
        <v>12910</v>
      </c>
      <c r="L1911" s="28">
        <f>DATEDIF(K1911,Zwift25!G$1,"Y")</f>
        <v>89</v>
      </c>
      <c r="M1911" s="67">
        <f>IF(J1911="m",VLOOKUP(L1911,'All Solo Adjustments'!A:D,4,FALSE),VLOOKUP(L1911,'All Solo Adjustments'!A:J,10,FALSE))</f>
        <v>2.4097222222222221E-2</v>
      </c>
      <c r="N1911" s="63"/>
      <c r="O1911" s="63"/>
      <c r="P1911" s="63"/>
      <c r="Q1911" s="63"/>
      <c r="R1911" t="s">
        <v>296</v>
      </c>
      <c r="S1911" t="s">
        <v>2310</v>
      </c>
      <c r="T1911" t="s">
        <v>292</v>
      </c>
      <c r="U1911" t="s">
        <v>3722</v>
      </c>
      <c r="V1911" t="s">
        <v>2433</v>
      </c>
      <c r="W1911" t="s">
        <v>804</v>
      </c>
      <c r="Y1911" t="s">
        <v>3721</v>
      </c>
      <c r="Z1911" t="str">
        <f>"0141 560 4300"</f>
        <v>0141 560 4300</v>
      </c>
      <c r="AA1911" t="str">
        <f>""</f>
        <v/>
      </c>
      <c r="AB1911" t="s">
        <v>1201</v>
      </c>
      <c r="AC1911" t="s">
        <v>3720</v>
      </c>
      <c r="AD1911" t="s">
        <v>151</v>
      </c>
      <c r="AF1911" t="s">
        <v>113</v>
      </c>
      <c r="AG1911" t="s">
        <v>112</v>
      </c>
      <c r="AH1911" t="s">
        <v>112</v>
      </c>
      <c r="AI1911" s="63">
        <v>28976</v>
      </c>
      <c r="AK1911" t="s">
        <v>111</v>
      </c>
      <c r="AL1911" t="s">
        <v>111</v>
      </c>
      <c r="AM1911" t="s">
        <v>111</v>
      </c>
      <c r="AN1911" t="s">
        <v>105</v>
      </c>
      <c r="AO1911" t="s">
        <v>122</v>
      </c>
      <c r="AP1911" t="s">
        <v>122</v>
      </c>
    </row>
    <row r="1912" spans="1:42" x14ac:dyDescent="0.25">
      <c r="A1912" s="28" t="str">
        <f>"5913"</f>
        <v>5913</v>
      </c>
      <c r="B1912">
        <v>5913</v>
      </c>
      <c r="C1912" t="s">
        <v>2488</v>
      </c>
      <c r="D1912" t="s">
        <v>121</v>
      </c>
      <c r="F1912" t="s">
        <v>120</v>
      </c>
      <c r="G1912" t="s">
        <v>165</v>
      </c>
      <c r="I1912" t="s">
        <v>234</v>
      </c>
      <c r="J1912" t="s">
        <v>7</v>
      </c>
      <c r="K1912" s="63">
        <v>23118</v>
      </c>
      <c r="L1912" s="28">
        <f>DATEDIF(K1912,Zwift25!G$1,"Y")</f>
        <v>61</v>
      </c>
      <c r="M1912" s="67">
        <f>IF(J1912="m",VLOOKUP(L1912,'All Solo Adjustments'!A:D,4,FALSE),VLOOKUP(L1912,'All Solo Adjustments'!A:J,10,FALSE))</f>
        <v>3.4722222222222225E-3</v>
      </c>
      <c r="N1912" s="63"/>
      <c r="O1912" s="63"/>
      <c r="P1912" s="63"/>
      <c r="Q1912" s="63"/>
      <c r="R1912" t="s">
        <v>125</v>
      </c>
      <c r="S1912" t="s">
        <v>170</v>
      </c>
      <c r="T1912" t="s">
        <v>292</v>
      </c>
      <c r="U1912" t="s">
        <v>3719</v>
      </c>
      <c r="V1912" t="s">
        <v>1779</v>
      </c>
      <c r="Y1912" t="s">
        <v>3718</v>
      </c>
      <c r="Z1912" t="str">
        <f>"07908 205019"</f>
        <v>07908 205019</v>
      </c>
      <c r="AA1912" t="str">
        <f>""</f>
        <v/>
      </c>
      <c r="AB1912" t="s">
        <v>3717</v>
      </c>
      <c r="AC1912" t="s">
        <v>3716</v>
      </c>
      <c r="AD1912" t="s">
        <v>145</v>
      </c>
      <c r="AE1912" s="63">
        <v>45210</v>
      </c>
      <c r="AF1912" t="s">
        <v>156</v>
      </c>
      <c r="AG1912" t="s">
        <v>112</v>
      </c>
      <c r="AH1912" t="s">
        <v>112</v>
      </c>
      <c r="AI1912" s="63">
        <v>42546</v>
      </c>
      <c r="AJ1912" s="63">
        <v>45657</v>
      </c>
      <c r="AK1912" t="s">
        <v>111</v>
      </c>
      <c r="AL1912" t="s">
        <v>111</v>
      </c>
      <c r="AM1912" t="s">
        <v>111</v>
      </c>
      <c r="AN1912">
        <v>51327</v>
      </c>
      <c r="AO1912" t="s">
        <v>110</v>
      </c>
      <c r="AP1912" t="s">
        <v>109</v>
      </c>
    </row>
    <row r="1913" spans="1:42" x14ac:dyDescent="0.25">
      <c r="A1913" s="28" t="str">
        <f>"5229"</f>
        <v>5229</v>
      </c>
      <c r="B1913">
        <v>5229</v>
      </c>
      <c r="C1913" t="s">
        <v>2488</v>
      </c>
      <c r="D1913" t="s">
        <v>121</v>
      </c>
      <c r="F1913" t="s">
        <v>120</v>
      </c>
      <c r="G1913" t="s">
        <v>3715</v>
      </c>
      <c r="H1913" t="s">
        <v>284</v>
      </c>
      <c r="I1913" t="s">
        <v>3714</v>
      </c>
      <c r="J1913" t="s">
        <v>7</v>
      </c>
      <c r="K1913" s="63">
        <v>25844</v>
      </c>
      <c r="L1913" s="28">
        <f>DATEDIF(K1913,Zwift25!G$1,"Y")</f>
        <v>54</v>
      </c>
      <c r="M1913" s="67">
        <f>IF(J1913="m",VLOOKUP(L1913,'All Solo Adjustments'!A:D,4,FALSE),VLOOKUP(L1913,'All Solo Adjustments'!A:J,10,FALSE))</f>
        <v>1.8518518518518517E-3</v>
      </c>
      <c r="N1913" s="63"/>
      <c r="O1913" s="63"/>
      <c r="P1913" s="63"/>
      <c r="Q1913" s="63"/>
      <c r="R1913" t="s">
        <v>383</v>
      </c>
      <c r="S1913" t="s">
        <v>382</v>
      </c>
      <c r="T1913" t="s">
        <v>292</v>
      </c>
      <c r="U1913" t="s">
        <v>3713</v>
      </c>
      <c r="V1913" t="s">
        <v>3712</v>
      </c>
      <c r="W1913" t="s">
        <v>1244</v>
      </c>
      <c r="X1913" t="s">
        <v>1243</v>
      </c>
      <c r="Y1913" t="s">
        <v>3711</v>
      </c>
      <c r="Z1913" t="str">
        <f>"07808 946671"</f>
        <v>07808 946671</v>
      </c>
      <c r="AA1913" t="str">
        <f>""</f>
        <v/>
      </c>
      <c r="AB1913" t="s">
        <v>3710</v>
      </c>
      <c r="AC1913" t="s">
        <v>3709</v>
      </c>
      <c r="AD1913" t="s">
        <v>114</v>
      </c>
      <c r="AE1913" s="63">
        <v>45318</v>
      </c>
      <c r="AF1913" t="s">
        <v>156</v>
      </c>
      <c r="AG1913" t="s">
        <v>112</v>
      </c>
      <c r="AH1913" t="s">
        <v>112</v>
      </c>
      <c r="AI1913" s="63">
        <v>42026</v>
      </c>
      <c r="AJ1913" s="63">
        <v>45657</v>
      </c>
      <c r="AK1913" t="s">
        <v>111</v>
      </c>
      <c r="AL1913" t="s">
        <v>111</v>
      </c>
      <c r="AM1913" t="s">
        <v>111</v>
      </c>
      <c r="AN1913">
        <v>6096</v>
      </c>
      <c r="AO1913" t="s">
        <v>110</v>
      </c>
      <c r="AP1913" t="s">
        <v>109</v>
      </c>
    </row>
    <row r="1914" spans="1:42" x14ac:dyDescent="0.25">
      <c r="A1914" s="28" t="str">
        <f>"14075"</f>
        <v>14075</v>
      </c>
      <c r="B1914">
        <v>14075</v>
      </c>
      <c r="C1914" t="s">
        <v>2488</v>
      </c>
      <c r="D1914" t="s">
        <v>121</v>
      </c>
      <c r="F1914" t="s">
        <v>120</v>
      </c>
      <c r="G1914" t="s">
        <v>427</v>
      </c>
      <c r="H1914" t="s">
        <v>251</v>
      </c>
      <c r="I1914" t="s">
        <v>234</v>
      </c>
      <c r="J1914" t="s">
        <v>7</v>
      </c>
      <c r="K1914" s="63">
        <v>25353</v>
      </c>
      <c r="L1914" s="28">
        <f>DATEDIF(K1914,Zwift25!G$1,"Y")</f>
        <v>55</v>
      </c>
      <c r="M1914" s="67">
        <f>IF(J1914="m",VLOOKUP(L1914,'All Solo Adjustments'!A:D,4,FALSE),VLOOKUP(L1914,'All Solo Adjustments'!A:J,10,FALSE))</f>
        <v>2.0601851851851853E-3</v>
      </c>
      <c r="N1914" s="63"/>
      <c r="O1914" s="63"/>
      <c r="P1914" s="63"/>
      <c r="Q1914" s="63"/>
      <c r="R1914" t="s">
        <v>118</v>
      </c>
      <c r="S1914" t="s">
        <v>117</v>
      </c>
      <c r="T1914" t="s">
        <v>292</v>
      </c>
      <c r="U1914" t="s">
        <v>3708</v>
      </c>
      <c r="V1914" t="s">
        <v>273</v>
      </c>
      <c r="X1914" t="s">
        <v>2260</v>
      </c>
      <c r="Y1914" t="s">
        <v>3707</v>
      </c>
      <c r="Z1914" t="str">
        <f>"07771765676"</f>
        <v>07771765676</v>
      </c>
      <c r="AA1914" t="str">
        <f>""</f>
        <v/>
      </c>
      <c r="AB1914" t="s">
        <v>1998</v>
      </c>
      <c r="AC1914" t="s">
        <v>3706</v>
      </c>
      <c r="AD1914" t="s">
        <v>114</v>
      </c>
      <c r="AE1914" s="63">
        <v>45295</v>
      </c>
      <c r="AF1914" t="s">
        <v>113</v>
      </c>
      <c r="AG1914" t="s">
        <v>112</v>
      </c>
      <c r="AH1914" t="s">
        <v>112</v>
      </c>
      <c r="AI1914" s="63">
        <v>43517</v>
      </c>
      <c r="AJ1914" s="63">
        <v>45657</v>
      </c>
      <c r="AK1914" t="s">
        <v>112</v>
      </c>
      <c r="AL1914" t="s">
        <v>111</v>
      </c>
      <c r="AM1914" t="s">
        <v>111</v>
      </c>
      <c r="AN1914">
        <v>15203</v>
      </c>
      <c r="AO1914" t="s">
        <v>110</v>
      </c>
      <c r="AP1914" t="s">
        <v>109</v>
      </c>
    </row>
    <row r="1915" spans="1:42" x14ac:dyDescent="0.25">
      <c r="A1915" s="28" t="str">
        <f>"14108"</f>
        <v>14108</v>
      </c>
      <c r="B1915">
        <v>14108</v>
      </c>
      <c r="C1915" t="s">
        <v>2488</v>
      </c>
      <c r="D1915" t="s">
        <v>121</v>
      </c>
      <c r="E1915" t="s">
        <v>584</v>
      </c>
      <c r="F1915" t="s">
        <v>120</v>
      </c>
      <c r="G1915" t="s">
        <v>1088</v>
      </c>
      <c r="I1915" t="s">
        <v>234</v>
      </c>
      <c r="J1915" t="s">
        <v>7</v>
      </c>
      <c r="K1915" s="63">
        <v>22532</v>
      </c>
      <c r="L1915" s="28">
        <f>DATEDIF(K1915,Zwift25!G$1,"Y")</f>
        <v>63</v>
      </c>
      <c r="M1915" s="67">
        <f>IF(J1915="m",VLOOKUP(L1915,'All Solo Adjustments'!A:D,4,FALSE),VLOOKUP(L1915,'All Solo Adjustments'!A:J,10,FALSE))</f>
        <v>4.0277777777777777E-3</v>
      </c>
      <c r="N1915" s="63"/>
      <c r="O1915" s="63"/>
      <c r="P1915" s="63"/>
      <c r="Q1915" s="63"/>
      <c r="R1915" t="s">
        <v>383</v>
      </c>
      <c r="S1915" t="s">
        <v>382</v>
      </c>
      <c r="T1915" t="s">
        <v>292</v>
      </c>
      <c r="U1915" t="s">
        <v>3705</v>
      </c>
      <c r="V1915" t="s">
        <v>3704</v>
      </c>
      <c r="W1915" t="s">
        <v>3703</v>
      </c>
      <c r="Y1915" t="s">
        <v>3702</v>
      </c>
      <c r="Z1915" t="str">
        <f>"07976601218"</f>
        <v>07976601218</v>
      </c>
      <c r="AA1915" t="str">
        <f>""</f>
        <v/>
      </c>
      <c r="AB1915" t="s">
        <v>380</v>
      </c>
      <c r="AC1915" t="s">
        <v>3701</v>
      </c>
      <c r="AD1915" t="s">
        <v>114</v>
      </c>
      <c r="AE1915" s="63">
        <v>45344</v>
      </c>
      <c r="AF1915" t="s">
        <v>156</v>
      </c>
      <c r="AG1915" t="s">
        <v>112</v>
      </c>
      <c r="AH1915" t="s">
        <v>112</v>
      </c>
      <c r="AI1915" s="63">
        <v>43540</v>
      </c>
      <c r="AJ1915" s="63">
        <v>45657</v>
      </c>
      <c r="AK1915" t="s">
        <v>112</v>
      </c>
      <c r="AL1915" t="s">
        <v>111</v>
      </c>
      <c r="AM1915" t="s">
        <v>111</v>
      </c>
      <c r="AN1915">
        <v>1071</v>
      </c>
      <c r="AO1915" t="s">
        <v>110</v>
      </c>
      <c r="AP1915" t="s">
        <v>109</v>
      </c>
    </row>
    <row r="1916" spans="1:42" x14ac:dyDescent="0.25">
      <c r="A1916" s="28" t="str">
        <f>"14435"</f>
        <v>14435</v>
      </c>
      <c r="B1916">
        <v>14435</v>
      </c>
      <c r="C1916" t="s">
        <v>2488</v>
      </c>
      <c r="D1916" t="s">
        <v>121</v>
      </c>
      <c r="E1916" t="s">
        <v>584</v>
      </c>
      <c r="F1916" t="s">
        <v>120</v>
      </c>
      <c r="G1916" t="s">
        <v>718</v>
      </c>
      <c r="I1916" t="s">
        <v>234</v>
      </c>
      <c r="J1916" t="s">
        <v>7</v>
      </c>
      <c r="K1916" s="63">
        <v>17990</v>
      </c>
      <c r="L1916" s="28">
        <f>DATEDIF(K1916,Zwift25!G$1,"Y")</f>
        <v>75</v>
      </c>
      <c r="M1916" s="67">
        <f>IF(J1916="m",VLOOKUP(L1916,'All Solo Adjustments'!A:D,4,FALSE),VLOOKUP(L1916,'All Solo Adjustments'!A:J,10,FALSE))</f>
        <v>8.4374999999999988E-3</v>
      </c>
      <c r="N1916" s="63"/>
      <c r="O1916" s="63"/>
      <c r="P1916" s="63"/>
      <c r="Q1916" s="63"/>
      <c r="R1916" t="s">
        <v>143</v>
      </c>
      <c r="S1916" t="s">
        <v>142</v>
      </c>
      <c r="T1916" t="s">
        <v>292</v>
      </c>
      <c r="U1916" t="s">
        <v>3700</v>
      </c>
      <c r="V1916" t="s">
        <v>3699</v>
      </c>
      <c r="W1916" t="s">
        <v>3698</v>
      </c>
      <c r="Y1916" t="s">
        <v>3697</v>
      </c>
      <c r="Z1916" t="str">
        <f>"07449490194"</f>
        <v>07449490194</v>
      </c>
      <c r="AA1916" t="str">
        <f>"07449490194"</f>
        <v>07449490194</v>
      </c>
      <c r="AB1916" t="s">
        <v>3696</v>
      </c>
      <c r="AC1916" t="s">
        <v>3695</v>
      </c>
      <c r="AD1916" t="s">
        <v>114</v>
      </c>
      <c r="AE1916" s="63">
        <v>45286</v>
      </c>
      <c r="AF1916" t="s">
        <v>156</v>
      </c>
      <c r="AG1916" t="s">
        <v>112</v>
      </c>
      <c r="AH1916" t="s">
        <v>112</v>
      </c>
      <c r="AI1916" s="63">
        <v>43849</v>
      </c>
      <c r="AJ1916" s="63">
        <v>45657</v>
      </c>
      <c r="AK1916" t="s">
        <v>112</v>
      </c>
      <c r="AL1916" t="s">
        <v>111</v>
      </c>
      <c r="AM1916" t="s">
        <v>111</v>
      </c>
      <c r="AN1916">
        <v>19546</v>
      </c>
      <c r="AO1916" t="s">
        <v>110</v>
      </c>
      <c r="AP1916" t="s">
        <v>109</v>
      </c>
    </row>
    <row r="1917" spans="1:42" x14ac:dyDescent="0.25">
      <c r="A1917" s="28" t="str">
        <f>"2411"</f>
        <v>2411</v>
      </c>
      <c r="B1917">
        <v>2411</v>
      </c>
      <c r="C1917" t="s">
        <v>2488</v>
      </c>
      <c r="D1917" t="s">
        <v>121</v>
      </c>
      <c r="F1917" t="s">
        <v>120</v>
      </c>
      <c r="G1917" t="s">
        <v>284</v>
      </c>
      <c r="I1917" t="s">
        <v>314</v>
      </c>
      <c r="J1917" t="s">
        <v>7</v>
      </c>
      <c r="K1917" s="63">
        <v>13911</v>
      </c>
      <c r="L1917" s="28">
        <f>DATEDIF(K1917,Zwift25!G$1,"Y")</f>
        <v>86</v>
      </c>
      <c r="M1917" s="67">
        <f>IF(J1917="m",VLOOKUP(L1917,'All Solo Adjustments'!A:D,4,FALSE),VLOOKUP(L1917,'All Solo Adjustments'!A:J,10,FALSE))</f>
        <v>1.4988425925925926E-2</v>
      </c>
      <c r="N1917" s="63"/>
      <c r="O1917" s="63"/>
      <c r="P1917" s="63"/>
      <c r="Q1917" s="63"/>
      <c r="R1917" t="s">
        <v>296</v>
      </c>
      <c r="S1917" t="s">
        <v>2310</v>
      </c>
      <c r="T1917" t="s">
        <v>292</v>
      </c>
      <c r="U1917" t="s">
        <v>3694</v>
      </c>
      <c r="V1917" t="s">
        <v>3693</v>
      </c>
      <c r="W1917" t="s">
        <v>1638</v>
      </c>
      <c r="Y1917" t="s">
        <v>3692</v>
      </c>
      <c r="Z1917" t="str">
        <f>"01698 457953"</f>
        <v>01698 457953</v>
      </c>
      <c r="AA1917" t="str">
        <f>""</f>
        <v/>
      </c>
      <c r="AB1917" t="s">
        <v>1603</v>
      </c>
      <c r="AD1917" t="s">
        <v>151</v>
      </c>
      <c r="AF1917" t="s">
        <v>113</v>
      </c>
      <c r="AG1917" t="s">
        <v>112</v>
      </c>
      <c r="AH1917" t="s">
        <v>112</v>
      </c>
      <c r="AI1917" s="63">
        <v>32599</v>
      </c>
      <c r="AK1917" t="s">
        <v>111</v>
      </c>
      <c r="AL1917" t="s">
        <v>111</v>
      </c>
      <c r="AM1917" t="s">
        <v>111</v>
      </c>
      <c r="AN1917" t="s">
        <v>105</v>
      </c>
      <c r="AO1917" t="s">
        <v>110</v>
      </c>
      <c r="AP1917" t="s">
        <v>109</v>
      </c>
    </row>
    <row r="1918" spans="1:42" x14ac:dyDescent="0.25">
      <c r="A1918" s="28" t="str">
        <f>"2401"</f>
        <v>2401</v>
      </c>
      <c r="B1918">
        <v>2401</v>
      </c>
      <c r="C1918" t="s">
        <v>2488</v>
      </c>
      <c r="D1918" t="s">
        <v>121</v>
      </c>
      <c r="F1918" t="s">
        <v>120</v>
      </c>
      <c r="G1918" t="s">
        <v>442</v>
      </c>
      <c r="I1918" t="s">
        <v>314</v>
      </c>
      <c r="J1918" t="s">
        <v>7</v>
      </c>
      <c r="K1918" s="63">
        <v>12248</v>
      </c>
      <c r="L1918" s="28">
        <f>DATEDIF(K1918,Zwift25!G$1,"Y")</f>
        <v>91</v>
      </c>
      <c r="M1918" s="67">
        <f>IF(J1918="m",VLOOKUP(L1918,'All Solo Adjustments'!A:D,4,FALSE),VLOOKUP(L1918,'All Solo Adjustments'!A:J,10,FALSE))</f>
        <v>1.9363425925925926E-2</v>
      </c>
      <c r="N1918" s="63"/>
      <c r="O1918" s="63"/>
      <c r="P1918" s="63"/>
      <c r="Q1918" s="63"/>
      <c r="R1918" t="s">
        <v>125</v>
      </c>
      <c r="S1918" t="s">
        <v>484</v>
      </c>
      <c r="T1918" t="s">
        <v>292</v>
      </c>
      <c r="U1918" t="s">
        <v>3691</v>
      </c>
      <c r="V1918" t="s">
        <v>1093</v>
      </c>
      <c r="W1918" t="s">
        <v>309</v>
      </c>
      <c r="X1918" t="s">
        <v>146</v>
      </c>
      <c r="Y1918" t="s">
        <v>3690</v>
      </c>
      <c r="Z1918" t="str">
        <f>"01438 587271"</f>
        <v>01438 587271</v>
      </c>
      <c r="AA1918" t="str">
        <f>""</f>
        <v/>
      </c>
      <c r="AB1918" t="s">
        <v>301</v>
      </c>
      <c r="AC1918" t="s">
        <v>3689</v>
      </c>
      <c r="AD1918" t="s">
        <v>151</v>
      </c>
      <c r="AF1918" t="s">
        <v>113</v>
      </c>
      <c r="AG1918" t="s">
        <v>112</v>
      </c>
      <c r="AH1918" t="s">
        <v>112</v>
      </c>
      <c r="AI1918" s="63">
        <v>27910</v>
      </c>
      <c r="AK1918" t="s">
        <v>111</v>
      </c>
      <c r="AL1918" t="s">
        <v>111</v>
      </c>
      <c r="AM1918" t="s">
        <v>111</v>
      </c>
      <c r="AN1918" t="s">
        <v>105</v>
      </c>
      <c r="AO1918" t="s">
        <v>110</v>
      </c>
      <c r="AP1918" t="s">
        <v>109</v>
      </c>
    </row>
    <row r="1919" spans="1:42" x14ac:dyDescent="0.25">
      <c r="A1919" s="28" t="str">
        <f>"2408"</f>
        <v>2408</v>
      </c>
      <c r="B1919">
        <v>2408</v>
      </c>
      <c r="C1919" t="s">
        <v>2488</v>
      </c>
      <c r="D1919" t="s">
        <v>121</v>
      </c>
      <c r="E1919" t="s">
        <v>584</v>
      </c>
      <c r="F1919" t="s">
        <v>120</v>
      </c>
      <c r="G1919" t="s">
        <v>663</v>
      </c>
      <c r="I1919" t="s">
        <v>314</v>
      </c>
      <c r="J1919" t="s">
        <v>7</v>
      </c>
      <c r="K1919" s="63">
        <v>18427</v>
      </c>
      <c r="L1919" s="28">
        <f>DATEDIF(K1919,Zwift25!G$1,"Y")</f>
        <v>74</v>
      </c>
      <c r="M1919" s="67">
        <f>IF(J1919="m",VLOOKUP(L1919,'All Solo Adjustments'!A:D,4,FALSE),VLOOKUP(L1919,'All Solo Adjustments'!A:J,10,FALSE))</f>
        <v>7.9861111111111122E-3</v>
      </c>
      <c r="N1919" s="63"/>
      <c r="O1919" s="63"/>
      <c r="P1919" s="63"/>
      <c r="Q1919" s="63"/>
      <c r="R1919" t="s">
        <v>328</v>
      </c>
      <c r="S1919" t="s">
        <v>327</v>
      </c>
      <c r="T1919" t="s">
        <v>292</v>
      </c>
      <c r="U1919" t="s">
        <v>3688</v>
      </c>
      <c r="V1919" t="s">
        <v>3687</v>
      </c>
      <c r="W1919" t="s">
        <v>1844</v>
      </c>
      <c r="X1919" t="s">
        <v>325</v>
      </c>
      <c r="Y1919" t="s">
        <v>3686</v>
      </c>
      <c r="Z1919" t="str">
        <f>"07581 181499"</f>
        <v>07581 181499</v>
      </c>
      <c r="AA1919" t="str">
        <f>""</f>
        <v/>
      </c>
      <c r="AB1919" t="s">
        <v>1673</v>
      </c>
      <c r="AC1919" t="s">
        <v>3685</v>
      </c>
      <c r="AD1919" t="s">
        <v>114</v>
      </c>
      <c r="AE1919" s="63">
        <v>45305</v>
      </c>
      <c r="AF1919" t="s">
        <v>113</v>
      </c>
      <c r="AG1919" t="s">
        <v>112</v>
      </c>
      <c r="AH1919" t="s">
        <v>112</v>
      </c>
      <c r="AI1919" s="63">
        <v>43426</v>
      </c>
      <c r="AJ1919" s="63">
        <v>45657</v>
      </c>
      <c r="AK1919" t="s">
        <v>111</v>
      </c>
      <c r="AL1919" t="s">
        <v>111</v>
      </c>
      <c r="AM1919" t="s">
        <v>111</v>
      </c>
      <c r="AN1919">
        <v>68</v>
      </c>
      <c r="AO1919" t="s">
        <v>110</v>
      </c>
      <c r="AP1919" t="s">
        <v>109</v>
      </c>
    </row>
    <row r="1920" spans="1:42" x14ac:dyDescent="0.25">
      <c r="A1920" s="28" t="str">
        <f>"15843"</f>
        <v>15843</v>
      </c>
      <c r="B1920">
        <v>15843</v>
      </c>
      <c r="C1920" t="s">
        <v>2488</v>
      </c>
      <c r="D1920" t="s">
        <v>121</v>
      </c>
      <c r="E1920" t="s">
        <v>584</v>
      </c>
      <c r="F1920" t="s">
        <v>120</v>
      </c>
      <c r="G1920" t="s">
        <v>601</v>
      </c>
      <c r="I1920" t="s">
        <v>314</v>
      </c>
      <c r="J1920" t="s">
        <v>7</v>
      </c>
      <c r="K1920" s="63">
        <v>27291</v>
      </c>
      <c r="L1920" s="28">
        <f>DATEDIF(K1920,Zwift25!G$1,"Y")</f>
        <v>50</v>
      </c>
      <c r="M1920" s="67">
        <f>IF(J1920="m",VLOOKUP(L1920,'All Solo Adjustments'!A:D,4,FALSE),VLOOKUP(L1920,'All Solo Adjustments'!A:J,10,FALSE))</f>
        <v>1.1342592592592591E-3</v>
      </c>
      <c r="N1920" s="63"/>
      <c r="O1920" s="63"/>
      <c r="P1920" s="63"/>
      <c r="Q1920" s="63"/>
      <c r="R1920" t="s">
        <v>137</v>
      </c>
      <c r="S1920" t="s">
        <v>136</v>
      </c>
      <c r="T1920" t="s">
        <v>292</v>
      </c>
      <c r="U1920" t="s">
        <v>3684</v>
      </c>
      <c r="V1920" t="s">
        <v>440</v>
      </c>
      <c r="Y1920" t="s">
        <v>3683</v>
      </c>
      <c r="Z1920" t="str">
        <f>"07557 122023"</f>
        <v>07557 122023</v>
      </c>
      <c r="AA1920" t="str">
        <f>""</f>
        <v/>
      </c>
      <c r="AB1920" t="s">
        <v>357</v>
      </c>
      <c r="AC1920" t="s">
        <v>3682</v>
      </c>
      <c r="AD1920" t="s">
        <v>114</v>
      </c>
      <c r="AE1920" s="63">
        <v>45299</v>
      </c>
      <c r="AF1920" t="s">
        <v>156</v>
      </c>
      <c r="AG1920" t="s">
        <v>112</v>
      </c>
      <c r="AH1920" t="s">
        <v>112</v>
      </c>
      <c r="AI1920" s="63">
        <v>45081</v>
      </c>
      <c r="AJ1920" s="63">
        <v>45657</v>
      </c>
      <c r="AK1920" t="s">
        <v>112</v>
      </c>
      <c r="AL1920" t="s">
        <v>112</v>
      </c>
      <c r="AM1920" t="s">
        <v>111</v>
      </c>
      <c r="AN1920">
        <v>1891</v>
      </c>
      <c r="AO1920" t="s">
        <v>110</v>
      </c>
      <c r="AP1920" t="s">
        <v>109</v>
      </c>
    </row>
    <row r="1921" spans="1:42" x14ac:dyDescent="0.25">
      <c r="A1921" s="28" t="str">
        <f>"13669"</f>
        <v>13669</v>
      </c>
      <c r="B1921">
        <v>13669</v>
      </c>
      <c r="C1921" t="s">
        <v>2488</v>
      </c>
      <c r="D1921" t="s">
        <v>121</v>
      </c>
      <c r="F1921" t="s">
        <v>120</v>
      </c>
      <c r="G1921" t="s">
        <v>680</v>
      </c>
      <c r="I1921" t="s">
        <v>3681</v>
      </c>
      <c r="J1921" t="s">
        <v>7</v>
      </c>
      <c r="K1921" s="63">
        <v>25654</v>
      </c>
      <c r="L1921" s="28">
        <f>DATEDIF(K1921,Zwift25!G$1,"Y")</f>
        <v>54</v>
      </c>
      <c r="M1921" s="67">
        <f>IF(J1921="m",VLOOKUP(L1921,'All Solo Adjustments'!A:D,4,FALSE),VLOOKUP(L1921,'All Solo Adjustments'!A:J,10,FALSE))</f>
        <v>1.8518518518518517E-3</v>
      </c>
      <c r="N1921" s="63"/>
      <c r="O1921" s="63"/>
      <c r="P1921" s="63"/>
      <c r="Q1921" s="63"/>
      <c r="R1921" t="s">
        <v>239</v>
      </c>
      <c r="S1921" t="s">
        <v>274</v>
      </c>
      <c r="T1921" t="s">
        <v>292</v>
      </c>
      <c r="U1921" t="s">
        <v>3680</v>
      </c>
      <c r="V1921" t="s">
        <v>3679</v>
      </c>
      <c r="W1921" t="s">
        <v>627</v>
      </c>
      <c r="X1921" t="s">
        <v>869</v>
      </c>
      <c r="Y1921" t="s">
        <v>3678</v>
      </c>
      <c r="Z1921" t="str">
        <f>"07943060760"</f>
        <v>07943060760</v>
      </c>
      <c r="AA1921" t="str">
        <f>""</f>
        <v/>
      </c>
      <c r="AB1921" t="s">
        <v>3677</v>
      </c>
      <c r="AC1921" t="s">
        <v>3676</v>
      </c>
      <c r="AD1921" t="s">
        <v>114</v>
      </c>
      <c r="AE1921" s="63">
        <v>45263</v>
      </c>
      <c r="AF1921" t="s">
        <v>156</v>
      </c>
      <c r="AG1921" t="s">
        <v>112</v>
      </c>
      <c r="AH1921" t="s">
        <v>112</v>
      </c>
      <c r="AI1921" s="63">
        <v>43274</v>
      </c>
      <c r="AJ1921" s="63">
        <v>45657</v>
      </c>
      <c r="AK1921" t="s">
        <v>112</v>
      </c>
      <c r="AL1921" t="s">
        <v>111</v>
      </c>
      <c r="AM1921" t="s">
        <v>111</v>
      </c>
      <c r="AN1921">
        <v>3063</v>
      </c>
      <c r="AO1921" t="s">
        <v>110</v>
      </c>
      <c r="AP1921" t="s">
        <v>109</v>
      </c>
    </row>
    <row r="1922" spans="1:42" x14ac:dyDescent="0.25">
      <c r="A1922" s="28" t="str">
        <f>"15569"</f>
        <v>15569</v>
      </c>
      <c r="B1922">
        <v>15569</v>
      </c>
      <c r="C1922" t="s">
        <v>2488</v>
      </c>
      <c r="D1922" t="s">
        <v>121</v>
      </c>
      <c r="E1922" t="s">
        <v>2387</v>
      </c>
      <c r="F1922" t="s">
        <v>120</v>
      </c>
      <c r="G1922" t="s">
        <v>790</v>
      </c>
      <c r="I1922" t="s">
        <v>3675</v>
      </c>
      <c r="J1922" t="s">
        <v>7</v>
      </c>
      <c r="K1922" s="63">
        <v>30155</v>
      </c>
      <c r="L1922" s="28">
        <f>DATEDIF(K1922,Zwift25!G$1,"Y")</f>
        <v>42</v>
      </c>
      <c r="M1922" s="67">
        <f>IF(J1922="m",VLOOKUP(L1922,'All Solo Adjustments'!A:D,4,FALSE),VLOOKUP(L1922,'All Solo Adjustments'!A:J,10,FALSE))</f>
        <v>1.5046296296296295E-4</v>
      </c>
      <c r="N1922" s="63"/>
      <c r="O1922" s="63"/>
      <c r="P1922" s="63"/>
      <c r="Q1922" s="63"/>
      <c r="R1922" t="s">
        <v>118</v>
      </c>
      <c r="S1922" t="s">
        <v>117</v>
      </c>
      <c r="T1922" t="s">
        <v>292</v>
      </c>
      <c r="U1922" t="s">
        <v>3674</v>
      </c>
      <c r="V1922" t="s">
        <v>3673</v>
      </c>
      <c r="W1922" t="s">
        <v>1859</v>
      </c>
      <c r="X1922" t="s">
        <v>968</v>
      </c>
      <c r="Y1922" t="s">
        <v>3672</v>
      </c>
      <c r="Z1922" t="str">
        <f>"07595621215"</f>
        <v>07595621215</v>
      </c>
      <c r="AA1922" t="str">
        <f>""</f>
        <v/>
      </c>
      <c r="AB1922" t="s">
        <v>3671</v>
      </c>
      <c r="AC1922" t="s">
        <v>3670</v>
      </c>
      <c r="AD1922" t="s">
        <v>114</v>
      </c>
      <c r="AE1922" s="63">
        <v>45263</v>
      </c>
      <c r="AF1922" t="s">
        <v>156</v>
      </c>
      <c r="AG1922" t="s">
        <v>112</v>
      </c>
      <c r="AH1922" t="s">
        <v>112</v>
      </c>
      <c r="AI1922" s="63">
        <v>44769</v>
      </c>
      <c r="AJ1922" s="63">
        <v>45657</v>
      </c>
      <c r="AK1922" t="s">
        <v>112</v>
      </c>
      <c r="AL1922" t="s">
        <v>111</v>
      </c>
      <c r="AM1922" t="s">
        <v>111</v>
      </c>
      <c r="AN1922">
        <v>3055</v>
      </c>
      <c r="AO1922" t="s">
        <v>110</v>
      </c>
      <c r="AP1922" t="s">
        <v>109</v>
      </c>
    </row>
    <row r="1923" spans="1:42" x14ac:dyDescent="0.25">
      <c r="A1923" s="28" t="str">
        <f>"15887"</f>
        <v>15887</v>
      </c>
      <c r="B1923">
        <v>15887</v>
      </c>
      <c r="C1923" t="s">
        <v>2488</v>
      </c>
      <c r="D1923" t="s">
        <v>121</v>
      </c>
      <c r="F1923" t="s">
        <v>120</v>
      </c>
      <c r="G1923" t="s">
        <v>195</v>
      </c>
      <c r="I1923" t="s">
        <v>3669</v>
      </c>
      <c r="J1923" t="s">
        <v>7</v>
      </c>
      <c r="K1923" s="63">
        <v>22998</v>
      </c>
      <c r="L1923" s="28">
        <f>DATEDIF(K1923,Zwift25!G$1,"Y")</f>
        <v>61</v>
      </c>
      <c r="M1923" s="67">
        <f>IF(J1923="m",VLOOKUP(L1923,'All Solo Adjustments'!A:D,4,FALSE),VLOOKUP(L1923,'All Solo Adjustments'!A:J,10,FALSE))</f>
        <v>3.4722222222222225E-3</v>
      </c>
      <c r="N1923" s="63"/>
      <c r="O1923" s="63"/>
      <c r="P1923" s="63"/>
      <c r="Q1923" s="63"/>
      <c r="R1923" t="s">
        <v>180</v>
      </c>
      <c r="S1923" t="s">
        <v>179</v>
      </c>
      <c r="T1923" t="s">
        <v>292</v>
      </c>
      <c r="U1923" t="s">
        <v>3668</v>
      </c>
      <c r="V1923" t="s">
        <v>3667</v>
      </c>
      <c r="W1923" t="s">
        <v>3666</v>
      </c>
      <c r="X1923" t="s">
        <v>3665</v>
      </c>
      <c r="Y1923" t="s">
        <v>3664</v>
      </c>
      <c r="Z1923" t="str">
        <f>"07979536753"</f>
        <v>07979536753</v>
      </c>
      <c r="AA1923" t="str">
        <f>""</f>
        <v/>
      </c>
      <c r="AB1923" t="s">
        <v>176</v>
      </c>
      <c r="AC1923" t="s">
        <v>3663</v>
      </c>
      <c r="AD1923" t="s">
        <v>114</v>
      </c>
      <c r="AE1923" s="63">
        <v>45263</v>
      </c>
      <c r="AF1923" t="s">
        <v>156</v>
      </c>
      <c r="AG1923" t="s">
        <v>112</v>
      </c>
      <c r="AH1923" t="s">
        <v>112</v>
      </c>
      <c r="AI1923" s="63">
        <v>45124</v>
      </c>
      <c r="AJ1923" s="63">
        <v>45657</v>
      </c>
      <c r="AK1923" t="s">
        <v>112</v>
      </c>
      <c r="AL1923" t="s">
        <v>111</v>
      </c>
      <c r="AM1923" t="s">
        <v>111</v>
      </c>
      <c r="AN1923">
        <v>40755</v>
      </c>
      <c r="AO1923" t="s">
        <v>110</v>
      </c>
      <c r="AP1923" t="s">
        <v>109</v>
      </c>
    </row>
    <row r="1924" spans="1:42" x14ac:dyDescent="0.25">
      <c r="A1924" s="28" t="str">
        <f>"15980"</f>
        <v>15980</v>
      </c>
      <c r="B1924">
        <v>15980</v>
      </c>
      <c r="C1924" t="s">
        <v>2488</v>
      </c>
      <c r="D1924" t="s">
        <v>121</v>
      </c>
      <c r="F1924" t="s">
        <v>120</v>
      </c>
      <c r="G1924" t="s">
        <v>165</v>
      </c>
      <c r="H1924" t="s">
        <v>230</v>
      </c>
      <c r="I1924" t="s">
        <v>3662</v>
      </c>
      <c r="J1924" t="s">
        <v>7</v>
      </c>
      <c r="K1924" s="63">
        <v>29166</v>
      </c>
      <c r="L1924" s="28">
        <f>DATEDIF(K1924,Zwift25!G$1,"Y")</f>
        <v>44</v>
      </c>
      <c r="M1924" s="67">
        <f>IF(J1924="m",VLOOKUP(L1924,'All Solo Adjustments'!A:D,4,FALSE),VLOOKUP(L1924,'All Solo Adjustments'!A:J,10,FALSE))</f>
        <v>3.3564814814814818E-4</v>
      </c>
      <c r="N1924" s="63"/>
      <c r="O1924" s="63"/>
      <c r="P1924" s="63"/>
      <c r="Q1924" s="63"/>
      <c r="R1924" t="s">
        <v>125</v>
      </c>
      <c r="S1924" t="s">
        <v>170</v>
      </c>
      <c r="T1924" t="s">
        <v>292</v>
      </c>
      <c r="U1924" t="s">
        <v>3661</v>
      </c>
      <c r="V1924" t="s">
        <v>988</v>
      </c>
      <c r="W1924" t="s">
        <v>1600</v>
      </c>
      <c r="X1924" t="s">
        <v>123</v>
      </c>
      <c r="Y1924" t="s">
        <v>3660</v>
      </c>
      <c r="Z1924" t="str">
        <f>"07799891251"</f>
        <v>07799891251</v>
      </c>
      <c r="AA1924" t="str">
        <f>""</f>
        <v/>
      </c>
      <c r="AB1924" t="s">
        <v>1290</v>
      </c>
      <c r="AC1924" t="s">
        <v>3659</v>
      </c>
      <c r="AD1924" t="s">
        <v>114</v>
      </c>
      <c r="AE1924" s="63">
        <v>45320</v>
      </c>
      <c r="AF1924" t="s">
        <v>156</v>
      </c>
      <c r="AG1924" t="s">
        <v>112</v>
      </c>
      <c r="AH1924" t="s">
        <v>112</v>
      </c>
      <c r="AI1924" s="63">
        <v>45320</v>
      </c>
      <c r="AJ1924" s="63">
        <v>45657</v>
      </c>
      <c r="AK1924" t="s">
        <v>112</v>
      </c>
      <c r="AL1924" t="s">
        <v>111</v>
      </c>
      <c r="AM1924" t="s">
        <v>111</v>
      </c>
      <c r="AN1924">
        <v>47456</v>
      </c>
      <c r="AO1924" t="s">
        <v>110</v>
      </c>
      <c r="AP1924" t="s">
        <v>109</v>
      </c>
    </row>
    <row r="1925" spans="1:42" x14ac:dyDescent="0.25">
      <c r="A1925" s="28" t="str">
        <f>"12036"</f>
        <v>12036</v>
      </c>
      <c r="B1925">
        <v>12036</v>
      </c>
      <c r="C1925" t="s">
        <v>2488</v>
      </c>
      <c r="D1925" t="s">
        <v>121</v>
      </c>
      <c r="E1925" t="s">
        <v>584</v>
      </c>
      <c r="F1925" t="s">
        <v>120</v>
      </c>
      <c r="G1925" t="s">
        <v>481</v>
      </c>
      <c r="I1925" t="s">
        <v>3658</v>
      </c>
      <c r="J1925" t="s">
        <v>7</v>
      </c>
      <c r="K1925" s="63">
        <v>19027</v>
      </c>
      <c r="L1925" s="28">
        <f>DATEDIF(K1925,Zwift25!G$1,"Y")</f>
        <v>72</v>
      </c>
      <c r="M1925" s="67">
        <f>IF(J1925="m",VLOOKUP(L1925,'All Solo Adjustments'!A:D,4,FALSE),VLOOKUP(L1925,'All Solo Adjustments'!A:J,10,FALSE))</f>
        <v>7.129629629629629E-3</v>
      </c>
      <c r="N1925" s="63"/>
      <c r="O1925" s="63"/>
      <c r="P1925" s="63"/>
      <c r="Q1925" s="63"/>
      <c r="R1925" t="s">
        <v>125</v>
      </c>
      <c r="S1925" t="s">
        <v>170</v>
      </c>
      <c r="T1925" t="s">
        <v>292</v>
      </c>
      <c r="U1925" t="s">
        <v>3657</v>
      </c>
      <c r="V1925" t="s">
        <v>2165</v>
      </c>
      <c r="W1925" t="s">
        <v>223</v>
      </c>
      <c r="Y1925" t="s">
        <v>3656</v>
      </c>
      <c r="Z1925" t="str">
        <f>"07768 365850"</f>
        <v>07768 365850</v>
      </c>
      <c r="AA1925" t="str">
        <f>"01223 262705"</f>
        <v>01223 262705</v>
      </c>
      <c r="AB1925" t="s">
        <v>1959</v>
      </c>
      <c r="AC1925" t="s">
        <v>3655</v>
      </c>
      <c r="AD1925" t="s">
        <v>114</v>
      </c>
      <c r="AE1925" s="63">
        <v>45264</v>
      </c>
      <c r="AF1925" t="s">
        <v>113</v>
      </c>
      <c r="AG1925" t="s">
        <v>112</v>
      </c>
      <c r="AH1925" t="s">
        <v>112</v>
      </c>
      <c r="AI1925" s="63">
        <v>41986</v>
      </c>
      <c r="AJ1925" s="63">
        <v>45657</v>
      </c>
      <c r="AK1925" t="s">
        <v>111</v>
      </c>
      <c r="AL1925" t="s">
        <v>111</v>
      </c>
      <c r="AM1925" t="s">
        <v>111</v>
      </c>
      <c r="AN1925">
        <v>1070</v>
      </c>
      <c r="AO1925" t="s">
        <v>110</v>
      </c>
      <c r="AP1925" t="s">
        <v>109</v>
      </c>
    </row>
    <row r="1926" spans="1:42" x14ac:dyDescent="0.25">
      <c r="A1926" s="28" t="str">
        <f>"5219"</f>
        <v>5219</v>
      </c>
      <c r="B1926">
        <v>5219</v>
      </c>
      <c r="C1926" t="s">
        <v>2488</v>
      </c>
      <c r="D1926" t="s">
        <v>121</v>
      </c>
      <c r="F1926" t="s">
        <v>120</v>
      </c>
      <c r="G1926" t="s">
        <v>284</v>
      </c>
      <c r="I1926" t="s">
        <v>3654</v>
      </c>
      <c r="J1926" t="s">
        <v>7</v>
      </c>
      <c r="K1926" s="63">
        <v>15574</v>
      </c>
      <c r="L1926" s="28">
        <f>DATEDIF(K1926,Zwift25!G$1,"Y")</f>
        <v>82</v>
      </c>
      <c r="M1926" s="67">
        <f>IF(J1926="m",VLOOKUP(L1926,'All Solo Adjustments'!A:D,4,FALSE),VLOOKUP(L1926,'All Solo Adjustments'!A:J,10,FALSE))</f>
        <v>1.2210648148148148E-2</v>
      </c>
      <c r="N1926" s="63"/>
      <c r="O1926" s="63"/>
      <c r="P1926" s="63"/>
      <c r="Q1926" s="63"/>
      <c r="R1926" t="s">
        <v>239</v>
      </c>
      <c r="S1926" t="s">
        <v>274</v>
      </c>
      <c r="T1926" t="s">
        <v>292</v>
      </c>
      <c r="U1926" t="s">
        <v>3653</v>
      </c>
      <c r="V1926" t="s">
        <v>1778</v>
      </c>
      <c r="W1926" t="s">
        <v>239</v>
      </c>
      <c r="Y1926" t="s">
        <v>3652</v>
      </c>
      <c r="Z1926" t="str">
        <f>"07792648174"</f>
        <v>07792648174</v>
      </c>
      <c r="AA1926" t="str">
        <f>"01424 563923"</f>
        <v>01424 563923</v>
      </c>
      <c r="AB1926" t="s">
        <v>1599</v>
      </c>
      <c r="AC1926" t="s">
        <v>3651</v>
      </c>
      <c r="AD1926" t="s">
        <v>114</v>
      </c>
      <c r="AE1926" s="63">
        <v>45263</v>
      </c>
      <c r="AF1926" t="s">
        <v>113</v>
      </c>
      <c r="AG1926" t="s">
        <v>112</v>
      </c>
      <c r="AH1926" t="s">
        <v>112</v>
      </c>
      <c r="AI1926" s="63">
        <v>42020</v>
      </c>
      <c r="AJ1926" s="63">
        <v>45657</v>
      </c>
      <c r="AK1926" t="s">
        <v>111</v>
      </c>
      <c r="AL1926" t="s">
        <v>111</v>
      </c>
      <c r="AM1926" t="s">
        <v>111</v>
      </c>
      <c r="AN1926">
        <v>36</v>
      </c>
      <c r="AO1926" t="s">
        <v>110</v>
      </c>
      <c r="AP1926" t="s">
        <v>109</v>
      </c>
    </row>
    <row r="1927" spans="1:42" x14ac:dyDescent="0.25">
      <c r="A1927" s="28" t="str">
        <f>"14706"</f>
        <v>14706</v>
      </c>
      <c r="B1927">
        <v>14706</v>
      </c>
      <c r="C1927" t="s">
        <v>2488</v>
      </c>
      <c r="D1927" t="s">
        <v>121</v>
      </c>
      <c r="F1927" t="s">
        <v>120</v>
      </c>
      <c r="G1927" t="s">
        <v>230</v>
      </c>
      <c r="H1927" t="s">
        <v>410</v>
      </c>
      <c r="I1927" t="s">
        <v>3650</v>
      </c>
      <c r="J1927" t="s">
        <v>7</v>
      </c>
      <c r="K1927" s="63">
        <v>22187</v>
      </c>
      <c r="L1927" s="28">
        <f>DATEDIF(K1927,Zwift25!G$1,"Y")</f>
        <v>64</v>
      </c>
      <c r="M1927" s="67">
        <f>IF(J1927="m",VLOOKUP(L1927,'All Solo Adjustments'!A:D,4,FALSE),VLOOKUP(L1927,'All Solo Adjustments'!A:J,10,FALSE))</f>
        <v>4.31712962962963E-3</v>
      </c>
      <c r="N1927" s="63"/>
      <c r="O1927" s="63"/>
      <c r="P1927" s="63"/>
      <c r="Q1927" s="63"/>
      <c r="R1927" t="s">
        <v>125</v>
      </c>
      <c r="S1927" t="s">
        <v>170</v>
      </c>
      <c r="T1927" t="s">
        <v>292</v>
      </c>
      <c r="U1927" t="s">
        <v>3649</v>
      </c>
      <c r="V1927" t="s">
        <v>3648</v>
      </c>
      <c r="W1927" t="s">
        <v>1467</v>
      </c>
      <c r="X1927" t="s">
        <v>201</v>
      </c>
      <c r="Y1927" t="s">
        <v>3647</v>
      </c>
      <c r="Z1927" t="str">
        <f>"01733844199"</f>
        <v>01733844199</v>
      </c>
      <c r="AA1927" t="str">
        <f>"07765144466"</f>
        <v>07765144466</v>
      </c>
      <c r="AB1927" t="s">
        <v>3646</v>
      </c>
      <c r="AC1927" t="s">
        <v>3645</v>
      </c>
      <c r="AD1927" t="s">
        <v>114</v>
      </c>
      <c r="AE1927" s="63">
        <v>45270</v>
      </c>
      <c r="AF1927" t="s">
        <v>113</v>
      </c>
      <c r="AG1927" t="s">
        <v>112</v>
      </c>
      <c r="AH1927" t="s">
        <v>112</v>
      </c>
      <c r="AI1927" s="63">
        <v>44074</v>
      </c>
      <c r="AJ1927" s="63">
        <v>45657</v>
      </c>
      <c r="AK1927" t="s">
        <v>112</v>
      </c>
      <c r="AL1927" t="s">
        <v>111</v>
      </c>
      <c r="AM1927" t="s">
        <v>111</v>
      </c>
      <c r="AN1927">
        <v>5172</v>
      </c>
      <c r="AO1927" t="s">
        <v>110</v>
      </c>
      <c r="AP1927" t="s">
        <v>109</v>
      </c>
    </row>
    <row r="1928" spans="1:42" x14ac:dyDescent="0.25">
      <c r="A1928" s="28" t="str">
        <f>"6429"</f>
        <v>6429</v>
      </c>
      <c r="B1928">
        <v>6429</v>
      </c>
      <c r="C1928" t="s">
        <v>2488</v>
      </c>
      <c r="D1928" t="s">
        <v>121</v>
      </c>
      <c r="F1928" t="s">
        <v>120</v>
      </c>
      <c r="G1928" t="s">
        <v>783</v>
      </c>
      <c r="I1928" t="s">
        <v>3644</v>
      </c>
      <c r="J1928" t="s">
        <v>7</v>
      </c>
      <c r="K1928" s="63">
        <v>14773</v>
      </c>
      <c r="L1928" s="28">
        <f>DATEDIF(K1928,Zwift25!G$1,"Y")</f>
        <v>84</v>
      </c>
      <c r="M1928" s="67">
        <f>IF(J1928="m",VLOOKUP(L1928,'All Solo Adjustments'!A:D,4,FALSE),VLOOKUP(L1928,'All Solo Adjustments'!A:J,10,FALSE))</f>
        <v>1.3530092592592592E-2</v>
      </c>
      <c r="N1928" s="63"/>
      <c r="O1928" s="63"/>
      <c r="P1928" s="63"/>
      <c r="Q1928" s="63"/>
      <c r="R1928" t="s">
        <v>283</v>
      </c>
      <c r="S1928" t="s">
        <v>530</v>
      </c>
      <c r="T1928" t="s">
        <v>292</v>
      </c>
      <c r="U1928" t="s">
        <v>3643</v>
      </c>
      <c r="V1928" t="s">
        <v>797</v>
      </c>
      <c r="W1928" t="s">
        <v>748</v>
      </c>
      <c r="Y1928" t="s">
        <v>3642</v>
      </c>
      <c r="Z1928" t="str">
        <f>"01527 879974"</f>
        <v>01527 879974</v>
      </c>
      <c r="AA1928" t="str">
        <f>"07905783031"</f>
        <v>07905783031</v>
      </c>
      <c r="AB1928" t="s">
        <v>3641</v>
      </c>
      <c r="AC1928" t="s">
        <v>3640</v>
      </c>
      <c r="AD1928" t="s">
        <v>114</v>
      </c>
      <c r="AE1928" s="63">
        <v>45293</v>
      </c>
      <c r="AF1928" t="s">
        <v>113</v>
      </c>
      <c r="AG1928" t="s">
        <v>112</v>
      </c>
      <c r="AH1928" t="s">
        <v>112</v>
      </c>
      <c r="AI1928" s="63">
        <v>43063</v>
      </c>
      <c r="AJ1928" s="63">
        <v>45657</v>
      </c>
      <c r="AK1928" t="s">
        <v>111</v>
      </c>
      <c r="AL1928" t="s">
        <v>111</v>
      </c>
      <c r="AM1928" t="s">
        <v>111</v>
      </c>
      <c r="AN1928">
        <v>11304</v>
      </c>
      <c r="AO1928" t="s">
        <v>110</v>
      </c>
      <c r="AP1928" t="s">
        <v>109</v>
      </c>
    </row>
    <row r="1929" spans="1:42" x14ac:dyDescent="0.25">
      <c r="A1929" s="28" t="str">
        <f>"16020"</f>
        <v>16020</v>
      </c>
      <c r="B1929">
        <v>16020</v>
      </c>
      <c r="C1929" t="s">
        <v>2488</v>
      </c>
      <c r="D1929" t="s">
        <v>121</v>
      </c>
      <c r="E1929" t="s">
        <v>584</v>
      </c>
      <c r="F1929" t="s">
        <v>120</v>
      </c>
      <c r="G1929" t="s">
        <v>150</v>
      </c>
      <c r="I1929" t="s">
        <v>3639</v>
      </c>
      <c r="J1929" t="s">
        <v>7</v>
      </c>
      <c r="K1929" s="63">
        <v>23834</v>
      </c>
      <c r="L1929" s="28">
        <f>DATEDIF(K1929,Zwift25!G$1,"Y")</f>
        <v>59</v>
      </c>
      <c r="M1929" s="67">
        <f>IF(J1929="m",VLOOKUP(L1929,'All Solo Adjustments'!A:D,4,FALSE),VLOOKUP(L1929,'All Solo Adjustments'!A:J,10,FALSE))</f>
        <v>2.9629629629629632E-3</v>
      </c>
      <c r="N1929" s="63"/>
      <c r="O1929" s="63"/>
      <c r="P1929" s="63"/>
      <c r="Q1929" s="63"/>
      <c r="R1929" t="s">
        <v>180</v>
      </c>
      <c r="S1929" t="s">
        <v>179</v>
      </c>
      <c r="T1929" t="s">
        <v>292</v>
      </c>
      <c r="U1929" t="s">
        <v>3638</v>
      </c>
      <c r="V1929" t="s">
        <v>3637</v>
      </c>
      <c r="Y1929" t="s">
        <v>3636</v>
      </c>
      <c r="Z1929" t="str">
        <f>"07746996261"</f>
        <v>07746996261</v>
      </c>
      <c r="AA1929" t="str">
        <f>""</f>
        <v/>
      </c>
      <c r="AB1929" t="s">
        <v>3635</v>
      </c>
      <c r="AC1929" t="s">
        <v>3634</v>
      </c>
      <c r="AD1929" t="s">
        <v>114</v>
      </c>
      <c r="AE1929" s="63">
        <v>45329</v>
      </c>
      <c r="AF1929" t="s">
        <v>156</v>
      </c>
      <c r="AG1929" t="s">
        <v>112</v>
      </c>
      <c r="AH1929" t="s">
        <v>112</v>
      </c>
      <c r="AI1929" s="63">
        <v>45329</v>
      </c>
      <c r="AJ1929" s="63">
        <v>45657</v>
      </c>
      <c r="AK1929" t="s">
        <v>112</v>
      </c>
      <c r="AL1929" t="s">
        <v>111</v>
      </c>
      <c r="AM1929" t="s">
        <v>111</v>
      </c>
      <c r="AN1929">
        <v>38229</v>
      </c>
      <c r="AO1929" t="s">
        <v>110</v>
      </c>
      <c r="AP1929" t="s">
        <v>109</v>
      </c>
    </row>
    <row r="1930" spans="1:42" x14ac:dyDescent="0.25">
      <c r="A1930" s="28" t="str">
        <f>"16106"</f>
        <v>16106</v>
      </c>
      <c r="B1930">
        <v>16106</v>
      </c>
      <c r="C1930" t="s">
        <v>2488</v>
      </c>
      <c r="D1930" t="s">
        <v>121</v>
      </c>
      <c r="F1930" t="s">
        <v>120</v>
      </c>
      <c r="G1930" t="s">
        <v>185</v>
      </c>
      <c r="I1930" t="s">
        <v>3633</v>
      </c>
      <c r="J1930" t="s">
        <v>7</v>
      </c>
      <c r="K1930" s="63">
        <v>26999</v>
      </c>
      <c r="L1930" s="28">
        <f>DATEDIF(K1930,Zwift25!G$1,"Y")</f>
        <v>50</v>
      </c>
      <c r="M1930" s="67">
        <f>IF(J1930="m",VLOOKUP(L1930,'All Solo Adjustments'!A:D,4,FALSE),VLOOKUP(L1930,'All Solo Adjustments'!A:J,10,FALSE))</f>
        <v>1.1342592592592591E-3</v>
      </c>
      <c r="N1930" s="63"/>
      <c r="O1930" s="63"/>
      <c r="P1930" s="63"/>
      <c r="Q1930" s="63"/>
      <c r="R1930" t="s">
        <v>143</v>
      </c>
      <c r="S1930" t="s">
        <v>142</v>
      </c>
      <c r="T1930" t="s">
        <v>292</v>
      </c>
      <c r="U1930" t="s">
        <v>3632</v>
      </c>
      <c r="V1930" t="s">
        <v>242</v>
      </c>
      <c r="W1930" t="s">
        <v>172</v>
      </c>
      <c r="X1930" t="s">
        <v>172</v>
      </c>
      <c r="Y1930" t="s">
        <v>3631</v>
      </c>
      <c r="Z1930" t="str">
        <f>"07824703500"</f>
        <v>07824703500</v>
      </c>
      <c r="AA1930" t="str">
        <f>""</f>
        <v/>
      </c>
      <c r="AB1930" t="s">
        <v>737</v>
      </c>
      <c r="AC1930" t="s">
        <v>3630</v>
      </c>
      <c r="AD1930" t="s">
        <v>114</v>
      </c>
      <c r="AE1930" s="63">
        <v>45398</v>
      </c>
      <c r="AF1930" t="s">
        <v>156</v>
      </c>
      <c r="AG1930" t="s">
        <v>112</v>
      </c>
      <c r="AH1930" t="s">
        <v>112</v>
      </c>
      <c r="AI1930" s="63">
        <v>45398</v>
      </c>
      <c r="AJ1930" s="63">
        <v>45657</v>
      </c>
      <c r="AK1930" t="s">
        <v>112</v>
      </c>
      <c r="AL1930" t="s">
        <v>111</v>
      </c>
      <c r="AM1930" t="s">
        <v>111</v>
      </c>
      <c r="AN1930">
        <v>42414</v>
      </c>
      <c r="AO1930" t="s">
        <v>110</v>
      </c>
      <c r="AP1930" t="s">
        <v>109</v>
      </c>
    </row>
    <row r="1931" spans="1:42" x14ac:dyDescent="0.25">
      <c r="A1931" s="28" t="str">
        <f>"2428"</f>
        <v>2428</v>
      </c>
      <c r="B1931">
        <v>2428</v>
      </c>
      <c r="C1931" t="s">
        <v>2488</v>
      </c>
      <c r="D1931" t="s">
        <v>121</v>
      </c>
      <c r="F1931" t="s">
        <v>120</v>
      </c>
      <c r="G1931" t="s">
        <v>3629</v>
      </c>
      <c r="H1931" t="s">
        <v>1743</v>
      </c>
      <c r="I1931" t="s">
        <v>3628</v>
      </c>
      <c r="J1931" t="s">
        <v>7</v>
      </c>
      <c r="K1931" s="63">
        <v>13594</v>
      </c>
      <c r="L1931" s="28">
        <f>DATEDIF(K1931,Zwift25!G$1,"Y")</f>
        <v>87</v>
      </c>
      <c r="M1931" s="67">
        <f>IF(J1931="m",VLOOKUP(L1931,'All Solo Adjustments'!A:D,4,FALSE),VLOOKUP(L1931,'All Solo Adjustments'!A:J,10,FALSE))</f>
        <v>1.576388888888889E-2</v>
      </c>
      <c r="N1931" s="63"/>
      <c r="O1931" s="63"/>
      <c r="P1931" s="63"/>
      <c r="Q1931" s="63"/>
      <c r="R1931" t="s">
        <v>154</v>
      </c>
      <c r="S1931" t="s">
        <v>153</v>
      </c>
      <c r="T1931" t="s">
        <v>292</v>
      </c>
      <c r="U1931" t="s">
        <v>3627</v>
      </c>
      <c r="V1931" t="s">
        <v>591</v>
      </c>
      <c r="W1931" t="s">
        <v>752</v>
      </c>
      <c r="X1931" t="s">
        <v>337</v>
      </c>
      <c r="Y1931" t="s">
        <v>3626</v>
      </c>
      <c r="Z1931" t="str">
        <f>"01793614124"</f>
        <v>01793614124</v>
      </c>
      <c r="AA1931" t="str">
        <f>""</f>
        <v/>
      </c>
      <c r="AB1931" t="s">
        <v>3625</v>
      </c>
      <c r="AC1931" t="s">
        <v>3624</v>
      </c>
      <c r="AD1931" t="s">
        <v>145</v>
      </c>
      <c r="AE1931" s="63">
        <v>45288</v>
      </c>
      <c r="AF1931" t="s">
        <v>113</v>
      </c>
      <c r="AG1931" t="s">
        <v>112</v>
      </c>
      <c r="AH1931" t="s">
        <v>112</v>
      </c>
      <c r="AI1931" s="63">
        <v>29952</v>
      </c>
      <c r="AJ1931" s="63">
        <v>45657</v>
      </c>
      <c r="AK1931" t="s">
        <v>111</v>
      </c>
      <c r="AL1931" t="s">
        <v>112</v>
      </c>
      <c r="AM1931" t="s">
        <v>112</v>
      </c>
      <c r="AN1931" t="s">
        <v>105</v>
      </c>
      <c r="AO1931" t="s">
        <v>110</v>
      </c>
      <c r="AP1931" t="s">
        <v>109</v>
      </c>
    </row>
    <row r="1932" spans="1:42" x14ac:dyDescent="0.25">
      <c r="A1932" s="28" t="str">
        <f>"14236"</f>
        <v>14236</v>
      </c>
      <c r="B1932">
        <v>14236</v>
      </c>
      <c r="C1932" t="s">
        <v>2488</v>
      </c>
      <c r="D1932" t="s">
        <v>121</v>
      </c>
      <c r="F1932" t="s">
        <v>120</v>
      </c>
      <c r="G1932" t="s">
        <v>3623</v>
      </c>
      <c r="H1932" t="s">
        <v>3622</v>
      </c>
      <c r="I1932" t="s">
        <v>3621</v>
      </c>
      <c r="J1932" t="s">
        <v>7</v>
      </c>
      <c r="K1932" s="63">
        <v>24172</v>
      </c>
      <c r="L1932" s="28">
        <f>DATEDIF(K1932,Zwift25!G$1,"Y")</f>
        <v>58</v>
      </c>
      <c r="M1932" s="67">
        <f>IF(J1932="m",VLOOKUP(L1932,'All Solo Adjustments'!A:D,4,FALSE),VLOOKUP(L1932,'All Solo Adjustments'!A:J,10,FALSE))</f>
        <v>2.7199074074074074E-3</v>
      </c>
      <c r="N1932" s="63"/>
      <c r="O1932" s="63"/>
      <c r="P1932" s="63"/>
      <c r="Q1932" s="63"/>
      <c r="R1932" t="s">
        <v>154</v>
      </c>
      <c r="S1932" t="s">
        <v>153</v>
      </c>
      <c r="T1932" t="s">
        <v>292</v>
      </c>
      <c r="U1932" t="s">
        <v>3620</v>
      </c>
      <c r="W1932" t="s">
        <v>673</v>
      </c>
      <c r="X1932" t="s">
        <v>574</v>
      </c>
      <c r="Y1932" t="s">
        <v>3619</v>
      </c>
      <c r="Z1932" t="str">
        <f>"07515352531"</f>
        <v>07515352531</v>
      </c>
      <c r="AA1932" t="str">
        <f>""</f>
        <v/>
      </c>
      <c r="AB1932" t="s">
        <v>640</v>
      </c>
      <c r="AC1932" t="s">
        <v>3618</v>
      </c>
      <c r="AD1932" t="s">
        <v>114</v>
      </c>
      <c r="AE1932" s="63">
        <v>45348</v>
      </c>
      <c r="AF1932" t="s">
        <v>156</v>
      </c>
      <c r="AG1932" t="s">
        <v>112</v>
      </c>
      <c r="AH1932" t="s">
        <v>112</v>
      </c>
      <c r="AI1932" s="63">
        <v>43606</v>
      </c>
      <c r="AJ1932" s="63">
        <v>45657</v>
      </c>
      <c r="AK1932" t="s">
        <v>112</v>
      </c>
      <c r="AL1932" t="s">
        <v>111</v>
      </c>
      <c r="AM1932" t="s">
        <v>111</v>
      </c>
      <c r="AN1932">
        <v>1210</v>
      </c>
      <c r="AO1932" t="s">
        <v>110</v>
      </c>
      <c r="AP1932" t="s">
        <v>109</v>
      </c>
    </row>
    <row r="1933" spans="1:42" x14ac:dyDescent="0.25">
      <c r="A1933" s="28" t="str">
        <f>"15715"</f>
        <v>15715</v>
      </c>
      <c r="B1933">
        <v>15715</v>
      </c>
      <c r="C1933" t="s">
        <v>2488</v>
      </c>
      <c r="D1933" t="s">
        <v>121</v>
      </c>
      <c r="E1933" t="s">
        <v>584</v>
      </c>
      <c r="F1933" t="s">
        <v>120</v>
      </c>
      <c r="G1933" t="s">
        <v>481</v>
      </c>
      <c r="I1933" t="s">
        <v>3617</v>
      </c>
      <c r="J1933" t="s">
        <v>7</v>
      </c>
      <c r="K1933" s="63">
        <v>20880</v>
      </c>
      <c r="L1933" s="28">
        <f>DATEDIF(K1933,Zwift25!G$1,"Y")</f>
        <v>67</v>
      </c>
      <c r="M1933" s="67">
        <f>IF(J1933="m",VLOOKUP(L1933,'All Solo Adjustments'!A:D,4,FALSE),VLOOKUP(L1933,'All Solo Adjustments'!A:J,10,FALSE))</f>
        <v>5.2662037037037035E-3</v>
      </c>
      <c r="N1933" s="63"/>
      <c r="O1933" s="63"/>
      <c r="P1933" s="63"/>
      <c r="Q1933" s="63"/>
      <c r="R1933" t="s">
        <v>137</v>
      </c>
      <c r="S1933" t="s">
        <v>136</v>
      </c>
      <c r="T1933" t="s">
        <v>292</v>
      </c>
      <c r="U1933" t="s">
        <v>3616</v>
      </c>
      <c r="V1933" t="s">
        <v>3615</v>
      </c>
      <c r="W1933" t="s">
        <v>1552</v>
      </c>
      <c r="X1933" t="s">
        <v>3614</v>
      </c>
      <c r="Y1933" t="s">
        <v>3613</v>
      </c>
      <c r="Z1933" t="str">
        <f>"07887 684033"</f>
        <v>07887 684033</v>
      </c>
      <c r="AA1933" t="str">
        <f>""</f>
        <v/>
      </c>
      <c r="AB1933" t="s">
        <v>439</v>
      </c>
      <c r="AC1933" t="s">
        <v>3612</v>
      </c>
      <c r="AD1933" t="s">
        <v>114</v>
      </c>
      <c r="AE1933" s="63">
        <v>45292</v>
      </c>
      <c r="AF1933" t="s">
        <v>156</v>
      </c>
      <c r="AG1933" t="s">
        <v>112</v>
      </c>
      <c r="AH1933" t="s">
        <v>112</v>
      </c>
      <c r="AI1933" s="63">
        <v>44984</v>
      </c>
      <c r="AJ1933" s="63">
        <v>45657</v>
      </c>
      <c r="AK1933" t="s">
        <v>112</v>
      </c>
      <c r="AL1933" t="s">
        <v>112</v>
      </c>
      <c r="AM1933" t="s">
        <v>111</v>
      </c>
      <c r="AN1933">
        <v>39688</v>
      </c>
      <c r="AO1933" t="s">
        <v>110</v>
      </c>
      <c r="AP1933" t="s">
        <v>109</v>
      </c>
    </row>
    <row r="1934" spans="1:42" x14ac:dyDescent="0.25">
      <c r="A1934" s="28" t="str">
        <f>"15188"</f>
        <v>15188</v>
      </c>
      <c r="B1934">
        <v>15188</v>
      </c>
      <c r="C1934" t="s">
        <v>2488</v>
      </c>
      <c r="D1934" t="s">
        <v>121</v>
      </c>
      <c r="E1934" t="s">
        <v>584</v>
      </c>
      <c r="F1934" t="s">
        <v>120</v>
      </c>
      <c r="G1934" t="s">
        <v>165</v>
      </c>
      <c r="H1934" t="s">
        <v>685</v>
      </c>
      <c r="I1934" t="s">
        <v>3611</v>
      </c>
      <c r="J1934" t="s">
        <v>7</v>
      </c>
      <c r="K1934" s="63">
        <v>29554</v>
      </c>
      <c r="L1934" s="28">
        <f>DATEDIF(K1934,Zwift25!G$1,"Y")</f>
        <v>43</v>
      </c>
      <c r="M1934" s="67">
        <f>IF(J1934="m",VLOOKUP(L1934,'All Solo Adjustments'!A:D,4,FALSE),VLOOKUP(L1934,'All Solo Adjustments'!A:J,10,FALSE))</f>
        <v>2.4305555555555555E-4</v>
      </c>
      <c r="N1934" s="63"/>
      <c r="O1934" s="63"/>
      <c r="P1934" s="63"/>
      <c r="Q1934" s="63"/>
      <c r="R1934" t="s">
        <v>125</v>
      </c>
      <c r="S1934" t="s">
        <v>170</v>
      </c>
      <c r="T1934" t="s">
        <v>292</v>
      </c>
      <c r="U1934" t="s">
        <v>3610</v>
      </c>
      <c r="V1934" t="s">
        <v>3609</v>
      </c>
      <c r="W1934" t="s">
        <v>420</v>
      </c>
      <c r="X1934" t="s">
        <v>3608</v>
      </c>
      <c r="Y1934" t="s">
        <v>3607</v>
      </c>
      <c r="Z1934" t="str">
        <f>"07946574251"</f>
        <v>07946574251</v>
      </c>
      <c r="AA1934" t="str">
        <f>""</f>
        <v/>
      </c>
      <c r="AB1934" t="s">
        <v>2212</v>
      </c>
      <c r="AC1934" t="s">
        <v>3606</v>
      </c>
      <c r="AD1934" t="s">
        <v>114</v>
      </c>
      <c r="AE1934" s="63">
        <v>45351</v>
      </c>
      <c r="AF1934" t="s">
        <v>113</v>
      </c>
      <c r="AG1934" t="s">
        <v>112</v>
      </c>
      <c r="AH1934" t="s">
        <v>112</v>
      </c>
      <c r="AI1934" s="63">
        <v>44399</v>
      </c>
      <c r="AJ1934" s="63">
        <v>45657</v>
      </c>
      <c r="AK1934" t="s">
        <v>112</v>
      </c>
      <c r="AL1934" t="s">
        <v>111</v>
      </c>
      <c r="AM1934" t="s">
        <v>111</v>
      </c>
      <c r="AN1934">
        <v>30884</v>
      </c>
      <c r="AO1934" t="s">
        <v>110</v>
      </c>
      <c r="AP1934" t="s">
        <v>109</v>
      </c>
    </row>
    <row r="1935" spans="1:42" x14ac:dyDescent="0.25">
      <c r="A1935" s="28" t="str">
        <f>"16216"</f>
        <v>16216</v>
      </c>
      <c r="B1935">
        <v>16216</v>
      </c>
      <c r="C1935" t="s">
        <v>2488</v>
      </c>
      <c r="D1935" t="s">
        <v>121</v>
      </c>
      <c r="F1935" t="s">
        <v>120</v>
      </c>
      <c r="G1935" t="s">
        <v>245</v>
      </c>
      <c r="I1935" t="s">
        <v>3605</v>
      </c>
      <c r="J1935" t="s">
        <v>7</v>
      </c>
      <c r="K1935" s="63">
        <v>22706</v>
      </c>
      <c r="L1935" s="28">
        <f>DATEDIF(K1935,Zwift25!G$1,"Y")</f>
        <v>62</v>
      </c>
      <c r="M1935" s="67">
        <f>IF(J1935="m",VLOOKUP(L1935,'All Solo Adjustments'!A:D,4,FALSE),VLOOKUP(L1935,'All Solo Adjustments'!A:J,10,FALSE))</f>
        <v>3.7384259259259259E-3</v>
      </c>
      <c r="N1935" s="63"/>
      <c r="O1935" s="63"/>
      <c r="P1935" s="63"/>
      <c r="Q1935" s="63"/>
      <c r="R1935" t="s">
        <v>198</v>
      </c>
      <c r="S1935" t="s">
        <v>461</v>
      </c>
      <c r="T1935" t="s">
        <v>292</v>
      </c>
      <c r="U1935" t="s">
        <v>3604</v>
      </c>
      <c r="V1935" t="s">
        <v>1532</v>
      </c>
      <c r="W1935" t="s">
        <v>1510</v>
      </c>
      <c r="X1935" t="s">
        <v>713</v>
      </c>
      <c r="Y1935" t="s">
        <v>3603</v>
      </c>
      <c r="Z1935" t="str">
        <f>"07896709046"</f>
        <v>07896709046</v>
      </c>
      <c r="AA1935" t="str">
        <f>""</f>
        <v/>
      </c>
      <c r="AB1935" t="s">
        <v>3602</v>
      </c>
      <c r="AC1935" t="s">
        <v>3601</v>
      </c>
      <c r="AD1935" t="s">
        <v>114</v>
      </c>
      <c r="AE1935" s="63">
        <v>45565</v>
      </c>
      <c r="AF1935" t="s">
        <v>156</v>
      </c>
      <c r="AG1935" t="s">
        <v>112</v>
      </c>
      <c r="AH1935" t="s">
        <v>112</v>
      </c>
      <c r="AI1935" s="63">
        <v>45565</v>
      </c>
      <c r="AJ1935" s="63">
        <v>46022</v>
      </c>
      <c r="AK1935" t="s">
        <v>112</v>
      </c>
      <c r="AL1935" t="s">
        <v>111</v>
      </c>
      <c r="AM1935" t="s">
        <v>111</v>
      </c>
      <c r="AN1935">
        <v>46369</v>
      </c>
      <c r="AO1935" t="s">
        <v>110</v>
      </c>
      <c r="AP1935" t="s">
        <v>109</v>
      </c>
    </row>
    <row r="1936" spans="1:42" x14ac:dyDescent="0.25">
      <c r="A1936" s="28" t="str">
        <f>"6474"</f>
        <v>6474</v>
      </c>
      <c r="B1936">
        <v>6474</v>
      </c>
      <c r="C1936" t="s">
        <v>2488</v>
      </c>
      <c r="D1936" t="s">
        <v>121</v>
      </c>
      <c r="F1936" t="s">
        <v>120</v>
      </c>
      <c r="G1936" t="s">
        <v>285</v>
      </c>
      <c r="H1936" t="s">
        <v>251</v>
      </c>
      <c r="I1936" t="s">
        <v>3600</v>
      </c>
      <c r="J1936" t="s">
        <v>7</v>
      </c>
      <c r="K1936" s="63">
        <v>26914</v>
      </c>
      <c r="L1936" s="28">
        <f>DATEDIF(K1936,Zwift25!G$1,"Y")</f>
        <v>51</v>
      </c>
      <c r="M1936" s="67">
        <f>IF(J1936="m",VLOOKUP(L1936,'All Solo Adjustments'!A:D,4,FALSE),VLOOKUP(L1936,'All Solo Adjustments'!A:J,10,FALSE))</f>
        <v>1.3078703703703703E-3</v>
      </c>
      <c r="N1936" s="63"/>
      <c r="O1936" s="63"/>
      <c r="P1936" s="63"/>
      <c r="Q1936" s="63"/>
      <c r="R1936" t="s">
        <v>184</v>
      </c>
      <c r="S1936" t="s">
        <v>183</v>
      </c>
      <c r="T1936" t="s">
        <v>292</v>
      </c>
      <c r="U1936" t="s">
        <v>3599</v>
      </c>
      <c r="V1936" t="s">
        <v>3598</v>
      </c>
      <c r="W1936" t="s">
        <v>483</v>
      </c>
      <c r="Y1936" t="s">
        <v>3597</v>
      </c>
      <c r="Z1936" t="str">
        <f>"07766 901495"</f>
        <v>07766 901495</v>
      </c>
      <c r="AA1936" t="str">
        <f>""</f>
        <v/>
      </c>
      <c r="AB1936" t="s">
        <v>3596</v>
      </c>
      <c r="AC1936" t="s">
        <v>3595</v>
      </c>
      <c r="AD1936" t="s">
        <v>114</v>
      </c>
      <c r="AE1936" s="63">
        <v>45364</v>
      </c>
      <c r="AF1936" t="s">
        <v>156</v>
      </c>
      <c r="AG1936" t="s">
        <v>112</v>
      </c>
      <c r="AH1936" t="s">
        <v>112</v>
      </c>
      <c r="AI1936" s="63">
        <v>43174</v>
      </c>
      <c r="AJ1936" s="63">
        <v>45657</v>
      </c>
      <c r="AK1936" t="s">
        <v>111</v>
      </c>
      <c r="AL1936" t="s">
        <v>111</v>
      </c>
      <c r="AM1936" t="s">
        <v>111</v>
      </c>
      <c r="AN1936" t="s">
        <v>105</v>
      </c>
      <c r="AO1936" t="s">
        <v>110</v>
      </c>
      <c r="AP1936" t="s">
        <v>109</v>
      </c>
    </row>
    <row r="1937" spans="1:42" x14ac:dyDescent="0.25">
      <c r="A1937" s="28" t="str">
        <f>"5868"</f>
        <v>5868</v>
      </c>
      <c r="B1937">
        <v>5868</v>
      </c>
      <c r="C1937" t="s">
        <v>2488</v>
      </c>
      <c r="D1937" t="s">
        <v>121</v>
      </c>
      <c r="F1937" t="s">
        <v>120</v>
      </c>
      <c r="G1937" t="s">
        <v>573</v>
      </c>
      <c r="I1937" t="s">
        <v>3594</v>
      </c>
      <c r="J1937" t="s">
        <v>7</v>
      </c>
      <c r="K1937" s="63">
        <v>22318</v>
      </c>
      <c r="L1937" s="28">
        <f>DATEDIF(K1937,Zwift25!G$1,"Y")</f>
        <v>63</v>
      </c>
      <c r="M1937" s="67">
        <f>IF(J1937="m",VLOOKUP(L1937,'All Solo Adjustments'!A:D,4,FALSE),VLOOKUP(L1937,'All Solo Adjustments'!A:J,10,FALSE))</f>
        <v>4.0277777777777777E-3</v>
      </c>
      <c r="N1937" s="63"/>
      <c r="O1937" s="63"/>
      <c r="P1937" s="63"/>
      <c r="Q1937" s="63"/>
      <c r="R1937" t="s">
        <v>125</v>
      </c>
      <c r="S1937" t="s">
        <v>170</v>
      </c>
      <c r="T1937" t="s">
        <v>292</v>
      </c>
      <c r="U1937" t="s">
        <v>3593</v>
      </c>
      <c r="V1937" t="s">
        <v>1965</v>
      </c>
      <c r="W1937" t="s">
        <v>420</v>
      </c>
      <c r="Y1937" t="s">
        <v>3592</v>
      </c>
      <c r="Z1937" t="str">
        <f>"01832 274369"</f>
        <v>01832 274369</v>
      </c>
      <c r="AA1937" t="str">
        <f>""</f>
        <v/>
      </c>
      <c r="AB1937" t="s">
        <v>870</v>
      </c>
      <c r="AC1937" t="s">
        <v>3591</v>
      </c>
      <c r="AD1937" t="s">
        <v>114</v>
      </c>
      <c r="AE1937" s="63">
        <v>45363</v>
      </c>
      <c r="AF1937" t="s">
        <v>156</v>
      </c>
      <c r="AG1937" t="s">
        <v>112</v>
      </c>
      <c r="AH1937" t="s">
        <v>112</v>
      </c>
      <c r="AI1937" s="63">
        <v>42508</v>
      </c>
      <c r="AJ1937" s="63">
        <v>45657</v>
      </c>
      <c r="AK1937" t="s">
        <v>111</v>
      </c>
      <c r="AL1937" t="s">
        <v>111</v>
      </c>
      <c r="AM1937" t="s">
        <v>111</v>
      </c>
      <c r="AN1937">
        <v>1442</v>
      </c>
      <c r="AO1937" t="s">
        <v>110</v>
      </c>
      <c r="AP1937" t="s">
        <v>109</v>
      </c>
    </row>
    <row r="1938" spans="1:42" x14ac:dyDescent="0.25">
      <c r="A1938" s="28" t="str">
        <f>"2435"</f>
        <v>2435</v>
      </c>
      <c r="B1938">
        <v>2435</v>
      </c>
      <c r="C1938" t="s">
        <v>2488</v>
      </c>
      <c r="D1938" t="s">
        <v>121</v>
      </c>
      <c r="F1938" t="s">
        <v>120</v>
      </c>
      <c r="G1938" t="s">
        <v>284</v>
      </c>
      <c r="I1938" t="s">
        <v>3590</v>
      </c>
      <c r="J1938" t="s">
        <v>7</v>
      </c>
      <c r="K1938" s="63">
        <v>14362</v>
      </c>
      <c r="L1938" s="28">
        <f>DATEDIF(K1938,Zwift25!G$1,"Y")</f>
        <v>85</v>
      </c>
      <c r="M1938" s="67">
        <f>IF(J1938="m",VLOOKUP(L1938,'All Solo Adjustments'!A:D,4,FALSE),VLOOKUP(L1938,'All Solo Adjustments'!A:J,10,FALSE))</f>
        <v>1.4236111111111111E-2</v>
      </c>
      <c r="N1938" s="63"/>
      <c r="O1938" s="63"/>
      <c r="P1938" s="63"/>
      <c r="Q1938" s="63"/>
      <c r="R1938" t="s">
        <v>154</v>
      </c>
      <c r="S1938" t="s">
        <v>153</v>
      </c>
      <c r="T1938" t="s">
        <v>292</v>
      </c>
      <c r="U1938" t="s">
        <v>3589</v>
      </c>
      <c r="V1938" t="s">
        <v>3588</v>
      </c>
      <c r="W1938" t="s">
        <v>1528</v>
      </c>
      <c r="X1938" t="s">
        <v>2324</v>
      </c>
      <c r="Y1938" t="s">
        <v>3587</v>
      </c>
      <c r="Z1938" t="str">
        <f>""</f>
        <v/>
      </c>
      <c r="AA1938" t="str">
        <f>""</f>
        <v/>
      </c>
      <c r="AB1938" t="s">
        <v>290</v>
      </c>
      <c r="AD1938" t="s">
        <v>145</v>
      </c>
      <c r="AE1938" s="63">
        <v>45355</v>
      </c>
      <c r="AF1938" t="s">
        <v>113</v>
      </c>
      <c r="AG1938" t="s">
        <v>112</v>
      </c>
      <c r="AH1938" t="s">
        <v>112</v>
      </c>
      <c r="AI1938" s="63">
        <v>31048</v>
      </c>
      <c r="AJ1938" s="63">
        <v>45657</v>
      </c>
      <c r="AK1938" t="s">
        <v>111</v>
      </c>
      <c r="AL1938" t="s">
        <v>111</v>
      </c>
      <c r="AM1938" t="s">
        <v>111</v>
      </c>
      <c r="AN1938" t="s">
        <v>105</v>
      </c>
      <c r="AO1938" t="s">
        <v>110</v>
      </c>
      <c r="AP1938" t="s">
        <v>109</v>
      </c>
    </row>
    <row r="1939" spans="1:42" x14ac:dyDescent="0.25">
      <c r="A1939" s="28" t="str">
        <f>"6445"</f>
        <v>6445</v>
      </c>
      <c r="B1939">
        <v>6445</v>
      </c>
      <c r="C1939" t="s">
        <v>2488</v>
      </c>
      <c r="D1939" t="s">
        <v>121</v>
      </c>
      <c r="F1939" t="s">
        <v>120</v>
      </c>
      <c r="G1939" t="s">
        <v>181</v>
      </c>
      <c r="I1939" t="s">
        <v>3586</v>
      </c>
      <c r="J1939" t="s">
        <v>7</v>
      </c>
      <c r="K1939" s="63">
        <v>24219</v>
      </c>
      <c r="L1939" s="28">
        <f>DATEDIF(K1939,Zwift25!G$1,"Y")</f>
        <v>58</v>
      </c>
      <c r="M1939" s="67">
        <f>IF(J1939="m",VLOOKUP(L1939,'All Solo Adjustments'!A:D,4,FALSE),VLOOKUP(L1939,'All Solo Adjustments'!A:J,10,FALSE))</f>
        <v>2.7199074074074074E-3</v>
      </c>
      <c r="N1939" s="63"/>
      <c r="O1939" s="63"/>
      <c r="P1939" s="63"/>
      <c r="Q1939" s="63"/>
      <c r="R1939" t="s">
        <v>328</v>
      </c>
      <c r="S1939" t="s">
        <v>327</v>
      </c>
      <c r="T1939" t="s">
        <v>292</v>
      </c>
      <c r="U1939" t="s">
        <v>3585</v>
      </c>
      <c r="V1939" t="s">
        <v>3584</v>
      </c>
      <c r="W1939" t="s">
        <v>1223</v>
      </c>
      <c r="Y1939" t="s">
        <v>3583</v>
      </c>
      <c r="Z1939" t="str">
        <f>"07801 801982"</f>
        <v>07801 801982</v>
      </c>
      <c r="AA1939" t="str">
        <f>""</f>
        <v/>
      </c>
      <c r="AB1939" t="s">
        <v>1146</v>
      </c>
      <c r="AC1939" t="s">
        <v>3582</v>
      </c>
      <c r="AD1939" t="s">
        <v>114</v>
      </c>
      <c r="AE1939" s="63">
        <v>45364</v>
      </c>
      <c r="AF1939" t="s">
        <v>113</v>
      </c>
      <c r="AG1939" t="s">
        <v>112</v>
      </c>
      <c r="AH1939" t="s">
        <v>112</v>
      </c>
      <c r="AI1939" s="63">
        <v>43153</v>
      </c>
      <c r="AJ1939" s="63">
        <v>45657</v>
      </c>
      <c r="AK1939" t="s">
        <v>111</v>
      </c>
      <c r="AL1939" t="s">
        <v>111</v>
      </c>
      <c r="AM1939" t="s">
        <v>111</v>
      </c>
      <c r="AN1939">
        <v>7317</v>
      </c>
      <c r="AO1939" t="s">
        <v>110</v>
      </c>
      <c r="AP1939" t="s">
        <v>109</v>
      </c>
    </row>
    <row r="1940" spans="1:42" x14ac:dyDescent="0.25">
      <c r="A1940" s="28" t="str">
        <f>"6183"</f>
        <v>6183</v>
      </c>
      <c r="B1940">
        <v>6183</v>
      </c>
      <c r="C1940" t="s">
        <v>2488</v>
      </c>
      <c r="D1940" t="s">
        <v>121</v>
      </c>
      <c r="F1940" t="s">
        <v>120</v>
      </c>
      <c r="G1940" t="s">
        <v>185</v>
      </c>
      <c r="I1940" t="s">
        <v>3581</v>
      </c>
      <c r="J1940" t="s">
        <v>7</v>
      </c>
      <c r="K1940" s="63">
        <v>17848</v>
      </c>
      <c r="L1940" s="28">
        <f>DATEDIF(K1940,Zwift25!G$1,"Y")</f>
        <v>75</v>
      </c>
      <c r="M1940" s="67">
        <f>IF(J1940="m",VLOOKUP(L1940,'All Solo Adjustments'!A:D,4,FALSE),VLOOKUP(L1940,'All Solo Adjustments'!A:J,10,FALSE))</f>
        <v>8.4374999999999988E-3</v>
      </c>
      <c r="N1940" s="63"/>
      <c r="O1940" s="63"/>
      <c r="P1940" s="63"/>
      <c r="Q1940" s="63"/>
      <c r="R1940" t="s">
        <v>143</v>
      </c>
      <c r="S1940" t="s">
        <v>142</v>
      </c>
      <c r="T1940" t="s">
        <v>292</v>
      </c>
      <c r="U1940" t="s">
        <v>3580</v>
      </c>
      <c r="V1940" t="s">
        <v>3579</v>
      </c>
      <c r="W1940" t="s">
        <v>3578</v>
      </c>
      <c r="X1940" t="s">
        <v>172</v>
      </c>
      <c r="Y1940" t="s">
        <v>3577</v>
      </c>
      <c r="Z1940" t="str">
        <f>"07823 212953"</f>
        <v>07823 212953</v>
      </c>
      <c r="AA1940" t="str">
        <f>"01273 857471"</f>
        <v>01273 857471</v>
      </c>
      <c r="AB1940" t="s">
        <v>1853</v>
      </c>
      <c r="AC1940" t="s">
        <v>3576</v>
      </c>
      <c r="AD1940" t="s">
        <v>114</v>
      </c>
      <c r="AE1940" s="63">
        <v>45398</v>
      </c>
      <c r="AF1940" t="s">
        <v>156</v>
      </c>
      <c r="AG1940" t="s">
        <v>112</v>
      </c>
      <c r="AH1940" t="s">
        <v>112</v>
      </c>
      <c r="AI1940" s="63">
        <v>42843</v>
      </c>
      <c r="AJ1940" s="63">
        <v>45657</v>
      </c>
      <c r="AK1940" t="s">
        <v>111</v>
      </c>
      <c r="AL1940" t="s">
        <v>111</v>
      </c>
      <c r="AM1940" t="s">
        <v>111</v>
      </c>
      <c r="AN1940" t="s">
        <v>105</v>
      </c>
      <c r="AO1940" t="s">
        <v>110</v>
      </c>
      <c r="AP1940" t="s">
        <v>109</v>
      </c>
    </row>
    <row r="1941" spans="1:42" x14ac:dyDescent="0.25">
      <c r="A1941" s="28" t="str">
        <f>"16047"</f>
        <v>16047</v>
      </c>
      <c r="B1941">
        <v>16047</v>
      </c>
      <c r="C1941" t="s">
        <v>2488</v>
      </c>
      <c r="D1941" t="s">
        <v>121</v>
      </c>
      <c r="F1941" t="s">
        <v>120</v>
      </c>
      <c r="G1941" t="s">
        <v>284</v>
      </c>
      <c r="I1941" t="s">
        <v>1446</v>
      </c>
      <c r="J1941" t="s">
        <v>7</v>
      </c>
      <c r="K1941" s="63">
        <v>27536</v>
      </c>
      <c r="L1941" s="28">
        <f>DATEDIF(K1941,Zwift25!G$1,"Y")</f>
        <v>49</v>
      </c>
      <c r="M1941" s="67">
        <f>IF(J1941="m",VLOOKUP(L1941,'All Solo Adjustments'!A:D,4,FALSE),VLOOKUP(L1941,'All Solo Adjustments'!A:J,10,FALSE))</f>
        <v>9.837962962962962E-4</v>
      </c>
      <c r="N1941" s="63"/>
      <c r="O1941" s="63"/>
      <c r="P1941" s="63"/>
      <c r="Q1941" s="63"/>
      <c r="R1941" t="s">
        <v>283</v>
      </c>
      <c r="S1941" t="s">
        <v>530</v>
      </c>
      <c r="T1941" t="s">
        <v>292</v>
      </c>
      <c r="U1941" t="s">
        <v>3575</v>
      </c>
      <c r="V1941" t="s">
        <v>1472</v>
      </c>
      <c r="W1941" t="s">
        <v>1471</v>
      </c>
      <c r="X1941" t="s">
        <v>259</v>
      </c>
      <c r="Y1941" t="s">
        <v>3574</v>
      </c>
      <c r="Z1941" t="str">
        <f>"07880815341"</f>
        <v>07880815341</v>
      </c>
      <c r="AA1941" t="str">
        <f>""</f>
        <v/>
      </c>
      <c r="AB1941" t="s">
        <v>3573</v>
      </c>
      <c r="AC1941" t="s">
        <v>3572</v>
      </c>
      <c r="AD1941" t="s">
        <v>114</v>
      </c>
      <c r="AE1941" s="63">
        <v>45352</v>
      </c>
      <c r="AF1941" t="s">
        <v>156</v>
      </c>
      <c r="AG1941" t="s">
        <v>112</v>
      </c>
      <c r="AH1941" t="s">
        <v>112</v>
      </c>
      <c r="AI1941" s="63">
        <v>45352</v>
      </c>
      <c r="AJ1941" s="63">
        <v>45657</v>
      </c>
      <c r="AK1941" t="s">
        <v>112</v>
      </c>
      <c r="AL1941" t="s">
        <v>111</v>
      </c>
      <c r="AM1941" t="s">
        <v>111</v>
      </c>
      <c r="AN1941">
        <v>37171</v>
      </c>
      <c r="AO1941" t="s">
        <v>110</v>
      </c>
      <c r="AP1941" t="s">
        <v>109</v>
      </c>
    </row>
    <row r="1942" spans="1:42" x14ac:dyDescent="0.25">
      <c r="A1942" s="28" t="str">
        <f>"15615"</f>
        <v>15615</v>
      </c>
      <c r="B1942">
        <v>15615</v>
      </c>
      <c r="C1942" t="s">
        <v>2488</v>
      </c>
      <c r="D1942" t="s">
        <v>121</v>
      </c>
      <c r="F1942" t="s">
        <v>120</v>
      </c>
      <c r="G1942" t="s">
        <v>339</v>
      </c>
      <c r="H1942" t="s">
        <v>284</v>
      </c>
      <c r="I1942" t="s">
        <v>3571</v>
      </c>
      <c r="J1942" t="s">
        <v>7</v>
      </c>
      <c r="K1942" s="63">
        <v>24577</v>
      </c>
      <c r="L1942" s="28">
        <f>DATEDIF(K1942,Zwift25!G$1,"Y")</f>
        <v>57</v>
      </c>
      <c r="M1942" s="67">
        <f>IF(J1942="m",VLOOKUP(L1942,'All Solo Adjustments'!A:D,4,FALSE),VLOOKUP(L1942,'All Solo Adjustments'!A:J,10,FALSE))</f>
        <v>2.488425925925926E-3</v>
      </c>
      <c r="N1942" s="63"/>
      <c r="O1942" s="63"/>
      <c r="P1942" s="63"/>
      <c r="Q1942" s="63"/>
      <c r="R1942" t="s">
        <v>184</v>
      </c>
      <c r="S1942" t="s">
        <v>183</v>
      </c>
      <c r="T1942" t="s">
        <v>292</v>
      </c>
      <c r="U1942" t="s">
        <v>3570</v>
      </c>
      <c r="W1942" t="s">
        <v>3569</v>
      </c>
      <c r="X1942" t="s">
        <v>344</v>
      </c>
      <c r="Y1942" t="s">
        <v>3568</v>
      </c>
      <c r="Z1942" t="str">
        <f>"07767606597"</f>
        <v>07767606597</v>
      </c>
      <c r="AA1942" t="str">
        <f>""</f>
        <v/>
      </c>
      <c r="AB1942" t="s">
        <v>1076</v>
      </c>
      <c r="AC1942" t="s">
        <v>3567</v>
      </c>
      <c r="AD1942" t="s">
        <v>114</v>
      </c>
      <c r="AE1942" s="63">
        <v>45306</v>
      </c>
      <c r="AF1942" t="s">
        <v>156</v>
      </c>
      <c r="AG1942" t="s">
        <v>112</v>
      </c>
      <c r="AH1942" t="s">
        <v>112</v>
      </c>
      <c r="AI1942" s="63">
        <v>45306</v>
      </c>
      <c r="AJ1942" s="63">
        <v>45657</v>
      </c>
      <c r="AK1942" t="s">
        <v>112</v>
      </c>
      <c r="AL1942" t="s">
        <v>111</v>
      </c>
      <c r="AM1942" t="s">
        <v>111</v>
      </c>
      <c r="AN1942">
        <v>43710</v>
      </c>
      <c r="AO1942" t="s">
        <v>110</v>
      </c>
      <c r="AP1942" t="s">
        <v>109</v>
      </c>
    </row>
    <row r="1943" spans="1:42" x14ac:dyDescent="0.25">
      <c r="A1943" s="28" t="str">
        <f>"2439"</f>
        <v>2439</v>
      </c>
      <c r="B1943">
        <v>2439</v>
      </c>
      <c r="C1943" t="s">
        <v>2488</v>
      </c>
      <c r="D1943" t="s">
        <v>121</v>
      </c>
      <c r="F1943" t="s">
        <v>120</v>
      </c>
      <c r="G1943" t="s">
        <v>3566</v>
      </c>
      <c r="I1943" t="s">
        <v>3565</v>
      </c>
      <c r="J1943" t="s">
        <v>7</v>
      </c>
      <c r="K1943" s="63">
        <v>12934</v>
      </c>
      <c r="L1943" s="28">
        <f>DATEDIF(K1943,Zwift25!G$1,"Y")</f>
        <v>89</v>
      </c>
      <c r="M1943" s="67">
        <f>IF(J1943="m",VLOOKUP(L1943,'All Solo Adjustments'!A:D,4,FALSE),VLOOKUP(L1943,'All Solo Adjustments'!A:J,10,FALSE))</f>
        <v>1.7465277777777777E-2</v>
      </c>
      <c r="N1943" s="63"/>
      <c r="O1943" s="63"/>
      <c r="P1943" s="63"/>
      <c r="Q1943" s="63"/>
      <c r="R1943" t="s">
        <v>180</v>
      </c>
      <c r="S1943" t="s">
        <v>2288</v>
      </c>
      <c r="T1943" t="s">
        <v>292</v>
      </c>
      <c r="U1943" t="s">
        <v>3564</v>
      </c>
      <c r="V1943" t="s">
        <v>3563</v>
      </c>
      <c r="W1943" t="s">
        <v>926</v>
      </c>
      <c r="Y1943" t="s">
        <v>3562</v>
      </c>
      <c r="Z1943" t="str">
        <f>"01604 786716"</f>
        <v>01604 786716</v>
      </c>
      <c r="AA1943" t="str">
        <f>""</f>
        <v/>
      </c>
      <c r="AB1943" t="s">
        <v>3561</v>
      </c>
      <c r="AD1943" t="s">
        <v>151</v>
      </c>
      <c r="AF1943" t="s">
        <v>113</v>
      </c>
      <c r="AG1943" t="s">
        <v>112</v>
      </c>
      <c r="AH1943" t="s">
        <v>112</v>
      </c>
      <c r="AK1943" t="s">
        <v>111</v>
      </c>
      <c r="AL1943" t="s">
        <v>111</v>
      </c>
      <c r="AM1943" t="s">
        <v>111</v>
      </c>
      <c r="AN1943" t="s">
        <v>105</v>
      </c>
      <c r="AO1943" t="s">
        <v>110</v>
      </c>
      <c r="AP1943" t="s">
        <v>109</v>
      </c>
    </row>
    <row r="1944" spans="1:42" x14ac:dyDescent="0.25">
      <c r="A1944" s="28" t="str">
        <f>"4757"</f>
        <v>4757</v>
      </c>
      <c r="B1944">
        <v>4757</v>
      </c>
      <c r="C1944" t="s">
        <v>2488</v>
      </c>
      <c r="D1944" t="s">
        <v>121</v>
      </c>
      <c r="E1944" t="s">
        <v>3539</v>
      </c>
      <c r="F1944" t="s">
        <v>120</v>
      </c>
      <c r="G1944" t="s">
        <v>3557</v>
      </c>
      <c r="I1944" t="s">
        <v>475</v>
      </c>
      <c r="J1944" t="s">
        <v>7</v>
      </c>
      <c r="K1944" s="63">
        <v>26448</v>
      </c>
      <c r="L1944" s="28">
        <f>DATEDIF(K1944,Zwift25!G$1,"Y")</f>
        <v>52</v>
      </c>
      <c r="M1944" s="67">
        <f>IF(J1944="m",VLOOKUP(L1944,'All Solo Adjustments'!A:D,4,FALSE),VLOOKUP(L1944,'All Solo Adjustments'!A:J,10,FALSE))</f>
        <v>1.4814814814814816E-3</v>
      </c>
      <c r="N1944" s="63"/>
      <c r="O1944" s="63"/>
      <c r="P1944" s="63"/>
      <c r="Q1944" s="63"/>
      <c r="R1944" t="s">
        <v>239</v>
      </c>
      <c r="S1944" t="s">
        <v>274</v>
      </c>
      <c r="T1944" t="s">
        <v>292</v>
      </c>
      <c r="U1944" t="s">
        <v>3555</v>
      </c>
      <c r="V1944" t="s">
        <v>1882</v>
      </c>
      <c r="W1944" t="s">
        <v>1882</v>
      </c>
      <c r="X1944" t="s">
        <v>3560</v>
      </c>
      <c r="Y1944" t="s">
        <v>3559</v>
      </c>
      <c r="Z1944" t="str">
        <f>"07970 966458"</f>
        <v>07970 966458</v>
      </c>
      <c r="AA1944" t="str">
        <f>""</f>
        <v/>
      </c>
      <c r="AB1944" t="s">
        <v>1412</v>
      </c>
      <c r="AC1944" t="s">
        <v>3558</v>
      </c>
      <c r="AD1944" t="s">
        <v>114</v>
      </c>
      <c r="AE1944" s="63">
        <v>45298</v>
      </c>
      <c r="AF1944" t="s">
        <v>113</v>
      </c>
      <c r="AG1944" t="s">
        <v>112</v>
      </c>
      <c r="AH1944" t="s">
        <v>112</v>
      </c>
      <c r="AI1944" s="63">
        <v>41400</v>
      </c>
      <c r="AJ1944" s="63">
        <v>45657</v>
      </c>
      <c r="AK1944" t="s">
        <v>111</v>
      </c>
      <c r="AL1944" t="s">
        <v>111</v>
      </c>
      <c r="AM1944" t="s">
        <v>111</v>
      </c>
      <c r="AN1944">
        <v>26009</v>
      </c>
      <c r="AO1944" t="s">
        <v>110</v>
      </c>
      <c r="AP1944" t="s">
        <v>109</v>
      </c>
    </row>
    <row r="1945" spans="1:42" x14ac:dyDescent="0.25">
      <c r="A1945" s="28" t="str">
        <f>"15627"</f>
        <v>15627</v>
      </c>
      <c r="B1945">
        <v>15627</v>
      </c>
      <c r="C1945" t="s">
        <v>2488</v>
      </c>
      <c r="D1945" t="s">
        <v>121</v>
      </c>
      <c r="F1945" t="s">
        <v>120</v>
      </c>
      <c r="G1945" t="s">
        <v>3557</v>
      </c>
      <c r="H1945" t="s">
        <v>3556</v>
      </c>
      <c r="I1945" t="s">
        <v>475</v>
      </c>
      <c r="J1945" t="s">
        <v>7</v>
      </c>
      <c r="K1945" s="63">
        <v>26448</v>
      </c>
      <c r="L1945" s="28">
        <f>DATEDIF(K1945,Zwift25!G$1,"Y")</f>
        <v>52</v>
      </c>
      <c r="M1945" s="67">
        <f>IF(J1945="m",VLOOKUP(L1945,'All Solo Adjustments'!A:D,4,FALSE),VLOOKUP(L1945,'All Solo Adjustments'!A:J,10,FALSE))</f>
        <v>1.4814814814814816E-3</v>
      </c>
      <c r="N1945" s="63"/>
      <c r="O1945" s="63"/>
      <c r="P1945" s="63"/>
      <c r="Q1945" s="63"/>
      <c r="R1945" t="s">
        <v>239</v>
      </c>
      <c r="S1945" t="s">
        <v>1761</v>
      </c>
      <c r="T1945" t="s">
        <v>292</v>
      </c>
      <c r="U1945" t="s">
        <v>3555</v>
      </c>
      <c r="W1945" t="s">
        <v>3554</v>
      </c>
      <c r="X1945" t="s">
        <v>960</v>
      </c>
      <c r="Y1945" t="s">
        <v>3553</v>
      </c>
      <c r="Z1945" t="str">
        <f>"07970966458"</f>
        <v>07970966458</v>
      </c>
      <c r="AA1945" t="str">
        <f>""</f>
        <v/>
      </c>
      <c r="AB1945" t="s">
        <v>1412</v>
      </c>
      <c r="AC1945" t="s">
        <v>3552</v>
      </c>
      <c r="AD1945" t="s">
        <v>145</v>
      </c>
      <c r="AF1945" t="s">
        <v>156</v>
      </c>
      <c r="AG1945" t="s">
        <v>112</v>
      </c>
      <c r="AH1945" t="s">
        <v>112</v>
      </c>
      <c r="AI1945" s="63">
        <v>44905</v>
      </c>
      <c r="AJ1945" s="63">
        <v>45657</v>
      </c>
      <c r="AK1945" t="s">
        <v>112</v>
      </c>
      <c r="AL1945" t="s">
        <v>111</v>
      </c>
      <c r="AM1945" t="s">
        <v>111</v>
      </c>
      <c r="AN1945">
        <v>45125</v>
      </c>
      <c r="AO1945" t="s">
        <v>110</v>
      </c>
      <c r="AP1945" t="s">
        <v>109</v>
      </c>
    </row>
    <row r="1946" spans="1:42" x14ac:dyDescent="0.25">
      <c r="A1946" s="28" t="str">
        <f>"13930"</f>
        <v>13930</v>
      </c>
      <c r="B1946">
        <v>13930</v>
      </c>
      <c r="C1946" t="s">
        <v>2488</v>
      </c>
      <c r="D1946" t="s">
        <v>121</v>
      </c>
      <c r="E1946" t="s">
        <v>584</v>
      </c>
      <c r="F1946" t="s">
        <v>120</v>
      </c>
      <c r="G1946" t="s">
        <v>3551</v>
      </c>
      <c r="H1946" t="s">
        <v>3550</v>
      </c>
      <c r="I1946" t="s">
        <v>3549</v>
      </c>
      <c r="J1946" t="s">
        <v>7</v>
      </c>
      <c r="K1946" s="63">
        <v>28817</v>
      </c>
      <c r="L1946" s="28">
        <f>DATEDIF(K1946,Zwift25!G$1,"Y")</f>
        <v>45</v>
      </c>
      <c r="M1946" s="67">
        <f>IF(J1946="m",VLOOKUP(L1946,'All Solo Adjustments'!A:D,4,FALSE),VLOOKUP(L1946,'All Solo Adjustments'!A:J,10,FALSE))</f>
        <v>4.5138888888888892E-4</v>
      </c>
      <c r="N1946" s="63"/>
      <c r="O1946" s="63"/>
      <c r="P1946" s="63"/>
      <c r="Q1946" s="63"/>
      <c r="R1946" t="s">
        <v>137</v>
      </c>
      <c r="S1946" t="s">
        <v>136</v>
      </c>
      <c r="T1946" t="s">
        <v>292</v>
      </c>
      <c r="U1946" t="s">
        <v>3548</v>
      </c>
      <c r="V1946" t="s">
        <v>2228</v>
      </c>
      <c r="W1946" t="s">
        <v>564</v>
      </c>
      <c r="Y1946" t="s">
        <v>3547</v>
      </c>
      <c r="Z1946" t="str">
        <f>"07463433354"</f>
        <v>07463433354</v>
      </c>
      <c r="AA1946" t="str">
        <f>""</f>
        <v/>
      </c>
      <c r="AB1946" t="s">
        <v>3546</v>
      </c>
      <c r="AC1946" t="s">
        <v>3545</v>
      </c>
      <c r="AD1946" t="s">
        <v>114</v>
      </c>
      <c r="AE1946" s="63">
        <v>45292</v>
      </c>
      <c r="AF1946" t="s">
        <v>113</v>
      </c>
      <c r="AG1946" t="s">
        <v>112</v>
      </c>
      <c r="AH1946" t="s">
        <v>112</v>
      </c>
      <c r="AI1946" s="63">
        <v>43448</v>
      </c>
      <c r="AJ1946" s="63">
        <v>45657</v>
      </c>
      <c r="AK1946" t="s">
        <v>112</v>
      </c>
      <c r="AL1946" t="s">
        <v>111</v>
      </c>
      <c r="AM1946" t="s">
        <v>111</v>
      </c>
      <c r="AN1946">
        <v>21943</v>
      </c>
      <c r="AO1946" t="s">
        <v>110</v>
      </c>
      <c r="AP1946" t="s">
        <v>109</v>
      </c>
    </row>
    <row r="1947" spans="1:42" x14ac:dyDescent="0.25">
      <c r="A1947" s="28" t="str">
        <f>"2443"</f>
        <v>2443</v>
      </c>
      <c r="B1947">
        <v>2443</v>
      </c>
      <c r="C1947" t="s">
        <v>2488</v>
      </c>
      <c r="D1947" t="s">
        <v>121</v>
      </c>
      <c r="F1947" t="s">
        <v>120</v>
      </c>
      <c r="G1947" t="s">
        <v>1155</v>
      </c>
      <c r="I1947" t="s">
        <v>1213</v>
      </c>
      <c r="J1947" t="s">
        <v>7</v>
      </c>
      <c r="K1947" s="63">
        <v>15289</v>
      </c>
      <c r="L1947" s="28">
        <f>DATEDIF(K1947,Zwift25!G$1,"Y")</f>
        <v>82</v>
      </c>
      <c r="M1947" s="67">
        <f>IF(J1947="m",VLOOKUP(L1947,'All Solo Adjustments'!A:D,4,FALSE),VLOOKUP(L1947,'All Solo Adjustments'!A:J,10,FALSE))</f>
        <v>1.2210648148148148E-2</v>
      </c>
      <c r="N1947" s="63"/>
      <c r="O1947" s="63"/>
      <c r="P1947" s="63"/>
      <c r="Q1947" s="63"/>
      <c r="R1947" t="s">
        <v>328</v>
      </c>
      <c r="S1947" t="s">
        <v>327</v>
      </c>
      <c r="T1947" t="s">
        <v>292</v>
      </c>
      <c r="U1947" t="s">
        <v>3544</v>
      </c>
      <c r="V1947" t="s">
        <v>3543</v>
      </c>
      <c r="W1947" t="s">
        <v>3542</v>
      </c>
      <c r="X1947" t="s">
        <v>3541</v>
      </c>
      <c r="Y1947" t="s">
        <v>3540</v>
      </c>
      <c r="Z1947" t="str">
        <f>"01772 733460"</f>
        <v>01772 733460</v>
      </c>
      <c r="AA1947" t="str">
        <f>""</f>
        <v/>
      </c>
      <c r="AB1947" t="s">
        <v>1704</v>
      </c>
      <c r="AD1947" t="s">
        <v>145</v>
      </c>
      <c r="AE1947" s="63">
        <v>45269</v>
      </c>
      <c r="AF1947" t="s">
        <v>113</v>
      </c>
      <c r="AG1947" t="s">
        <v>112</v>
      </c>
      <c r="AH1947" t="s">
        <v>112</v>
      </c>
      <c r="AI1947" s="63">
        <v>43408</v>
      </c>
      <c r="AJ1947" s="63">
        <v>45657</v>
      </c>
      <c r="AK1947" t="s">
        <v>111</v>
      </c>
      <c r="AL1947" t="s">
        <v>111</v>
      </c>
      <c r="AM1947" t="s">
        <v>111</v>
      </c>
      <c r="AN1947" t="s">
        <v>105</v>
      </c>
      <c r="AO1947" t="s">
        <v>110</v>
      </c>
      <c r="AP1947" t="s">
        <v>109</v>
      </c>
    </row>
    <row r="1948" spans="1:42" x14ac:dyDescent="0.25">
      <c r="A1948" s="28" t="str">
        <f>"2444"</f>
        <v>2444</v>
      </c>
      <c r="B1948">
        <v>2444</v>
      </c>
      <c r="C1948" t="s">
        <v>2488</v>
      </c>
      <c r="D1948" t="s">
        <v>132</v>
      </c>
      <c r="E1948" t="s">
        <v>3539</v>
      </c>
      <c r="F1948" t="s">
        <v>120</v>
      </c>
      <c r="G1948" t="s">
        <v>2297</v>
      </c>
      <c r="I1948" t="s">
        <v>2323</v>
      </c>
      <c r="J1948" t="s">
        <v>7</v>
      </c>
      <c r="K1948" s="63">
        <v>16664</v>
      </c>
      <c r="L1948" s="28">
        <f>DATEDIF(K1948,Zwift25!G$1,"Y")</f>
        <v>79</v>
      </c>
      <c r="M1948" s="67">
        <f>IF(J1948="m",VLOOKUP(L1948,'All Solo Adjustments'!A:D,4,FALSE),VLOOKUP(L1948,'All Solo Adjustments'!A:J,10,FALSE))</f>
        <v>1.0451388888888889E-2</v>
      </c>
      <c r="N1948" s="63"/>
      <c r="O1948" s="63"/>
      <c r="P1948" s="63"/>
      <c r="Q1948" s="63"/>
      <c r="R1948" t="s">
        <v>198</v>
      </c>
      <c r="S1948" t="s">
        <v>197</v>
      </c>
      <c r="T1948" t="s">
        <v>292</v>
      </c>
      <c r="U1948" t="s">
        <v>3538</v>
      </c>
      <c r="V1948" t="s">
        <v>1270</v>
      </c>
      <c r="W1948" t="s">
        <v>196</v>
      </c>
      <c r="Y1948" t="s">
        <v>3537</v>
      </c>
      <c r="Z1948" t="str">
        <f>"01270 216750"</f>
        <v>01270 216750</v>
      </c>
      <c r="AA1948" t="str">
        <f>"07925188602"</f>
        <v>07925188602</v>
      </c>
      <c r="AB1948" t="s">
        <v>1269</v>
      </c>
      <c r="AC1948" t="s">
        <v>3536</v>
      </c>
      <c r="AD1948" t="s">
        <v>114</v>
      </c>
      <c r="AE1948" s="63">
        <v>45326</v>
      </c>
      <c r="AF1948" t="s">
        <v>113</v>
      </c>
      <c r="AG1948" t="s">
        <v>112</v>
      </c>
      <c r="AH1948" t="s">
        <v>112</v>
      </c>
      <c r="AI1948" s="63">
        <v>31443</v>
      </c>
      <c r="AJ1948" s="63">
        <v>45657</v>
      </c>
      <c r="AK1948" t="s">
        <v>111</v>
      </c>
      <c r="AL1948" t="s">
        <v>111</v>
      </c>
      <c r="AM1948" t="s">
        <v>111</v>
      </c>
      <c r="AN1948">
        <v>17846</v>
      </c>
      <c r="AO1948" t="s">
        <v>110</v>
      </c>
      <c r="AP1948" t="s">
        <v>109</v>
      </c>
    </row>
    <row r="1949" spans="1:42" x14ac:dyDescent="0.25">
      <c r="A1949" s="28" t="str">
        <f>"13576"</f>
        <v>13576</v>
      </c>
      <c r="B1949">
        <v>13576</v>
      </c>
      <c r="C1949" t="s">
        <v>2488</v>
      </c>
      <c r="D1949" t="s">
        <v>130</v>
      </c>
      <c r="F1949" t="s">
        <v>139</v>
      </c>
      <c r="G1949" t="s">
        <v>1659</v>
      </c>
      <c r="I1949" t="s">
        <v>2323</v>
      </c>
      <c r="J1949" t="s">
        <v>126</v>
      </c>
      <c r="K1949" s="63">
        <v>14282</v>
      </c>
      <c r="L1949" s="28">
        <f>DATEDIF(K1949,Zwift25!G$1,"Y")</f>
        <v>85</v>
      </c>
      <c r="M1949" s="67">
        <f>IF(J1949="m",VLOOKUP(L1949,'All Solo Adjustments'!A:D,4,FALSE),VLOOKUP(L1949,'All Solo Adjustments'!A:J,10,FALSE))</f>
        <v>2.0462962962962964E-2</v>
      </c>
      <c r="N1949" s="63"/>
      <c r="O1949" s="63"/>
      <c r="P1949" s="63"/>
      <c r="Q1949" s="63"/>
      <c r="R1949" t="s">
        <v>198</v>
      </c>
      <c r="S1949" t="s">
        <v>197</v>
      </c>
      <c r="T1949" t="s">
        <v>292</v>
      </c>
      <c r="U1949" t="s">
        <v>3538</v>
      </c>
      <c r="V1949" t="s">
        <v>1270</v>
      </c>
      <c r="W1949" t="s">
        <v>196</v>
      </c>
      <c r="Y1949" t="s">
        <v>3537</v>
      </c>
      <c r="Z1949" t="str">
        <f>"01270 216750"</f>
        <v>01270 216750</v>
      </c>
      <c r="AA1949" t="str">
        <f>"07925188602"</f>
        <v>07925188602</v>
      </c>
      <c r="AB1949" t="s">
        <v>290</v>
      </c>
      <c r="AC1949" t="s">
        <v>3536</v>
      </c>
      <c r="AD1949" t="s">
        <v>114</v>
      </c>
      <c r="AE1949" s="63">
        <v>45326</v>
      </c>
      <c r="AF1949" t="s">
        <v>113</v>
      </c>
      <c r="AG1949" t="s">
        <v>111</v>
      </c>
      <c r="AH1949" t="s">
        <v>111</v>
      </c>
      <c r="AI1949" s="63">
        <v>31413</v>
      </c>
      <c r="AJ1949" s="63">
        <v>45657</v>
      </c>
      <c r="AK1949" t="s">
        <v>111</v>
      </c>
      <c r="AL1949" t="s">
        <v>111</v>
      </c>
      <c r="AM1949" t="s">
        <v>111</v>
      </c>
      <c r="AN1949" t="s">
        <v>105</v>
      </c>
      <c r="AO1949" t="s">
        <v>122</v>
      </c>
      <c r="AP1949" t="s">
        <v>122</v>
      </c>
    </row>
    <row r="1950" spans="1:42" x14ac:dyDescent="0.25">
      <c r="A1950" s="28" t="str">
        <f>"4180"</f>
        <v>4180</v>
      </c>
      <c r="B1950">
        <v>4180</v>
      </c>
      <c r="C1950" t="s">
        <v>2488</v>
      </c>
      <c r="D1950" t="s">
        <v>121</v>
      </c>
      <c r="E1950" t="s">
        <v>584</v>
      </c>
      <c r="F1950" t="s">
        <v>149</v>
      </c>
      <c r="G1950" t="s">
        <v>1475</v>
      </c>
      <c r="I1950" t="s">
        <v>3535</v>
      </c>
      <c r="J1950" t="s">
        <v>126</v>
      </c>
      <c r="K1950" s="63">
        <v>24587</v>
      </c>
      <c r="L1950" s="28">
        <f>DATEDIF(K1950,Zwift25!G$1,"Y")</f>
        <v>57</v>
      </c>
      <c r="M1950" s="67">
        <f>IF(J1950="m",VLOOKUP(L1950,'All Solo Adjustments'!A:D,4,FALSE),VLOOKUP(L1950,'All Solo Adjustments'!A:J,10,FALSE))</f>
        <v>6.076388888888889E-3</v>
      </c>
      <c r="N1950" s="63"/>
      <c r="O1950" s="63"/>
      <c r="P1950" s="63"/>
      <c r="Q1950" s="63"/>
      <c r="R1950" t="s">
        <v>125</v>
      </c>
      <c r="S1950" t="s">
        <v>170</v>
      </c>
      <c r="T1950" t="s">
        <v>292</v>
      </c>
      <c r="U1950" t="s">
        <v>3534</v>
      </c>
      <c r="V1950" t="s">
        <v>1125</v>
      </c>
      <c r="W1950" t="s">
        <v>169</v>
      </c>
      <c r="Y1950" t="s">
        <v>3533</v>
      </c>
      <c r="Z1950" t="str">
        <f>"07792 531200"</f>
        <v>07792 531200</v>
      </c>
      <c r="AA1950" t="str">
        <f>""</f>
        <v/>
      </c>
      <c r="AB1950" t="s">
        <v>630</v>
      </c>
      <c r="AC1950" t="s">
        <v>3532</v>
      </c>
      <c r="AD1950" t="s">
        <v>114</v>
      </c>
      <c r="AE1950" s="63">
        <v>45355</v>
      </c>
      <c r="AF1950" t="s">
        <v>156</v>
      </c>
      <c r="AG1950" t="s">
        <v>112</v>
      </c>
      <c r="AH1950" t="s">
        <v>112</v>
      </c>
      <c r="AI1950" s="63">
        <v>41985</v>
      </c>
      <c r="AJ1950" s="63">
        <v>45657</v>
      </c>
      <c r="AK1950" t="s">
        <v>111</v>
      </c>
      <c r="AL1950" t="s">
        <v>111</v>
      </c>
      <c r="AM1950" t="s">
        <v>111</v>
      </c>
      <c r="AN1950">
        <v>1291</v>
      </c>
      <c r="AO1950" t="s">
        <v>122</v>
      </c>
      <c r="AP1950" t="s">
        <v>122</v>
      </c>
    </row>
    <row r="1951" spans="1:42" x14ac:dyDescent="0.25">
      <c r="A1951" s="28" t="str">
        <f>"2446"</f>
        <v>2446</v>
      </c>
      <c r="B1951">
        <v>2446</v>
      </c>
      <c r="C1951" t="s">
        <v>2488</v>
      </c>
      <c r="D1951" t="s">
        <v>121</v>
      </c>
      <c r="F1951" t="s">
        <v>120</v>
      </c>
      <c r="G1951" t="s">
        <v>481</v>
      </c>
      <c r="I1951" t="s">
        <v>3531</v>
      </c>
      <c r="J1951" t="s">
        <v>7</v>
      </c>
      <c r="K1951" s="63">
        <v>13504</v>
      </c>
      <c r="L1951" s="28">
        <f>DATEDIF(K1951,Zwift25!G$1,"Y")</f>
        <v>87</v>
      </c>
      <c r="M1951" s="67">
        <f>IF(J1951="m",VLOOKUP(L1951,'All Solo Adjustments'!A:D,4,FALSE),VLOOKUP(L1951,'All Solo Adjustments'!A:J,10,FALSE))</f>
        <v>1.576388888888889E-2</v>
      </c>
      <c r="N1951" s="63"/>
      <c r="O1951" s="63"/>
      <c r="P1951" s="63"/>
      <c r="Q1951" s="63"/>
      <c r="R1951" t="s">
        <v>239</v>
      </c>
      <c r="S1951" t="s">
        <v>437</v>
      </c>
      <c r="T1951" t="s">
        <v>292</v>
      </c>
      <c r="U1951" t="s">
        <v>3530</v>
      </c>
      <c r="V1951" t="s">
        <v>1778</v>
      </c>
      <c r="W1951" t="s">
        <v>869</v>
      </c>
      <c r="Y1951" t="s">
        <v>3529</v>
      </c>
      <c r="Z1951" t="str">
        <f>"01423 872880"</f>
        <v>01423 872880</v>
      </c>
      <c r="AA1951" t="str">
        <f>""</f>
        <v/>
      </c>
      <c r="AB1951" t="s">
        <v>1599</v>
      </c>
      <c r="AD1951" t="s">
        <v>151</v>
      </c>
      <c r="AF1951" t="s">
        <v>113</v>
      </c>
      <c r="AG1951" t="s">
        <v>112</v>
      </c>
      <c r="AH1951" t="s">
        <v>112</v>
      </c>
      <c r="AI1951" s="63">
        <v>29921</v>
      </c>
      <c r="AK1951" t="s">
        <v>111</v>
      </c>
      <c r="AL1951" t="s">
        <v>111</v>
      </c>
      <c r="AM1951" t="s">
        <v>111</v>
      </c>
      <c r="AN1951" t="s">
        <v>105</v>
      </c>
      <c r="AO1951" t="s">
        <v>110</v>
      </c>
      <c r="AP1951" t="s">
        <v>109</v>
      </c>
    </row>
    <row r="1952" spans="1:42" x14ac:dyDescent="0.25">
      <c r="A1952" s="28" t="str">
        <f>"2449"</f>
        <v>2449</v>
      </c>
      <c r="B1952">
        <v>2449</v>
      </c>
      <c r="C1952" t="s">
        <v>2488</v>
      </c>
      <c r="D1952" t="s">
        <v>121</v>
      </c>
      <c r="F1952" t="s">
        <v>149</v>
      </c>
      <c r="G1952" t="s">
        <v>456</v>
      </c>
      <c r="I1952" t="s">
        <v>3528</v>
      </c>
      <c r="J1952" t="s">
        <v>126</v>
      </c>
      <c r="K1952" s="63">
        <v>16357</v>
      </c>
      <c r="L1952" s="28">
        <f>DATEDIF(K1952,Zwift25!G$1,"Y")</f>
        <v>80</v>
      </c>
      <c r="M1952" s="67">
        <f>IF(J1952="m",VLOOKUP(L1952,'All Solo Adjustments'!A:D,4,FALSE),VLOOKUP(L1952,'All Solo Adjustments'!A:J,10,FALSE))</f>
        <v>1.6828703703703703E-2</v>
      </c>
      <c r="N1952" s="63"/>
      <c r="O1952" s="63"/>
      <c r="P1952" s="63"/>
      <c r="Q1952" s="63"/>
      <c r="R1952" t="s">
        <v>239</v>
      </c>
      <c r="S1952" t="s">
        <v>274</v>
      </c>
      <c r="T1952" t="s">
        <v>292</v>
      </c>
      <c r="U1952" t="s">
        <v>3527</v>
      </c>
      <c r="V1952" t="s">
        <v>3526</v>
      </c>
      <c r="W1952" t="s">
        <v>422</v>
      </c>
      <c r="X1952" t="s">
        <v>1174</v>
      </c>
      <c r="Y1952" t="s">
        <v>3525</v>
      </c>
      <c r="Z1952" t="str">
        <f>"07557 647769"</f>
        <v>07557 647769</v>
      </c>
      <c r="AA1952" t="str">
        <f>""</f>
        <v/>
      </c>
      <c r="AB1952" t="s">
        <v>1440</v>
      </c>
      <c r="AC1952" t="s">
        <v>3524</v>
      </c>
      <c r="AD1952" t="s">
        <v>114</v>
      </c>
      <c r="AE1952" s="63">
        <v>45345</v>
      </c>
      <c r="AF1952" t="s">
        <v>113</v>
      </c>
      <c r="AG1952" t="s">
        <v>112</v>
      </c>
      <c r="AH1952" t="s">
        <v>112</v>
      </c>
      <c r="AI1952" s="63">
        <v>38585</v>
      </c>
      <c r="AJ1952" s="63">
        <v>45657</v>
      </c>
      <c r="AK1952" t="s">
        <v>111</v>
      </c>
      <c r="AL1952" t="s">
        <v>111</v>
      </c>
      <c r="AM1952" t="s">
        <v>111</v>
      </c>
      <c r="AN1952" t="s">
        <v>105</v>
      </c>
      <c r="AO1952" t="s">
        <v>122</v>
      </c>
      <c r="AP1952" t="s">
        <v>122</v>
      </c>
    </row>
    <row r="1953" spans="1:42" x14ac:dyDescent="0.25">
      <c r="A1953" s="28" t="str">
        <f>"3937"</f>
        <v>3937</v>
      </c>
      <c r="B1953">
        <v>3937</v>
      </c>
      <c r="C1953" t="s">
        <v>2488</v>
      </c>
      <c r="D1953" t="s">
        <v>121</v>
      </c>
      <c r="F1953" t="s">
        <v>120</v>
      </c>
      <c r="G1953" t="s">
        <v>1020</v>
      </c>
      <c r="I1953" t="s">
        <v>3523</v>
      </c>
      <c r="J1953" t="s">
        <v>7</v>
      </c>
      <c r="K1953" s="63">
        <v>20319</v>
      </c>
      <c r="L1953" s="28">
        <f>DATEDIF(K1953,Zwift25!G$1,"Y")</f>
        <v>69</v>
      </c>
      <c r="M1953" s="67">
        <f>IF(J1953="m",VLOOKUP(L1953,'All Solo Adjustments'!A:D,4,FALSE),VLOOKUP(L1953,'All Solo Adjustments'!A:J,10,FALSE))</f>
        <v>5.9722222222222225E-3</v>
      </c>
      <c r="N1953" s="63"/>
      <c r="O1953" s="63"/>
      <c r="P1953" s="63"/>
      <c r="Q1953" s="63"/>
      <c r="R1953" t="s">
        <v>143</v>
      </c>
      <c r="S1953" t="s">
        <v>142</v>
      </c>
      <c r="T1953" t="s">
        <v>292</v>
      </c>
      <c r="U1953" t="s">
        <v>3522</v>
      </c>
      <c r="V1953" t="s">
        <v>3521</v>
      </c>
      <c r="W1953" t="s">
        <v>172</v>
      </c>
      <c r="Y1953" t="s">
        <v>3520</v>
      </c>
      <c r="Z1953" t="str">
        <f>""</f>
        <v/>
      </c>
      <c r="AA1953" t="str">
        <f>"07442 012085"</f>
        <v>07442 012085</v>
      </c>
      <c r="AB1953" t="s">
        <v>1184</v>
      </c>
      <c r="AC1953" t="s">
        <v>3519</v>
      </c>
      <c r="AD1953" t="s">
        <v>114</v>
      </c>
      <c r="AE1953" s="63">
        <v>45369</v>
      </c>
      <c r="AF1953" t="s">
        <v>156</v>
      </c>
      <c r="AG1953" t="s">
        <v>112</v>
      </c>
      <c r="AH1953" t="s">
        <v>112</v>
      </c>
      <c r="AI1953" s="63">
        <v>40303</v>
      </c>
      <c r="AJ1953" s="63">
        <v>45657</v>
      </c>
      <c r="AK1953" t="s">
        <v>111</v>
      </c>
      <c r="AL1953" t="s">
        <v>111</v>
      </c>
      <c r="AM1953" t="s">
        <v>111</v>
      </c>
      <c r="AN1953">
        <v>21581</v>
      </c>
      <c r="AO1953" t="s">
        <v>110</v>
      </c>
      <c r="AP1953" t="s">
        <v>109</v>
      </c>
    </row>
    <row r="1954" spans="1:42" x14ac:dyDescent="0.25">
      <c r="A1954" s="28" t="str">
        <f>"3558"</f>
        <v>3558</v>
      </c>
      <c r="B1954">
        <v>3558</v>
      </c>
      <c r="C1954" t="s">
        <v>2488</v>
      </c>
      <c r="D1954" t="s">
        <v>121</v>
      </c>
      <c r="E1954" t="s">
        <v>584</v>
      </c>
      <c r="F1954" t="s">
        <v>144</v>
      </c>
      <c r="G1954" t="s">
        <v>780</v>
      </c>
      <c r="H1954" t="s">
        <v>595</v>
      </c>
      <c r="I1954" t="s">
        <v>3518</v>
      </c>
      <c r="J1954" t="s">
        <v>126</v>
      </c>
      <c r="K1954" s="63">
        <v>25253</v>
      </c>
      <c r="L1954" s="28">
        <f>DATEDIF(K1954,Zwift25!G$1,"Y")</f>
        <v>55</v>
      </c>
      <c r="M1954" s="67">
        <f>IF(J1954="m",VLOOKUP(L1954,'All Solo Adjustments'!A:D,4,FALSE),VLOOKUP(L1954,'All Solo Adjustments'!A:J,10,FALSE))</f>
        <v>5.6597222222222222E-3</v>
      </c>
      <c r="N1954" s="63"/>
      <c r="O1954" s="63"/>
      <c r="P1954" s="63"/>
      <c r="Q1954" s="63"/>
      <c r="R1954" t="s">
        <v>213</v>
      </c>
      <c r="S1954" t="s">
        <v>212</v>
      </c>
      <c r="T1954" t="s">
        <v>292</v>
      </c>
      <c r="U1954" t="s">
        <v>3517</v>
      </c>
      <c r="V1954" t="s">
        <v>3516</v>
      </c>
      <c r="W1954" t="s">
        <v>534</v>
      </c>
      <c r="Y1954" t="s">
        <v>3515</v>
      </c>
      <c r="Z1954" t="str">
        <f>"07720266277"</f>
        <v>07720266277</v>
      </c>
      <c r="AA1954" t="str">
        <f>"07720266277"</f>
        <v>07720266277</v>
      </c>
      <c r="AB1954" t="s">
        <v>3514</v>
      </c>
      <c r="AC1954" t="s">
        <v>3513</v>
      </c>
      <c r="AD1954" t="s">
        <v>114</v>
      </c>
      <c r="AE1954" s="63">
        <v>45263</v>
      </c>
      <c r="AF1954" t="s">
        <v>156</v>
      </c>
      <c r="AG1954" t="s">
        <v>112</v>
      </c>
      <c r="AH1954" t="s">
        <v>112</v>
      </c>
      <c r="AI1954" s="63">
        <v>39863</v>
      </c>
      <c r="AJ1954" s="63">
        <v>45657</v>
      </c>
      <c r="AK1954" t="s">
        <v>111</v>
      </c>
      <c r="AL1954" t="s">
        <v>111</v>
      </c>
      <c r="AM1954" t="s">
        <v>111</v>
      </c>
      <c r="AN1954">
        <v>890</v>
      </c>
      <c r="AO1954" t="s">
        <v>122</v>
      </c>
      <c r="AP1954" t="s">
        <v>122</v>
      </c>
    </row>
    <row r="1955" spans="1:42" x14ac:dyDescent="0.25">
      <c r="A1955" s="28" t="str">
        <f>"6266"</f>
        <v>6266</v>
      </c>
      <c r="B1955">
        <v>6266</v>
      </c>
      <c r="C1955" t="s">
        <v>2488</v>
      </c>
      <c r="D1955" t="s">
        <v>121</v>
      </c>
      <c r="E1955" t="s">
        <v>584</v>
      </c>
      <c r="F1955" t="s">
        <v>120</v>
      </c>
      <c r="G1955" t="s">
        <v>164</v>
      </c>
      <c r="H1955" t="s">
        <v>709</v>
      </c>
      <c r="I1955" t="s">
        <v>3512</v>
      </c>
      <c r="J1955" t="s">
        <v>7</v>
      </c>
      <c r="K1955" s="63">
        <v>28143</v>
      </c>
      <c r="L1955" s="28">
        <f>DATEDIF(K1955,Zwift25!G$1,"Y")</f>
        <v>47</v>
      </c>
      <c r="M1955" s="67">
        <f>IF(J1955="m",VLOOKUP(L1955,'All Solo Adjustments'!A:D,4,FALSE),VLOOKUP(L1955,'All Solo Adjustments'!A:J,10,FALSE))</f>
        <v>6.9444444444444436E-4</v>
      </c>
      <c r="N1955" s="63"/>
      <c r="O1955" s="63"/>
      <c r="P1955" s="63"/>
      <c r="Q1955" s="63"/>
      <c r="R1955" t="s">
        <v>125</v>
      </c>
      <c r="S1955" t="s">
        <v>170</v>
      </c>
      <c r="T1955" t="s">
        <v>292</v>
      </c>
      <c r="U1955" t="s">
        <v>3511</v>
      </c>
      <c r="W1955" t="s">
        <v>1075</v>
      </c>
      <c r="X1955" t="s">
        <v>159</v>
      </c>
      <c r="Y1955" t="s">
        <v>3510</v>
      </c>
      <c r="Z1955" t="str">
        <f>"07578 454777"</f>
        <v>07578 454777</v>
      </c>
      <c r="AA1955" t="str">
        <f>"07578454777"</f>
        <v>07578454777</v>
      </c>
      <c r="AB1955" t="s">
        <v>2255</v>
      </c>
      <c r="AC1955" t="s">
        <v>3509</v>
      </c>
      <c r="AD1955" t="s">
        <v>114</v>
      </c>
      <c r="AE1955" s="63">
        <v>45277</v>
      </c>
      <c r="AF1955" t="s">
        <v>156</v>
      </c>
      <c r="AG1955" t="s">
        <v>112</v>
      </c>
      <c r="AH1955" t="s">
        <v>112</v>
      </c>
      <c r="AI1955" s="63">
        <v>42889</v>
      </c>
      <c r="AJ1955" s="63">
        <v>45657</v>
      </c>
      <c r="AK1955" t="s">
        <v>111</v>
      </c>
      <c r="AL1955" t="s">
        <v>111</v>
      </c>
      <c r="AM1955" t="s">
        <v>111</v>
      </c>
      <c r="AN1955">
        <v>3702</v>
      </c>
      <c r="AO1955" t="s">
        <v>110</v>
      </c>
      <c r="AP1955" t="s">
        <v>109</v>
      </c>
    </row>
    <row r="1956" spans="1:42" x14ac:dyDescent="0.25">
      <c r="A1956" s="28" t="str">
        <f>"3701"</f>
        <v>3701</v>
      </c>
      <c r="B1956">
        <v>3701</v>
      </c>
      <c r="C1956" t="s">
        <v>2488</v>
      </c>
      <c r="D1956" t="s">
        <v>121</v>
      </c>
      <c r="F1956" t="s">
        <v>120</v>
      </c>
      <c r="G1956" t="s">
        <v>219</v>
      </c>
      <c r="I1956" t="s">
        <v>297</v>
      </c>
      <c r="J1956" t="s">
        <v>7</v>
      </c>
      <c r="K1956" s="63">
        <v>25127</v>
      </c>
      <c r="L1956" s="28">
        <f>DATEDIF(K1956,Zwift25!G$1,"Y")</f>
        <v>55</v>
      </c>
      <c r="M1956" s="67">
        <f>IF(J1956="m",VLOOKUP(L1956,'All Solo Adjustments'!A:D,4,FALSE),VLOOKUP(L1956,'All Solo Adjustments'!A:J,10,FALSE))</f>
        <v>2.0601851851851853E-3</v>
      </c>
      <c r="N1956" s="63"/>
      <c r="O1956" s="63"/>
      <c r="P1956" s="63"/>
      <c r="Q1956" s="63"/>
      <c r="R1956" t="s">
        <v>125</v>
      </c>
      <c r="S1956" t="s">
        <v>170</v>
      </c>
      <c r="T1956" t="s">
        <v>292</v>
      </c>
      <c r="U1956" t="s">
        <v>3508</v>
      </c>
      <c r="V1956" t="s">
        <v>3507</v>
      </c>
      <c r="W1956" t="s">
        <v>2190</v>
      </c>
      <c r="X1956" t="s">
        <v>159</v>
      </c>
      <c r="Y1956" t="s">
        <v>3506</v>
      </c>
      <c r="Z1956" t="str">
        <f>"01322 529668"</f>
        <v>01322 529668</v>
      </c>
      <c r="AA1956" t="str">
        <f>"07719439033"</f>
        <v>07719439033</v>
      </c>
      <c r="AB1956" t="s">
        <v>3505</v>
      </c>
      <c r="AC1956" t="s">
        <v>3504</v>
      </c>
      <c r="AD1956" t="s">
        <v>145</v>
      </c>
      <c r="AE1956" s="63">
        <v>45350</v>
      </c>
      <c r="AF1956" t="s">
        <v>113</v>
      </c>
      <c r="AG1956" t="s">
        <v>112</v>
      </c>
      <c r="AH1956" t="s">
        <v>112</v>
      </c>
      <c r="AI1956" s="63">
        <v>39960</v>
      </c>
      <c r="AJ1956" s="63">
        <v>45657</v>
      </c>
      <c r="AK1956" t="s">
        <v>111</v>
      </c>
      <c r="AL1956" t="s">
        <v>111</v>
      </c>
      <c r="AM1956" t="s">
        <v>111</v>
      </c>
      <c r="AN1956">
        <v>5340</v>
      </c>
      <c r="AO1956" t="s">
        <v>110</v>
      </c>
      <c r="AP1956" t="s">
        <v>109</v>
      </c>
    </row>
    <row r="1957" spans="1:42" x14ac:dyDescent="0.25">
      <c r="A1957" s="28" t="str">
        <f>"5955"</f>
        <v>5955</v>
      </c>
      <c r="B1957">
        <v>5955</v>
      </c>
      <c r="C1957" t="s">
        <v>2488</v>
      </c>
      <c r="D1957" t="s">
        <v>121</v>
      </c>
      <c r="F1957" t="s">
        <v>120</v>
      </c>
      <c r="G1957" t="s">
        <v>245</v>
      </c>
      <c r="I1957" t="s">
        <v>297</v>
      </c>
      <c r="J1957" t="s">
        <v>7</v>
      </c>
      <c r="K1957" s="63">
        <v>21954</v>
      </c>
      <c r="L1957" s="28">
        <f>DATEDIF(K1957,Zwift25!G$1,"Y")</f>
        <v>64</v>
      </c>
      <c r="M1957" s="67">
        <f>IF(J1957="m",VLOOKUP(L1957,'All Solo Adjustments'!A:D,4,FALSE),VLOOKUP(L1957,'All Solo Adjustments'!A:J,10,FALSE))</f>
        <v>4.31712962962963E-3</v>
      </c>
      <c r="N1957" s="63"/>
      <c r="O1957" s="63"/>
      <c r="P1957" s="63"/>
      <c r="Q1957" s="63"/>
      <c r="R1957" t="s">
        <v>198</v>
      </c>
      <c r="S1957" t="s">
        <v>461</v>
      </c>
      <c r="T1957" t="s">
        <v>292</v>
      </c>
      <c r="U1957" t="s">
        <v>3503</v>
      </c>
      <c r="V1957" t="s">
        <v>3502</v>
      </c>
      <c r="W1957" t="s">
        <v>1039</v>
      </c>
      <c r="Y1957" t="s">
        <v>3501</v>
      </c>
      <c r="Z1957" t="str">
        <f>"07754 272169"</f>
        <v>07754 272169</v>
      </c>
      <c r="AA1957" t="str">
        <f>""</f>
        <v/>
      </c>
      <c r="AB1957" t="s">
        <v>1025</v>
      </c>
      <c r="AC1957" t="s">
        <v>3500</v>
      </c>
      <c r="AD1957" t="s">
        <v>114</v>
      </c>
      <c r="AE1957" s="63">
        <v>45262</v>
      </c>
      <c r="AF1957" t="s">
        <v>113</v>
      </c>
      <c r="AG1957" t="s">
        <v>112</v>
      </c>
      <c r="AH1957" t="s">
        <v>112</v>
      </c>
      <c r="AI1957" s="63">
        <v>42572</v>
      </c>
      <c r="AJ1957" s="63">
        <v>45657</v>
      </c>
      <c r="AK1957" t="s">
        <v>111</v>
      </c>
      <c r="AL1957" t="s">
        <v>111</v>
      </c>
      <c r="AM1957" t="s">
        <v>111</v>
      </c>
      <c r="AN1957">
        <v>4984</v>
      </c>
      <c r="AO1957" t="s">
        <v>110</v>
      </c>
      <c r="AP1957" t="s">
        <v>109</v>
      </c>
    </row>
    <row r="1958" spans="1:42" x14ac:dyDescent="0.25">
      <c r="A1958" s="28" t="str">
        <f>"14684"</f>
        <v>14684</v>
      </c>
      <c r="B1958">
        <v>14684</v>
      </c>
      <c r="C1958" t="s">
        <v>2488</v>
      </c>
      <c r="D1958" t="s">
        <v>121</v>
      </c>
      <c r="E1958" t="s">
        <v>584</v>
      </c>
      <c r="F1958" t="s">
        <v>120</v>
      </c>
      <c r="G1958" t="s">
        <v>506</v>
      </c>
      <c r="I1958" t="s">
        <v>297</v>
      </c>
      <c r="J1958" t="s">
        <v>7</v>
      </c>
      <c r="K1958" s="63">
        <v>29001</v>
      </c>
      <c r="L1958" s="28">
        <f>DATEDIF(K1958,Zwift25!G$1,"Y")</f>
        <v>45</v>
      </c>
      <c r="M1958" s="67">
        <f>IF(J1958="m",VLOOKUP(L1958,'All Solo Adjustments'!A:D,4,FALSE),VLOOKUP(L1958,'All Solo Adjustments'!A:J,10,FALSE))</f>
        <v>4.5138888888888892E-4</v>
      </c>
      <c r="N1958" s="63"/>
      <c r="O1958" s="63"/>
      <c r="P1958" s="63"/>
      <c r="Q1958" s="63"/>
      <c r="R1958" t="s">
        <v>184</v>
      </c>
      <c r="S1958" t="s">
        <v>183</v>
      </c>
      <c r="T1958" t="s">
        <v>292</v>
      </c>
      <c r="U1958" t="s">
        <v>3499</v>
      </c>
      <c r="V1958" t="s">
        <v>3498</v>
      </c>
      <c r="W1958" t="s">
        <v>3497</v>
      </c>
      <c r="X1958" t="s">
        <v>1750</v>
      </c>
      <c r="Y1958" t="s">
        <v>3496</v>
      </c>
      <c r="Z1958" t="str">
        <f>"07876252930"</f>
        <v>07876252930</v>
      </c>
      <c r="AA1958" t="str">
        <f>"07876252930"</f>
        <v>07876252930</v>
      </c>
      <c r="AB1958" t="s">
        <v>3495</v>
      </c>
      <c r="AC1958" t="s">
        <v>3494</v>
      </c>
      <c r="AD1958" t="s">
        <v>114</v>
      </c>
      <c r="AE1958" s="63">
        <v>45245</v>
      </c>
      <c r="AF1958" t="s">
        <v>156</v>
      </c>
      <c r="AG1958" t="s">
        <v>112</v>
      </c>
      <c r="AH1958" t="s">
        <v>112</v>
      </c>
      <c r="AI1958" s="63">
        <v>44067</v>
      </c>
      <c r="AJ1958" s="63">
        <v>45657</v>
      </c>
      <c r="AK1958" t="s">
        <v>112</v>
      </c>
      <c r="AL1958" t="s">
        <v>111</v>
      </c>
      <c r="AM1958" t="s">
        <v>111</v>
      </c>
      <c r="AN1958">
        <v>35392</v>
      </c>
      <c r="AO1958" t="s">
        <v>110</v>
      </c>
      <c r="AP1958" t="s">
        <v>109</v>
      </c>
    </row>
    <row r="1959" spans="1:42" x14ac:dyDescent="0.25">
      <c r="A1959" s="28" t="str">
        <f>"14709"</f>
        <v>14709</v>
      </c>
      <c r="B1959">
        <v>14709</v>
      </c>
      <c r="C1959" t="s">
        <v>2488</v>
      </c>
      <c r="D1959" t="s">
        <v>121</v>
      </c>
      <c r="E1959" t="s">
        <v>584</v>
      </c>
      <c r="F1959" t="s">
        <v>120</v>
      </c>
      <c r="G1959" t="s">
        <v>469</v>
      </c>
      <c r="I1959" t="s">
        <v>297</v>
      </c>
      <c r="J1959" t="s">
        <v>7</v>
      </c>
      <c r="K1959" s="63">
        <v>25769</v>
      </c>
      <c r="L1959" s="28">
        <f>DATEDIF(K1959,Zwift25!G$1,"Y")</f>
        <v>54</v>
      </c>
      <c r="M1959" s="67">
        <f>IF(J1959="m",VLOOKUP(L1959,'All Solo Adjustments'!A:D,4,FALSE),VLOOKUP(L1959,'All Solo Adjustments'!A:J,10,FALSE))</f>
        <v>1.8518518518518517E-3</v>
      </c>
      <c r="N1959" s="63"/>
      <c r="O1959" s="63"/>
      <c r="P1959" s="63"/>
      <c r="Q1959" s="63"/>
      <c r="R1959" t="s">
        <v>184</v>
      </c>
      <c r="S1959" t="s">
        <v>183</v>
      </c>
      <c r="T1959" t="s">
        <v>292</v>
      </c>
      <c r="U1959" t="s">
        <v>3493</v>
      </c>
      <c r="W1959" t="s">
        <v>1229</v>
      </c>
      <c r="X1959" t="s">
        <v>1228</v>
      </c>
      <c r="Y1959" t="s">
        <v>3492</v>
      </c>
      <c r="Z1959" t="str">
        <f>"07500166675"</f>
        <v>07500166675</v>
      </c>
      <c r="AA1959" t="str">
        <f>""</f>
        <v/>
      </c>
      <c r="AB1959" t="s">
        <v>1855</v>
      </c>
      <c r="AC1959" t="s">
        <v>3491</v>
      </c>
      <c r="AD1959" t="s">
        <v>114</v>
      </c>
      <c r="AE1959" s="63">
        <v>45454</v>
      </c>
      <c r="AF1959" t="s">
        <v>113</v>
      </c>
      <c r="AG1959" t="s">
        <v>112</v>
      </c>
      <c r="AH1959" t="s">
        <v>112</v>
      </c>
      <c r="AI1959" s="63">
        <v>44074</v>
      </c>
      <c r="AJ1959" s="63">
        <v>45657</v>
      </c>
      <c r="AK1959" t="s">
        <v>112</v>
      </c>
      <c r="AL1959" t="s">
        <v>111</v>
      </c>
      <c r="AM1959" t="s">
        <v>111</v>
      </c>
      <c r="AN1959">
        <v>6588</v>
      </c>
      <c r="AO1959" t="s">
        <v>110</v>
      </c>
      <c r="AP1959" t="s">
        <v>109</v>
      </c>
    </row>
    <row r="1960" spans="1:42" x14ac:dyDescent="0.25">
      <c r="A1960" s="28" t="str">
        <f>"14798"</f>
        <v>14798</v>
      </c>
      <c r="B1960">
        <v>14798</v>
      </c>
      <c r="C1960" t="s">
        <v>2488</v>
      </c>
      <c r="D1960" t="s">
        <v>121</v>
      </c>
      <c r="F1960" t="s">
        <v>144</v>
      </c>
      <c r="G1960" t="s">
        <v>1042</v>
      </c>
      <c r="I1960" t="s">
        <v>297</v>
      </c>
      <c r="J1960" t="s">
        <v>126</v>
      </c>
      <c r="K1960" s="63">
        <v>29149</v>
      </c>
      <c r="L1960" s="28">
        <f>DATEDIF(K1960,Zwift25!G$1,"Y")</f>
        <v>44</v>
      </c>
      <c r="M1960" s="67">
        <f>IF(J1960="m",VLOOKUP(L1960,'All Solo Adjustments'!A:D,4,FALSE),VLOOKUP(L1960,'All Solo Adjustments'!A:J,10,FALSE))</f>
        <v>4.5717592592592598E-3</v>
      </c>
      <c r="N1960" s="63"/>
      <c r="O1960" s="63"/>
      <c r="P1960" s="63"/>
      <c r="Q1960" s="63"/>
      <c r="R1960" t="s">
        <v>143</v>
      </c>
      <c r="S1960" t="s">
        <v>142</v>
      </c>
      <c r="T1960" t="s">
        <v>292</v>
      </c>
      <c r="U1960" t="s">
        <v>3490</v>
      </c>
      <c r="W1960" t="s">
        <v>3489</v>
      </c>
      <c r="X1960" t="s">
        <v>486</v>
      </c>
      <c r="Y1960" t="s">
        <v>3488</v>
      </c>
      <c r="Z1960" t="str">
        <f>"07766006757"</f>
        <v>07766006757</v>
      </c>
      <c r="AA1960" t="str">
        <f>""</f>
        <v/>
      </c>
      <c r="AB1960" t="s">
        <v>1299</v>
      </c>
      <c r="AC1960" t="s">
        <v>3487</v>
      </c>
      <c r="AD1960" t="s">
        <v>114</v>
      </c>
      <c r="AE1960" s="63">
        <v>45445</v>
      </c>
      <c r="AF1960" t="s">
        <v>156</v>
      </c>
      <c r="AG1960" t="s">
        <v>112</v>
      </c>
      <c r="AH1960" t="s">
        <v>112</v>
      </c>
      <c r="AI1960" s="63">
        <v>44193</v>
      </c>
      <c r="AJ1960" s="63">
        <v>45657</v>
      </c>
      <c r="AK1960" t="s">
        <v>112</v>
      </c>
      <c r="AL1960" t="s">
        <v>111</v>
      </c>
      <c r="AM1960" t="s">
        <v>111</v>
      </c>
      <c r="AN1960">
        <v>10823</v>
      </c>
      <c r="AO1960" t="s">
        <v>122</v>
      </c>
      <c r="AP1960" t="s">
        <v>122</v>
      </c>
    </row>
    <row r="1961" spans="1:42" x14ac:dyDescent="0.25">
      <c r="A1961" s="28" t="str">
        <f>"15623"</f>
        <v>15623</v>
      </c>
      <c r="B1961">
        <v>15623</v>
      </c>
      <c r="C1961" t="s">
        <v>2488</v>
      </c>
      <c r="D1961" t="s">
        <v>121</v>
      </c>
      <c r="F1961" t="s">
        <v>144</v>
      </c>
      <c r="G1961" t="s">
        <v>3486</v>
      </c>
      <c r="I1961" t="s">
        <v>297</v>
      </c>
      <c r="J1961" t="s">
        <v>126</v>
      </c>
      <c r="K1961" s="63">
        <v>25773</v>
      </c>
      <c r="L1961" s="28">
        <f>DATEDIF(K1961,Zwift25!G$1,"Y")</f>
        <v>54</v>
      </c>
      <c r="M1961" s="67">
        <f>IF(J1961="m",VLOOKUP(L1961,'All Solo Adjustments'!A:D,4,FALSE),VLOOKUP(L1961,'All Solo Adjustments'!A:J,10,FALSE))</f>
        <v>5.4861111111111109E-3</v>
      </c>
      <c r="N1961" s="63"/>
      <c r="O1961" s="63"/>
      <c r="P1961" s="63"/>
      <c r="Q1961" s="63"/>
      <c r="R1961" t="s">
        <v>143</v>
      </c>
      <c r="S1961" t="s">
        <v>142</v>
      </c>
      <c r="T1961" t="s">
        <v>292</v>
      </c>
      <c r="U1961" t="s">
        <v>3485</v>
      </c>
      <c r="V1961" t="s">
        <v>3484</v>
      </c>
      <c r="W1961" t="s">
        <v>3483</v>
      </c>
      <c r="X1961" t="s">
        <v>486</v>
      </c>
      <c r="Y1961" t="s">
        <v>3482</v>
      </c>
      <c r="Z1961" t="str">
        <f>"+441323482368"</f>
        <v>+441323482368</v>
      </c>
      <c r="AA1961" t="str">
        <f>""</f>
        <v/>
      </c>
      <c r="AB1961" t="s">
        <v>1127</v>
      </c>
      <c r="AC1961" t="s">
        <v>3481</v>
      </c>
      <c r="AD1961" t="s">
        <v>114</v>
      </c>
      <c r="AE1961" s="63">
        <v>45300</v>
      </c>
      <c r="AF1961" t="s">
        <v>113</v>
      </c>
      <c r="AG1961" t="s">
        <v>112</v>
      </c>
      <c r="AH1961" t="s">
        <v>112</v>
      </c>
      <c r="AI1961" s="63">
        <v>44903</v>
      </c>
      <c r="AJ1961" s="63">
        <v>45657</v>
      </c>
      <c r="AK1961" t="s">
        <v>112</v>
      </c>
      <c r="AL1961" t="s">
        <v>111</v>
      </c>
      <c r="AM1961" t="s">
        <v>111</v>
      </c>
      <c r="AN1961">
        <v>16103</v>
      </c>
      <c r="AO1961" t="s">
        <v>122</v>
      </c>
      <c r="AP1961" t="s">
        <v>122</v>
      </c>
    </row>
    <row r="1962" spans="1:42" x14ac:dyDescent="0.25">
      <c r="A1962" s="28" t="str">
        <f>"14217"</f>
        <v>14217</v>
      </c>
      <c r="B1962">
        <v>14217</v>
      </c>
      <c r="C1962" t="s">
        <v>2488</v>
      </c>
      <c r="D1962" t="s">
        <v>121</v>
      </c>
      <c r="F1962" t="s">
        <v>120</v>
      </c>
      <c r="G1962" t="s">
        <v>185</v>
      </c>
      <c r="I1962" t="s">
        <v>1629</v>
      </c>
      <c r="J1962" t="s">
        <v>7</v>
      </c>
      <c r="K1962" s="63">
        <v>26279</v>
      </c>
      <c r="L1962" s="28">
        <f>DATEDIF(K1962,Zwift25!G$1,"Y")</f>
        <v>52</v>
      </c>
      <c r="M1962" s="67">
        <f>IF(J1962="m",VLOOKUP(L1962,'All Solo Adjustments'!A:D,4,FALSE),VLOOKUP(L1962,'All Solo Adjustments'!A:J,10,FALSE))</f>
        <v>1.4814814814814816E-3</v>
      </c>
      <c r="N1962" s="63"/>
      <c r="O1962" s="63"/>
      <c r="P1962" s="63"/>
      <c r="Q1962" s="63"/>
      <c r="R1962" t="s">
        <v>125</v>
      </c>
      <c r="S1962" t="s">
        <v>170</v>
      </c>
      <c r="T1962" t="s">
        <v>292</v>
      </c>
      <c r="U1962" t="s">
        <v>3480</v>
      </c>
      <c r="V1962" t="s">
        <v>3479</v>
      </c>
      <c r="W1962" t="s">
        <v>3478</v>
      </c>
      <c r="X1962" t="s">
        <v>696</v>
      </c>
      <c r="Y1962" t="s">
        <v>3477</v>
      </c>
      <c r="Z1962" t="str">
        <f>"07801344641"</f>
        <v>07801344641</v>
      </c>
      <c r="AA1962" t="str">
        <f>""</f>
        <v/>
      </c>
      <c r="AB1962" t="s">
        <v>3476</v>
      </c>
      <c r="AC1962" t="s">
        <v>3475</v>
      </c>
      <c r="AD1962" t="s">
        <v>114</v>
      </c>
      <c r="AE1962" s="63">
        <v>45301</v>
      </c>
      <c r="AF1962" t="s">
        <v>156</v>
      </c>
      <c r="AG1962" t="s">
        <v>112</v>
      </c>
      <c r="AH1962" t="s">
        <v>112</v>
      </c>
      <c r="AI1962" s="63">
        <v>43598</v>
      </c>
      <c r="AJ1962" s="63">
        <v>45657</v>
      </c>
      <c r="AK1962" t="s">
        <v>112</v>
      </c>
      <c r="AL1962" t="s">
        <v>111</v>
      </c>
      <c r="AM1962" t="s">
        <v>111</v>
      </c>
      <c r="AN1962">
        <v>7413</v>
      </c>
      <c r="AO1962" t="s">
        <v>110</v>
      </c>
      <c r="AP1962" t="s">
        <v>109</v>
      </c>
    </row>
    <row r="1963" spans="1:42" x14ac:dyDescent="0.25">
      <c r="A1963" s="28" t="str">
        <f>"15636"</f>
        <v>15636</v>
      </c>
      <c r="B1963">
        <v>15636</v>
      </c>
      <c r="C1963" t="s">
        <v>2488</v>
      </c>
      <c r="D1963" t="s">
        <v>121</v>
      </c>
      <c r="E1963" t="s">
        <v>3363</v>
      </c>
      <c r="F1963" t="s">
        <v>120</v>
      </c>
      <c r="G1963" t="s">
        <v>3474</v>
      </c>
      <c r="H1963" t="s">
        <v>1464</v>
      </c>
      <c r="I1963" t="s">
        <v>3473</v>
      </c>
      <c r="J1963" t="s">
        <v>7</v>
      </c>
      <c r="K1963" s="63">
        <v>24820</v>
      </c>
      <c r="L1963" s="28">
        <f>DATEDIF(K1963,Zwift25!G$1,"Y")</f>
        <v>56</v>
      </c>
      <c r="M1963" s="67">
        <f>IF(J1963="m",VLOOKUP(L1963,'All Solo Adjustments'!A:D,4,FALSE),VLOOKUP(L1963,'All Solo Adjustments'!A:J,10,FALSE))</f>
        <v>2.2685185185185182E-3</v>
      </c>
      <c r="N1963" s="63"/>
      <c r="O1963" s="63"/>
      <c r="P1963" s="63"/>
      <c r="Q1963" s="63"/>
      <c r="R1963" t="s">
        <v>137</v>
      </c>
      <c r="S1963" t="s">
        <v>136</v>
      </c>
      <c r="T1963" t="s">
        <v>292</v>
      </c>
      <c r="U1963" t="s">
        <v>3472</v>
      </c>
      <c r="V1963" t="s">
        <v>3471</v>
      </c>
      <c r="W1963" t="s">
        <v>3470</v>
      </c>
      <c r="X1963" t="s">
        <v>635</v>
      </c>
      <c r="Y1963" t="s">
        <v>3469</v>
      </c>
      <c r="Z1963" t="str">
        <f>"07759105125"</f>
        <v>07759105125</v>
      </c>
      <c r="AA1963" t="str">
        <f>"01202462099"</f>
        <v>01202462099</v>
      </c>
      <c r="AB1963" t="s">
        <v>1078</v>
      </c>
      <c r="AC1963" t="s">
        <v>3468</v>
      </c>
      <c r="AD1963" t="s">
        <v>114</v>
      </c>
      <c r="AE1963" s="63">
        <v>45266</v>
      </c>
      <c r="AF1963" t="s">
        <v>156</v>
      </c>
      <c r="AG1963" t="s">
        <v>112</v>
      </c>
      <c r="AH1963" t="s">
        <v>112</v>
      </c>
      <c r="AI1963" s="63">
        <v>44924</v>
      </c>
      <c r="AJ1963" s="63">
        <v>45657</v>
      </c>
      <c r="AK1963" t="s">
        <v>112</v>
      </c>
      <c r="AL1963" t="s">
        <v>111</v>
      </c>
      <c r="AM1963" t="s">
        <v>111</v>
      </c>
      <c r="AN1963">
        <v>24472</v>
      </c>
      <c r="AO1963" t="s">
        <v>110</v>
      </c>
      <c r="AP1963" t="s">
        <v>109</v>
      </c>
    </row>
    <row r="1964" spans="1:42" x14ac:dyDescent="0.25">
      <c r="A1964" s="28" t="str">
        <f>"14671"</f>
        <v>14671</v>
      </c>
      <c r="B1964">
        <v>14671</v>
      </c>
      <c r="C1964" t="s">
        <v>2488</v>
      </c>
      <c r="D1964" t="s">
        <v>121</v>
      </c>
      <c r="F1964" t="s">
        <v>120</v>
      </c>
      <c r="G1964" t="s">
        <v>513</v>
      </c>
      <c r="I1964" t="s">
        <v>3467</v>
      </c>
      <c r="J1964" t="s">
        <v>7</v>
      </c>
      <c r="K1964" s="63">
        <v>23304</v>
      </c>
      <c r="L1964" s="28">
        <f>DATEDIF(K1964,Zwift25!G$1,"Y")</f>
        <v>60</v>
      </c>
      <c r="M1964" s="67">
        <f>IF(J1964="m",VLOOKUP(L1964,'All Solo Adjustments'!A:D,4,FALSE),VLOOKUP(L1964,'All Solo Adjustments'!A:J,10,FALSE))</f>
        <v>3.2060185185185186E-3</v>
      </c>
      <c r="N1964" s="63"/>
      <c r="O1964" s="63"/>
      <c r="P1964" s="63"/>
      <c r="Q1964" s="63"/>
      <c r="R1964" t="s">
        <v>180</v>
      </c>
      <c r="S1964" t="s">
        <v>179</v>
      </c>
      <c r="T1964" t="s">
        <v>292</v>
      </c>
      <c r="U1964" t="s">
        <v>3466</v>
      </c>
      <c r="V1964" t="s">
        <v>3465</v>
      </c>
      <c r="W1964" t="s">
        <v>3464</v>
      </c>
      <c r="Y1964" t="s">
        <v>3463</v>
      </c>
      <c r="Z1964" t="str">
        <f>"01455843626"</f>
        <v>01455843626</v>
      </c>
      <c r="AA1964" t="str">
        <f>""</f>
        <v/>
      </c>
      <c r="AB1964" t="s">
        <v>1550</v>
      </c>
      <c r="AC1964" t="s">
        <v>3462</v>
      </c>
      <c r="AD1964" t="s">
        <v>114</v>
      </c>
      <c r="AE1964" s="63">
        <v>45292</v>
      </c>
      <c r="AF1964" t="s">
        <v>156</v>
      </c>
      <c r="AG1964" t="s">
        <v>112</v>
      </c>
      <c r="AH1964" t="s">
        <v>112</v>
      </c>
      <c r="AI1964" s="63">
        <v>44062</v>
      </c>
      <c r="AJ1964" s="63">
        <v>45657</v>
      </c>
      <c r="AK1964" t="s">
        <v>112</v>
      </c>
      <c r="AL1964" t="s">
        <v>112</v>
      </c>
      <c r="AM1964" t="s">
        <v>111</v>
      </c>
      <c r="AN1964">
        <v>11495</v>
      </c>
      <c r="AO1964" t="s">
        <v>110</v>
      </c>
      <c r="AP1964" t="s">
        <v>109</v>
      </c>
    </row>
    <row r="1965" spans="1:42" x14ac:dyDescent="0.25">
      <c r="A1965" s="28" t="str">
        <f>"15225"</f>
        <v>15225</v>
      </c>
      <c r="B1965">
        <v>15225</v>
      </c>
      <c r="C1965" t="s">
        <v>2488</v>
      </c>
      <c r="D1965" t="s">
        <v>121</v>
      </c>
      <c r="F1965" t="s">
        <v>403</v>
      </c>
      <c r="G1965" t="s">
        <v>2161</v>
      </c>
      <c r="I1965" t="s">
        <v>3461</v>
      </c>
      <c r="J1965" t="s">
        <v>126</v>
      </c>
      <c r="K1965" s="63">
        <v>18488</v>
      </c>
      <c r="L1965" s="28">
        <f>DATEDIF(K1965,Zwift25!G$1,"Y")</f>
        <v>74</v>
      </c>
      <c r="M1965" s="67">
        <f>IF(J1965="m",VLOOKUP(L1965,'All Solo Adjustments'!A:D,4,FALSE),VLOOKUP(L1965,'All Solo Adjustments'!A:J,10,FALSE))</f>
        <v>1.3414351851851853E-2</v>
      </c>
      <c r="N1965" s="63"/>
      <c r="O1965" s="63"/>
      <c r="P1965" s="63"/>
      <c r="Q1965" s="63"/>
      <c r="R1965" t="s">
        <v>118</v>
      </c>
      <c r="S1965" t="s">
        <v>117</v>
      </c>
      <c r="T1965" t="s">
        <v>292</v>
      </c>
      <c r="U1965" t="s">
        <v>3460</v>
      </c>
      <c r="Y1965" t="s">
        <v>3459</v>
      </c>
      <c r="Z1965" t="str">
        <f>"07812841926"</f>
        <v>07812841926</v>
      </c>
      <c r="AA1965" t="str">
        <f>"0114 2360953"</f>
        <v>0114 2360953</v>
      </c>
      <c r="AB1965" t="s">
        <v>3458</v>
      </c>
      <c r="AC1965" t="s">
        <v>3457</v>
      </c>
      <c r="AD1965" t="s">
        <v>114</v>
      </c>
      <c r="AE1965" s="63">
        <v>45262</v>
      </c>
      <c r="AF1965" t="s">
        <v>156</v>
      </c>
      <c r="AG1965" t="s">
        <v>112</v>
      </c>
      <c r="AH1965" t="s">
        <v>112</v>
      </c>
      <c r="AI1965" s="63">
        <v>44436</v>
      </c>
      <c r="AJ1965" s="63">
        <v>45657</v>
      </c>
      <c r="AK1965" t="s">
        <v>112</v>
      </c>
      <c r="AL1965" t="s">
        <v>111</v>
      </c>
      <c r="AM1965" t="s">
        <v>111</v>
      </c>
      <c r="AN1965">
        <v>28334</v>
      </c>
      <c r="AO1965" t="s">
        <v>122</v>
      </c>
      <c r="AP1965" t="s">
        <v>122</v>
      </c>
    </row>
    <row r="1966" spans="1:42" x14ac:dyDescent="0.25">
      <c r="A1966" s="28" t="str">
        <f>"4793"</f>
        <v>4793</v>
      </c>
      <c r="B1966">
        <v>4793</v>
      </c>
      <c r="C1966" t="s">
        <v>2488</v>
      </c>
      <c r="D1966" t="s">
        <v>121</v>
      </c>
      <c r="F1966" t="s">
        <v>149</v>
      </c>
      <c r="G1966" t="s">
        <v>352</v>
      </c>
      <c r="I1966" t="s">
        <v>3456</v>
      </c>
      <c r="J1966" t="s">
        <v>126</v>
      </c>
      <c r="K1966" s="63">
        <v>22041</v>
      </c>
      <c r="L1966" s="28">
        <f>DATEDIF(K1966,Zwift25!G$1,"Y")</f>
        <v>64</v>
      </c>
      <c r="M1966" s="67">
        <f>IF(J1966="m",VLOOKUP(L1966,'All Solo Adjustments'!A:D,4,FALSE),VLOOKUP(L1966,'All Solo Adjustments'!A:J,10,FALSE))</f>
        <v>8.4490740740740741E-3</v>
      </c>
      <c r="N1966" s="63"/>
      <c r="O1966" s="63"/>
      <c r="P1966" s="63"/>
      <c r="Q1966" s="63"/>
      <c r="R1966" t="s">
        <v>125</v>
      </c>
      <c r="S1966" t="s">
        <v>170</v>
      </c>
      <c r="T1966" t="s">
        <v>292</v>
      </c>
      <c r="U1966" t="s">
        <v>3455</v>
      </c>
      <c r="V1966" t="s">
        <v>223</v>
      </c>
      <c r="W1966" t="s">
        <v>201</v>
      </c>
      <c r="Y1966" t="s">
        <v>3454</v>
      </c>
      <c r="Z1966" t="str">
        <f>"0778 7518344"</f>
        <v>0778 7518344</v>
      </c>
      <c r="AA1966" t="str">
        <f>""</f>
        <v/>
      </c>
      <c r="AB1966" t="s">
        <v>222</v>
      </c>
      <c r="AC1966" t="s">
        <v>3453</v>
      </c>
      <c r="AD1966" t="s">
        <v>114</v>
      </c>
      <c r="AE1966" s="63">
        <v>45262</v>
      </c>
      <c r="AF1966" t="s">
        <v>156</v>
      </c>
      <c r="AG1966" t="s">
        <v>112</v>
      </c>
      <c r="AH1966" t="s">
        <v>112</v>
      </c>
      <c r="AI1966" s="63">
        <v>41428</v>
      </c>
      <c r="AJ1966" s="63">
        <v>45657</v>
      </c>
      <c r="AK1966" t="s">
        <v>111</v>
      </c>
      <c r="AL1966" t="s">
        <v>111</v>
      </c>
      <c r="AM1966" t="s">
        <v>111</v>
      </c>
      <c r="AN1966">
        <v>5660</v>
      </c>
      <c r="AO1966" t="s">
        <v>122</v>
      </c>
      <c r="AP1966" t="s">
        <v>122</v>
      </c>
    </row>
    <row r="1967" spans="1:42" x14ac:dyDescent="0.25">
      <c r="A1967" s="28" t="str">
        <f>"15420"</f>
        <v>15420</v>
      </c>
      <c r="B1967">
        <v>15420</v>
      </c>
      <c r="C1967" t="s">
        <v>2488</v>
      </c>
      <c r="D1967" t="s">
        <v>121</v>
      </c>
      <c r="F1967" t="s">
        <v>120</v>
      </c>
      <c r="G1967" t="s">
        <v>3452</v>
      </c>
      <c r="I1967" t="s">
        <v>3451</v>
      </c>
      <c r="J1967" t="s">
        <v>7</v>
      </c>
      <c r="K1967" s="63">
        <v>29993</v>
      </c>
      <c r="L1967" s="28">
        <f>DATEDIF(K1967,Zwift25!G$1,"Y")</f>
        <v>42</v>
      </c>
      <c r="M1967" s="67">
        <f>IF(J1967="m",VLOOKUP(L1967,'All Solo Adjustments'!A:D,4,FALSE),VLOOKUP(L1967,'All Solo Adjustments'!A:J,10,FALSE))</f>
        <v>1.5046296296296295E-4</v>
      </c>
      <c r="N1967" s="63"/>
      <c r="O1967" s="63"/>
      <c r="P1967" s="63"/>
      <c r="Q1967" s="63"/>
      <c r="R1967" t="s">
        <v>239</v>
      </c>
      <c r="S1967" t="s">
        <v>274</v>
      </c>
      <c r="T1967" t="s">
        <v>292</v>
      </c>
      <c r="U1967" t="s">
        <v>3450</v>
      </c>
      <c r="W1967" t="s">
        <v>253</v>
      </c>
      <c r="X1967" t="s">
        <v>3449</v>
      </c>
      <c r="Y1967" t="s">
        <v>3448</v>
      </c>
      <c r="Z1967" t="str">
        <f>"07921438723"</f>
        <v>07921438723</v>
      </c>
      <c r="AA1967" t="str">
        <f>""</f>
        <v/>
      </c>
      <c r="AB1967" t="s">
        <v>3447</v>
      </c>
      <c r="AC1967" t="s">
        <v>3446</v>
      </c>
      <c r="AD1967" t="s">
        <v>114</v>
      </c>
      <c r="AE1967" s="63">
        <v>45308</v>
      </c>
      <c r="AF1967" t="s">
        <v>156</v>
      </c>
      <c r="AG1967" t="s">
        <v>112</v>
      </c>
      <c r="AH1967" t="s">
        <v>112</v>
      </c>
      <c r="AI1967" s="63">
        <v>44649</v>
      </c>
      <c r="AJ1967" s="63">
        <v>45657</v>
      </c>
      <c r="AK1967" t="s">
        <v>112</v>
      </c>
      <c r="AL1967" t="s">
        <v>111</v>
      </c>
      <c r="AM1967" t="s">
        <v>111</v>
      </c>
      <c r="AN1967">
        <v>19540</v>
      </c>
      <c r="AO1967" t="s">
        <v>110</v>
      </c>
      <c r="AP1967" t="s">
        <v>109</v>
      </c>
    </row>
    <row r="1968" spans="1:42" x14ac:dyDescent="0.25">
      <c r="A1968" s="28" t="str">
        <f>"2847"</f>
        <v>2847</v>
      </c>
      <c r="B1968">
        <v>2847</v>
      </c>
      <c r="C1968" t="s">
        <v>2488</v>
      </c>
      <c r="D1968" t="s">
        <v>121</v>
      </c>
      <c r="F1968" t="s">
        <v>120</v>
      </c>
      <c r="G1968" t="s">
        <v>546</v>
      </c>
      <c r="I1968" t="s">
        <v>1198</v>
      </c>
      <c r="J1968" t="s">
        <v>7</v>
      </c>
      <c r="K1968" s="63">
        <v>22567</v>
      </c>
      <c r="L1968" s="28">
        <f>DATEDIF(K1968,Zwift25!G$1,"Y")</f>
        <v>63</v>
      </c>
      <c r="M1968" s="67">
        <f>IF(J1968="m",VLOOKUP(L1968,'All Solo Adjustments'!A:D,4,FALSE),VLOOKUP(L1968,'All Solo Adjustments'!A:J,10,FALSE))</f>
        <v>4.0277777777777777E-3</v>
      </c>
      <c r="N1968" s="63"/>
      <c r="O1968" s="63"/>
      <c r="P1968" s="63"/>
      <c r="Q1968" s="63"/>
      <c r="R1968" t="s">
        <v>159</v>
      </c>
      <c r="S1968" t="s">
        <v>162</v>
      </c>
      <c r="T1968" t="s">
        <v>292</v>
      </c>
      <c r="U1968" t="s">
        <v>3445</v>
      </c>
      <c r="V1968" t="s">
        <v>3444</v>
      </c>
      <c r="W1968" t="s">
        <v>931</v>
      </c>
      <c r="X1968" t="s">
        <v>159</v>
      </c>
      <c r="Y1968" t="s">
        <v>3443</v>
      </c>
      <c r="Z1968" t="str">
        <f>"01622 817973"</f>
        <v>01622 817973</v>
      </c>
      <c r="AA1968" t="str">
        <f>""</f>
        <v/>
      </c>
      <c r="AB1968" t="s">
        <v>3442</v>
      </c>
      <c r="AC1968" t="s">
        <v>3441</v>
      </c>
      <c r="AD1968" t="s">
        <v>114</v>
      </c>
      <c r="AE1968" s="63">
        <v>45292</v>
      </c>
      <c r="AF1968" t="s">
        <v>156</v>
      </c>
      <c r="AG1968" t="s">
        <v>112</v>
      </c>
      <c r="AH1968" t="s">
        <v>112</v>
      </c>
      <c r="AI1968" s="63">
        <v>43463</v>
      </c>
      <c r="AJ1968" s="63">
        <v>45657</v>
      </c>
      <c r="AK1968" t="s">
        <v>111</v>
      </c>
      <c r="AL1968" t="s">
        <v>111</v>
      </c>
      <c r="AM1968" t="s">
        <v>111</v>
      </c>
      <c r="AN1968">
        <v>4284</v>
      </c>
      <c r="AO1968" t="s">
        <v>110</v>
      </c>
      <c r="AP1968" t="s">
        <v>109</v>
      </c>
    </row>
    <row r="1969" spans="1:42" x14ac:dyDescent="0.25">
      <c r="A1969" s="28" t="str">
        <f>"14171"</f>
        <v>14171</v>
      </c>
      <c r="B1969">
        <v>14171</v>
      </c>
      <c r="C1969" t="s">
        <v>2488</v>
      </c>
      <c r="D1969" t="s">
        <v>121</v>
      </c>
      <c r="E1969" t="s">
        <v>584</v>
      </c>
      <c r="F1969" t="s">
        <v>120</v>
      </c>
      <c r="G1969" t="s">
        <v>291</v>
      </c>
      <c r="I1969" t="s">
        <v>1194</v>
      </c>
      <c r="J1969" t="s">
        <v>7</v>
      </c>
      <c r="K1969" s="63">
        <v>24662</v>
      </c>
      <c r="L1969" s="28">
        <f>DATEDIF(K1969,Zwift25!G$1,"Y")</f>
        <v>57</v>
      </c>
      <c r="M1969" s="67">
        <f>IF(J1969="m",VLOOKUP(L1969,'All Solo Adjustments'!A:D,4,FALSE),VLOOKUP(L1969,'All Solo Adjustments'!A:J,10,FALSE))</f>
        <v>2.488425925925926E-3</v>
      </c>
      <c r="N1969" s="63"/>
      <c r="O1969" s="63"/>
      <c r="P1969" s="63"/>
      <c r="Q1969" s="63"/>
      <c r="R1969" t="s">
        <v>328</v>
      </c>
      <c r="S1969" t="s">
        <v>327</v>
      </c>
      <c r="T1969" t="s">
        <v>292</v>
      </c>
      <c r="U1969" t="s">
        <v>3440</v>
      </c>
      <c r="V1969" t="s">
        <v>3439</v>
      </c>
      <c r="W1969" t="s">
        <v>354</v>
      </c>
      <c r="X1969" t="s">
        <v>810</v>
      </c>
      <c r="Y1969" t="s">
        <v>3438</v>
      </c>
      <c r="Z1969" t="str">
        <f>"01697748502"</f>
        <v>01697748502</v>
      </c>
      <c r="AA1969" t="str">
        <f>"07494508434"</f>
        <v>07494508434</v>
      </c>
      <c r="AB1969" t="s">
        <v>3437</v>
      </c>
      <c r="AC1969" t="s">
        <v>3436</v>
      </c>
      <c r="AD1969" t="s">
        <v>114</v>
      </c>
      <c r="AE1969" s="63">
        <v>45230</v>
      </c>
      <c r="AF1969" t="s">
        <v>156</v>
      </c>
      <c r="AG1969" t="s">
        <v>112</v>
      </c>
      <c r="AH1969" t="s">
        <v>112</v>
      </c>
      <c r="AI1969" s="63">
        <v>43567</v>
      </c>
      <c r="AJ1969" s="63">
        <v>45657</v>
      </c>
      <c r="AK1969" t="s">
        <v>112</v>
      </c>
      <c r="AL1969" t="s">
        <v>111</v>
      </c>
      <c r="AM1969" t="s">
        <v>111</v>
      </c>
      <c r="AN1969">
        <v>2760</v>
      </c>
      <c r="AO1969" t="s">
        <v>110</v>
      </c>
      <c r="AP1969" t="s">
        <v>109</v>
      </c>
    </row>
    <row r="1970" spans="1:42" x14ac:dyDescent="0.25">
      <c r="A1970" s="28" t="str">
        <f>"16211"</f>
        <v>16211</v>
      </c>
      <c r="B1970">
        <v>16211</v>
      </c>
      <c r="C1970" t="s">
        <v>2488</v>
      </c>
      <c r="D1970" t="s">
        <v>121</v>
      </c>
      <c r="F1970" t="s">
        <v>120</v>
      </c>
      <c r="G1970" t="s">
        <v>469</v>
      </c>
      <c r="I1970" t="s">
        <v>3435</v>
      </c>
      <c r="J1970" t="s">
        <v>7</v>
      </c>
      <c r="K1970" s="63">
        <v>22150</v>
      </c>
      <c r="L1970" s="28">
        <f>DATEDIF(K1970,Zwift25!G$1,"Y")</f>
        <v>64</v>
      </c>
      <c r="M1970" s="67">
        <f>IF(J1970="m",VLOOKUP(L1970,'All Solo Adjustments'!A:D,4,FALSE),VLOOKUP(L1970,'All Solo Adjustments'!A:J,10,FALSE))</f>
        <v>4.31712962962963E-3</v>
      </c>
      <c r="N1970" s="63"/>
      <c r="O1970" s="63"/>
      <c r="P1970" s="63"/>
      <c r="Q1970" s="63"/>
      <c r="R1970" t="s">
        <v>184</v>
      </c>
      <c r="S1970" t="s">
        <v>183</v>
      </c>
      <c r="T1970" t="s">
        <v>292</v>
      </c>
      <c r="U1970" t="s">
        <v>3434</v>
      </c>
      <c r="V1970" t="s">
        <v>3433</v>
      </c>
      <c r="W1970" t="s">
        <v>3432</v>
      </c>
      <c r="X1970" t="s">
        <v>1228</v>
      </c>
      <c r="Y1970" t="s">
        <v>3431</v>
      </c>
      <c r="Z1970" t="str">
        <f>"07738009033"</f>
        <v>07738009033</v>
      </c>
      <c r="AA1970" t="str">
        <f>""</f>
        <v/>
      </c>
      <c r="AB1970" t="s">
        <v>3430</v>
      </c>
      <c r="AC1970" t="s">
        <v>3429</v>
      </c>
      <c r="AD1970" t="s">
        <v>114</v>
      </c>
      <c r="AE1970" s="63">
        <v>45540</v>
      </c>
      <c r="AF1970" t="s">
        <v>156</v>
      </c>
      <c r="AG1970" t="s">
        <v>112</v>
      </c>
      <c r="AH1970" t="s">
        <v>112</v>
      </c>
      <c r="AI1970" s="63">
        <v>45540</v>
      </c>
      <c r="AJ1970" s="63">
        <v>45657</v>
      </c>
      <c r="AK1970" t="s">
        <v>112</v>
      </c>
      <c r="AL1970" t="s">
        <v>111</v>
      </c>
      <c r="AM1970" t="s">
        <v>111</v>
      </c>
      <c r="AN1970">
        <v>45690</v>
      </c>
      <c r="AO1970" t="s">
        <v>110</v>
      </c>
      <c r="AP1970" t="s">
        <v>109</v>
      </c>
    </row>
    <row r="1971" spans="1:42" x14ac:dyDescent="0.25">
      <c r="A1971" s="28" t="str">
        <f>"15590"</f>
        <v>15590</v>
      </c>
      <c r="B1971">
        <v>15590</v>
      </c>
      <c r="C1971" t="s">
        <v>2488</v>
      </c>
      <c r="D1971" t="s">
        <v>121</v>
      </c>
      <c r="E1971" t="s">
        <v>584</v>
      </c>
      <c r="F1971" t="s">
        <v>120</v>
      </c>
      <c r="G1971" t="s">
        <v>405</v>
      </c>
      <c r="I1971" t="s">
        <v>1188</v>
      </c>
      <c r="J1971" t="s">
        <v>7</v>
      </c>
      <c r="K1971" s="63">
        <v>27382</v>
      </c>
      <c r="L1971" s="28">
        <f>DATEDIF(K1971,Zwift25!G$1,"Y")</f>
        <v>49</v>
      </c>
      <c r="M1971" s="67">
        <f>IF(J1971="m",VLOOKUP(L1971,'All Solo Adjustments'!A:D,4,FALSE),VLOOKUP(L1971,'All Solo Adjustments'!A:J,10,FALSE))</f>
        <v>9.837962962962962E-4</v>
      </c>
      <c r="N1971" s="63"/>
      <c r="O1971" s="63"/>
      <c r="P1971" s="63"/>
      <c r="Q1971" s="63"/>
      <c r="R1971" t="s">
        <v>180</v>
      </c>
      <c r="S1971" t="s">
        <v>179</v>
      </c>
      <c r="T1971" t="s">
        <v>292</v>
      </c>
      <c r="U1971" t="s">
        <v>3428</v>
      </c>
      <c r="V1971" t="s">
        <v>178</v>
      </c>
      <c r="W1971" t="s">
        <v>983</v>
      </c>
      <c r="Y1971" t="s">
        <v>3427</v>
      </c>
      <c r="Z1971" t="str">
        <f>"07969344238"</f>
        <v>07969344238</v>
      </c>
      <c r="AA1971" t="str">
        <f>""</f>
        <v/>
      </c>
      <c r="AB1971" t="s">
        <v>3426</v>
      </c>
      <c r="AC1971" t="s">
        <v>3425</v>
      </c>
      <c r="AD1971" t="s">
        <v>114</v>
      </c>
      <c r="AE1971" s="63">
        <v>45277</v>
      </c>
      <c r="AF1971" t="s">
        <v>156</v>
      </c>
      <c r="AG1971" t="s">
        <v>112</v>
      </c>
      <c r="AH1971" t="s">
        <v>112</v>
      </c>
      <c r="AI1971" s="63">
        <v>44809</v>
      </c>
      <c r="AJ1971" s="63">
        <v>45657</v>
      </c>
      <c r="AK1971" t="s">
        <v>112</v>
      </c>
      <c r="AL1971" t="s">
        <v>111</v>
      </c>
      <c r="AM1971" t="s">
        <v>111</v>
      </c>
      <c r="AN1971">
        <v>40165</v>
      </c>
      <c r="AO1971" t="s">
        <v>110</v>
      </c>
      <c r="AP1971" t="s">
        <v>109</v>
      </c>
    </row>
    <row r="1972" spans="1:42" x14ac:dyDescent="0.25">
      <c r="A1972" s="28" t="str">
        <f>"15076"</f>
        <v>15076</v>
      </c>
      <c r="B1972">
        <v>15076</v>
      </c>
      <c r="C1972" t="s">
        <v>2488</v>
      </c>
      <c r="D1972" t="s">
        <v>121</v>
      </c>
      <c r="E1972" t="s">
        <v>584</v>
      </c>
      <c r="F1972" t="s">
        <v>120</v>
      </c>
      <c r="G1972" t="s">
        <v>3424</v>
      </c>
      <c r="I1972" t="s">
        <v>3423</v>
      </c>
      <c r="J1972" t="s">
        <v>7</v>
      </c>
      <c r="K1972" s="63">
        <v>26792</v>
      </c>
      <c r="L1972" s="28">
        <f>DATEDIF(K1972,Zwift25!G$1,"Y")</f>
        <v>51</v>
      </c>
      <c r="M1972" s="67">
        <f>IF(J1972="m",VLOOKUP(L1972,'All Solo Adjustments'!A:D,4,FALSE),VLOOKUP(L1972,'All Solo Adjustments'!A:J,10,FALSE))</f>
        <v>1.3078703703703703E-3</v>
      </c>
      <c r="N1972" s="63"/>
      <c r="O1972" s="63"/>
      <c r="P1972" s="63"/>
      <c r="Q1972" s="63"/>
      <c r="R1972" t="s">
        <v>159</v>
      </c>
      <c r="S1972" t="s">
        <v>162</v>
      </c>
      <c r="T1972" t="s">
        <v>292</v>
      </c>
      <c r="U1972" t="s">
        <v>3422</v>
      </c>
      <c r="V1972" t="s">
        <v>3421</v>
      </c>
      <c r="W1972" t="s">
        <v>3420</v>
      </c>
      <c r="X1972" t="s">
        <v>159</v>
      </c>
      <c r="Y1972" t="s">
        <v>3419</v>
      </c>
      <c r="Z1972" t="str">
        <f>"07802352058"</f>
        <v>07802352058</v>
      </c>
      <c r="AA1972" t="str">
        <f>""</f>
        <v/>
      </c>
      <c r="AB1972" t="s">
        <v>754</v>
      </c>
      <c r="AC1972" t="s">
        <v>3418</v>
      </c>
      <c r="AD1972" t="s">
        <v>114</v>
      </c>
      <c r="AE1972" s="63">
        <v>45285</v>
      </c>
      <c r="AF1972" t="s">
        <v>113</v>
      </c>
      <c r="AG1972" t="s">
        <v>112</v>
      </c>
      <c r="AH1972" t="s">
        <v>112</v>
      </c>
      <c r="AI1972" s="63">
        <v>44370</v>
      </c>
      <c r="AJ1972" s="63">
        <v>45657</v>
      </c>
      <c r="AK1972" t="s">
        <v>112</v>
      </c>
      <c r="AL1972" t="s">
        <v>111</v>
      </c>
      <c r="AM1972" t="s">
        <v>111</v>
      </c>
      <c r="AN1972">
        <v>36855</v>
      </c>
      <c r="AO1972" t="s">
        <v>110</v>
      </c>
      <c r="AP1972" t="s">
        <v>109</v>
      </c>
    </row>
    <row r="1973" spans="1:42" x14ac:dyDescent="0.25">
      <c r="A1973" s="28" t="str">
        <f>"15779"</f>
        <v>15779</v>
      </c>
      <c r="B1973">
        <v>15779</v>
      </c>
      <c r="C1973" t="s">
        <v>2488</v>
      </c>
      <c r="D1973" t="s">
        <v>121</v>
      </c>
      <c r="E1973" t="s">
        <v>3417</v>
      </c>
      <c r="F1973" t="s">
        <v>120</v>
      </c>
      <c r="G1973" t="s">
        <v>952</v>
      </c>
      <c r="H1973" t="s">
        <v>171</v>
      </c>
      <c r="I1973" t="s">
        <v>3416</v>
      </c>
      <c r="J1973" t="s">
        <v>7</v>
      </c>
      <c r="K1973" s="63">
        <v>24229</v>
      </c>
      <c r="L1973" s="28">
        <f>DATEDIF(K1973,Zwift25!G$1,"Y")</f>
        <v>58</v>
      </c>
      <c r="M1973" s="67">
        <f>IF(J1973="m",VLOOKUP(L1973,'All Solo Adjustments'!A:D,4,FALSE),VLOOKUP(L1973,'All Solo Adjustments'!A:J,10,FALSE))</f>
        <v>2.7199074074074074E-3</v>
      </c>
      <c r="N1973" s="63"/>
      <c r="O1973" s="63"/>
      <c r="P1973" s="63"/>
      <c r="Q1973" s="63"/>
      <c r="R1973" t="s">
        <v>239</v>
      </c>
      <c r="S1973" t="s">
        <v>274</v>
      </c>
      <c r="T1973" t="s">
        <v>292</v>
      </c>
      <c r="U1973" t="s">
        <v>3415</v>
      </c>
      <c r="V1973" t="s">
        <v>1882</v>
      </c>
      <c r="W1973" t="s">
        <v>1924</v>
      </c>
      <c r="Y1973" t="s">
        <v>3414</v>
      </c>
      <c r="Z1973" t="str">
        <f>"07764 185847"</f>
        <v>07764 185847</v>
      </c>
      <c r="AA1973" t="str">
        <f>""</f>
        <v/>
      </c>
      <c r="AB1973" t="s">
        <v>1776</v>
      </c>
      <c r="AC1973" t="s">
        <v>3413</v>
      </c>
      <c r="AD1973" t="s">
        <v>114</v>
      </c>
      <c r="AE1973" s="63">
        <v>45292</v>
      </c>
      <c r="AF1973" t="s">
        <v>156</v>
      </c>
      <c r="AG1973" t="s">
        <v>112</v>
      </c>
      <c r="AH1973" t="s">
        <v>112</v>
      </c>
      <c r="AI1973" s="63">
        <v>45028</v>
      </c>
      <c r="AJ1973" s="63">
        <v>45657</v>
      </c>
      <c r="AK1973" t="s">
        <v>112</v>
      </c>
      <c r="AL1973" t="s">
        <v>111</v>
      </c>
      <c r="AM1973" t="s">
        <v>111</v>
      </c>
      <c r="AN1973">
        <v>1074</v>
      </c>
      <c r="AO1973" t="s">
        <v>110</v>
      </c>
      <c r="AP1973" t="s">
        <v>109</v>
      </c>
    </row>
    <row r="1974" spans="1:42" x14ac:dyDescent="0.25">
      <c r="A1974" s="28" t="str">
        <f>"3890"</f>
        <v>3890</v>
      </c>
      <c r="B1974">
        <v>3890</v>
      </c>
      <c r="C1974" t="s">
        <v>2488</v>
      </c>
      <c r="D1974" t="s">
        <v>121</v>
      </c>
      <c r="F1974" t="s">
        <v>120</v>
      </c>
      <c r="G1974" t="s">
        <v>284</v>
      </c>
      <c r="I1974" t="s">
        <v>3412</v>
      </c>
      <c r="J1974" t="s">
        <v>7</v>
      </c>
      <c r="K1974" s="63">
        <v>16644</v>
      </c>
      <c r="L1974" s="28">
        <f>DATEDIF(K1974,Zwift25!G$1,"Y")</f>
        <v>79</v>
      </c>
      <c r="M1974" s="67">
        <f>IF(J1974="m",VLOOKUP(L1974,'All Solo Adjustments'!A:D,4,FALSE),VLOOKUP(L1974,'All Solo Adjustments'!A:J,10,FALSE))</f>
        <v>1.0451388888888889E-2</v>
      </c>
      <c r="N1974" s="63"/>
      <c r="O1974" s="63"/>
      <c r="P1974" s="63"/>
      <c r="Q1974" s="63"/>
      <c r="R1974" t="s">
        <v>198</v>
      </c>
      <c r="S1974" t="s">
        <v>461</v>
      </c>
      <c r="T1974" t="s">
        <v>292</v>
      </c>
      <c r="U1974" t="s">
        <v>3411</v>
      </c>
      <c r="V1974" t="s">
        <v>1527</v>
      </c>
      <c r="W1974" t="s">
        <v>196</v>
      </c>
      <c r="Y1974" t="s">
        <v>3410</v>
      </c>
      <c r="Z1974" t="str">
        <f>"0161 282 6498"</f>
        <v>0161 282 6498</v>
      </c>
      <c r="AA1974" t="str">
        <f>"07811228697"</f>
        <v>07811228697</v>
      </c>
      <c r="AB1974" t="s">
        <v>514</v>
      </c>
      <c r="AC1974" t="s">
        <v>3409</v>
      </c>
      <c r="AD1974" t="s">
        <v>114</v>
      </c>
      <c r="AE1974" s="63">
        <v>45274</v>
      </c>
      <c r="AF1974" t="s">
        <v>113</v>
      </c>
      <c r="AG1974" t="s">
        <v>112</v>
      </c>
      <c r="AH1974" t="s">
        <v>112</v>
      </c>
      <c r="AI1974" s="63">
        <v>40268</v>
      </c>
      <c r="AJ1974" s="63">
        <v>45657</v>
      </c>
      <c r="AK1974" t="s">
        <v>111</v>
      </c>
      <c r="AL1974" t="s">
        <v>111</v>
      </c>
      <c r="AM1974" t="s">
        <v>111</v>
      </c>
      <c r="AN1974">
        <v>4914</v>
      </c>
      <c r="AO1974" t="s">
        <v>110</v>
      </c>
      <c r="AP1974" t="s">
        <v>109</v>
      </c>
    </row>
    <row r="1975" spans="1:42" x14ac:dyDescent="0.25">
      <c r="A1975" s="28" t="str">
        <f>"5490"</f>
        <v>5490</v>
      </c>
      <c r="B1975">
        <v>5490</v>
      </c>
      <c r="C1975" t="s">
        <v>2488</v>
      </c>
      <c r="D1975" t="s">
        <v>121</v>
      </c>
      <c r="E1975" t="s">
        <v>584</v>
      </c>
      <c r="F1975" t="s">
        <v>120</v>
      </c>
      <c r="G1975" t="s">
        <v>185</v>
      </c>
      <c r="I1975" t="s">
        <v>3408</v>
      </c>
      <c r="J1975" t="s">
        <v>7</v>
      </c>
      <c r="K1975" s="63">
        <v>17011</v>
      </c>
      <c r="L1975" s="28">
        <f>DATEDIF(K1975,Zwift25!G$1,"Y")</f>
        <v>78</v>
      </c>
      <c r="M1975" s="67">
        <f>IF(J1975="m",VLOOKUP(L1975,'All Solo Adjustments'!A:D,4,FALSE),VLOOKUP(L1975,'All Solo Adjustments'!A:J,10,FALSE))</f>
        <v>9.9189814814814817E-3</v>
      </c>
      <c r="N1975" s="63"/>
      <c r="O1975" s="63"/>
      <c r="P1975" s="63"/>
      <c r="Q1975" s="63"/>
      <c r="R1975" t="s">
        <v>125</v>
      </c>
      <c r="S1975" t="s">
        <v>170</v>
      </c>
      <c r="T1975" t="s">
        <v>292</v>
      </c>
      <c r="U1975" t="s">
        <v>3407</v>
      </c>
      <c r="V1975" t="s">
        <v>1210</v>
      </c>
      <c r="W1975" t="s">
        <v>193</v>
      </c>
      <c r="Y1975" t="s">
        <v>3406</v>
      </c>
      <c r="Z1975" t="str">
        <f>"07715 284787"</f>
        <v>07715 284787</v>
      </c>
      <c r="AA1975" t="str">
        <f>""</f>
        <v/>
      </c>
      <c r="AB1975" t="s">
        <v>587</v>
      </c>
      <c r="AC1975" t="s">
        <v>3405</v>
      </c>
      <c r="AD1975" t="s">
        <v>145</v>
      </c>
      <c r="AE1975" s="63">
        <v>45282</v>
      </c>
      <c r="AF1975" t="s">
        <v>113</v>
      </c>
      <c r="AG1975" t="s">
        <v>112</v>
      </c>
      <c r="AH1975" t="s">
        <v>112</v>
      </c>
      <c r="AI1975" s="63">
        <v>42146</v>
      </c>
      <c r="AJ1975" s="63">
        <v>45657</v>
      </c>
      <c r="AK1975" t="s">
        <v>111</v>
      </c>
      <c r="AL1975" t="s">
        <v>111</v>
      </c>
      <c r="AM1975" t="s">
        <v>111</v>
      </c>
      <c r="AN1975">
        <v>2275</v>
      </c>
      <c r="AO1975" t="s">
        <v>110</v>
      </c>
      <c r="AP1975" t="s">
        <v>109</v>
      </c>
    </row>
    <row r="1976" spans="1:42" x14ac:dyDescent="0.25">
      <c r="A1976" s="28" t="str">
        <f>"5381"</f>
        <v>5381</v>
      </c>
      <c r="B1976">
        <v>5381</v>
      </c>
      <c r="C1976" t="s">
        <v>2488</v>
      </c>
      <c r="D1976" t="s">
        <v>130</v>
      </c>
      <c r="E1976" t="s">
        <v>584</v>
      </c>
      <c r="F1976" t="s">
        <v>120</v>
      </c>
      <c r="G1976" t="s">
        <v>1369</v>
      </c>
      <c r="H1976" t="s">
        <v>339</v>
      </c>
      <c r="I1976" t="s">
        <v>289</v>
      </c>
      <c r="J1976" t="s">
        <v>7</v>
      </c>
      <c r="K1976" s="63">
        <v>23141</v>
      </c>
      <c r="L1976" s="28">
        <f>DATEDIF(K1976,Zwift25!G$1,"Y")</f>
        <v>61</v>
      </c>
      <c r="M1976" s="67">
        <f>IF(J1976="m",VLOOKUP(L1976,'All Solo Adjustments'!A:D,4,FALSE),VLOOKUP(L1976,'All Solo Adjustments'!A:J,10,FALSE))</f>
        <v>3.4722222222222225E-3</v>
      </c>
      <c r="N1976" s="63"/>
      <c r="O1976" s="63"/>
      <c r="P1976" s="63"/>
      <c r="Q1976" s="63"/>
      <c r="R1976" t="s">
        <v>137</v>
      </c>
      <c r="S1976" t="s">
        <v>703</v>
      </c>
      <c r="T1976" t="s">
        <v>292</v>
      </c>
      <c r="U1976" t="s">
        <v>3403</v>
      </c>
      <c r="V1976" t="s">
        <v>1726</v>
      </c>
      <c r="W1976" t="s">
        <v>717</v>
      </c>
      <c r="X1976" t="s">
        <v>1725</v>
      </c>
      <c r="Y1976" t="s">
        <v>3402</v>
      </c>
      <c r="Z1976" t="str">
        <f>"07769971843"</f>
        <v>07769971843</v>
      </c>
      <c r="AA1976" t="str">
        <f>"07747020403"</f>
        <v>07747020403</v>
      </c>
      <c r="AB1976" t="s">
        <v>3401</v>
      </c>
      <c r="AC1976" t="s">
        <v>3400</v>
      </c>
      <c r="AD1976" t="s">
        <v>114</v>
      </c>
      <c r="AE1976" s="63">
        <v>45295</v>
      </c>
      <c r="AF1976" t="s">
        <v>113</v>
      </c>
      <c r="AG1976" t="s">
        <v>112</v>
      </c>
      <c r="AH1976" t="s">
        <v>112</v>
      </c>
      <c r="AI1976" s="63">
        <v>42071</v>
      </c>
      <c r="AJ1976" s="63">
        <v>45657</v>
      </c>
      <c r="AK1976" t="s">
        <v>111</v>
      </c>
      <c r="AL1976" t="s">
        <v>111</v>
      </c>
      <c r="AM1976" t="s">
        <v>111</v>
      </c>
      <c r="AN1976">
        <v>2317</v>
      </c>
      <c r="AO1976" t="s">
        <v>110</v>
      </c>
      <c r="AP1976" t="s">
        <v>109</v>
      </c>
    </row>
    <row r="1977" spans="1:42" x14ac:dyDescent="0.25">
      <c r="A1977" s="28" t="str">
        <f>"10960"</f>
        <v>10960</v>
      </c>
      <c r="B1977">
        <v>10960</v>
      </c>
      <c r="C1977" t="s">
        <v>2488</v>
      </c>
      <c r="D1977" t="s">
        <v>132</v>
      </c>
      <c r="F1977" t="s">
        <v>120</v>
      </c>
      <c r="G1977" t="s">
        <v>732</v>
      </c>
      <c r="H1977" t="s">
        <v>3404</v>
      </c>
      <c r="I1977" t="s">
        <v>289</v>
      </c>
      <c r="J1977" t="s">
        <v>126</v>
      </c>
      <c r="K1977" s="63">
        <v>19850</v>
      </c>
      <c r="L1977" s="28">
        <f>DATEDIF(K1977,Zwift25!G$1,"Y")</f>
        <v>70</v>
      </c>
      <c r="M1977" s="67">
        <f>IF(J1977="m",VLOOKUP(L1977,'All Solo Adjustments'!A:D,4,FALSE),VLOOKUP(L1977,'All Solo Adjustments'!A:J,10,FALSE))</f>
        <v>1.15625E-2</v>
      </c>
      <c r="N1977" s="63"/>
      <c r="O1977" s="63"/>
      <c r="P1977" s="63"/>
      <c r="Q1977" s="63"/>
      <c r="R1977" t="s">
        <v>137</v>
      </c>
      <c r="S1977" t="s">
        <v>703</v>
      </c>
      <c r="T1977" t="s">
        <v>292</v>
      </c>
      <c r="U1977" t="s">
        <v>3403</v>
      </c>
      <c r="V1977" t="s">
        <v>1726</v>
      </c>
      <c r="W1977" t="s">
        <v>717</v>
      </c>
      <c r="X1977" t="s">
        <v>1725</v>
      </c>
      <c r="Y1977" t="s">
        <v>3402</v>
      </c>
      <c r="Z1977" t="str">
        <f>"07769971843"</f>
        <v>07769971843</v>
      </c>
      <c r="AA1977" t="str">
        <f>"07747020403"</f>
        <v>07747020403</v>
      </c>
      <c r="AB1977" t="s">
        <v>3401</v>
      </c>
      <c r="AC1977" t="s">
        <v>3400</v>
      </c>
      <c r="AD1977" t="s">
        <v>114</v>
      </c>
      <c r="AE1977" s="63">
        <v>45295</v>
      </c>
      <c r="AF1977" t="s">
        <v>113</v>
      </c>
      <c r="AG1977" t="s">
        <v>112</v>
      </c>
      <c r="AH1977" t="s">
        <v>112</v>
      </c>
      <c r="AI1977" s="63">
        <v>42071</v>
      </c>
      <c r="AJ1977" s="63">
        <v>45657</v>
      </c>
      <c r="AK1977" t="s">
        <v>111</v>
      </c>
      <c r="AL1977" t="s">
        <v>111</v>
      </c>
      <c r="AM1977" t="s">
        <v>111</v>
      </c>
      <c r="AN1977">
        <v>2310</v>
      </c>
      <c r="AO1977" t="s">
        <v>122</v>
      </c>
      <c r="AP1977" t="s">
        <v>122</v>
      </c>
    </row>
    <row r="1978" spans="1:42" x14ac:dyDescent="0.25">
      <c r="A1978" s="28" t="str">
        <f>"2481"</f>
        <v>2481</v>
      </c>
      <c r="B1978">
        <v>2481</v>
      </c>
      <c r="C1978" t="s">
        <v>2488</v>
      </c>
      <c r="D1978" t="s">
        <v>121</v>
      </c>
      <c r="E1978" t="s">
        <v>584</v>
      </c>
      <c r="F1978" t="s">
        <v>120</v>
      </c>
      <c r="G1978" t="s">
        <v>1484</v>
      </c>
      <c r="I1978" t="s">
        <v>3399</v>
      </c>
      <c r="J1978" t="s">
        <v>7</v>
      </c>
      <c r="K1978" s="63">
        <v>18572</v>
      </c>
      <c r="L1978" s="28">
        <f>DATEDIF(K1978,Zwift25!G$1,"Y")</f>
        <v>73</v>
      </c>
      <c r="M1978" s="67">
        <f>IF(J1978="m",VLOOKUP(L1978,'All Solo Adjustments'!A:D,4,FALSE),VLOOKUP(L1978,'All Solo Adjustments'!A:J,10,FALSE))</f>
        <v>7.5462962962962966E-3</v>
      </c>
      <c r="N1978" s="63"/>
      <c r="O1978" s="63"/>
      <c r="P1978" s="63"/>
      <c r="Q1978" s="63"/>
      <c r="R1978" t="s">
        <v>154</v>
      </c>
      <c r="S1978" t="s">
        <v>153</v>
      </c>
      <c r="T1978" t="s">
        <v>292</v>
      </c>
      <c r="U1978" t="s">
        <v>3398</v>
      </c>
      <c r="V1978" t="s">
        <v>3397</v>
      </c>
      <c r="W1978" t="s">
        <v>752</v>
      </c>
      <c r="Y1978" t="s">
        <v>3396</v>
      </c>
      <c r="Z1978" t="str">
        <f>"01672810543"</f>
        <v>01672810543</v>
      </c>
      <c r="AA1978" t="str">
        <f>"07871122113"</f>
        <v>07871122113</v>
      </c>
      <c r="AC1978" t="s">
        <v>3395</v>
      </c>
      <c r="AD1978" t="s">
        <v>114</v>
      </c>
      <c r="AE1978" s="63">
        <v>45242</v>
      </c>
      <c r="AF1978" t="s">
        <v>156</v>
      </c>
      <c r="AG1978" t="s">
        <v>112</v>
      </c>
      <c r="AH1978" t="s">
        <v>112</v>
      </c>
      <c r="AI1978" s="63">
        <v>43482</v>
      </c>
      <c r="AJ1978" s="63">
        <v>45657</v>
      </c>
      <c r="AK1978" t="s">
        <v>111</v>
      </c>
      <c r="AL1978" t="s">
        <v>111</v>
      </c>
      <c r="AM1978" t="s">
        <v>111</v>
      </c>
      <c r="AN1978">
        <v>3941</v>
      </c>
      <c r="AO1978" t="s">
        <v>110</v>
      </c>
      <c r="AP1978" t="s">
        <v>109</v>
      </c>
    </row>
    <row r="1979" spans="1:42" x14ac:dyDescent="0.25">
      <c r="A1979" s="28" t="str">
        <f>"2482"</f>
        <v>2482</v>
      </c>
      <c r="B1979">
        <v>2482</v>
      </c>
      <c r="C1979" t="s">
        <v>2488</v>
      </c>
      <c r="D1979" t="s">
        <v>121</v>
      </c>
      <c r="F1979" t="s">
        <v>120</v>
      </c>
      <c r="G1979" t="s">
        <v>165</v>
      </c>
      <c r="H1979" t="s">
        <v>410</v>
      </c>
      <c r="I1979" t="s">
        <v>3394</v>
      </c>
      <c r="J1979" t="s">
        <v>7</v>
      </c>
      <c r="K1979" s="63">
        <v>19391</v>
      </c>
      <c r="L1979" s="28">
        <f>DATEDIF(K1979,Zwift25!G$1,"Y")</f>
        <v>71</v>
      </c>
      <c r="M1979" s="67">
        <f>IF(J1979="m",VLOOKUP(L1979,'All Solo Adjustments'!A:D,4,FALSE),VLOOKUP(L1979,'All Solo Adjustments'!A:J,10,FALSE))</f>
        <v>6.7245370370370375E-3</v>
      </c>
      <c r="N1979" s="63"/>
      <c r="O1979" s="63"/>
      <c r="P1979" s="63"/>
      <c r="Q1979" s="63"/>
      <c r="R1979" t="s">
        <v>159</v>
      </c>
      <c r="S1979" t="s">
        <v>162</v>
      </c>
      <c r="T1979" t="s">
        <v>292</v>
      </c>
      <c r="U1979" t="s">
        <v>3393</v>
      </c>
      <c r="V1979" t="s">
        <v>3392</v>
      </c>
      <c r="W1979" t="s">
        <v>159</v>
      </c>
      <c r="Y1979" t="s">
        <v>3391</v>
      </c>
      <c r="Z1979" t="str">
        <f>"01474 393402"</f>
        <v>01474 393402</v>
      </c>
      <c r="AA1979" t="str">
        <f>""</f>
        <v/>
      </c>
      <c r="AB1979" t="s">
        <v>256</v>
      </c>
      <c r="AC1979" t="s">
        <v>3390</v>
      </c>
      <c r="AD1979" t="s">
        <v>114</v>
      </c>
      <c r="AE1979" s="63">
        <v>45288</v>
      </c>
      <c r="AF1979" t="s">
        <v>113</v>
      </c>
      <c r="AG1979" t="s">
        <v>112</v>
      </c>
      <c r="AH1979" t="s">
        <v>112</v>
      </c>
      <c r="AI1979" s="63">
        <v>43468</v>
      </c>
      <c r="AJ1979" s="63">
        <v>45657</v>
      </c>
      <c r="AK1979" t="s">
        <v>111</v>
      </c>
      <c r="AL1979" t="s">
        <v>111</v>
      </c>
      <c r="AM1979" t="s">
        <v>111</v>
      </c>
      <c r="AN1979">
        <v>6722</v>
      </c>
      <c r="AO1979" t="s">
        <v>110</v>
      </c>
      <c r="AP1979" t="s">
        <v>109</v>
      </c>
    </row>
    <row r="1980" spans="1:42" x14ac:dyDescent="0.25">
      <c r="A1980" s="28" t="str">
        <f>"14019"</f>
        <v>14019</v>
      </c>
      <c r="B1980">
        <v>14019</v>
      </c>
      <c r="C1980" t="s">
        <v>2488</v>
      </c>
      <c r="D1980" t="s">
        <v>132</v>
      </c>
      <c r="F1980" t="s">
        <v>120</v>
      </c>
      <c r="G1980" t="s">
        <v>377</v>
      </c>
      <c r="I1980" t="s">
        <v>3389</v>
      </c>
      <c r="J1980" t="s">
        <v>7</v>
      </c>
      <c r="K1980" s="63">
        <v>22182</v>
      </c>
      <c r="L1980" s="28">
        <f>DATEDIF(K1980,Zwift25!G$1,"Y")</f>
        <v>64</v>
      </c>
      <c r="M1980" s="67">
        <f>IF(J1980="m",VLOOKUP(L1980,'All Solo Adjustments'!A:D,4,FALSE),VLOOKUP(L1980,'All Solo Adjustments'!A:J,10,FALSE))</f>
        <v>4.31712962962963E-3</v>
      </c>
      <c r="N1980" s="63"/>
      <c r="O1980" s="63"/>
      <c r="P1980" s="63"/>
      <c r="Q1980" s="63"/>
      <c r="R1980" t="s">
        <v>154</v>
      </c>
      <c r="S1980" t="s">
        <v>412</v>
      </c>
      <c r="T1980" t="s">
        <v>292</v>
      </c>
      <c r="U1980" t="s">
        <v>3388</v>
      </c>
      <c r="V1980" t="s">
        <v>1528</v>
      </c>
      <c r="W1980" t="s">
        <v>1528</v>
      </c>
      <c r="X1980" t="s">
        <v>152</v>
      </c>
      <c r="Y1980" t="s">
        <v>3387</v>
      </c>
      <c r="Z1980" t="str">
        <f>"07841437680"</f>
        <v>07841437680</v>
      </c>
      <c r="AA1980" t="str">
        <f>""</f>
        <v/>
      </c>
      <c r="AB1980" t="s">
        <v>1058</v>
      </c>
      <c r="AC1980" t="s">
        <v>3386</v>
      </c>
      <c r="AD1980" t="s">
        <v>114</v>
      </c>
      <c r="AE1980" s="63">
        <v>45278</v>
      </c>
      <c r="AF1980" t="s">
        <v>156</v>
      </c>
      <c r="AG1980" t="s">
        <v>112</v>
      </c>
      <c r="AH1980" t="s">
        <v>112</v>
      </c>
      <c r="AI1980" s="63">
        <v>43493</v>
      </c>
      <c r="AJ1980" s="63">
        <v>45657</v>
      </c>
      <c r="AK1980" t="s">
        <v>112</v>
      </c>
      <c r="AL1980" t="s">
        <v>111</v>
      </c>
      <c r="AM1980" t="s">
        <v>111</v>
      </c>
      <c r="AN1980">
        <v>5923</v>
      </c>
      <c r="AO1980" t="s">
        <v>110</v>
      </c>
      <c r="AP1980" t="s">
        <v>109</v>
      </c>
    </row>
    <row r="1981" spans="1:42" x14ac:dyDescent="0.25">
      <c r="A1981" s="28" t="str">
        <f>"14405"</f>
        <v>14405</v>
      </c>
      <c r="B1981">
        <v>14405</v>
      </c>
      <c r="C1981" t="s">
        <v>2488</v>
      </c>
      <c r="D1981" t="s">
        <v>130</v>
      </c>
      <c r="F1981" t="s">
        <v>149</v>
      </c>
      <c r="G1981" t="s">
        <v>732</v>
      </c>
      <c r="H1981" t="s">
        <v>352</v>
      </c>
      <c r="I1981" t="s">
        <v>3389</v>
      </c>
      <c r="J1981" t="s">
        <v>126</v>
      </c>
      <c r="K1981" s="63">
        <v>22067</v>
      </c>
      <c r="L1981" s="28">
        <f>DATEDIF(K1981,Zwift25!G$1,"Y")</f>
        <v>64</v>
      </c>
      <c r="M1981" s="67">
        <f>IF(J1981="m",VLOOKUP(L1981,'All Solo Adjustments'!A:D,4,FALSE),VLOOKUP(L1981,'All Solo Adjustments'!A:J,10,FALSE))</f>
        <v>8.4490740740740741E-3</v>
      </c>
      <c r="N1981" s="63"/>
      <c r="O1981" s="63"/>
      <c r="P1981" s="63"/>
      <c r="Q1981" s="63"/>
      <c r="R1981" t="s">
        <v>154</v>
      </c>
      <c r="S1981" t="s">
        <v>412</v>
      </c>
      <c r="T1981" t="s">
        <v>292</v>
      </c>
      <c r="U1981" t="s">
        <v>3388</v>
      </c>
      <c r="V1981" t="s">
        <v>1528</v>
      </c>
      <c r="W1981" t="s">
        <v>1528</v>
      </c>
      <c r="X1981" t="s">
        <v>152</v>
      </c>
      <c r="Y1981" t="s">
        <v>3387</v>
      </c>
      <c r="Z1981" t="str">
        <f>"07841437680"</f>
        <v>07841437680</v>
      </c>
      <c r="AA1981" t="str">
        <f>""</f>
        <v/>
      </c>
      <c r="AB1981" t="s">
        <v>1058</v>
      </c>
      <c r="AC1981" t="s">
        <v>3386</v>
      </c>
      <c r="AD1981" t="s">
        <v>114</v>
      </c>
      <c r="AE1981" s="63">
        <v>45278</v>
      </c>
      <c r="AF1981" t="s">
        <v>156</v>
      </c>
      <c r="AG1981" t="s">
        <v>112</v>
      </c>
      <c r="AH1981" t="s">
        <v>112</v>
      </c>
      <c r="AI1981" s="63">
        <v>43819</v>
      </c>
      <c r="AJ1981" s="63">
        <v>45657</v>
      </c>
      <c r="AK1981" t="s">
        <v>112</v>
      </c>
      <c r="AL1981" t="s">
        <v>111</v>
      </c>
      <c r="AM1981" t="s">
        <v>111</v>
      </c>
      <c r="AN1981">
        <v>7623</v>
      </c>
      <c r="AO1981" t="s">
        <v>122</v>
      </c>
      <c r="AP1981" t="s">
        <v>122</v>
      </c>
    </row>
    <row r="1982" spans="1:42" x14ac:dyDescent="0.25">
      <c r="A1982" s="28" t="str">
        <f>"3731"</f>
        <v>3731</v>
      </c>
      <c r="B1982">
        <v>3731</v>
      </c>
      <c r="C1982" t="s">
        <v>2488</v>
      </c>
      <c r="D1982" t="s">
        <v>121</v>
      </c>
      <c r="E1982" t="s">
        <v>584</v>
      </c>
      <c r="F1982" t="s">
        <v>120</v>
      </c>
      <c r="G1982" t="s">
        <v>3385</v>
      </c>
      <c r="H1982" t="s">
        <v>3384</v>
      </c>
      <c r="I1982" t="s">
        <v>3383</v>
      </c>
      <c r="J1982" t="s">
        <v>7</v>
      </c>
      <c r="K1982" s="63">
        <v>25126</v>
      </c>
      <c r="L1982" s="28">
        <f>DATEDIF(K1982,Zwift25!G$1,"Y")</f>
        <v>55</v>
      </c>
      <c r="M1982" s="67">
        <f>IF(J1982="m",VLOOKUP(L1982,'All Solo Adjustments'!A:D,4,FALSE),VLOOKUP(L1982,'All Solo Adjustments'!A:J,10,FALSE))</f>
        <v>2.0601851851851853E-3</v>
      </c>
      <c r="N1982" s="63"/>
      <c r="O1982" s="63"/>
      <c r="P1982" s="63"/>
      <c r="Q1982" s="63"/>
      <c r="R1982" t="s">
        <v>180</v>
      </c>
      <c r="S1982" t="s">
        <v>179</v>
      </c>
      <c r="T1982" t="s">
        <v>292</v>
      </c>
      <c r="U1982" t="s">
        <v>3382</v>
      </c>
      <c r="V1982" t="s">
        <v>992</v>
      </c>
      <c r="Y1982" t="s">
        <v>3381</v>
      </c>
      <c r="Z1982" t="str">
        <f>"07581 372959"</f>
        <v>07581 372959</v>
      </c>
      <c r="AA1982" t="str">
        <f>""</f>
        <v/>
      </c>
      <c r="AB1982" t="s">
        <v>362</v>
      </c>
      <c r="AC1982" t="s">
        <v>3380</v>
      </c>
      <c r="AD1982" t="s">
        <v>114</v>
      </c>
      <c r="AE1982" s="63">
        <v>45262</v>
      </c>
      <c r="AF1982" t="s">
        <v>113</v>
      </c>
      <c r="AG1982" t="s">
        <v>112</v>
      </c>
      <c r="AH1982" t="s">
        <v>112</v>
      </c>
      <c r="AI1982" s="63">
        <v>39974</v>
      </c>
      <c r="AJ1982" s="63">
        <v>45657</v>
      </c>
      <c r="AK1982" t="s">
        <v>111</v>
      </c>
      <c r="AL1982" t="s">
        <v>111</v>
      </c>
      <c r="AM1982" t="s">
        <v>111</v>
      </c>
      <c r="AN1982">
        <v>34161</v>
      </c>
      <c r="AO1982" t="s">
        <v>110</v>
      </c>
      <c r="AP1982" t="s">
        <v>109</v>
      </c>
    </row>
    <row r="1983" spans="1:42" x14ac:dyDescent="0.25">
      <c r="A1983" s="28" t="str">
        <f>"2485"</f>
        <v>2485</v>
      </c>
      <c r="B1983">
        <v>2485</v>
      </c>
      <c r="C1983" t="s">
        <v>2488</v>
      </c>
      <c r="D1983" t="s">
        <v>121</v>
      </c>
      <c r="E1983" t="s">
        <v>584</v>
      </c>
      <c r="F1983" t="s">
        <v>120</v>
      </c>
      <c r="G1983" t="s">
        <v>904</v>
      </c>
      <c r="I1983" t="s">
        <v>3379</v>
      </c>
      <c r="J1983" t="s">
        <v>7</v>
      </c>
      <c r="K1983" s="63">
        <v>16646</v>
      </c>
      <c r="L1983" s="28">
        <f>DATEDIF(K1983,Zwift25!G$1,"Y")</f>
        <v>79</v>
      </c>
      <c r="M1983" s="67">
        <f>IF(J1983="m",VLOOKUP(L1983,'All Solo Adjustments'!A:D,4,FALSE),VLOOKUP(L1983,'All Solo Adjustments'!A:J,10,FALSE))</f>
        <v>1.0451388888888889E-2</v>
      </c>
      <c r="N1983" s="63"/>
      <c r="O1983" s="63"/>
      <c r="P1983" s="63"/>
      <c r="Q1983" s="63"/>
      <c r="R1983" t="s">
        <v>180</v>
      </c>
      <c r="S1983" t="s">
        <v>179</v>
      </c>
      <c r="T1983" t="s">
        <v>292</v>
      </c>
      <c r="U1983" t="s">
        <v>3378</v>
      </c>
      <c r="V1983" t="s">
        <v>992</v>
      </c>
      <c r="Y1983" t="s">
        <v>3377</v>
      </c>
      <c r="Z1983" t="str">
        <f>"0116 2745204"</f>
        <v>0116 2745204</v>
      </c>
      <c r="AA1983" t="str">
        <f>"07814695764"</f>
        <v>07814695764</v>
      </c>
      <c r="AB1983" t="s">
        <v>362</v>
      </c>
      <c r="AC1983" t="s">
        <v>3376</v>
      </c>
      <c r="AD1983" t="s">
        <v>114</v>
      </c>
      <c r="AE1983" s="63">
        <v>45313</v>
      </c>
      <c r="AF1983" t="s">
        <v>113</v>
      </c>
      <c r="AG1983" t="s">
        <v>112</v>
      </c>
      <c r="AH1983" t="s">
        <v>112</v>
      </c>
      <c r="AI1983" s="63">
        <v>43433</v>
      </c>
      <c r="AJ1983" s="63">
        <v>45657</v>
      </c>
      <c r="AK1983" t="s">
        <v>111</v>
      </c>
      <c r="AL1983" t="s">
        <v>111</v>
      </c>
      <c r="AM1983" t="s">
        <v>111</v>
      </c>
      <c r="AN1983">
        <v>9521</v>
      </c>
      <c r="AO1983" t="s">
        <v>110</v>
      </c>
      <c r="AP1983" t="s">
        <v>109</v>
      </c>
    </row>
    <row r="1984" spans="1:42" x14ac:dyDescent="0.25">
      <c r="A1984" s="28" t="str">
        <f>"13990"</f>
        <v>13990</v>
      </c>
      <c r="B1984">
        <v>13990</v>
      </c>
      <c r="C1984" t="s">
        <v>2488</v>
      </c>
      <c r="D1984" t="s">
        <v>121</v>
      </c>
      <c r="F1984" t="s">
        <v>120</v>
      </c>
      <c r="G1984" t="s">
        <v>805</v>
      </c>
      <c r="I1984" t="s">
        <v>3375</v>
      </c>
      <c r="J1984" t="s">
        <v>7</v>
      </c>
      <c r="K1984" s="63">
        <v>26321</v>
      </c>
      <c r="L1984" s="28">
        <f>DATEDIF(K1984,Zwift25!G$1,"Y")</f>
        <v>52</v>
      </c>
      <c r="M1984" s="67">
        <f>IF(J1984="m",VLOOKUP(L1984,'All Solo Adjustments'!A:D,4,FALSE),VLOOKUP(L1984,'All Solo Adjustments'!A:J,10,FALSE))</f>
        <v>1.4814814814814816E-3</v>
      </c>
      <c r="N1984" s="63"/>
      <c r="O1984" s="63"/>
      <c r="P1984" s="63"/>
      <c r="Q1984" s="63"/>
      <c r="R1984" t="s">
        <v>118</v>
      </c>
      <c r="S1984" t="s">
        <v>117</v>
      </c>
      <c r="T1984" t="s">
        <v>292</v>
      </c>
      <c r="U1984" t="s">
        <v>3374</v>
      </c>
      <c r="V1984" t="s">
        <v>3373</v>
      </c>
      <c r="W1984" t="s">
        <v>547</v>
      </c>
      <c r="X1984" t="s">
        <v>337</v>
      </c>
      <c r="Y1984" t="s">
        <v>3372</v>
      </c>
      <c r="Z1984" t="str">
        <f>"07736353817"</f>
        <v>07736353817</v>
      </c>
      <c r="AA1984" t="str">
        <f>""</f>
        <v/>
      </c>
      <c r="AB1984" t="s">
        <v>3371</v>
      </c>
      <c r="AC1984" t="s">
        <v>3370</v>
      </c>
      <c r="AD1984" t="s">
        <v>114</v>
      </c>
      <c r="AE1984" s="63">
        <v>45358</v>
      </c>
      <c r="AF1984" t="s">
        <v>156</v>
      </c>
      <c r="AG1984" t="s">
        <v>111</v>
      </c>
      <c r="AH1984" t="s">
        <v>111</v>
      </c>
      <c r="AI1984" s="63">
        <v>43478</v>
      </c>
      <c r="AJ1984" s="63">
        <v>45657</v>
      </c>
      <c r="AK1984" t="s">
        <v>112</v>
      </c>
      <c r="AL1984" t="s">
        <v>112</v>
      </c>
      <c r="AM1984" t="s">
        <v>111</v>
      </c>
      <c r="AN1984">
        <v>93</v>
      </c>
      <c r="AO1984" t="s">
        <v>110</v>
      </c>
      <c r="AP1984" t="s">
        <v>109</v>
      </c>
    </row>
    <row r="1985" spans="1:42" x14ac:dyDescent="0.25">
      <c r="A1985" s="28" t="str">
        <f>"16024"</f>
        <v>16024</v>
      </c>
      <c r="B1985">
        <v>16024</v>
      </c>
      <c r="C1985" t="s">
        <v>2488</v>
      </c>
      <c r="D1985" t="s">
        <v>121</v>
      </c>
      <c r="F1985" t="s">
        <v>120</v>
      </c>
      <c r="G1985" t="s">
        <v>185</v>
      </c>
      <c r="I1985" t="s">
        <v>3369</v>
      </c>
      <c r="J1985" t="s">
        <v>7</v>
      </c>
      <c r="K1985" s="63">
        <v>24543</v>
      </c>
      <c r="L1985" s="28">
        <f>DATEDIF(K1985,Zwift25!G$1,"Y")</f>
        <v>57</v>
      </c>
      <c r="M1985" s="67">
        <f>IF(J1985="m",VLOOKUP(L1985,'All Solo Adjustments'!A:D,4,FALSE),VLOOKUP(L1985,'All Solo Adjustments'!A:J,10,FALSE))</f>
        <v>2.488425925925926E-3</v>
      </c>
      <c r="N1985" s="63"/>
      <c r="O1985" s="63"/>
      <c r="P1985" s="63"/>
      <c r="Q1985" s="63"/>
      <c r="R1985" t="s">
        <v>180</v>
      </c>
      <c r="S1985" t="s">
        <v>179</v>
      </c>
      <c r="T1985" t="s">
        <v>292</v>
      </c>
      <c r="U1985" t="s">
        <v>3368</v>
      </c>
      <c r="V1985" t="s">
        <v>3367</v>
      </c>
      <c r="W1985" t="s">
        <v>2270</v>
      </c>
      <c r="X1985" t="s">
        <v>968</v>
      </c>
      <c r="Y1985" t="s">
        <v>3366</v>
      </c>
      <c r="Z1985" t="str">
        <f>"07850979833"</f>
        <v>07850979833</v>
      </c>
      <c r="AA1985" t="str">
        <f>""</f>
        <v/>
      </c>
      <c r="AB1985" t="s">
        <v>3365</v>
      </c>
      <c r="AC1985" t="s">
        <v>3364</v>
      </c>
      <c r="AD1985" t="s">
        <v>114</v>
      </c>
      <c r="AE1985" s="63">
        <v>45333</v>
      </c>
      <c r="AF1985" t="s">
        <v>156</v>
      </c>
      <c r="AG1985" t="s">
        <v>112</v>
      </c>
      <c r="AH1985" t="s">
        <v>112</v>
      </c>
      <c r="AI1985" s="63">
        <v>45333</v>
      </c>
      <c r="AJ1985" s="63">
        <v>45657</v>
      </c>
      <c r="AK1985" t="s">
        <v>112</v>
      </c>
      <c r="AL1985" t="s">
        <v>111</v>
      </c>
      <c r="AM1985" t="s">
        <v>111</v>
      </c>
      <c r="AN1985">
        <v>29675</v>
      </c>
      <c r="AO1985" t="s">
        <v>110</v>
      </c>
      <c r="AP1985" t="s">
        <v>109</v>
      </c>
    </row>
    <row r="1986" spans="1:42" x14ac:dyDescent="0.25">
      <c r="A1986" s="28" t="str">
        <f>"15313"</f>
        <v>15313</v>
      </c>
      <c r="B1986">
        <v>15313</v>
      </c>
      <c r="C1986" t="s">
        <v>2488</v>
      </c>
      <c r="D1986" t="s">
        <v>121</v>
      </c>
      <c r="E1986" t="s">
        <v>3363</v>
      </c>
      <c r="F1986" t="s">
        <v>149</v>
      </c>
      <c r="G1986" t="s">
        <v>586</v>
      </c>
      <c r="I1986" t="s">
        <v>3362</v>
      </c>
      <c r="J1986" t="s">
        <v>126</v>
      </c>
      <c r="K1986" s="63">
        <v>29334</v>
      </c>
      <c r="L1986" s="28">
        <f>DATEDIF(K1986,Zwift25!G$1,"Y")</f>
        <v>44</v>
      </c>
      <c r="M1986" s="67">
        <f>IF(J1986="m",VLOOKUP(L1986,'All Solo Adjustments'!A:D,4,FALSE),VLOOKUP(L1986,'All Solo Adjustments'!A:J,10,FALSE))</f>
        <v>4.5717592592592598E-3</v>
      </c>
      <c r="N1986" s="63"/>
      <c r="O1986" s="63"/>
      <c r="P1986" s="63"/>
      <c r="Q1986" s="63"/>
      <c r="R1986" t="s">
        <v>137</v>
      </c>
      <c r="S1986" t="s">
        <v>136</v>
      </c>
      <c r="T1986" t="s">
        <v>292</v>
      </c>
      <c r="U1986" t="s">
        <v>3361</v>
      </c>
      <c r="V1986" t="s">
        <v>440</v>
      </c>
      <c r="Y1986" t="s">
        <v>3360</v>
      </c>
      <c r="Z1986" t="str">
        <f>"07947273598"</f>
        <v>07947273598</v>
      </c>
      <c r="AA1986" t="str">
        <f>""</f>
        <v/>
      </c>
      <c r="AB1986" t="s">
        <v>439</v>
      </c>
      <c r="AC1986" t="s">
        <v>3359</v>
      </c>
      <c r="AD1986" t="s">
        <v>114</v>
      </c>
      <c r="AE1986" s="63">
        <v>45274</v>
      </c>
      <c r="AF1986" t="s">
        <v>113</v>
      </c>
      <c r="AG1986" t="s">
        <v>112</v>
      </c>
      <c r="AH1986" t="s">
        <v>112</v>
      </c>
      <c r="AI1986" s="63">
        <v>44561</v>
      </c>
      <c r="AJ1986" s="63">
        <v>45657</v>
      </c>
      <c r="AK1986" t="s">
        <v>112</v>
      </c>
      <c r="AL1986" t="s">
        <v>111</v>
      </c>
      <c r="AM1986" t="s">
        <v>111</v>
      </c>
      <c r="AN1986">
        <v>37663</v>
      </c>
      <c r="AO1986" t="s">
        <v>122</v>
      </c>
      <c r="AP1986" t="s">
        <v>122</v>
      </c>
    </row>
    <row r="1987" spans="1:42" x14ac:dyDescent="0.25">
      <c r="A1987" s="28" t="str">
        <f>"2495"</f>
        <v>2495</v>
      </c>
      <c r="B1987">
        <v>2495</v>
      </c>
      <c r="C1987" t="s">
        <v>2488</v>
      </c>
      <c r="D1987" t="s">
        <v>121</v>
      </c>
      <c r="F1987" t="s">
        <v>120</v>
      </c>
      <c r="G1987" t="s">
        <v>790</v>
      </c>
      <c r="I1987" t="s">
        <v>517</v>
      </c>
      <c r="J1987" t="s">
        <v>7</v>
      </c>
      <c r="K1987" s="63">
        <v>12973</v>
      </c>
      <c r="L1987" s="28">
        <f>DATEDIF(K1987,Zwift25!G$1,"Y")</f>
        <v>89</v>
      </c>
      <c r="M1987" s="67">
        <f>IF(J1987="m",VLOOKUP(L1987,'All Solo Adjustments'!A:D,4,FALSE),VLOOKUP(L1987,'All Solo Adjustments'!A:J,10,FALSE))</f>
        <v>1.7465277777777777E-2</v>
      </c>
      <c r="N1987" s="63"/>
      <c r="O1987" s="63"/>
      <c r="P1987" s="63"/>
      <c r="Q1987" s="63"/>
      <c r="R1987" t="s">
        <v>159</v>
      </c>
      <c r="S1987" t="s">
        <v>570</v>
      </c>
      <c r="T1987" t="s">
        <v>292</v>
      </c>
      <c r="U1987" t="s">
        <v>3358</v>
      </c>
      <c r="V1987" t="s">
        <v>257</v>
      </c>
      <c r="W1987" t="s">
        <v>159</v>
      </c>
      <c r="Y1987" t="s">
        <v>3357</v>
      </c>
      <c r="Z1987" t="str">
        <f>"01795 429249"</f>
        <v>01795 429249</v>
      </c>
      <c r="AA1987" t="str">
        <f>""</f>
        <v/>
      </c>
      <c r="AB1987" t="s">
        <v>1305</v>
      </c>
      <c r="AC1987" t="s">
        <v>3356</v>
      </c>
      <c r="AD1987" t="s">
        <v>151</v>
      </c>
      <c r="AF1987" t="s">
        <v>113</v>
      </c>
      <c r="AG1987" t="s">
        <v>112</v>
      </c>
      <c r="AH1987" t="s">
        <v>112</v>
      </c>
      <c r="AK1987" t="s">
        <v>111</v>
      </c>
      <c r="AL1987" t="s">
        <v>111</v>
      </c>
      <c r="AM1987" t="s">
        <v>111</v>
      </c>
      <c r="AN1987" t="s">
        <v>105</v>
      </c>
      <c r="AO1987" t="s">
        <v>110</v>
      </c>
      <c r="AP1987" t="s">
        <v>109</v>
      </c>
    </row>
    <row r="1988" spans="1:42" x14ac:dyDescent="0.25">
      <c r="A1988" s="28" t="str">
        <f>"2496"</f>
        <v>2496</v>
      </c>
      <c r="B1988">
        <v>2496</v>
      </c>
      <c r="C1988" t="s">
        <v>2488</v>
      </c>
      <c r="D1988" t="s">
        <v>121</v>
      </c>
      <c r="E1988" t="s">
        <v>584</v>
      </c>
      <c r="F1988" t="s">
        <v>120</v>
      </c>
      <c r="G1988" t="s">
        <v>220</v>
      </c>
      <c r="I1988" t="s">
        <v>3355</v>
      </c>
      <c r="J1988" t="s">
        <v>7</v>
      </c>
      <c r="K1988" s="63">
        <v>16773</v>
      </c>
      <c r="L1988" s="28">
        <f>DATEDIF(K1988,Zwift25!G$1,"Y")</f>
        <v>78</v>
      </c>
      <c r="M1988" s="67">
        <f>IF(J1988="m",VLOOKUP(L1988,'All Solo Adjustments'!A:D,4,FALSE),VLOOKUP(L1988,'All Solo Adjustments'!A:J,10,FALSE))</f>
        <v>9.9189814814814817E-3</v>
      </c>
      <c r="N1988" s="63"/>
      <c r="O1988" s="63"/>
      <c r="P1988" s="63"/>
      <c r="Q1988" s="63"/>
      <c r="R1988" t="s">
        <v>137</v>
      </c>
      <c r="S1988" t="s">
        <v>136</v>
      </c>
      <c r="T1988" t="s">
        <v>292</v>
      </c>
      <c r="U1988" t="s">
        <v>3354</v>
      </c>
      <c r="V1988" t="s">
        <v>3353</v>
      </c>
      <c r="W1988" t="s">
        <v>3352</v>
      </c>
      <c r="X1988" t="s">
        <v>3351</v>
      </c>
      <c r="Y1988" t="s">
        <v>3350</v>
      </c>
      <c r="Z1988" t="str">
        <f>"01794 340202"</f>
        <v>01794 340202</v>
      </c>
      <c r="AA1988" t="str">
        <f>""</f>
        <v/>
      </c>
      <c r="AB1988" t="s">
        <v>3349</v>
      </c>
      <c r="AC1988" t="s">
        <v>3348</v>
      </c>
      <c r="AD1988" t="s">
        <v>145</v>
      </c>
      <c r="AE1988" s="63">
        <v>45266</v>
      </c>
      <c r="AF1988" t="s">
        <v>113</v>
      </c>
      <c r="AG1988" t="s">
        <v>112</v>
      </c>
      <c r="AH1988" t="s">
        <v>112</v>
      </c>
      <c r="AI1988" s="63">
        <v>35132</v>
      </c>
      <c r="AJ1988" s="63">
        <v>45657</v>
      </c>
      <c r="AK1988" t="s">
        <v>111</v>
      </c>
      <c r="AL1988" t="s">
        <v>111</v>
      </c>
      <c r="AM1988" t="s">
        <v>111</v>
      </c>
      <c r="AN1988" t="s">
        <v>105</v>
      </c>
      <c r="AO1988" t="s">
        <v>110</v>
      </c>
      <c r="AP1988" t="s">
        <v>109</v>
      </c>
    </row>
    <row r="1989" spans="1:42" x14ac:dyDescent="0.25">
      <c r="A1989" s="28" t="str">
        <f>"15376"</f>
        <v>15376</v>
      </c>
      <c r="B1989">
        <v>15376</v>
      </c>
      <c r="C1989" t="s">
        <v>2488</v>
      </c>
      <c r="D1989" t="s">
        <v>121</v>
      </c>
      <c r="F1989" t="s">
        <v>120</v>
      </c>
      <c r="G1989" t="s">
        <v>1074</v>
      </c>
      <c r="I1989" t="s">
        <v>3347</v>
      </c>
      <c r="J1989" t="s">
        <v>7</v>
      </c>
      <c r="K1989" s="63">
        <v>24982</v>
      </c>
      <c r="L1989" s="28">
        <f>DATEDIF(K1989,Zwift25!G$1,"Y")</f>
        <v>56</v>
      </c>
      <c r="M1989" s="67">
        <f>IF(J1989="m",VLOOKUP(L1989,'All Solo Adjustments'!A:D,4,FALSE),VLOOKUP(L1989,'All Solo Adjustments'!A:J,10,FALSE))</f>
        <v>2.2685185185185182E-3</v>
      </c>
      <c r="N1989" s="63"/>
      <c r="O1989" s="63"/>
      <c r="P1989" s="63"/>
      <c r="Q1989" s="63"/>
      <c r="R1989" t="s">
        <v>527</v>
      </c>
      <c r="S1989" t="s">
        <v>526</v>
      </c>
      <c r="T1989" t="s">
        <v>292</v>
      </c>
      <c r="U1989" t="s">
        <v>3346</v>
      </c>
      <c r="V1989" t="s">
        <v>933</v>
      </c>
      <c r="X1989" t="s">
        <v>2456</v>
      </c>
      <c r="Y1989" t="s">
        <v>3345</v>
      </c>
      <c r="Z1989" t="str">
        <f>"07979490619"</f>
        <v>07979490619</v>
      </c>
      <c r="AA1989" t="str">
        <f>""</f>
        <v/>
      </c>
      <c r="AB1989" t="s">
        <v>1898</v>
      </c>
      <c r="AC1989" t="s">
        <v>3344</v>
      </c>
      <c r="AD1989" t="s">
        <v>114</v>
      </c>
      <c r="AE1989" s="63">
        <v>45300</v>
      </c>
      <c r="AF1989" t="s">
        <v>113</v>
      </c>
      <c r="AG1989" t="s">
        <v>112</v>
      </c>
      <c r="AH1989" t="s">
        <v>112</v>
      </c>
      <c r="AI1989" s="63">
        <v>44614</v>
      </c>
      <c r="AJ1989" s="63">
        <v>45657</v>
      </c>
      <c r="AK1989" t="s">
        <v>112</v>
      </c>
      <c r="AL1989" t="s">
        <v>111</v>
      </c>
      <c r="AM1989" t="s">
        <v>111</v>
      </c>
      <c r="AN1989">
        <v>22940</v>
      </c>
      <c r="AO1989" t="s">
        <v>110</v>
      </c>
      <c r="AP1989" t="s">
        <v>109</v>
      </c>
    </row>
    <row r="1990" spans="1:42" x14ac:dyDescent="0.25">
      <c r="A1990" s="28" t="str">
        <f>"4293"</f>
        <v>4293</v>
      </c>
      <c r="B1990">
        <v>4293</v>
      </c>
      <c r="C1990" t="s">
        <v>2488</v>
      </c>
      <c r="D1990" t="s">
        <v>121</v>
      </c>
      <c r="E1990" t="s">
        <v>584</v>
      </c>
      <c r="F1990" t="s">
        <v>403</v>
      </c>
      <c r="G1990" t="s">
        <v>3343</v>
      </c>
      <c r="H1990" t="s">
        <v>528</v>
      </c>
      <c r="I1990" t="s">
        <v>276</v>
      </c>
      <c r="J1990" t="s">
        <v>126</v>
      </c>
      <c r="K1990" s="63">
        <v>19672</v>
      </c>
      <c r="L1990" s="28">
        <f>DATEDIF(K1990,Zwift25!G$1,"Y")</f>
        <v>70</v>
      </c>
      <c r="M1990" s="67">
        <f>IF(J1990="m",VLOOKUP(L1990,'All Solo Adjustments'!A:D,4,FALSE),VLOOKUP(L1990,'All Solo Adjustments'!A:J,10,FALSE))</f>
        <v>1.15625E-2</v>
      </c>
      <c r="N1990" s="63"/>
      <c r="O1990" s="63"/>
      <c r="P1990" s="63"/>
      <c r="Q1990" s="63"/>
      <c r="R1990" t="s">
        <v>184</v>
      </c>
      <c r="S1990" t="s">
        <v>183</v>
      </c>
      <c r="T1990" t="s">
        <v>292</v>
      </c>
      <c r="U1990" t="s">
        <v>3342</v>
      </c>
      <c r="V1990" t="s">
        <v>167</v>
      </c>
      <c r="Y1990" t="s">
        <v>3341</v>
      </c>
      <c r="Z1990" t="str">
        <f>"07884 473336"</f>
        <v>07884 473336</v>
      </c>
      <c r="AA1990" t="str">
        <f>""</f>
        <v/>
      </c>
      <c r="AB1990" t="s">
        <v>1974</v>
      </c>
      <c r="AC1990" t="s">
        <v>3340</v>
      </c>
      <c r="AD1990" t="s">
        <v>114</v>
      </c>
      <c r="AE1990" s="63">
        <v>45292</v>
      </c>
      <c r="AF1990" t="s">
        <v>156</v>
      </c>
      <c r="AG1990" t="s">
        <v>112</v>
      </c>
      <c r="AH1990" t="s">
        <v>112</v>
      </c>
      <c r="AI1990" s="63">
        <v>40693</v>
      </c>
      <c r="AJ1990" s="63">
        <v>45657</v>
      </c>
      <c r="AK1990" t="s">
        <v>111</v>
      </c>
      <c r="AL1990" t="s">
        <v>111</v>
      </c>
      <c r="AM1990" t="s">
        <v>111</v>
      </c>
      <c r="AN1990">
        <v>11040</v>
      </c>
      <c r="AO1990" t="s">
        <v>122</v>
      </c>
      <c r="AP1990" t="s">
        <v>122</v>
      </c>
    </row>
    <row r="1991" spans="1:42" x14ac:dyDescent="0.25">
      <c r="A1991" s="28" t="str">
        <f>"15226"</f>
        <v>15226</v>
      </c>
      <c r="B1991">
        <v>15226</v>
      </c>
      <c r="C1991" t="s">
        <v>2488</v>
      </c>
      <c r="D1991" t="s">
        <v>121</v>
      </c>
      <c r="E1991" t="s">
        <v>584</v>
      </c>
      <c r="F1991" t="s">
        <v>120</v>
      </c>
      <c r="G1991" t="s">
        <v>513</v>
      </c>
      <c r="I1991" t="s">
        <v>276</v>
      </c>
      <c r="J1991" t="s">
        <v>7</v>
      </c>
      <c r="K1991" s="63">
        <v>28724</v>
      </c>
      <c r="L1991" s="28">
        <f>DATEDIF(K1991,Zwift25!G$1,"Y")</f>
        <v>46</v>
      </c>
      <c r="M1991" s="67">
        <f>IF(J1991="m",VLOOKUP(L1991,'All Solo Adjustments'!A:D,4,FALSE),VLOOKUP(L1991,'All Solo Adjustments'!A:J,10,FALSE))</f>
        <v>5.6712962962962956E-4</v>
      </c>
      <c r="N1991" s="63"/>
      <c r="O1991" s="63"/>
      <c r="P1991" s="63"/>
      <c r="Q1991" s="63"/>
      <c r="R1991" t="s">
        <v>198</v>
      </c>
      <c r="S1991" t="s">
        <v>461</v>
      </c>
      <c r="T1991" t="s">
        <v>292</v>
      </c>
      <c r="U1991" t="s">
        <v>3339</v>
      </c>
      <c r="W1991" t="s">
        <v>1270</v>
      </c>
      <c r="X1991" t="s">
        <v>196</v>
      </c>
      <c r="Y1991" t="s">
        <v>3338</v>
      </c>
      <c r="Z1991" t="str">
        <f>"07714095404"</f>
        <v>07714095404</v>
      </c>
      <c r="AA1991" t="str">
        <f>""</f>
        <v/>
      </c>
      <c r="AB1991" t="s">
        <v>3337</v>
      </c>
      <c r="AC1991" t="s">
        <v>3336</v>
      </c>
      <c r="AD1991" t="s">
        <v>114</v>
      </c>
      <c r="AE1991" s="63">
        <v>45293</v>
      </c>
      <c r="AF1991" t="s">
        <v>156</v>
      </c>
      <c r="AG1991" t="s">
        <v>112</v>
      </c>
      <c r="AH1991" t="s">
        <v>112</v>
      </c>
      <c r="AI1991" s="63">
        <v>44438</v>
      </c>
      <c r="AJ1991" s="63">
        <v>45657</v>
      </c>
      <c r="AK1991" t="s">
        <v>112</v>
      </c>
      <c r="AL1991" t="s">
        <v>112</v>
      </c>
      <c r="AM1991" t="s">
        <v>111</v>
      </c>
      <c r="AN1991">
        <v>37506</v>
      </c>
      <c r="AO1991" t="s">
        <v>110</v>
      </c>
      <c r="AP1991" t="s">
        <v>109</v>
      </c>
    </row>
    <row r="1992" spans="1:42" x14ac:dyDescent="0.25">
      <c r="A1992" s="28" t="str">
        <f>"3277"</f>
        <v>3277</v>
      </c>
      <c r="B1992">
        <v>3277</v>
      </c>
      <c r="C1992" t="s">
        <v>2488</v>
      </c>
      <c r="D1992" t="s">
        <v>121</v>
      </c>
      <c r="F1992" t="s">
        <v>120</v>
      </c>
      <c r="G1992" t="s">
        <v>481</v>
      </c>
      <c r="I1992" t="s">
        <v>1168</v>
      </c>
      <c r="J1992" t="s">
        <v>7</v>
      </c>
      <c r="K1992" s="63">
        <v>13101</v>
      </c>
      <c r="L1992" s="28">
        <f>DATEDIF(K1992,Zwift25!G$1,"Y")</f>
        <v>88</v>
      </c>
      <c r="M1992" s="67">
        <f>IF(J1992="m",VLOOKUP(L1992,'All Solo Adjustments'!A:D,4,FALSE),VLOOKUP(L1992,'All Solo Adjustments'!A:J,10,FALSE))</f>
        <v>1.6597222222222222E-2</v>
      </c>
      <c r="N1992" s="63"/>
      <c r="O1992" s="63"/>
      <c r="P1992" s="63"/>
      <c r="Q1992" s="63"/>
      <c r="R1992" t="s">
        <v>159</v>
      </c>
      <c r="S1992" t="s">
        <v>570</v>
      </c>
      <c r="T1992" t="s">
        <v>292</v>
      </c>
      <c r="U1992" t="s">
        <v>3335</v>
      </c>
      <c r="V1992" t="s">
        <v>299</v>
      </c>
      <c r="W1992" t="s">
        <v>159</v>
      </c>
      <c r="Y1992" t="s">
        <v>3334</v>
      </c>
      <c r="Z1992" t="str">
        <f>"01732 353256"</f>
        <v>01732 353256</v>
      </c>
      <c r="AA1992" t="str">
        <f>""</f>
        <v/>
      </c>
      <c r="AB1992" t="s">
        <v>256</v>
      </c>
      <c r="AC1992" t="s">
        <v>3333</v>
      </c>
      <c r="AD1992" t="s">
        <v>151</v>
      </c>
      <c r="AF1992" t="s">
        <v>113</v>
      </c>
      <c r="AG1992" t="s">
        <v>111</v>
      </c>
      <c r="AH1992" t="s">
        <v>112</v>
      </c>
      <c r="AK1992" t="s">
        <v>111</v>
      </c>
      <c r="AL1992" t="s">
        <v>111</v>
      </c>
      <c r="AM1992" t="s">
        <v>111</v>
      </c>
      <c r="AN1992" t="s">
        <v>105</v>
      </c>
      <c r="AO1992" t="s">
        <v>110</v>
      </c>
      <c r="AP1992" t="s">
        <v>109</v>
      </c>
    </row>
    <row r="1993" spans="1:42" x14ac:dyDescent="0.25">
      <c r="A1993" s="28" t="str">
        <f>"2508"</f>
        <v>2508</v>
      </c>
      <c r="B1993">
        <v>2508</v>
      </c>
      <c r="C1993" t="s">
        <v>2488</v>
      </c>
      <c r="D1993" t="s">
        <v>121</v>
      </c>
      <c r="F1993" t="s">
        <v>149</v>
      </c>
      <c r="G1993" t="s">
        <v>455</v>
      </c>
      <c r="I1993" t="s">
        <v>1164</v>
      </c>
      <c r="J1993" t="s">
        <v>126</v>
      </c>
      <c r="K1993" s="63">
        <v>12392</v>
      </c>
      <c r="L1993" s="28">
        <f>DATEDIF(K1993,Zwift25!G$1,"Y")</f>
        <v>90</v>
      </c>
      <c r="M1993" s="67">
        <f>IF(J1993="m",VLOOKUP(L1993,'All Solo Adjustments'!A:D,4,FALSE),VLOOKUP(L1993,'All Solo Adjustments'!A:J,10,FALSE))</f>
        <v>2.5138888888888888E-2</v>
      </c>
      <c r="N1993" s="63"/>
      <c r="O1993" s="63"/>
      <c r="P1993" s="63"/>
      <c r="Q1993" s="63"/>
      <c r="R1993" t="s">
        <v>137</v>
      </c>
      <c r="S1993" t="s">
        <v>2312</v>
      </c>
      <c r="T1993" t="s">
        <v>292</v>
      </c>
      <c r="U1993" t="s">
        <v>3332</v>
      </c>
      <c r="V1993" t="s">
        <v>3331</v>
      </c>
      <c r="W1993" t="s">
        <v>564</v>
      </c>
      <c r="Y1993" t="s">
        <v>3330</v>
      </c>
      <c r="Z1993" t="str">
        <f>"07720 977752"</f>
        <v>07720 977752</v>
      </c>
      <c r="AA1993" t="str">
        <f>""</f>
        <v/>
      </c>
      <c r="AB1993" t="s">
        <v>2428</v>
      </c>
      <c r="AD1993" t="s">
        <v>151</v>
      </c>
      <c r="AF1993" t="s">
        <v>113</v>
      </c>
      <c r="AG1993" t="s">
        <v>111</v>
      </c>
      <c r="AH1993" t="s">
        <v>111</v>
      </c>
      <c r="AI1993" s="63">
        <v>31318</v>
      </c>
      <c r="AK1993" t="s">
        <v>111</v>
      </c>
      <c r="AL1993" t="s">
        <v>111</v>
      </c>
      <c r="AM1993" t="s">
        <v>111</v>
      </c>
      <c r="AN1993" t="s">
        <v>105</v>
      </c>
      <c r="AO1993" t="s">
        <v>122</v>
      </c>
      <c r="AP1993" t="s">
        <v>122</v>
      </c>
    </row>
    <row r="1994" spans="1:42" x14ac:dyDescent="0.25">
      <c r="A1994" s="28" t="str">
        <f>"2506"</f>
        <v>2506</v>
      </c>
      <c r="B1994">
        <v>2506</v>
      </c>
      <c r="C1994" t="s">
        <v>2488</v>
      </c>
      <c r="D1994" t="s">
        <v>121</v>
      </c>
      <c r="F1994" t="s">
        <v>120</v>
      </c>
      <c r="G1994" t="s">
        <v>230</v>
      </c>
      <c r="I1994" t="s">
        <v>1164</v>
      </c>
      <c r="J1994" t="s">
        <v>7</v>
      </c>
      <c r="K1994" s="63">
        <v>16655</v>
      </c>
      <c r="L1994" s="28">
        <f>DATEDIF(K1994,Zwift25!G$1,"Y")</f>
        <v>79</v>
      </c>
      <c r="M1994" s="67">
        <f>IF(J1994="m",VLOOKUP(L1994,'All Solo Adjustments'!A:D,4,FALSE),VLOOKUP(L1994,'All Solo Adjustments'!A:J,10,FALSE))</f>
        <v>1.0451388888888889E-2</v>
      </c>
      <c r="N1994" s="63"/>
      <c r="O1994" s="63"/>
      <c r="P1994" s="63"/>
      <c r="Q1994" s="63"/>
      <c r="R1994" t="s">
        <v>184</v>
      </c>
      <c r="S1994" t="s">
        <v>183</v>
      </c>
      <c r="T1994" t="s">
        <v>292</v>
      </c>
      <c r="U1994" t="s">
        <v>3329</v>
      </c>
      <c r="V1994" t="s">
        <v>3328</v>
      </c>
      <c r="W1994" t="s">
        <v>3327</v>
      </c>
      <c r="X1994" t="s">
        <v>1034</v>
      </c>
      <c r="Y1994" t="s">
        <v>3326</v>
      </c>
      <c r="Z1994" t="str">
        <f>"01932787027"</f>
        <v>01932787027</v>
      </c>
      <c r="AA1994" t="str">
        <f>""</f>
        <v/>
      </c>
      <c r="AB1994" t="s">
        <v>2343</v>
      </c>
      <c r="AC1994" t="s">
        <v>3325</v>
      </c>
      <c r="AD1994" t="s">
        <v>114</v>
      </c>
      <c r="AE1994" s="63">
        <v>45346</v>
      </c>
      <c r="AF1994" t="s">
        <v>113</v>
      </c>
      <c r="AG1994" t="s">
        <v>112</v>
      </c>
      <c r="AH1994" t="s">
        <v>112</v>
      </c>
      <c r="AI1994" s="63">
        <v>43479</v>
      </c>
      <c r="AJ1994" s="63">
        <v>45657</v>
      </c>
      <c r="AK1994" t="s">
        <v>111</v>
      </c>
      <c r="AL1994" t="s">
        <v>111</v>
      </c>
      <c r="AM1994" t="s">
        <v>111</v>
      </c>
      <c r="AN1994">
        <v>13778</v>
      </c>
      <c r="AO1994" t="s">
        <v>110</v>
      </c>
      <c r="AP1994" t="s">
        <v>109</v>
      </c>
    </row>
    <row r="1995" spans="1:42" x14ac:dyDescent="0.25">
      <c r="A1995" s="28" t="str">
        <f>"14991"</f>
        <v>14991</v>
      </c>
      <c r="B1995">
        <v>14991</v>
      </c>
      <c r="C1995" t="s">
        <v>2488</v>
      </c>
      <c r="D1995" t="s">
        <v>121</v>
      </c>
      <c r="E1995" t="s">
        <v>584</v>
      </c>
      <c r="F1995" t="s">
        <v>144</v>
      </c>
      <c r="G1995" t="s">
        <v>1096</v>
      </c>
      <c r="I1995" t="s">
        <v>1164</v>
      </c>
      <c r="J1995" t="s">
        <v>126</v>
      </c>
      <c r="K1995" s="63">
        <v>25976</v>
      </c>
      <c r="L1995" s="28">
        <f>DATEDIF(K1995,Zwift25!G$1,"Y")</f>
        <v>53</v>
      </c>
      <c r="M1995" s="67">
        <f>IF(J1995="m",VLOOKUP(L1995,'All Solo Adjustments'!A:D,4,FALSE),VLOOKUP(L1995,'All Solo Adjustments'!A:J,10,FALSE))</f>
        <v>5.3356481481481475E-3</v>
      </c>
      <c r="N1995" s="63"/>
      <c r="O1995" s="63"/>
      <c r="P1995" s="63"/>
      <c r="Q1995" s="63"/>
      <c r="R1995" t="s">
        <v>239</v>
      </c>
      <c r="S1995" t="s">
        <v>274</v>
      </c>
      <c r="T1995" t="s">
        <v>292</v>
      </c>
      <c r="U1995">
        <v>4</v>
      </c>
      <c r="V1995" t="s">
        <v>3324</v>
      </c>
      <c r="W1995" t="s">
        <v>3323</v>
      </c>
      <c r="X1995" t="s">
        <v>3322</v>
      </c>
      <c r="Y1995" t="s">
        <v>3321</v>
      </c>
      <c r="Z1995" t="str">
        <f>"07733171645"</f>
        <v>07733171645</v>
      </c>
      <c r="AA1995" t="str">
        <f>""</f>
        <v/>
      </c>
      <c r="AB1995" t="s">
        <v>3320</v>
      </c>
      <c r="AC1995" t="s">
        <v>3319</v>
      </c>
      <c r="AD1995" t="s">
        <v>114</v>
      </c>
      <c r="AE1995" s="63">
        <v>45298</v>
      </c>
      <c r="AF1995" t="s">
        <v>156</v>
      </c>
      <c r="AG1995" t="s">
        <v>112</v>
      </c>
      <c r="AH1995" t="s">
        <v>112</v>
      </c>
      <c r="AI1995" s="63">
        <v>44297</v>
      </c>
      <c r="AJ1995" s="63">
        <v>45657</v>
      </c>
      <c r="AK1995" t="s">
        <v>112</v>
      </c>
      <c r="AL1995" t="s">
        <v>111</v>
      </c>
      <c r="AM1995" t="s">
        <v>111</v>
      </c>
      <c r="AN1995">
        <v>36516</v>
      </c>
      <c r="AO1995" t="s">
        <v>122</v>
      </c>
      <c r="AP1995" t="s">
        <v>122</v>
      </c>
    </row>
    <row r="1996" spans="1:42" x14ac:dyDescent="0.25">
      <c r="A1996" s="28" t="str">
        <f>"15867"</f>
        <v>15867</v>
      </c>
      <c r="B1996">
        <v>15867</v>
      </c>
      <c r="C1996" t="s">
        <v>2488</v>
      </c>
      <c r="D1996" t="s">
        <v>121</v>
      </c>
      <c r="F1996" t="s">
        <v>120</v>
      </c>
      <c r="G1996" t="s">
        <v>285</v>
      </c>
      <c r="I1996" t="s">
        <v>1164</v>
      </c>
      <c r="J1996" t="s">
        <v>7</v>
      </c>
      <c r="K1996" s="63">
        <v>21706</v>
      </c>
      <c r="L1996" s="28">
        <f>DATEDIF(K1996,Zwift25!G$1,"Y")</f>
        <v>65</v>
      </c>
      <c r="M1996" s="67">
        <f>IF(J1996="m",VLOOKUP(L1996,'All Solo Adjustments'!A:D,4,FALSE),VLOOKUP(L1996,'All Solo Adjustments'!A:J,10,FALSE))</f>
        <v>4.6180555555555558E-3</v>
      </c>
      <c r="N1996" s="63"/>
      <c r="O1996" s="63"/>
      <c r="P1996" s="63"/>
      <c r="Q1996" s="63"/>
      <c r="R1996" t="s">
        <v>296</v>
      </c>
      <c r="S1996" t="s">
        <v>295</v>
      </c>
      <c r="T1996" t="s">
        <v>292</v>
      </c>
      <c r="U1996" t="s">
        <v>3318</v>
      </c>
      <c r="V1996" t="s">
        <v>1452</v>
      </c>
      <c r="Y1996" t="s">
        <v>3317</v>
      </c>
      <c r="Z1996" t="str">
        <f>"07879432457"</f>
        <v>07879432457</v>
      </c>
      <c r="AA1996" t="str">
        <f>""</f>
        <v/>
      </c>
      <c r="AB1996" t="s">
        <v>3316</v>
      </c>
      <c r="AC1996" t="s">
        <v>3315</v>
      </c>
      <c r="AD1996" t="s">
        <v>145</v>
      </c>
      <c r="AE1996" s="63">
        <v>45447</v>
      </c>
      <c r="AF1996" t="s">
        <v>156</v>
      </c>
      <c r="AG1996" t="s">
        <v>112</v>
      </c>
      <c r="AH1996" t="s">
        <v>112</v>
      </c>
      <c r="AI1996" s="63">
        <v>45446</v>
      </c>
      <c r="AJ1996" s="63">
        <v>45657</v>
      </c>
      <c r="AK1996" t="s">
        <v>112</v>
      </c>
      <c r="AL1996" t="s">
        <v>111</v>
      </c>
      <c r="AM1996" t="s">
        <v>111</v>
      </c>
      <c r="AN1996">
        <v>6892</v>
      </c>
      <c r="AO1996" t="s">
        <v>110</v>
      </c>
      <c r="AP1996" t="s">
        <v>109</v>
      </c>
    </row>
    <row r="1997" spans="1:42" x14ac:dyDescent="0.25">
      <c r="A1997" s="28" t="str">
        <f>"2510"</f>
        <v>2510</v>
      </c>
      <c r="B1997">
        <v>2510</v>
      </c>
      <c r="C1997" t="s">
        <v>2488</v>
      </c>
      <c r="D1997" t="s">
        <v>121</v>
      </c>
      <c r="F1997" t="s">
        <v>120</v>
      </c>
      <c r="G1997" t="s">
        <v>614</v>
      </c>
      <c r="I1997" t="s">
        <v>270</v>
      </c>
      <c r="J1997" t="s">
        <v>7</v>
      </c>
      <c r="K1997" s="63">
        <v>10948</v>
      </c>
      <c r="L1997" s="28">
        <f>DATEDIF(K1997,Zwift25!G$1,"Y")</f>
        <v>94</v>
      </c>
      <c r="M1997" s="67">
        <f>IF(J1997="m",VLOOKUP(L1997,'All Solo Adjustments'!A:D,4,FALSE),VLOOKUP(L1997,'All Solo Adjustments'!A:J,10,FALSE))</f>
        <v>2.2685185185185187E-2</v>
      </c>
      <c r="N1997" s="63"/>
      <c r="O1997" s="63"/>
      <c r="P1997" s="63"/>
      <c r="Q1997" s="63"/>
      <c r="R1997" t="s">
        <v>137</v>
      </c>
      <c r="S1997" t="s">
        <v>2312</v>
      </c>
      <c r="T1997" t="s">
        <v>292</v>
      </c>
      <c r="U1997" t="s">
        <v>3314</v>
      </c>
      <c r="V1997" t="s">
        <v>1548</v>
      </c>
      <c r="W1997" t="s">
        <v>208</v>
      </c>
      <c r="Y1997" t="s">
        <v>3313</v>
      </c>
      <c r="Z1997" t="str">
        <f>"02392 619390"</f>
        <v>02392 619390</v>
      </c>
      <c r="AA1997" t="str">
        <f>""</f>
        <v/>
      </c>
      <c r="AB1997" t="s">
        <v>2278</v>
      </c>
      <c r="AD1997" t="s">
        <v>151</v>
      </c>
      <c r="AF1997" t="s">
        <v>113</v>
      </c>
      <c r="AG1997" t="s">
        <v>112</v>
      </c>
      <c r="AH1997" t="s">
        <v>112</v>
      </c>
      <c r="AI1997" s="63">
        <v>28626</v>
      </c>
      <c r="AK1997" t="s">
        <v>111</v>
      </c>
      <c r="AL1997" t="s">
        <v>111</v>
      </c>
      <c r="AM1997" t="s">
        <v>111</v>
      </c>
      <c r="AN1997" t="s">
        <v>105</v>
      </c>
      <c r="AO1997" t="s">
        <v>110</v>
      </c>
      <c r="AP1997" t="s">
        <v>109</v>
      </c>
    </row>
    <row r="1998" spans="1:42" x14ac:dyDescent="0.25">
      <c r="A1998" s="28" t="str">
        <f>"2511"</f>
        <v>2511</v>
      </c>
      <c r="B1998">
        <v>2511</v>
      </c>
      <c r="C1998" t="s">
        <v>2488</v>
      </c>
      <c r="D1998" t="s">
        <v>121</v>
      </c>
      <c r="F1998" t="s">
        <v>120</v>
      </c>
      <c r="G1998" t="s">
        <v>1189</v>
      </c>
      <c r="I1998" t="s">
        <v>270</v>
      </c>
      <c r="J1998" t="s">
        <v>7</v>
      </c>
      <c r="K1998" s="63">
        <v>23581</v>
      </c>
      <c r="L1998" s="28">
        <f>DATEDIF(K1998,Zwift25!G$1,"Y")</f>
        <v>60</v>
      </c>
      <c r="M1998" s="67">
        <f>IF(J1998="m",VLOOKUP(L1998,'All Solo Adjustments'!A:D,4,FALSE),VLOOKUP(L1998,'All Solo Adjustments'!A:J,10,FALSE))</f>
        <v>3.2060185185185186E-3</v>
      </c>
      <c r="N1998" s="63"/>
      <c r="O1998" s="63"/>
      <c r="P1998" s="63"/>
      <c r="Q1998" s="63"/>
      <c r="R1998" t="s">
        <v>184</v>
      </c>
      <c r="S1998" t="s">
        <v>183</v>
      </c>
      <c r="T1998" t="s">
        <v>292</v>
      </c>
      <c r="U1998" t="s">
        <v>3312</v>
      </c>
      <c r="V1998" t="s">
        <v>1708</v>
      </c>
      <c r="Y1998" t="s">
        <v>3311</v>
      </c>
      <c r="Z1998" t="str">
        <f>"07792 141598"</f>
        <v>07792 141598</v>
      </c>
      <c r="AA1998" t="str">
        <f>"07792 141598"</f>
        <v>07792 141598</v>
      </c>
      <c r="AB1998" t="s">
        <v>3310</v>
      </c>
      <c r="AC1998" t="s">
        <v>3309</v>
      </c>
      <c r="AD1998" t="s">
        <v>114</v>
      </c>
      <c r="AE1998" s="63">
        <v>45290</v>
      </c>
      <c r="AF1998" t="s">
        <v>156</v>
      </c>
      <c r="AG1998" t="s">
        <v>112</v>
      </c>
      <c r="AH1998" t="s">
        <v>112</v>
      </c>
      <c r="AI1998" s="63">
        <v>43497</v>
      </c>
      <c r="AJ1998" s="63">
        <v>45657</v>
      </c>
      <c r="AK1998" t="s">
        <v>111</v>
      </c>
      <c r="AL1998" t="s">
        <v>111</v>
      </c>
      <c r="AM1998" t="s">
        <v>111</v>
      </c>
      <c r="AN1998">
        <v>7123</v>
      </c>
      <c r="AO1998" t="s">
        <v>110</v>
      </c>
      <c r="AP1998" t="s">
        <v>109</v>
      </c>
    </row>
    <row r="1999" spans="1:42" x14ac:dyDescent="0.25">
      <c r="A1999" s="28" t="str">
        <f>"6522"</f>
        <v>6522</v>
      </c>
      <c r="B1999">
        <v>6522</v>
      </c>
      <c r="C1999" t="s">
        <v>2488</v>
      </c>
      <c r="D1999" t="s">
        <v>121</v>
      </c>
      <c r="F1999" t="s">
        <v>149</v>
      </c>
      <c r="G1999" t="s">
        <v>1842</v>
      </c>
      <c r="I1999" t="s">
        <v>2318</v>
      </c>
      <c r="J1999" t="s">
        <v>126</v>
      </c>
      <c r="K1999" s="63">
        <v>1</v>
      </c>
      <c r="L1999" s="28">
        <f>DATEDIF(K1999,Zwift25!G$1,"Y")</f>
        <v>124</v>
      </c>
      <c r="M1999" s="67" t="e">
        <f>IF(J1999="m",VLOOKUP(L1999,'All Solo Adjustments'!A:D,4,FALSE),VLOOKUP(L1999,'All Solo Adjustments'!A:J,10,FALSE))</f>
        <v>#N/A</v>
      </c>
      <c r="N1999" s="63"/>
      <c r="O1999" s="63"/>
      <c r="P1999" s="63"/>
      <c r="Q1999" s="63"/>
      <c r="R1999" t="s">
        <v>159</v>
      </c>
      <c r="S1999" t="s">
        <v>980</v>
      </c>
      <c r="T1999" t="s">
        <v>292</v>
      </c>
      <c r="U1999" t="s">
        <v>3308</v>
      </c>
      <c r="V1999" t="s">
        <v>931</v>
      </c>
      <c r="W1999" t="s">
        <v>159</v>
      </c>
      <c r="Y1999" t="s">
        <v>2316</v>
      </c>
      <c r="Z1999" t="str">
        <f>"01622 859872"</f>
        <v>01622 859872</v>
      </c>
      <c r="AA1999" t="str">
        <f>""</f>
        <v/>
      </c>
      <c r="AB1999" t="s">
        <v>256</v>
      </c>
      <c r="AD1999" t="s">
        <v>145</v>
      </c>
      <c r="AF1999" t="s">
        <v>113</v>
      </c>
      <c r="AG1999" t="s">
        <v>111</v>
      </c>
      <c r="AH1999" t="s">
        <v>111</v>
      </c>
      <c r="AI1999" s="63">
        <v>43515</v>
      </c>
      <c r="AJ1999" s="63">
        <v>45657</v>
      </c>
      <c r="AK1999" t="s">
        <v>111</v>
      </c>
      <c r="AL1999" t="s">
        <v>111</v>
      </c>
      <c r="AM1999" t="s">
        <v>111</v>
      </c>
      <c r="AN1999" t="s">
        <v>105</v>
      </c>
      <c r="AO1999" t="s">
        <v>122</v>
      </c>
      <c r="AP1999" t="s">
        <v>122</v>
      </c>
    </row>
    <row r="2000" spans="1:42" x14ac:dyDescent="0.25">
      <c r="A2000" s="28" t="str">
        <f>"15119"</f>
        <v>15119</v>
      </c>
      <c r="B2000">
        <v>15119</v>
      </c>
      <c r="C2000" t="s">
        <v>2488</v>
      </c>
      <c r="D2000" t="s">
        <v>121</v>
      </c>
      <c r="F2000" t="s">
        <v>120</v>
      </c>
      <c r="G2000" t="s">
        <v>3307</v>
      </c>
      <c r="H2000" t="s">
        <v>392</v>
      </c>
      <c r="I2000" t="s">
        <v>2318</v>
      </c>
      <c r="J2000" t="s">
        <v>7</v>
      </c>
      <c r="K2000" s="63">
        <v>25728</v>
      </c>
      <c r="L2000" s="28">
        <f>DATEDIF(K2000,Zwift25!G$1,"Y")</f>
        <v>54</v>
      </c>
      <c r="M2000" s="67">
        <f>IF(J2000="m",VLOOKUP(L2000,'All Solo Adjustments'!A:D,4,FALSE),VLOOKUP(L2000,'All Solo Adjustments'!A:J,10,FALSE))</f>
        <v>1.8518518518518517E-3</v>
      </c>
      <c r="N2000" s="63"/>
      <c r="O2000" s="63"/>
      <c r="P2000" s="63"/>
      <c r="Q2000" s="63"/>
      <c r="R2000" t="s">
        <v>125</v>
      </c>
      <c r="S2000" t="s">
        <v>170</v>
      </c>
      <c r="T2000" t="s">
        <v>292</v>
      </c>
      <c r="U2000" t="s">
        <v>3306</v>
      </c>
      <c r="V2000" t="s">
        <v>1544</v>
      </c>
      <c r="X2000" t="s">
        <v>1111</v>
      </c>
      <c r="Y2000" t="s">
        <v>3305</v>
      </c>
      <c r="Z2000" t="str">
        <f>"07949134337"</f>
        <v>07949134337</v>
      </c>
      <c r="AA2000" t="str">
        <f>"07949134337"</f>
        <v>07949134337</v>
      </c>
      <c r="AB2000" t="s">
        <v>3304</v>
      </c>
      <c r="AC2000" t="s">
        <v>3303</v>
      </c>
      <c r="AD2000" t="s">
        <v>114</v>
      </c>
      <c r="AE2000" s="63">
        <v>45296</v>
      </c>
      <c r="AF2000" t="s">
        <v>156</v>
      </c>
      <c r="AG2000" t="s">
        <v>112</v>
      </c>
      <c r="AH2000" t="s">
        <v>112</v>
      </c>
      <c r="AI2000" s="63">
        <v>44364</v>
      </c>
      <c r="AJ2000" s="63">
        <v>45657</v>
      </c>
      <c r="AK2000" t="s">
        <v>112</v>
      </c>
      <c r="AL2000" t="s">
        <v>111</v>
      </c>
      <c r="AM2000" t="s">
        <v>111</v>
      </c>
      <c r="AN2000">
        <v>15501</v>
      </c>
      <c r="AO2000" t="s">
        <v>110</v>
      </c>
      <c r="AP2000" t="s">
        <v>109</v>
      </c>
    </row>
    <row r="2001" spans="1:42" x14ac:dyDescent="0.25">
      <c r="A2001" s="28" t="str">
        <f>"2516"</f>
        <v>2516</v>
      </c>
      <c r="B2001">
        <v>2516</v>
      </c>
      <c r="C2001" t="s">
        <v>2488</v>
      </c>
      <c r="D2001" t="s">
        <v>121</v>
      </c>
      <c r="F2001" t="s">
        <v>149</v>
      </c>
      <c r="G2001" t="s">
        <v>660</v>
      </c>
      <c r="H2001" t="s">
        <v>1051</v>
      </c>
      <c r="I2001" t="s">
        <v>267</v>
      </c>
      <c r="J2001" t="s">
        <v>126</v>
      </c>
      <c r="L2001" s="28">
        <f>DATEDIF(K2001,Zwift25!G$1,"Y")</f>
        <v>124</v>
      </c>
      <c r="M2001" s="67" t="e">
        <f>IF(J2001="m",VLOOKUP(L2001,'All Solo Adjustments'!A:D,4,FALSE),VLOOKUP(L2001,'All Solo Adjustments'!A:J,10,FALSE))</f>
        <v>#N/A</v>
      </c>
      <c r="R2001" t="s">
        <v>143</v>
      </c>
      <c r="S2001" t="s">
        <v>487</v>
      </c>
      <c r="T2001" t="s">
        <v>292</v>
      </c>
      <c r="U2001" t="s">
        <v>3302</v>
      </c>
      <c r="V2001" t="s">
        <v>3301</v>
      </c>
      <c r="W2001" t="s">
        <v>141</v>
      </c>
      <c r="Y2001" t="s">
        <v>3300</v>
      </c>
      <c r="Z2001" t="str">
        <f>"02086 484179"</f>
        <v>02086 484179</v>
      </c>
      <c r="AA2001" t="str">
        <f>""</f>
        <v/>
      </c>
      <c r="AB2001" t="s">
        <v>722</v>
      </c>
      <c r="AD2001" t="s">
        <v>151</v>
      </c>
      <c r="AF2001" t="s">
        <v>113</v>
      </c>
      <c r="AG2001" t="s">
        <v>112</v>
      </c>
      <c r="AH2001" t="s">
        <v>112</v>
      </c>
      <c r="AI2001" s="63">
        <v>32509</v>
      </c>
      <c r="AK2001" t="s">
        <v>111</v>
      </c>
      <c r="AL2001" t="s">
        <v>111</v>
      </c>
      <c r="AM2001" t="s">
        <v>111</v>
      </c>
      <c r="AN2001" t="s">
        <v>105</v>
      </c>
      <c r="AO2001" t="s">
        <v>122</v>
      </c>
      <c r="AP2001" t="s">
        <v>122</v>
      </c>
    </row>
    <row r="2002" spans="1:42" x14ac:dyDescent="0.25">
      <c r="A2002" s="28" t="str">
        <f>"4940"</f>
        <v>4940</v>
      </c>
      <c r="B2002">
        <v>4940</v>
      </c>
      <c r="C2002" t="s">
        <v>2488</v>
      </c>
      <c r="D2002" t="s">
        <v>121</v>
      </c>
      <c r="F2002" t="s">
        <v>120</v>
      </c>
      <c r="G2002" t="s">
        <v>385</v>
      </c>
      <c r="I2002" t="s">
        <v>3299</v>
      </c>
      <c r="J2002" t="s">
        <v>7</v>
      </c>
      <c r="K2002" s="63">
        <v>20247</v>
      </c>
      <c r="L2002" s="28">
        <f>DATEDIF(K2002,Zwift25!G$1,"Y")</f>
        <v>69</v>
      </c>
      <c r="M2002" s="67">
        <f>IF(J2002="m",VLOOKUP(L2002,'All Solo Adjustments'!A:D,4,FALSE),VLOOKUP(L2002,'All Solo Adjustments'!A:J,10,FALSE))</f>
        <v>5.9722222222222225E-3</v>
      </c>
      <c r="N2002" s="63"/>
      <c r="O2002" s="63"/>
      <c r="P2002" s="63"/>
      <c r="Q2002" s="63"/>
      <c r="R2002" t="s">
        <v>125</v>
      </c>
      <c r="S2002" t="s">
        <v>170</v>
      </c>
      <c r="T2002" t="s">
        <v>292</v>
      </c>
      <c r="U2002" t="s">
        <v>3298</v>
      </c>
      <c r="V2002" t="s">
        <v>512</v>
      </c>
      <c r="Y2002" t="s">
        <v>3297</v>
      </c>
      <c r="Z2002" t="str">
        <f>"07788 584773"</f>
        <v>07788 584773</v>
      </c>
      <c r="AA2002" t="str">
        <f>""</f>
        <v/>
      </c>
      <c r="AB2002" t="s">
        <v>228</v>
      </c>
      <c r="AC2002" t="s">
        <v>3296</v>
      </c>
      <c r="AD2002" t="s">
        <v>114</v>
      </c>
      <c r="AE2002" s="63">
        <v>45401</v>
      </c>
      <c r="AF2002" t="s">
        <v>156</v>
      </c>
      <c r="AG2002" t="s">
        <v>112</v>
      </c>
      <c r="AH2002" t="s">
        <v>112</v>
      </c>
      <c r="AI2002" s="63">
        <v>41699</v>
      </c>
      <c r="AJ2002" s="63">
        <v>45657</v>
      </c>
      <c r="AK2002" t="s">
        <v>111</v>
      </c>
      <c r="AL2002" t="s">
        <v>111</v>
      </c>
      <c r="AM2002" t="s">
        <v>111</v>
      </c>
      <c r="AN2002" t="s">
        <v>105</v>
      </c>
      <c r="AO2002" t="s">
        <v>110</v>
      </c>
      <c r="AP2002" t="s">
        <v>109</v>
      </c>
    </row>
    <row r="2003" spans="1:42" x14ac:dyDescent="0.25">
      <c r="A2003" s="28" t="str">
        <f>"15114"</f>
        <v>15114</v>
      </c>
      <c r="B2003">
        <v>15114</v>
      </c>
      <c r="C2003" t="s">
        <v>2488</v>
      </c>
      <c r="D2003" t="s">
        <v>121</v>
      </c>
      <c r="E2003" t="s">
        <v>584</v>
      </c>
      <c r="F2003" t="s">
        <v>120</v>
      </c>
      <c r="G2003" t="s">
        <v>952</v>
      </c>
      <c r="I2003" t="s">
        <v>267</v>
      </c>
      <c r="J2003" t="s">
        <v>7</v>
      </c>
      <c r="K2003" s="63">
        <v>28812</v>
      </c>
      <c r="L2003" s="28">
        <f>DATEDIF(K2003,Zwift25!G$1,"Y")</f>
        <v>45</v>
      </c>
      <c r="M2003" s="67">
        <f>IF(J2003="m",VLOOKUP(L2003,'All Solo Adjustments'!A:D,4,FALSE),VLOOKUP(L2003,'All Solo Adjustments'!A:J,10,FALSE))</f>
        <v>4.5138888888888892E-4</v>
      </c>
      <c r="N2003" s="63"/>
      <c r="O2003" s="63"/>
      <c r="P2003" s="63"/>
      <c r="Q2003" s="63"/>
      <c r="R2003" t="s">
        <v>180</v>
      </c>
      <c r="S2003" t="s">
        <v>179</v>
      </c>
      <c r="T2003" t="s">
        <v>292</v>
      </c>
      <c r="U2003" t="s">
        <v>3295</v>
      </c>
      <c r="W2003" t="s">
        <v>3146</v>
      </c>
      <c r="X2003" t="s">
        <v>368</v>
      </c>
      <c r="Y2003" t="s">
        <v>3294</v>
      </c>
      <c r="Z2003" t="str">
        <f>"07769677363"</f>
        <v>07769677363</v>
      </c>
      <c r="AA2003" t="str">
        <f>""</f>
        <v/>
      </c>
      <c r="AB2003" t="s">
        <v>3293</v>
      </c>
      <c r="AC2003" t="s">
        <v>3292</v>
      </c>
      <c r="AD2003" t="s">
        <v>114</v>
      </c>
      <c r="AE2003" s="63">
        <v>45346</v>
      </c>
      <c r="AF2003" t="s">
        <v>113</v>
      </c>
      <c r="AG2003" t="s">
        <v>112</v>
      </c>
      <c r="AH2003" t="s">
        <v>112</v>
      </c>
      <c r="AI2003" s="63">
        <v>44360</v>
      </c>
      <c r="AJ2003" s="63">
        <v>45657</v>
      </c>
      <c r="AK2003" t="s">
        <v>112</v>
      </c>
      <c r="AL2003" t="s">
        <v>111</v>
      </c>
      <c r="AM2003" t="s">
        <v>111</v>
      </c>
      <c r="AN2003">
        <v>38592</v>
      </c>
      <c r="AO2003" t="s">
        <v>110</v>
      </c>
      <c r="AP2003" t="s">
        <v>109</v>
      </c>
    </row>
    <row r="2004" spans="1:42" x14ac:dyDescent="0.25">
      <c r="A2004" s="28" t="str">
        <f>"16053"</f>
        <v>16053</v>
      </c>
      <c r="B2004">
        <v>16053</v>
      </c>
      <c r="C2004" t="s">
        <v>2488</v>
      </c>
      <c r="D2004" t="s">
        <v>121</v>
      </c>
      <c r="F2004" t="s">
        <v>120</v>
      </c>
      <c r="G2004" t="s">
        <v>1409</v>
      </c>
      <c r="I2004" t="s">
        <v>3291</v>
      </c>
      <c r="J2004" t="s">
        <v>7</v>
      </c>
      <c r="K2004" s="63">
        <v>27760</v>
      </c>
      <c r="L2004" s="28">
        <f>DATEDIF(K2004,Zwift25!G$1,"Y")</f>
        <v>48</v>
      </c>
      <c r="M2004" s="67">
        <f>IF(J2004="m",VLOOKUP(L2004,'All Solo Adjustments'!A:D,4,FALSE),VLOOKUP(L2004,'All Solo Adjustments'!A:J,10,FALSE))</f>
        <v>8.3333333333333339E-4</v>
      </c>
      <c r="N2004" s="63"/>
      <c r="O2004" s="63"/>
      <c r="P2004" s="63"/>
      <c r="Q2004" s="63"/>
      <c r="R2004" t="s">
        <v>154</v>
      </c>
      <c r="S2004" t="s">
        <v>153</v>
      </c>
      <c r="T2004" t="s">
        <v>292</v>
      </c>
      <c r="U2004" t="s">
        <v>3290</v>
      </c>
      <c r="V2004" t="s">
        <v>633</v>
      </c>
      <c r="Y2004" t="s">
        <v>3289</v>
      </c>
      <c r="Z2004" t="str">
        <f>"07719996475"</f>
        <v>07719996475</v>
      </c>
      <c r="AA2004" t="str">
        <f>""</f>
        <v/>
      </c>
      <c r="AB2004" t="s">
        <v>3288</v>
      </c>
      <c r="AC2004" t="s">
        <v>3287</v>
      </c>
      <c r="AD2004" t="s">
        <v>114</v>
      </c>
      <c r="AE2004" s="63">
        <v>45356</v>
      </c>
      <c r="AF2004" t="s">
        <v>156</v>
      </c>
      <c r="AG2004" t="s">
        <v>112</v>
      </c>
      <c r="AH2004" t="s">
        <v>112</v>
      </c>
      <c r="AI2004" s="63">
        <v>45356</v>
      </c>
      <c r="AJ2004" s="63">
        <v>45657</v>
      </c>
      <c r="AK2004" t="s">
        <v>112</v>
      </c>
      <c r="AL2004" t="s">
        <v>111</v>
      </c>
      <c r="AM2004" t="s">
        <v>111</v>
      </c>
      <c r="AN2004">
        <v>3185</v>
      </c>
      <c r="AO2004" t="s">
        <v>110</v>
      </c>
      <c r="AP2004" t="s">
        <v>109</v>
      </c>
    </row>
    <row r="2005" spans="1:42" x14ac:dyDescent="0.25">
      <c r="A2005" s="28" t="str">
        <f>"5677"</f>
        <v>5677</v>
      </c>
      <c r="B2005">
        <v>5677</v>
      </c>
      <c r="C2005" t="s">
        <v>2488</v>
      </c>
      <c r="D2005" t="s">
        <v>121</v>
      </c>
      <c r="F2005" t="s">
        <v>149</v>
      </c>
      <c r="G2005" t="s">
        <v>424</v>
      </c>
      <c r="H2005" t="s">
        <v>3286</v>
      </c>
      <c r="I2005" t="s">
        <v>1690</v>
      </c>
      <c r="J2005" t="s">
        <v>126</v>
      </c>
      <c r="K2005" s="63">
        <v>22208</v>
      </c>
      <c r="L2005" s="28">
        <f>DATEDIF(K2005,Zwift25!G$1,"Y")</f>
        <v>63</v>
      </c>
      <c r="M2005" s="67">
        <f>IF(J2005="m",VLOOKUP(L2005,'All Solo Adjustments'!A:D,4,FALSE),VLOOKUP(L2005,'All Solo Adjustments'!A:J,10,FALSE))</f>
        <v>8.0092592592592594E-3</v>
      </c>
      <c r="N2005" s="63"/>
      <c r="O2005" s="63"/>
      <c r="P2005" s="63"/>
      <c r="Q2005" s="63"/>
      <c r="R2005" t="s">
        <v>137</v>
      </c>
      <c r="S2005" t="s">
        <v>136</v>
      </c>
      <c r="T2005" t="s">
        <v>292</v>
      </c>
      <c r="U2005" t="s">
        <v>3285</v>
      </c>
      <c r="V2005" t="s">
        <v>3284</v>
      </c>
      <c r="W2005" t="s">
        <v>3283</v>
      </c>
      <c r="X2005" t="s">
        <v>208</v>
      </c>
      <c r="Y2005" t="s">
        <v>3282</v>
      </c>
      <c r="Z2005" t="str">
        <f>"01725 518000"</f>
        <v>01725 518000</v>
      </c>
      <c r="AA2005" t="str">
        <f>""</f>
        <v/>
      </c>
      <c r="AB2005" t="s">
        <v>479</v>
      </c>
      <c r="AC2005" t="s">
        <v>3281</v>
      </c>
      <c r="AD2005" t="s">
        <v>114</v>
      </c>
      <c r="AE2005" s="63">
        <v>45338</v>
      </c>
      <c r="AF2005" t="s">
        <v>113</v>
      </c>
      <c r="AG2005" t="s">
        <v>112</v>
      </c>
      <c r="AH2005" t="s">
        <v>112</v>
      </c>
      <c r="AI2005" s="63">
        <v>42375</v>
      </c>
      <c r="AJ2005" s="63">
        <v>45657</v>
      </c>
      <c r="AK2005" t="s">
        <v>111</v>
      </c>
      <c r="AL2005" t="s">
        <v>111</v>
      </c>
      <c r="AM2005" t="s">
        <v>111</v>
      </c>
      <c r="AN2005">
        <v>4039</v>
      </c>
      <c r="AO2005" t="s">
        <v>122</v>
      </c>
      <c r="AP2005" t="s">
        <v>122</v>
      </c>
    </row>
    <row r="2006" spans="1:42" x14ac:dyDescent="0.25">
      <c r="A2006" s="28" t="str">
        <f>"3487"</f>
        <v>3487</v>
      </c>
      <c r="B2006">
        <v>3487</v>
      </c>
      <c r="C2006" t="s">
        <v>2488</v>
      </c>
      <c r="D2006" t="s">
        <v>121</v>
      </c>
      <c r="F2006" t="s">
        <v>120</v>
      </c>
      <c r="G2006" t="s">
        <v>481</v>
      </c>
      <c r="H2006" t="s">
        <v>284</v>
      </c>
      <c r="I2006" t="s">
        <v>2315</v>
      </c>
      <c r="J2006" t="s">
        <v>7</v>
      </c>
      <c r="K2006" s="63">
        <v>19965</v>
      </c>
      <c r="L2006" s="28">
        <f>DATEDIF(K2006,Zwift25!G$1,"Y")</f>
        <v>70</v>
      </c>
      <c r="M2006" s="67">
        <f>IF(J2006="m",VLOOKUP(L2006,'All Solo Adjustments'!A:D,4,FALSE),VLOOKUP(L2006,'All Solo Adjustments'!A:J,10,FALSE))</f>
        <v>6.3425925925925924E-3</v>
      </c>
      <c r="N2006" s="63"/>
      <c r="O2006" s="63"/>
      <c r="P2006" s="63"/>
      <c r="Q2006" s="63"/>
      <c r="R2006" t="s">
        <v>125</v>
      </c>
      <c r="S2006" t="s">
        <v>170</v>
      </c>
      <c r="T2006" t="s">
        <v>292</v>
      </c>
      <c r="U2006" t="s">
        <v>3280</v>
      </c>
      <c r="V2006" t="s">
        <v>3279</v>
      </c>
      <c r="W2006" t="s">
        <v>1400</v>
      </c>
      <c r="X2006" t="s">
        <v>146</v>
      </c>
      <c r="Y2006" t="s">
        <v>3278</v>
      </c>
      <c r="Z2006" t="str">
        <f>"01992558700"</f>
        <v>01992558700</v>
      </c>
      <c r="AA2006" t="str">
        <f>"07962040837"</f>
        <v>07962040837</v>
      </c>
      <c r="AB2006" t="s">
        <v>2463</v>
      </c>
      <c r="AC2006" t="s">
        <v>3277</v>
      </c>
      <c r="AD2006" t="s">
        <v>114</v>
      </c>
      <c r="AE2006" s="63">
        <v>45270</v>
      </c>
      <c r="AF2006" t="s">
        <v>113</v>
      </c>
      <c r="AG2006" t="s">
        <v>112</v>
      </c>
      <c r="AH2006" t="s">
        <v>112</v>
      </c>
      <c r="AI2006" s="63">
        <v>39779</v>
      </c>
      <c r="AJ2006" s="63">
        <v>45657</v>
      </c>
      <c r="AK2006" t="s">
        <v>111</v>
      </c>
      <c r="AL2006" t="s">
        <v>111</v>
      </c>
      <c r="AM2006" t="s">
        <v>111</v>
      </c>
      <c r="AN2006">
        <v>6250</v>
      </c>
      <c r="AO2006" t="s">
        <v>110</v>
      </c>
      <c r="AP2006" t="s">
        <v>109</v>
      </c>
    </row>
    <row r="2007" spans="1:42" x14ac:dyDescent="0.25">
      <c r="A2007" s="28" t="str">
        <f>"5268"</f>
        <v>5268</v>
      </c>
      <c r="B2007">
        <v>5268</v>
      </c>
      <c r="C2007" t="s">
        <v>2488</v>
      </c>
      <c r="D2007" t="s">
        <v>121</v>
      </c>
      <c r="F2007" t="s">
        <v>120</v>
      </c>
      <c r="G2007" t="s">
        <v>231</v>
      </c>
      <c r="I2007" t="s">
        <v>1151</v>
      </c>
      <c r="J2007" t="s">
        <v>7</v>
      </c>
      <c r="K2007" s="63">
        <v>24051</v>
      </c>
      <c r="L2007" s="28">
        <f>DATEDIF(K2007,Zwift25!G$1,"Y")</f>
        <v>58</v>
      </c>
      <c r="M2007" s="67">
        <f>IF(J2007="m",VLOOKUP(L2007,'All Solo Adjustments'!A:D,4,FALSE),VLOOKUP(L2007,'All Solo Adjustments'!A:J,10,FALSE))</f>
        <v>2.7199074074074074E-3</v>
      </c>
      <c r="N2007" s="63"/>
      <c r="O2007" s="63"/>
      <c r="P2007" s="63"/>
      <c r="Q2007" s="63"/>
      <c r="R2007" t="s">
        <v>180</v>
      </c>
      <c r="S2007" t="s">
        <v>179</v>
      </c>
      <c r="T2007" t="s">
        <v>292</v>
      </c>
      <c r="U2007" t="s">
        <v>3276</v>
      </c>
      <c r="V2007" t="s">
        <v>3275</v>
      </c>
      <c r="W2007" t="s">
        <v>1544</v>
      </c>
      <c r="X2007" t="s">
        <v>368</v>
      </c>
      <c r="Y2007" t="s">
        <v>3274</v>
      </c>
      <c r="Z2007" t="str">
        <f>"07702 762860"</f>
        <v>07702 762860</v>
      </c>
      <c r="AA2007" t="str">
        <f>""</f>
        <v/>
      </c>
      <c r="AB2007" t="s">
        <v>1543</v>
      </c>
      <c r="AC2007" t="s">
        <v>3273</v>
      </c>
      <c r="AD2007" t="s">
        <v>114</v>
      </c>
      <c r="AE2007" s="63">
        <v>45266</v>
      </c>
      <c r="AF2007" t="s">
        <v>156</v>
      </c>
      <c r="AG2007" t="s">
        <v>112</v>
      </c>
      <c r="AH2007" t="s">
        <v>112</v>
      </c>
      <c r="AI2007" s="63">
        <v>43158</v>
      </c>
      <c r="AJ2007" s="63">
        <v>45657</v>
      </c>
      <c r="AK2007" t="s">
        <v>112</v>
      </c>
      <c r="AL2007" t="s">
        <v>111</v>
      </c>
      <c r="AM2007" t="s">
        <v>111</v>
      </c>
      <c r="AN2007">
        <v>147</v>
      </c>
      <c r="AO2007" t="s">
        <v>110</v>
      </c>
      <c r="AP2007" t="s">
        <v>109</v>
      </c>
    </row>
    <row r="2008" spans="1:42" x14ac:dyDescent="0.25">
      <c r="A2008" s="28" t="str">
        <f>"2522"</f>
        <v>2522</v>
      </c>
      <c r="B2008">
        <v>2522</v>
      </c>
      <c r="C2008" t="s">
        <v>2488</v>
      </c>
      <c r="D2008" t="s">
        <v>121</v>
      </c>
      <c r="F2008" t="s">
        <v>120</v>
      </c>
      <c r="G2008" t="s">
        <v>761</v>
      </c>
      <c r="I2008" t="s">
        <v>1151</v>
      </c>
      <c r="J2008" t="s">
        <v>7</v>
      </c>
      <c r="K2008" s="63">
        <v>10430</v>
      </c>
      <c r="L2008" s="28">
        <f>DATEDIF(K2008,Zwift25!G$1,"Y")</f>
        <v>96</v>
      </c>
      <c r="M2008" s="67">
        <f>IF(J2008="m",VLOOKUP(L2008,'All Solo Adjustments'!A:D,4,FALSE),VLOOKUP(L2008,'All Solo Adjustments'!A:J,10,FALSE))</f>
        <v>2.5300925925925925E-2</v>
      </c>
      <c r="N2008" s="63"/>
      <c r="O2008" s="63"/>
      <c r="P2008" s="63"/>
      <c r="Q2008" s="63"/>
      <c r="R2008" t="s">
        <v>125</v>
      </c>
      <c r="S2008" t="s">
        <v>484</v>
      </c>
      <c r="T2008" t="s">
        <v>292</v>
      </c>
      <c r="U2008" t="s">
        <v>3272</v>
      </c>
      <c r="V2008" t="s">
        <v>3271</v>
      </c>
      <c r="W2008" t="s">
        <v>191</v>
      </c>
      <c r="X2008" t="s">
        <v>169</v>
      </c>
      <c r="Y2008" t="s">
        <v>3270</v>
      </c>
      <c r="Z2008" t="str">
        <f>"01284 766985"</f>
        <v>01284 766985</v>
      </c>
      <c r="AA2008" t="str">
        <f>""</f>
        <v/>
      </c>
      <c r="AB2008" t="s">
        <v>302</v>
      </c>
      <c r="AC2008" t="s">
        <v>3269</v>
      </c>
      <c r="AD2008" t="s">
        <v>151</v>
      </c>
      <c r="AF2008" t="s">
        <v>113</v>
      </c>
      <c r="AG2008" t="s">
        <v>112</v>
      </c>
      <c r="AH2008" t="s">
        <v>112</v>
      </c>
      <c r="AI2008" s="63">
        <v>27760</v>
      </c>
      <c r="AK2008" t="s">
        <v>111</v>
      </c>
      <c r="AL2008" t="s">
        <v>111</v>
      </c>
      <c r="AM2008" t="s">
        <v>111</v>
      </c>
      <c r="AN2008" t="s">
        <v>105</v>
      </c>
      <c r="AO2008" t="s">
        <v>110</v>
      </c>
      <c r="AP2008" t="s">
        <v>109</v>
      </c>
    </row>
    <row r="2009" spans="1:42" x14ac:dyDescent="0.25">
      <c r="A2009" s="28" t="str">
        <f>"2523"</f>
        <v>2523</v>
      </c>
      <c r="B2009">
        <v>2523</v>
      </c>
      <c r="C2009" t="s">
        <v>2488</v>
      </c>
      <c r="D2009" t="s">
        <v>121</v>
      </c>
      <c r="F2009" t="s">
        <v>139</v>
      </c>
      <c r="G2009" t="s">
        <v>2048</v>
      </c>
      <c r="I2009" t="s">
        <v>1151</v>
      </c>
      <c r="J2009" t="s">
        <v>126</v>
      </c>
      <c r="K2009" s="63">
        <v>12622</v>
      </c>
      <c r="L2009" s="28">
        <f>DATEDIF(K2009,Zwift25!G$1,"Y")</f>
        <v>90</v>
      </c>
      <c r="M2009" s="67">
        <f>IF(J2009="m",VLOOKUP(L2009,'All Solo Adjustments'!A:D,4,FALSE),VLOOKUP(L2009,'All Solo Adjustments'!A:J,10,FALSE))</f>
        <v>2.5138888888888888E-2</v>
      </c>
      <c r="N2009" s="63"/>
      <c r="O2009" s="63"/>
      <c r="P2009" s="63"/>
      <c r="Q2009" s="63"/>
      <c r="R2009" t="s">
        <v>213</v>
      </c>
      <c r="S2009" t="s">
        <v>2309</v>
      </c>
      <c r="T2009" t="s">
        <v>292</v>
      </c>
      <c r="U2009" t="s">
        <v>3268</v>
      </c>
      <c r="V2009" t="s">
        <v>3267</v>
      </c>
      <c r="W2009" t="s">
        <v>1114</v>
      </c>
      <c r="X2009" t="s">
        <v>1225</v>
      </c>
      <c r="Y2009" t="s">
        <v>3266</v>
      </c>
      <c r="Z2009" t="str">
        <f>"01352 391606"</f>
        <v>01352 391606</v>
      </c>
      <c r="AA2009" t="str">
        <f>""</f>
        <v/>
      </c>
      <c r="AB2009" t="s">
        <v>1052</v>
      </c>
      <c r="AC2009" t="s">
        <v>3265</v>
      </c>
      <c r="AD2009" t="s">
        <v>151</v>
      </c>
      <c r="AF2009" t="s">
        <v>156</v>
      </c>
      <c r="AG2009" t="s">
        <v>112</v>
      </c>
      <c r="AH2009" t="s">
        <v>112</v>
      </c>
      <c r="AI2009" s="63">
        <v>31413</v>
      </c>
      <c r="AK2009" t="s">
        <v>111</v>
      </c>
      <c r="AL2009" t="s">
        <v>111</v>
      </c>
      <c r="AM2009" t="s">
        <v>111</v>
      </c>
      <c r="AN2009" t="s">
        <v>105</v>
      </c>
      <c r="AO2009" t="s">
        <v>122</v>
      </c>
      <c r="AP2009" t="s">
        <v>122</v>
      </c>
    </row>
    <row r="2010" spans="1:42" x14ac:dyDescent="0.25">
      <c r="A2010" s="28" t="str">
        <f>"2524"</f>
        <v>2524</v>
      </c>
      <c r="B2010">
        <v>2524</v>
      </c>
      <c r="C2010" t="s">
        <v>2488</v>
      </c>
      <c r="D2010" t="s">
        <v>121</v>
      </c>
      <c r="F2010" t="s">
        <v>120</v>
      </c>
      <c r="G2010" t="s">
        <v>485</v>
      </c>
      <c r="I2010" t="s">
        <v>1151</v>
      </c>
      <c r="J2010" t="s">
        <v>7</v>
      </c>
      <c r="K2010" s="63">
        <v>15389</v>
      </c>
      <c r="L2010" s="28">
        <f>DATEDIF(K2010,Zwift25!G$1,"Y")</f>
        <v>82</v>
      </c>
      <c r="M2010" s="67">
        <f>IF(J2010="m",VLOOKUP(L2010,'All Solo Adjustments'!A:D,4,FALSE),VLOOKUP(L2010,'All Solo Adjustments'!A:J,10,FALSE))</f>
        <v>1.2210648148148148E-2</v>
      </c>
      <c r="N2010" s="63"/>
      <c r="O2010" s="63"/>
      <c r="P2010" s="63"/>
      <c r="Q2010" s="63"/>
      <c r="R2010" t="s">
        <v>213</v>
      </c>
      <c r="S2010" t="s">
        <v>2309</v>
      </c>
      <c r="T2010" t="s">
        <v>292</v>
      </c>
      <c r="U2010" t="s">
        <v>3264</v>
      </c>
      <c r="V2010" t="s">
        <v>2519</v>
      </c>
      <c r="W2010" t="s">
        <v>535</v>
      </c>
      <c r="X2010" t="s">
        <v>534</v>
      </c>
      <c r="Y2010" t="s">
        <v>3263</v>
      </c>
      <c r="Z2010" t="str">
        <f>"07414696619"</f>
        <v>07414696619</v>
      </c>
      <c r="AA2010" t="str">
        <f>"07414696619"</f>
        <v>07414696619</v>
      </c>
      <c r="AB2010" t="s">
        <v>533</v>
      </c>
      <c r="AC2010" t="s">
        <v>3262</v>
      </c>
      <c r="AD2010" t="s">
        <v>145</v>
      </c>
      <c r="AF2010" t="s">
        <v>113</v>
      </c>
      <c r="AG2010" t="s">
        <v>112</v>
      </c>
      <c r="AH2010" t="s">
        <v>112</v>
      </c>
      <c r="AI2010" s="63">
        <v>34778</v>
      </c>
      <c r="AK2010" t="s">
        <v>111</v>
      </c>
      <c r="AL2010" t="s">
        <v>111</v>
      </c>
      <c r="AM2010" t="s">
        <v>111</v>
      </c>
      <c r="AN2010" t="s">
        <v>105</v>
      </c>
      <c r="AO2010" t="s">
        <v>110</v>
      </c>
      <c r="AP2010" t="s">
        <v>109</v>
      </c>
    </row>
    <row r="2011" spans="1:42" x14ac:dyDescent="0.25">
      <c r="A2011" s="28" t="str">
        <f>"5714"</f>
        <v>5714</v>
      </c>
      <c r="B2011">
        <v>5714</v>
      </c>
      <c r="C2011" t="s">
        <v>2488</v>
      </c>
      <c r="D2011" t="s">
        <v>121</v>
      </c>
      <c r="F2011" t="s">
        <v>120</v>
      </c>
      <c r="G2011" t="s">
        <v>400</v>
      </c>
      <c r="H2011" t="s">
        <v>2446</v>
      </c>
      <c r="I2011" t="s">
        <v>1151</v>
      </c>
      <c r="J2011" t="s">
        <v>7</v>
      </c>
      <c r="K2011" s="63">
        <v>26696</v>
      </c>
      <c r="L2011" s="28">
        <f>DATEDIF(K2011,Zwift25!G$1,"Y")</f>
        <v>51</v>
      </c>
      <c r="M2011" s="67">
        <f>IF(J2011="m",VLOOKUP(L2011,'All Solo Adjustments'!A:D,4,FALSE),VLOOKUP(L2011,'All Solo Adjustments'!A:J,10,FALSE))</f>
        <v>1.3078703703703703E-3</v>
      </c>
      <c r="N2011" s="63"/>
      <c r="O2011" s="63"/>
      <c r="P2011" s="63"/>
      <c r="Q2011" s="63"/>
      <c r="R2011" t="s">
        <v>239</v>
      </c>
      <c r="S2011" t="s">
        <v>274</v>
      </c>
      <c r="T2011" t="s">
        <v>292</v>
      </c>
      <c r="U2011" t="s">
        <v>3261</v>
      </c>
      <c r="V2011" t="s">
        <v>1292</v>
      </c>
      <c r="Y2011" t="s">
        <v>3260</v>
      </c>
      <c r="Z2011" t="str">
        <f>"01723 363859"</f>
        <v>01723 363859</v>
      </c>
      <c r="AA2011" t="str">
        <f>""</f>
        <v/>
      </c>
      <c r="AB2011" t="s">
        <v>1291</v>
      </c>
      <c r="AC2011" t="s">
        <v>3259</v>
      </c>
      <c r="AD2011" t="s">
        <v>114</v>
      </c>
      <c r="AE2011" s="63">
        <v>45294</v>
      </c>
      <c r="AF2011" t="s">
        <v>156</v>
      </c>
      <c r="AG2011" t="s">
        <v>112</v>
      </c>
      <c r="AH2011" t="s">
        <v>112</v>
      </c>
      <c r="AI2011" s="63">
        <v>42399</v>
      </c>
      <c r="AJ2011" s="63">
        <v>45657</v>
      </c>
      <c r="AK2011" t="s">
        <v>111</v>
      </c>
      <c r="AL2011" t="s">
        <v>111</v>
      </c>
      <c r="AM2011" t="s">
        <v>111</v>
      </c>
      <c r="AN2011">
        <v>6546</v>
      </c>
      <c r="AO2011" t="s">
        <v>110</v>
      </c>
      <c r="AP2011" t="s">
        <v>109</v>
      </c>
    </row>
    <row r="2012" spans="1:42" x14ac:dyDescent="0.25">
      <c r="A2012" s="28" t="str">
        <f>"14855"</f>
        <v>14855</v>
      </c>
      <c r="B2012">
        <v>14855</v>
      </c>
      <c r="C2012" t="s">
        <v>2488</v>
      </c>
      <c r="D2012" t="s">
        <v>121</v>
      </c>
      <c r="F2012" t="s">
        <v>120</v>
      </c>
      <c r="G2012" t="s">
        <v>284</v>
      </c>
      <c r="I2012" t="s">
        <v>1151</v>
      </c>
      <c r="J2012" t="s">
        <v>7</v>
      </c>
      <c r="K2012" s="63">
        <v>16288</v>
      </c>
      <c r="L2012" s="28">
        <f>DATEDIF(K2012,Zwift25!G$1,"Y")</f>
        <v>80</v>
      </c>
      <c r="M2012" s="67">
        <f>IF(J2012="m",VLOOKUP(L2012,'All Solo Adjustments'!A:D,4,FALSE),VLOOKUP(L2012,'All Solo Adjustments'!A:J,10,FALSE))</f>
        <v>1.1018518518518518E-2</v>
      </c>
      <c r="N2012" s="63"/>
      <c r="O2012" s="63"/>
      <c r="P2012" s="63"/>
      <c r="Q2012" s="63"/>
      <c r="R2012" t="s">
        <v>328</v>
      </c>
      <c r="S2012" t="s">
        <v>2290</v>
      </c>
      <c r="T2012" t="s">
        <v>292</v>
      </c>
      <c r="U2012" t="s">
        <v>3258</v>
      </c>
      <c r="V2012" t="s">
        <v>1373</v>
      </c>
      <c r="W2012" t="s">
        <v>326</v>
      </c>
      <c r="X2012" t="s">
        <v>713</v>
      </c>
      <c r="Y2012" t="s">
        <v>3257</v>
      </c>
      <c r="Z2012" t="str">
        <f>"07776086000"</f>
        <v>07776086000</v>
      </c>
      <c r="AA2012" t="str">
        <f>""</f>
        <v/>
      </c>
      <c r="AB2012" t="s">
        <v>3256</v>
      </c>
      <c r="AC2012" t="s">
        <v>3255</v>
      </c>
      <c r="AD2012" t="s">
        <v>145</v>
      </c>
      <c r="AF2012" t="s">
        <v>113</v>
      </c>
      <c r="AG2012" t="s">
        <v>112</v>
      </c>
      <c r="AH2012" t="s">
        <v>112</v>
      </c>
      <c r="AI2012" s="63">
        <v>44251</v>
      </c>
      <c r="AK2012" t="s">
        <v>112</v>
      </c>
      <c r="AL2012" t="s">
        <v>111</v>
      </c>
      <c r="AM2012" t="s">
        <v>111</v>
      </c>
      <c r="AN2012" t="s">
        <v>105</v>
      </c>
      <c r="AO2012" t="s">
        <v>110</v>
      </c>
      <c r="AP2012" t="s">
        <v>109</v>
      </c>
    </row>
    <row r="2013" spans="1:42" x14ac:dyDescent="0.25">
      <c r="A2013" s="28" t="str">
        <f>"14896"</f>
        <v>14896</v>
      </c>
      <c r="B2013">
        <v>14896</v>
      </c>
      <c r="C2013" t="s">
        <v>2488</v>
      </c>
      <c r="D2013" t="s">
        <v>121</v>
      </c>
      <c r="F2013" t="s">
        <v>120</v>
      </c>
      <c r="G2013" t="s">
        <v>1808</v>
      </c>
      <c r="H2013" t="s">
        <v>3254</v>
      </c>
      <c r="I2013" t="s">
        <v>3253</v>
      </c>
      <c r="J2013" t="s">
        <v>7</v>
      </c>
      <c r="K2013" s="63">
        <v>25784</v>
      </c>
      <c r="L2013" s="28">
        <f>DATEDIF(K2013,Zwift25!G$1,"Y")</f>
        <v>54</v>
      </c>
      <c r="M2013" s="67">
        <f>IF(J2013="m",VLOOKUP(L2013,'All Solo Adjustments'!A:D,4,FALSE),VLOOKUP(L2013,'All Solo Adjustments'!A:J,10,FALSE))</f>
        <v>1.8518518518518517E-3</v>
      </c>
      <c r="N2013" s="63"/>
      <c r="O2013" s="63"/>
      <c r="P2013" s="63"/>
      <c r="Q2013" s="63"/>
      <c r="R2013" t="s">
        <v>180</v>
      </c>
      <c r="S2013" t="s">
        <v>179</v>
      </c>
      <c r="T2013" t="s">
        <v>292</v>
      </c>
      <c r="U2013" t="s">
        <v>3252</v>
      </c>
      <c r="V2013" t="s">
        <v>3251</v>
      </c>
      <c r="W2013" t="s">
        <v>3250</v>
      </c>
      <c r="X2013" t="s">
        <v>259</v>
      </c>
      <c r="Y2013" t="s">
        <v>3249</v>
      </c>
      <c r="Z2013" t="str">
        <f>"07775636482"</f>
        <v>07775636482</v>
      </c>
      <c r="AA2013" t="str">
        <f>""</f>
        <v/>
      </c>
      <c r="AB2013" t="s">
        <v>865</v>
      </c>
      <c r="AC2013" t="s">
        <v>3248</v>
      </c>
      <c r="AD2013" t="s">
        <v>114</v>
      </c>
      <c r="AE2013" s="63">
        <v>45293</v>
      </c>
      <c r="AF2013" t="s">
        <v>113</v>
      </c>
      <c r="AG2013" t="s">
        <v>112</v>
      </c>
      <c r="AH2013" t="s">
        <v>112</v>
      </c>
      <c r="AI2013" s="63">
        <v>44263</v>
      </c>
      <c r="AJ2013" s="63">
        <v>45657</v>
      </c>
      <c r="AK2013" t="s">
        <v>112</v>
      </c>
      <c r="AL2013" t="s">
        <v>111</v>
      </c>
      <c r="AM2013" t="s">
        <v>111</v>
      </c>
      <c r="AN2013">
        <v>10212</v>
      </c>
      <c r="AO2013" t="s">
        <v>110</v>
      </c>
      <c r="AP2013" t="s">
        <v>109</v>
      </c>
    </row>
    <row r="2014" spans="1:42" x14ac:dyDescent="0.25">
      <c r="A2014" s="28" t="str">
        <f>"15978"</f>
        <v>15978</v>
      </c>
      <c r="B2014">
        <v>15978</v>
      </c>
      <c r="C2014" t="s">
        <v>2488</v>
      </c>
      <c r="D2014" t="s">
        <v>121</v>
      </c>
      <c r="E2014" t="s">
        <v>584</v>
      </c>
      <c r="F2014" t="s">
        <v>120</v>
      </c>
      <c r="G2014" t="s">
        <v>1344</v>
      </c>
      <c r="I2014" t="s">
        <v>3247</v>
      </c>
      <c r="J2014" t="s">
        <v>7</v>
      </c>
      <c r="K2014" s="63">
        <v>23666</v>
      </c>
      <c r="L2014" s="28">
        <f>DATEDIF(K2014,Zwift25!G$1,"Y")</f>
        <v>59</v>
      </c>
      <c r="M2014" s="67">
        <f>IF(J2014="m",VLOOKUP(L2014,'All Solo Adjustments'!A:D,4,FALSE),VLOOKUP(L2014,'All Solo Adjustments'!A:J,10,FALSE))</f>
        <v>2.9629629629629632E-3</v>
      </c>
      <c r="N2014" s="63"/>
      <c r="O2014" s="63"/>
      <c r="P2014" s="63"/>
      <c r="Q2014" s="63"/>
      <c r="R2014" t="s">
        <v>296</v>
      </c>
      <c r="S2014" t="s">
        <v>295</v>
      </c>
      <c r="T2014" t="s">
        <v>292</v>
      </c>
      <c r="U2014" t="s">
        <v>3246</v>
      </c>
      <c r="X2014" t="s">
        <v>3245</v>
      </c>
      <c r="Y2014" t="s">
        <v>3244</v>
      </c>
      <c r="Z2014" t="str">
        <f>"07506309600"</f>
        <v>07506309600</v>
      </c>
      <c r="AA2014" t="str">
        <f>""</f>
        <v/>
      </c>
      <c r="AB2014" t="s">
        <v>3243</v>
      </c>
      <c r="AC2014" t="s">
        <v>3242</v>
      </c>
      <c r="AD2014" t="s">
        <v>114</v>
      </c>
      <c r="AE2014" s="63">
        <v>45297</v>
      </c>
      <c r="AF2014" t="s">
        <v>156</v>
      </c>
      <c r="AG2014" t="s">
        <v>112</v>
      </c>
      <c r="AH2014" t="s">
        <v>112</v>
      </c>
      <c r="AI2014" s="63">
        <v>45297</v>
      </c>
      <c r="AJ2014" s="63">
        <v>45657</v>
      </c>
      <c r="AK2014" t="s">
        <v>112</v>
      </c>
      <c r="AL2014" t="s">
        <v>111</v>
      </c>
      <c r="AM2014" t="s">
        <v>111</v>
      </c>
      <c r="AN2014">
        <v>16915</v>
      </c>
      <c r="AO2014" t="s">
        <v>110</v>
      </c>
      <c r="AP2014" t="s">
        <v>109</v>
      </c>
    </row>
    <row r="2015" spans="1:42" x14ac:dyDescent="0.25">
      <c r="A2015" s="28" t="str">
        <f>"14907"</f>
        <v>14907</v>
      </c>
      <c r="B2015">
        <v>14907</v>
      </c>
      <c r="C2015" t="s">
        <v>2488</v>
      </c>
      <c r="D2015" t="s">
        <v>121</v>
      </c>
      <c r="F2015" t="s">
        <v>120</v>
      </c>
      <c r="G2015" t="s">
        <v>400</v>
      </c>
      <c r="H2015" t="s">
        <v>392</v>
      </c>
      <c r="I2015" t="s">
        <v>1303</v>
      </c>
      <c r="J2015" t="s">
        <v>7</v>
      </c>
      <c r="K2015" s="63">
        <v>26642</v>
      </c>
      <c r="L2015" s="28">
        <f>DATEDIF(K2015,Zwift25!G$1,"Y")</f>
        <v>51</v>
      </c>
      <c r="M2015" s="67">
        <f>IF(J2015="m",VLOOKUP(L2015,'All Solo Adjustments'!A:D,4,FALSE),VLOOKUP(L2015,'All Solo Adjustments'!A:J,10,FALSE))</f>
        <v>1.3078703703703703E-3</v>
      </c>
      <c r="N2015" s="63"/>
      <c r="O2015" s="63"/>
      <c r="P2015" s="63"/>
      <c r="Q2015" s="63"/>
      <c r="R2015" t="s">
        <v>118</v>
      </c>
      <c r="S2015" t="s">
        <v>117</v>
      </c>
      <c r="T2015" t="s">
        <v>292</v>
      </c>
      <c r="U2015" t="s">
        <v>3241</v>
      </c>
      <c r="X2015" t="s">
        <v>547</v>
      </c>
      <c r="Y2015" t="s">
        <v>3240</v>
      </c>
      <c r="Z2015" t="str">
        <f>"07568453815"</f>
        <v>07568453815</v>
      </c>
      <c r="AA2015" t="str">
        <f>""</f>
        <v/>
      </c>
      <c r="AB2015" t="s">
        <v>2395</v>
      </c>
      <c r="AC2015" t="s">
        <v>3239</v>
      </c>
      <c r="AD2015" t="s">
        <v>114</v>
      </c>
      <c r="AE2015" s="63">
        <v>45320</v>
      </c>
      <c r="AF2015" t="s">
        <v>156</v>
      </c>
      <c r="AG2015" t="s">
        <v>112</v>
      </c>
      <c r="AH2015" t="s">
        <v>112</v>
      </c>
      <c r="AI2015" s="63">
        <v>44268</v>
      </c>
      <c r="AJ2015" s="63">
        <v>45657</v>
      </c>
      <c r="AK2015" t="s">
        <v>112</v>
      </c>
      <c r="AL2015" t="s">
        <v>111</v>
      </c>
      <c r="AM2015" t="s">
        <v>111</v>
      </c>
      <c r="AN2015">
        <v>11568</v>
      </c>
      <c r="AO2015" t="s">
        <v>110</v>
      </c>
      <c r="AP2015" t="s">
        <v>109</v>
      </c>
    </row>
    <row r="2016" spans="1:42" x14ac:dyDescent="0.25">
      <c r="A2016" s="28" t="str">
        <f>"15442"</f>
        <v>15442</v>
      </c>
      <c r="B2016">
        <v>15442</v>
      </c>
      <c r="C2016" t="s">
        <v>2488</v>
      </c>
      <c r="D2016" t="s">
        <v>121</v>
      </c>
      <c r="F2016" t="s">
        <v>149</v>
      </c>
      <c r="G2016" t="s">
        <v>1157</v>
      </c>
      <c r="I2016" t="s">
        <v>1303</v>
      </c>
      <c r="J2016" t="s">
        <v>126</v>
      </c>
      <c r="K2016" s="63">
        <v>27154</v>
      </c>
      <c r="L2016" s="28">
        <f>DATEDIF(K2016,Zwift25!G$1,"Y")</f>
        <v>50</v>
      </c>
      <c r="M2016" s="67">
        <f>IF(J2016="m",VLOOKUP(L2016,'All Solo Adjustments'!A:D,4,FALSE),VLOOKUP(L2016,'All Solo Adjustments'!A:J,10,FALSE))</f>
        <v>4.9768518518518521E-3</v>
      </c>
      <c r="N2016" s="63"/>
      <c r="O2016" s="63"/>
      <c r="P2016" s="63"/>
      <c r="Q2016" s="63"/>
      <c r="R2016" t="s">
        <v>184</v>
      </c>
      <c r="S2016" t="s">
        <v>183</v>
      </c>
      <c r="T2016" t="s">
        <v>292</v>
      </c>
      <c r="U2016" t="s">
        <v>3238</v>
      </c>
      <c r="V2016" t="s">
        <v>3237</v>
      </c>
      <c r="W2016" t="s">
        <v>1196</v>
      </c>
      <c r="X2016" t="s">
        <v>929</v>
      </c>
      <c r="Y2016" t="s">
        <v>3236</v>
      </c>
      <c r="Z2016" t="str">
        <f>"07814605335"</f>
        <v>07814605335</v>
      </c>
      <c r="AA2016" t="str">
        <f>"01993 880687"</f>
        <v>01993 880687</v>
      </c>
      <c r="AB2016" t="s">
        <v>3235</v>
      </c>
      <c r="AC2016" t="s">
        <v>3234</v>
      </c>
      <c r="AD2016" t="s">
        <v>114</v>
      </c>
      <c r="AE2016" s="63">
        <v>45355</v>
      </c>
      <c r="AF2016" t="s">
        <v>156</v>
      </c>
      <c r="AG2016" t="s">
        <v>112</v>
      </c>
      <c r="AH2016" t="s">
        <v>112</v>
      </c>
      <c r="AI2016" s="63">
        <v>44659</v>
      </c>
      <c r="AJ2016" s="63">
        <v>45657</v>
      </c>
      <c r="AK2016" t="s">
        <v>112</v>
      </c>
      <c r="AL2016" t="s">
        <v>111</v>
      </c>
      <c r="AM2016" t="s">
        <v>111</v>
      </c>
      <c r="AN2016" t="s">
        <v>105</v>
      </c>
      <c r="AO2016" t="s">
        <v>122</v>
      </c>
      <c r="AP2016" t="s">
        <v>122</v>
      </c>
    </row>
    <row r="2017" spans="1:42" x14ac:dyDescent="0.25">
      <c r="A2017" s="28" t="str">
        <f>"2538"</f>
        <v>2538</v>
      </c>
      <c r="B2017">
        <v>2538</v>
      </c>
      <c r="C2017" t="s">
        <v>2488</v>
      </c>
      <c r="D2017" t="s">
        <v>121</v>
      </c>
      <c r="E2017" t="s">
        <v>3233</v>
      </c>
      <c r="F2017" t="s">
        <v>120</v>
      </c>
      <c r="G2017" t="s">
        <v>2181</v>
      </c>
      <c r="H2017" t="s">
        <v>3232</v>
      </c>
      <c r="I2017" t="s">
        <v>1370</v>
      </c>
      <c r="J2017" t="s">
        <v>7</v>
      </c>
      <c r="K2017" s="63">
        <v>13646</v>
      </c>
      <c r="L2017" s="28">
        <f>DATEDIF(K2017,Zwift25!G$1,"Y")</f>
        <v>87</v>
      </c>
      <c r="M2017" s="67">
        <f>IF(J2017="m",VLOOKUP(L2017,'All Solo Adjustments'!A:D,4,FALSE),VLOOKUP(L2017,'All Solo Adjustments'!A:J,10,FALSE))</f>
        <v>1.576388888888889E-2</v>
      </c>
      <c r="N2017" s="63"/>
      <c r="O2017" s="63"/>
      <c r="P2017" s="63"/>
      <c r="Q2017" s="63"/>
      <c r="R2017" t="s">
        <v>296</v>
      </c>
      <c r="S2017" t="s">
        <v>2310</v>
      </c>
      <c r="T2017" t="s">
        <v>292</v>
      </c>
      <c r="U2017" t="s">
        <v>3231</v>
      </c>
      <c r="V2017" t="s">
        <v>3230</v>
      </c>
      <c r="X2017" t="s">
        <v>3229</v>
      </c>
      <c r="Y2017" t="s">
        <v>3228</v>
      </c>
      <c r="Z2017" t="str">
        <f>"+447720777623"</f>
        <v>+447720777623</v>
      </c>
      <c r="AA2017" t="str">
        <f>"07720777623"</f>
        <v>07720777623</v>
      </c>
      <c r="AB2017" t="s">
        <v>3227</v>
      </c>
      <c r="AC2017" t="s">
        <v>3226</v>
      </c>
      <c r="AD2017" t="s">
        <v>151</v>
      </c>
      <c r="AE2017" s="63">
        <v>43159</v>
      </c>
      <c r="AF2017" t="s">
        <v>113</v>
      </c>
      <c r="AG2017" t="s">
        <v>112</v>
      </c>
      <c r="AH2017" t="s">
        <v>112</v>
      </c>
      <c r="AI2017" s="63">
        <v>31883</v>
      </c>
      <c r="AK2017" t="s">
        <v>111</v>
      </c>
      <c r="AL2017" t="s">
        <v>111</v>
      </c>
      <c r="AM2017" t="s">
        <v>111</v>
      </c>
      <c r="AN2017">
        <v>26923</v>
      </c>
      <c r="AO2017" t="s">
        <v>110</v>
      </c>
      <c r="AP2017" t="s">
        <v>109</v>
      </c>
    </row>
    <row r="2018" spans="1:42" x14ac:dyDescent="0.25">
      <c r="A2018" s="28" t="str">
        <f>"2539"</f>
        <v>2539</v>
      </c>
      <c r="B2018">
        <v>2539</v>
      </c>
      <c r="C2018" t="s">
        <v>2488</v>
      </c>
      <c r="D2018" t="s">
        <v>121</v>
      </c>
      <c r="F2018" t="s">
        <v>120</v>
      </c>
      <c r="G2018" t="s">
        <v>649</v>
      </c>
      <c r="I2018" t="s">
        <v>3225</v>
      </c>
      <c r="J2018" t="s">
        <v>7</v>
      </c>
      <c r="K2018" s="63">
        <v>13805</v>
      </c>
      <c r="L2018" s="28">
        <f>DATEDIF(K2018,Zwift25!G$1,"Y")</f>
        <v>86</v>
      </c>
      <c r="M2018" s="67">
        <f>IF(J2018="m",VLOOKUP(L2018,'All Solo Adjustments'!A:D,4,FALSE),VLOOKUP(L2018,'All Solo Adjustments'!A:J,10,FALSE))</f>
        <v>1.4988425925925926E-2</v>
      </c>
      <c r="N2018" s="63"/>
      <c r="O2018" s="63"/>
      <c r="P2018" s="63"/>
      <c r="Q2018" s="63"/>
      <c r="R2018" t="s">
        <v>118</v>
      </c>
      <c r="S2018" t="s">
        <v>873</v>
      </c>
      <c r="T2018" t="s">
        <v>292</v>
      </c>
      <c r="U2018" t="s">
        <v>3224</v>
      </c>
      <c r="V2018" t="s">
        <v>3223</v>
      </c>
      <c r="W2018" t="s">
        <v>3222</v>
      </c>
      <c r="Y2018" t="s">
        <v>3221</v>
      </c>
      <c r="Z2018" t="str">
        <f>"01944 758306"</f>
        <v>01944 758306</v>
      </c>
      <c r="AA2018" t="str">
        <f>""</f>
        <v/>
      </c>
      <c r="AB2018" t="s">
        <v>3220</v>
      </c>
      <c r="AD2018" t="s">
        <v>151</v>
      </c>
      <c r="AF2018" t="s">
        <v>113</v>
      </c>
      <c r="AG2018" t="s">
        <v>112</v>
      </c>
      <c r="AH2018" t="s">
        <v>112</v>
      </c>
      <c r="AI2018" s="63">
        <v>35431</v>
      </c>
      <c r="AK2018" t="s">
        <v>111</v>
      </c>
      <c r="AL2018" t="s">
        <v>111</v>
      </c>
      <c r="AM2018" t="s">
        <v>111</v>
      </c>
      <c r="AN2018" t="s">
        <v>105</v>
      </c>
      <c r="AO2018" t="s">
        <v>110</v>
      </c>
      <c r="AP2018" t="s">
        <v>109</v>
      </c>
    </row>
    <row r="2019" spans="1:42" x14ac:dyDescent="0.25">
      <c r="A2019" s="28" t="str">
        <f>"2450"</f>
        <v>2450</v>
      </c>
      <c r="B2019">
        <v>2450</v>
      </c>
      <c r="C2019" t="s">
        <v>2488</v>
      </c>
      <c r="D2019" t="s">
        <v>121</v>
      </c>
      <c r="F2019" t="s">
        <v>120</v>
      </c>
      <c r="G2019" t="s">
        <v>1377</v>
      </c>
      <c r="I2019" t="s">
        <v>3219</v>
      </c>
      <c r="J2019" t="s">
        <v>7</v>
      </c>
      <c r="K2019" s="63">
        <v>11490</v>
      </c>
      <c r="L2019" s="28">
        <f>DATEDIF(K2019,Zwift25!G$1,"Y")</f>
        <v>93</v>
      </c>
      <c r="M2019" s="67">
        <f>IF(J2019="m",VLOOKUP(L2019,'All Solo Adjustments'!A:D,4,FALSE),VLOOKUP(L2019,'All Solo Adjustments'!A:J,10,FALSE))</f>
        <v>2.1516203703703704E-2</v>
      </c>
      <c r="N2019" s="63"/>
      <c r="O2019" s="63"/>
      <c r="P2019" s="63"/>
      <c r="Q2019" s="63"/>
      <c r="R2019" t="s">
        <v>159</v>
      </c>
      <c r="S2019" t="s">
        <v>570</v>
      </c>
      <c r="T2019" t="s">
        <v>292</v>
      </c>
      <c r="U2019" t="s">
        <v>3218</v>
      </c>
      <c r="V2019" t="s">
        <v>3217</v>
      </c>
      <c r="W2019" t="s">
        <v>940</v>
      </c>
      <c r="X2019" t="s">
        <v>159</v>
      </c>
      <c r="Y2019" t="s">
        <v>3216</v>
      </c>
      <c r="Z2019" t="str">
        <f>"01689 859781"</f>
        <v>01689 859781</v>
      </c>
      <c r="AA2019" t="str">
        <f>""</f>
        <v/>
      </c>
      <c r="AB2019" t="s">
        <v>1460</v>
      </c>
      <c r="AD2019" t="s">
        <v>151</v>
      </c>
      <c r="AF2019" t="s">
        <v>113</v>
      </c>
      <c r="AG2019" t="s">
        <v>112</v>
      </c>
      <c r="AH2019" t="s">
        <v>112</v>
      </c>
      <c r="AK2019" t="s">
        <v>111</v>
      </c>
      <c r="AL2019" t="s">
        <v>111</v>
      </c>
      <c r="AM2019" t="s">
        <v>111</v>
      </c>
      <c r="AN2019" t="s">
        <v>105</v>
      </c>
      <c r="AO2019" t="s">
        <v>110</v>
      </c>
      <c r="AP2019" t="s">
        <v>109</v>
      </c>
    </row>
    <row r="2020" spans="1:42" x14ac:dyDescent="0.25">
      <c r="A2020" s="28" t="str">
        <f>"15184"</f>
        <v>15184</v>
      </c>
      <c r="B2020">
        <v>15184</v>
      </c>
      <c r="C2020" t="s">
        <v>2488</v>
      </c>
      <c r="D2020" t="s">
        <v>121</v>
      </c>
      <c r="F2020" t="s">
        <v>120</v>
      </c>
      <c r="G2020" t="s">
        <v>402</v>
      </c>
      <c r="H2020" t="s">
        <v>678</v>
      </c>
      <c r="I2020" t="s">
        <v>1141</v>
      </c>
      <c r="J2020" t="s">
        <v>7</v>
      </c>
      <c r="K2020" s="63">
        <v>22985</v>
      </c>
      <c r="L2020" s="28">
        <f>DATEDIF(K2020,Zwift25!G$1,"Y")</f>
        <v>61</v>
      </c>
      <c r="M2020" s="67">
        <f>IF(J2020="m",VLOOKUP(L2020,'All Solo Adjustments'!A:D,4,FALSE),VLOOKUP(L2020,'All Solo Adjustments'!A:J,10,FALSE))</f>
        <v>3.4722222222222225E-3</v>
      </c>
      <c r="N2020" s="63"/>
      <c r="O2020" s="63"/>
      <c r="P2020" s="63"/>
      <c r="Q2020" s="63"/>
      <c r="R2020" t="s">
        <v>125</v>
      </c>
      <c r="S2020" t="s">
        <v>170</v>
      </c>
      <c r="T2020" t="s">
        <v>292</v>
      </c>
      <c r="U2020" t="s">
        <v>3215</v>
      </c>
      <c r="V2020" t="s">
        <v>3214</v>
      </c>
      <c r="W2020" t="s">
        <v>3213</v>
      </c>
      <c r="X2020" t="s">
        <v>193</v>
      </c>
      <c r="Y2020" t="s">
        <v>3212</v>
      </c>
      <c r="Z2020" t="str">
        <f>"07720781528"</f>
        <v>07720781528</v>
      </c>
      <c r="AA2020" t="str">
        <f>""</f>
        <v/>
      </c>
      <c r="AB2020" t="s">
        <v>3211</v>
      </c>
      <c r="AC2020" t="s">
        <v>3210</v>
      </c>
      <c r="AD2020" t="s">
        <v>114</v>
      </c>
      <c r="AE2020" s="63">
        <v>45296</v>
      </c>
      <c r="AF2020" t="s">
        <v>113</v>
      </c>
      <c r="AG2020" t="s">
        <v>112</v>
      </c>
      <c r="AH2020" t="s">
        <v>112</v>
      </c>
      <c r="AI2020" s="63">
        <v>44397</v>
      </c>
      <c r="AJ2020" s="63">
        <v>45657</v>
      </c>
      <c r="AK2020" t="s">
        <v>112</v>
      </c>
      <c r="AL2020" t="s">
        <v>111</v>
      </c>
      <c r="AM2020" t="s">
        <v>111</v>
      </c>
      <c r="AN2020">
        <v>232</v>
      </c>
      <c r="AO2020" t="s">
        <v>110</v>
      </c>
      <c r="AP2020" t="s">
        <v>109</v>
      </c>
    </row>
    <row r="2021" spans="1:42" x14ac:dyDescent="0.25">
      <c r="A2021" s="28" t="str">
        <f>"6165"</f>
        <v>6165</v>
      </c>
      <c r="B2021">
        <v>6165</v>
      </c>
      <c r="C2021" t="s">
        <v>2488</v>
      </c>
      <c r="D2021" t="s">
        <v>121</v>
      </c>
      <c r="F2021" t="s">
        <v>120</v>
      </c>
      <c r="G2021" t="s">
        <v>1637</v>
      </c>
      <c r="I2021" t="s">
        <v>3193</v>
      </c>
      <c r="J2021" t="s">
        <v>7</v>
      </c>
      <c r="K2021" s="63">
        <v>27513</v>
      </c>
      <c r="L2021" s="28">
        <f>DATEDIF(K2021,Zwift25!G$1,"Y")</f>
        <v>49</v>
      </c>
      <c r="M2021" s="67">
        <f>IF(J2021="m",VLOOKUP(L2021,'All Solo Adjustments'!A:D,4,FALSE),VLOOKUP(L2021,'All Solo Adjustments'!A:J,10,FALSE))</f>
        <v>9.837962962962962E-4</v>
      </c>
      <c r="N2021" s="63"/>
      <c r="O2021" s="63"/>
      <c r="P2021" s="63"/>
      <c r="Q2021" s="63"/>
      <c r="R2021" t="s">
        <v>180</v>
      </c>
      <c r="S2021" t="s">
        <v>179</v>
      </c>
      <c r="T2021" t="s">
        <v>292</v>
      </c>
      <c r="U2021" t="s">
        <v>3209</v>
      </c>
      <c r="V2021" t="s">
        <v>866</v>
      </c>
      <c r="W2021" t="s">
        <v>992</v>
      </c>
      <c r="Y2021" t="s">
        <v>3208</v>
      </c>
      <c r="Z2021" t="str">
        <f>"07875 330212"</f>
        <v>07875 330212</v>
      </c>
      <c r="AA2021" t="str">
        <f>""</f>
        <v/>
      </c>
      <c r="AB2021" t="s">
        <v>991</v>
      </c>
      <c r="AC2021" t="s">
        <v>3207</v>
      </c>
      <c r="AD2021" t="s">
        <v>114</v>
      </c>
      <c r="AE2021" s="63">
        <v>45292</v>
      </c>
      <c r="AF2021" t="s">
        <v>113</v>
      </c>
      <c r="AG2021" t="s">
        <v>112</v>
      </c>
      <c r="AH2021" t="s">
        <v>112</v>
      </c>
      <c r="AI2021" s="63">
        <v>42831</v>
      </c>
      <c r="AJ2021" s="63">
        <v>45657</v>
      </c>
      <c r="AK2021" t="s">
        <v>111</v>
      </c>
      <c r="AL2021" t="s">
        <v>111</v>
      </c>
      <c r="AM2021" t="s">
        <v>111</v>
      </c>
      <c r="AN2021">
        <v>2960</v>
      </c>
      <c r="AO2021" t="s">
        <v>110</v>
      </c>
      <c r="AP2021" t="s">
        <v>109</v>
      </c>
    </row>
    <row r="2022" spans="1:42" x14ac:dyDescent="0.25">
      <c r="A2022" s="28" t="str">
        <f>"5779"</f>
        <v>5779</v>
      </c>
      <c r="B2022">
        <v>5779</v>
      </c>
      <c r="C2022" t="s">
        <v>2488</v>
      </c>
      <c r="D2022" t="s">
        <v>121</v>
      </c>
      <c r="F2022" t="s">
        <v>120</v>
      </c>
      <c r="G2022" t="s">
        <v>245</v>
      </c>
      <c r="H2022" t="s">
        <v>185</v>
      </c>
      <c r="I2022" t="s">
        <v>255</v>
      </c>
      <c r="J2022" t="s">
        <v>7</v>
      </c>
      <c r="K2022" s="63">
        <v>23317</v>
      </c>
      <c r="L2022" s="28">
        <f>DATEDIF(K2022,Zwift25!G$1,"Y")</f>
        <v>60</v>
      </c>
      <c r="M2022" s="67">
        <f>IF(J2022="m",VLOOKUP(L2022,'All Solo Adjustments'!A:D,4,FALSE),VLOOKUP(L2022,'All Solo Adjustments'!A:J,10,FALSE))</f>
        <v>3.2060185185185186E-3</v>
      </c>
      <c r="N2022" s="63"/>
      <c r="O2022" s="63"/>
      <c r="P2022" s="63"/>
      <c r="Q2022" s="63"/>
      <c r="R2022" t="s">
        <v>125</v>
      </c>
      <c r="S2022" t="s">
        <v>170</v>
      </c>
      <c r="T2022" t="s">
        <v>292</v>
      </c>
      <c r="U2022" t="s">
        <v>3206</v>
      </c>
      <c r="V2022" t="s">
        <v>1400</v>
      </c>
      <c r="Y2022" t="s">
        <v>3205</v>
      </c>
      <c r="Z2022" t="str">
        <f>"07941 764465"</f>
        <v>07941 764465</v>
      </c>
      <c r="AA2022" t="str">
        <f>""</f>
        <v/>
      </c>
      <c r="AB2022" t="s">
        <v>2463</v>
      </c>
      <c r="AC2022" t="s">
        <v>3204</v>
      </c>
      <c r="AD2022" t="s">
        <v>114</v>
      </c>
      <c r="AE2022" s="63">
        <v>45305</v>
      </c>
      <c r="AF2022" t="s">
        <v>113</v>
      </c>
      <c r="AG2022" t="s">
        <v>112</v>
      </c>
      <c r="AH2022" t="s">
        <v>112</v>
      </c>
      <c r="AI2022" s="63">
        <v>42459</v>
      </c>
      <c r="AJ2022" s="63">
        <v>45657</v>
      </c>
      <c r="AK2022" t="s">
        <v>111</v>
      </c>
      <c r="AL2022" t="s">
        <v>111</v>
      </c>
      <c r="AM2022" t="s">
        <v>111</v>
      </c>
      <c r="AN2022">
        <v>6212</v>
      </c>
      <c r="AO2022" t="s">
        <v>110</v>
      </c>
      <c r="AP2022" t="s">
        <v>109</v>
      </c>
    </row>
    <row r="2023" spans="1:42" x14ac:dyDescent="0.25">
      <c r="A2023" s="28" t="str">
        <f>"4501"</f>
        <v>4501</v>
      </c>
      <c r="B2023">
        <v>4501</v>
      </c>
      <c r="C2023" t="s">
        <v>2488</v>
      </c>
      <c r="D2023" t="s">
        <v>121</v>
      </c>
      <c r="F2023" t="s">
        <v>403</v>
      </c>
      <c r="G2023" t="s">
        <v>230</v>
      </c>
      <c r="I2023" t="s">
        <v>255</v>
      </c>
      <c r="J2023" t="s">
        <v>7</v>
      </c>
      <c r="K2023" s="63">
        <v>22168</v>
      </c>
      <c r="L2023" s="28">
        <f>DATEDIF(K2023,Zwift25!G$1,"Y")</f>
        <v>64</v>
      </c>
      <c r="M2023" s="67">
        <f>IF(J2023="m",VLOOKUP(L2023,'All Solo Adjustments'!A:D,4,FALSE),VLOOKUP(L2023,'All Solo Adjustments'!A:J,10,FALSE))</f>
        <v>4.31712962962963E-3</v>
      </c>
      <c r="N2023" s="63"/>
      <c r="O2023" s="63"/>
      <c r="P2023" s="63"/>
      <c r="Q2023" s="63"/>
      <c r="R2023" t="s">
        <v>125</v>
      </c>
      <c r="S2023" t="s">
        <v>170</v>
      </c>
      <c r="T2023" t="s">
        <v>292</v>
      </c>
      <c r="U2023" t="s">
        <v>3203</v>
      </c>
      <c r="V2023" t="s">
        <v>3202</v>
      </c>
      <c r="W2023" t="s">
        <v>3201</v>
      </c>
      <c r="X2023" t="s">
        <v>169</v>
      </c>
      <c r="Y2023" t="s">
        <v>3200</v>
      </c>
      <c r="Z2023" t="str">
        <f>"07894 441359"</f>
        <v>07894 441359</v>
      </c>
      <c r="AA2023" t="str">
        <f>""</f>
        <v/>
      </c>
      <c r="AB2023" t="s">
        <v>222</v>
      </c>
      <c r="AC2023" t="s">
        <v>3199</v>
      </c>
      <c r="AD2023" t="s">
        <v>114</v>
      </c>
      <c r="AE2023" s="63">
        <v>45216</v>
      </c>
      <c r="AF2023" t="s">
        <v>156</v>
      </c>
      <c r="AG2023" t="s">
        <v>112</v>
      </c>
      <c r="AH2023" t="s">
        <v>112</v>
      </c>
      <c r="AI2023" s="63">
        <v>41004</v>
      </c>
      <c r="AJ2023" s="63">
        <v>45657</v>
      </c>
      <c r="AK2023" t="s">
        <v>111</v>
      </c>
      <c r="AL2023" t="s">
        <v>111</v>
      </c>
      <c r="AM2023" t="s">
        <v>111</v>
      </c>
      <c r="AN2023">
        <v>545</v>
      </c>
      <c r="AO2023" t="s">
        <v>110</v>
      </c>
      <c r="AP2023" t="s">
        <v>109</v>
      </c>
    </row>
    <row r="2024" spans="1:42" x14ac:dyDescent="0.25">
      <c r="A2024" s="28" t="str">
        <f>"14328"</f>
        <v>14328</v>
      </c>
      <c r="B2024">
        <v>14328</v>
      </c>
      <c r="C2024" t="s">
        <v>2488</v>
      </c>
      <c r="D2024" t="s">
        <v>121</v>
      </c>
      <c r="F2024" t="s">
        <v>120</v>
      </c>
      <c r="G2024" t="s">
        <v>206</v>
      </c>
      <c r="I2024" t="s">
        <v>255</v>
      </c>
      <c r="J2024" t="s">
        <v>7</v>
      </c>
      <c r="K2024" s="63">
        <v>26828</v>
      </c>
      <c r="L2024" s="28">
        <f>DATEDIF(K2024,Zwift25!G$1,"Y")</f>
        <v>51</v>
      </c>
      <c r="M2024" s="67">
        <f>IF(J2024="m",VLOOKUP(L2024,'All Solo Adjustments'!A:D,4,FALSE),VLOOKUP(L2024,'All Solo Adjustments'!A:J,10,FALSE))</f>
        <v>1.3078703703703703E-3</v>
      </c>
      <c r="N2024" s="63"/>
      <c r="O2024" s="63"/>
      <c r="P2024" s="63"/>
      <c r="Q2024" s="63"/>
      <c r="R2024" t="s">
        <v>296</v>
      </c>
      <c r="S2024" t="s">
        <v>295</v>
      </c>
      <c r="T2024" t="s">
        <v>292</v>
      </c>
      <c r="U2024" t="s">
        <v>3198</v>
      </c>
      <c r="V2024" t="s">
        <v>3197</v>
      </c>
      <c r="W2024" t="s">
        <v>1638</v>
      </c>
      <c r="Y2024" t="s">
        <v>3196</v>
      </c>
      <c r="Z2024" t="str">
        <f>"07866266366"</f>
        <v>07866266366</v>
      </c>
      <c r="AA2024" t="str">
        <f>""</f>
        <v/>
      </c>
      <c r="AB2024" t="s">
        <v>3195</v>
      </c>
      <c r="AC2024" t="s">
        <v>3194</v>
      </c>
      <c r="AD2024" t="s">
        <v>114</v>
      </c>
      <c r="AE2024" s="63">
        <v>45264</v>
      </c>
      <c r="AF2024" t="s">
        <v>156</v>
      </c>
      <c r="AG2024" t="s">
        <v>112</v>
      </c>
      <c r="AH2024" t="s">
        <v>112</v>
      </c>
      <c r="AI2024" s="63">
        <v>43674</v>
      </c>
      <c r="AJ2024" s="63">
        <v>45657</v>
      </c>
      <c r="AK2024" t="s">
        <v>112</v>
      </c>
      <c r="AL2024" t="s">
        <v>111</v>
      </c>
      <c r="AM2024" t="s">
        <v>111</v>
      </c>
      <c r="AN2024">
        <v>1842</v>
      </c>
      <c r="AO2024" t="s">
        <v>110</v>
      </c>
      <c r="AP2024" t="s">
        <v>109</v>
      </c>
    </row>
    <row r="2025" spans="1:42" x14ac:dyDescent="0.25">
      <c r="A2025" s="28" t="str">
        <f>"14925"</f>
        <v>14925</v>
      </c>
      <c r="B2025">
        <v>14925</v>
      </c>
      <c r="C2025" t="s">
        <v>2488</v>
      </c>
      <c r="D2025" t="s">
        <v>121</v>
      </c>
      <c r="F2025" t="s">
        <v>120</v>
      </c>
      <c r="G2025" t="s">
        <v>818</v>
      </c>
      <c r="I2025" t="s">
        <v>3193</v>
      </c>
      <c r="J2025" t="s">
        <v>7</v>
      </c>
      <c r="K2025" s="63">
        <v>24052</v>
      </c>
      <c r="L2025" s="28">
        <f>DATEDIF(K2025,Zwift25!G$1,"Y")</f>
        <v>58</v>
      </c>
      <c r="M2025" s="67">
        <f>IF(J2025="m",VLOOKUP(L2025,'All Solo Adjustments'!A:D,4,FALSE),VLOOKUP(L2025,'All Solo Adjustments'!A:J,10,FALSE))</f>
        <v>2.7199074074074074E-3</v>
      </c>
      <c r="N2025" s="63"/>
      <c r="O2025" s="63"/>
      <c r="P2025" s="63"/>
      <c r="Q2025" s="63"/>
      <c r="R2025" t="s">
        <v>125</v>
      </c>
      <c r="S2025" t="s">
        <v>170</v>
      </c>
      <c r="T2025" t="s">
        <v>292</v>
      </c>
      <c r="U2025" t="s">
        <v>3192</v>
      </c>
      <c r="W2025" t="s">
        <v>309</v>
      </c>
      <c r="Y2025" t="s">
        <v>3191</v>
      </c>
      <c r="Z2025" t="str">
        <f>"07387230638"</f>
        <v>07387230638</v>
      </c>
      <c r="AA2025" t="str">
        <f>""</f>
        <v/>
      </c>
      <c r="AB2025" t="s">
        <v>3190</v>
      </c>
      <c r="AC2025" t="s">
        <v>3189</v>
      </c>
      <c r="AD2025" t="s">
        <v>114</v>
      </c>
      <c r="AE2025" s="63">
        <v>45410</v>
      </c>
      <c r="AF2025" t="s">
        <v>156</v>
      </c>
      <c r="AG2025" t="s">
        <v>112</v>
      </c>
      <c r="AH2025" t="s">
        <v>112</v>
      </c>
      <c r="AI2025" s="63">
        <v>44275</v>
      </c>
      <c r="AJ2025" s="63">
        <v>45657</v>
      </c>
      <c r="AK2025" t="s">
        <v>112</v>
      </c>
      <c r="AL2025" t="s">
        <v>111</v>
      </c>
      <c r="AM2025" t="s">
        <v>111</v>
      </c>
      <c r="AN2025">
        <v>3071</v>
      </c>
      <c r="AO2025" t="s">
        <v>110</v>
      </c>
      <c r="AP2025" t="s">
        <v>109</v>
      </c>
    </row>
    <row r="2026" spans="1:42" x14ac:dyDescent="0.25">
      <c r="A2026" s="28" t="str">
        <f>"15406"</f>
        <v>15406</v>
      </c>
      <c r="B2026">
        <v>15406</v>
      </c>
      <c r="C2026" t="s">
        <v>2488</v>
      </c>
      <c r="D2026" t="s">
        <v>121</v>
      </c>
      <c r="F2026" t="s">
        <v>120</v>
      </c>
      <c r="G2026" t="s">
        <v>361</v>
      </c>
      <c r="I2026" t="s">
        <v>255</v>
      </c>
      <c r="J2026" t="s">
        <v>7</v>
      </c>
      <c r="K2026" s="63">
        <v>25104</v>
      </c>
      <c r="L2026" s="28">
        <f>DATEDIF(K2026,Zwift25!G$1,"Y")</f>
        <v>56</v>
      </c>
      <c r="M2026" s="67">
        <f>IF(J2026="m",VLOOKUP(L2026,'All Solo Adjustments'!A:D,4,FALSE),VLOOKUP(L2026,'All Solo Adjustments'!A:J,10,FALSE))</f>
        <v>2.2685185185185182E-3</v>
      </c>
      <c r="N2026" s="63"/>
      <c r="O2026" s="63"/>
      <c r="P2026" s="63"/>
      <c r="Q2026" s="63"/>
      <c r="R2026" t="s">
        <v>125</v>
      </c>
      <c r="S2026" t="s">
        <v>170</v>
      </c>
      <c r="T2026" t="s">
        <v>292</v>
      </c>
      <c r="U2026" t="s">
        <v>3188</v>
      </c>
      <c r="W2026" t="s">
        <v>3187</v>
      </c>
      <c r="X2026" t="s">
        <v>1606</v>
      </c>
      <c r="Y2026" t="s">
        <v>3186</v>
      </c>
      <c r="Z2026" t="str">
        <f>"07545862547"</f>
        <v>07545862547</v>
      </c>
      <c r="AA2026" t="str">
        <f>""</f>
        <v/>
      </c>
      <c r="AB2026" t="s">
        <v>3185</v>
      </c>
      <c r="AC2026" t="s">
        <v>3184</v>
      </c>
      <c r="AD2026" t="s">
        <v>114</v>
      </c>
      <c r="AE2026" s="63">
        <v>45293</v>
      </c>
      <c r="AF2026" t="s">
        <v>156</v>
      </c>
      <c r="AG2026" t="s">
        <v>112</v>
      </c>
      <c r="AH2026" t="s">
        <v>112</v>
      </c>
      <c r="AI2026" s="63">
        <v>44640</v>
      </c>
      <c r="AJ2026" s="63">
        <v>45657</v>
      </c>
      <c r="AK2026" t="s">
        <v>112</v>
      </c>
      <c r="AL2026" t="s">
        <v>111</v>
      </c>
      <c r="AM2026" t="s">
        <v>111</v>
      </c>
      <c r="AN2026">
        <v>33510</v>
      </c>
      <c r="AO2026" t="s">
        <v>110</v>
      </c>
      <c r="AP2026" t="s">
        <v>109</v>
      </c>
    </row>
    <row r="2027" spans="1:42" x14ac:dyDescent="0.25">
      <c r="A2027" s="28" t="str">
        <f>"15895"</f>
        <v>15895</v>
      </c>
      <c r="B2027">
        <v>15895</v>
      </c>
      <c r="C2027" t="s">
        <v>2488</v>
      </c>
      <c r="D2027" t="s">
        <v>121</v>
      </c>
      <c r="F2027" t="s">
        <v>120</v>
      </c>
      <c r="G2027" t="s">
        <v>164</v>
      </c>
      <c r="I2027" t="s">
        <v>255</v>
      </c>
      <c r="J2027" t="s">
        <v>7</v>
      </c>
      <c r="K2027" s="63">
        <v>26915</v>
      </c>
      <c r="L2027" s="28">
        <f>DATEDIF(K2027,Zwift25!G$1,"Y")</f>
        <v>51</v>
      </c>
      <c r="M2027" s="67">
        <f>IF(J2027="m",VLOOKUP(L2027,'All Solo Adjustments'!A:D,4,FALSE),VLOOKUP(L2027,'All Solo Adjustments'!A:J,10,FALSE))</f>
        <v>1.3078703703703703E-3</v>
      </c>
      <c r="N2027" s="63"/>
      <c r="O2027" s="63"/>
      <c r="P2027" s="63"/>
      <c r="Q2027" s="63"/>
      <c r="R2027" t="s">
        <v>283</v>
      </c>
      <c r="S2027" t="s">
        <v>530</v>
      </c>
      <c r="T2027" t="s">
        <v>292</v>
      </c>
      <c r="U2027" t="s">
        <v>3183</v>
      </c>
      <c r="V2027" t="s">
        <v>3182</v>
      </c>
      <c r="W2027" t="s">
        <v>1346</v>
      </c>
      <c r="X2027" t="s">
        <v>3181</v>
      </c>
      <c r="Y2027" t="s">
        <v>3180</v>
      </c>
      <c r="Z2027" t="str">
        <f>"07976376662"</f>
        <v>07976376662</v>
      </c>
      <c r="AA2027" t="str">
        <f>""</f>
        <v/>
      </c>
      <c r="AB2027" t="s">
        <v>3179</v>
      </c>
      <c r="AC2027" t="s">
        <v>3178</v>
      </c>
      <c r="AD2027" t="s">
        <v>114</v>
      </c>
      <c r="AE2027" s="63">
        <v>45300</v>
      </c>
      <c r="AF2027" t="s">
        <v>156</v>
      </c>
      <c r="AG2027" t="s">
        <v>112</v>
      </c>
      <c r="AH2027" t="s">
        <v>112</v>
      </c>
      <c r="AI2027" s="63">
        <v>45130</v>
      </c>
      <c r="AJ2027" s="63">
        <v>45657</v>
      </c>
      <c r="AK2027" t="s">
        <v>112</v>
      </c>
      <c r="AL2027" t="s">
        <v>111</v>
      </c>
      <c r="AM2027" t="s">
        <v>111</v>
      </c>
      <c r="AN2027">
        <v>463</v>
      </c>
      <c r="AO2027" t="s">
        <v>110</v>
      </c>
      <c r="AP2027" t="s">
        <v>109</v>
      </c>
    </row>
    <row r="2028" spans="1:42" x14ac:dyDescent="0.25">
      <c r="A2028" s="28" t="str">
        <f>"16007"</f>
        <v>16007</v>
      </c>
      <c r="B2028">
        <v>16007</v>
      </c>
      <c r="C2028" t="s">
        <v>2488</v>
      </c>
      <c r="D2028" t="s">
        <v>121</v>
      </c>
      <c r="F2028" t="s">
        <v>403</v>
      </c>
      <c r="G2028" t="s">
        <v>185</v>
      </c>
      <c r="I2028" t="s">
        <v>255</v>
      </c>
      <c r="J2028" t="s">
        <v>7</v>
      </c>
      <c r="K2028" s="63">
        <v>28881</v>
      </c>
      <c r="L2028" s="28">
        <f>DATEDIF(K2028,Zwift25!G$1,"Y")</f>
        <v>45</v>
      </c>
      <c r="M2028" s="67">
        <f>IF(J2028="m",VLOOKUP(L2028,'All Solo Adjustments'!A:D,4,FALSE),VLOOKUP(L2028,'All Solo Adjustments'!A:J,10,FALSE))</f>
        <v>4.5138888888888892E-4</v>
      </c>
      <c r="N2028" s="63"/>
      <c r="O2028" s="63"/>
      <c r="P2028" s="63"/>
      <c r="Q2028" s="63"/>
      <c r="R2028" t="s">
        <v>527</v>
      </c>
      <c r="S2028" t="s">
        <v>526</v>
      </c>
      <c r="T2028" t="s">
        <v>292</v>
      </c>
      <c r="U2028" t="s">
        <v>3177</v>
      </c>
      <c r="V2028" t="s">
        <v>3176</v>
      </c>
      <c r="W2028" t="s">
        <v>611</v>
      </c>
      <c r="X2028" t="s">
        <v>854</v>
      </c>
      <c r="Y2028" t="s">
        <v>3175</v>
      </c>
      <c r="Z2028" t="str">
        <f>"07368513228"</f>
        <v>07368513228</v>
      </c>
      <c r="AA2028" t="str">
        <f>""</f>
        <v/>
      </c>
      <c r="AB2028" t="s">
        <v>3174</v>
      </c>
      <c r="AC2028" t="s">
        <v>3173</v>
      </c>
      <c r="AD2028" t="s">
        <v>114</v>
      </c>
      <c r="AE2028" s="63">
        <v>45313</v>
      </c>
      <c r="AF2028" t="s">
        <v>156</v>
      </c>
      <c r="AG2028" t="s">
        <v>112</v>
      </c>
      <c r="AH2028" t="s">
        <v>112</v>
      </c>
      <c r="AI2028" s="63">
        <v>45313</v>
      </c>
      <c r="AJ2028" s="63">
        <v>45657</v>
      </c>
      <c r="AK2028" t="s">
        <v>112</v>
      </c>
      <c r="AL2028" t="s">
        <v>111</v>
      </c>
      <c r="AM2028" t="s">
        <v>111</v>
      </c>
      <c r="AN2028">
        <v>46397</v>
      </c>
      <c r="AO2028" t="s">
        <v>110</v>
      </c>
      <c r="AP2028" t="s">
        <v>109</v>
      </c>
    </row>
    <row r="2029" spans="1:42" x14ac:dyDescent="0.25">
      <c r="A2029" s="28" t="str">
        <f>"11166"</f>
        <v>11166</v>
      </c>
      <c r="B2029">
        <v>11166</v>
      </c>
      <c r="C2029" t="s">
        <v>2488</v>
      </c>
      <c r="D2029" t="s">
        <v>121</v>
      </c>
      <c r="F2029" t="s">
        <v>120</v>
      </c>
      <c r="G2029" t="s">
        <v>3172</v>
      </c>
      <c r="H2029" t="s">
        <v>1252</v>
      </c>
      <c r="I2029" t="s">
        <v>250</v>
      </c>
      <c r="J2029" t="s">
        <v>7</v>
      </c>
      <c r="K2029" s="63">
        <v>23627</v>
      </c>
      <c r="L2029" s="28">
        <f>DATEDIF(K2029,Zwift25!G$1,"Y")</f>
        <v>60</v>
      </c>
      <c r="M2029" s="67">
        <f>IF(J2029="m",VLOOKUP(L2029,'All Solo Adjustments'!A:D,4,FALSE),VLOOKUP(L2029,'All Solo Adjustments'!A:J,10,FALSE))</f>
        <v>3.2060185185185186E-3</v>
      </c>
      <c r="N2029" s="63"/>
      <c r="O2029" s="63"/>
      <c r="P2029" s="63"/>
      <c r="Q2029" s="63"/>
      <c r="R2029" t="s">
        <v>296</v>
      </c>
      <c r="S2029" t="s">
        <v>295</v>
      </c>
      <c r="T2029" t="s">
        <v>292</v>
      </c>
      <c r="U2029" t="s">
        <v>2062</v>
      </c>
      <c r="V2029" t="s">
        <v>1452</v>
      </c>
      <c r="W2029" t="s">
        <v>794</v>
      </c>
      <c r="Y2029" t="s">
        <v>2061</v>
      </c>
      <c r="Z2029" t="str">
        <f>"01383 738631"</f>
        <v>01383 738631</v>
      </c>
      <c r="AA2029" t="str">
        <f>"07905480917"</f>
        <v>07905480917</v>
      </c>
      <c r="AB2029" t="s">
        <v>1024</v>
      </c>
      <c r="AC2029" t="s">
        <v>3171</v>
      </c>
      <c r="AD2029" t="s">
        <v>114</v>
      </c>
      <c r="AE2029" s="63">
        <v>45269</v>
      </c>
      <c r="AF2029" t="s">
        <v>156</v>
      </c>
      <c r="AG2029" t="s">
        <v>112</v>
      </c>
      <c r="AH2029" t="s">
        <v>112</v>
      </c>
      <c r="AI2029" s="63">
        <v>43127</v>
      </c>
      <c r="AJ2029" s="63">
        <v>45657</v>
      </c>
      <c r="AK2029" t="s">
        <v>111</v>
      </c>
      <c r="AL2029" t="s">
        <v>111</v>
      </c>
      <c r="AM2029" t="s">
        <v>111</v>
      </c>
      <c r="AN2029">
        <v>25047</v>
      </c>
      <c r="AO2029" t="s">
        <v>110</v>
      </c>
      <c r="AP2029" t="s">
        <v>109</v>
      </c>
    </row>
    <row r="2030" spans="1:42" x14ac:dyDescent="0.25">
      <c r="A2030" s="28" t="str">
        <f>"15198"</f>
        <v>15198</v>
      </c>
      <c r="B2030">
        <v>15198</v>
      </c>
      <c r="C2030" t="s">
        <v>2488</v>
      </c>
      <c r="D2030" t="s">
        <v>121</v>
      </c>
      <c r="F2030" t="s">
        <v>120</v>
      </c>
      <c r="G2030" t="s">
        <v>284</v>
      </c>
      <c r="H2030" t="s">
        <v>359</v>
      </c>
      <c r="I2030" t="s">
        <v>3170</v>
      </c>
      <c r="J2030" t="s">
        <v>7</v>
      </c>
      <c r="K2030" s="63">
        <v>24309</v>
      </c>
      <c r="L2030" s="28">
        <f>DATEDIF(K2030,Zwift25!G$1,"Y")</f>
        <v>58</v>
      </c>
      <c r="M2030" s="67">
        <f>IF(J2030="m",VLOOKUP(L2030,'All Solo Adjustments'!A:D,4,FALSE),VLOOKUP(L2030,'All Solo Adjustments'!A:J,10,FALSE))</f>
        <v>2.7199074074074074E-3</v>
      </c>
      <c r="N2030" s="63"/>
      <c r="O2030" s="63"/>
      <c r="P2030" s="63"/>
      <c r="Q2030" s="63"/>
      <c r="R2030" t="s">
        <v>296</v>
      </c>
      <c r="S2030" t="s">
        <v>295</v>
      </c>
      <c r="T2030" t="s">
        <v>292</v>
      </c>
      <c r="U2030" t="s">
        <v>3169</v>
      </c>
      <c r="V2030" t="s">
        <v>3168</v>
      </c>
      <c r="W2030" t="s">
        <v>1604</v>
      </c>
      <c r="Y2030" t="s">
        <v>3167</v>
      </c>
      <c r="Z2030" t="str">
        <f>"07474696832"</f>
        <v>07474696832</v>
      </c>
      <c r="AA2030" t="str">
        <f>""</f>
        <v/>
      </c>
      <c r="AB2030" t="s">
        <v>294</v>
      </c>
      <c r="AC2030" t="s">
        <v>3166</v>
      </c>
      <c r="AD2030" t="s">
        <v>114</v>
      </c>
      <c r="AE2030" s="63">
        <v>45304</v>
      </c>
      <c r="AF2030" t="s">
        <v>156</v>
      </c>
      <c r="AG2030" t="s">
        <v>112</v>
      </c>
      <c r="AH2030" t="s">
        <v>112</v>
      </c>
      <c r="AI2030" s="63">
        <v>44406</v>
      </c>
      <c r="AJ2030" s="63">
        <v>45657</v>
      </c>
      <c r="AK2030" t="s">
        <v>112</v>
      </c>
      <c r="AL2030" t="s">
        <v>111</v>
      </c>
      <c r="AM2030" t="s">
        <v>111</v>
      </c>
      <c r="AN2030">
        <v>40397</v>
      </c>
      <c r="AO2030" t="s">
        <v>110</v>
      </c>
      <c r="AP2030" t="s">
        <v>109</v>
      </c>
    </row>
    <row r="2031" spans="1:42" x14ac:dyDescent="0.25">
      <c r="A2031" s="28" t="str">
        <f>"4922"</f>
        <v>4922</v>
      </c>
      <c r="B2031">
        <v>4922</v>
      </c>
      <c r="C2031" t="s">
        <v>2488</v>
      </c>
      <c r="D2031" t="s">
        <v>121</v>
      </c>
      <c r="F2031" t="s">
        <v>120</v>
      </c>
      <c r="G2031" t="s">
        <v>402</v>
      </c>
      <c r="I2031" t="s">
        <v>247</v>
      </c>
      <c r="J2031" t="s">
        <v>7</v>
      </c>
      <c r="K2031" s="63">
        <v>21988</v>
      </c>
      <c r="L2031" s="28">
        <f>DATEDIF(K2031,Zwift25!G$1,"Y")</f>
        <v>64</v>
      </c>
      <c r="M2031" s="67">
        <f>IF(J2031="m",VLOOKUP(L2031,'All Solo Adjustments'!A:D,4,FALSE),VLOOKUP(L2031,'All Solo Adjustments'!A:J,10,FALSE))</f>
        <v>4.31712962962963E-3</v>
      </c>
      <c r="N2031" s="63"/>
      <c r="O2031" s="63"/>
      <c r="P2031" s="63"/>
      <c r="Q2031" s="63"/>
      <c r="R2031" t="s">
        <v>137</v>
      </c>
      <c r="S2031" t="s">
        <v>136</v>
      </c>
      <c r="T2031" t="s">
        <v>292</v>
      </c>
      <c r="U2031" t="s">
        <v>3165</v>
      </c>
      <c r="V2031" t="s">
        <v>3164</v>
      </c>
      <c r="W2031" t="s">
        <v>208</v>
      </c>
      <c r="Y2031" t="s">
        <v>3163</v>
      </c>
      <c r="Z2031" t="str">
        <f>"0118 9812120"</f>
        <v>0118 9812120</v>
      </c>
      <c r="AA2031" t="str">
        <f>"07982420666"</f>
        <v>07982420666</v>
      </c>
      <c r="AB2031" t="s">
        <v>1873</v>
      </c>
      <c r="AC2031" t="s">
        <v>3162</v>
      </c>
      <c r="AD2031" t="s">
        <v>114</v>
      </c>
      <c r="AE2031" s="63">
        <v>45340</v>
      </c>
      <c r="AF2031" t="s">
        <v>156</v>
      </c>
      <c r="AG2031" t="s">
        <v>112</v>
      </c>
      <c r="AH2031" t="s">
        <v>112</v>
      </c>
      <c r="AI2031" s="63">
        <v>41690</v>
      </c>
      <c r="AJ2031" s="63">
        <v>45657</v>
      </c>
      <c r="AK2031" t="s">
        <v>111</v>
      </c>
      <c r="AL2031" t="s">
        <v>111</v>
      </c>
      <c r="AM2031" t="s">
        <v>111</v>
      </c>
      <c r="AN2031">
        <v>3820</v>
      </c>
      <c r="AO2031" t="s">
        <v>110</v>
      </c>
      <c r="AP2031" t="s">
        <v>109</v>
      </c>
    </row>
    <row r="2032" spans="1:42" x14ac:dyDescent="0.25">
      <c r="A2032" s="28" t="str">
        <f>"6117"</f>
        <v>6117</v>
      </c>
      <c r="B2032">
        <v>6117</v>
      </c>
      <c r="C2032" t="s">
        <v>2488</v>
      </c>
      <c r="D2032" t="s">
        <v>121</v>
      </c>
      <c r="F2032" t="s">
        <v>120</v>
      </c>
      <c r="G2032" t="s">
        <v>743</v>
      </c>
      <c r="I2032" t="s">
        <v>247</v>
      </c>
      <c r="J2032" t="s">
        <v>7</v>
      </c>
      <c r="K2032" s="63">
        <v>25347</v>
      </c>
      <c r="L2032" s="28">
        <f>DATEDIF(K2032,Zwift25!G$1,"Y")</f>
        <v>55</v>
      </c>
      <c r="M2032" s="67">
        <f>IF(J2032="m",VLOOKUP(L2032,'All Solo Adjustments'!A:D,4,FALSE),VLOOKUP(L2032,'All Solo Adjustments'!A:J,10,FALSE))</f>
        <v>2.0601851851851853E-3</v>
      </c>
      <c r="N2032" s="63"/>
      <c r="O2032" s="63"/>
      <c r="P2032" s="63"/>
      <c r="Q2032" s="63"/>
      <c r="R2032" t="s">
        <v>118</v>
      </c>
      <c r="S2032" t="s">
        <v>117</v>
      </c>
      <c r="T2032" t="s">
        <v>292</v>
      </c>
      <c r="U2032" t="s">
        <v>3161</v>
      </c>
      <c r="V2032" t="s">
        <v>547</v>
      </c>
      <c r="Y2032" t="s">
        <v>3160</v>
      </c>
      <c r="Z2032" t="str">
        <f>"07789 784848"</f>
        <v>07789 784848</v>
      </c>
      <c r="AA2032" t="str">
        <f>""</f>
        <v/>
      </c>
      <c r="AB2032" t="s">
        <v>2074</v>
      </c>
      <c r="AC2032" t="s">
        <v>3159</v>
      </c>
      <c r="AD2032" t="s">
        <v>114</v>
      </c>
      <c r="AE2032" s="63">
        <v>45307</v>
      </c>
      <c r="AF2032" t="s">
        <v>156</v>
      </c>
      <c r="AG2032" t="s">
        <v>112</v>
      </c>
      <c r="AH2032" t="s">
        <v>112</v>
      </c>
      <c r="AI2032" s="63">
        <v>42736</v>
      </c>
      <c r="AJ2032" s="63">
        <v>45657</v>
      </c>
      <c r="AK2032" t="s">
        <v>111</v>
      </c>
      <c r="AL2032" t="s">
        <v>111</v>
      </c>
      <c r="AM2032" t="s">
        <v>111</v>
      </c>
      <c r="AN2032" t="s">
        <v>105</v>
      </c>
      <c r="AO2032" t="s">
        <v>110</v>
      </c>
      <c r="AP2032" t="s">
        <v>109</v>
      </c>
    </row>
    <row r="2033" spans="1:42" x14ac:dyDescent="0.25">
      <c r="A2033" s="28" t="str">
        <f>"16142"</f>
        <v>16142</v>
      </c>
      <c r="B2033">
        <v>16142</v>
      </c>
      <c r="C2033" t="s">
        <v>2488</v>
      </c>
      <c r="D2033" t="s">
        <v>121</v>
      </c>
      <c r="F2033" t="s">
        <v>120</v>
      </c>
      <c r="G2033" t="s">
        <v>601</v>
      </c>
      <c r="I2033" t="s">
        <v>3158</v>
      </c>
      <c r="J2033" t="s">
        <v>7</v>
      </c>
      <c r="K2033" s="63">
        <v>28197</v>
      </c>
      <c r="L2033" s="28">
        <f>DATEDIF(K2033,Zwift25!G$1,"Y")</f>
        <v>47</v>
      </c>
      <c r="M2033" s="67">
        <f>IF(J2033="m",VLOOKUP(L2033,'All Solo Adjustments'!A:D,4,FALSE),VLOOKUP(L2033,'All Solo Adjustments'!A:J,10,FALSE))</f>
        <v>6.9444444444444436E-4</v>
      </c>
      <c r="N2033" s="63"/>
      <c r="O2033" s="63"/>
      <c r="P2033" s="63"/>
      <c r="Q2033" s="63"/>
      <c r="R2033" t="s">
        <v>527</v>
      </c>
      <c r="S2033" t="s">
        <v>526</v>
      </c>
      <c r="T2033" t="s">
        <v>292</v>
      </c>
      <c r="U2033" t="s">
        <v>3157</v>
      </c>
      <c r="V2033" t="s">
        <v>3156</v>
      </c>
      <c r="W2033" t="s">
        <v>3155</v>
      </c>
      <c r="Y2033" t="s">
        <v>3154</v>
      </c>
      <c r="Z2033" t="str">
        <f>"07766748344"</f>
        <v>07766748344</v>
      </c>
      <c r="AA2033" t="str">
        <f>""</f>
        <v/>
      </c>
      <c r="AB2033" t="s">
        <v>3153</v>
      </c>
      <c r="AC2033" t="s">
        <v>3152</v>
      </c>
      <c r="AD2033" t="s">
        <v>114</v>
      </c>
      <c r="AE2033" s="63">
        <v>45435</v>
      </c>
      <c r="AF2033" t="s">
        <v>156</v>
      </c>
      <c r="AG2033" t="s">
        <v>112</v>
      </c>
      <c r="AH2033" t="s">
        <v>112</v>
      </c>
      <c r="AI2033" s="63">
        <v>45435</v>
      </c>
      <c r="AJ2033" s="63">
        <v>45657</v>
      </c>
      <c r="AK2033" t="s">
        <v>112</v>
      </c>
      <c r="AL2033" t="s">
        <v>111</v>
      </c>
      <c r="AM2033" t="s">
        <v>111</v>
      </c>
      <c r="AN2033">
        <v>35298</v>
      </c>
      <c r="AO2033" t="s">
        <v>110</v>
      </c>
      <c r="AP2033" t="s">
        <v>109</v>
      </c>
    </row>
    <row r="2034" spans="1:42" x14ac:dyDescent="0.25">
      <c r="A2034" s="28" t="str">
        <f>"3931"</f>
        <v>3931</v>
      </c>
      <c r="B2034">
        <v>3931</v>
      </c>
      <c r="C2034" t="s">
        <v>2488</v>
      </c>
      <c r="D2034" t="s">
        <v>121</v>
      </c>
      <c r="F2034" t="s">
        <v>120</v>
      </c>
      <c r="G2034" t="s">
        <v>195</v>
      </c>
      <c r="I2034" t="s">
        <v>3148</v>
      </c>
      <c r="J2034" t="s">
        <v>7</v>
      </c>
      <c r="K2034" s="63">
        <v>17871</v>
      </c>
      <c r="L2034" s="28">
        <f>DATEDIF(K2034,Zwift25!G$1,"Y")</f>
        <v>75</v>
      </c>
      <c r="M2034" s="67">
        <f>IF(J2034="m",VLOOKUP(L2034,'All Solo Adjustments'!A:D,4,FALSE),VLOOKUP(L2034,'All Solo Adjustments'!A:J,10,FALSE))</f>
        <v>8.4374999999999988E-3</v>
      </c>
      <c r="N2034" s="63"/>
      <c r="O2034" s="63"/>
      <c r="P2034" s="63"/>
      <c r="Q2034" s="63"/>
      <c r="R2034" t="s">
        <v>118</v>
      </c>
      <c r="S2034" t="s">
        <v>117</v>
      </c>
      <c r="T2034" t="s">
        <v>292</v>
      </c>
      <c r="U2034" t="s">
        <v>3151</v>
      </c>
      <c r="V2034" t="s">
        <v>1430</v>
      </c>
      <c r="Y2034" t="s">
        <v>3150</v>
      </c>
      <c r="Z2034" t="str">
        <f>"01709 367262"</f>
        <v>01709 367262</v>
      </c>
      <c r="AA2034" t="str">
        <f>""</f>
        <v/>
      </c>
      <c r="AB2034" t="s">
        <v>872</v>
      </c>
      <c r="AC2034" t="s">
        <v>3149</v>
      </c>
      <c r="AD2034" t="s">
        <v>114</v>
      </c>
      <c r="AE2034" s="63">
        <v>45269</v>
      </c>
      <c r="AF2034" t="s">
        <v>113</v>
      </c>
      <c r="AG2034" t="s">
        <v>112</v>
      </c>
      <c r="AH2034" t="s">
        <v>112</v>
      </c>
      <c r="AI2034" s="63">
        <v>40259</v>
      </c>
      <c r="AJ2034" s="63">
        <v>45657</v>
      </c>
      <c r="AK2034" t="s">
        <v>111</v>
      </c>
      <c r="AL2034" t="s">
        <v>111</v>
      </c>
      <c r="AM2034" t="s">
        <v>111</v>
      </c>
      <c r="AN2034">
        <v>5453</v>
      </c>
      <c r="AO2034" t="s">
        <v>110</v>
      </c>
      <c r="AP2034" t="s">
        <v>109</v>
      </c>
    </row>
    <row r="2035" spans="1:42" x14ac:dyDescent="0.25">
      <c r="A2035" s="28" t="str">
        <f>"16138"</f>
        <v>16138</v>
      </c>
      <c r="B2035">
        <v>16138</v>
      </c>
      <c r="C2035" t="s">
        <v>2488</v>
      </c>
      <c r="D2035" t="s">
        <v>121</v>
      </c>
      <c r="F2035" t="s">
        <v>120</v>
      </c>
      <c r="G2035" t="s">
        <v>195</v>
      </c>
      <c r="I2035" t="s">
        <v>3148</v>
      </c>
      <c r="J2035" t="s">
        <v>7</v>
      </c>
      <c r="K2035" s="63">
        <v>25170</v>
      </c>
      <c r="L2035" s="28">
        <f>DATEDIF(K2035,Zwift25!G$1,"Y")</f>
        <v>55</v>
      </c>
      <c r="M2035" s="67">
        <f>IF(J2035="m",VLOOKUP(L2035,'All Solo Adjustments'!A:D,4,FALSE),VLOOKUP(L2035,'All Solo Adjustments'!A:J,10,FALSE))</f>
        <v>2.0601851851851853E-3</v>
      </c>
      <c r="N2035" s="63"/>
      <c r="O2035" s="63"/>
      <c r="P2035" s="63"/>
      <c r="Q2035" s="63"/>
      <c r="R2035" t="s">
        <v>180</v>
      </c>
      <c r="S2035" t="s">
        <v>179</v>
      </c>
      <c r="T2035" t="s">
        <v>292</v>
      </c>
      <c r="U2035" t="s">
        <v>3147</v>
      </c>
      <c r="V2035" t="s">
        <v>3146</v>
      </c>
      <c r="Y2035" t="s">
        <v>3145</v>
      </c>
      <c r="Z2035" t="str">
        <f>"07493764800"</f>
        <v>07493764800</v>
      </c>
      <c r="AA2035" t="str">
        <f>""</f>
        <v/>
      </c>
      <c r="AB2035" t="s">
        <v>2916</v>
      </c>
      <c r="AC2035" t="s">
        <v>3144</v>
      </c>
      <c r="AD2035" t="s">
        <v>114</v>
      </c>
      <c r="AE2035" s="63">
        <v>45432</v>
      </c>
      <c r="AF2035" t="s">
        <v>156</v>
      </c>
      <c r="AG2035" t="s">
        <v>112</v>
      </c>
      <c r="AH2035" t="s">
        <v>112</v>
      </c>
      <c r="AI2035" s="63">
        <v>45432</v>
      </c>
      <c r="AJ2035" s="63">
        <v>45657</v>
      </c>
      <c r="AK2035" t="s">
        <v>112</v>
      </c>
      <c r="AL2035" t="s">
        <v>112</v>
      </c>
      <c r="AM2035" t="s">
        <v>111</v>
      </c>
      <c r="AN2035">
        <v>48825</v>
      </c>
      <c r="AO2035" t="s">
        <v>110</v>
      </c>
      <c r="AP2035" t="s">
        <v>109</v>
      </c>
    </row>
    <row r="2036" spans="1:42" x14ac:dyDescent="0.25">
      <c r="A2036" s="28" t="str">
        <f>"2557"</f>
        <v>2557</v>
      </c>
      <c r="B2036">
        <v>2557</v>
      </c>
      <c r="C2036" t="s">
        <v>2488</v>
      </c>
      <c r="D2036" t="s">
        <v>121</v>
      </c>
      <c r="F2036" t="s">
        <v>120</v>
      </c>
      <c r="G2036" t="s">
        <v>284</v>
      </c>
      <c r="I2036" t="s">
        <v>233</v>
      </c>
      <c r="J2036" t="s">
        <v>7</v>
      </c>
      <c r="K2036" s="63">
        <v>12666</v>
      </c>
      <c r="L2036" s="28">
        <f>DATEDIF(K2036,Zwift25!G$1,"Y")</f>
        <v>90</v>
      </c>
      <c r="M2036" s="67">
        <f>IF(J2036="m",VLOOKUP(L2036,'All Solo Adjustments'!A:D,4,FALSE),VLOOKUP(L2036,'All Solo Adjustments'!A:J,10,FALSE))</f>
        <v>1.8391203703703705E-2</v>
      </c>
      <c r="N2036" s="63"/>
      <c r="O2036" s="63"/>
      <c r="P2036" s="63"/>
      <c r="Q2036" s="63"/>
      <c r="R2036" t="s">
        <v>283</v>
      </c>
      <c r="S2036" t="s">
        <v>2311</v>
      </c>
      <c r="T2036" t="s">
        <v>292</v>
      </c>
      <c r="U2036" t="s">
        <v>3143</v>
      </c>
      <c r="V2036" t="s">
        <v>3142</v>
      </c>
      <c r="W2036" t="s">
        <v>1871</v>
      </c>
      <c r="X2036" t="s">
        <v>534</v>
      </c>
      <c r="Y2036" t="s">
        <v>3141</v>
      </c>
      <c r="Z2036" t="str">
        <f>"01746 764575"</f>
        <v>01746 764575</v>
      </c>
      <c r="AA2036" t="str">
        <f>""</f>
        <v/>
      </c>
      <c r="AB2036" t="s">
        <v>3140</v>
      </c>
      <c r="AD2036" t="s">
        <v>151</v>
      </c>
      <c r="AF2036" t="s">
        <v>113</v>
      </c>
      <c r="AG2036" t="s">
        <v>112</v>
      </c>
      <c r="AH2036" t="s">
        <v>112</v>
      </c>
      <c r="AI2036" s="63">
        <v>27276</v>
      </c>
      <c r="AK2036" t="s">
        <v>111</v>
      </c>
      <c r="AL2036" t="s">
        <v>111</v>
      </c>
      <c r="AM2036" t="s">
        <v>111</v>
      </c>
      <c r="AN2036" t="s">
        <v>105</v>
      </c>
      <c r="AO2036" t="s">
        <v>110</v>
      </c>
      <c r="AP2036" t="s">
        <v>109</v>
      </c>
    </row>
    <row r="2037" spans="1:42" x14ac:dyDescent="0.25">
      <c r="A2037" s="28" t="str">
        <f>"3278"</f>
        <v>3278</v>
      </c>
      <c r="B2037">
        <v>3278</v>
      </c>
      <c r="C2037" t="s">
        <v>2488</v>
      </c>
      <c r="D2037" t="s">
        <v>121</v>
      </c>
      <c r="F2037" t="s">
        <v>120</v>
      </c>
      <c r="G2037" t="s">
        <v>195</v>
      </c>
      <c r="I2037" t="s">
        <v>1122</v>
      </c>
      <c r="J2037" t="s">
        <v>7</v>
      </c>
      <c r="K2037" s="63">
        <v>14592</v>
      </c>
      <c r="L2037" s="28">
        <f>DATEDIF(K2037,Zwift25!G$1,"Y")</f>
        <v>84</v>
      </c>
      <c r="M2037" s="67">
        <f>IF(J2037="m",VLOOKUP(L2037,'All Solo Adjustments'!A:D,4,FALSE),VLOOKUP(L2037,'All Solo Adjustments'!A:J,10,FALSE))</f>
        <v>1.3530092592592592E-2</v>
      </c>
      <c r="N2037" s="63"/>
      <c r="O2037" s="63"/>
      <c r="P2037" s="63"/>
      <c r="Q2037" s="63"/>
      <c r="R2037" t="s">
        <v>159</v>
      </c>
      <c r="S2037" t="s">
        <v>3139</v>
      </c>
      <c r="T2037" t="s">
        <v>292</v>
      </c>
      <c r="U2037" t="s">
        <v>3138</v>
      </c>
      <c r="V2037" t="s">
        <v>3137</v>
      </c>
      <c r="W2037" t="s">
        <v>159</v>
      </c>
      <c r="Y2037" t="s">
        <v>3136</v>
      </c>
      <c r="Z2037" t="str">
        <f>"0208 3045669"</f>
        <v>0208 3045669</v>
      </c>
      <c r="AA2037" t="str">
        <f>""</f>
        <v/>
      </c>
      <c r="AB2037" t="s">
        <v>2189</v>
      </c>
      <c r="AC2037" t="s">
        <v>3135</v>
      </c>
      <c r="AD2037" t="s">
        <v>151</v>
      </c>
      <c r="AF2037" t="s">
        <v>113</v>
      </c>
      <c r="AG2037" t="s">
        <v>112</v>
      </c>
      <c r="AH2037" t="s">
        <v>112</v>
      </c>
      <c r="AK2037" t="s">
        <v>111</v>
      </c>
      <c r="AL2037" t="s">
        <v>111</v>
      </c>
      <c r="AM2037" t="s">
        <v>111</v>
      </c>
      <c r="AN2037" t="s">
        <v>105</v>
      </c>
      <c r="AO2037" t="s">
        <v>110</v>
      </c>
      <c r="AP2037" t="s">
        <v>109</v>
      </c>
    </row>
    <row r="2038" spans="1:42" x14ac:dyDescent="0.25">
      <c r="A2038" s="28" t="str">
        <f>"15995"</f>
        <v>15995</v>
      </c>
      <c r="B2038">
        <v>15995</v>
      </c>
      <c r="C2038" t="s">
        <v>2488</v>
      </c>
      <c r="D2038" t="s">
        <v>121</v>
      </c>
      <c r="F2038" t="s">
        <v>120</v>
      </c>
      <c r="G2038" t="s">
        <v>251</v>
      </c>
      <c r="H2038" t="s">
        <v>492</v>
      </c>
      <c r="I2038" t="s">
        <v>1122</v>
      </c>
      <c r="J2038" t="s">
        <v>7</v>
      </c>
      <c r="K2038" s="63">
        <v>24748</v>
      </c>
      <c r="L2038" s="28">
        <f>DATEDIF(K2038,Zwift25!G$1,"Y")</f>
        <v>57</v>
      </c>
      <c r="M2038" s="67">
        <f>IF(J2038="m",VLOOKUP(L2038,'All Solo Adjustments'!A:D,4,FALSE),VLOOKUP(L2038,'All Solo Adjustments'!A:J,10,FALSE))</f>
        <v>2.488425925925926E-3</v>
      </c>
      <c r="N2038" s="63"/>
      <c r="O2038" s="63"/>
      <c r="P2038" s="63"/>
      <c r="Q2038" s="63"/>
      <c r="R2038" t="s">
        <v>125</v>
      </c>
      <c r="S2038" t="s">
        <v>170</v>
      </c>
      <c r="T2038" t="s">
        <v>292</v>
      </c>
      <c r="U2038" t="s">
        <v>3134</v>
      </c>
      <c r="V2038" t="s">
        <v>1661</v>
      </c>
      <c r="W2038" t="s">
        <v>202</v>
      </c>
      <c r="Y2038" t="s">
        <v>3133</v>
      </c>
      <c r="Z2038" t="str">
        <f>"07503 698540"</f>
        <v>07503 698540</v>
      </c>
      <c r="AA2038" t="str">
        <f>""</f>
        <v/>
      </c>
      <c r="AB2038" t="s">
        <v>408</v>
      </c>
      <c r="AC2038" t="s">
        <v>3132</v>
      </c>
      <c r="AD2038" t="s">
        <v>114</v>
      </c>
      <c r="AE2038" s="63">
        <v>45305</v>
      </c>
      <c r="AF2038" t="s">
        <v>156</v>
      </c>
      <c r="AG2038" t="s">
        <v>112</v>
      </c>
      <c r="AH2038" t="s">
        <v>112</v>
      </c>
      <c r="AI2038" s="63">
        <v>45305</v>
      </c>
      <c r="AJ2038" s="63">
        <v>45657</v>
      </c>
      <c r="AK2038" t="s">
        <v>112</v>
      </c>
      <c r="AL2038" t="s">
        <v>111</v>
      </c>
      <c r="AM2038" t="s">
        <v>111</v>
      </c>
      <c r="AN2038">
        <v>5905</v>
      </c>
      <c r="AO2038" t="s">
        <v>110</v>
      </c>
      <c r="AP2038" t="s">
        <v>109</v>
      </c>
    </row>
    <row r="2039" spans="1:42" x14ac:dyDescent="0.25">
      <c r="A2039" s="28" t="str">
        <f>"2563"</f>
        <v>2563</v>
      </c>
      <c r="B2039">
        <v>2563</v>
      </c>
      <c r="C2039" t="s">
        <v>2488</v>
      </c>
      <c r="D2039" t="s">
        <v>121</v>
      </c>
      <c r="F2039" t="s">
        <v>120</v>
      </c>
      <c r="G2039" t="s">
        <v>185</v>
      </c>
      <c r="H2039" t="s">
        <v>245</v>
      </c>
      <c r="I2039" t="s">
        <v>3128</v>
      </c>
      <c r="J2039" t="s">
        <v>7</v>
      </c>
      <c r="K2039" s="63">
        <v>17770</v>
      </c>
      <c r="L2039" s="28">
        <f>DATEDIF(K2039,Zwift25!G$1,"Y")</f>
        <v>76</v>
      </c>
      <c r="M2039" s="67">
        <f>IF(J2039="m",VLOOKUP(L2039,'All Solo Adjustments'!A:D,4,FALSE),VLOOKUP(L2039,'All Solo Adjustments'!A:J,10,FALSE))</f>
        <v>8.912037037037036E-3</v>
      </c>
      <c r="N2039" s="63"/>
      <c r="O2039" s="63"/>
      <c r="P2039" s="63"/>
      <c r="Q2039" s="63"/>
      <c r="R2039" t="s">
        <v>137</v>
      </c>
      <c r="S2039" t="s">
        <v>136</v>
      </c>
      <c r="T2039" t="s">
        <v>292</v>
      </c>
      <c r="U2039" t="s">
        <v>3131</v>
      </c>
      <c r="V2039" t="s">
        <v>440</v>
      </c>
      <c r="W2039" t="s">
        <v>208</v>
      </c>
      <c r="Y2039" t="s">
        <v>3130</v>
      </c>
      <c r="Z2039" t="str">
        <f>"01264 359461"</f>
        <v>01264 359461</v>
      </c>
      <c r="AA2039" t="str">
        <f>""</f>
        <v/>
      </c>
      <c r="AB2039" t="s">
        <v>133</v>
      </c>
      <c r="AC2039" t="s">
        <v>3129</v>
      </c>
      <c r="AD2039" t="s">
        <v>114</v>
      </c>
      <c r="AE2039" s="63">
        <v>45323</v>
      </c>
      <c r="AF2039" t="s">
        <v>113</v>
      </c>
      <c r="AG2039" t="s">
        <v>112</v>
      </c>
      <c r="AH2039" t="s">
        <v>112</v>
      </c>
      <c r="AI2039" s="63">
        <v>33436</v>
      </c>
      <c r="AJ2039" s="63">
        <v>45657</v>
      </c>
      <c r="AK2039" t="s">
        <v>111</v>
      </c>
      <c r="AL2039" t="s">
        <v>111</v>
      </c>
      <c r="AM2039" t="s">
        <v>111</v>
      </c>
      <c r="AN2039" t="s">
        <v>105</v>
      </c>
      <c r="AO2039" t="s">
        <v>110</v>
      </c>
      <c r="AP2039" t="s">
        <v>109</v>
      </c>
    </row>
    <row r="2040" spans="1:42" x14ac:dyDescent="0.25">
      <c r="A2040" s="28" t="str">
        <f>"14975"</f>
        <v>14975</v>
      </c>
      <c r="B2040">
        <v>14975</v>
      </c>
      <c r="C2040" t="s">
        <v>2488</v>
      </c>
      <c r="D2040" t="s">
        <v>121</v>
      </c>
      <c r="E2040" t="s">
        <v>584</v>
      </c>
      <c r="F2040" t="s">
        <v>120</v>
      </c>
      <c r="G2040" t="s">
        <v>165</v>
      </c>
      <c r="H2040" t="s">
        <v>2195</v>
      </c>
      <c r="I2040" t="s">
        <v>3128</v>
      </c>
      <c r="J2040" t="s">
        <v>7</v>
      </c>
      <c r="K2040" s="63">
        <v>22911</v>
      </c>
      <c r="L2040" s="28">
        <f>DATEDIF(K2040,Zwift25!G$1,"Y")</f>
        <v>62</v>
      </c>
      <c r="M2040" s="67">
        <f>IF(J2040="m",VLOOKUP(L2040,'All Solo Adjustments'!A:D,4,FALSE),VLOOKUP(L2040,'All Solo Adjustments'!A:J,10,FALSE))</f>
        <v>3.7384259259259259E-3</v>
      </c>
      <c r="N2040" s="63"/>
      <c r="O2040" s="63"/>
      <c r="P2040" s="63"/>
      <c r="Q2040" s="63"/>
      <c r="R2040" t="s">
        <v>143</v>
      </c>
      <c r="S2040" t="s">
        <v>142</v>
      </c>
      <c r="T2040" t="s">
        <v>292</v>
      </c>
      <c r="U2040" t="s">
        <v>3127</v>
      </c>
      <c r="V2040" t="s">
        <v>3126</v>
      </c>
      <c r="W2040" t="s">
        <v>141</v>
      </c>
      <c r="Y2040" t="s">
        <v>3125</v>
      </c>
      <c r="Z2040" t="str">
        <f>"07793 037037"</f>
        <v>07793 037037</v>
      </c>
      <c r="AA2040" t="str">
        <f>""</f>
        <v/>
      </c>
      <c r="AB2040" t="s">
        <v>742</v>
      </c>
      <c r="AC2040" t="s">
        <v>3124</v>
      </c>
      <c r="AD2040" t="s">
        <v>114</v>
      </c>
      <c r="AE2040" s="63">
        <v>45271</v>
      </c>
      <c r="AF2040" t="s">
        <v>113</v>
      </c>
      <c r="AG2040" t="s">
        <v>112</v>
      </c>
      <c r="AH2040" t="s">
        <v>112</v>
      </c>
      <c r="AI2040" s="63">
        <v>44292</v>
      </c>
      <c r="AJ2040" s="63">
        <v>45657</v>
      </c>
      <c r="AK2040" t="s">
        <v>112</v>
      </c>
      <c r="AL2040" t="s">
        <v>111</v>
      </c>
      <c r="AM2040" t="s">
        <v>111</v>
      </c>
      <c r="AN2040">
        <v>38195</v>
      </c>
      <c r="AO2040" t="s">
        <v>110</v>
      </c>
      <c r="AP2040" t="s">
        <v>109</v>
      </c>
    </row>
    <row r="2041" spans="1:42" x14ac:dyDescent="0.25">
      <c r="A2041" s="28" t="str">
        <f>"4007"</f>
        <v>4007</v>
      </c>
      <c r="B2041">
        <v>4007</v>
      </c>
      <c r="C2041" t="s">
        <v>2488</v>
      </c>
      <c r="D2041" t="s">
        <v>121</v>
      </c>
      <c r="F2041" t="s">
        <v>120</v>
      </c>
      <c r="G2041" t="s">
        <v>251</v>
      </c>
      <c r="H2041" t="s">
        <v>284</v>
      </c>
      <c r="I2041" t="s">
        <v>3123</v>
      </c>
      <c r="J2041" t="s">
        <v>7</v>
      </c>
      <c r="K2041" s="63">
        <v>19759</v>
      </c>
      <c r="L2041" s="28">
        <f>DATEDIF(K2041,Zwift25!G$1,"Y")</f>
        <v>70</v>
      </c>
      <c r="M2041" s="67">
        <f>IF(J2041="m",VLOOKUP(L2041,'All Solo Adjustments'!A:D,4,FALSE),VLOOKUP(L2041,'All Solo Adjustments'!A:J,10,FALSE))</f>
        <v>6.3425925925925924E-3</v>
      </c>
      <c r="N2041" s="63"/>
      <c r="O2041" s="63"/>
      <c r="P2041" s="63"/>
      <c r="Q2041" s="63"/>
      <c r="R2041" t="s">
        <v>137</v>
      </c>
      <c r="S2041" t="s">
        <v>136</v>
      </c>
      <c r="T2041" t="s">
        <v>292</v>
      </c>
      <c r="U2041" t="s">
        <v>3122</v>
      </c>
      <c r="V2041" t="s">
        <v>3121</v>
      </c>
      <c r="W2041" t="s">
        <v>3120</v>
      </c>
      <c r="X2041" t="s">
        <v>208</v>
      </c>
      <c r="Y2041" t="s">
        <v>3119</v>
      </c>
      <c r="Z2041" t="str">
        <f>"07968831861"</f>
        <v>07968831861</v>
      </c>
      <c r="AA2041" t="str">
        <f>"01962 880484"</f>
        <v>01962 880484</v>
      </c>
      <c r="AB2041" t="s">
        <v>544</v>
      </c>
      <c r="AC2041" t="s">
        <v>3118</v>
      </c>
      <c r="AD2041" t="s">
        <v>114</v>
      </c>
      <c r="AE2041" s="63">
        <v>45208</v>
      </c>
      <c r="AF2041" t="s">
        <v>156</v>
      </c>
      <c r="AG2041" t="s">
        <v>112</v>
      </c>
      <c r="AH2041" t="s">
        <v>112</v>
      </c>
      <c r="AI2041" s="63">
        <v>40370</v>
      </c>
      <c r="AJ2041" s="63">
        <v>45657</v>
      </c>
      <c r="AK2041" t="s">
        <v>111</v>
      </c>
      <c r="AL2041" t="s">
        <v>111</v>
      </c>
      <c r="AM2041" t="s">
        <v>111</v>
      </c>
      <c r="AN2041">
        <v>5520</v>
      </c>
      <c r="AO2041" t="s">
        <v>110</v>
      </c>
      <c r="AP2041" t="s">
        <v>109</v>
      </c>
    </row>
    <row r="2042" spans="1:42" x14ac:dyDescent="0.25">
      <c r="A2042" s="28" t="str">
        <f>"13729"</f>
        <v>13729</v>
      </c>
      <c r="B2042">
        <v>13729</v>
      </c>
      <c r="C2042" t="s">
        <v>2488</v>
      </c>
      <c r="D2042" t="s">
        <v>121</v>
      </c>
      <c r="F2042" t="s">
        <v>120</v>
      </c>
      <c r="G2042" t="s">
        <v>601</v>
      </c>
      <c r="I2042" t="s">
        <v>1118</v>
      </c>
      <c r="J2042" t="s">
        <v>7</v>
      </c>
      <c r="K2042" s="63">
        <v>26152</v>
      </c>
      <c r="L2042" s="28">
        <f>DATEDIF(K2042,Zwift25!G$1,"Y")</f>
        <v>53</v>
      </c>
      <c r="M2042" s="67">
        <f>IF(J2042="m",VLOOKUP(L2042,'All Solo Adjustments'!A:D,4,FALSE),VLOOKUP(L2042,'All Solo Adjustments'!A:J,10,FALSE))</f>
        <v>1.6666666666666668E-3</v>
      </c>
      <c r="N2042" s="63"/>
      <c r="O2042" s="63"/>
      <c r="P2042" s="63"/>
      <c r="Q2042" s="63"/>
      <c r="R2042" t="s">
        <v>118</v>
      </c>
      <c r="S2042" t="s">
        <v>117</v>
      </c>
      <c r="T2042" t="s">
        <v>292</v>
      </c>
      <c r="U2042" t="s">
        <v>3117</v>
      </c>
      <c r="V2042" t="s">
        <v>3116</v>
      </c>
      <c r="W2042" t="s">
        <v>2260</v>
      </c>
      <c r="X2042" t="s">
        <v>368</v>
      </c>
      <c r="Y2042" t="s">
        <v>3115</v>
      </c>
      <c r="Z2042" t="str">
        <f>"07880966706"</f>
        <v>07880966706</v>
      </c>
      <c r="AA2042" t="str">
        <f>"07880966706"</f>
        <v>07880966706</v>
      </c>
      <c r="AB2042" t="s">
        <v>1998</v>
      </c>
      <c r="AC2042" t="s">
        <v>3114</v>
      </c>
      <c r="AD2042" t="s">
        <v>145</v>
      </c>
      <c r="AE2042" s="63">
        <v>45400</v>
      </c>
      <c r="AF2042" t="s">
        <v>156</v>
      </c>
      <c r="AG2042" t="s">
        <v>112</v>
      </c>
      <c r="AH2042" t="s">
        <v>112</v>
      </c>
      <c r="AI2042" s="63">
        <v>43302</v>
      </c>
      <c r="AJ2042" s="63">
        <v>45657</v>
      </c>
      <c r="AK2042" t="s">
        <v>112</v>
      </c>
      <c r="AL2042" t="s">
        <v>112</v>
      </c>
      <c r="AM2042" t="s">
        <v>111</v>
      </c>
      <c r="AN2042">
        <v>10088</v>
      </c>
      <c r="AO2042" t="s">
        <v>110</v>
      </c>
      <c r="AP2042" t="s">
        <v>109</v>
      </c>
    </row>
    <row r="2043" spans="1:42" x14ac:dyDescent="0.25">
      <c r="A2043" s="28" t="str">
        <f>"16061"</f>
        <v>16061</v>
      </c>
      <c r="B2043">
        <v>16061</v>
      </c>
      <c r="C2043" t="s">
        <v>2488</v>
      </c>
      <c r="D2043" t="s">
        <v>121</v>
      </c>
      <c r="F2043" t="s">
        <v>120</v>
      </c>
      <c r="G2043" t="s">
        <v>481</v>
      </c>
      <c r="H2043" t="s">
        <v>284</v>
      </c>
      <c r="I2043" t="s">
        <v>1118</v>
      </c>
      <c r="J2043" t="s">
        <v>7</v>
      </c>
      <c r="K2043" s="63">
        <v>20055</v>
      </c>
      <c r="L2043" s="28">
        <f>DATEDIF(K2043,Zwift25!G$1,"Y")</f>
        <v>69</v>
      </c>
      <c r="M2043" s="67">
        <f>IF(J2043="m",VLOOKUP(L2043,'All Solo Adjustments'!A:D,4,FALSE),VLOOKUP(L2043,'All Solo Adjustments'!A:J,10,FALSE))</f>
        <v>5.9722222222222225E-3</v>
      </c>
      <c r="N2043" s="63"/>
      <c r="O2043" s="63"/>
      <c r="P2043" s="63"/>
      <c r="Q2043" s="63"/>
      <c r="R2043" t="s">
        <v>184</v>
      </c>
      <c r="S2043" t="s">
        <v>183</v>
      </c>
      <c r="T2043" t="s">
        <v>292</v>
      </c>
      <c r="U2043" t="s">
        <v>3113</v>
      </c>
      <c r="V2043" t="s">
        <v>3112</v>
      </c>
      <c r="W2043" t="s">
        <v>3111</v>
      </c>
      <c r="X2043" t="s">
        <v>344</v>
      </c>
      <c r="Y2043" t="s">
        <v>2013</v>
      </c>
      <c r="Z2043" t="str">
        <f>"07795217365"</f>
        <v>07795217365</v>
      </c>
      <c r="AA2043" t="str">
        <f>""</f>
        <v/>
      </c>
      <c r="AB2043" t="s">
        <v>408</v>
      </c>
      <c r="AC2043" t="s">
        <v>3110</v>
      </c>
      <c r="AD2043" t="s">
        <v>114</v>
      </c>
      <c r="AE2043" s="63">
        <v>45363</v>
      </c>
      <c r="AF2043" t="s">
        <v>156</v>
      </c>
      <c r="AG2043" t="s">
        <v>112</v>
      </c>
      <c r="AH2043" t="s">
        <v>112</v>
      </c>
      <c r="AI2043" s="63">
        <v>45363</v>
      </c>
      <c r="AJ2043" s="63">
        <v>45657</v>
      </c>
      <c r="AK2043" t="s">
        <v>112</v>
      </c>
      <c r="AL2043" t="s">
        <v>111</v>
      </c>
      <c r="AM2043" t="s">
        <v>111</v>
      </c>
      <c r="AN2043">
        <v>49917</v>
      </c>
      <c r="AO2043" t="s">
        <v>110</v>
      </c>
      <c r="AP2043" t="s">
        <v>109</v>
      </c>
    </row>
    <row r="2044" spans="1:42" x14ac:dyDescent="0.25">
      <c r="A2044" s="28" t="str">
        <f>"5355"</f>
        <v>5355</v>
      </c>
      <c r="B2044">
        <v>5355</v>
      </c>
      <c r="C2044" t="s">
        <v>2488</v>
      </c>
      <c r="D2044" t="s">
        <v>121</v>
      </c>
      <c r="F2044" t="s">
        <v>120</v>
      </c>
      <c r="G2044" t="s">
        <v>230</v>
      </c>
      <c r="I2044" t="s">
        <v>154</v>
      </c>
      <c r="J2044" t="s">
        <v>7</v>
      </c>
      <c r="K2044" s="63">
        <v>27462</v>
      </c>
      <c r="L2044" s="28">
        <f>DATEDIF(K2044,Zwift25!G$1,"Y")</f>
        <v>49</v>
      </c>
      <c r="M2044" s="67">
        <f>IF(J2044="m",VLOOKUP(L2044,'All Solo Adjustments'!A:D,4,FALSE),VLOOKUP(L2044,'All Solo Adjustments'!A:J,10,FALSE))</f>
        <v>9.837962962962962E-4</v>
      </c>
      <c r="N2044" s="63"/>
      <c r="O2044" s="63"/>
      <c r="P2044" s="63"/>
      <c r="Q2044" s="63"/>
      <c r="R2044" t="s">
        <v>184</v>
      </c>
      <c r="S2044" t="s">
        <v>183</v>
      </c>
      <c r="T2044" t="s">
        <v>292</v>
      </c>
      <c r="U2044" t="s">
        <v>3109</v>
      </c>
      <c r="V2044" t="s">
        <v>1708</v>
      </c>
      <c r="Y2044" t="s">
        <v>3108</v>
      </c>
      <c r="Z2044" t="str">
        <f>"07818 646286"</f>
        <v>07818 646286</v>
      </c>
      <c r="AA2044" t="str">
        <f>"01865 423725"</f>
        <v>01865 423725</v>
      </c>
      <c r="AB2044" t="s">
        <v>1550</v>
      </c>
      <c r="AC2044" t="s">
        <v>3107</v>
      </c>
      <c r="AD2044" t="s">
        <v>114</v>
      </c>
      <c r="AE2044" s="63">
        <v>45265</v>
      </c>
      <c r="AF2044" t="s">
        <v>156</v>
      </c>
      <c r="AG2044" t="s">
        <v>112</v>
      </c>
      <c r="AH2044" t="s">
        <v>112</v>
      </c>
      <c r="AI2044" s="63">
        <v>42073</v>
      </c>
      <c r="AJ2044" s="63">
        <v>45657</v>
      </c>
      <c r="AK2044" t="s">
        <v>111</v>
      </c>
      <c r="AL2044" t="s">
        <v>111</v>
      </c>
      <c r="AM2044" t="s">
        <v>111</v>
      </c>
      <c r="AN2044">
        <v>1000</v>
      </c>
      <c r="AO2044" t="s">
        <v>110</v>
      </c>
      <c r="AP2044" t="s">
        <v>109</v>
      </c>
    </row>
    <row r="2045" spans="1:42" x14ac:dyDescent="0.25">
      <c r="A2045" s="28" t="str">
        <f>"14097"</f>
        <v>14097</v>
      </c>
      <c r="B2045">
        <v>14097</v>
      </c>
      <c r="C2045" t="s">
        <v>2488</v>
      </c>
      <c r="D2045" t="s">
        <v>121</v>
      </c>
      <c r="E2045" t="s">
        <v>584</v>
      </c>
      <c r="F2045" t="s">
        <v>120</v>
      </c>
      <c r="G2045" t="s">
        <v>284</v>
      </c>
      <c r="H2045" t="s">
        <v>469</v>
      </c>
      <c r="I2045" t="s">
        <v>3106</v>
      </c>
      <c r="J2045" t="s">
        <v>7</v>
      </c>
      <c r="K2045" s="63">
        <v>20938</v>
      </c>
      <c r="L2045" s="28">
        <f>DATEDIF(K2045,Zwift25!G$1,"Y")</f>
        <v>67</v>
      </c>
      <c r="M2045" s="67">
        <f>IF(J2045="m",VLOOKUP(L2045,'All Solo Adjustments'!A:D,4,FALSE),VLOOKUP(L2045,'All Solo Adjustments'!A:J,10,FALSE))</f>
        <v>5.2662037037037035E-3</v>
      </c>
      <c r="N2045" s="63"/>
      <c r="O2045" s="63"/>
      <c r="P2045" s="63"/>
      <c r="Q2045" s="63"/>
      <c r="R2045" t="s">
        <v>213</v>
      </c>
      <c r="S2045" t="s">
        <v>212</v>
      </c>
      <c r="T2045" t="s">
        <v>292</v>
      </c>
      <c r="U2045" t="s">
        <v>3105</v>
      </c>
      <c r="V2045" t="s">
        <v>3104</v>
      </c>
      <c r="W2045" t="s">
        <v>535</v>
      </c>
      <c r="X2045" t="s">
        <v>534</v>
      </c>
      <c r="Y2045" t="s">
        <v>3103</v>
      </c>
      <c r="Z2045" t="str">
        <f>"07914023453"</f>
        <v>07914023453</v>
      </c>
      <c r="AA2045" t="str">
        <f>"01694731223"</f>
        <v>01694731223</v>
      </c>
      <c r="AB2045" t="s">
        <v>3102</v>
      </c>
      <c r="AC2045" t="s">
        <v>3101</v>
      </c>
      <c r="AD2045" t="s">
        <v>114</v>
      </c>
      <c r="AE2045" s="63">
        <v>45273</v>
      </c>
      <c r="AF2045" t="s">
        <v>156</v>
      </c>
      <c r="AG2045" t="s">
        <v>112</v>
      </c>
      <c r="AH2045" t="s">
        <v>112</v>
      </c>
      <c r="AI2045" s="63">
        <v>43529</v>
      </c>
      <c r="AJ2045" s="63">
        <v>45657</v>
      </c>
      <c r="AK2045" t="s">
        <v>112</v>
      </c>
      <c r="AL2045" t="s">
        <v>111</v>
      </c>
      <c r="AM2045" t="s">
        <v>111</v>
      </c>
      <c r="AN2045">
        <v>24283</v>
      </c>
      <c r="AO2045" t="s">
        <v>110</v>
      </c>
      <c r="AP2045" t="s">
        <v>109</v>
      </c>
    </row>
    <row r="2046" spans="1:42" x14ac:dyDescent="0.25">
      <c r="A2046" s="28" t="str">
        <f>"2577"</f>
        <v>2577</v>
      </c>
      <c r="B2046">
        <v>2577</v>
      </c>
      <c r="C2046" t="s">
        <v>2488</v>
      </c>
      <c r="D2046" t="s">
        <v>121</v>
      </c>
      <c r="F2046" t="s">
        <v>120</v>
      </c>
      <c r="G2046" t="s">
        <v>513</v>
      </c>
      <c r="I2046" t="s">
        <v>3100</v>
      </c>
      <c r="J2046" t="s">
        <v>7</v>
      </c>
      <c r="K2046" s="63">
        <v>16379</v>
      </c>
      <c r="L2046" s="28">
        <f>DATEDIF(K2046,Zwift25!G$1,"Y")</f>
        <v>79</v>
      </c>
      <c r="M2046" s="67">
        <f>IF(J2046="m",VLOOKUP(L2046,'All Solo Adjustments'!A:D,4,FALSE),VLOOKUP(L2046,'All Solo Adjustments'!A:J,10,FALSE))</f>
        <v>1.0451388888888889E-2</v>
      </c>
      <c r="N2046" s="63"/>
      <c r="O2046" s="63"/>
      <c r="P2046" s="63"/>
      <c r="Q2046" s="63"/>
      <c r="R2046" t="s">
        <v>328</v>
      </c>
      <c r="S2046" t="s">
        <v>2290</v>
      </c>
      <c r="T2046" t="s">
        <v>292</v>
      </c>
      <c r="U2046" t="s">
        <v>3099</v>
      </c>
      <c r="V2046" t="s">
        <v>3098</v>
      </c>
      <c r="W2046" t="s">
        <v>1583</v>
      </c>
      <c r="X2046" t="s">
        <v>810</v>
      </c>
      <c r="Y2046" t="s">
        <v>3097</v>
      </c>
      <c r="Z2046" t="str">
        <f>"01768 898045"</f>
        <v>01768 898045</v>
      </c>
      <c r="AA2046" t="str">
        <f>"07778280612"</f>
        <v>07778280612</v>
      </c>
      <c r="AB2046" t="s">
        <v>1979</v>
      </c>
      <c r="AC2046" t="s">
        <v>3096</v>
      </c>
      <c r="AD2046" t="s">
        <v>145</v>
      </c>
      <c r="AF2046" t="s">
        <v>113</v>
      </c>
      <c r="AG2046" t="s">
        <v>112</v>
      </c>
      <c r="AH2046" t="s">
        <v>112</v>
      </c>
      <c r="AI2046" s="63">
        <v>43429</v>
      </c>
      <c r="AK2046" t="s">
        <v>111</v>
      </c>
      <c r="AL2046" t="s">
        <v>111</v>
      </c>
      <c r="AM2046" t="s">
        <v>111</v>
      </c>
      <c r="AN2046">
        <v>85</v>
      </c>
      <c r="AO2046" t="s">
        <v>110</v>
      </c>
      <c r="AP2046" t="s">
        <v>109</v>
      </c>
    </row>
    <row r="2047" spans="1:42" x14ac:dyDescent="0.25">
      <c r="A2047" s="28" t="str">
        <f>"5995"</f>
        <v>5995</v>
      </c>
      <c r="B2047">
        <v>5995</v>
      </c>
      <c r="C2047" t="s">
        <v>2488</v>
      </c>
      <c r="D2047" t="s">
        <v>121</v>
      </c>
      <c r="F2047" t="s">
        <v>144</v>
      </c>
      <c r="G2047" t="s">
        <v>3095</v>
      </c>
      <c r="I2047" t="s">
        <v>3094</v>
      </c>
      <c r="J2047" t="s">
        <v>126</v>
      </c>
      <c r="K2047" s="63">
        <v>25135</v>
      </c>
      <c r="L2047" s="28">
        <f>DATEDIF(K2047,Zwift25!G$1,"Y")</f>
        <v>55</v>
      </c>
      <c r="M2047" s="67">
        <f>IF(J2047="m",VLOOKUP(L2047,'All Solo Adjustments'!A:D,4,FALSE),VLOOKUP(L2047,'All Solo Adjustments'!A:J,10,FALSE))</f>
        <v>5.6597222222222222E-3</v>
      </c>
      <c r="N2047" s="63"/>
      <c r="O2047" s="63"/>
      <c r="P2047" s="63"/>
      <c r="Q2047" s="63"/>
      <c r="R2047" t="s">
        <v>328</v>
      </c>
      <c r="S2047" t="s">
        <v>327</v>
      </c>
      <c r="T2047" t="s">
        <v>292</v>
      </c>
      <c r="U2047" t="s">
        <v>3093</v>
      </c>
      <c r="V2047" t="s">
        <v>3092</v>
      </c>
      <c r="W2047" t="s">
        <v>786</v>
      </c>
      <c r="X2047" t="s">
        <v>810</v>
      </c>
      <c r="Y2047" t="s">
        <v>3091</v>
      </c>
      <c r="Z2047" t="str">
        <f>"01768 896733"</f>
        <v>01768 896733</v>
      </c>
      <c r="AA2047" t="str">
        <f>"07976266335"</f>
        <v>07976266335</v>
      </c>
      <c r="AB2047" t="s">
        <v>1582</v>
      </c>
      <c r="AC2047" t="s">
        <v>3090</v>
      </c>
      <c r="AD2047" t="s">
        <v>114</v>
      </c>
      <c r="AE2047" s="63">
        <v>45303</v>
      </c>
      <c r="AF2047" t="s">
        <v>156</v>
      </c>
      <c r="AG2047" t="s">
        <v>112</v>
      </c>
      <c r="AH2047" t="s">
        <v>112</v>
      </c>
      <c r="AI2047" s="63">
        <v>42662</v>
      </c>
      <c r="AJ2047" s="63">
        <v>45657</v>
      </c>
      <c r="AK2047" t="s">
        <v>111</v>
      </c>
      <c r="AL2047" t="s">
        <v>111</v>
      </c>
      <c r="AM2047" t="s">
        <v>111</v>
      </c>
      <c r="AN2047">
        <v>1519</v>
      </c>
      <c r="AO2047" t="s">
        <v>122</v>
      </c>
      <c r="AP2047" t="s">
        <v>122</v>
      </c>
    </row>
    <row r="2048" spans="1:42" x14ac:dyDescent="0.25">
      <c r="A2048" s="28" t="str">
        <f>"5674"</f>
        <v>5674</v>
      </c>
      <c r="B2048">
        <v>5674</v>
      </c>
      <c r="C2048" t="s">
        <v>2488</v>
      </c>
      <c r="D2048" t="s">
        <v>121</v>
      </c>
      <c r="E2048" t="s">
        <v>584</v>
      </c>
      <c r="F2048" t="s">
        <v>120</v>
      </c>
      <c r="G2048" t="s">
        <v>938</v>
      </c>
      <c r="H2048" t="s">
        <v>284</v>
      </c>
      <c r="I2048" t="s">
        <v>1161</v>
      </c>
      <c r="J2048" t="s">
        <v>7</v>
      </c>
      <c r="K2048" s="63">
        <v>21810</v>
      </c>
      <c r="L2048" s="28">
        <f>DATEDIF(K2048,Zwift25!G$1,"Y")</f>
        <v>65</v>
      </c>
      <c r="M2048" s="67">
        <f>IF(J2048="m",VLOOKUP(L2048,'All Solo Adjustments'!A:D,4,FALSE),VLOOKUP(L2048,'All Solo Adjustments'!A:J,10,FALSE))</f>
        <v>4.6180555555555558E-3</v>
      </c>
      <c r="N2048" s="63"/>
      <c r="O2048" s="63"/>
      <c r="P2048" s="63"/>
      <c r="Q2048" s="63"/>
      <c r="R2048" t="s">
        <v>180</v>
      </c>
      <c r="S2048" t="s">
        <v>179</v>
      </c>
      <c r="T2048" t="s">
        <v>292</v>
      </c>
      <c r="U2048" t="s">
        <v>3089</v>
      </c>
      <c r="V2048" t="s">
        <v>3088</v>
      </c>
      <c r="W2048" t="s">
        <v>1825</v>
      </c>
      <c r="X2048" t="s">
        <v>259</v>
      </c>
      <c r="Y2048" t="s">
        <v>3087</v>
      </c>
      <c r="Z2048" t="str">
        <f>"01664 444735"</f>
        <v>01664 444735</v>
      </c>
      <c r="AA2048" t="str">
        <f>"07799477888"</f>
        <v>07799477888</v>
      </c>
      <c r="AB2048" t="s">
        <v>1138</v>
      </c>
      <c r="AC2048" t="s">
        <v>3086</v>
      </c>
      <c r="AD2048" t="s">
        <v>114</v>
      </c>
      <c r="AE2048" s="63">
        <v>45264</v>
      </c>
      <c r="AF2048" t="s">
        <v>156</v>
      </c>
      <c r="AG2048" t="s">
        <v>112</v>
      </c>
      <c r="AH2048" t="s">
        <v>112</v>
      </c>
      <c r="AI2048" s="63">
        <v>42682</v>
      </c>
      <c r="AJ2048" s="63">
        <v>45657</v>
      </c>
      <c r="AK2048" t="s">
        <v>111</v>
      </c>
      <c r="AL2048" t="s">
        <v>111</v>
      </c>
      <c r="AM2048" t="s">
        <v>111</v>
      </c>
      <c r="AN2048">
        <v>2466</v>
      </c>
      <c r="AO2048" t="s">
        <v>110</v>
      </c>
      <c r="AP2048" t="s">
        <v>109</v>
      </c>
    </row>
    <row r="2049" spans="1:42" x14ac:dyDescent="0.25">
      <c r="A2049" s="28" t="str">
        <f>"5179"</f>
        <v>5179</v>
      </c>
      <c r="B2049">
        <v>5179</v>
      </c>
      <c r="C2049" t="s">
        <v>2488</v>
      </c>
      <c r="D2049" t="s">
        <v>121</v>
      </c>
      <c r="F2049" t="s">
        <v>120</v>
      </c>
      <c r="G2049" t="s">
        <v>3085</v>
      </c>
      <c r="H2049" t="s">
        <v>3084</v>
      </c>
      <c r="I2049" t="s">
        <v>3083</v>
      </c>
      <c r="J2049" t="s">
        <v>7</v>
      </c>
      <c r="K2049" s="63">
        <v>17293</v>
      </c>
      <c r="L2049" s="28">
        <f>DATEDIF(K2049,Zwift25!G$1,"Y")</f>
        <v>77</v>
      </c>
      <c r="M2049" s="67">
        <f>IF(J2049="m",VLOOKUP(L2049,'All Solo Adjustments'!A:D,4,FALSE),VLOOKUP(L2049,'All Solo Adjustments'!A:J,10,FALSE))</f>
        <v>9.3981481481481485E-3</v>
      </c>
      <c r="N2049" s="63"/>
      <c r="O2049" s="63"/>
      <c r="P2049" s="63"/>
      <c r="Q2049" s="63"/>
      <c r="R2049" t="s">
        <v>180</v>
      </c>
      <c r="S2049" t="s">
        <v>179</v>
      </c>
      <c r="T2049" t="s">
        <v>292</v>
      </c>
      <c r="U2049" t="s">
        <v>3082</v>
      </c>
      <c r="V2049" t="s">
        <v>3081</v>
      </c>
      <c r="W2049" t="s">
        <v>259</v>
      </c>
      <c r="Y2049" t="s">
        <v>3080</v>
      </c>
      <c r="Z2049" t="str">
        <f>"0116 2375219"</f>
        <v>0116 2375219</v>
      </c>
      <c r="AA2049" t="str">
        <f>""</f>
        <v/>
      </c>
      <c r="AB2049" t="s">
        <v>1138</v>
      </c>
      <c r="AC2049" t="s">
        <v>3079</v>
      </c>
      <c r="AD2049" t="s">
        <v>114</v>
      </c>
      <c r="AE2049" s="63">
        <v>45299</v>
      </c>
      <c r="AF2049" t="s">
        <v>156</v>
      </c>
      <c r="AG2049" t="s">
        <v>112</v>
      </c>
      <c r="AH2049" t="s">
        <v>112</v>
      </c>
      <c r="AI2049" s="63">
        <v>41959</v>
      </c>
      <c r="AJ2049" s="63">
        <v>45657</v>
      </c>
      <c r="AK2049" t="s">
        <v>111</v>
      </c>
      <c r="AL2049" t="s">
        <v>111</v>
      </c>
      <c r="AM2049" t="s">
        <v>111</v>
      </c>
      <c r="AN2049">
        <v>4891</v>
      </c>
      <c r="AO2049" t="s">
        <v>110</v>
      </c>
      <c r="AP2049" t="s">
        <v>109</v>
      </c>
    </row>
    <row r="2050" spans="1:42" x14ac:dyDescent="0.25">
      <c r="A2050" s="28" t="str">
        <f>"4479"</f>
        <v>4479</v>
      </c>
      <c r="B2050">
        <v>4479</v>
      </c>
      <c r="C2050" t="s">
        <v>2488</v>
      </c>
      <c r="D2050" t="s">
        <v>121</v>
      </c>
      <c r="F2050" t="s">
        <v>120</v>
      </c>
      <c r="G2050" t="s">
        <v>399</v>
      </c>
      <c r="I2050" t="s">
        <v>1110</v>
      </c>
      <c r="J2050" t="s">
        <v>7</v>
      </c>
      <c r="K2050" s="63">
        <v>26297</v>
      </c>
      <c r="L2050" s="28">
        <f>DATEDIF(K2050,Zwift25!G$1,"Y")</f>
        <v>52</v>
      </c>
      <c r="M2050" s="67">
        <f>IF(J2050="m",VLOOKUP(L2050,'All Solo Adjustments'!A:D,4,FALSE),VLOOKUP(L2050,'All Solo Adjustments'!A:J,10,FALSE))</f>
        <v>1.4814814814814816E-3</v>
      </c>
      <c r="N2050" s="63"/>
      <c r="O2050" s="63"/>
      <c r="P2050" s="63"/>
      <c r="Q2050" s="63"/>
      <c r="R2050" t="s">
        <v>283</v>
      </c>
      <c r="S2050" t="s">
        <v>657</v>
      </c>
      <c r="T2050" t="s">
        <v>292</v>
      </c>
      <c r="U2050" t="s">
        <v>3078</v>
      </c>
      <c r="V2050" t="s">
        <v>3077</v>
      </c>
      <c r="W2050" t="s">
        <v>1083</v>
      </c>
      <c r="X2050" t="s">
        <v>892</v>
      </c>
      <c r="Y2050" t="s">
        <v>3076</v>
      </c>
      <c r="Z2050" t="str">
        <f>"07983 587440"</f>
        <v>07983 587440</v>
      </c>
      <c r="AA2050" t="str">
        <f>""</f>
        <v/>
      </c>
      <c r="AB2050" t="s">
        <v>3075</v>
      </c>
      <c r="AC2050" t="s">
        <v>3074</v>
      </c>
      <c r="AD2050" t="s">
        <v>145</v>
      </c>
      <c r="AE2050" s="63">
        <v>45335</v>
      </c>
      <c r="AF2050" t="s">
        <v>156</v>
      </c>
      <c r="AG2050" t="s">
        <v>112</v>
      </c>
      <c r="AH2050" t="s">
        <v>112</v>
      </c>
      <c r="AI2050" s="63">
        <v>40995</v>
      </c>
      <c r="AJ2050" s="63">
        <v>45657</v>
      </c>
      <c r="AK2050" t="s">
        <v>111</v>
      </c>
      <c r="AL2050" t="s">
        <v>111</v>
      </c>
      <c r="AM2050" t="s">
        <v>111</v>
      </c>
      <c r="AN2050">
        <v>4085</v>
      </c>
      <c r="AO2050" t="s">
        <v>110</v>
      </c>
      <c r="AP2050" t="s">
        <v>109</v>
      </c>
    </row>
    <row r="2051" spans="1:42" x14ac:dyDescent="0.25">
      <c r="A2051" s="28" t="str">
        <f>"16112"</f>
        <v>16112</v>
      </c>
      <c r="B2051">
        <v>16112</v>
      </c>
      <c r="C2051" t="s">
        <v>2488</v>
      </c>
      <c r="D2051" t="s">
        <v>121</v>
      </c>
      <c r="F2051" t="s">
        <v>120</v>
      </c>
      <c r="G2051" t="s">
        <v>469</v>
      </c>
      <c r="I2051" t="s">
        <v>1110</v>
      </c>
      <c r="J2051" t="s">
        <v>7</v>
      </c>
      <c r="K2051" s="63">
        <v>24060</v>
      </c>
      <c r="L2051" s="28">
        <f>DATEDIF(K2051,Zwift25!G$1,"Y")</f>
        <v>58</v>
      </c>
      <c r="M2051" s="67">
        <f>IF(J2051="m",VLOOKUP(L2051,'All Solo Adjustments'!A:D,4,FALSE),VLOOKUP(L2051,'All Solo Adjustments'!A:J,10,FALSE))</f>
        <v>2.7199074074074074E-3</v>
      </c>
      <c r="N2051" s="63"/>
      <c r="O2051" s="63"/>
      <c r="P2051" s="63"/>
      <c r="Q2051" s="63"/>
      <c r="R2051" t="s">
        <v>159</v>
      </c>
      <c r="S2051" t="s">
        <v>162</v>
      </c>
      <c r="T2051" t="s">
        <v>292</v>
      </c>
      <c r="U2051" t="s">
        <v>3073</v>
      </c>
      <c r="W2051" t="s">
        <v>3072</v>
      </c>
      <c r="X2051" t="s">
        <v>159</v>
      </c>
      <c r="Y2051" t="s">
        <v>3071</v>
      </c>
      <c r="Z2051" t="str">
        <f>"07935222688"</f>
        <v>07935222688</v>
      </c>
      <c r="AA2051" t="str">
        <f>""</f>
        <v/>
      </c>
      <c r="AB2051" t="s">
        <v>3070</v>
      </c>
      <c r="AC2051" t="s">
        <v>3069</v>
      </c>
      <c r="AD2051" t="s">
        <v>114</v>
      </c>
      <c r="AE2051" s="63">
        <v>45402</v>
      </c>
      <c r="AF2051" t="s">
        <v>156</v>
      </c>
      <c r="AG2051" t="s">
        <v>112</v>
      </c>
      <c r="AH2051" t="s">
        <v>112</v>
      </c>
      <c r="AI2051" s="63">
        <v>45402</v>
      </c>
      <c r="AJ2051" s="63">
        <v>45657</v>
      </c>
      <c r="AK2051" t="s">
        <v>112</v>
      </c>
      <c r="AL2051" t="s">
        <v>111</v>
      </c>
      <c r="AM2051" t="s">
        <v>111</v>
      </c>
      <c r="AN2051">
        <v>39638</v>
      </c>
      <c r="AO2051" t="s">
        <v>110</v>
      </c>
      <c r="AP2051" t="s">
        <v>109</v>
      </c>
    </row>
    <row r="2052" spans="1:42" x14ac:dyDescent="0.25">
      <c r="A2052" s="28" t="str">
        <f>"15976"</f>
        <v>15976</v>
      </c>
      <c r="B2052">
        <v>15976</v>
      </c>
      <c r="C2052" t="s">
        <v>2488</v>
      </c>
      <c r="D2052" t="s">
        <v>121</v>
      </c>
      <c r="F2052" t="s">
        <v>120</v>
      </c>
      <c r="G2052" t="s">
        <v>469</v>
      </c>
      <c r="H2052" t="s">
        <v>3068</v>
      </c>
      <c r="I2052" t="s">
        <v>3067</v>
      </c>
      <c r="J2052" t="s">
        <v>7</v>
      </c>
      <c r="K2052" s="63">
        <v>21651</v>
      </c>
      <c r="L2052" s="28">
        <f>DATEDIF(K2052,Zwift25!G$1,"Y")</f>
        <v>65</v>
      </c>
      <c r="M2052" s="67">
        <f>IF(J2052="m",VLOOKUP(L2052,'All Solo Adjustments'!A:D,4,FALSE),VLOOKUP(L2052,'All Solo Adjustments'!A:J,10,FALSE))</f>
        <v>4.6180555555555558E-3</v>
      </c>
      <c r="N2052" s="63"/>
      <c r="O2052" s="63"/>
      <c r="P2052" s="63"/>
      <c r="Q2052" s="63"/>
      <c r="R2052" t="s">
        <v>125</v>
      </c>
      <c r="S2052" t="s">
        <v>170</v>
      </c>
      <c r="T2052" t="s">
        <v>292</v>
      </c>
      <c r="U2052" t="s">
        <v>3066</v>
      </c>
      <c r="V2052" t="s">
        <v>1783</v>
      </c>
      <c r="W2052" t="s">
        <v>123</v>
      </c>
      <c r="X2052" t="s">
        <v>123</v>
      </c>
      <c r="Y2052" t="s">
        <v>3065</v>
      </c>
      <c r="Z2052" t="str">
        <f>"+447762592736"</f>
        <v>+447762592736</v>
      </c>
      <c r="AA2052" t="str">
        <f>""</f>
        <v/>
      </c>
      <c r="AB2052" t="s">
        <v>3064</v>
      </c>
      <c r="AC2052" t="s">
        <v>3063</v>
      </c>
      <c r="AD2052" t="s">
        <v>114</v>
      </c>
      <c r="AE2052" s="63">
        <v>45295</v>
      </c>
      <c r="AF2052" t="s">
        <v>156</v>
      </c>
      <c r="AG2052" t="s">
        <v>112</v>
      </c>
      <c r="AH2052" t="s">
        <v>112</v>
      </c>
      <c r="AI2052" s="63">
        <v>45295</v>
      </c>
      <c r="AJ2052" s="63">
        <v>45657</v>
      </c>
      <c r="AK2052" t="s">
        <v>112</v>
      </c>
      <c r="AL2052" t="s">
        <v>111</v>
      </c>
      <c r="AM2052" t="s">
        <v>111</v>
      </c>
      <c r="AN2052">
        <v>28584</v>
      </c>
      <c r="AO2052" t="s">
        <v>110</v>
      </c>
      <c r="AP2052" t="s">
        <v>109</v>
      </c>
    </row>
    <row r="2053" spans="1:42" x14ac:dyDescent="0.25">
      <c r="A2053" s="28" t="str">
        <f>"15961"</f>
        <v>15961</v>
      </c>
      <c r="B2053">
        <v>15961</v>
      </c>
      <c r="C2053" t="s">
        <v>2488</v>
      </c>
      <c r="D2053" t="s">
        <v>121</v>
      </c>
      <c r="F2053" t="s">
        <v>403</v>
      </c>
      <c r="G2053" t="s">
        <v>402</v>
      </c>
      <c r="H2053" t="s">
        <v>1166</v>
      </c>
      <c r="I2053" t="s">
        <v>226</v>
      </c>
      <c r="J2053" t="s">
        <v>7</v>
      </c>
      <c r="K2053" s="63">
        <v>26101</v>
      </c>
      <c r="L2053" s="28">
        <f>DATEDIF(K2053,Zwift25!G$1,"Y")</f>
        <v>53</v>
      </c>
      <c r="M2053" s="67">
        <f>IF(J2053="m",VLOOKUP(L2053,'All Solo Adjustments'!A:D,4,FALSE),VLOOKUP(L2053,'All Solo Adjustments'!A:J,10,FALSE))</f>
        <v>1.6666666666666668E-3</v>
      </c>
      <c r="N2053" s="63"/>
      <c r="O2053" s="63"/>
      <c r="P2053" s="63"/>
      <c r="Q2053" s="63"/>
      <c r="R2053" t="s">
        <v>180</v>
      </c>
      <c r="S2053" t="s">
        <v>179</v>
      </c>
      <c r="T2053" t="s">
        <v>292</v>
      </c>
      <c r="U2053" t="s">
        <v>3062</v>
      </c>
      <c r="V2053" t="s">
        <v>1219</v>
      </c>
      <c r="Y2053" t="s">
        <v>3061</v>
      </c>
      <c r="Z2053" t="str">
        <f>"07815910222"</f>
        <v>07815910222</v>
      </c>
      <c r="AA2053" t="str">
        <f>""</f>
        <v/>
      </c>
      <c r="AB2053" t="s">
        <v>1250</v>
      </c>
      <c r="AC2053" t="s">
        <v>3060</v>
      </c>
      <c r="AD2053" t="s">
        <v>114</v>
      </c>
      <c r="AE2053" s="63">
        <v>45287</v>
      </c>
      <c r="AF2053" t="s">
        <v>156</v>
      </c>
      <c r="AG2053" t="s">
        <v>112</v>
      </c>
      <c r="AH2053" t="s">
        <v>112</v>
      </c>
      <c r="AI2053" s="63">
        <v>45287</v>
      </c>
      <c r="AJ2053" s="63">
        <v>45657</v>
      </c>
      <c r="AK2053" t="s">
        <v>112</v>
      </c>
      <c r="AL2053" t="s">
        <v>111</v>
      </c>
      <c r="AM2053" t="s">
        <v>111</v>
      </c>
      <c r="AN2053">
        <v>884</v>
      </c>
      <c r="AO2053" t="s">
        <v>110</v>
      </c>
      <c r="AP2053" t="s">
        <v>109</v>
      </c>
    </row>
    <row r="2054" spans="1:42" x14ac:dyDescent="0.25">
      <c r="A2054" s="28" t="str">
        <f>"15612"</f>
        <v>15612</v>
      </c>
      <c r="B2054">
        <v>15612</v>
      </c>
      <c r="C2054" t="s">
        <v>2488</v>
      </c>
      <c r="D2054" t="s">
        <v>121</v>
      </c>
      <c r="E2054" t="s">
        <v>584</v>
      </c>
      <c r="F2054" t="s">
        <v>149</v>
      </c>
      <c r="G2054" t="s">
        <v>3059</v>
      </c>
      <c r="H2054" t="s">
        <v>3058</v>
      </c>
      <c r="I2054" t="s">
        <v>3057</v>
      </c>
      <c r="J2054" t="s">
        <v>126</v>
      </c>
      <c r="K2054" s="63">
        <v>26561</v>
      </c>
      <c r="L2054" s="28">
        <f>DATEDIF(K2054,Zwift25!G$1,"Y")</f>
        <v>52</v>
      </c>
      <c r="M2054" s="67">
        <f>IF(J2054="m",VLOOKUP(L2054,'All Solo Adjustments'!A:D,4,FALSE),VLOOKUP(L2054,'All Solo Adjustments'!A:J,10,FALSE))</f>
        <v>5.1967592592592595E-3</v>
      </c>
      <c r="N2054" s="63"/>
      <c r="O2054" s="63"/>
      <c r="P2054" s="63"/>
      <c r="Q2054" s="63"/>
      <c r="R2054" t="s">
        <v>143</v>
      </c>
      <c r="S2054" t="s">
        <v>142</v>
      </c>
      <c r="T2054" t="s">
        <v>292</v>
      </c>
      <c r="U2054" t="s">
        <v>3056</v>
      </c>
      <c r="V2054" t="s">
        <v>3055</v>
      </c>
      <c r="X2054" t="s">
        <v>264</v>
      </c>
      <c r="Y2054" t="s">
        <v>3054</v>
      </c>
      <c r="Z2054" t="str">
        <f>"07984032442"</f>
        <v>07984032442</v>
      </c>
      <c r="AA2054" t="str">
        <f>""</f>
        <v/>
      </c>
      <c r="AB2054" t="s">
        <v>3053</v>
      </c>
      <c r="AC2054" t="s">
        <v>3052</v>
      </c>
      <c r="AD2054" t="s">
        <v>114</v>
      </c>
      <c r="AE2054" s="63">
        <v>45292</v>
      </c>
      <c r="AF2054" t="s">
        <v>156</v>
      </c>
      <c r="AG2054" t="s">
        <v>112</v>
      </c>
      <c r="AH2054" t="s">
        <v>112</v>
      </c>
      <c r="AI2054" s="63">
        <v>44879</v>
      </c>
      <c r="AJ2054" s="63">
        <v>45657</v>
      </c>
      <c r="AK2054" t="s">
        <v>112</v>
      </c>
      <c r="AL2054" t="s">
        <v>111</v>
      </c>
      <c r="AM2054" t="s">
        <v>111</v>
      </c>
      <c r="AN2054">
        <v>45774</v>
      </c>
      <c r="AO2054" t="s">
        <v>122</v>
      </c>
      <c r="AP2054" t="s">
        <v>122</v>
      </c>
    </row>
    <row r="2055" spans="1:42" x14ac:dyDescent="0.25">
      <c r="A2055" s="28" t="str">
        <f>"5280"</f>
        <v>5280</v>
      </c>
      <c r="B2055">
        <v>5280</v>
      </c>
      <c r="C2055" t="s">
        <v>2488</v>
      </c>
      <c r="D2055" t="s">
        <v>121</v>
      </c>
      <c r="F2055" t="s">
        <v>120</v>
      </c>
      <c r="G2055" t="s">
        <v>405</v>
      </c>
      <c r="H2055" t="s">
        <v>245</v>
      </c>
      <c r="I2055" t="s">
        <v>3051</v>
      </c>
      <c r="J2055" t="s">
        <v>7</v>
      </c>
      <c r="K2055" s="63">
        <v>24371</v>
      </c>
      <c r="L2055" s="28">
        <f>DATEDIF(K2055,Zwift25!G$1,"Y")</f>
        <v>58</v>
      </c>
      <c r="M2055" s="67">
        <f>IF(J2055="m",VLOOKUP(L2055,'All Solo Adjustments'!A:D,4,FALSE),VLOOKUP(L2055,'All Solo Adjustments'!A:J,10,FALSE))</f>
        <v>2.7199074074074074E-3</v>
      </c>
      <c r="N2055" s="63"/>
      <c r="O2055" s="63"/>
      <c r="P2055" s="63"/>
      <c r="Q2055" s="63"/>
      <c r="R2055" t="s">
        <v>143</v>
      </c>
      <c r="S2055" t="s">
        <v>142</v>
      </c>
      <c r="T2055" t="s">
        <v>292</v>
      </c>
      <c r="U2055" t="s">
        <v>1462</v>
      </c>
      <c r="V2055" t="s">
        <v>3050</v>
      </c>
      <c r="W2055" t="s">
        <v>3049</v>
      </c>
      <c r="X2055" t="s">
        <v>167</v>
      </c>
      <c r="Y2055" t="s">
        <v>3048</v>
      </c>
      <c r="Z2055" t="str">
        <f>"07717 098798"</f>
        <v>07717 098798</v>
      </c>
      <c r="AA2055" t="str">
        <f>""</f>
        <v/>
      </c>
      <c r="AB2055" t="s">
        <v>3047</v>
      </c>
      <c r="AC2055" t="s">
        <v>3046</v>
      </c>
      <c r="AD2055" t="s">
        <v>114</v>
      </c>
      <c r="AE2055" s="63">
        <v>45375</v>
      </c>
      <c r="AF2055" t="s">
        <v>156</v>
      </c>
      <c r="AG2055" t="s">
        <v>112</v>
      </c>
      <c r="AH2055" t="s">
        <v>112</v>
      </c>
      <c r="AI2055" s="63">
        <v>42045</v>
      </c>
      <c r="AJ2055" s="63">
        <v>45657</v>
      </c>
      <c r="AK2055" t="s">
        <v>111</v>
      </c>
      <c r="AL2055" t="s">
        <v>111</v>
      </c>
      <c r="AM2055" t="s">
        <v>111</v>
      </c>
      <c r="AN2055">
        <v>1394</v>
      </c>
      <c r="AO2055" t="s">
        <v>110</v>
      </c>
      <c r="AP2055" t="s">
        <v>109</v>
      </c>
    </row>
    <row r="2056" spans="1:42" x14ac:dyDescent="0.25">
      <c r="A2056" s="28" t="str">
        <f>"2589"</f>
        <v>2589</v>
      </c>
      <c r="B2056">
        <v>2589</v>
      </c>
      <c r="C2056" t="s">
        <v>2488</v>
      </c>
      <c r="D2056" t="s">
        <v>121</v>
      </c>
      <c r="F2056" t="s">
        <v>120</v>
      </c>
      <c r="G2056" t="s">
        <v>2297</v>
      </c>
      <c r="I2056" t="s">
        <v>1105</v>
      </c>
      <c r="J2056" t="s">
        <v>7</v>
      </c>
      <c r="K2056" s="63">
        <v>11770</v>
      </c>
      <c r="L2056" s="28">
        <f>DATEDIF(K2056,Zwift25!G$1,"Y")</f>
        <v>92</v>
      </c>
      <c r="M2056" s="67">
        <f>IF(J2056="m",VLOOKUP(L2056,'All Solo Adjustments'!A:D,4,FALSE),VLOOKUP(L2056,'All Solo Adjustments'!A:J,10,FALSE))</f>
        <v>2.0405092592592593E-2</v>
      </c>
      <c r="N2056" s="63"/>
      <c r="O2056" s="63"/>
      <c r="P2056" s="63"/>
      <c r="Q2056" s="63"/>
      <c r="R2056" t="s">
        <v>137</v>
      </c>
      <c r="S2056" t="s">
        <v>2312</v>
      </c>
      <c r="T2056" t="s">
        <v>292</v>
      </c>
      <c r="U2056" t="s">
        <v>3045</v>
      </c>
      <c r="V2056" t="s">
        <v>3044</v>
      </c>
      <c r="W2056" t="s">
        <v>951</v>
      </c>
      <c r="X2056" t="s">
        <v>3043</v>
      </c>
      <c r="Y2056" t="s">
        <v>3042</v>
      </c>
      <c r="Z2056" t="str">
        <f>"999999999999"</f>
        <v>999999999999</v>
      </c>
      <c r="AA2056" t="str">
        <f>"9999999999999"</f>
        <v>9999999999999</v>
      </c>
      <c r="AB2056" t="s">
        <v>290</v>
      </c>
      <c r="AD2056" t="s">
        <v>151</v>
      </c>
      <c r="AF2056" t="s">
        <v>113</v>
      </c>
      <c r="AG2056" t="s">
        <v>112</v>
      </c>
      <c r="AH2056" t="s">
        <v>112</v>
      </c>
      <c r="AK2056" t="s">
        <v>111</v>
      </c>
      <c r="AL2056" t="s">
        <v>111</v>
      </c>
      <c r="AM2056" t="s">
        <v>111</v>
      </c>
      <c r="AN2056" t="s">
        <v>105</v>
      </c>
      <c r="AO2056" t="s">
        <v>110</v>
      </c>
      <c r="AP2056" t="s">
        <v>109</v>
      </c>
    </row>
    <row r="2057" spans="1:42" x14ac:dyDescent="0.25">
      <c r="A2057" s="28" t="str">
        <f>"11699"</f>
        <v>11699</v>
      </c>
      <c r="B2057">
        <v>11699</v>
      </c>
      <c r="C2057" t="s">
        <v>2488</v>
      </c>
      <c r="D2057" t="s">
        <v>121</v>
      </c>
      <c r="E2057" t="s">
        <v>584</v>
      </c>
      <c r="F2057" t="s">
        <v>120</v>
      </c>
      <c r="G2057" t="s">
        <v>165</v>
      </c>
      <c r="H2057" t="s">
        <v>952</v>
      </c>
      <c r="I2057" t="s">
        <v>1105</v>
      </c>
      <c r="J2057" t="s">
        <v>7</v>
      </c>
      <c r="K2057" s="63">
        <v>25578</v>
      </c>
      <c r="L2057" s="28">
        <f>DATEDIF(K2057,Zwift25!G$1,"Y")</f>
        <v>54</v>
      </c>
      <c r="M2057" s="67">
        <f>IF(J2057="m",VLOOKUP(L2057,'All Solo Adjustments'!A:D,4,FALSE),VLOOKUP(L2057,'All Solo Adjustments'!A:J,10,FALSE))</f>
        <v>1.8518518518518517E-3</v>
      </c>
      <c r="N2057" s="63"/>
      <c r="O2057" s="63"/>
      <c r="P2057" s="63"/>
      <c r="Q2057" s="63"/>
      <c r="R2057" t="s">
        <v>180</v>
      </c>
      <c r="S2057" t="s">
        <v>179</v>
      </c>
      <c r="T2057" t="s">
        <v>292</v>
      </c>
      <c r="U2057" t="s">
        <v>3041</v>
      </c>
      <c r="V2057" t="s">
        <v>3040</v>
      </c>
      <c r="W2057" t="s">
        <v>992</v>
      </c>
      <c r="X2057" t="s">
        <v>259</v>
      </c>
      <c r="Y2057" t="s">
        <v>3039</v>
      </c>
      <c r="Z2057" t="str">
        <f>"01162770739"</f>
        <v>01162770739</v>
      </c>
      <c r="AA2057" t="str">
        <f>""</f>
        <v/>
      </c>
      <c r="AB2057" t="s">
        <v>2079</v>
      </c>
      <c r="AC2057" t="s">
        <v>3038</v>
      </c>
      <c r="AD2057" t="s">
        <v>114</v>
      </c>
      <c r="AE2057" s="63">
        <v>45212</v>
      </c>
      <c r="AF2057" t="s">
        <v>156</v>
      </c>
      <c r="AG2057" t="s">
        <v>112</v>
      </c>
      <c r="AH2057" t="s">
        <v>112</v>
      </c>
      <c r="AI2057" s="63">
        <v>43207</v>
      </c>
      <c r="AJ2057" s="63">
        <v>45657</v>
      </c>
      <c r="AK2057" t="s">
        <v>112</v>
      </c>
      <c r="AL2057" t="s">
        <v>111</v>
      </c>
      <c r="AM2057" t="s">
        <v>111</v>
      </c>
      <c r="AN2057">
        <v>4884</v>
      </c>
      <c r="AO2057" t="s">
        <v>110</v>
      </c>
      <c r="AP2057" t="s">
        <v>109</v>
      </c>
    </row>
    <row r="2058" spans="1:42" x14ac:dyDescent="0.25">
      <c r="A2058" s="28" t="str">
        <f>"11701"</f>
        <v>11701</v>
      </c>
      <c r="B2058">
        <v>11701</v>
      </c>
      <c r="C2058" t="s">
        <v>2488</v>
      </c>
      <c r="D2058" t="s">
        <v>121</v>
      </c>
      <c r="F2058" t="s">
        <v>120</v>
      </c>
      <c r="G2058" t="s">
        <v>1558</v>
      </c>
      <c r="H2058" t="s">
        <v>2071</v>
      </c>
      <c r="I2058" t="s">
        <v>3037</v>
      </c>
      <c r="J2058" t="s">
        <v>7</v>
      </c>
      <c r="K2058" s="63">
        <v>23505</v>
      </c>
      <c r="L2058" s="28">
        <f>DATEDIF(K2058,Zwift25!G$1,"Y")</f>
        <v>60</v>
      </c>
      <c r="M2058" s="67">
        <f>IF(J2058="m",VLOOKUP(L2058,'All Solo Adjustments'!A:D,4,FALSE),VLOOKUP(L2058,'All Solo Adjustments'!A:J,10,FALSE))</f>
        <v>3.2060185185185186E-3</v>
      </c>
      <c r="N2058" s="63"/>
      <c r="O2058" s="63"/>
      <c r="P2058" s="63"/>
      <c r="Q2058" s="63"/>
      <c r="R2058" t="s">
        <v>180</v>
      </c>
      <c r="S2058" t="s">
        <v>179</v>
      </c>
      <c r="T2058" t="s">
        <v>292</v>
      </c>
      <c r="U2058" t="s">
        <v>3036</v>
      </c>
      <c r="V2058" t="s">
        <v>1204</v>
      </c>
      <c r="Y2058" t="s">
        <v>3035</v>
      </c>
      <c r="Z2058" t="str">
        <f>"07808583938"</f>
        <v>07808583938</v>
      </c>
      <c r="AA2058" t="str">
        <f>""</f>
        <v/>
      </c>
      <c r="AB2058" t="s">
        <v>176</v>
      </c>
      <c r="AC2058" t="s">
        <v>3034</v>
      </c>
      <c r="AD2058" t="s">
        <v>114</v>
      </c>
      <c r="AE2058" s="63">
        <v>45299</v>
      </c>
      <c r="AF2058" t="s">
        <v>156</v>
      </c>
      <c r="AG2058" t="s">
        <v>112</v>
      </c>
      <c r="AH2058" t="s">
        <v>112</v>
      </c>
      <c r="AI2058" s="63">
        <v>43208</v>
      </c>
      <c r="AJ2058" s="63">
        <v>45657</v>
      </c>
      <c r="AK2058" t="s">
        <v>112</v>
      </c>
      <c r="AL2058" t="s">
        <v>111</v>
      </c>
      <c r="AM2058" t="s">
        <v>111</v>
      </c>
      <c r="AN2058">
        <v>3582</v>
      </c>
      <c r="AO2058" t="s">
        <v>110</v>
      </c>
      <c r="AP2058" t="s">
        <v>109</v>
      </c>
    </row>
    <row r="2059" spans="1:42" x14ac:dyDescent="0.25">
      <c r="A2059" s="28" t="str">
        <f>"2590"</f>
        <v>2590</v>
      </c>
      <c r="B2059">
        <v>2590</v>
      </c>
      <c r="C2059" t="s">
        <v>2488</v>
      </c>
      <c r="D2059" t="s">
        <v>121</v>
      </c>
      <c r="F2059" t="s">
        <v>120</v>
      </c>
      <c r="G2059" t="s">
        <v>2297</v>
      </c>
      <c r="I2059" t="s">
        <v>1105</v>
      </c>
      <c r="J2059" t="s">
        <v>7</v>
      </c>
      <c r="K2059" s="63">
        <v>13088</v>
      </c>
      <c r="L2059" s="28">
        <f>DATEDIF(K2059,Zwift25!G$1,"Y")</f>
        <v>88</v>
      </c>
      <c r="M2059" s="67">
        <f>IF(J2059="m",VLOOKUP(L2059,'All Solo Adjustments'!A:D,4,FALSE),VLOOKUP(L2059,'All Solo Adjustments'!A:J,10,FALSE))</f>
        <v>1.6597222222222222E-2</v>
      </c>
      <c r="N2059" s="63"/>
      <c r="O2059" s="63"/>
      <c r="P2059" s="63"/>
      <c r="Q2059" s="63"/>
      <c r="R2059" t="s">
        <v>125</v>
      </c>
      <c r="S2059" t="s">
        <v>484</v>
      </c>
      <c r="T2059" t="s">
        <v>292</v>
      </c>
      <c r="U2059" t="s">
        <v>3033</v>
      </c>
      <c r="V2059" t="s">
        <v>3032</v>
      </c>
      <c r="W2059" t="s">
        <v>3031</v>
      </c>
      <c r="X2059" t="s">
        <v>123</v>
      </c>
      <c r="Y2059" t="s">
        <v>3030</v>
      </c>
      <c r="Z2059" t="str">
        <f>""</f>
        <v/>
      </c>
      <c r="AA2059" t="str">
        <f>""</f>
        <v/>
      </c>
      <c r="AB2059" t="s">
        <v>444</v>
      </c>
      <c r="AC2059" t="s">
        <v>3029</v>
      </c>
      <c r="AD2059" t="s">
        <v>151</v>
      </c>
      <c r="AF2059" t="s">
        <v>113</v>
      </c>
      <c r="AG2059" t="s">
        <v>112</v>
      </c>
      <c r="AH2059" t="s">
        <v>112</v>
      </c>
      <c r="AI2059" s="63">
        <v>27798</v>
      </c>
      <c r="AK2059" t="s">
        <v>111</v>
      </c>
      <c r="AL2059" t="s">
        <v>111</v>
      </c>
      <c r="AM2059" t="s">
        <v>111</v>
      </c>
      <c r="AN2059" t="s">
        <v>105</v>
      </c>
      <c r="AO2059" t="s">
        <v>110</v>
      </c>
      <c r="AP2059" t="s">
        <v>109</v>
      </c>
    </row>
    <row r="2060" spans="1:42" x14ac:dyDescent="0.25">
      <c r="A2060" s="28" t="str">
        <f>"14044"</f>
        <v>14044</v>
      </c>
      <c r="B2060">
        <v>14044</v>
      </c>
      <c r="C2060" t="s">
        <v>2488</v>
      </c>
      <c r="D2060" t="s">
        <v>121</v>
      </c>
      <c r="F2060" t="s">
        <v>120</v>
      </c>
      <c r="G2060" t="s">
        <v>481</v>
      </c>
      <c r="H2060" t="s">
        <v>952</v>
      </c>
      <c r="I2060" t="s">
        <v>1105</v>
      </c>
      <c r="J2060" t="s">
        <v>7</v>
      </c>
      <c r="K2060" s="63">
        <v>20564</v>
      </c>
      <c r="L2060" s="28">
        <f>DATEDIF(K2060,Zwift25!G$1,"Y")</f>
        <v>68</v>
      </c>
      <c r="M2060" s="67">
        <f>IF(J2060="m",VLOOKUP(L2060,'All Solo Adjustments'!A:D,4,FALSE),VLOOKUP(L2060,'All Solo Adjustments'!A:J,10,FALSE))</f>
        <v>5.6134259259259262E-3</v>
      </c>
      <c r="N2060" s="63"/>
      <c r="O2060" s="63"/>
      <c r="P2060" s="63"/>
      <c r="Q2060" s="63"/>
      <c r="R2060" t="s">
        <v>184</v>
      </c>
      <c r="S2060" t="s">
        <v>183</v>
      </c>
      <c r="T2060" t="s">
        <v>292</v>
      </c>
      <c r="U2060" t="s">
        <v>3028</v>
      </c>
      <c r="V2060" t="s">
        <v>2289</v>
      </c>
      <c r="W2060" t="s">
        <v>1228</v>
      </c>
      <c r="Y2060" t="s">
        <v>3027</v>
      </c>
      <c r="Z2060" t="str">
        <f>"07778 445473"</f>
        <v>07778 445473</v>
      </c>
      <c r="AA2060" t="str">
        <f>""</f>
        <v/>
      </c>
      <c r="AB2060" t="s">
        <v>3026</v>
      </c>
      <c r="AC2060" t="s">
        <v>3025</v>
      </c>
      <c r="AD2060" t="s">
        <v>114</v>
      </c>
      <c r="AE2060" s="63">
        <v>45276</v>
      </c>
      <c r="AF2060" t="s">
        <v>156</v>
      </c>
      <c r="AG2060" t="s">
        <v>112</v>
      </c>
      <c r="AH2060" t="s">
        <v>112</v>
      </c>
      <c r="AI2060" s="63">
        <v>43504</v>
      </c>
      <c r="AJ2060" s="63">
        <v>45657</v>
      </c>
      <c r="AK2060" t="s">
        <v>112</v>
      </c>
      <c r="AL2060" t="s">
        <v>111</v>
      </c>
      <c r="AM2060" t="s">
        <v>111</v>
      </c>
      <c r="AN2060">
        <v>28484</v>
      </c>
      <c r="AO2060" t="s">
        <v>110</v>
      </c>
      <c r="AP2060" t="s">
        <v>109</v>
      </c>
    </row>
    <row r="2061" spans="1:42" x14ac:dyDescent="0.25">
      <c r="A2061" s="28" t="str">
        <f>"14780"</f>
        <v>14780</v>
      </c>
      <c r="B2061">
        <v>14780</v>
      </c>
      <c r="C2061" t="s">
        <v>2488</v>
      </c>
      <c r="D2061" t="s">
        <v>121</v>
      </c>
      <c r="E2061" t="s">
        <v>584</v>
      </c>
      <c r="F2061" t="s">
        <v>120</v>
      </c>
      <c r="G2061" t="s">
        <v>155</v>
      </c>
      <c r="H2061" t="s">
        <v>185</v>
      </c>
      <c r="I2061" t="s">
        <v>1105</v>
      </c>
      <c r="J2061" t="s">
        <v>7</v>
      </c>
      <c r="K2061" s="63">
        <v>25440</v>
      </c>
      <c r="L2061" s="28">
        <f>DATEDIF(K2061,Zwift25!G$1,"Y")</f>
        <v>55</v>
      </c>
      <c r="M2061" s="67">
        <f>IF(J2061="m",VLOOKUP(L2061,'All Solo Adjustments'!A:D,4,FALSE),VLOOKUP(L2061,'All Solo Adjustments'!A:J,10,FALSE))</f>
        <v>2.0601851851851853E-3</v>
      </c>
      <c r="N2061" s="63"/>
      <c r="O2061" s="63"/>
      <c r="P2061" s="63"/>
      <c r="Q2061" s="63"/>
      <c r="R2061" t="s">
        <v>213</v>
      </c>
      <c r="S2061" t="s">
        <v>212</v>
      </c>
      <c r="T2061" t="s">
        <v>292</v>
      </c>
      <c r="U2061" t="s">
        <v>3024</v>
      </c>
      <c r="V2061" t="s">
        <v>472</v>
      </c>
      <c r="W2061" t="s">
        <v>196</v>
      </c>
      <c r="Y2061" t="s">
        <v>3023</v>
      </c>
      <c r="Z2061" t="str">
        <f>"01606-334654"</f>
        <v>01606-334654</v>
      </c>
      <c r="AA2061" t="str">
        <f>"07803-854365"</f>
        <v>07803-854365</v>
      </c>
      <c r="AB2061" t="s">
        <v>3022</v>
      </c>
      <c r="AC2061" t="s">
        <v>3021</v>
      </c>
      <c r="AD2061" t="s">
        <v>114</v>
      </c>
      <c r="AE2061" s="63">
        <v>45398</v>
      </c>
      <c r="AF2061" t="s">
        <v>156</v>
      </c>
      <c r="AG2061" t="s">
        <v>112</v>
      </c>
      <c r="AH2061" t="s">
        <v>112</v>
      </c>
      <c r="AI2061" s="63">
        <v>44151</v>
      </c>
      <c r="AJ2061" s="63">
        <v>45657</v>
      </c>
      <c r="AK2061" t="s">
        <v>112</v>
      </c>
      <c r="AL2061" t="s">
        <v>111</v>
      </c>
      <c r="AM2061" t="s">
        <v>111</v>
      </c>
      <c r="AN2061">
        <v>36616</v>
      </c>
      <c r="AO2061" t="s">
        <v>110</v>
      </c>
      <c r="AP2061" t="s">
        <v>109</v>
      </c>
    </row>
    <row r="2062" spans="1:42" x14ac:dyDescent="0.25">
      <c r="A2062" s="28" t="str">
        <f>"14890"</f>
        <v>14890</v>
      </c>
      <c r="B2062">
        <v>14890</v>
      </c>
      <c r="C2062" t="s">
        <v>2488</v>
      </c>
      <c r="D2062" t="s">
        <v>121</v>
      </c>
      <c r="F2062" t="s">
        <v>120</v>
      </c>
      <c r="G2062" t="s">
        <v>489</v>
      </c>
      <c r="H2062" t="s">
        <v>251</v>
      </c>
      <c r="I2062" t="s">
        <v>1105</v>
      </c>
      <c r="J2062" t="s">
        <v>7</v>
      </c>
      <c r="K2062" s="63">
        <v>24708</v>
      </c>
      <c r="L2062" s="28">
        <f>DATEDIF(K2062,Zwift25!G$1,"Y")</f>
        <v>57</v>
      </c>
      <c r="M2062" s="67">
        <f>IF(J2062="m",VLOOKUP(L2062,'All Solo Adjustments'!A:D,4,FALSE),VLOOKUP(L2062,'All Solo Adjustments'!A:J,10,FALSE))</f>
        <v>2.488425925925926E-3</v>
      </c>
      <c r="N2062" s="63"/>
      <c r="O2062" s="63"/>
      <c r="P2062" s="63"/>
      <c r="Q2062" s="63"/>
      <c r="R2062" t="s">
        <v>180</v>
      </c>
      <c r="S2062" t="s">
        <v>179</v>
      </c>
      <c r="T2062" t="s">
        <v>292</v>
      </c>
      <c r="U2062" t="s">
        <v>3020</v>
      </c>
      <c r="V2062" t="s">
        <v>3019</v>
      </c>
      <c r="W2062" t="s">
        <v>360</v>
      </c>
      <c r="Y2062" t="s">
        <v>3018</v>
      </c>
      <c r="Z2062" t="str">
        <f>"07788164661 "</f>
        <v xml:space="preserve">07788164661 </v>
      </c>
      <c r="AA2062" t="str">
        <f>""</f>
        <v/>
      </c>
      <c r="AB2062" t="s">
        <v>3017</v>
      </c>
      <c r="AC2062" t="s">
        <v>3016</v>
      </c>
      <c r="AD2062" t="s">
        <v>114</v>
      </c>
      <c r="AE2062" s="63">
        <v>45263</v>
      </c>
      <c r="AF2062" t="s">
        <v>113</v>
      </c>
      <c r="AG2062" t="s">
        <v>112</v>
      </c>
      <c r="AH2062" t="s">
        <v>112</v>
      </c>
      <c r="AI2062" s="63">
        <v>44266</v>
      </c>
      <c r="AJ2062" s="63">
        <v>45657</v>
      </c>
      <c r="AK2062" t="s">
        <v>112</v>
      </c>
      <c r="AL2062" t="s">
        <v>111</v>
      </c>
      <c r="AM2062" t="s">
        <v>111</v>
      </c>
      <c r="AN2062">
        <v>14237</v>
      </c>
      <c r="AO2062" t="s">
        <v>110</v>
      </c>
      <c r="AP2062" t="s">
        <v>109</v>
      </c>
    </row>
    <row r="2063" spans="1:42" x14ac:dyDescent="0.25">
      <c r="A2063" s="28" t="str">
        <f>"15530"</f>
        <v>15530</v>
      </c>
      <c r="B2063">
        <v>15530</v>
      </c>
      <c r="C2063" t="s">
        <v>2488</v>
      </c>
      <c r="D2063" t="s">
        <v>121</v>
      </c>
      <c r="F2063" t="s">
        <v>120</v>
      </c>
      <c r="G2063" t="s">
        <v>405</v>
      </c>
      <c r="H2063" t="s">
        <v>442</v>
      </c>
      <c r="I2063" t="s">
        <v>1105</v>
      </c>
      <c r="J2063" t="s">
        <v>7</v>
      </c>
      <c r="K2063" s="63">
        <v>21637</v>
      </c>
      <c r="L2063" s="28">
        <f>DATEDIF(K2063,Zwift25!G$1,"Y")</f>
        <v>65</v>
      </c>
      <c r="M2063" s="67">
        <f>IF(J2063="m",VLOOKUP(L2063,'All Solo Adjustments'!A:D,4,FALSE),VLOOKUP(L2063,'All Solo Adjustments'!A:J,10,FALSE))</f>
        <v>4.6180555555555558E-3</v>
      </c>
      <c r="N2063" s="63"/>
      <c r="O2063" s="63"/>
      <c r="P2063" s="63"/>
      <c r="Q2063" s="63"/>
      <c r="R2063" t="s">
        <v>137</v>
      </c>
      <c r="S2063" t="s">
        <v>136</v>
      </c>
      <c r="T2063" t="s">
        <v>292</v>
      </c>
      <c r="U2063" t="s">
        <v>3015</v>
      </c>
      <c r="V2063" t="s">
        <v>1098</v>
      </c>
      <c r="Y2063" t="s">
        <v>3014</v>
      </c>
      <c r="Z2063" t="str">
        <f>"07578699133"</f>
        <v>07578699133</v>
      </c>
      <c r="AA2063" t="str">
        <f>""</f>
        <v/>
      </c>
      <c r="AB2063" t="s">
        <v>349</v>
      </c>
      <c r="AC2063" t="s">
        <v>3013</v>
      </c>
      <c r="AD2063" t="s">
        <v>114</v>
      </c>
      <c r="AE2063" s="63">
        <v>45319</v>
      </c>
      <c r="AF2063" t="s">
        <v>156</v>
      </c>
      <c r="AG2063" t="s">
        <v>112</v>
      </c>
      <c r="AH2063" t="s">
        <v>112</v>
      </c>
      <c r="AI2063" s="63">
        <v>44735</v>
      </c>
      <c r="AJ2063" s="63">
        <v>45657</v>
      </c>
      <c r="AK2063" t="s">
        <v>112</v>
      </c>
      <c r="AL2063" t="s">
        <v>111</v>
      </c>
      <c r="AM2063" t="s">
        <v>111</v>
      </c>
      <c r="AN2063">
        <v>25929</v>
      </c>
      <c r="AO2063" t="s">
        <v>110</v>
      </c>
      <c r="AP2063" t="s">
        <v>109</v>
      </c>
    </row>
    <row r="2064" spans="1:42" x14ac:dyDescent="0.25">
      <c r="A2064" s="28" t="str">
        <f>"15535"</f>
        <v>15535</v>
      </c>
      <c r="B2064">
        <v>15535</v>
      </c>
      <c r="C2064" t="s">
        <v>2488</v>
      </c>
      <c r="D2064" t="s">
        <v>121</v>
      </c>
      <c r="F2064" t="s">
        <v>149</v>
      </c>
      <c r="G2064" t="s">
        <v>1042</v>
      </c>
      <c r="H2064" t="s">
        <v>1157</v>
      </c>
      <c r="I2064" t="s">
        <v>1105</v>
      </c>
      <c r="J2064" t="s">
        <v>126</v>
      </c>
      <c r="K2064" s="63">
        <v>23292</v>
      </c>
      <c r="L2064" s="28">
        <f>DATEDIF(K2064,Zwift25!G$1,"Y")</f>
        <v>61</v>
      </c>
      <c r="M2064" s="67">
        <f>IF(J2064="m",VLOOKUP(L2064,'All Solo Adjustments'!A:D,4,FALSE),VLOOKUP(L2064,'All Solo Adjustments'!A:J,10,FALSE))</f>
        <v>7.2337962962962963E-3</v>
      </c>
      <c r="N2064" s="63"/>
      <c r="O2064" s="63"/>
      <c r="P2064" s="63"/>
      <c r="Q2064" s="63"/>
      <c r="R2064" t="s">
        <v>184</v>
      </c>
      <c r="S2064" t="s">
        <v>183</v>
      </c>
      <c r="T2064" t="s">
        <v>292</v>
      </c>
      <c r="U2064" t="s">
        <v>3012</v>
      </c>
      <c r="W2064" t="s">
        <v>2005</v>
      </c>
      <c r="X2064" t="s">
        <v>347</v>
      </c>
      <c r="Y2064" t="s">
        <v>3011</v>
      </c>
      <c r="Z2064" t="str">
        <f>"07710040898"</f>
        <v>07710040898</v>
      </c>
      <c r="AA2064" t="str">
        <f>""</f>
        <v/>
      </c>
      <c r="AB2064" t="s">
        <v>2134</v>
      </c>
      <c r="AC2064" t="s">
        <v>3010</v>
      </c>
      <c r="AD2064" t="s">
        <v>114</v>
      </c>
      <c r="AE2064" s="63">
        <v>45300</v>
      </c>
      <c r="AF2064" t="s">
        <v>156</v>
      </c>
      <c r="AG2064" t="s">
        <v>112</v>
      </c>
      <c r="AH2064" t="s">
        <v>112</v>
      </c>
      <c r="AI2064" s="63">
        <v>44738</v>
      </c>
      <c r="AJ2064" s="63">
        <v>45657</v>
      </c>
      <c r="AK2064" t="s">
        <v>112</v>
      </c>
      <c r="AL2064" t="s">
        <v>111</v>
      </c>
      <c r="AM2064" t="s">
        <v>111</v>
      </c>
      <c r="AN2064">
        <v>6050</v>
      </c>
      <c r="AO2064" t="s">
        <v>122</v>
      </c>
      <c r="AP2064" t="s">
        <v>122</v>
      </c>
    </row>
    <row r="2065" spans="1:42" x14ac:dyDescent="0.25">
      <c r="A2065" s="28" t="str">
        <f>"16116"</f>
        <v>16116</v>
      </c>
      <c r="B2065">
        <v>16116</v>
      </c>
      <c r="C2065" t="s">
        <v>2488</v>
      </c>
      <c r="D2065" t="s">
        <v>121</v>
      </c>
      <c r="E2065" t="s">
        <v>584</v>
      </c>
      <c r="F2065" t="s">
        <v>120</v>
      </c>
      <c r="G2065" t="s">
        <v>185</v>
      </c>
      <c r="H2065" t="s">
        <v>3009</v>
      </c>
      <c r="I2065" t="s">
        <v>1105</v>
      </c>
      <c r="J2065" t="s">
        <v>7</v>
      </c>
      <c r="K2065" s="63">
        <v>20503</v>
      </c>
      <c r="L2065" s="28">
        <f>DATEDIF(K2065,Zwift25!G$1,"Y")</f>
        <v>68</v>
      </c>
      <c r="M2065" s="67">
        <f>IF(J2065="m",VLOOKUP(L2065,'All Solo Adjustments'!A:D,4,FALSE),VLOOKUP(L2065,'All Solo Adjustments'!A:J,10,FALSE))</f>
        <v>5.6134259259259262E-3</v>
      </c>
      <c r="N2065" s="63"/>
      <c r="O2065" s="63"/>
      <c r="P2065" s="63"/>
      <c r="Q2065" s="63"/>
      <c r="R2065" t="s">
        <v>180</v>
      </c>
      <c r="S2065" t="s">
        <v>179</v>
      </c>
      <c r="T2065" t="s">
        <v>292</v>
      </c>
      <c r="U2065" t="s">
        <v>3008</v>
      </c>
      <c r="V2065" t="s">
        <v>2205</v>
      </c>
      <c r="W2065" t="s">
        <v>259</v>
      </c>
      <c r="X2065" t="s">
        <v>259</v>
      </c>
      <c r="Y2065" t="s">
        <v>3007</v>
      </c>
      <c r="Z2065" t="str">
        <f>"07949186208"</f>
        <v>07949186208</v>
      </c>
      <c r="AA2065" t="str">
        <f>""</f>
        <v/>
      </c>
      <c r="AB2065" t="s">
        <v>865</v>
      </c>
      <c r="AC2065" t="s">
        <v>3006</v>
      </c>
      <c r="AD2065" t="s">
        <v>114</v>
      </c>
      <c r="AE2065" s="63">
        <v>45405</v>
      </c>
      <c r="AF2065" t="s">
        <v>156</v>
      </c>
      <c r="AG2065" t="s">
        <v>112</v>
      </c>
      <c r="AH2065" t="s">
        <v>112</v>
      </c>
      <c r="AI2065" s="63">
        <v>45405</v>
      </c>
      <c r="AJ2065" s="63">
        <v>45657</v>
      </c>
      <c r="AK2065" t="s">
        <v>112</v>
      </c>
      <c r="AL2065" t="s">
        <v>111</v>
      </c>
      <c r="AM2065" t="s">
        <v>111</v>
      </c>
      <c r="AN2065">
        <v>46229</v>
      </c>
      <c r="AO2065" t="s">
        <v>110</v>
      </c>
      <c r="AP2065" t="s">
        <v>109</v>
      </c>
    </row>
    <row r="2066" spans="1:42" x14ac:dyDescent="0.25">
      <c r="A2066" s="28" t="str">
        <f>"3724"</f>
        <v>3724</v>
      </c>
      <c r="B2066">
        <v>3724</v>
      </c>
      <c r="C2066" t="s">
        <v>2488</v>
      </c>
      <c r="D2066" t="s">
        <v>121</v>
      </c>
      <c r="F2066" t="s">
        <v>120</v>
      </c>
      <c r="G2066" t="s">
        <v>743</v>
      </c>
      <c r="I2066" t="s">
        <v>2998</v>
      </c>
      <c r="J2066" t="s">
        <v>7</v>
      </c>
      <c r="K2066" s="63">
        <v>21373</v>
      </c>
      <c r="L2066" s="28">
        <f>DATEDIF(K2066,Zwift25!G$1,"Y")</f>
        <v>66</v>
      </c>
      <c r="M2066" s="67">
        <f>IF(J2066="m",VLOOKUP(L2066,'All Solo Adjustments'!A:D,4,FALSE),VLOOKUP(L2066,'All Solo Adjustments'!A:J,10,FALSE))</f>
        <v>4.9421296296296297E-3</v>
      </c>
      <c r="N2066" s="63"/>
      <c r="O2066" s="63"/>
      <c r="P2066" s="63"/>
      <c r="Q2066" s="63"/>
      <c r="R2066" t="s">
        <v>125</v>
      </c>
      <c r="S2066" t="s">
        <v>170</v>
      </c>
      <c r="T2066" t="s">
        <v>292</v>
      </c>
      <c r="U2066" t="s">
        <v>3005</v>
      </c>
      <c r="V2066" t="s">
        <v>3004</v>
      </c>
      <c r="W2066" t="s">
        <v>785</v>
      </c>
      <c r="X2066" t="s">
        <v>201</v>
      </c>
      <c r="Y2066" t="s">
        <v>3003</v>
      </c>
      <c r="Z2066" t="str">
        <f>"01480 380297"</f>
        <v>01480 380297</v>
      </c>
      <c r="AA2066" t="str">
        <f>""</f>
        <v/>
      </c>
      <c r="AB2066" t="s">
        <v>222</v>
      </c>
      <c r="AC2066" t="s">
        <v>3002</v>
      </c>
      <c r="AD2066" t="s">
        <v>114</v>
      </c>
      <c r="AE2066" s="63">
        <v>45262</v>
      </c>
      <c r="AF2066" t="s">
        <v>156</v>
      </c>
      <c r="AG2066" t="s">
        <v>112</v>
      </c>
      <c r="AH2066" t="s">
        <v>112</v>
      </c>
      <c r="AI2066" s="63">
        <v>40004</v>
      </c>
      <c r="AJ2066" s="63">
        <v>45657</v>
      </c>
      <c r="AK2066" t="s">
        <v>111</v>
      </c>
      <c r="AL2066" t="s">
        <v>111</v>
      </c>
      <c r="AM2066" t="s">
        <v>111</v>
      </c>
      <c r="AN2066">
        <v>4593</v>
      </c>
      <c r="AO2066" t="s">
        <v>110</v>
      </c>
      <c r="AP2066" t="s">
        <v>109</v>
      </c>
    </row>
    <row r="2067" spans="1:42" x14ac:dyDescent="0.25">
      <c r="A2067" s="28" t="str">
        <f>"6041"</f>
        <v>6041</v>
      </c>
      <c r="B2067">
        <v>6041</v>
      </c>
      <c r="C2067" t="s">
        <v>2488</v>
      </c>
      <c r="D2067" t="s">
        <v>132</v>
      </c>
      <c r="E2067" t="s">
        <v>3000</v>
      </c>
      <c r="F2067" t="s">
        <v>120</v>
      </c>
      <c r="G2067" t="s">
        <v>427</v>
      </c>
      <c r="I2067" t="s">
        <v>2998</v>
      </c>
      <c r="J2067" t="s">
        <v>7</v>
      </c>
      <c r="K2067" s="63">
        <v>24150</v>
      </c>
      <c r="L2067" s="28">
        <f>DATEDIF(K2067,Zwift25!G$1,"Y")</f>
        <v>58</v>
      </c>
      <c r="M2067" s="67">
        <f>IF(J2067="m",VLOOKUP(L2067,'All Solo Adjustments'!A:D,4,FALSE),VLOOKUP(L2067,'All Solo Adjustments'!A:J,10,FALSE))</f>
        <v>2.7199074074074074E-3</v>
      </c>
      <c r="N2067" s="63"/>
      <c r="O2067" s="63"/>
      <c r="P2067" s="63"/>
      <c r="Q2067" s="63"/>
      <c r="R2067" t="s">
        <v>118</v>
      </c>
      <c r="S2067" t="s">
        <v>1517</v>
      </c>
      <c r="T2067" t="s">
        <v>292</v>
      </c>
      <c r="U2067" t="s">
        <v>2997</v>
      </c>
      <c r="V2067" t="s">
        <v>2996</v>
      </c>
      <c r="W2067" t="s">
        <v>1100</v>
      </c>
      <c r="X2067" t="s">
        <v>985</v>
      </c>
      <c r="Y2067" t="s">
        <v>2995</v>
      </c>
      <c r="Z2067" t="str">
        <f>"07887 409239"</f>
        <v>07887 409239</v>
      </c>
      <c r="AA2067" t="str">
        <f>""</f>
        <v/>
      </c>
      <c r="AB2067" t="s">
        <v>1214</v>
      </c>
      <c r="AC2067" t="s">
        <v>3001</v>
      </c>
      <c r="AD2067" t="s">
        <v>114</v>
      </c>
      <c r="AE2067" s="63">
        <v>45288</v>
      </c>
      <c r="AF2067" t="s">
        <v>113</v>
      </c>
      <c r="AG2067" t="s">
        <v>112</v>
      </c>
      <c r="AH2067" t="s">
        <v>112</v>
      </c>
      <c r="AI2067" s="63">
        <v>42736</v>
      </c>
      <c r="AJ2067" s="63">
        <v>45657</v>
      </c>
      <c r="AK2067" t="s">
        <v>111</v>
      </c>
      <c r="AL2067" t="s">
        <v>111</v>
      </c>
      <c r="AM2067" t="s">
        <v>111</v>
      </c>
      <c r="AN2067">
        <v>1153</v>
      </c>
      <c r="AO2067" t="s">
        <v>110</v>
      </c>
      <c r="AP2067" t="s">
        <v>109</v>
      </c>
    </row>
    <row r="2068" spans="1:42" x14ac:dyDescent="0.25">
      <c r="A2068" s="28" t="str">
        <f>"13021"</f>
        <v>13021</v>
      </c>
      <c r="B2068">
        <v>13021</v>
      </c>
      <c r="C2068" t="s">
        <v>2488</v>
      </c>
      <c r="D2068" t="s">
        <v>130</v>
      </c>
      <c r="E2068" t="s">
        <v>3000</v>
      </c>
      <c r="F2068" t="s">
        <v>149</v>
      </c>
      <c r="G2068" t="s">
        <v>2999</v>
      </c>
      <c r="I2068" t="s">
        <v>2998</v>
      </c>
      <c r="J2068" t="s">
        <v>126</v>
      </c>
      <c r="K2068" s="63">
        <v>27120</v>
      </c>
      <c r="L2068" s="28">
        <f>DATEDIF(K2068,Zwift25!G$1,"Y")</f>
        <v>50</v>
      </c>
      <c r="M2068" s="67">
        <f>IF(J2068="m",VLOOKUP(L2068,'All Solo Adjustments'!A:D,4,FALSE),VLOOKUP(L2068,'All Solo Adjustments'!A:J,10,FALSE))</f>
        <v>4.9768518518518521E-3</v>
      </c>
      <c r="N2068" s="63"/>
      <c r="O2068" s="63"/>
      <c r="P2068" s="63"/>
      <c r="Q2068" s="63"/>
      <c r="R2068" t="s">
        <v>118</v>
      </c>
      <c r="S2068" t="s">
        <v>1517</v>
      </c>
      <c r="T2068" t="s">
        <v>292</v>
      </c>
      <c r="U2068" t="s">
        <v>2997</v>
      </c>
      <c r="V2068" t="s">
        <v>2996</v>
      </c>
      <c r="W2068" t="s">
        <v>1100</v>
      </c>
      <c r="X2068" t="s">
        <v>985</v>
      </c>
      <c r="Y2068" t="s">
        <v>2995</v>
      </c>
      <c r="Z2068" t="str">
        <f>"07887 409239"</f>
        <v>07887 409239</v>
      </c>
      <c r="AA2068" t="str">
        <f>""</f>
        <v/>
      </c>
      <c r="AB2068" t="s">
        <v>1214</v>
      </c>
      <c r="AC2068" t="s">
        <v>2994</v>
      </c>
      <c r="AD2068" t="s">
        <v>114</v>
      </c>
      <c r="AE2068" s="63">
        <v>45288</v>
      </c>
      <c r="AF2068" t="s">
        <v>113</v>
      </c>
      <c r="AG2068" t="s">
        <v>111</v>
      </c>
      <c r="AH2068" t="s">
        <v>111</v>
      </c>
      <c r="AI2068" s="63">
        <v>42736</v>
      </c>
      <c r="AJ2068" s="63">
        <v>45657</v>
      </c>
      <c r="AK2068" t="s">
        <v>111</v>
      </c>
      <c r="AL2068" t="s">
        <v>111</v>
      </c>
      <c r="AM2068" t="s">
        <v>111</v>
      </c>
      <c r="AN2068">
        <v>1151</v>
      </c>
      <c r="AO2068" t="s">
        <v>122</v>
      </c>
      <c r="AP2068" t="s">
        <v>122</v>
      </c>
    </row>
    <row r="2069" spans="1:42" x14ac:dyDescent="0.25">
      <c r="A2069" s="28" t="str">
        <f>"16110"</f>
        <v>16110</v>
      </c>
      <c r="B2069">
        <v>16110</v>
      </c>
      <c r="C2069" t="s">
        <v>2488</v>
      </c>
      <c r="D2069" t="s">
        <v>121</v>
      </c>
      <c r="F2069" t="s">
        <v>120</v>
      </c>
      <c r="G2069" t="s">
        <v>2993</v>
      </c>
      <c r="I2069" t="s">
        <v>1103</v>
      </c>
      <c r="J2069" t="s">
        <v>7</v>
      </c>
      <c r="K2069" s="63">
        <v>30444</v>
      </c>
      <c r="L2069" s="28">
        <f>DATEDIF(K2069,Zwift25!G$1,"Y")</f>
        <v>41</v>
      </c>
      <c r="M2069" s="67">
        <f>IF(J2069="m",VLOOKUP(L2069,'All Solo Adjustments'!A:D,4,FALSE),VLOOKUP(L2069,'All Solo Adjustments'!A:J,10,FALSE))</f>
        <v>6.9444444444444444E-5</v>
      </c>
      <c r="N2069" s="63"/>
      <c r="O2069" s="63"/>
      <c r="P2069" s="63"/>
      <c r="Q2069" s="63"/>
      <c r="R2069" t="s">
        <v>527</v>
      </c>
      <c r="S2069" t="s">
        <v>526</v>
      </c>
      <c r="T2069" t="s">
        <v>292</v>
      </c>
      <c r="U2069" t="s">
        <v>2992</v>
      </c>
      <c r="W2069" t="s">
        <v>2991</v>
      </c>
      <c r="Y2069" t="s">
        <v>2990</v>
      </c>
      <c r="Z2069" t="str">
        <f>"07896666060"</f>
        <v>07896666060</v>
      </c>
      <c r="AA2069" t="str">
        <f>""</f>
        <v/>
      </c>
      <c r="AB2069" t="s">
        <v>2989</v>
      </c>
      <c r="AC2069" t="s">
        <v>2988</v>
      </c>
      <c r="AD2069" t="s">
        <v>114</v>
      </c>
      <c r="AE2069" s="63">
        <v>45399</v>
      </c>
      <c r="AF2069" t="s">
        <v>156</v>
      </c>
      <c r="AG2069" t="s">
        <v>112</v>
      </c>
      <c r="AH2069" t="s">
        <v>112</v>
      </c>
      <c r="AI2069" s="63">
        <v>45399</v>
      </c>
      <c r="AJ2069" s="63">
        <v>45657</v>
      </c>
      <c r="AK2069" t="s">
        <v>112</v>
      </c>
      <c r="AL2069" t="s">
        <v>111</v>
      </c>
      <c r="AM2069" t="s">
        <v>111</v>
      </c>
      <c r="AN2069">
        <v>1818</v>
      </c>
      <c r="AO2069" t="s">
        <v>110</v>
      </c>
      <c r="AP2069" t="s">
        <v>109</v>
      </c>
    </row>
    <row r="2070" spans="1:42" x14ac:dyDescent="0.25">
      <c r="A2070" s="28" t="str">
        <f>"14042"</f>
        <v>14042</v>
      </c>
      <c r="B2070">
        <v>14042</v>
      </c>
      <c r="C2070" t="s">
        <v>2488</v>
      </c>
      <c r="D2070" t="s">
        <v>121</v>
      </c>
      <c r="E2070" t="s">
        <v>584</v>
      </c>
      <c r="F2070" t="s">
        <v>120</v>
      </c>
      <c r="G2070" t="s">
        <v>262</v>
      </c>
      <c r="I2070" t="s">
        <v>1101</v>
      </c>
      <c r="J2070" t="s">
        <v>7</v>
      </c>
      <c r="K2070" s="63">
        <v>27183</v>
      </c>
      <c r="L2070" s="28">
        <f>DATEDIF(K2070,Zwift25!G$1,"Y")</f>
        <v>50</v>
      </c>
      <c r="M2070" s="67">
        <f>IF(J2070="m",VLOOKUP(L2070,'All Solo Adjustments'!A:D,4,FALSE),VLOOKUP(L2070,'All Solo Adjustments'!A:J,10,FALSE))</f>
        <v>1.1342592592592591E-3</v>
      </c>
      <c r="N2070" s="63"/>
      <c r="O2070" s="63"/>
      <c r="P2070" s="63"/>
      <c r="Q2070" s="63"/>
      <c r="R2070" t="s">
        <v>239</v>
      </c>
      <c r="S2070" t="s">
        <v>274</v>
      </c>
      <c r="T2070" t="s">
        <v>292</v>
      </c>
      <c r="U2070" t="s">
        <v>2987</v>
      </c>
      <c r="V2070" t="s">
        <v>2986</v>
      </c>
      <c r="W2070" t="s">
        <v>2985</v>
      </c>
      <c r="X2070" t="s">
        <v>869</v>
      </c>
      <c r="Y2070" t="s">
        <v>2984</v>
      </c>
      <c r="Z2070" t="str">
        <f>"07771 970867"</f>
        <v>07771 970867</v>
      </c>
      <c r="AA2070" t="str">
        <f>""</f>
        <v/>
      </c>
      <c r="AB2070" t="s">
        <v>1599</v>
      </c>
      <c r="AC2070" t="s">
        <v>2983</v>
      </c>
      <c r="AD2070" t="s">
        <v>114</v>
      </c>
      <c r="AE2070" s="63">
        <v>45263</v>
      </c>
      <c r="AF2070" t="s">
        <v>156</v>
      </c>
      <c r="AG2070" t="s">
        <v>112</v>
      </c>
      <c r="AH2070" t="s">
        <v>112</v>
      </c>
      <c r="AI2070" s="63">
        <v>43504</v>
      </c>
      <c r="AJ2070" s="63">
        <v>45657</v>
      </c>
      <c r="AK2070" t="s">
        <v>112</v>
      </c>
      <c r="AL2070" t="s">
        <v>111</v>
      </c>
      <c r="AM2070" t="s">
        <v>111</v>
      </c>
      <c r="AN2070">
        <v>10204</v>
      </c>
      <c r="AO2070" t="s">
        <v>110</v>
      </c>
      <c r="AP2070" t="s">
        <v>109</v>
      </c>
    </row>
    <row r="2071" spans="1:42" x14ac:dyDescent="0.25">
      <c r="A2071" s="28" t="str">
        <f>"14271"</f>
        <v>14271</v>
      </c>
      <c r="B2071">
        <v>14271</v>
      </c>
      <c r="C2071" t="s">
        <v>2488</v>
      </c>
      <c r="D2071" t="s">
        <v>121</v>
      </c>
      <c r="E2071" t="s">
        <v>584</v>
      </c>
      <c r="F2071" t="s">
        <v>120</v>
      </c>
      <c r="G2071" t="s">
        <v>952</v>
      </c>
      <c r="I2071" t="s">
        <v>2982</v>
      </c>
      <c r="J2071" t="s">
        <v>7</v>
      </c>
      <c r="K2071" s="63">
        <v>27062</v>
      </c>
      <c r="L2071" s="28">
        <f>DATEDIF(K2071,Zwift25!G$1,"Y")</f>
        <v>50</v>
      </c>
      <c r="M2071" s="67">
        <f>IF(J2071="m",VLOOKUP(L2071,'All Solo Adjustments'!A:D,4,FALSE),VLOOKUP(L2071,'All Solo Adjustments'!A:J,10,FALSE))</f>
        <v>1.1342592592592591E-3</v>
      </c>
      <c r="N2071" s="63"/>
      <c r="O2071" s="63"/>
      <c r="P2071" s="63"/>
      <c r="Q2071" s="63"/>
      <c r="R2071" t="s">
        <v>328</v>
      </c>
      <c r="S2071" t="s">
        <v>327</v>
      </c>
      <c r="T2071" t="s">
        <v>292</v>
      </c>
      <c r="U2071" t="s">
        <v>2981</v>
      </c>
      <c r="V2071" t="s">
        <v>2980</v>
      </c>
      <c r="W2071" t="s">
        <v>2979</v>
      </c>
      <c r="X2071" t="s">
        <v>387</v>
      </c>
      <c r="Y2071" t="s">
        <v>2978</v>
      </c>
      <c r="Z2071" t="str">
        <f>"07916034591"</f>
        <v>07916034591</v>
      </c>
      <c r="AA2071" t="str">
        <f>""</f>
        <v/>
      </c>
      <c r="AB2071" t="s">
        <v>1501</v>
      </c>
      <c r="AC2071" t="s">
        <v>2977</v>
      </c>
      <c r="AD2071" t="s">
        <v>114</v>
      </c>
      <c r="AE2071" s="63">
        <v>45292</v>
      </c>
      <c r="AF2071" t="s">
        <v>113</v>
      </c>
      <c r="AG2071" t="s">
        <v>112</v>
      </c>
      <c r="AH2071" t="s">
        <v>112</v>
      </c>
      <c r="AI2071" s="63">
        <v>43628</v>
      </c>
      <c r="AJ2071" s="63">
        <v>45657</v>
      </c>
      <c r="AK2071" t="s">
        <v>112</v>
      </c>
      <c r="AL2071" t="s">
        <v>111</v>
      </c>
      <c r="AM2071" t="s">
        <v>111</v>
      </c>
      <c r="AN2071">
        <v>10415</v>
      </c>
      <c r="AO2071" t="s">
        <v>110</v>
      </c>
      <c r="AP2071" t="s">
        <v>109</v>
      </c>
    </row>
    <row r="2072" spans="1:42" x14ac:dyDescent="0.25">
      <c r="A2072" s="28" t="str">
        <f>"4179"</f>
        <v>4179</v>
      </c>
      <c r="B2072">
        <v>4179</v>
      </c>
      <c r="C2072" t="s">
        <v>2488</v>
      </c>
      <c r="D2072" t="s">
        <v>121</v>
      </c>
      <c r="E2072" t="s">
        <v>584</v>
      </c>
      <c r="F2072" t="s">
        <v>120</v>
      </c>
      <c r="G2072" t="s">
        <v>800</v>
      </c>
      <c r="I2072" t="s">
        <v>1095</v>
      </c>
      <c r="J2072" t="s">
        <v>7</v>
      </c>
      <c r="K2072" s="63">
        <v>20802</v>
      </c>
      <c r="L2072" s="28">
        <f>DATEDIF(K2072,Zwift25!G$1,"Y")</f>
        <v>67</v>
      </c>
      <c r="M2072" s="67">
        <f>IF(J2072="m",VLOOKUP(L2072,'All Solo Adjustments'!A:D,4,FALSE),VLOOKUP(L2072,'All Solo Adjustments'!A:J,10,FALSE))</f>
        <v>5.2662037037037035E-3</v>
      </c>
      <c r="N2072" s="63"/>
      <c r="O2072" s="63"/>
      <c r="P2072" s="63"/>
      <c r="Q2072" s="63"/>
      <c r="R2072" t="s">
        <v>198</v>
      </c>
      <c r="S2072" t="s">
        <v>461</v>
      </c>
      <c r="T2072" t="s">
        <v>292</v>
      </c>
      <c r="U2072" t="s">
        <v>2976</v>
      </c>
      <c r="V2072" t="s">
        <v>2975</v>
      </c>
      <c r="W2072" t="s">
        <v>196</v>
      </c>
      <c r="Y2072" t="s">
        <v>2974</v>
      </c>
      <c r="Z2072" t="str">
        <f>"01782 750886"</f>
        <v>01782 750886</v>
      </c>
      <c r="AA2072" t="str">
        <f>"07773 383141"</f>
        <v>07773 383141</v>
      </c>
      <c r="AB2072" t="s">
        <v>1311</v>
      </c>
      <c r="AC2072" t="s">
        <v>2973</v>
      </c>
      <c r="AD2072" t="s">
        <v>114</v>
      </c>
      <c r="AE2072" s="63">
        <v>45278</v>
      </c>
      <c r="AF2072" t="s">
        <v>113</v>
      </c>
      <c r="AG2072" t="s">
        <v>112</v>
      </c>
      <c r="AH2072" t="s">
        <v>112</v>
      </c>
      <c r="AI2072" s="63">
        <v>40553</v>
      </c>
      <c r="AJ2072" s="63">
        <v>45657</v>
      </c>
      <c r="AK2072" t="s">
        <v>111</v>
      </c>
      <c r="AL2072" t="s">
        <v>111</v>
      </c>
      <c r="AM2072" t="s">
        <v>111</v>
      </c>
      <c r="AN2072">
        <v>1368</v>
      </c>
      <c r="AO2072" t="s">
        <v>110</v>
      </c>
      <c r="AP2072" t="s">
        <v>109</v>
      </c>
    </row>
    <row r="2073" spans="1:42" x14ac:dyDescent="0.25">
      <c r="A2073" s="28" t="str">
        <f>"14760"</f>
        <v>14760</v>
      </c>
      <c r="B2073">
        <v>14760</v>
      </c>
      <c r="C2073" t="s">
        <v>2488</v>
      </c>
      <c r="D2073" t="s">
        <v>121</v>
      </c>
      <c r="E2073" t="s">
        <v>584</v>
      </c>
      <c r="F2073" t="s">
        <v>403</v>
      </c>
      <c r="G2073" t="s">
        <v>220</v>
      </c>
      <c r="I2073" t="s">
        <v>2405</v>
      </c>
      <c r="J2073" t="s">
        <v>7</v>
      </c>
      <c r="K2073" s="63">
        <v>25374</v>
      </c>
      <c r="L2073" s="28">
        <f>DATEDIF(K2073,Zwift25!G$1,"Y")</f>
        <v>55</v>
      </c>
      <c r="M2073" s="67">
        <f>IF(J2073="m",VLOOKUP(L2073,'All Solo Adjustments'!A:D,4,FALSE),VLOOKUP(L2073,'All Solo Adjustments'!A:J,10,FALSE))</f>
        <v>2.0601851851851853E-3</v>
      </c>
      <c r="N2073" s="63"/>
      <c r="O2073" s="63"/>
      <c r="P2073" s="63"/>
      <c r="Q2073" s="63"/>
      <c r="R2073" t="s">
        <v>154</v>
      </c>
      <c r="S2073" t="s">
        <v>153</v>
      </c>
      <c r="T2073" t="s">
        <v>292</v>
      </c>
      <c r="U2073" t="s">
        <v>2972</v>
      </c>
      <c r="V2073" t="s">
        <v>641</v>
      </c>
      <c r="Y2073" t="s">
        <v>2971</v>
      </c>
      <c r="Z2073" t="str">
        <f>"07973560740"</f>
        <v>07973560740</v>
      </c>
      <c r="AA2073" t="str">
        <f>""</f>
        <v/>
      </c>
      <c r="AB2073" t="s">
        <v>640</v>
      </c>
      <c r="AC2073" t="s">
        <v>2970</v>
      </c>
      <c r="AD2073" t="s">
        <v>114</v>
      </c>
      <c r="AE2073" s="63">
        <v>45292</v>
      </c>
      <c r="AF2073" t="s">
        <v>156</v>
      </c>
      <c r="AG2073" t="s">
        <v>112</v>
      </c>
      <c r="AH2073" t="s">
        <v>112</v>
      </c>
      <c r="AI2073" s="63">
        <v>44095</v>
      </c>
      <c r="AJ2073" s="63">
        <v>45657</v>
      </c>
      <c r="AK2073" t="s">
        <v>112</v>
      </c>
      <c r="AL2073" t="s">
        <v>111</v>
      </c>
      <c r="AM2073" t="s">
        <v>111</v>
      </c>
      <c r="AN2073">
        <v>24181</v>
      </c>
      <c r="AO2073" t="s">
        <v>110</v>
      </c>
      <c r="AP2073" t="s">
        <v>109</v>
      </c>
    </row>
    <row r="2074" spans="1:42" x14ac:dyDescent="0.25">
      <c r="A2074" s="28" t="str">
        <f>"5199"</f>
        <v>5199</v>
      </c>
      <c r="B2074">
        <v>5199</v>
      </c>
      <c r="C2074" t="s">
        <v>2488</v>
      </c>
      <c r="D2074" t="s">
        <v>121</v>
      </c>
      <c r="E2074" t="s">
        <v>584</v>
      </c>
      <c r="F2074" t="s">
        <v>120</v>
      </c>
      <c r="G2074" t="s">
        <v>189</v>
      </c>
      <c r="H2074" t="s">
        <v>1155</v>
      </c>
      <c r="I2074" t="s">
        <v>2969</v>
      </c>
      <c r="J2074" t="s">
        <v>7</v>
      </c>
      <c r="K2074" s="63">
        <v>24975</v>
      </c>
      <c r="L2074" s="28">
        <f>DATEDIF(K2074,Zwift25!G$1,"Y")</f>
        <v>56</v>
      </c>
      <c r="M2074" s="67">
        <f>IF(J2074="m",VLOOKUP(L2074,'All Solo Adjustments'!A:D,4,FALSE),VLOOKUP(L2074,'All Solo Adjustments'!A:J,10,FALSE))</f>
        <v>2.2685185185185182E-3</v>
      </c>
      <c r="N2074" s="63"/>
      <c r="O2074" s="63"/>
      <c r="P2074" s="63"/>
      <c r="Q2074" s="63"/>
      <c r="R2074" t="s">
        <v>137</v>
      </c>
      <c r="S2074" t="s">
        <v>136</v>
      </c>
      <c r="T2074" t="s">
        <v>292</v>
      </c>
      <c r="U2074" t="s">
        <v>2968</v>
      </c>
      <c r="V2074" t="s">
        <v>1217</v>
      </c>
      <c r="W2074" t="s">
        <v>208</v>
      </c>
      <c r="Y2074" t="s">
        <v>2967</v>
      </c>
      <c r="Z2074" t="str">
        <f>"02392 647569"</f>
        <v>02392 647569</v>
      </c>
      <c r="AA2074" t="str">
        <f>"07757 670751"</f>
        <v>07757 670751</v>
      </c>
      <c r="AB2074" t="s">
        <v>378</v>
      </c>
      <c r="AC2074" t="s">
        <v>2966</v>
      </c>
      <c r="AD2074" t="s">
        <v>114</v>
      </c>
      <c r="AE2074" s="63">
        <v>45289</v>
      </c>
      <c r="AF2074" t="s">
        <v>156</v>
      </c>
      <c r="AG2074" t="s">
        <v>112</v>
      </c>
      <c r="AH2074" t="s">
        <v>112</v>
      </c>
      <c r="AI2074" s="63">
        <v>42006</v>
      </c>
      <c r="AJ2074" s="63">
        <v>45657</v>
      </c>
      <c r="AK2074" t="s">
        <v>111</v>
      </c>
      <c r="AL2074" t="s">
        <v>111</v>
      </c>
      <c r="AM2074" t="s">
        <v>111</v>
      </c>
      <c r="AN2074">
        <v>1467</v>
      </c>
      <c r="AO2074" t="s">
        <v>110</v>
      </c>
      <c r="AP2074" t="s">
        <v>109</v>
      </c>
    </row>
    <row r="2075" spans="1:42" x14ac:dyDescent="0.25">
      <c r="A2075" s="28" t="str">
        <f>"2602"</f>
        <v>2602</v>
      </c>
      <c r="B2075">
        <v>2602</v>
      </c>
      <c r="C2075" t="s">
        <v>2488</v>
      </c>
      <c r="D2075" t="s">
        <v>121</v>
      </c>
      <c r="F2075" t="s">
        <v>120</v>
      </c>
      <c r="G2075" t="s">
        <v>230</v>
      </c>
      <c r="I2075" t="s">
        <v>2965</v>
      </c>
      <c r="J2075" t="s">
        <v>7</v>
      </c>
      <c r="K2075" s="63">
        <v>13524</v>
      </c>
      <c r="L2075" s="28">
        <f>DATEDIF(K2075,Zwift25!G$1,"Y")</f>
        <v>87</v>
      </c>
      <c r="M2075" s="67">
        <f>IF(J2075="m",VLOOKUP(L2075,'All Solo Adjustments'!A:D,4,FALSE),VLOOKUP(L2075,'All Solo Adjustments'!A:J,10,FALSE))</f>
        <v>1.576388888888889E-2</v>
      </c>
      <c r="N2075" s="63"/>
      <c r="O2075" s="63"/>
      <c r="P2075" s="63"/>
      <c r="Q2075" s="63"/>
      <c r="R2075" t="s">
        <v>198</v>
      </c>
      <c r="S2075" t="s">
        <v>476</v>
      </c>
      <c r="T2075" t="s">
        <v>292</v>
      </c>
      <c r="U2075" t="s">
        <v>2964</v>
      </c>
      <c r="V2075" t="s">
        <v>2375</v>
      </c>
      <c r="W2075" t="s">
        <v>1178</v>
      </c>
      <c r="X2075" t="s">
        <v>196</v>
      </c>
      <c r="Y2075" t="s">
        <v>2963</v>
      </c>
      <c r="Z2075" t="str">
        <f>"01270 762515"</f>
        <v>01270 762515</v>
      </c>
      <c r="AA2075" t="str">
        <f>""</f>
        <v/>
      </c>
      <c r="AB2075" t="s">
        <v>1269</v>
      </c>
      <c r="AC2075" t="s">
        <v>2962</v>
      </c>
      <c r="AD2075" t="s">
        <v>145</v>
      </c>
      <c r="AF2075" t="s">
        <v>113</v>
      </c>
      <c r="AG2075" t="s">
        <v>112</v>
      </c>
      <c r="AH2075" t="s">
        <v>112</v>
      </c>
      <c r="AI2075" s="63">
        <v>28549</v>
      </c>
      <c r="AK2075" t="s">
        <v>111</v>
      </c>
      <c r="AL2075" t="s">
        <v>111</v>
      </c>
      <c r="AM2075" t="s">
        <v>111</v>
      </c>
      <c r="AN2075" t="s">
        <v>105</v>
      </c>
      <c r="AO2075" t="s">
        <v>110</v>
      </c>
      <c r="AP2075" t="s">
        <v>109</v>
      </c>
    </row>
    <row r="2076" spans="1:42" x14ac:dyDescent="0.25">
      <c r="A2076" s="28" t="str">
        <f>"15774"</f>
        <v>15774</v>
      </c>
      <c r="B2076">
        <v>15774</v>
      </c>
      <c r="C2076" t="s">
        <v>2488</v>
      </c>
      <c r="D2076" t="s">
        <v>121</v>
      </c>
      <c r="F2076" t="s">
        <v>120</v>
      </c>
      <c r="G2076" t="s">
        <v>171</v>
      </c>
      <c r="I2076" t="s">
        <v>2961</v>
      </c>
      <c r="J2076" t="s">
        <v>7</v>
      </c>
      <c r="K2076" s="63">
        <v>23048</v>
      </c>
      <c r="L2076" s="28">
        <f>DATEDIF(K2076,Zwift25!G$1,"Y")</f>
        <v>61</v>
      </c>
      <c r="M2076" s="67">
        <f>IF(J2076="m",VLOOKUP(L2076,'All Solo Adjustments'!A:D,4,FALSE),VLOOKUP(L2076,'All Solo Adjustments'!A:J,10,FALSE))</f>
        <v>3.4722222222222225E-3</v>
      </c>
      <c r="N2076" s="63"/>
      <c r="O2076" s="63"/>
      <c r="P2076" s="63"/>
      <c r="Q2076" s="63"/>
      <c r="R2076" t="s">
        <v>198</v>
      </c>
      <c r="S2076" t="s">
        <v>461</v>
      </c>
      <c r="T2076" t="s">
        <v>292</v>
      </c>
      <c r="U2076" t="s">
        <v>2960</v>
      </c>
      <c r="V2076" t="s">
        <v>1256</v>
      </c>
      <c r="W2076" t="s">
        <v>532</v>
      </c>
      <c r="X2076" t="s">
        <v>892</v>
      </c>
      <c r="Y2076" t="s">
        <v>2959</v>
      </c>
      <c r="Z2076" t="str">
        <f>"07942206794"</f>
        <v>07942206794</v>
      </c>
      <c r="AA2076" t="str">
        <f>""</f>
        <v/>
      </c>
      <c r="AB2076" t="s">
        <v>1144</v>
      </c>
      <c r="AC2076" t="s">
        <v>2958</v>
      </c>
      <c r="AD2076" t="s">
        <v>114</v>
      </c>
      <c r="AE2076" s="63">
        <v>45281</v>
      </c>
      <c r="AF2076" t="s">
        <v>156</v>
      </c>
      <c r="AG2076" t="s">
        <v>112</v>
      </c>
      <c r="AH2076" t="s">
        <v>112</v>
      </c>
      <c r="AI2076" s="63">
        <v>45026</v>
      </c>
      <c r="AJ2076" s="63">
        <v>45657</v>
      </c>
      <c r="AK2076" t="s">
        <v>112</v>
      </c>
      <c r="AL2076" t="s">
        <v>111</v>
      </c>
      <c r="AM2076" t="s">
        <v>111</v>
      </c>
      <c r="AN2076">
        <v>6053</v>
      </c>
      <c r="AO2076" t="s">
        <v>110</v>
      </c>
      <c r="AP2076" t="s">
        <v>109</v>
      </c>
    </row>
    <row r="2077" spans="1:42" x14ac:dyDescent="0.25">
      <c r="A2077" s="28" t="str">
        <f>"15697"</f>
        <v>15697</v>
      </c>
      <c r="B2077">
        <v>15697</v>
      </c>
      <c r="C2077" t="s">
        <v>2488</v>
      </c>
      <c r="D2077" t="s">
        <v>121</v>
      </c>
      <c r="F2077" t="s">
        <v>120</v>
      </c>
      <c r="G2077" t="s">
        <v>230</v>
      </c>
      <c r="I2077" t="s">
        <v>1084</v>
      </c>
      <c r="J2077" t="s">
        <v>7</v>
      </c>
      <c r="K2077" s="63">
        <v>30271</v>
      </c>
      <c r="L2077" s="28">
        <f>DATEDIF(K2077,Zwift25!G$1,"Y")</f>
        <v>41</v>
      </c>
      <c r="M2077" s="67">
        <f>IF(J2077="m",VLOOKUP(L2077,'All Solo Adjustments'!A:D,4,FALSE),VLOOKUP(L2077,'All Solo Adjustments'!A:J,10,FALSE))</f>
        <v>6.9444444444444444E-5</v>
      </c>
      <c r="N2077" s="63"/>
      <c r="O2077" s="63"/>
      <c r="P2077" s="63"/>
      <c r="Q2077" s="63"/>
      <c r="R2077" t="s">
        <v>180</v>
      </c>
      <c r="S2077" t="s">
        <v>179</v>
      </c>
      <c r="T2077" t="s">
        <v>292</v>
      </c>
      <c r="U2077" t="s">
        <v>2957</v>
      </c>
      <c r="V2077" t="s">
        <v>2167</v>
      </c>
      <c r="W2077" t="s">
        <v>983</v>
      </c>
      <c r="X2077" t="s">
        <v>337</v>
      </c>
      <c r="Y2077" t="s">
        <v>2956</v>
      </c>
      <c r="Z2077" t="str">
        <f>"07740477662"</f>
        <v>07740477662</v>
      </c>
      <c r="AA2077" t="str">
        <f>""</f>
        <v/>
      </c>
      <c r="AB2077" t="s">
        <v>2955</v>
      </c>
      <c r="AC2077" t="s">
        <v>2954</v>
      </c>
      <c r="AD2077" t="s">
        <v>114</v>
      </c>
      <c r="AE2077" s="63">
        <v>45397</v>
      </c>
      <c r="AF2077" t="s">
        <v>156</v>
      </c>
      <c r="AG2077" t="s">
        <v>112</v>
      </c>
      <c r="AH2077" t="s">
        <v>112</v>
      </c>
      <c r="AI2077" s="63">
        <v>44976</v>
      </c>
      <c r="AJ2077" s="63">
        <v>45657</v>
      </c>
      <c r="AK2077" t="s">
        <v>112</v>
      </c>
      <c r="AL2077" t="s">
        <v>111</v>
      </c>
      <c r="AM2077" t="s">
        <v>111</v>
      </c>
      <c r="AN2077">
        <v>11161</v>
      </c>
      <c r="AO2077" t="s">
        <v>110</v>
      </c>
      <c r="AP2077" t="s">
        <v>109</v>
      </c>
    </row>
    <row r="2078" spans="1:42" x14ac:dyDescent="0.25">
      <c r="A2078" s="28" t="str">
        <f>"15108"</f>
        <v>15108</v>
      </c>
      <c r="B2078">
        <v>15108</v>
      </c>
      <c r="C2078" t="s">
        <v>2488</v>
      </c>
      <c r="D2078" t="s">
        <v>121</v>
      </c>
      <c r="E2078" t="s">
        <v>584</v>
      </c>
      <c r="F2078" t="s">
        <v>144</v>
      </c>
      <c r="G2078" t="s">
        <v>595</v>
      </c>
      <c r="I2078" t="s">
        <v>2953</v>
      </c>
      <c r="J2078" t="s">
        <v>126</v>
      </c>
      <c r="K2078" s="63">
        <v>21196</v>
      </c>
      <c r="L2078" s="28">
        <f>DATEDIF(K2078,Zwift25!G$1,"Y")</f>
        <v>66</v>
      </c>
      <c r="M2078" s="67">
        <f>IF(J2078="m",VLOOKUP(L2078,'All Solo Adjustments'!A:D,4,FALSE),VLOOKUP(L2078,'All Solo Adjustments'!A:J,10,FALSE))</f>
        <v>9.4907407407407406E-3</v>
      </c>
      <c r="N2078" s="63"/>
      <c r="O2078" s="63"/>
      <c r="P2078" s="63"/>
      <c r="Q2078" s="63"/>
      <c r="R2078" t="s">
        <v>159</v>
      </c>
      <c r="S2078" t="s">
        <v>162</v>
      </c>
      <c r="T2078" t="s">
        <v>292</v>
      </c>
      <c r="U2078" t="s">
        <v>2952</v>
      </c>
      <c r="V2078" t="s">
        <v>2951</v>
      </c>
      <c r="W2078" t="s">
        <v>1231</v>
      </c>
      <c r="X2078" t="s">
        <v>159</v>
      </c>
      <c r="Y2078" t="s">
        <v>2950</v>
      </c>
      <c r="Z2078" t="str">
        <f>"07753775819"</f>
        <v>07753775819</v>
      </c>
      <c r="AA2078" t="str">
        <f>"01732457690"</f>
        <v>01732457690</v>
      </c>
      <c r="AB2078" t="s">
        <v>2949</v>
      </c>
      <c r="AC2078" t="s">
        <v>2948</v>
      </c>
      <c r="AD2078" t="s">
        <v>114</v>
      </c>
      <c r="AE2078" s="63">
        <v>45294</v>
      </c>
      <c r="AF2078" t="s">
        <v>156</v>
      </c>
      <c r="AG2078" t="s">
        <v>112</v>
      </c>
      <c r="AH2078" t="s">
        <v>112</v>
      </c>
      <c r="AI2078" s="63">
        <v>44357</v>
      </c>
      <c r="AJ2078" s="63">
        <v>45657</v>
      </c>
      <c r="AK2078" t="s">
        <v>112</v>
      </c>
      <c r="AL2078" t="s">
        <v>111</v>
      </c>
      <c r="AM2078" t="s">
        <v>111</v>
      </c>
      <c r="AN2078">
        <v>2570</v>
      </c>
      <c r="AO2078" t="s">
        <v>122</v>
      </c>
      <c r="AP2078" t="s">
        <v>122</v>
      </c>
    </row>
    <row r="2079" spans="1:42" x14ac:dyDescent="0.25">
      <c r="A2079" s="28" t="str">
        <f>"14891"</f>
        <v>14891</v>
      </c>
      <c r="B2079">
        <v>14891</v>
      </c>
      <c r="C2079" t="s">
        <v>2488</v>
      </c>
      <c r="D2079" t="s">
        <v>121</v>
      </c>
      <c r="F2079" t="s">
        <v>144</v>
      </c>
      <c r="G2079" t="s">
        <v>1654</v>
      </c>
      <c r="I2079" t="s">
        <v>2947</v>
      </c>
      <c r="J2079" t="s">
        <v>126</v>
      </c>
      <c r="K2079" s="63">
        <v>28615</v>
      </c>
      <c r="L2079" s="28">
        <f>DATEDIF(K2079,Zwift25!G$1,"Y")</f>
        <v>46</v>
      </c>
      <c r="M2079" s="67">
        <f>IF(J2079="m",VLOOKUP(L2079,'All Solo Adjustments'!A:D,4,FALSE),VLOOKUP(L2079,'All Solo Adjustments'!A:J,10,FALSE))</f>
        <v>4.6759259259259263E-3</v>
      </c>
      <c r="N2079" s="63"/>
      <c r="O2079" s="63"/>
      <c r="P2079" s="63"/>
      <c r="Q2079" s="63"/>
      <c r="R2079" t="s">
        <v>283</v>
      </c>
      <c r="S2079" t="s">
        <v>530</v>
      </c>
      <c r="T2079" t="s">
        <v>292</v>
      </c>
      <c r="U2079" t="s">
        <v>2946</v>
      </c>
      <c r="V2079" t="s">
        <v>2945</v>
      </c>
      <c r="W2079" t="s">
        <v>2944</v>
      </c>
      <c r="X2079" t="s">
        <v>793</v>
      </c>
      <c r="Y2079" t="s">
        <v>2943</v>
      </c>
      <c r="Z2079" t="str">
        <f>"07516355584"</f>
        <v>07516355584</v>
      </c>
      <c r="AA2079" t="str">
        <f>""</f>
        <v/>
      </c>
      <c r="AB2079" t="s">
        <v>2942</v>
      </c>
      <c r="AC2079" t="s">
        <v>2941</v>
      </c>
      <c r="AD2079" t="s">
        <v>114</v>
      </c>
      <c r="AE2079" s="63">
        <v>45485</v>
      </c>
      <c r="AF2079" t="s">
        <v>156</v>
      </c>
      <c r="AG2079" t="s">
        <v>112</v>
      </c>
      <c r="AH2079" t="s">
        <v>112</v>
      </c>
      <c r="AI2079" s="63">
        <v>44263</v>
      </c>
      <c r="AJ2079" s="63">
        <v>45657</v>
      </c>
      <c r="AK2079" t="s">
        <v>112</v>
      </c>
      <c r="AL2079" t="s">
        <v>111</v>
      </c>
      <c r="AM2079" t="s">
        <v>111</v>
      </c>
      <c r="AN2079">
        <v>19303</v>
      </c>
      <c r="AO2079" t="s">
        <v>122</v>
      </c>
      <c r="AP2079" t="s">
        <v>122</v>
      </c>
    </row>
    <row r="2080" spans="1:42" x14ac:dyDescent="0.25">
      <c r="A2080" s="28" t="str">
        <f>"12607"</f>
        <v>12607</v>
      </c>
      <c r="B2080">
        <v>12607</v>
      </c>
      <c r="C2080" t="s">
        <v>2488</v>
      </c>
      <c r="D2080" t="s">
        <v>121</v>
      </c>
      <c r="F2080" t="s">
        <v>149</v>
      </c>
      <c r="G2080" t="s">
        <v>2325</v>
      </c>
      <c r="I2080" t="s">
        <v>2304</v>
      </c>
      <c r="J2080" t="s">
        <v>126</v>
      </c>
      <c r="K2080" s="63">
        <v>15282</v>
      </c>
      <c r="L2080" s="28">
        <f>DATEDIF(K2080,Zwift25!G$1,"Y")</f>
        <v>82</v>
      </c>
      <c r="M2080" s="67">
        <f>IF(J2080="m",VLOOKUP(L2080,'All Solo Adjustments'!A:D,4,FALSE),VLOOKUP(L2080,'All Solo Adjustments'!A:J,10,FALSE))</f>
        <v>1.818287037037037E-2</v>
      </c>
      <c r="N2080" s="63"/>
      <c r="O2080" s="63"/>
      <c r="P2080" s="63"/>
      <c r="Q2080" s="63"/>
      <c r="R2080" t="s">
        <v>159</v>
      </c>
      <c r="S2080" t="s">
        <v>570</v>
      </c>
      <c r="T2080" t="s">
        <v>292</v>
      </c>
      <c r="U2080" t="s">
        <v>2307</v>
      </c>
      <c r="V2080" t="s">
        <v>2306</v>
      </c>
      <c r="W2080" t="s">
        <v>931</v>
      </c>
      <c r="X2080" t="s">
        <v>159</v>
      </c>
      <c r="Y2080" t="s">
        <v>2305</v>
      </c>
      <c r="Z2080" t="str">
        <f>"01622 814286"</f>
        <v>01622 814286</v>
      </c>
      <c r="AA2080" t="str">
        <f>""</f>
        <v/>
      </c>
      <c r="AB2080" t="s">
        <v>256</v>
      </c>
      <c r="AD2080" t="s">
        <v>145</v>
      </c>
      <c r="AF2080" t="s">
        <v>113</v>
      </c>
      <c r="AG2080" t="s">
        <v>111</v>
      </c>
      <c r="AH2080" t="s">
        <v>111</v>
      </c>
      <c r="AI2080" s="63">
        <v>43515</v>
      </c>
      <c r="AK2080" t="s">
        <v>111</v>
      </c>
      <c r="AL2080" t="s">
        <v>111</v>
      </c>
      <c r="AM2080" t="s">
        <v>111</v>
      </c>
      <c r="AN2080" t="s">
        <v>105</v>
      </c>
      <c r="AO2080" t="s">
        <v>122</v>
      </c>
      <c r="AP2080" t="s">
        <v>122</v>
      </c>
    </row>
    <row r="2081" spans="1:42" x14ac:dyDescent="0.25">
      <c r="A2081" s="28" t="str">
        <f>"12609"</f>
        <v>12609</v>
      </c>
      <c r="B2081">
        <v>12609</v>
      </c>
      <c r="C2081" t="s">
        <v>2488</v>
      </c>
      <c r="D2081" t="s">
        <v>121</v>
      </c>
      <c r="F2081" t="s">
        <v>149</v>
      </c>
      <c r="G2081" t="s">
        <v>2445</v>
      </c>
      <c r="I2081" t="s">
        <v>2304</v>
      </c>
      <c r="J2081" t="s">
        <v>126</v>
      </c>
      <c r="K2081" s="63">
        <v>15282</v>
      </c>
      <c r="L2081" s="28">
        <f>DATEDIF(K2081,Zwift25!G$1,"Y")</f>
        <v>82</v>
      </c>
      <c r="M2081" s="67">
        <f>IF(J2081="m",VLOOKUP(L2081,'All Solo Adjustments'!A:D,4,FALSE),VLOOKUP(L2081,'All Solo Adjustments'!A:J,10,FALSE))</f>
        <v>1.818287037037037E-2</v>
      </c>
      <c r="N2081" s="63"/>
      <c r="O2081" s="63"/>
      <c r="P2081" s="63"/>
      <c r="Q2081" s="63"/>
      <c r="R2081" t="s">
        <v>159</v>
      </c>
      <c r="S2081" t="s">
        <v>570</v>
      </c>
      <c r="T2081" t="s">
        <v>292</v>
      </c>
      <c r="U2081" t="s">
        <v>2303</v>
      </c>
      <c r="V2081" t="s">
        <v>2302</v>
      </c>
      <c r="W2081" t="s">
        <v>2301</v>
      </c>
      <c r="X2081" t="s">
        <v>159</v>
      </c>
      <c r="Y2081" t="s">
        <v>2300</v>
      </c>
      <c r="Z2081" t="str">
        <f>"99999 999999"</f>
        <v>99999 999999</v>
      </c>
      <c r="AA2081" t="str">
        <f>""</f>
        <v/>
      </c>
      <c r="AB2081" t="s">
        <v>2299</v>
      </c>
      <c r="AD2081" t="s">
        <v>145</v>
      </c>
      <c r="AF2081" t="s">
        <v>113</v>
      </c>
      <c r="AG2081" t="s">
        <v>111</v>
      </c>
      <c r="AH2081" t="s">
        <v>111</v>
      </c>
      <c r="AI2081" s="63">
        <v>44129</v>
      </c>
      <c r="AK2081" t="s">
        <v>111</v>
      </c>
      <c r="AL2081" t="s">
        <v>111</v>
      </c>
      <c r="AM2081" t="s">
        <v>111</v>
      </c>
      <c r="AN2081" t="s">
        <v>105</v>
      </c>
      <c r="AO2081" t="s">
        <v>122</v>
      </c>
      <c r="AP2081" t="s">
        <v>122</v>
      </c>
    </row>
    <row r="2082" spans="1:42" x14ac:dyDescent="0.25">
      <c r="A2082" s="28" t="str">
        <f>"2613"</f>
        <v>2613</v>
      </c>
      <c r="B2082">
        <v>2613</v>
      </c>
      <c r="C2082" t="s">
        <v>2488</v>
      </c>
      <c r="D2082" t="s">
        <v>121</v>
      </c>
      <c r="F2082" t="s">
        <v>120</v>
      </c>
      <c r="G2082" t="s">
        <v>195</v>
      </c>
      <c r="H2082" t="s">
        <v>1807</v>
      </c>
      <c r="I2082" t="s">
        <v>214</v>
      </c>
      <c r="J2082" t="s">
        <v>7</v>
      </c>
      <c r="K2082" s="63">
        <v>21772</v>
      </c>
      <c r="L2082" s="28">
        <f>DATEDIF(K2082,Zwift25!G$1,"Y")</f>
        <v>65</v>
      </c>
      <c r="M2082" s="67">
        <f>IF(J2082="m",VLOOKUP(L2082,'All Solo Adjustments'!A:D,4,FALSE),VLOOKUP(L2082,'All Solo Adjustments'!A:J,10,FALSE))</f>
        <v>4.6180555555555558E-3</v>
      </c>
      <c r="N2082" s="63"/>
      <c r="O2082" s="63"/>
      <c r="P2082" s="63"/>
      <c r="Q2082" s="63"/>
      <c r="R2082" t="s">
        <v>180</v>
      </c>
      <c r="S2082" t="s">
        <v>179</v>
      </c>
      <c r="T2082" t="s">
        <v>292</v>
      </c>
      <c r="U2082" t="s">
        <v>2940</v>
      </c>
      <c r="V2082" t="s">
        <v>2939</v>
      </c>
      <c r="W2082" t="s">
        <v>983</v>
      </c>
      <c r="Y2082" t="s">
        <v>2938</v>
      </c>
      <c r="Z2082" t="str">
        <f>"07512511050"</f>
        <v>07512511050</v>
      </c>
      <c r="AA2082" t="str">
        <f>"01773 777046"</f>
        <v>01773 777046</v>
      </c>
      <c r="AB2082" t="s">
        <v>1207</v>
      </c>
      <c r="AC2082" t="s">
        <v>2937</v>
      </c>
      <c r="AD2082" t="s">
        <v>114</v>
      </c>
      <c r="AE2082" s="63">
        <v>45292</v>
      </c>
      <c r="AF2082" t="s">
        <v>113</v>
      </c>
      <c r="AG2082" t="s">
        <v>112</v>
      </c>
      <c r="AH2082" t="s">
        <v>112</v>
      </c>
      <c r="AI2082" s="63">
        <v>41277</v>
      </c>
      <c r="AJ2082" s="63">
        <v>45657</v>
      </c>
      <c r="AK2082" t="s">
        <v>111</v>
      </c>
      <c r="AL2082" t="s">
        <v>111</v>
      </c>
      <c r="AM2082" t="s">
        <v>111</v>
      </c>
      <c r="AN2082">
        <v>6976</v>
      </c>
      <c r="AO2082" t="s">
        <v>110</v>
      </c>
      <c r="AP2082" t="s">
        <v>109</v>
      </c>
    </row>
    <row r="2083" spans="1:42" x14ac:dyDescent="0.25">
      <c r="A2083" s="28" t="str">
        <f>"2611"</f>
        <v>2611</v>
      </c>
      <c r="B2083">
        <v>2611</v>
      </c>
      <c r="C2083" t="s">
        <v>2488</v>
      </c>
      <c r="D2083" t="s">
        <v>121</v>
      </c>
      <c r="F2083" t="s">
        <v>120</v>
      </c>
      <c r="G2083" t="s">
        <v>1631</v>
      </c>
      <c r="I2083" t="s">
        <v>214</v>
      </c>
      <c r="J2083" t="s">
        <v>7</v>
      </c>
      <c r="K2083" s="63">
        <v>10275</v>
      </c>
      <c r="L2083" s="28">
        <f>DATEDIF(K2083,Zwift25!G$1,"Y")</f>
        <v>96</v>
      </c>
      <c r="M2083" s="67">
        <f>IF(J2083="m",VLOOKUP(L2083,'All Solo Adjustments'!A:D,4,FALSE),VLOOKUP(L2083,'All Solo Adjustments'!A:J,10,FALSE))</f>
        <v>2.5300925925925925E-2</v>
      </c>
      <c r="N2083" s="63"/>
      <c r="O2083" s="63"/>
      <c r="P2083" s="63"/>
      <c r="Q2083" s="63"/>
      <c r="R2083" t="s">
        <v>213</v>
      </c>
      <c r="S2083" t="s">
        <v>2309</v>
      </c>
      <c r="T2083" t="s">
        <v>292</v>
      </c>
      <c r="U2083" t="s">
        <v>2936</v>
      </c>
      <c r="V2083" t="s">
        <v>912</v>
      </c>
      <c r="W2083" t="s">
        <v>2935</v>
      </c>
      <c r="Y2083" t="s">
        <v>2934</v>
      </c>
      <c r="Z2083" t="str">
        <f>"01978 263967"</f>
        <v>01978 263967</v>
      </c>
      <c r="AA2083" t="str">
        <f>""</f>
        <v/>
      </c>
      <c r="AB2083" t="s">
        <v>210</v>
      </c>
      <c r="AD2083" t="s">
        <v>151</v>
      </c>
      <c r="AF2083" t="s">
        <v>113</v>
      </c>
      <c r="AG2083" t="s">
        <v>112</v>
      </c>
      <c r="AH2083" t="s">
        <v>112</v>
      </c>
      <c r="AI2083" s="63">
        <v>36541</v>
      </c>
      <c r="AK2083" t="s">
        <v>111</v>
      </c>
      <c r="AL2083" t="s">
        <v>111</v>
      </c>
      <c r="AM2083" t="s">
        <v>111</v>
      </c>
      <c r="AN2083" t="s">
        <v>105</v>
      </c>
      <c r="AO2083" t="s">
        <v>110</v>
      </c>
      <c r="AP2083" t="s">
        <v>109</v>
      </c>
    </row>
    <row r="2084" spans="1:42" x14ac:dyDescent="0.25">
      <c r="A2084" s="28" t="str">
        <f>"5143"</f>
        <v>5143</v>
      </c>
      <c r="B2084">
        <v>5143</v>
      </c>
      <c r="C2084" t="s">
        <v>2488</v>
      </c>
      <c r="D2084" t="s">
        <v>132</v>
      </c>
      <c r="F2084" t="s">
        <v>120</v>
      </c>
      <c r="G2084" t="s">
        <v>245</v>
      </c>
      <c r="H2084" t="s">
        <v>284</v>
      </c>
      <c r="I2084" t="s">
        <v>214</v>
      </c>
      <c r="J2084" t="s">
        <v>7</v>
      </c>
      <c r="K2084" s="63">
        <v>22939</v>
      </c>
      <c r="L2084" s="28">
        <f>DATEDIF(K2084,Zwift25!G$1,"Y")</f>
        <v>61</v>
      </c>
      <c r="M2084" s="67">
        <f>IF(J2084="m",VLOOKUP(L2084,'All Solo Adjustments'!A:D,4,FALSE),VLOOKUP(L2084,'All Solo Adjustments'!A:J,10,FALSE))</f>
        <v>3.4722222222222225E-3</v>
      </c>
      <c r="N2084" s="63"/>
      <c r="O2084" s="63"/>
      <c r="P2084" s="63"/>
      <c r="Q2084" s="63"/>
      <c r="R2084" t="s">
        <v>328</v>
      </c>
      <c r="S2084" t="s">
        <v>741</v>
      </c>
      <c r="T2084" t="s">
        <v>292</v>
      </c>
      <c r="U2084" t="s">
        <v>2931</v>
      </c>
      <c r="V2084" t="s">
        <v>2930</v>
      </c>
      <c r="W2084" t="s">
        <v>2379</v>
      </c>
      <c r="X2084" t="s">
        <v>325</v>
      </c>
      <c r="Y2084" t="s">
        <v>2929</v>
      </c>
      <c r="Z2084" t="str">
        <f>"07450912986"</f>
        <v>07450912986</v>
      </c>
      <c r="AA2084" t="str">
        <f>"01282 694780"</f>
        <v>01282 694780</v>
      </c>
      <c r="AB2084" t="s">
        <v>2933</v>
      </c>
      <c r="AC2084" t="s">
        <v>2932</v>
      </c>
      <c r="AD2084" t="s">
        <v>145</v>
      </c>
      <c r="AE2084" s="63">
        <v>45577</v>
      </c>
      <c r="AF2084" t="s">
        <v>156</v>
      </c>
      <c r="AG2084" t="s">
        <v>112</v>
      </c>
      <c r="AH2084" t="s">
        <v>112</v>
      </c>
      <c r="AI2084" s="63">
        <v>41880</v>
      </c>
      <c r="AJ2084" s="63">
        <v>46022</v>
      </c>
      <c r="AK2084" t="s">
        <v>111</v>
      </c>
      <c r="AL2084" t="s">
        <v>111</v>
      </c>
      <c r="AM2084" t="s">
        <v>111</v>
      </c>
      <c r="AN2084">
        <v>372</v>
      </c>
      <c r="AO2084" t="s">
        <v>110</v>
      </c>
      <c r="AP2084" t="s">
        <v>109</v>
      </c>
    </row>
    <row r="2085" spans="1:42" x14ac:dyDescent="0.25">
      <c r="A2085" s="28" t="str">
        <f>"13213"</f>
        <v>13213</v>
      </c>
      <c r="B2085">
        <v>13213</v>
      </c>
      <c r="C2085" t="s">
        <v>2488</v>
      </c>
      <c r="D2085" t="s">
        <v>130</v>
      </c>
      <c r="F2085" t="s">
        <v>149</v>
      </c>
      <c r="G2085" t="s">
        <v>853</v>
      </c>
      <c r="I2085" t="s">
        <v>214</v>
      </c>
      <c r="J2085" t="s">
        <v>126</v>
      </c>
      <c r="K2085" s="63">
        <v>21294</v>
      </c>
      <c r="L2085" s="28">
        <f>DATEDIF(K2085,Zwift25!G$1,"Y")</f>
        <v>66</v>
      </c>
      <c r="M2085" s="67">
        <f>IF(J2085="m",VLOOKUP(L2085,'All Solo Adjustments'!A:D,4,FALSE),VLOOKUP(L2085,'All Solo Adjustments'!A:J,10,FALSE))</f>
        <v>9.4907407407407406E-3</v>
      </c>
      <c r="N2085" s="63"/>
      <c r="O2085" s="63"/>
      <c r="P2085" s="63"/>
      <c r="Q2085" s="63"/>
      <c r="R2085" t="s">
        <v>328</v>
      </c>
      <c r="S2085" t="s">
        <v>741</v>
      </c>
      <c r="T2085" t="s">
        <v>292</v>
      </c>
      <c r="U2085" t="s">
        <v>2931</v>
      </c>
      <c r="V2085" t="s">
        <v>2930</v>
      </c>
      <c r="W2085" t="s">
        <v>2379</v>
      </c>
      <c r="X2085" t="s">
        <v>325</v>
      </c>
      <c r="Y2085" t="s">
        <v>2929</v>
      </c>
      <c r="Z2085" t="str">
        <f>"07450912986"</f>
        <v>07450912986</v>
      </c>
      <c r="AA2085" t="str">
        <f>"01282 694780"</f>
        <v>01282 694780</v>
      </c>
      <c r="AB2085" t="s">
        <v>2928</v>
      </c>
      <c r="AC2085" t="s">
        <v>2927</v>
      </c>
      <c r="AD2085" t="s">
        <v>145</v>
      </c>
      <c r="AE2085" s="63">
        <v>45577</v>
      </c>
      <c r="AF2085" t="s">
        <v>156</v>
      </c>
      <c r="AG2085" t="s">
        <v>111</v>
      </c>
      <c r="AH2085" t="s">
        <v>111</v>
      </c>
      <c r="AI2085" s="63">
        <v>41880</v>
      </c>
      <c r="AJ2085" s="63">
        <v>46022</v>
      </c>
      <c r="AK2085" t="s">
        <v>111</v>
      </c>
      <c r="AL2085" t="s">
        <v>111</v>
      </c>
      <c r="AM2085" t="s">
        <v>111</v>
      </c>
      <c r="AN2085" t="s">
        <v>105</v>
      </c>
      <c r="AO2085" t="s">
        <v>122</v>
      </c>
      <c r="AP2085" t="s">
        <v>122</v>
      </c>
    </row>
    <row r="2086" spans="1:42" x14ac:dyDescent="0.25">
      <c r="A2086" s="28" t="str">
        <f>"13693"</f>
        <v>13693</v>
      </c>
      <c r="B2086">
        <v>13693</v>
      </c>
      <c r="C2086" t="s">
        <v>2488</v>
      </c>
      <c r="D2086" t="s">
        <v>132</v>
      </c>
      <c r="E2086" t="s">
        <v>584</v>
      </c>
      <c r="F2086" t="s">
        <v>120</v>
      </c>
      <c r="G2086" t="s">
        <v>245</v>
      </c>
      <c r="I2086" t="s">
        <v>214</v>
      </c>
      <c r="J2086" t="s">
        <v>7</v>
      </c>
      <c r="K2086" s="63">
        <v>24149</v>
      </c>
      <c r="L2086" s="28">
        <f>DATEDIF(K2086,Zwift25!G$1,"Y")</f>
        <v>58</v>
      </c>
      <c r="M2086" s="67">
        <f>IF(J2086="m",VLOOKUP(L2086,'All Solo Adjustments'!A:D,4,FALSE),VLOOKUP(L2086,'All Solo Adjustments'!A:J,10,FALSE))</f>
        <v>2.7199074074074074E-3</v>
      </c>
      <c r="N2086" s="63"/>
      <c r="O2086" s="63"/>
      <c r="P2086" s="63"/>
      <c r="Q2086" s="63"/>
      <c r="R2086" t="s">
        <v>296</v>
      </c>
      <c r="S2086" t="s">
        <v>701</v>
      </c>
      <c r="T2086" t="s">
        <v>292</v>
      </c>
      <c r="U2086" t="s">
        <v>2924</v>
      </c>
      <c r="V2086" t="s">
        <v>2923</v>
      </c>
      <c r="W2086" t="s">
        <v>2447</v>
      </c>
      <c r="X2086" t="s">
        <v>296</v>
      </c>
      <c r="Y2086" t="s">
        <v>2922</v>
      </c>
      <c r="Z2086" t="str">
        <f>"07799624541"</f>
        <v>07799624541</v>
      </c>
      <c r="AA2086" t="str">
        <f>""</f>
        <v/>
      </c>
      <c r="AB2086" t="s">
        <v>2921</v>
      </c>
      <c r="AC2086" t="s">
        <v>2926</v>
      </c>
      <c r="AD2086" t="s">
        <v>114</v>
      </c>
      <c r="AE2086" s="63">
        <v>45339</v>
      </c>
      <c r="AF2086" t="s">
        <v>156</v>
      </c>
      <c r="AG2086" t="s">
        <v>112</v>
      </c>
      <c r="AH2086" t="s">
        <v>112</v>
      </c>
      <c r="AI2086" s="63">
        <v>43284</v>
      </c>
      <c r="AJ2086" s="63">
        <v>45657</v>
      </c>
      <c r="AK2086" t="s">
        <v>112</v>
      </c>
      <c r="AL2086" t="s">
        <v>111</v>
      </c>
      <c r="AM2086" t="s">
        <v>111</v>
      </c>
      <c r="AN2086">
        <v>16513</v>
      </c>
      <c r="AO2086" t="s">
        <v>110</v>
      </c>
      <c r="AP2086" t="s">
        <v>109</v>
      </c>
    </row>
    <row r="2087" spans="1:42" x14ac:dyDescent="0.25">
      <c r="A2087" s="28" t="str">
        <f>"13694"</f>
        <v>13694</v>
      </c>
      <c r="B2087">
        <v>13694</v>
      </c>
      <c r="C2087" t="s">
        <v>2488</v>
      </c>
      <c r="D2087" t="s">
        <v>130</v>
      </c>
      <c r="E2087" t="s">
        <v>584</v>
      </c>
      <c r="F2087" t="s">
        <v>149</v>
      </c>
      <c r="G2087" t="s">
        <v>1416</v>
      </c>
      <c r="H2087" t="s">
        <v>1164</v>
      </c>
      <c r="I2087" t="s">
        <v>2925</v>
      </c>
      <c r="J2087" t="s">
        <v>126</v>
      </c>
      <c r="K2087" s="63">
        <v>24293</v>
      </c>
      <c r="L2087" s="28">
        <f>DATEDIF(K2087,Zwift25!G$1,"Y")</f>
        <v>58</v>
      </c>
      <c r="M2087" s="67">
        <f>IF(J2087="m",VLOOKUP(L2087,'All Solo Adjustments'!A:D,4,FALSE),VLOOKUP(L2087,'All Solo Adjustments'!A:J,10,FALSE))</f>
        <v>6.3194444444444444E-3</v>
      </c>
      <c r="N2087" s="63"/>
      <c r="O2087" s="63"/>
      <c r="P2087" s="63"/>
      <c r="Q2087" s="63"/>
      <c r="R2087" t="s">
        <v>296</v>
      </c>
      <c r="S2087" t="s">
        <v>701</v>
      </c>
      <c r="T2087" t="s">
        <v>292</v>
      </c>
      <c r="U2087" t="s">
        <v>2924</v>
      </c>
      <c r="V2087" t="s">
        <v>2923</v>
      </c>
      <c r="W2087" t="s">
        <v>2447</v>
      </c>
      <c r="X2087" t="s">
        <v>296</v>
      </c>
      <c r="Y2087" t="s">
        <v>2922</v>
      </c>
      <c r="Z2087" t="str">
        <f>"07799624541"</f>
        <v>07799624541</v>
      </c>
      <c r="AA2087" t="str">
        <f>""</f>
        <v/>
      </c>
      <c r="AB2087" t="s">
        <v>2921</v>
      </c>
      <c r="AC2087" t="s">
        <v>2920</v>
      </c>
      <c r="AD2087" t="s">
        <v>114</v>
      </c>
      <c r="AE2087" s="63">
        <v>45339</v>
      </c>
      <c r="AF2087" t="s">
        <v>156</v>
      </c>
      <c r="AG2087" t="s">
        <v>112</v>
      </c>
      <c r="AH2087" t="s">
        <v>112</v>
      </c>
      <c r="AI2087" s="63">
        <v>43284</v>
      </c>
      <c r="AJ2087" s="63">
        <v>45657</v>
      </c>
      <c r="AK2087" t="s">
        <v>112</v>
      </c>
      <c r="AL2087" t="s">
        <v>111</v>
      </c>
      <c r="AM2087" t="s">
        <v>111</v>
      </c>
      <c r="AN2087">
        <v>20144</v>
      </c>
      <c r="AO2087" t="s">
        <v>122</v>
      </c>
      <c r="AP2087" t="s">
        <v>122</v>
      </c>
    </row>
    <row r="2088" spans="1:42" x14ac:dyDescent="0.25">
      <c r="A2088" s="28" t="str">
        <f>"15133"</f>
        <v>15133</v>
      </c>
      <c r="B2088">
        <v>15133</v>
      </c>
      <c r="C2088" t="s">
        <v>2488</v>
      </c>
      <c r="D2088" t="s">
        <v>121</v>
      </c>
      <c r="F2088" t="s">
        <v>120</v>
      </c>
      <c r="G2088" t="s">
        <v>402</v>
      </c>
      <c r="I2088" t="s">
        <v>214</v>
      </c>
      <c r="J2088" t="s">
        <v>7</v>
      </c>
      <c r="K2088" s="63">
        <v>26729</v>
      </c>
      <c r="L2088" s="28">
        <f>DATEDIF(K2088,Zwift25!G$1,"Y")</f>
        <v>51</v>
      </c>
      <c r="M2088" s="67">
        <f>IF(J2088="m",VLOOKUP(L2088,'All Solo Adjustments'!A:D,4,FALSE),VLOOKUP(L2088,'All Solo Adjustments'!A:J,10,FALSE))</f>
        <v>1.3078703703703703E-3</v>
      </c>
      <c r="N2088" s="63"/>
      <c r="O2088" s="63"/>
      <c r="P2088" s="63"/>
      <c r="Q2088" s="63"/>
      <c r="R2088" t="s">
        <v>180</v>
      </c>
      <c r="S2088" t="s">
        <v>179</v>
      </c>
      <c r="T2088" t="s">
        <v>292</v>
      </c>
      <c r="U2088" t="s">
        <v>2919</v>
      </c>
      <c r="V2088" t="s">
        <v>2918</v>
      </c>
      <c r="W2088" t="s">
        <v>926</v>
      </c>
      <c r="X2088" t="s">
        <v>1031</v>
      </c>
      <c r="Y2088" t="s">
        <v>2917</v>
      </c>
      <c r="Z2088" t="str">
        <f>"07500505087"</f>
        <v>07500505087</v>
      </c>
      <c r="AA2088" t="str">
        <f>""</f>
        <v/>
      </c>
      <c r="AB2088" t="s">
        <v>2916</v>
      </c>
      <c r="AC2088" t="s">
        <v>2915</v>
      </c>
      <c r="AD2088" t="s">
        <v>114</v>
      </c>
      <c r="AE2088" s="63">
        <v>45381</v>
      </c>
      <c r="AF2088" t="s">
        <v>156</v>
      </c>
      <c r="AG2088" t="s">
        <v>112</v>
      </c>
      <c r="AH2088" t="s">
        <v>112</v>
      </c>
      <c r="AI2088" s="63">
        <v>44375</v>
      </c>
      <c r="AJ2088" s="63">
        <v>45657</v>
      </c>
      <c r="AK2088" t="s">
        <v>112</v>
      </c>
      <c r="AL2088" t="s">
        <v>111</v>
      </c>
      <c r="AM2088" t="s">
        <v>111</v>
      </c>
      <c r="AN2088">
        <v>3869</v>
      </c>
      <c r="AO2088" t="s">
        <v>110</v>
      </c>
      <c r="AP2088" t="s">
        <v>109</v>
      </c>
    </row>
    <row r="2089" spans="1:42" x14ac:dyDescent="0.25">
      <c r="A2089" s="28" t="str">
        <f>"15511"</f>
        <v>15511</v>
      </c>
      <c r="B2089">
        <v>15511</v>
      </c>
      <c r="C2089" t="s">
        <v>2488</v>
      </c>
      <c r="D2089" t="s">
        <v>121</v>
      </c>
      <c r="F2089" t="s">
        <v>120</v>
      </c>
      <c r="G2089" t="s">
        <v>185</v>
      </c>
      <c r="H2089" t="s">
        <v>195</v>
      </c>
      <c r="I2089" t="s">
        <v>2914</v>
      </c>
      <c r="J2089" t="s">
        <v>7</v>
      </c>
      <c r="K2089" s="63">
        <v>28125</v>
      </c>
      <c r="L2089" s="28">
        <f>DATEDIF(K2089,Zwift25!G$1,"Y")</f>
        <v>47</v>
      </c>
      <c r="M2089" s="67">
        <f>IF(J2089="m",VLOOKUP(L2089,'All Solo Adjustments'!A:D,4,FALSE),VLOOKUP(L2089,'All Solo Adjustments'!A:J,10,FALSE))</f>
        <v>6.9444444444444436E-4</v>
      </c>
      <c r="N2089" s="63"/>
      <c r="O2089" s="63"/>
      <c r="P2089" s="63"/>
      <c r="Q2089" s="63"/>
      <c r="R2089" t="s">
        <v>184</v>
      </c>
      <c r="S2089" t="s">
        <v>183</v>
      </c>
      <c r="T2089" t="s">
        <v>292</v>
      </c>
      <c r="U2089" t="s">
        <v>2913</v>
      </c>
      <c r="V2089" t="s">
        <v>2912</v>
      </c>
      <c r="W2089" t="s">
        <v>141</v>
      </c>
      <c r="Y2089" t="s">
        <v>2911</v>
      </c>
      <c r="Z2089" t="str">
        <f>"01932845373"</f>
        <v>01932845373</v>
      </c>
      <c r="AA2089" t="str">
        <f>""</f>
        <v/>
      </c>
      <c r="AB2089" t="s">
        <v>301</v>
      </c>
      <c r="AC2089" t="s">
        <v>2910</v>
      </c>
      <c r="AD2089" t="s">
        <v>114</v>
      </c>
      <c r="AE2089" s="63">
        <v>45484</v>
      </c>
      <c r="AF2089" t="s">
        <v>156</v>
      </c>
      <c r="AG2089" t="s">
        <v>112</v>
      </c>
      <c r="AH2089" t="s">
        <v>112</v>
      </c>
      <c r="AI2089" s="63">
        <v>44715</v>
      </c>
      <c r="AJ2089" s="63">
        <v>45657</v>
      </c>
      <c r="AK2089" t="s">
        <v>112</v>
      </c>
      <c r="AL2089" t="s">
        <v>111</v>
      </c>
      <c r="AM2089" t="s">
        <v>111</v>
      </c>
      <c r="AN2089">
        <v>40058</v>
      </c>
      <c r="AO2089" t="s">
        <v>110</v>
      </c>
      <c r="AP2089" t="s">
        <v>109</v>
      </c>
    </row>
    <row r="2090" spans="1:42" x14ac:dyDescent="0.25">
      <c r="A2090" s="28" t="str">
        <f>"2624"</f>
        <v>2624</v>
      </c>
      <c r="B2090">
        <v>2624</v>
      </c>
      <c r="C2090" t="s">
        <v>2488</v>
      </c>
      <c r="D2090" t="s">
        <v>121</v>
      </c>
      <c r="F2090" t="s">
        <v>120</v>
      </c>
      <c r="G2090" t="s">
        <v>284</v>
      </c>
      <c r="H2090" t="s">
        <v>2909</v>
      </c>
      <c r="I2090" t="s">
        <v>205</v>
      </c>
      <c r="J2090" t="s">
        <v>7</v>
      </c>
      <c r="K2090" s="63">
        <v>18264</v>
      </c>
      <c r="L2090" s="28">
        <f>DATEDIF(K2090,Zwift25!G$1,"Y")</f>
        <v>74</v>
      </c>
      <c r="M2090" s="67">
        <f>IF(J2090="m",VLOOKUP(L2090,'All Solo Adjustments'!A:D,4,FALSE),VLOOKUP(L2090,'All Solo Adjustments'!A:J,10,FALSE))</f>
        <v>7.9861111111111122E-3</v>
      </c>
      <c r="N2090" s="63"/>
      <c r="O2090" s="63"/>
      <c r="P2090" s="63"/>
      <c r="Q2090" s="63"/>
      <c r="R2090" t="s">
        <v>154</v>
      </c>
      <c r="S2090" t="s">
        <v>153</v>
      </c>
      <c r="T2090" t="s">
        <v>292</v>
      </c>
      <c r="U2090" t="s">
        <v>2908</v>
      </c>
      <c r="V2090" t="s">
        <v>2907</v>
      </c>
      <c r="W2090" t="s">
        <v>2209</v>
      </c>
      <c r="X2090" t="s">
        <v>2906</v>
      </c>
      <c r="Y2090" t="s">
        <v>2905</v>
      </c>
      <c r="Z2090" t="str">
        <f>"07780467172"</f>
        <v>07780467172</v>
      </c>
      <c r="AA2090" t="str">
        <f>"0000 000000"</f>
        <v>0000 000000</v>
      </c>
      <c r="AB2090" t="s">
        <v>2904</v>
      </c>
      <c r="AC2090" t="s">
        <v>2903</v>
      </c>
      <c r="AD2090" t="s">
        <v>114</v>
      </c>
      <c r="AE2090" s="63">
        <v>45312</v>
      </c>
      <c r="AF2090" t="s">
        <v>156</v>
      </c>
      <c r="AG2090" t="s">
        <v>112</v>
      </c>
      <c r="AH2090" t="s">
        <v>112</v>
      </c>
      <c r="AI2090" s="63">
        <v>37622</v>
      </c>
      <c r="AJ2090" s="63">
        <v>45657</v>
      </c>
      <c r="AK2090" t="s">
        <v>111</v>
      </c>
      <c r="AL2090" t="s">
        <v>112</v>
      </c>
      <c r="AM2090" t="s">
        <v>111</v>
      </c>
      <c r="AN2090">
        <v>42479</v>
      </c>
      <c r="AO2090" t="s">
        <v>110</v>
      </c>
      <c r="AP2090" t="s">
        <v>109</v>
      </c>
    </row>
    <row r="2091" spans="1:42" x14ac:dyDescent="0.25">
      <c r="A2091" s="28" t="str">
        <f>"2625"</f>
        <v>2625</v>
      </c>
      <c r="B2091">
        <v>2625</v>
      </c>
      <c r="C2091" t="s">
        <v>2488</v>
      </c>
      <c r="D2091" t="s">
        <v>121</v>
      </c>
      <c r="F2091" t="s">
        <v>120</v>
      </c>
      <c r="G2091" t="s">
        <v>241</v>
      </c>
      <c r="I2091" t="s">
        <v>205</v>
      </c>
      <c r="J2091" t="s">
        <v>7</v>
      </c>
      <c r="K2091" s="63">
        <v>14235</v>
      </c>
      <c r="L2091" s="28">
        <f>DATEDIF(K2091,Zwift25!G$1,"Y")</f>
        <v>85</v>
      </c>
      <c r="M2091" s="67">
        <f>IF(J2091="m",VLOOKUP(L2091,'All Solo Adjustments'!A:D,4,FALSE),VLOOKUP(L2091,'All Solo Adjustments'!A:J,10,FALSE))</f>
        <v>1.4236111111111111E-2</v>
      </c>
      <c r="N2091" s="63"/>
      <c r="O2091" s="63"/>
      <c r="P2091" s="63"/>
      <c r="Q2091" s="63"/>
      <c r="R2091" t="s">
        <v>154</v>
      </c>
      <c r="S2091" t="s">
        <v>2404</v>
      </c>
      <c r="T2091" t="s">
        <v>292</v>
      </c>
      <c r="U2091" t="s">
        <v>2902</v>
      </c>
      <c r="V2091" t="s">
        <v>2901</v>
      </c>
      <c r="W2091" t="s">
        <v>574</v>
      </c>
      <c r="Y2091" t="s">
        <v>2900</v>
      </c>
      <c r="Z2091" t="str">
        <f>""</f>
        <v/>
      </c>
      <c r="AA2091" t="str">
        <f>""</f>
        <v/>
      </c>
      <c r="AB2091" t="s">
        <v>290</v>
      </c>
      <c r="AD2091" t="s">
        <v>145</v>
      </c>
      <c r="AF2091" t="s">
        <v>113</v>
      </c>
      <c r="AG2091" t="s">
        <v>112</v>
      </c>
      <c r="AH2091" t="s">
        <v>112</v>
      </c>
      <c r="AI2091" s="63">
        <v>28856</v>
      </c>
      <c r="AK2091" t="s">
        <v>111</v>
      </c>
      <c r="AL2091" t="s">
        <v>111</v>
      </c>
      <c r="AM2091" t="s">
        <v>111</v>
      </c>
      <c r="AN2091" t="s">
        <v>105</v>
      </c>
      <c r="AO2091" t="s">
        <v>110</v>
      </c>
      <c r="AP2091" t="s">
        <v>109</v>
      </c>
    </row>
    <row r="2092" spans="1:42" x14ac:dyDescent="0.25">
      <c r="A2092" s="28" t="str">
        <f>"2631"</f>
        <v>2631</v>
      </c>
      <c r="B2092">
        <v>2631</v>
      </c>
      <c r="C2092" t="s">
        <v>2488</v>
      </c>
      <c r="D2092" t="s">
        <v>121</v>
      </c>
      <c r="F2092" t="s">
        <v>120</v>
      </c>
      <c r="G2092" t="s">
        <v>1981</v>
      </c>
      <c r="I2092" t="s">
        <v>205</v>
      </c>
      <c r="J2092" t="s">
        <v>7</v>
      </c>
      <c r="K2092" s="63">
        <v>7635</v>
      </c>
      <c r="L2092" s="28">
        <f>DATEDIF(K2092,Zwift25!G$1,"Y")</f>
        <v>103</v>
      </c>
      <c r="M2092" s="67" t="e">
        <f>IF(J2092="m",VLOOKUP(L2092,'All Solo Adjustments'!A:D,4,FALSE),VLOOKUP(L2092,'All Solo Adjustments'!A:J,10,FALSE))</f>
        <v>#N/A</v>
      </c>
      <c r="N2092" s="63"/>
      <c r="O2092" s="63"/>
      <c r="P2092" s="63"/>
      <c r="Q2092" s="63"/>
      <c r="R2092" t="s">
        <v>184</v>
      </c>
      <c r="S2092" t="s">
        <v>835</v>
      </c>
      <c r="T2092" t="s">
        <v>292</v>
      </c>
      <c r="U2092" t="s">
        <v>2899</v>
      </c>
      <c r="V2092" t="s">
        <v>2475</v>
      </c>
      <c r="Y2092" t="s">
        <v>2898</v>
      </c>
      <c r="Z2092" t="str">
        <f>"020 8578 0724"</f>
        <v>020 8578 0724</v>
      </c>
      <c r="AA2092" t="str">
        <f>""</f>
        <v/>
      </c>
      <c r="AB2092" t="s">
        <v>2343</v>
      </c>
      <c r="AD2092" t="s">
        <v>151</v>
      </c>
      <c r="AF2092" t="s">
        <v>113</v>
      </c>
      <c r="AG2092" t="s">
        <v>112</v>
      </c>
      <c r="AH2092" t="s">
        <v>112</v>
      </c>
      <c r="AK2092" t="s">
        <v>111</v>
      </c>
      <c r="AL2092" t="s">
        <v>111</v>
      </c>
      <c r="AM2092" t="s">
        <v>111</v>
      </c>
      <c r="AN2092" t="s">
        <v>105</v>
      </c>
      <c r="AO2092" t="s">
        <v>110</v>
      </c>
      <c r="AP2092" t="s">
        <v>109</v>
      </c>
    </row>
    <row r="2093" spans="1:42" x14ac:dyDescent="0.25">
      <c r="A2093" s="28" t="str">
        <f>"5979"</f>
        <v>5979</v>
      </c>
      <c r="B2093">
        <v>5979</v>
      </c>
      <c r="C2093" t="s">
        <v>2488</v>
      </c>
      <c r="D2093" t="s">
        <v>121</v>
      </c>
      <c r="E2093" t="s">
        <v>584</v>
      </c>
      <c r="F2093" t="s">
        <v>120</v>
      </c>
      <c r="G2093" t="s">
        <v>1404</v>
      </c>
      <c r="H2093" t="s">
        <v>359</v>
      </c>
      <c r="I2093" t="s">
        <v>205</v>
      </c>
      <c r="J2093" t="s">
        <v>7</v>
      </c>
      <c r="K2093" s="63">
        <v>24097</v>
      </c>
      <c r="L2093" s="28">
        <f>DATEDIF(K2093,Zwift25!G$1,"Y")</f>
        <v>58</v>
      </c>
      <c r="M2093" s="67">
        <f>IF(J2093="m",VLOOKUP(L2093,'All Solo Adjustments'!A:D,4,FALSE),VLOOKUP(L2093,'All Solo Adjustments'!A:J,10,FALSE))</f>
        <v>2.7199074074074074E-3</v>
      </c>
      <c r="N2093" s="63"/>
      <c r="O2093" s="63"/>
      <c r="P2093" s="63"/>
      <c r="Q2093" s="63"/>
      <c r="R2093" t="s">
        <v>184</v>
      </c>
      <c r="S2093" t="s">
        <v>183</v>
      </c>
      <c r="T2093" t="s">
        <v>292</v>
      </c>
      <c r="U2093" t="s">
        <v>2897</v>
      </c>
      <c r="V2093" t="s">
        <v>1308</v>
      </c>
      <c r="Y2093" t="s">
        <v>2896</v>
      </c>
      <c r="Z2093" t="str">
        <f>"07711 561579"</f>
        <v>07711 561579</v>
      </c>
      <c r="AA2093" t="str">
        <f>""</f>
        <v/>
      </c>
      <c r="AB2093" t="s">
        <v>1045</v>
      </c>
      <c r="AC2093" t="s">
        <v>2895</v>
      </c>
      <c r="AD2093" t="s">
        <v>114</v>
      </c>
      <c r="AE2093" s="63">
        <v>45262</v>
      </c>
      <c r="AF2093" t="s">
        <v>156</v>
      </c>
      <c r="AG2093" t="s">
        <v>112</v>
      </c>
      <c r="AH2093" t="s">
        <v>112</v>
      </c>
      <c r="AI2093" s="63">
        <v>42625</v>
      </c>
      <c r="AJ2093" s="63">
        <v>45657</v>
      </c>
      <c r="AK2093" t="s">
        <v>111</v>
      </c>
      <c r="AL2093" t="s">
        <v>111</v>
      </c>
      <c r="AM2093" t="s">
        <v>111</v>
      </c>
      <c r="AN2093">
        <v>6822</v>
      </c>
      <c r="AO2093" t="s">
        <v>110</v>
      </c>
      <c r="AP2093" t="s">
        <v>109</v>
      </c>
    </row>
    <row r="2094" spans="1:42" x14ac:dyDescent="0.25">
      <c r="A2094" s="28" t="str">
        <f>"2622"</f>
        <v>2622</v>
      </c>
      <c r="B2094">
        <v>2622</v>
      </c>
      <c r="C2094" t="s">
        <v>2488</v>
      </c>
      <c r="D2094" t="s">
        <v>121</v>
      </c>
      <c r="F2094" t="s">
        <v>120</v>
      </c>
      <c r="G2094" t="s">
        <v>1442</v>
      </c>
      <c r="I2094" t="s">
        <v>205</v>
      </c>
      <c r="J2094" t="s">
        <v>7</v>
      </c>
      <c r="K2094" s="63">
        <v>12503</v>
      </c>
      <c r="L2094" s="28">
        <f>DATEDIF(K2094,Zwift25!G$1,"Y")</f>
        <v>90</v>
      </c>
      <c r="M2094" s="67">
        <f>IF(J2094="m",VLOOKUP(L2094,'All Solo Adjustments'!A:D,4,FALSE),VLOOKUP(L2094,'All Solo Adjustments'!A:J,10,FALSE))</f>
        <v>1.8391203703703705E-2</v>
      </c>
      <c r="N2094" s="63"/>
      <c r="O2094" s="63"/>
      <c r="P2094" s="63"/>
      <c r="Q2094" s="63"/>
      <c r="R2094" t="s">
        <v>213</v>
      </c>
      <c r="S2094" t="s">
        <v>2309</v>
      </c>
      <c r="T2094" t="s">
        <v>292</v>
      </c>
      <c r="U2094" t="s">
        <v>2894</v>
      </c>
      <c r="V2094" t="s">
        <v>2204</v>
      </c>
      <c r="W2094" t="s">
        <v>196</v>
      </c>
      <c r="Y2094" t="s">
        <v>2893</v>
      </c>
      <c r="Z2094" t="str">
        <f>"0151 2003117"</f>
        <v>0151 2003117</v>
      </c>
      <c r="AA2094" t="str">
        <f>""</f>
        <v/>
      </c>
      <c r="AB2094" t="s">
        <v>430</v>
      </c>
      <c r="AD2094" t="s">
        <v>151</v>
      </c>
      <c r="AF2094" t="s">
        <v>113</v>
      </c>
      <c r="AG2094" t="s">
        <v>112</v>
      </c>
      <c r="AH2094" t="s">
        <v>112</v>
      </c>
      <c r="AI2094" s="63">
        <v>29302</v>
      </c>
      <c r="AK2094" t="s">
        <v>111</v>
      </c>
      <c r="AL2094" t="s">
        <v>111</v>
      </c>
      <c r="AM2094" t="s">
        <v>111</v>
      </c>
      <c r="AN2094" t="s">
        <v>105</v>
      </c>
      <c r="AO2094" t="s">
        <v>110</v>
      </c>
      <c r="AP2094" t="s">
        <v>109</v>
      </c>
    </row>
    <row r="2095" spans="1:42" x14ac:dyDescent="0.25">
      <c r="A2095" s="28" t="str">
        <f>"2626"</f>
        <v>2626</v>
      </c>
      <c r="B2095">
        <v>2626</v>
      </c>
      <c r="C2095" t="s">
        <v>2488</v>
      </c>
      <c r="D2095" t="s">
        <v>121</v>
      </c>
      <c r="F2095" t="s">
        <v>120</v>
      </c>
      <c r="G2095" t="s">
        <v>1176</v>
      </c>
      <c r="I2095" t="s">
        <v>2892</v>
      </c>
      <c r="J2095" t="s">
        <v>7</v>
      </c>
      <c r="K2095" s="63">
        <v>16793</v>
      </c>
      <c r="L2095" s="28">
        <f>DATEDIF(K2095,Zwift25!G$1,"Y")</f>
        <v>78</v>
      </c>
      <c r="M2095" s="67">
        <f>IF(J2095="m",VLOOKUP(L2095,'All Solo Adjustments'!A:D,4,FALSE),VLOOKUP(L2095,'All Solo Adjustments'!A:J,10,FALSE))</f>
        <v>9.9189814814814817E-3</v>
      </c>
      <c r="N2095" s="63"/>
      <c r="O2095" s="63"/>
      <c r="P2095" s="63"/>
      <c r="Q2095" s="63"/>
      <c r="R2095" t="s">
        <v>239</v>
      </c>
      <c r="S2095" t="s">
        <v>274</v>
      </c>
      <c r="T2095" t="s">
        <v>292</v>
      </c>
      <c r="U2095" t="s">
        <v>2891</v>
      </c>
      <c r="V2095" t="s">
        <v>1396</v>
      </c>
      <c r="W2095" t="s">
        <v>2890</v>
      </c>
      <c r="X2095" t="s">
        <v>239</v>
      </c>
      <c r="Y2095" t="s">
        <v>2889</v>
      </c>
      <c r="Z2095" t="str">
        <f>"01482 849264"</f>
        <v>01482 849264</v>
      </c>
      <c r="AA2095" t="str">
        <f>"07740 282862"</f>
        <v>07740 282862</v>
      </c>
      <c r="AB2095" t="s">
        <v>1440</v>
      </c>
      <c r="AC2095" t="s">
        <v>2888</v>
      </c>
      <c r="AD2095" t="s">
        <v>114</v>
      </c>
      <c r="AE2095" s="63">
        <v>45263</v>
      </c>
      <c r="AF2095" t="s">
        <v>113</v>
      </c>
      <c r="AG2095" t="s">
        <v>112</v>
      </c>
      <c r="AH2095" t="s">
        <v>112</v>
      </c>
      <c r="AI2095" s="63">
        <v>33034</v>
      </c>
      <c r="AJ2095" s="63">
        <v>45657</v>
      </c>
      <c r="AK2095" t="s">
        <v>111</v>
      </c>
      <c r="AL2095" t="s">
        <v>111</v>
      </c>
      <c r="AM2095" t="s">
        <v>111</v>
      </c>
      <c r="AN2095">
        <v>49</v>
      </c>
      <c r="AO2095" t="s">
        <v>110</v>
      </c>
      <c r="AP2095" t="s">
        <v>109</v>
      </c>
    </row>
    <row r="2096" spans="1:42" x14ac:dyDescent="0.25">
      <c r="A2096" s="28" t="str">
        <f>"2629"</f>
        <v>2629</v>
      </c>
      <c r="B2096">
        <v>2629</v>
      </c>
      <c r="C2096" t="s">
        <v>2488</v>
      </c>
      <c r="D2096" t="s">
        <v>121</v>
      </c>
      <c r="F2096" t="s">
        <v>120</v>
      </c>
      <c r="G2096" t="s">
        <v>632</v>
      </c>
      <c r="I2096" t="s">
        <v>205</v>
      </c>
      <c r="J2096" t="s">
        <v>7</v>
      </c>
      <c r="K2096" s="63">
        <v>13340</v>
      </c>
      <c r="L2096" s="28">
        <f>DATEDIF(K2096,Zwift25!G$1,"Y")</f>
        <v>88</v>
      </c>
      <c r="M2096" s="67">
        <f>IF(J2096="m",VLOOKUP(L2096,'All Solo Adjustments'!A:D,4,FALSE),VLOOKUP(L2096,'All Solo Adjustments'!A:J,10,FALSE))</f>
        <v>1.6597222222222222E-2</v>
      </c>
      <c r="N2096" s="63"/>
      <c r="O2096" s="63"/>
      <c r="P2096" s="63"/>
      <c r="Q2096" s="63"/>
      <c r="R2096" t="s">
        <v>383</v>
      </c>
      <c r="S2096" t="s">
        <v>2340</v>
      </c>
      <c r="T2096" t="s">
        <v>292</v>
      </c>
      <c r="U2096" t="s">
        <v>2296</v>
      </c>
      <c r="V2096" t="s">
        <v>2295</v>
      </c>
      <c r="W2096" t="s">
        <v>2294</v>
      </c>
      <c r="Y2096" t="s">
        <v>2293</v>
      </c>
      <c r="Z2096" t="str">
        <f>"02920 514751"</f>
        <v>02920 514751</v>
      </c>
      <c r="AA2096" t="str">
        <f>""</f>
        <v/>
      </c>
      <c r="AB2096" t="s">
        <v>2887</v>
      </c>
      <c r="AC2096" t="s">
        <v>2292</v>
      </c>
      <c r="AD2096" t="s">
        <v>151</v>
      </c>
      <c r="AF2096" t="s">
        <v>113</v>
      </c>
      <c r="AG2096" t="s">
        <v>112</v>
      </c>
      <c r="AH2096" t="s">
        <v>112</v>
      </c>
      <c r="AI2096" s="63">
        <v>27950</v>
      </c>
      <c r="AK2096" t="s">
        <v>111</v>
      </c>
      <c r="AL2096" t="s">
        <v>111</v>
      </c>
      <c r="AM2096" t="s">
        <v>111</v>
      </c>
      <c r="AN2096" t="s">
        <v>105</v>
      </c>
      <c r="AO2096" t="s">
        <v>110</v>
      </c>
      <c r="AP2096" t="s">
        <v>109</v>
      </c>
    </row>
    <row r="2097" spans="1:42" x14ac:dyDescent="0.25">
      <c r="A2097" s="28" t="str">
        <f>"13786"</f>
        <v>13786</v>
      </c>
      <c r="B2097">
        <v>13786</v>
      </c>
      <c r="C2097" t="s">
        <v>2488</v>
      </c>
      <c r="D2097" t="s">
        <v>121</v>
      </c>
      <c r="E2097" t="s">
        <v>584</v>
      </c>
      <c r="F2097" t="s">
        <v>139</v>
      </c>
      <c r="G2097" t="s">
        <v>1446</v>
      </c>
      <c r="I2097" t="s">
        <v>205</v>
      </c>
      <c r="J2097" t="s">
        <v>126</v>
      </c>
      <c r="K2097" s="63">
        <v>25134</v>
      </c>
      <c r="L2097" s="28">
        <f>DATEDIF(K2097,Zwift25!G$1,"Y")</f>
        <v>55</v>
      </c>
      <c r="M2097" s="67">
        <f>IF(J2097="m",VLOOKUP(L2097,'All Solo Adjustments'!A:D,4,FALSE),VLOOKUP(L2097,'All Solo Adjustments'!A:J,10,FALSE))</f>
        <v>5.6597222222222222E-3</v>
      </c>
      <c r="N2097" s="63"/>
      <c r="O2097" s="63"/>
      <c r="P2097" s="63"/>
      <c r="Q2097" s="63"/>
      <c r="R2097" t="s">
        <v>143</v>
      </c>
      <c r="S2097" t="s">
        <v>142</v>
      </c>
      <c r="T2097" t="s">
        <v>292</v>
      </c>
      <c r="U2097" t="s">
        <v>2886</v>
      </c>
      <c r="V2097" t="s">
        <v>2885</v>
      </c>
      <c r="Y2097" t="s">
        <v>2884</v>
      </c>
      <c r="Z2097" t="str">
        <f>"07931536196"</f>
        <v>07931536196</v>
      </c>
      <c r="AA2097" t="str">
        <f>"07931536196"</f>
        <v>07931536196</v>
      </c>
      <c r="AB2097" t="s">
        <v>305</v>
      </c>
      <c r="AC2097" t="s">
        <v>2883</v>
      </c>
      <c r="AD2097" t="s">
        <v>114</v>
      </c>
      <c r="AE2097" s="63">
        <v>45321</v>
      </c>
      <c r="AF2097" t="s">
        <v>156</v>
      </c>
      <c r="AG2097" t="s">
        <v>112</v>
      </c>
      <c r="AH2097" t="s">
        <v>112</v>
      </c>
      <c r="AI2097" s="63">
        <v>43335</v>
      </c>
      <c r="AJ2097" s="63">
        <v>45657</v>
      </c>
      <c r="AK2097" t="s">
        <v>112</v>
      </c>
      <c r="AL2097" t="s">
        <v>111</v>
      </c>
      <c r="AM2097" t="s">
        <v>111</v>
      </c>
      <c r="AN2097">
        <v>16322</v>
      </c>
      <c r="AO2097" t="s">
        <v>122</v>
      </c>
      <c r="AP2097" t="s">
        <v>122</v>
      </c>
    </row>
    <row r="2098" spans="1:42" x14ac:dyDescent="0.25">
      <c r="A2098" s="28" t="str">
        <f>"13956"</f>
        <v>13956</v>
      </c>
      <c r="B2098">
        <v>13956</v>
      </c>
      <c r="C2098" t="s">
        <v>2488</v>
      </c>
      <c r="D2098" t="s">
        <v>121</v>
      </c>
      <c r="F2098" t="s">
        <v>120</v>
      </c>
      <c r="G2098" t="s">
        <v>1344</v>
      </c>
      <c r="H2098" t="s">
        <v>709</v>
      </c>
      <c r="I2098" t="s">
        <v>205</v>
      </c>
      <c r="J2098" t="s">
        <v>7</v>
      </c>
      <c r="K2098" s="63">
        <v>24822</v>
      </c>
      <c r="L2098" s="28">
        <f>DATEDIF(K2098,Zwift25!G$1,"Y")</f>
        <v>56</v>
      </c>
      <c r="M2098" s="67">
        <f>IF(J2098="m",VLOOKUP(L2098,'All Solo Adjustments'!A:D,4,FALSE),VLOOKUP(L2098,'All Solo Adjustments'!A:J,10,FALSE))</f>
        <v>2.2685185185185182E-3</v>
      </c>
      <c r="N2098" s="63"/>
      <c r="O2098" s="63"/>
      <c r="P2098" s="63"/>
      <c r="Q2098" s="63"/>
      <c r="R2098" t="s">
        <v>125</v>
      </c>
      <c r="S2098" t="s">
        <v>170</v>
      </c>
      <c r="T2098" t="s">
        <v>292</v>
      </c>
      <c r="U2098" t="s">
        <v>2882</v>
      </c>
      <c r="V2098" t="s">
        <v>2881</v>
      </c>
      <c r="W2098" t="s">
        <v>740</v>
      </c>
      <c r="X2098" t="s">
        <v>123</v>
      </c>
      <c r="Y2098" t="s">
        <v>2880</v>
      </c>
      <c r="Z2098" t="str">
        <f>"07881601913"</f>
        <v>07881601913</v>
      </c>
      <c r="AA2098" t="str">
        <f>""</f>
        <v/>
      </c>
      <c r="AB2098" t="s">
        <v>2879</v>
      </c>
      <c r="AC2098" t="s">
        <v>2878</v>
      </c>
      <c r="AD2098" t="s">
        <v>114</v>
      </c>
      <c r="AE2098" s="63">
        <v>45292</v>
      </c>
      <c r="AF2098" t="s">
        <v>156</v>
      </c>
      <c r="AG2098" t="s">
        <v>112</v>
      </c>
      <c r="AH2098" t="s">
        <v>112</v>
      </c>
      <c r="AI2098" s="63">
        <v>43466</v>
      </c>
      <c r="AJ2098" s="63">
        <v>45657</v>
      </c>
      <c r="AK2098" t="s">
        <v>112</v>
      </c>
      <c r="AL2098" t="s">
        <v>111</v>
      </c>
      <c r="AM2098" t="s">
        <v>111</v>
      </c>
      <c r="AN2098">
        <v>14866</v>
      </c>
      <c r="AO2098" t="s">
        <v>110</v>
      </c>
      <c r="AP2098" t="s">
        <v>109</v>
      </c>
    </row>
    <row r="2099" spans="1:42" x14ac:dyDescent="0.25">
      <c r="A2099" s="28" t="str">
        <f>"14107"</f>
        <v>14107</v>
      </c>
      <c r="B2099">
        <v>14107</v>
      </c>
      <c r="C2099" t="s">
        <v>2488</v>
      </c>
      <c r="D2099" t="s">
        <v>121</v>
      </c>
      <c r="E2099" t="s">
        <v>584</v>
      </c>
      <c r="F2099" t="s">
        <v>120</v>
      </c>
      <c r="G2099" t="s">
        <v>251</v>
      </c>
      <c r="H2099" t="s">
        <v>1007</v>
      </c>
      <c r="I2099" t="s">
        <v>205</v>
      </c>
      <c r="J2099" t="s">
        <v>7</v>
      </c>
      <c r="K2099" s="63">
        <v>28925</v>
      </c>
      <c r="L2099" s="28">
        <f>DATEDIF(K2099,Zwift25!G$1,"Y")</f>
        <v>45</v>
      </c>
      <c r="M2099" s="67">
        <f>IF(J2099="m",VLOOKUP(L2099,'All Solo Adjustments'!A:D,4,FALSE),VLOOKUP(L2099,'All Solo Adjustments'!A:J,10,FALSE))</f>
        <v>4.5138888888888892E-4</v>
      </c>
      <c r="N2099" s="63"/>
      <c r="O2099" s="63"/>
      <c r="P2099" s="63"/>
      <c r="Q2099" s="63"/>
      <c r="R2099" t="s">
        <v>213</v>
      </c>
      <c r="S2099" t="s">
        <v>212</v>
      </c>
      <c r="T2099" t="s">
        <v>292</v>
      </c>
      <c r="U2099" t="s">
        <v>2877</v>
      </c>
      <c r="V2099" t="s">
        <v>2277</v>
      </c>
      <c r="W2099" t="s">
        <v>912</v>
      </c>
      <c r="X2099" t="s">
        <v>1225</v>
      </c>
      <c r="Y2099" t="s">
        <v>2876</v>
      </c>
      <c r="Z2099" t="str">
        <f>"07834288345"</f>
        <v>07834288345</v>
      </c>
      <c r="AA2099" t="str">
        <f>"07930893814"</f>
        <v>07930893814</v>
      </c>
      <c r="AB2099" t="s">
        <v>1403</v>
      </c>
      <c r="AC2099" t="s">
        <v>2875</v>
      </c>
      <c r="AD2099" t="s">
        <v>114</v>
      </c>
      <c r="AE2099" s="63">
        <v>45344</v>
      </c>
      <c r="AF2099" t="s">
        <v>156</v>
      </c>
      <c r="AG2099" t="s">
        <v>112</v>
      </c>
      <c r="AH2099" t="s">
        <v>112</v>
      </c>
      <c r="AI2099" s="63">
        <v>43539</v>
      </c>
      <c r="AJ2099" s="63">
        <v>45657</v>
      </c>
      <c r="AK2099" t="s">
        <v>112</v>
      </c>
      <c r="AL2099" t="s">
        <v>111</v>
      </c>
      <c r="AM2099" t="s">
        <v>111</v>
      </c>
      <c r="AN2099">
        <v>2194</v>
      </c>
      <c r="AO2099" t="s">
        <v>110</v>
      </c>
      <c r="AP2099" t="s">
        <v>109</v>
      </c>
    </row>
    <row r="2100" spans="1:42" x14ac:dyDescent="0.25">
      <c r="A2100" s="28" t="str">
        <f>"14790"</f>
        <v>14790</v>
      </c>
      <c r="B2100">
        <v>14790</v>
      </c>
      <c r="C2100" t="s">
        <v>2488</v>
      </c>
      <c r="D2100" t="s">
        <v>121</v>
      </c>
      <c r="E2100" t="s">
        <v>584</v>
      </c>
      <c r="F2100" t="s">
        <v>120</v>
      </c>
      <c r="G2100" t="s">
        <v>952</v>
      </c>
      <c r="H2100" t="s">
        <v>2874</v>
      </c>
      <c r="I2100" t="s">
        <v>205</v>
      </c>
      <c r="J2100" t="s">
        <v>7</v>
      </c>
      <c r="K2100" s="63">
        <v>22484</v>
      </c>
      <c r="L2100" s="28">
        <f>DATEDIF(K2100,Zwift25!G$1,"Y")</f>
        <v>63</v>
      </c>
      <c r="M2100" s="67">
        <f>IF(J2100="m",VLOOKUP(L2100,'All Solo Adjustments'!A:D,4,FALSE),VLOOKUP(L2100,'All Solo Adjustments'!A:J,10,FALSE))</f>
        <v>4.0277777777777777E-3</v>
      </c>
      <c r="N2100" s="63"/>
      <c r="O2100" s="63"/>
      <c r="P2100" s="63"/>
      <c r="Q2100" s="63"/>
      <c r="R2100" t="s">
        <v>283</v>
      </c>
      <c r="S2100" t="s">
        <v>530</v>
      </c>
      <c r="T2100" t="s">
        <v>292</v>
      </c>
      <c r="U2100" t="s">
        <v>2873</v>
      </c>
      <c r="V2100" t="s">
        <v>2872</v>
      </c>
      <c r="W2100" t="s">
        <v>2871</v>
      </c>
      <c r="X2100" t="s">
        <v>1560</v>
      </c>
      <c r="Y2100" t="s">
        <v>2870</v>
      </c>
      <c r="Z2100" t="str">
        <f>"07485 411179"</f>
        <v>07485 411179</v>
      </c>
      <c r="AA2100" t="str">
        <f>""</f>
        <v/>
      </c>
      <c r="AB2100" t="s">
        <v>533</v>
      </c>
      <c r="AC2100" t="s">
        <v>2869</v>
      </c>
      <c r="AD2100" t="s">
        <v>114</v>
      </c>
      <c r="AE2100" s="63">
        <v>45229</v>
      </c>
      <c r="AF2100" t="s">
        <v>156</v>
      </c>
      <c r="AG2100" t="s">
        <v>112</v>
      </c>
      <c r="AH2100" t="s">
        <v>112</v>
      </c>
      <c r="AI2100" s="63">
        <v>44331</v>
      </c>
      <c r="AJ2100" s="63">
        <v>45657</v>
      </c>
      <c r="AK2100" t="s">
        <v>112</v>
      </c>
      <c r="AL2100" t="s">
        <v>111</v>
      </c>
      <c r="AM2100" t="s">
        <v>111</v>
      </c>
      <c r="AN2100">
        <v>38465</v>
      </c>
      <c r="AO2100" t="s">
        <v>110</v>
      </c>
      <c r="AP2100" t="s">
        <v>109</v>
      </c>
    </row>
    <row r="2101" spans="1:42" x14ac:dyDescent="0.25">
      <c r="A2101" s="28" t="str">
        <f>"2621"</f>
        <v>2621</v>
      </c>
      <c r="B2101">
        <v>2621</v>
      </c>
      <c r="C2101" t="s">
        <v>2488</v>
      </c>
      <c r="D2101" t="s">
        <v>121</v>
      </c>
      <c r="F2101" t="s">
        <v>120</v>
      </c>
      <c r="G2101" t="s">
        <v>944</v>
      </c>
      <c r="I2101" t="s">
        <v>1064</v>
      </c>
      <c r="J2101" t="s">
        <v>7</v>
      </c>
      <c r="K2101" s="63">
        <v>11516</v>
      </c>
      <c r="L2101" s="28">
        <f>DATEDIF(K2101,Zwift25!G$1,"Y")</f>
        <v>93</v>
      </c>
      <c r="M2101" s="67">
        <f>IF(J2101="m",VLOOKUP(L2101,'All Solo Adjustments'!A:D,4,FALSE),VLOOKUP(L2101,'All Solo Adjustments'!A:J,10,FALSE))</f>
        <v>2.1516203703703704E-2</v>
      </c>
      <c r="N2101" s="63"/>
      <c r="O2101" s="63"/>
      <c r="P2101" s="63"/>
      <c r="Q2101" s="63"/>
      <c r="R2101" t="s">
        <v>184</v>
      </c>
      <c r="S2101" t="s">
        <v>835</v>
      </c>
      <c r="T2101" t="s">
        <v>292</v>
      </c>
      <c r="U2101" t="s">
        <v>2868</v>
      </c>
      <c r="V2101" t="s">
        <v>2867</v>
      </c>
      <c r="W2101" t="s">
        <v>141</v>
      </c>
      <c r="Y2101" t="s">
        <v>2866</v>
      </c>
      <c r="Z2101" t="str">
        <f>"01932 224694"</f>
        <v>01932 224694</v>
      </c>
      <c r="AA2101" t="str">
        <f>""</f>
        <v/>
      </c>
      <c r="AB2101" t="s">
        <v>2343</v>
      </c>
      <c r="AC2101" t="s">
        <v>2865</v>
      </c>
      <c r="AD2101" t="s">
        <v>151</v>
      </c>
      <c r="AF2101" t="s">
        <v>113</v>
      </c>
      <c r="AG2101" t="s">
        <v>112</v>
      </c>
      <c r="AH2101" t="s">
        <v>112</v>
      </c>
      <c r="AI2101" s="63">
        <v>27501</v>
      </c>
      <c r="AK2101" t="s">
        <v>111</v>
      </c>
      <c r="AL2101" t="s">
        <v>111</v>
      </c>
      <c r="AM2101" t="s">
        <v>111</v>
      </c>
      <c r="AN2101" t="s">
        <v>105</v>
      </c>
      <c r="AO2101" t="s">
        <v>110</v>
      </c>
      <c r="AP2101" t="s">
        <v>109</v>
      </c>
    </row>
    <row r="2102" spans="1:42" x14ac:dyDescent="0.25">
      <c r="A2102" s="28" t="str">
        <f>"15239"</f>
        <v>15239</v>
      </c>
      <c r="B2102">
        <v>15239</v>
      </c>
      <c r="C2102" t="s">
        <v>2488</v>
      </c>
      <c r="D2102" t="s">
        <v>121</v>
      </c>
      <c r="F2102" t="s">
        <v>120</v>
      </c>
      <c r="G2102" t="s">
        <v>185</v>
      </c>
      <c r="I2102" t="s">
        <v>1064</v>
      </c>
      <c r="J2102" t="s">
        <v>7</v>
      </c>
      <c r="K2102" s="63">
        <v>25703</v>
      </c>
      <c r="L2102" s="28">
        <f>DATEDIF(K2102,Zwift25!G$1,"Y")</f>
        <v>54</v>
      </c>
      <c r="M2102" s="67">
        <f>IF(J2102="m",VLOOKUP(L2102,'All Solo Adjustments'!A:D,4,FALSE),VLOOKUP(L2102,'All Solo Adjustments'!A:J,10,FALSE))</f>
        <v>1.8518518518518517E-3</v>
      </c>
      <c r="N2102" s="63"/>
      <c r="O2102" s="63"/>
      <c r="P2102" s="63"/>
      <c r="Q2102" s="63"/>
      <c r="R2102" t="s">
        <v>125</v>
      </c>
      <c r="S2102" t="s">
        <v>170</v>
      </c>
      <c r="T2102" t="s">
        <v>292</v>
      </c>
      <c r="U2102" t="s">
        <v>2864</v>
      </c>
      <c r="V2102" t="s">
        <v>2863</v>
      </c>
      <c r="W2102" t="s">
        <v>223</v>
      </c>
      <c r="X2102" t="s">
        <v>337</v>
      </c>
      <c r="Y2102" t="s">
        <v>2862</v>
      </c>
      <c r="Z2102" t="str">
        <f>"07801962606"</f>
        <v>07801962606</v>
      </c>
      <c r="AA2102" t="str">
        <f>""</f>
        <v/>
      </c>
      <c r="AB2102" t="s">
        <v>331</v>
      </c>
      <c r="AC2102" t="s">
        <v>2861</v>
      </c>
      <c r="AD2102" t="s">
        <v>114</v>
      </c>
      <c r="AE2102" s="63">
        <v>45210</v>
      </c>
      <c r="AF2102" t="s">
        <v>156</v>
      </c>
      <c r="AG2102" t="s">
        <v>112</v>
      </c>
      <c r="AH2102" t="s">
        <v>112</v>
      </c>
      <c r="AI2102" s="63">
        <v>44451</v>
      </c>
      <c r="AJ2102" s="63">
        <v>45657</v>
      </c>
      <c r="AK2102" t="s">
        <v>112</v>
      </c>
      <c r="AL2102" t="s">
        <v>111</v>
      </c>
      <c r="AM2102" t="s">
        <v>111</v>
      </c>
      <c r="AN2102">
        <v>40796</v>
      </c>
      <c r="AO2102" t="s">
        <v>110</v>
      </c>
      <c r="AP2102" t="s">
        <v>109</v>
      </c>
    </row>
    <row r="2103" spans="1:42" x14ac:dyDescent="0.25">
      <c r="A2103" s="28" t="str">
        <f>"6069"</f>
        <v>6069</v>
      </c>
      <c r="B2103">
        <v>6069</v>
      </c>
      <c r="C2103" t="s">
        <v>2488</v>
      </c>
      <c r="D2103" t="s">
        <v>121</v>
      </c>
      <c r="E2103" t="s">
        <v>584</v>
      </c>
      <c r="F2103" t="s">
        <v>120</v>
      </c>
      <c r="G2103" t="s">
        <v>2860</v>
      </c>
      <c r="I2103" t="s">
        <v>848</v>
      </c>
      <c r="J2103" t="s">
        <v>7</v>
      </c>
      <c r="K2103" s="63">
        <v>23891</v>
      </c>
      <c r="L2103" s="28">
        <f>DATEDIF(K2103,Zwift25!G$1,"Y")</f>
        <v>59</v>
      </c>
      <c r="M2103" s="67">
        <f>IF(J2103="m",VLOOKUP(L2103,'All Solo Adjustments'!A:D,4,FALSE),VLOOKUP(L2103,'All Solo Adjustments'!A:J,10,FALSE))</f>
        <v>2.9629629629629632E-3</v>
      </c>
      <c r="N2103" s="63"/>
      <c r="O2103" s="63"/>
      <c r="P2103" s="63"/>
      <c r="Q2103" s="63"/>
      <c r="R2103" t="s">
        <v>180</v>
      </c>
      <c r="S2103" t="s">
        <v>179</v>
      </c>
      <c r="T2103" t="s">
        <v>292</v>
      </c>
      <c r="U2103" t="s">
        <v>2859</v>
      </c>
      <c r="V2103" t="s">
        <v>784</v>
      </c>
      <c r="W2103" t="s">
        <v>177</v>
      </c>
      <c r="Y2103" t="s">
        <v>2858</v>
      </c>
      <c r="Z2103" t="str">
        <f>"07813704274"</f>
        <v>07813704274</v>
      </c>
      <c r="AA2103" t="str">
        <f>"07813704274"</f>
        <v>07813704274</v>
      </c>
      <c r="AB2103" t="s">
        <v>176</v>
      </c>
      <c r="AC2103" t="s">
        <v>2857</v>
      </c>
      <c r="AD2103" t="s">
        <v>114</v>
      </c>
      <c r="AE2103" s="63">
        <v>45292</v>
      </c>
      <c r="AF2103" t="s">
        <v>113</v>
      </c>
      <c r="AG2103" t="s">
        <v>112</v>
      </c>
      <c r="AH2103" t="s">
        <v>112</v>
      </c>
      <c r="AI2103" s="63">
        <v>42748</v>
      </c>
      <c r="AJ2103" s="63">
        <v>45657</v>
      </c>
      <c r="AK2103" t="s">
        <v>111</v>
      </c>
      <c r="AL2103" t="s">
        <v>111</v>
      </c>
      <c r="AM2103" t="s">
        <v>111</v>
      </c>
      <c r="AN2103">
        <v>11896</v>
      </c>
      <c r="AO2103" t="s">
        <v>110</v>
      </c>
      <c r="AP2103" t="s">
        <v>109</v>
      </c>
    </row>
    <row r="2104" spans="1:42" x14ac:dyDescent="0.25">
      <c r="A2104" s="28" t="str">
        <f>"4646"</f>
        <v>4646</v>
      </c>
      <c r="B2104">
        <v>4646</v>
      </c>
      <c r="C2104" t="s">
        <v>2488</v>
      </c>
      <c r="D2104" t="s">
        <v>121</v>
      </c>
      <c r="F2104" t="s">
        <v>120</v>
      </c>
      <c r="G2104" t="s">
        <v>2856</v>
      </c>
      <c r="I2104" t="s">
        <v>2855</v>
      </c>
      <c r="J2104" t="s">
        <v>7</v>
      </c>
      <c r="K2104" s="63">
        <v>21652</v>
      </c>
      <c r="L2104" s="28">
        <f>DATEDIF(K2104,Zwift25!G$1,"Y")</f>
        <v>65</v>
      </c>
      <c r="M2104" s="67">
        <f>IF(J2104="m",VLOOKUP(L2104,'All Solo Adjustments'!A:D,4,FALSE),VLOOKUP(L2104,'All Solo Adjustments'!A:J,10,FALSE))</f>
        <v>4.6180555555555558E-3</v>
      </c>
      <c r="N2104" s="63"/>
      <c r="O2104" s="63"/>
      <c r="P2104" s="63"/>
      <c r="Q2104" s="63"/>
      <c r="R2104" t="s">
        <v>180</v>
      </c>
      <c r="S2104" t="s">
        <v>179</v>
      </c>
      <c r="T2104" t="s">
        <v>292</v>
      </c>
      <c r="U2104" t="s">
        <v>2854</v>
      </c>
      <c r="V2104" t="s">
        <v>2211</v>
      </c>
      <c r="W2104" t="s">
        <v>259</v>
      </c>
      <c r="Y2104" t="s">
        <v>2853</v>
      </c>
      <c r="Z2104" t="str">
        <f>"07941 930629"</f>
        <v>07941 930629</v>
      </c>
      <c r="AA2104" t="str">
        <f>"01455 272227"</f>
        <v>01455 272227</v>
      </c>
      <c r="AB2104" t="s">
        <v>258</v>
      </c>
      <c r="AC2104" t="s">
        <v>2852</v>
      </c>
      <c r="AD2104" t="s">
        <v>114</v>
      </c>
      <c r="AE2104" s="63">
        <v>45292</v>
      </c>
      <c r="AF2104" t="s">
        <v>113</v>
      </c>
      <c r="AG2104" t="s">
        <v>112</v>
      </c>
      <c r="AH2104" t="s">
        <v>112</v>
      </c>
      <c r="AI2104" s="63">
        <v>41296</v>
      </c>
      <c r="AJ2104" s="63">
        <v>45657</v>
      </c>
      <c r="AK2104" t="s">
        <v>111</v>
      </c>
      <c r="AL2104" t="s">
        <v>111</v>
      </c>
      <c r="AM2104" t="s">
        <v>111</v>
      </c>
      <c r="AN2104">
        <v>1911</v>
      </c>
      <c r="AO2104" t="s">
        <v>110</v>
      </c>
      <c r="AP2104" t="s">
        <v>109</v>
      </c>
    </row>
    <row r="2105" spans="1:42" x14ac:dyDescent="0.25">
      <c r="A2105" s="28" t="str">
        <f>"5040"</f>
        <v>5040</v>
      </c>
      <c r="B2105">
        <v>5040</v>
      </c>
      <c r="C2105" t="s">
        <v>2488</v>
      </c>
      <c r="D2105" t="s">
        <v>132</v>
      </c>
      <c r="F2105" t="s">
        <v>120</v>
      </c>
      <c r="G2105" t="s">
        <v>334</v>
      </c>
      <c r="I2105" t="s">
        <v>1048</v>
      </c>
      <c r="J2105" t="s">
        <v>7</v>
      </c>
      <c r="K2105" s="63">
        <v>23154</v>
      </c>
      <c r="L2105" s="28">
        <f>DATEDIF(K2105,Zwift25!G$1,"Y")</f>
        <v>61</v>
      </c>
      <c r="M2105" s="67">
        <f>IF(J2105="m",VLOOKUP(L2105,'All Solo Adjustments'!A:D,4,FALSE),VLOOKUP(L2105,'All Solo Adjustments'!A:J,10,FALSE))</f>
        <v>3.4722222222222225E-3</v>
      </c>
      <c r="N2105" s="63"/>
      <c r="O2105" s="63"/>
      <c r="P2105" s="63"/>
      <c r="Q2105" s="63"/>
      <c r="R2105" t="s">
        <v>143</v>
      </c>
      <c r="S2105" t="s">
        <v>168</v>
      </c>
      <c r="T2105" t="s">
        <v>292</v>
      </c>
      <c r="U2105" t="s">
        <v>2849</v>
      </c>
      <c r="V2105" t="s">
        <v>1473</v>
      </c>
      <c r="W2105" t="s">
        <v>486</v>
      </c>
      <c r="Y2105" t="s">
        <v>2848</v>
      </c>
      <c r="Z2105" t="str">
        <f>"01424 713387"</f>
        <v>01424 713387</v>
      </c>
      <c r="AA2105" t="str">
        <f>""</f>
        <v/>
      </c>
      <c r="AB2105" t="s">
        <v>2847</v>
      </c>
      <c r="AC2105" t="s">
        <v>2851</v>
      </c>
      <c r="AD2105" t="s">
        <v>114</v>
      </c>
      <c r="AE2105" s="63">
        <v>45267</v>
      </c>
      <c r="AF2105" t="s">
        <v>156</v>
      </c>
      <c r="AG2105" t="s">
        <v>112</v>
      </c>
      <c r="AH2105" t="s">
        <v>112</v>
      </c>
      <c r="AI2105" s="63">
        <v>41775</v>
      </c>
      <c r="AJ2105" s="63">
        <v>45657</v>
      </c>
      <c r="AK2105" t="s">
        <v>111</v>
      </c>
      <c r="AL2105" t="s">
        <v>111</v>
      </c>
      <c r="AM2105" t="s">
        <v>111</v>
      </c>
      <c r="AN2105">
        <v>3849</v>
      </c>
      <c r="AO2105" t="s">
        <v>110</v>
      </c>
      <c r="AP2105" t="s">
        <v>109</v>
      </c>
    </row>
    <row r="2106" spans="1:42" x14ac:dyDescent="0.25">
      <c r="A2106" s="28" t="str">
        <f>"10293"</f>
        <v>10293</v>
      </c>
      <c r="B2106">
        <v>10293</v>
      </c>
      <c r="C2106" t="s">
        <v>2488</v>
      </c>
      <c r="D2106" t="s">
        <v>130</v>
      </c>
      <c r="F2106" t="s">
        <v>149</v>
      </c>
      <c r="G2106" t="s">
        <v>1259</v>
      </c>
      <c r="H2106" t="s">
        <v>2850</v>
      </c>
      <c r="I2106" t="s">
        <v>1048</v>
      </c>
      <c r="J2106" t="s">
        <v>126</v>
      </c>
      <c r="K2106" s="63">
        <v>23690</v>
      </c>
      <c r="L2106" s="28">
        <f>DATEDIF(K2106,Zwift25!G$1,"Y")</f>
        <v>59</v>
      </c>
      <c r="M2106" s="67">
        <f>IF(J2106="m",VLOOKUP(L2106,'All Solo Adjustments'!A:D,4,FALSE),VLOOKUP(L2106,'All Solo Adjustments'!A:J,10,FALSE))</f>
        <v>6.5972222222222222E-3</v>
      </c>
      <c r="N2106" s="63"/>
      <c r="O2106" s="63"/>
      <c r="P2106" s="63"/>
      <c r="Q2106" s="63"/>
      <c r="R2106" t="s">
        <v>143</v>
      </c>
      <c r="S2106" t="s">
        <v>168</v>
      </c>
      <c r="T2106" t="s">
        <v>292</v>
      </c>
      <c r="U2106" t="s">
        <v>2849</v>
      </c>
      <c r="V2106" t="s">
        <v>1473</v>
      </c>
      <c r="W2106" t="s">
        <v>486</v>
      </c>
      <c r="Y2106" t="s">
        <v>2848</v>
      </c>
      <c r="Z2106" t="str">
        <f>"01424 713387"</f>
        <v>01424 713387</v>
      </c>
      <c r="AA2106" t="str">
        <f>""</f>
        <v/>
      </c>
      <c r="AB2106" t="s">
        <v>2847</v>
      </c>
      <c r="AC2106" t="s">
        <v>2846</v>
      </c>
      <c r="AD2106" t="s">
        <v>114</v>
      </c>
      <c r="AE2106" s="63">
        <v>45267</v>
      </c>
      <c r="AF2106" t="s">
        <v>113</v>
      </c>
      <c r="AG2106" t="s">
        <v>112</v>
      </c>
      <c r="AH2106" t="s">
        <v>112</v>
      </c>
      <c r="AI2106" s="63">
        <v>41775</v>
      </c>
      <c r="AJ2106" s="63">
        <v>45657</v>
      </c>
      <c r="AK2106" t="s">
        <v>111</v>
      </c>
      <c r="AL2106" t="s">
        <v>111</v>
      </c>
      <c r="AM2106" t="s">
        <v>111</v>
      </c>
      <c r="AN2106">
        <v>5009</v>
      </c>
      <c r="AO2106" t="s">
        <v>122</v>
      </c>
      <c r="AP2106" t="s">
        <v>122</v>
      </c>
    </row>
    <row r="2107" spans="1:42" x14ac:dyDescent="0.25">
      <c r="A2107" s="28" t="str">
        <f>"3420"</f>
        <v>3420</v>
      </c>
      <c r="B2107">
        <v>3420</v>
      </c>
      <c r="C2107" t="s">
        <v>2488</v>
      </c>
      <c r="D2107" t="s">
        <v>121</v>
      </c>
      <c r="F2107" t="s">
        <v>120</v>
      </c>
      <c r="G2107" t="s">
        <v>195</v>
      </c>
      <c r="H2107" t="s">
        <v>284</v>
      </c>
      <c r="I2107" t="s">
        <v>1048</v>
      </c>
      <c r="J2107" t="s">
        <v>7</v>
      </c>
      <c r="K2107" s="63">
        <v>22389</v>
      </c>
      <c r="L2107" s="28">
        <f>DATEDIF(K2107,Zwift25!G$1,"Y")</f>
        <v>63</v>
      </c>
      <c r="M2107" s="67">
        <f>IF(J2107="m",VLOOKUP(L2107,'All Solo Adjustments'!A:D,4,FALSE),VLOOKUP(L2107,'All Solo Adjustments'!A:J,10,FALSE))</f>
        <v>4.0277777777777777E-3</v>
      </c>
      <c r="N2107" s="63"/>
      <c r="O2107" s="63"/>
      <c r="P2107" s="63"/>
      <c r="Q2107" s="63"/>
      <c r="R2107" t="s">
        <v>154</v>
      </c>
      <c r="S2107" t="s">
        <v>153</v>
      </c>
      <c r="T2107" t="s">
        <v>292</v>
      </c>
      <c r="U2107" t="s">
        <v>2845</v>
      </c>
      <c r="V2107" t="s">
        <v>2844</v>
      </c>
      <c r="W2107" t="s">
        <v>2263</v>
      </c>
      <c r="X2107" t="s">
        <v>752</v>
      </c>
      <c r="Y2107" t="s">
        <v>2843</v>
      </c>
      <c r="Z2107" t="str">
        <f>"07785763114"</f>
        <v>07785763114</v>
      </c>
      <c r="AA2107" t="str">
        <f>""</f>
        <v/>
      </c>
      <c r="AB2107" t="s">
        <v>1058</v>
      </c>
      <c r="AC2107" t="s">
        <v>2842</v>
      </c>
      <c r="AD2107" t="s">
        <v>114</v>
      </c>
      <c r="AE2107" s="63">
        <v>45348</v>
      </c>
      <c r="AF2107" t="s">
        <v>156</v>
      </c>
      <c r="AG2107" t="s">
        <v>112</v>
      </c>
      <c r="AH2107" t="s">
        <v>112</v>
      </c>
      <c r="AI2107" s="63">
        <v>39593</v>
      </c>
      <c r="AJ2107" s="63">
        <v>45657</v>
      </c>
      <c r="AK2107" t="s">
        <v>111</v>
      </c>
      <c r="AL2107" t="s">
        <v>111</v>
      </c>
      <c r="AM2107" t="s">
        <v>111</v>
      </c>
      <c r="AN2107" t="s">
        <v>105</v>
      </c>
      <c r="AO2107" t="s">
        <v>110</v>
      </c>
      <c r="AP2107" t="s">
        <v>109</v>
      </c>
    </row>
    <row r="2108" spans="1:42" x14ac:dyDescent="0.25">
      <c r="A2108" s="28" t="str">
        <f>"2641"</f>
        <v>2641</v>
      </c>
      <c r="B2108">
        <v>2641</v>
      </c>
      <c r="C2108" t="s">
        <v>2488</v>
      </c>
      <c r="D2108" t="s">
        <v>121</v>
      </c>
      <c r="F2108" t="s">
        <v>120</v>
      </c>
      <c r="G2108" t="s">
        <v>1208</v>
      </c>
      <c r="I2108" t="s">
        <v>1048</v>
      </c>
      <c r="J2108" t="s">
        <v>7</v>
      </c>
      <c r="K2108" s="63">
        <v>12589</v>
      </c>
      <c r="L2108" s="28">
        <f>DATEDIF(K2108,Zwift25!G$1,"Y")</f>
        <v>90</v>
      </c>
      <c r="M2108" s="67">
        <f>IF(J2108="m",VLOOKUP(L2108,'All Solo Adjustments'!A:D,4,FALSE),VLOOKUP(L2108,'All Solo Adjustments'!A:J,10,FALSE))</f>
        <v>1.8391203703703705E-2</v>
      </c>
      <c r="N2108" s="63"/>
      <c r="O2108" s="63"/>
      <c r="P2108" s="63"/>
      <c r="Q2108" s="63"/>
      <c r="R2108" t="s">
        <v>154</v>
      </c>
      <c r="S2108" t="s">
        <v>2404</v>
      </c>
      <c r="T2108" t="s">
        <v>292</v>
      </c>
      <c r="U2108" t="s">
        <v>2841</v>
      </c>
      <c r="V2108" t="s">
        <v>750</v>
      </c>
      <c r="W2108" t="s">
        <v>2840</v>
      </c>
      <c r="X2108" t="s">
        <v>2839</v>
      </c>
      <c r="Y2108" t="s">
        <v>2838</v>
      </c>
      <c r="Z2108" t="str">
        <f>"01225 862723"</f>
        <v>01225 862723</v>
      </c>
      <c r="AA2108" t="str">
        <f>""</f>
        <v/>
      </c>
      <c r="AB2108" t="s">
        <v>1058</v>
      </c>
      <c r="AC2108" t="s">
        <v>2837</v>
      </c>
      <c r="AD2108" t="s">
        <v>151</v>
      </c>
      <c r="AF2108" t="s">
        <v>113</v>
      </c>
      <c r="AG2108" t="s">
        <v>112</v>
      </c>
      <c r="AH2108" t="s">
        <v>112</v>
      </c>
      <c r="AI2108" s="63">
        <v>29587</v>
      </c>
      <c r="AK2108" t="s">
        <v>111</v>
      </c>
      <c r="AL2108" t="s">
        <v>111</v>
      </c>
      <c r="AM2108" t="s">
        <v>111</v>
      </c>
      <c r="AN2108">
        <v>1672</v>
      </c>
      <c r="AO2108" t="s">
        <v>110</v>
      </c>
      <c r="AP2108" t="s">
        <v>109</v>
      </c>
    </row>
    <row r="2109" spans="1:42" x14ac:dyDescent="0.25">
      <c r="A2109" s="28" t="str">
        <f>"6418"</f>
        <v>6418</v>
      </c>
      <c r="B2109">
        <v>6418</v>
      </c>
      <c r="C2109" t="s">
        <v>2488</v>
      </c>
      <c r="D2109" t="s">
        <v>121</v>
      </c>
      <c r="E2109" t="s">
        <v>584</v>
      </c>
      <c r="F2109" t="s">
        <v>120</v>
      </c>
      <c r="G2109" t="s">
        <v>2047</v>
      </c>
      <c r="H2109" t="s">
        <v>359</v>
      </c>
      <c r="I2109" t="s">
        <v>1048</v>
      </c>
      <c r="J2109" t="s">
        <v>7</v>
      </c>
      <c r="K2109" s="63">
        <v>25365</v>
      </c>
      <c r="L2109" s="28">
        <f>DATEDIF(K2109,Zwift25!G$1,"Y")</f>
        <v>55</v>
      </c>
      <c r="M2109" s="67">
        <f>IF(J2109="m",VLOOKUP(L2109,'All Solo Adjustments'!A:D,4,FALSE),VLOOKUP(L2109,'All Solo Adjustments'!A:J,10,FALSE))</f>
        <v>2.0601851851851853E-3</v>
      </c>
      <c r="N2109" s="63"/>
      <c r="O2109" s="63"/>
      <c r="P2109" s="63"/>
      <c r="Q2109" s="63"/>
      <c r="R2109" t="s">
        <v>296</v>
      </c>
      <c r="S2109" t="s">
        <v>295</v>
      </c>
      <c r="T2109" t="s">
        <v>292</v>
      </c>
      <c r="U2109" t="s">
        <v>2836</v>
      </c>
      <c r="V2109" t="s">
        <v>2835</v>
      </c>
      <c r="W2109" t="s">
        <v>2834</v>
      </c>
      <c r="X2109" t="s">
        <v>599</v>
      </c>
      <c r="Y2109" t="s">
        <v>2833</v>
      </c>
      <c r="Z2109" t="str">
        <f>"07387 073101"</f>
        <v>07387 073101</v>
      </c>
      <c r="AA2109" t="str">
        <f>""</f>
        <v/>
      </c>
      <c r="AB2109" t="s">
        <v>2832</v>
      </c>
      <c r="AC2109" t="s">
        <v>2831</v>
      </c>
      <c r="AD2109" t="s">
        <v>114</v>
      </c>
      <c r="AE2109" s="63">
        <v>45292</v>
      </c>
      <c r="AF2109" t="s">
        <v>156</v>
      </c>
      <c r="AG2109" t="s">
        <v>112</v>
      </c>
      <c r="AH2109" t="s">
        <v>112</v>
      </c>
      <c r="AI2109" s="63">
        <v>43126</v>
      </c>
      <c r="AJ2109" s="63">
        <v>45657</v>
      </c>
      <c r="AK2109" t="s">
        <v>111</v>
      </c>
      <c r="AL2109" t="s">
        <v>111</v>
      </c>
      <c r="AM2109" t="s">
        <v>111</v>
      </c>
      <c r="AN2109">
        <v>7360</v>
      </c>
      <c r="AO2109" t="s">
        <v>110</v>
      </c>
      <c r="AP2109" t="s">
        <v>109</v>
      </c>
    </row>
    <row r="2110" spans="1:42" x14ac:dyDescent="0.25">
      <c r="A2110" s="28" t="str">
        <f>"4544"</f>
        <v>4544</v>
      </c>
      <c r="B2110">
        <v>4544</v>
      </c>
      <c r="C2110" t="s">
        <v>2488</v>
      </c>
      <c r="D2110" t="s">
        <v>121</v>
      </c>
      <c r="E2110" t="s">
        <v>584</v>
      </c>
      <c r="F2110" t="s">
        <v>120</v>
      </c>
      <c r="G2110" t="s">
        <v>952</v>
      </c>
      <c r="I2110" t="s">
        <v>1048</v>
      </c>
      <c r="J2110" t="s">
        <v>7</v>
      </c>
      <c r="K2110" s="63">
        <v>18333</v>
      </c>
      <c r="L2110" s="28">
        <f>DATEDIF(K2110,Zwift25!G$1,"Y")</f>
        <v>74</v>
      </c>
      <c r="M2110" s="67">
        <f>IF(J2110="m",VLOOKUP(L2110,'All Solo Adjustments'!A:D,4,FALSE),VLOOKUP(L2110,'All Solo Adjustments'!A:J,10,FALSE))</f>
        <v>7.9861111111111122E-3</v>
      </c>
      <c r="N2110" s="63"/>
      <c r="O2110" s="63"/>
      <c r="P2110" s="63"/>
      <c r="Q2110" s="63"/>
      <c r="R2110" t="s">
        <v>296</v>
      </c>
      <c r="S2110" t="s">
        <v>295</v>
      </c>
      <c r="T2110" t="s">
        <v>292</v>
      </c>
      <c r="U2110" t="s">
        <v>2830</v>
      </c>
      <c r="V2110" t="s">
        <v>1803</v>
      </c>
      <c r="W2110" t="s">
        <v>1597</v>
      </c>
      <c r="Y2110" t="s">
        <v>2829</v>
      </c>
      <c r="Z2110" t="str">
        <f>"01355 232832"</f>
        <v>01355 232832</v>
      </c>
      <c r="AA2110" t="str">
        <f>""</f>
        <v/>
      </c>
      <c r="AB2110" t="s">
        <v>2828</v>
      </c>
      <c r="AC2110" t="s">
        <v>2827</v>
      </c>
      <c r="AD2110" t="s">
        <v>114</v>
      </c>
      <c r="AE2110" s="63">
        <v>45271</v>
      </c>
      <c r="AF2110" t="s">
        <v>113</v>
      </c>
      <c r="AG2110" t="s">
        <v>112</v>
      </c>
      <c r="AH2110" t="s">
        <v>112</v>
      </c>
      <c r="AI2110" s="63">
        <v>40676</v>
      </c>
      <c r="AJ2110" s="63">
        <v>45657</v>
      </c>
      <c r="AK2110" t="s">
        <v>111</v>
      </c>
      <c r="AL2110" t="s">
        <v>111</v>
      </c>
      <c r="AM2110" t="s">
        <v>111</v>
      </c>
      <c r="AN2110">
        <v>9959</v>
      </c>
      <c r="AO2110" t="s">
        <v>110</v>
      </c>
      <c r="AP2110" t="s">
        <v>109</v>
      </c>
    </row>
    <row r="2111" spans="1:42" x14ac:dyDescent="0.25">
      <c r="A2111" s="28" t="str">
        <f>"6358"</f>
        <v>6358</v>
      </c>
      <c r="B2111">
        <v>6358</v>
      </c>
      <c r="C2111" t="s">
        <v>2488</v>
      </c>
      <c r="D2111" t="s">
        <v>121</v>
      </c>
      <c r="F2111" t="s">
        <v>120</v>
      </c>
      <c r="G2111" t="s">
        <v>2826</v>
      </c>
      <c r="H2111" t="s">
        <v>1162</v>
      </c>
      <c r="I2111" t="s">
        <v>2807</v>
      </c>
      <c r="J2111" t="s">
        <v>7</v>
      </c>
      <c r="K2111" s="63">
        <v>18120</v>
      </c>
      <c r="L2111" s="28">
        <f>DATEDIF(K2111,Zwift25!G$1,"Y")</f>
        <v>75</v>
      </c>
      <c r="M2111" s="67">
        <f>IF(J2111="m",VLOOKUP(L2111,'All Solo Adjustments'!A:D,4,FALSE),VLOOKUP(L2111,'All Solo Adjustments'!A:J,10,FALSE))</f>
        <v>8.4374999999999988E-3</v>
      </c>
      <c r="N2111" s="63"/>
      <c r="O2111" s="63"/>
      <c r="P2111" s="63"/>
      <c r="Q2111" s="63"/>
      <c r="R2111" t="s">
        <v>159</v>
      </c>
      <c r="S2111" t="s">
        <v>162</v>
      </c>
      <c r="T2111" t="s">
        <v>292</v>
      </c>
      <c r="U2111" t="s">
        <v>2825</v>
      </c>
      <c r="V2111" t="s">
        <v>1991</v>
      </c>
      <c r="W2111" t="s">
        <v>159</v>
      </c>
      <c r="Y2111" t="s">
        <v>2824</v>
      </c>
      <c r="Z2111" t="str">
        <f>"01303 240861"</f>
        <v>01303 240861</v>
      </c>
      <c r="AA2111" t="str">
        <f>"07592009041"</f>
        <v>07592009041</v>
      </c>
      <c r="AB2111" t="s">
        <v>2823</v>
      </c>
      <c r="AC2111" t="s">
        <v>2822</v>
      </c>
      <c r="AD2111" t="s">
        <v>114</v>
      </c>
      <c r="AE2111" s="63">
        <v>45307</v>
      </c>
      <c r="AF2111" t="s">
        <v>113</v>
      </c>
      <c r="AG2111" t="s">
        <v>112</v>
      </c>
      <c r="AH2111" t="s">
        <v>112</v>
      </c>
      <c r="AI2111" s="63">
        <v>44021</v>
      </c>
      <c r="AJ2111" s="63">
        <v>45657</v>
      </c>
      <c r="AK2111" t="s">
        <v>111</v>
      </c>
      <c r="AL2111" t="s">
        <v>111</v>
      </c>
      <c r="AM2111" t="s">
        <v>111</v>
      </c>
      <c r="AN2111">
        <v>24113</v>
      </c>
      <c r="AO2111" t="s">
        <v>110</v>
      </c>
      <c r="AP2111" t="s">
        <v>109</v>
      </c>
    </row>
    <row r="2112" spans="1:42" x14ac:dyDescent="0.25">
      <c r="A2112" s="28" t="str">
        <f>"5011"</f>
        <v>5011</v>
      </c>
      <c r="B2112">
        <v>5011</v>
      </c>
      <c r="C2112" t="s">
        <v>2488</v>
      </c>
      <c r="D2112" t="s">
        <v>121</v>
      </c>
      <c r="E2112" t="s">
        <v>584</v>
      </c>
      <c r="F2112" t="s">
        <v>120</v>
      </c>
      <c r="G2112" t="s">
        <v>2821</v>
      </c>
      <c r="I2112" t="s">
        <v>1048</v>
      </c>
      <c r="J2112" t="s">
        <v>7</v>
      </c>
      <c r="K2112" s="63">
        <v>18716</v>
      </c>
      <c r="L2112" s="28">
        <f>DATEDIF(K2112,Zwift25!G$1,"Y")</f>
        <v>73</v>
      </c>
      <c r="M2112" s="67">
        <f>IF(J2112="m",VLOOKUP(L2112,'All Solo Adjustments'!A:D,4,FALSE),VLOOKUP(L2112,'All Solo Adjustments'!A:J,10,FALSE))</f>
        <v>7.5462962962962966E-3</v>
      </c>
      <c r="N2112" s="63"/>
      <c r="O2112" s="63"/>
      <c r="P2112" s="63"/>
      <c r="Q2112" s="63"/>
      <c r="R2112" t="s">
        <v>328</v>
      </c>
      <c r="S2112" t="s">
        <v>327</v>
      </c>
      <c r="T2112" t="s">
        <v>292</v>
      </c>
      <c r="U2112" t="s">
        <v>2820</v>
      </c>
      <c r="V2112" t="s">
        <v>2819</v>
      </c>
      <c r="W2112" t="s">
        <v>1223</v>
      </c>
      <c r="X2112" t="s">
        <v>325</v>
      </c>
      <c r="Y2112" t="s">
        <v>2818</v>
      </c>
      <c r="Z2112" t="str">
        <f>"01282 412329"</f>
        <v>01282 412329</v>
      </c>
      <c r="AA2112" t="str">
        <f>"07813 604016"</f>
        <v>07813 604016</v>
      </c>
      <c r="AB2112" t="s">
        <v>1146</v>
      </c>
      <c r="AC2112" t="s">
        <v>2817</v>
      </c>
      <c r="AD2112" t="s">
        <v>114</v>
      </c>
      <c r="AE2112" s="63">
        <v>45293</v>
      </c>
      <c r="AF2112" t="s">
        <v>156</v>
      </c>
      <c r="AG2112" t="s">
        <v>112</v>
      </c>
      <c r="AH2112" t="s">
        <v>112</v>
      </c>
      <c r="AI2112" s="63">
        <v>42884</v>
      </c>
      <c r="AJ2112" s="63">
        <v>45657</v>
      </c>
      <c r="AK2112" t="s">
        <v>111</v>
      </c>
      <c r="AL2112" t="s">
        <v>111</v>
      </c>
      <c r="AM2112" t="s">
        <v>111</v>
      </c>
      <c r="AN2112">
        <v>4461</v>
      </c>
      <c r="AO2112" t="s">
        <v>110</v>
      </c>
      <c r="AP2112" t="s">
        <v>109</v>
      </c>
    </row>
    <row r="2113" spans="1:42" x14ac:dyDescent="0.25">
      <c r="A2113" s="28" t="str">
        <f>"15335"</f>
        <v>15335</v>
      </c>
      <c r="B2113">
        <v>15335</v>
      </c>
      <c r="C2113" t="s">
        <v>2488</v>
      </c>
      <c r="D2113" t="s">
        <v>121</v>
      </c>
      <c r="F2113" t="s">
        <v>120</v>
      </c>
      <c r="G2113" t="s">
        <v>1722</v>
      </c>
      <c r="H2113" t="s">
        <v>1176</v>
      </c>
      <c r="I2113" t="s">
        <v>2816</v>
      </c>
      <c r="J2113" t="s">
        <v>7</v>
      </c>
      <c r="K2113" s="63">
        <v>19365</v>
      </c>
      <c r="L2113" s="28">
        <f>DATEDIF(K2113,Zwift25!G$1,"Y")</f>
        <v>71</v>
      </c>
      <c r="M2113" s="67">
        <f>IF(J2113="m",VLOOKUP(L2113,'All Solo Adjustments'!A:D,4,FALSE),VLOOKUP(L2113,'All Solo Adjustments'!A:J,10,FALSE))</f>
        <v>6.7245370370370375E-3</v>
      </c>
      <c r="N2113" s="63"/>
      <c r="O2113" s="63"/>
      <c r="P2113" s="63"/>
      <c r="Q2113" s="63"/>
      <c r="R2113" t="s">
        <v>137</v>
      </c>
      <c r="S2113" t="s">
        <v>136</v>
      </c>
      <c r="T2113" t="s">
        <v>292</v>
      </c>
      <c r="U2113" t="s">
        <v>2815</v>
      </c>
      <c r="X2113" t="s">
        <v>480</v>
      </c>
      <c r="Y2113" t="s">
        <v>2814</v>
      </c>
      <c r="Z2113" t="str">
        <f>"07982231633"</f>
        <v>07982231633</v>
      </c>
      <c r="AA2113" t="str">
        <f>""</f>
        <v/>
      </c>
      <c r="AB2113" t="s">
        <v>479</v>
      </c>
      <c r="AC2113" t="s">
        <v>2813</v>
      </c>
      <c r="AD2113" t="s">
        <v>114</v>
      </c>
      <c r="AE2113" s="63">
        <v>45355</v>
      </c>
      <c r="AF2113" t="s">
        <v>156</v>
      </c>
      <c r="AG2113" t="s">
        <v>112</v>
      </c>
      <c r="AH2113" t="s">
        <v>112</v>
      </c>
      <c r="AI2113" s="63">
        <v>44571</v>
      </c>
      <c r="AJ2113" s="63">
        <v>45657</v>
      </c>
      <c r="AK2113" t="s">
        <v>112</v>
      </c>
      <c r="AL2113" t="s">
        <v>111</v>
      </c>
      <c r="AM2113" t="s">
        <v>111</v>
      </c>
      <c r="AN2113">
        <v>7627</v>
      </c>
      <c r="AO2113" t="s">
        <v>110</v>
      </c>
      <c r="AP2113" t="s">
        <v>109</v>
      </c>
    </row>
    <row r="2114" spans="1:42" x14ac:dyDescent="0.25">
      <c r="A2114" s="28" t="str">
        <f>"15452"</f>
        <v>15452</v>
      </c>
      <c r="B2114">
        <v>15452</v>
      </c>
      <c r="C2114" t="s">
        <v>2488</v>
      </c>
      <c r="D2114" t="s">
        <v>121</v>
      </c>
      <c r="F2114" t="s">
        <v>120</v>
      </c>
      <c r="G2114" t="s">
        <v>2812</v>
      </c>
      <c r="I2114" t="s">
        <v>1048</v>
      </c>
      <c r="J2114" t="s">
        <v>7</v>
      </c>
      <c r="K2114" s="63">
        <v>22585</v>
      </c>
      <c r="L2114" s="28">
        <f>DATEDIF(K2114,Zwift25!G$1,"Y")</f>
        <v>62</v>
      </c>
      <c r="M2114" s="67">
        <f>IF(J2114="m",VLOOKUP(L2114,'All Solo Adjustments'!A:D,4,FALSE),VLOOKUP(L2114,'All Solo Adjustments'!A:J,10,FALSE))</f>
        <v>3.7384259259259259E-3</v>
      </c>
      <c r="N2114" s="63"/>
      <c r="O2114" s="63"/>
      <c r="P2114" s="63"/>
      <c r="Q2114" s="63"/>
      <c r="R2114" t="s">
        <v>296</v>
      </c>
      <c r="S2114" t="s">
        <v>295</v>
      </c>
      <c r="T2114" t="s">
        <v>292</v>
      </c>
      <c r="U2114" t="s">
        <v>2811</v>
      </c>
      <c r="V2114" t="s">
        <v>1698</v>
      </c>
      <c r="W2114" t="s">
        <v>1697</v>
      </c>
      <c r="Y2114" t="s">
        <v>2810</v>
      </c>
      <c r="Z2114" t="str">
        <f>"01475728646"</f>
        <v>01475728646</v>
      </c>
      <c r="AA2114" t="str">
        <f>""</f>
        <v/>
      </c>
      <c r="AB2114" t="s">
        <v>290</v>
      </c>
      <c r="AC2114" t="s">
        <v>2809</v>
      </c>
      <c r="AD2114" t="s">
        <v>114</v>
      </c>
      <c r="AE2114" s="63">
        <v>45425</v>
      </c>
      <c r="AF2114" t="s">
        <v>156</v>
      </c>
      <c r="AG2114" t="s">
        <v>112</v>
      </c>
      <c r="AH2114" t="s">
        <v>112</v>
      </c>
      <c r="AI2114" s="63">
        <v>44666</v>
      </c>
      <c r="AJ2114" s="63">
        <v>45657</v>
      </c>
      <c r="AK2114" t="s">
        <v>112</v>
      </c>
      <c r="AL2114" t="s">
        <v>111</v>
      </c>
      <c r="AM2114" t="s">
        <v>111</v>
      </c>
      <c r="AN2114">
        <v>43157</v>
      </c>
      <c r="AO2114" t="s">
        <v>110</v>
      </c>
      <c r="AP2114" t="s">
        <v>109</v>
      </c>
    </row>
    <row r="2115" spans="1:42" x14ac:dyDescent="0.25">
      <c r="A2115" s="28" t="str">
        <f>"15582"</f>
        <v>15582</v>
      </c>
      <c r="B2115">
        <v>15582</v>
      </c>
      <c r="C2115" t="s">
        <v>2488</v>
      </c>
      <c r="D2115" t="s">
        <v>121</v>
      </c>
      <c r="F2115" t="s">
        <v>120</v>
      </c>
      <c r="G2115" t="s">
        <v>2808</v>
      </c>
      <c r="H2115" t="s">
        <v>773</v>
      </c>
      <c r="I2115" t="s">
        <v>2807</v>
      </c>
      <c r="J2115" t="s">
        <v>7</v>
      </c>
      <c r="K2115" s="63">
        <v>28289</v>
      </c>
      <c r="L2115" s="28">
        <f>DATEDIF(K2115,Zwift25!G$1,"Y")</f>
        <v>47</v>
      </c>
      <c r="M2115" s="67">
        <f>IF(J2115="m",VLOOKUP(L2115,'All Solo Adjustments'!A:D,4,FALSE),VLOOKUP(L2115,'All Solo Adjustments'!A:J,10,FALSE))</f>
        <v>6.9444444444444436E-4</v>
      </c>
      <c r="N2115" s="63"/>
      <c r="O2115" s="63"/>
      <c r="P2115" s="63"/>
      <c r="Q2115" s="63"/>
      <c r="R2115" t="s">
        <v>184</v>
      </c>
      <c r="S2115" t="s">
        <v>183</v>
      </c>
      <c r="T2115" t="s">
        <v>292</v>
      </c>
      <c r="U2115" t="s">
        <v>2806</v>
      </c>
      <c r="V2115" t="s">
        <v>1994</v>
      </c>
      <c r="W2115" t="s">
        <v>828</v>
      </c>
      <c r="Y2115" t="s">
        <v>2805</v>
      </c>
      <c r="Z2115" t="str">
        <f>"07875223610"</f>
        <v>07875223610</v>
      </c>
      <c r="AA2115" t="str">
        <f>""</f>
        <v/>
      </c>
      <c r="AB2115" t="s">
        <v>2804</v>
      </c>
      <c r="AC2115" t="s">
        <v>2803</v>
      </c>
      <c r="AD2115" t="s">
        <v>114</v>
      </c>
      <c r="AE2115" s="63">
        <v>45343</v>
      </c>
      <c r="AF2115" t="s">
        <v>156</v>
      </c>
      <c r="AG2115" t="s">
        <v>112</v>
      </c>
      <c r="AH2115" t="s">
        <v>112</v>
      </c>
      <c r="AI2115" s="63">
        <v>44796</v>
      </c>
      <c r="AJ2115" s="63">
        <v>45657</v>
      </c>
      <c r="AK2115" t="s">
        <v>112</v>
      </c>
      <c r="AL2115" t="s">
        <v>111</v>
      </c>
      <c r="AM2115" t="s">
        <v>111</v>
      </c>
      <c r="AN2115">
        <v>44047</v>
      </c>
      <c r="AO2115" t="s">
        <v>110</v>
      </c>
      <c r="AP2115" t="s">
        <v>109</v>
      </c>
    </row>
    <row r="2116" spans="1:42" x14ac:dyDescent="0.25">
      <c r="A2116" s="28" t="str">
        <f>"16183"</f>
        <v>16183</v>
      </c>
      <c r="B2116">
        <v>16183</v>
      </c>
      <c r="C2116" t="s">
        <v>2488</v>
      </c>
      <c r="D2116" t="s">
        <v>121</v>
      </c>
      <c r="F2116" t="s">
        <v>120</v>
      </c>
      <c r="G2116" t="s">
        <v>1631</v>
      </c>
      <c r="I2116" t="s">
        <v>1048</v>
      </c>
      <c r="J2116" t="s">
        <v>7</v>
      </c>
      <c r="K2116" s="63">
        <v>27732</v>
      </c>
      <c r="L2116" s="28">
        <f>DATEDIF(K2116,Zwift25!G$1,"Y")</f>
        <v>48</v>
      </c>
      <c r="M2116" s="67">
        <f>IF(J2116="m",VLOOKUP(L2116,'All Solo Adjustments'!A:D,4,FALSE),VLOOKUP(L2116,'All Solo Adjustments'!A:J,10,FALSE))</f>
        <v>8.3333333333333339E-4</v>
      </c>
      <c r="N2116" s="63"/>
      <c r="O2116" s="63"/>
      <c r="P2116" s="63"/>
      <c r="Q2116" s="63"/>
      <c r="R2116" t="s">
        <v>296</v>
      </c>
      <c r="S2116" t="s">
        <v>295</v>
      </c>
      <c r="T2116" t="s">
        <v>292</v>
      </c>
      <c r="U2116" t="s">
        <v>2802</v>
      </c>
      <c r="V2116" t="s">
        <v>2801</v>
      </c>
      <c r="W2116" t="s">
        <v>990</v>
      </c>
      <c r="Y2116" t="s">
        <v>2800</v>
      </c>
      <c r="Z2116" t="str">
        <f>""</f>
        <v/>
      </c>
      <c r="AA2116" t="str">
        <f>"07982432601"</f>
        <v>07982432601</v>
      </c>
      <c r="AB2116" t="s">
        <v>2799</v>
      </c>
      <c r="AC2116" t="s">
        <v>2798</v>
      </c>
      <c r="AD2116" t="s">
        <v>145</v>
      </c>
      <c r="AE2116" s="63">
        <v>45480</v>
      </c>
      <c r="AF2116" t="s">
        <v>156</v>
      </c>
      <c r="AG2116" t="s">
        <v>112</v>
      </c>
      <c r="AH2116" t="s">
        <v>112</v>
      </c>
      <c r="AI2116" s="63">
        <v>45480</v>
      </c>
      <c r="AJ2116" s="63">
        <v>45657</v>
      </c>
      <c r="AK2116" t="s">
        <v>112</v>
      </c>
      <c r="AL2116" t="s">
        <v>112</v>
      </c>
      <c r="AM2116" t="s">
        <v>112</v>
      </c>
      <c r="AN2116">
        <v>27254</v>
      </c>
      <c r="AO2116" t="s">
        <v>110</v>
      </c>
      <c r="AP2116" t="s">
        <v>109</v>
      </c>
    </row>
    <row r="2117" spans="1:42" x14ac:dyDescent="0.25">
      <c r="A2117" s="28" t="str">
        <f>"15790"</f>
        <v>15790</v>
      </c>
      <c r="B2117">
        <v>15790</v>
      </c>
      <c r="C2117" t="s">
        <v>2488</v>
      </c>
      <c r="D2117" t="s">
        <v>121</v>
      </c>
      <c r="E2117" t="s">
        <v>584</v>
      </c>
      <c r="F2117" t="s">
        <v>120</v>
      </c>
      <c r="G2117" t="s">
        <v>2797</v>
      </c>
      <c r="I2117" t="s">
        <v>752</v>
      </c>
      <c r="J2117" t="s">
        <v>7</v>
      </c>
      <c r="K2117" s="63">
        <v>26823</v>
      </c>
      <c r="L2117" s="28">
        <f>DATEDIF(K2117,Zwift25!G$1,"Y")</f>
        <v>51</v>
      </c>
      <c r="M2117" s="67">
        <f>IF(J2117="m",VLOOKUP(L2117,'All Solo Adjustments'!A:D,4,FALSE),VLOOKUP(L2117,'All Solo Adjustments'!A:J,10,FALSE))</f>
        <v>1.3078703703703703E-3</v>
      </c>
      <c r="N2117" s="63"/>
      <c r="O2117" s="63"/>
      <c r="P2117" s="63"/>
      <c r="Q2117" s="63"/>
      <c r="R2117" t="s">
        <v>184</v>
      </c>
      <c r="S2117" t="s">
        <v>183</v>
      </c>
      <c r="T2117" t="s">
        <v>292</v>
      </c>
      <c r="U2117">
        <v>28</v>
      </c>
      <c r="V2117" t="s">
        <v>2796</v>
      </c>
      <c r="Y2117" t="s">
        <v>2795</v>
      </c>
      <c r="Z2117" t="str">
        <f>"07889170893"</f>
        <v>07889170893</v>
      </c>
      <c r="AA2117" t="str">
        <f>""</f>
        <v/>
      </c>
      <c r="AB2117" t="s">
        <v>2794</v>
      </c>
      <c r="AC2117" t="s">
        <v>2793</v>
      </c>
      <c r="AD2117" t="s">
        <v>114</v>
      </c>
      <c r="AE2117" s="63">
        <v>45356</v>
      </c>
      <c r="AF2117" t="s">
        <v>156</v>
      </c>
      <c r="AG2117" t="s">
        <v>112</v>
      </c>
      <c r="AH2117" t="s">
        <v>112</v>
      </c>
      <c r="AI2117" s="63">
        <v>45034</v>
      </c>
      <c r="AJ2117" s="63">
        <v>45657</v>
      </c>
      <c r="AK2117" t="s">
        <v>112</v>
      </c>
      <c r="AL2117" t="s">
        <v>111</v>
      </c>
      <c r="AM2117" t="s">
        <v>111</v>
      </c>
      <c r="AN2117">
        <v>36795</v>
      </c>
      <c r="AO2117" t="s">
        <v>110</v>
      </c>
      <c r="AP2117" t="s">
        <v>109</v>
      </c>
    </row>
    <row r="2118" spans="1:42" x14ac:dyDescent="0.25">
      <c r="A2118" s="28" t="str">
        <f>"5291"</f>
        <v>5291</v>
      </c>
      <c r="B2118">
        <v>5291</v>
      </c>
      <c r="C2118" t="s">
        <v>2488</v>
      </c>
      <c r="D2118" t="s">
        <v>121</v>
      </c>
      <c r="E2118" t="s">
        <v>584</v>
      </c>
      <c r="F2118" t="s">
        <v>120</v>
      </c>
      <c r="G2118" t="s">
        <v>185</v>
      </c>
      <c r="I2118" t="s">
        <v>2792</v>
      </c>
      <c r="J2118" t="s">
        <v>7</v>
      </c>
      <c r="K2118" s="63">
        <v>21808</v>
      </c>
      <c r="L2118" s="28">
        <f>DATEDIF(K2118,Zwift25!G$1,"Y")</f>
        <v>65</v>
      </c>
      <c r="M2118" s="67">
        <f>IF(J2118="m",VLOOKUP(L2118,'All Solo Adjustments'!A:D,4,FALSE),VLOOKUP(L2118,'All Solo Adjustments'!A:J,10,FALSE))</f>
        <v>4.6180555555555558E-3</v>
      </c>
      <c r="N2118" s="63"/>
      <c r="O2118" s="63"/>
      <c r="P2118" s="63"/>
      <c r="Q2118" s="63"/>
      <c r="R2118" t="s">
        <v>154</v>
      </c>
      <c r="S2118" t="s">
        <v>153</v>
      </c>
      <c r="T2118" t="s">
        <v>292</v>
      </c>
      <c r="U2118" t="s">
        <v>2791</v>
      </c>
      <c r="V2118" t="s">
        <v>1060</v>
      </c>
      <c r="W2118" t="s">
        <v>1059</v>
      </c>
      <c r="Y2118" t="s">
        <v>2790</v>
      </c>
      <c r="Z2118" t="str">
        <f>"01225 706176"</f>
        <v>01225 706176</v>
      </c>
      <c r="AA2118" t="str">
        <f>"07792 372309"</f>
        <v>07792 372309</v>
      </c>
      <c r="AB2118" t="s">
        <v>2262</v>
      </c>
      <c r="AC2118" t="s">
        <v>2789</v>
      </c>
      <c r="AD2118" t="s">
        <v>114</v>
      </c>
      <c r="AE2118" s="63">
        <v>45205</v>
      </c>
      <c r="AF2118" t="s">
        <v>156</v>
      </c>
      <c r="AG2118" t="s">
        <v>112</v>
      </c>
      <c r="AH2118" t="s">
        <v>112</v>
      </c>
      <c r="AI2118" s="63">
        <v>42008</v>
      </c>
      <c r="AJ2118" s="63">
        <v>45657</v>
      </c>
      <c r="AK2118" t="s">
        <v>111</v>
      </c>
      <c r="AL2118" t="s">
        <v>111</v>
      </c>
      <c r="AM2118" t="s">
        <v>111</v>
      </c>
      <c r="AN2118">
        <v>2029</v>
      </c>
      <c r="AO2118" t="s">
        <v>110</v>
      </c>
      <c r="AP2118" t="s">
        <v>109</v>
      </c>
    </row>
    <row r="2119" spans="1:42" x14ac:dyDescent="0.25">
      <c r="A2119" s="28" t="str">
        <f>"4838"</f>
        <v>4838</v>
      </c>
      <c r="B2119">
        <v>4838</v>
      </c>
      <c r="C2119" t="s">
        <v>2488</v>
      </c>
      <c r="D2119" t="s">
        <v>121</v>
      </c>
      <c r="F2119" t="s">
        <v>120</v>
      </c>
      <c r="G2119" t="s">
        <v>1132</v>
      </c>
      <c r="H2119" t="s">
        <v>709</v>
      </c>
      <c r="I2119" t="s">
        <v>1795</v>
      </c>
      <c r="J2119" t="s">
        <v>7</v>
      </c>
      <c r="K2119" s="63">
        <v>15195</v>
      </c>
      <c r="L2119" s="28">
        <f>DATEDIF(K2119,Zwift25!G$1,"Y")</f>
        <v>83</v>
      </c>
      <c r="M2119" s="67">
        <f>IF(J2119="m",VLOOKUP(L2119,'All Solo Adjustments'!A:D,4,FALSE),VLOOKUP(L2119,'All Solo Adjustments'!A:J,10,FALSE))</f>
        <v>1.2858796296296297E-2</v>
      </c>
      <c r="N2119" s="63"/>
      <c r="O2119" s="63"/>
      <c r="P2119" s="63"/>
      <c r="Q2119" s="63"/>
      <c r="R2119" t="s">
        <v>143</v>
      </c>
      <c r="S2119" t="s">
        <v>142</v>
      </c>
      <c r="T2119" t="s">
        <v>292</v>
      </c>
      <c r="U2119" t="s">
        <v>2788</v>
      </c>
      <c r="V2119" t="s">
        <v>2787</v>
      </c>
      <c r="W2119" t="s">
        <v>1185</v>
      </c>
      <c r="X2119" t="s">
        <v>486</v>
      </c>
      <c r="Y2119" t="s">
        <v>2786</v>
      </c>
      <c r="Z2119" t="str">
        <f>"01323 370381"</f>
        <v>01323 370381</v>
      </c>
      <c r="AA2119" t="str">
        <f>""</f>
        <v/>
      </c>
      <c r="AB2119" t="s">
        <v>2785</v>
      </c>
      <c r="AC2119" t="s">
        <v>2784</v>
      </c>
      <c r="AD2119" t="s">
        <v>114</v>
      </c>
      <c r="AE2119" s="63">
        <v>45464</v>
      </c>
      <c r="AF2119" t="s">
        <v>113</v>
      </c>
      <c r="AG2119" t="s">
        <v>112</v>
      </c>
      <c r="AH2119" t="s">
        <v>112</v>
      </c>
      <c r="AI2119" s="63">
        <v>42958</v>
      </c>
      <c r="AJ2119" s="63">
        <v>45657</v>
      </c>
      <c r="AK2119" t="s">
        <v>111</v>
      </c>
      <c r="AL2119" t="s">
        <v>111</v>
      </c>
      <c r="AM2119" t="s">
        <v>111</v>
      </c>
      <c r="AN2119">
        <v>51008</v>
      </c>
      <c r="AO2119" t="s">
        <v>110</v>
      </c>
      <c r="AP2119" t="s">
        <v>109</v>
      </c>
    </row>
    <row r="2120" spans="1:42" x14ac:dyDescent="0.25">
      <c r="A2120" s="28" t="str">
        <f>"3299"</f>
        <v>3299</v>
      </c>
      <c r="B2120">
        <v>3299</v>
      </c>
      <c r="C2120" t="s">
        <v>2488</v>
      </c>
      <c r="D2120" t="s">
        <v>121</v>
      </c>
      <c r="E2120" t="s">
        <v>584</v>
      </c>
      <c r="F2120" t="s">
        <v>120</v>
      </c>
      <c r="G2120" t="s">
        <v>1155</v>
      </c>
      <c r="I2120" t="s">
        <v>2783</v>
      </c>
      <c r="J2120" t="s">
        <v>7</v>
      </c>
      <c r="K2120" s="63">
        <v>20605</v>
      </c>
      <c r="L2120" s="28">
        <f>DATEDIF(K2120,Zwift25!G$1,"Y")</f>
        <v>68</v>
      </c>
      <c r="M2120" s="67">
        <f>IF(J2120="m",VLOOKUP(L2120,'All Solo Adjustments'!A:D,4,FALSE),VLOOKUP(L2120,'All Solo Adjustments'!A:J,10,FALSE))</f>
        <v>5.6134259259259262E-3</v>
      </c>
      <c r="N2120" s="63"/>
      <c r="O2120" s="63"/>
      <c r="P2120" s="63"/>
      <c r="Q2120" s="63"/>
      <c r="R2120" t="s">
        <v>213</v>
      </c>
      <c r="S2120" t="s">
        <v>212</v>
      </c>
      <c r="T2120" t="s">
        <v>292</v>
      </c>
      <c r="U2120" t="s">
        <v>2782</v>
      </c>
      <c r="V2120" t="s">
        <v>2781</v>
      </c>
      <c r="W2120" t="s">
        <v>393</v>
      </c>
      <c r="Y2120" t="s">
        <v>2780</v>
      </c>
      <c r="Z2120" t="str">
        <f>"07817822330"</f>
        <v>07817822330</v>
      </c>
      <c r="AA2120" t="str">
        <f>"01512280026"</f>
        <v>01512280026</v>
      </c>
      <c r="AB2120" t="s">
        <v>1849</v>
      </c>
      <c r="AC2120" t="s">
        <v>2779</v>
      </c>
      <c r="AD2120" t="s">
        <v>114</v>
      </c>
      <c r="AE2120" s="63">
        <v>45262</v>
      </c>
      <c r="AF2120" t="s">
        <v>113</v>
      </c>
      <c r="AG2120" t="s">
        <v>112</v>
      </c>
      <c r="AH2120" t="s">
        <v>112</v>
      </c>
      <c r="AI2120" s="63">
        <v>39484</v>
      </c>
      <c r="AJ2120" s="63">
        <v>45657</v>
      </c>
      <c r="AK2120" t="s">
        <v>111</v>
      </c>
      <c r="AL2120" t="s">
        <v>111</v>
      </c>
      <c r="AM2120" t="s">
        <v>111</v>
      </c>
      <c r="AN2120">
        <v>339</v>
      </c>
      <c r="AO2120" t="s">
        <v>110</v>
      </c>
      <c r="AP2120" t="s">
        <v>109</v>
      </c>
    </row>
    <row r="2121" spans="1:42" x14ac:dyDescent="0.25">
      <c r="A2121" s="28" t="str">
        <f>"14305"</f>
        <v>14305</v>
      </c>
      <c r="B2121">
        <v>14305</v>
      </c>
      <c r="C2121" t="s">
        <v>2488</v>
      </c>
      <c r="D2121" t="s">
        <v>121</v>
      </c>
      <c r="F2121" t="s">
        <v>120</v>
      </c>
      <c r="G2121" t="s">
        <v>2778</v>
      </c>
      <c r="I2121" t="s">
        <v>2777</v>
      </c>
      <c r="J2121" t="s">
        <v>7</v>
      </c>
      <c r="K2121" s="63">
        <v>26457</v>
      </c>
      <c r="L2121" s="28">
        <f>DATEDIF(K2121,Zwift25!G$1,"Y")</f>
        <v>52</v>
      </c>
      <c r="M2121" s="67">
        <f>IF(J2121="m",VLOOKUP(L2121,'All Solo Adjustments'!A:D,4,FALSE),VLOOKUP(L2121,'All Solo Adjustments'!A:J,10,FALSE))</f>
        <v>1.4814814814814816E-3</v>
      </c>
      <c r="N2121" s="63"/>
      <c r="O2121" s="63"/>
      <c r="P2121" s="63"/>
      <c r="Q2121" s="63"/>
      <c r="R2121" t="s">
        <v>184</v>
      </c>
      <c r="S2121" t="s">
        <v>183</v>
      </c>
      <c r="T2121" t="s">
        <v>292</v>
      </c>
      <c r="U2121" t="s">
        <v>2776</v>
      </c>
      <c r="V2121" t="s">
        <v>2775</v>
      </c>
      <c r="W2121" t="s">
        <v>1195</v>
      </c>
      <c r="Y2121" t="s">
        <v>2774</v>
      </c>
      <c r="Z2121" t="str">
        <f>"07900058724"</f>
        <v>07900058724</v>
      </c>
      <c r="AA2121" t="str">
        <f>""</f>
        <v/>
      </c>
      <c r="AB2121" t="s">
        <v>2773</v>
      </c>
      <c r="AC2121" t="s">
        <v>2772</v>
      </c>
      <c r="AD2121" t="s">
        <v>114</v>
      </c>
      <c r="AE2121" s="63">
        <v>45262</v>
      </c>
      <c r="AF2121" t="s">
        <v>156</v>
      </c>
      <c r="AG2121" t="s">
        <v>112</v>
      </c>
      <c r="AH2121" t="s">
        <v>112</v>
      </c>
      <c r="AI2121" s="63">
        <v>43646</v>
      </c>
      <c r="AJ2121" s="63">
        <v>45657</v>
      </c>
      <c r="AK2121" t="s">
        <v>112</v>
      </c>
      <c r="AL2121" t="s">
        <v>111</v>
      </c>
      <c r="AM2121" t="s">
        <v>111</v>
      </c>
      <c r="AN2121">
        <v>10256</v>
      </c>
      <c r="AO2121" t="s">
        <v>110</v>
      </c>
      <c r="AP2121" t="s">
        <v>109</v>
      </c>
    </row>
    <row r="2122" spans="1:42" x14ac:dyDescent="0.25">
      <c r="A2122" s="28" t="str">
        <f>"15023"</f>
        <v>15023</v>
      </c>
      <c r="B2122">
        <v>15023</v>
      </c>
      <c r="C2122" t="s">
        <v>2488</v>
      </c>
      <c r="D2122" t="s">
        <v>121</v>
      </c>
      <c r="E2122" t="s">
        <v>584</v>
      </c>
      <c r="F2122" t="s">
        <v>149</v>
      </c>
      <c r="G2122" t="s">
        <v>1092</v>
      </c>
      <c r="H2122" t="s">
        <v>2771</v>
      </c>
      <c r="I2122" t="s">
        <v>2770</v>
      </c>
      <c r="J2122" t="s">
        <v>126</v>
      </c>
      <c r="K2122" s="63">
        <v>28047</v>
      </c>
      <c r="L2122" s="28">
        <f>DATEDIF(K2122,Zwift25!G$1,"Y")</f>
        <v>47</v>
      </c>
      <c r="M2122" s="67">
        <f>IF(J2122="m",VLOOKUP(L2122,'All Solo Adjustments'!A:D,4,FALSE),VLOOKUP(L2122,'All Solo Adjustments'!A:J,10,FALSE))</f>
        <v>4.7337962962962958E-3</v>
      </c>
      <c r="N2122" s="63"/>
      <c r="O2122" s="63"/>
      <c r="P2122" s="63"/>
      <c r="Q2122" s="63"/>
      <c r="R2122" t="s">
        <v>296</v>
      </c>
      <c r="S2122" t="s">
        <v>295</v>
      </c>
      <c r="T2122" t="s">
        <v>292</v>
      </c>
      <c r="U2122" t="s">
        <v>2769</v>
      </c>
      <c r="W2122" t="s">
        <v>2768</v>
      </c>
      <c r="Y2122" t="s">
        <v>2767</v>
      </c>
      <c r="Z2122" t="str">
        <f>"07776237308"</f>
        <v>07776237308</v>
      </c>
      <c r="AA2122" t="str">
        <f>"01357 523530"</f>
        <v>01357 523530</v>
      </c>
      <c r="AB2122" t="s">
        <v>2122</v>
      </c>
      <c r="AC2122" t="s">
        <v>2766</v>
      </c>
      <c r="AD2122" t="s">
        <v>114</v>
      </c>
      <c r="AE2122" s="63">
        <v>45264</v>
      </c>
      <c r="AF2122" t="s">
        <v>113</v>
      </c>
      <c r="AG2122" t="s">
        <v>112</v>
      </c>
      <c r="AH2122" t="s">
        <v>112</v>
      </c>
      <c r="AI2122" s="63">
        <v>44313</v>
      </c>
      <c r="AJ2122" s="63">
        <v>45657</v>
      </c>
      <c r="AK2122" t="s">
        <v>112</v>
      </c>
      <c r="AL2122" t="s">
        <v>111</v>
      </c>
      <c r="AM2122" t="s">
        <v>111</v>
      </c>
      <c r="AN2122">
        <v>25077</v>
      </c>
      <c r="AO2122" t="s">
        <v>122</v>
      </c>
      <c r="AP2122" t="s">
        <v>122</v>
      </c>
    </row>
    <row r="2123" spans="1:42" x14ac:dyDescent="0.25">
      <c r="A2123" s="28" t="str">
        <f>"5687"</f>
        <v>5687</v>
      </c>
      <c r="B2123">
        <v>5687</v>
      </c>
      <c r="C2123" t="s">
        <v>2488</v>
      </c>
      <c r="D2123" t="s">
        <v>121</v>
      </c>
      <c r="F2123" t="s">
        <v>120</v>
      </c>
      <c r="G2123" t="s">
        <v>165</v>
      </c>
      <c r="I2123" t="s">
        <v>2765</v>
      </c>
      <c r="J2123" t="s">
        <v>7</v>
      </c>
      <c r="K2123" s="63">
        <v>23606</v>
      </c>
      <c r="L2123" s="28">
        <f>DATEDIF(K2123,Zwift25!G$1,"Y")</f>
        <v>60</v>
      </c>
      <c r="M2123" s="67">
        <f>IF(J2123="m",VLOOKUP(L2123,'All Solo Adjustments'!A:D,4,FALSE),VLOOKUP(L2123,'All Solo Adjustments'!A:J,10,FALSE))</f>
        <v>3.2060185185185186E-3</v>
      </c>
      <c r="N2123" s="63"/>
      <c r="O2123" s="63"/>
      <c r="P2123" s="63"/>
      <c r="Q2123" s="63"/>
      <c r="R2123" t="s">
        <v>283</v>
      </c>
      <c r="S2123" t="s">
        <v>530</v>
      </c>
      <c r="T2123" t="s">
        <v>292</v>
      </c>
      <c r="U2123" t="s">
        <v>2764</v>
      </c>
      <c r="V2123" t="s">
        <v>281</v>
      </c>
      <c r="W2123" t="s">
        <v>279</v>
      </c>
      <c r="Y2123" t="s">
        <v>2763</v>
      </c>
      <c r="Z2123" t="str">
        <f>"07594223101"</f>
        <v>07594223101</v>
      </c>
      <c r="AA2123" t="str">
        <f>""</f>
        <v/>
      </c>
      <c r="AB2123" t="s">
        <v>2762</v>
      </c>
      <c r="AC2123" t="s">
        <v>2761</v>
      </c>
      <c r="AD2123" t="s">
        <v>114</v>
      </c>
      <c r="AE2123" s="63">
        <v>45274</v>
      </c>
      <c r="AF2123" t="s">
        <v>113</v>
      </c>
      <c r="AG2123" t="s">
        <v>112</v>
      </c>
      <c r="AH2123" t="s">
        <v>112</v>
      </c>
      <c r="AI2123" s="63">
        <v>42393</v>
      </c>
      <c r="AJ2123" s="63">
        <v>45657</v>
      </c>
      <c r="AK2123" t="s">
        <v>111</v>
      </c>
      <c r="AL2123" t="s">
        <v>111</v>
      </c>
      <c r="AM2123" t="s">
        <v>111</v>
      </c>
      <c r="AN2123">
        <v>2911</v>
      </c>
      <c r="AO2123" t="s">
        <v>110</v>
      </c>
      <c r="AP2123" t="s">
        <v>109</v>
      </c>
    </row>
    <row r="2124" spans="1:42" x14ac:dyDescent="0.25">
      <c r="A2124" s="28" t="str">
        <f>"15606"</f>
        <v>15606</v>
      </c>
      <c r="B2124">
        <v>15606</v>
      </c>
      <c r="C2124" t="s">
        <v>2488</v>
      </c>
      <c r="D2124" t="s">
        <v>121</v>
      </c>
      <c r="F2124" t="s">
        <v>120</v>
      </c>
      <c r="G2124" t="s">
        <v>489</v>
      </c>
      <c r="I2124" t="s">
        <v>2760</v>
      </c>
      <c r="J2124" t="s">
        <v>7</v>
      </c>
      <c r="K2124" s="63">
        <v>14965</v>
      </c>
      <c r="L2124" s="28">
        <f>DATEDIF(K2124,Zwift25!G$1,"Y")</f>
        <v>83</v>
      </c>
      <c r="M2124" s="67">
        <f>IF(J2124="m",VLOOKUP(L2124,'All Solo Adjustments'!A:D,4,FALSE),VLOOKUP(L2124,'All Solo Adjustments'!A:J,10,FALSE))</f>
        <v>1.2858796296296297E-2</v>
      </c>
      <c r="N2124" s="63"/>
      <c r="O2124" s="63"/>
      <c r="P2124" s="63"/>
      <c r="Q2124" s="63"/>
      <c r="R2124" t="s">
        <v>527</v>
      </c>
      <c r="S2124" t="s">
        <v>526</v>
      </c>
      <c r="T2124" t="s">
        <v>292</v>
      </c>
      <c r="U2124" t="s">
        <v>2759</v>
      </c>
      <c r="V2124" t="s">
        <v>2758</v>
      </c>
      <c r="W2124" t="s">
        <v>2757</v>
      </c>
      <c r="X2124" t="s">
        <v>2756</v>
      </c>
      <c r="Y2124" t="s">
        <v>2755</v>
      </c>
      <c r="Z2124" t="str">
        <f>"01325710414"</f>
        <v>01325710414</v>
      </c>
      <c r="AA2124" t="str">
        <f>""</f>
        <v/>
      </c>
      <c r="AB2124" t="s">
        <v>2754</v>
      </c>
      <c r="AC2124" t="s">
        <v>2753</v>
      </c>
      <c r="AD2124" t="s">
        <v>114</v>
      </c>
      <c r="AE2124" s="63">
        <v>45319</v>
      </c>
      <c r="AF2124" t="s">
        <v>113</v>
      </c>
      <c r="AG2124" t="s">
        <v>112</v>
      </c>
      <c r="AH2124" t="s">
        <v>112</v>
      </c>
      <c r="AI2124" s="63">
        <v>44847</v>
      </c>
      <c r="AJ2124" s="63">
        <v>45657</v>
      </c>
      <c r="AK2124" t="s">
        <v>112</v>
      </c>
      <c r="AL2124" t="s">
        <v>111</v>
      </c>
      <c r="AM2124" t="s">
        <v>111</v>
      </c>
      <c r="AN2124">
        <v>45634</v>
      </c>
      <c r="AO2124" t="s">
        <v>110</v>
      </c>
      <c r="AP2124" t="s">
        <v>109</v>
      </c>
    </row>
    <row r="2125" spans="1:42" x14ac:dyDescent="0.25">
      <c r="A2125" s="28" t="str">
        <f>"2655"</f>
        <v>2655</v>
      </c>
      <c r="B2125">
        <v>2655</v>
      </c>
      <c r="C2125" t="s">
        <v>2488</v>
      </c>
      <c r="D2125" t="s">
        <v>121</v>
      </c>
      <c r="E2125" t="s">
        <v>2752</v>
      </c>
      <c r="F2125" t="s">
        <v>120</v>
      </c>
      <c r="G2125" t="s">
        <v>594</v>
      </c>
      <c r="H2125" t="s">
        <v>475</v>
      </c>
      <c r="I2125" t="s">
        <v>2751</v>
      </c>
      <c r="J2125" t="s">
        <v>7</v>
      </c>
      <c r="K2125" s="63">
        <v>18541</v>
      </c>
      <c r="L2125" s="28">
        <f>DATEDIF(K2125,Zwift25!G$1,"Y")</f>
        <v>74</v>
      </c>
      <c r="M2125" s="67">
        <f>IF(J2125="m",VLOOKUP(L2125,'All Solo Adjustments'!A:D,4,FALSE),VLOOKUP(L2125,'All Solo Adjustments'!A:J,10,FALSE))</f>
        <v>7.9861111111111122E-3</v>
      </c>
      <c r="N2125" s="63"/>
      <c r="O2125" s="63"/>
      <c r="P2125" s="63"/>
      <c r="Q2125" s="63"/>
      <c r="R2125" t="s">
        <v>137</v>
      </c>
      <c r="S2125" t="s">
        <v>136</v>
      </c>
      <c r="T2125" t="s">
        <v>292</v>
      </c>
      <c r="U2125" t="s">
        <v>2750</v>
      </c>
      <c r="V2125" t="s">
        <v>2749</v>
      </c>
      <c r="W2125" t="s">
        <v>1098</v>
      </c>
      <c r="X2125" t="s">
        <v>208</v>
      </c>
      <c r="Y2125" t="s">
        <v>2748</v>
      </c>
      <c r="Z2125" t="str">
        <f>"02380 867651"</f>
        <v>02380 867651</v>
      </c>
      <c r="AA2125" t="str">
        <f>""</f>
        <v/>
      </c>
      <c r="AB2125" t="s">
        <v>2747</v>
      </c>
      <c r="AC2125" t="s">
        <v>2746</v>
      </c>
      <c r="AD2125" t="s">
        <v>114</v>
      </c>
      <c r="AE2125" s="63">
        <v>45319</v>
      </c>
      <c r="AF2125" t="s">
        <v>113</v>
      </c>
      <c r="AG2125" t="s">
        <v>112</v>
      </c>
      <c r="AH2125" t="s">
        <v>112</v>
      </c>
      <c r="AI2125" s="63">
        <v>36572</v>
      </c>
      <c r="AJ2125" s="63">
        <v>45657</v>
      </c>
      <c r="AK2125" t="s">
        <v>111</v>
      </c>
      <c r="AL2125" t="s">
        <v>111</v>
      </c>
      <c r="AM2125" t="s">
        <v>111</v>
      </c>
      <c r="AN2125" t="s">
        <v>105</v>
      </c>
      <c r="AO2125" t="s">
        <v>110</v>
      </c>
      <c r="AP2125" t="s">
        <v>109</v>
      </c>
    </row>
    <row r="2126" spans="1:42" x14ac:dyDescent="0.25">
      <c r="A2126" s="28" t="str">
        <f>"6443"</f>
        <v>6443</v>
      </c>
      <c r="B2126">
        <v>6443</v>
      </c>
      <c r="C2126" t="s">
        <v>2488</v>
      </c>
      <c r="D2126" t="s">
        <v>121</v>
      </c>
      <c r="F2126" t="s">
        <v>120</v>
      </c>
      <c r="G2126" t="s">
        <v>165</v>
      </c>
      <c r="I2126" t="s">
        <v>199</v>
      </c>
      <c r="J2126" t="s">
        <v>7</v>
      </c>
      <c r="K2126" s="63">
        <v>28476</v>
      </c>
      <c r="L2126" s="28">
        <f>DATEDIF(K2126,Zwift25!G$1,"Y")</f>
        <v>46</v>
      </c>
      <c r="M2126" s="67">
        <f>IF(J2126="m",VLOOKUP(L2126,'All Solo Adjustments'!A:D,4,FALSE),VLOOKUP(L2126,'All Solo Adjustments'!A:J,10,FALSE))</f>
        <v>5.6712962962962956E-4</v>
      </c>
      <c r="N2126" s="63"/>
      <c r="O2126" s="63"/>
      <c r="P2126" s="63"/>
      <c r="Q2126" s="63"/>
      <c r="R2126" t="s">
        <v>239</v>
      </c>
      <c r="S2126" t="s">
        <v>274</v>
      </c>
      <c r="T2126" t="s">
        <v>292</v>
      </c>
      <c r="U2126" t="s">
        <v>2745</v>
      </c>
      <c r="V2126" t="s">
        <v>1775</v>
      </c>
      <c r="W2126" t="s">
        <v>127</v>
      </c>
      <c r="Y2126" t="s">
        <v>2744</v>
      </c>
      <c r="Z2126" t="str">
        <f>"01904 760570"</f>
        <v>01904 760570</v>
      </c>
      <c r="AA2126" t="str">
        <f>""</f>
        <v/>
      </c>
      <c r="AB2126" t="s">
        <v>1440</v>
      </c>
      <c r="AC2126" t="s">
        <v>2743</v>
      </c>
      <c r="AD2126" t="s">
        <v>114</v>
      </c>
      <c r="AE2126" s="63">
        <v>45267</v>
      </c>
      <c r="AF2126" t="s">
        <v>113</v>
      </c>
      <c r="AG2126" t="s">
        <v>112</v>
      </c>
      <c r="AH2126" t="s">
        <v>112</v>
      </c>
      <c r="AI2126" s="63">
        <v>43152</v>
      </c>
      <c r="AJ2126" s="63">
        <v>45657</v>
      </c>
      <c r="AK2126" t="s">
        <v>111</v>
      </c>
      <c r="AL2126" t="s">
        <v>112</v>
      </c>
      <c r="AM2126" t="s">
        <v>111</v>
      </c>
      <c r="AN2126">
        <v>5384</v>
      </c>
      <c r="AO2126" t="s">
        <v>110</v>
      </c>
      <c r="AP2126" t="s">
        <v>109</v>
      </c>
    </row>
    <row r="2127" spans="1:42" x14ac:dyDescent="0.25">
      <c r="A2127" s="28" t="str">
        <f>"4359"</f>
        <v>4359</v>
      </c>
      <c r="B2127">
        <v>4359</v>
      </c>
      <c r="C2127" t="s">
        <v>2488</v>
      </c>
      <c r="D2127" t="s">
        <v>132</v>
      </c>
      <c r="F2127" t="s">
        <v>120</v>
      </c>
      <c r="G2127" t="s">
        <v>231</v>
      </c>
      <c r="I2127" t="s">
        <v>2742</v>
      </c>
      <c r="J2127" t="s">
        <v>7</v>
      </c>
      <c r="K2127" s="63">
        <v>17147</v>
      </c>
      <c r="L2127" s="28">
        <f>DATEDIF(K2127,Zwift25!G$1,"Y")</f>
        <v>77</v>
      </c>
      <c r="M2127" s="67">
        <f>IF(J2127="m",VLOOKUP(L2127,'All Solo Adjustments'!A:D,4,FALSE),VLOOKUP(L2127,'All Solo Adjustments'!A:J,10,FALSE))</f>
        <v>9.3981481481481485E-3</v>
      </c>
      <c r="N2127" s="63"/>
      <c r="O2127" s="63"/>
      <c r="P2127" s="63"/>
      <c r="Q2127" s="63"/>
      <c r="R2127" t="s">
        <v>125</v>
      </c>
      <c r="S2127" t="s">
        <v>124</v>
      </c>
      <c r="T2127" t="s">
        <v>292</v>
      </c>
      <c r="U2127" t="s">
        <v>2741</v>
      </c>
      <c r="V2127" t="s">
        <v>2740</v>
      </c>
      <c r="W2127" t="s">
        <v>746</v>
      </c>
      <c r="X2127" t="s">
        <v>169</v>
      </c>
      <c r="Y2127" t="s">
        <v>2739</v>
      </c>
      <c r="Z2127" t="str">
        <f>"01502 531717"</f>
        <v>01502 531717</v>
      </c>
      <c r="AA2127" t="str">
        <f>"07906921448"</f>
        <v>07906921448</v>
      </c>
      <c r="AB2127" t="s">
        <v>745</v>
      </c>
      <c r="AC2127" t="s">
        <v>2738</v>
      </c>
      <c r="AD2127" t="s">
        <v>114</v>
      </c>
      <c r="AE2127" s="63">
        <v>45262</v>
      </c>
      <c r="AF2127" t="s">
        <v>113</v>
      </c>
      <c r="AG2127" t="s">
        <v>112</v>
      </c>
      <c r="AH2127" t="s">
        <v>112</v>
      </c>
      <c r="AI2127" s="63">
        <v>40886</v>
      </c>
      <c r="AJ2127" s="63">
        <v>45657</v>
      </c>
      <c r="AK2127" t="s">
        <v>111</v>
      </c>
      <c r="AL2127" t="s">
        <v>111</v>
      </c>
      <c r="AM2127" t="s">
        <v>111</v>
      </c>
      <c r="AN2127">
        <v>5516</v>
      </c>
      <c r="AO2127" t="s">
        <v>110</v>
      </c>
      <c r="AP2127" t="s">
        <v>109</v>
      </c>
    </row>
    <row r="2128" spans="1:42" x14ac:dyDescent="0.25">
      <c r="A2128" s="28" t="str">
        <f>"12453"</f>
        <v>12453</v>
      </c>
      <c r="B2128">
        <v>12453</v>
      </c>
      <c r="C2128" t="s">
        <v>2488</v>
      </c>
      <c r="D2128" t="s">
        <v>130</v>
      </c>
      <c r="F2128" t="s">
        <v>149</v>
      </c>
      <c r="G2128" t="s">
        <v>2420</v>
      </c>
      <c r="I2128" t="s">
        <v>2742</v>
      </c>
      <c r="J2128" t="s">
        <v>126</v>
      </c>
      <c r="K2128" s="63">
        <v>17587</v>
      </c>
      <c r="L2128" s="28">
        <f>DATEDIF(K2128,Zwift25!G$1,"Y")</f>
        <v>76</v>
      </c>
      <c r="M2128" s="67">
        <f>IF(J2128="m",VLOOKUP(L2128,'All Solo Adjustments'!A:D,4,FALSE),VLOOKUP(L2128,'All Solo Adjustments'!A:J,10,FALSE))</f>
        <v>1.4456018518518519E-2</v>
      </c>
      <c r="N2128" s="63"/>
      <c r="O2128" s="63"/>
      <c r="P2128" s="63"/>
      <c r="Q2128" s="63"/>
      <c r="R2128" t="s">
        <v>125</v>
      </c>
      <c r="S2128" t="s">
        <v>124</v>
      </c>
      <c r="T2128" t="s">
        <v>292</v>
      </c>
      <c r="U2128" t="s">
        <v>2741</v>
      </c>
      <c r="V2128" t="s">
        <v>2740</v>
      </c>
      <c r="W2128" t="s">
        <v>746</v>
      </c>
      <c r="X2128" t="s">
        <v>169</v>
      </c>
      <c r="Y2128" t="s">
        <v>2739</v>
      </c>
      <c r="Z2128" t="str">
        <f>"01502 531717"</f>
        <v>01502 531717</v>
      </c>
      <c r="AA2128" t="str">
        <f>"07906921448"</f>
        <v>07906921448</v>
      </c>
      <c r="AB2128" t="s">
        <v>745</v>
      </c>
      <c r="AC2128" t="s">
        <v>2738</v>
      </c>
      <c r="AD2128" t="s">
        <v>114</v>
      </c>
      <c r="AE2128" s="63">
        <v>45262</v>
      </c>
      <c r="AF2128" t="s">
        <v>113</v>
      </c>
      <c r="AG2128" t="s">
        <v>111</v>
      </c>
      <c r="AH2128" t="s">
        <v>111</v>
      </c>
      <c r="AI2128" s="63">
        <v>41948</v>
      </c>
      <c r="AJ2128" s="63">
        <v>45657</v>
      </c>
      <c r="AK2128" t="s">
        <v>111</v>
      </c>
      <c r="AL2128" t="s">
        <v>111</v>
      </c>
      <c r="AM2128" t="s">
        <v>111</v>
      </c>
      <c r="AN2128" t="s">
        <v>105</v>
      </c>
      <c r="AO2128" t="s">
        <v>122</v>
      </c>
      <c r="AP2128" t="s">
        <v>122</v>
      </c>
    </row>
    <row r="2129" spans="1:42" x14ac:dyDescent="0.25">
      <c r="A2129" s="28" t="str">
        <f>"15056"</f>
        <v>15056</v>
      </c>
      <c r="B2129">
        <v>15056</v>
      </c>
      <c r="C2129" t="s">
        <v>2488</v>
      </c>
      <c r="D2129" t="s">
        <v>121</v>
      </c>
      <c r="F2129" t="s">
        <v>120</v>
      </c>
      <c r="G2129" t="s">
        <v>427</v>
      </c>
      <c r="I2129" t="s">
        <v>2737</v>
      </c>
      <c r="J2129" t="s">
        <v>7</v>
      </c>
      <c r="K2129" s="63">
        <v>22551</v>
      </c>
      <c r="L2129" s="28">
        <f>DATEDIF(K2129,Zwift25!G$1,"Y")</f>
        <v>63</v>
      </c>
      <c r="M2129" s="67">
        <f>IF(J2129="m",VLOOKUP(L2129,'All Solo Adjustments'!A:D,4,FALSE),VLOOKUP(L2129,'All Solo Adjustments'!A:J,10,FALSE))</f>
        <v>4.0277777777777777E-3</v>
      </c>
      <c r="N2129" s="63"/>
      <c r="O2129" s="63"/>
      <c r="P2129" s="63"/>
      <c r="Q2129" s="63"/>
      <c r="R2129" t="s">
        <v>239</v>
      </c>
      <c r="S2129" t="s">
        <v>274</v>
      </c>
      <c r="T2129" t="s">
        <v>292</v>
      </c>
      <c r="U2129" t="s">
        <v>2736</v>
      </c>
      <c r="V2129" t="s">
        <v>916</v>
      </c>
      <c r="W2129" t="s">
        <v>2735</v>
      </c>
      <c r="X2129" t="s">
        <v>1949</v>
      </c>
      <c r="Y2129" t="s">
        <v>2734</v>
      </c>
      <c r="Z2129" t="str">
        <f>"07590507992"</f>
        <v>07590507992</v>
      </c>
      <c r="AA2129" t="str">
        <f>""</f>
        <v/>
      </c>
      <c r="AB2129" t="s">
        <v>2733</v>
      </c>
      <c r="AC2129" t="s">
        <v>2732</v>
      </c>
      <c r="AD2129" t="s">
        <v>114</v>
      </c>
      <c r="AE2129" s="63">
        <v>45355</v>
      </c>
      <c r="AF2129" t="s">
        <v>156</v>
      </c>
      <c r="AG2129" t="s">
        <v>112</v>
      </c>
      <c r="AH2129" t="s">
        <v>112</v>
      </c>
      <c r="AI2129" s="63">
        <v>44320</v>
      </c>
      <c r="AJ2129" s="63">
        <v>45657</v>
      </c>
      <c r="AK2129" t="s">
        <v>112</v>
      </c>
      <c r="AL2129" t="s">
        <v>111</v>
      </c>
      <c r="AM2129" t="s">
        <v>111</v>
      </c>
      <c r="AN2129">
        <v>31041</v>
      </c>
      <c r="AO2129" t="s">
        <v>110</v>
      </c>
      <c r="AP2129" t="s">
        <v>109</v>
      </c>
    </row>
    <row r="2130" spans="1:42" x14ac:dyDescent="0.25">
      <c r="A2130" s="28" t="str">
        <f>"2658"</f>
        <v>2658</v>
      </c>
      <c r="B2130">
        <v>2658</v>
      </c>
      <c r="C2130" t="s">
        <v>2488</v>
      </c>
      <c r="D2130" t="s">
        <v>121</v>
      </c>
      <c r="F2130" t="s">
        <v>120</v>
      </c>
      <c r="G2130" t="s">
        <v>522</v>
      </c>
      <c r="I2130" t="s">
        <v>187</v>
      </c>
      <c r="J2130" t="s">
        <v>7</v>
      </c>
      <c r="K2130" s="63">
        <v>11696</v>
      </c>
      <c r="L2130" s="28">
        <f>DATEDIF(K2130,Zwift25!G$1,"Y")</f>
        <v>92</v>
      </c>
      <c r="M2130" s="67">
        <f>IF(J2130="m",VLOOKUP(L2130,'All Solo Adjustments'!A:D,4,FALSE),VLOOKUP(L2130,'All Solo Adjustments'!A:J,10,FALSE))</f>
        <v>2.0405092592592593E-2</v>
      </c>
      <c r="N2130" s="63"/>
      <c r="O2130" s="63"/>
      <c r="P2130" s="63"/>
      <c r="Q2130" s="63"/>
      <c r="R2130" t="s">
        <v>283</v>
      </c>
      <c r="S2130" t="s">
        <v>2311</v>
      </c>
      <c r="T2130" t="s">
        <v>292</v>
      </c>
      <c r="U2130" t="s">
        <v>2731</v>
      </c>
      <c r="V2130" t="s">
        <v>2730</v>
      </c>
      <c r="W2130" t="s">
        <v>748</v>
      </c>
      <c r="Y2130" t="s">
        <v>2729</v>
      </c>
      <c r="Z2130" t="str">
        <f>"01684 564325"</f>
        <v>01684 564325</v>
      </c>
      <c r="AA2130" t="str">
        <f>""</f>
        <v/>
      </c>
      <c r="AB2130" t="s">
        <v>1345</v>
      </c>
      <c r="AD2130" t="s">
        <v>151</v>
      </c>
      <c r="AF2130" t="s">
        <v>113</v>
      </c>
      <c r="AG2130" t="s">
        <v>112</v>
      </c>
      <c r="AH2130" t="s">
        <v>112</v>
      </c>
      <c r="AK2130" t="s">
        <v>111</v>
      </c>
      <c r="AL2130" t="s">
        <v>111</v>
      </c>
      <c r="AM2130" t="s">
        <v>111</v>
      </c>
      <c r="AN2130" t="s">
        <v>105</v>
      </c>
      <c r="AO2130" t="s">
        <v>110</v>
      </c>
      <c r="AP2130" t="s">
        <v>109</v>
      </c>
    </row>
    <row r="2131" spans="1:42" x14ac:dyDescent="0.25">
      <c r="A2131" s="28" t="str">
        <f>"4988"</f>
        <v>4988</v>
      </c>
      <c r="B2131">
        <v>4988</v>
      </c>
      <c r="C2131" t="s">
        <v>2488</v>
      </c>
      <c r="D2131" t="s">
        <v>121</v>
      </c>
      <c r="F2131" t="s">
        <v>120</v>
      </c>
      <c r="G2131" t="s">
        <v>744</v>
      </c>
      <c r="I2131" t="s">
        <v>187</v>
      </c>
      <c r="J2131" t="s">
        <v>7</v>
      </c>
      <c r="K2131" s="63">
        <v>27043</v>
      </c>
      <c r="L2131" s="28">
        <f>DATEDIF(K2131,Zwift25!G$1,"Y")</f>
        <v>50</v>
      </c>
      <c r="M2131" s="67">
        <f>IF(J2131="m",VLOOKUP(L2131,'All Solo Adjustments'!A:D,4,FALSE),VLOOKUP(L2131,'All Solo Adjustments'!A:J,10,FALSE))</f>
        <v>1.1342592592592591E-3</v>
      </c>
      <c r="N2131" s="63"/>
      <c r="O2131" s="63"/>
      <c r="P2131" s="63"/>
      <c r="Q2131" s="63"/>
      <c r="R2131" t="s">
        <v>283</v>
      </c>
      <c r="S2131" t="s">
        <v>530</v>
      </c>
      <c r="T2131" t="s">
        <v>292</v>
      </c>
      <c r="U2131" t="s">
        <v>2728</v>
      </c>
      <c r="V2131" t="s">
        <v>2030</v>
      </c>
      <c r="W2131" t="s">
        <v>748</v>
      </c>
      <c r="Y2131" t="s">
        <v>2727</v>
      </c>
      <c r="Z2131" t="str">
        <f>"01386 561769"</f>
        <v>01386 561769</v>
      </c>
      <c r="AA2131" t="str">
        <f>"07526 644516"</f>
        <v>07526 644516</v>
      </c>
      <c r="AB2131" t="s">
        <v>1389</v>
      </c>
      <c r="AC2131" t="s">
        <v>2726</v>
      </c>
      <c r="AD2131" t="s">
        <v>114</v>
      </c>
      <c r="AE2131" s="63">
        <v>45322</v>
      </c>
      <c r="AF2131" t="s">
        <v>156</v>
      </c>
      <c r="AG2131" t="s">
        <v>112</v>
      </c>
      <c r="AH2131" t="s">
        <v>112</v>
      </c>
      <c r="AI2131" s="63">
        <v>41737</v>
      </c>
      <c r="AJ2131" s="63">
        <v>45657</v>
      </c>
      <c r="AK2131" t="s">
        <v>111</v>
      </c>
      <c r="AL2131" t="s">
        <v>111</v>
      </c>
      <c r="AM2131" t="s">
        <v>111</v>
      </c>
      <c r="AN2131">
        <v>5709</v>
      </c>
      <c r="AO2131" t="s">
        <v>110</v>
      </c>
      <c r="AP2131" t="s">
        <v>109</v>
      </c>
    </row>
    <row r="2132" spans="1:42" x14ac:dyDescent="0.25">
      <c r="A2132" s="28" t="str">
        <f>"12083"</f>
        <v>12083</v>
      </c>
      <c r="B2132">
        <v>12083</v>
      </c>
      <c r="C2132" t="s">
        <v>2488</v>
      </c>
      <c r="D2132" t="s">
        <v>121</v>
      </c>
      <c r="E2132" t="s">
        <v>584</v>
      </c>
      <c r="F2132" t="s">
        <v>403</v>
      </c>
      <c r="G2132" t="s">
        <v>359</v>
      </c>
      <c r="I2132" t="s">
        <v>187</v>
      </c>
      <c r="J2132" t="s">
        <v>7</v>
      </c>
      <c r="K2132" s="63">
        <v>23150</v>
      </c>
      <c r="L2132" s="28">
        <f>DATEDIF(K2132,Zwift25!G$1,"Y")</f>
        <v>61</v>
      </c>
      <c r="M2132" s="67">
        <f>IF(J2132="m",VLOOKUP(L2132,'All Solo Adjustments'!A:D,4,FALSE),VLOOKUP(L2132,'All Solo Adjustments'!A:J,10,FALSE))</f>
        <v>3.4722222222222225E-3</v>
      </c>
      <c r="N2132" s="63"/>
      <c r="O2132" s="63"/>
      <c r="P2132" s="63"/>
      <c r="Q2132" s="63"/>
      <c r="R2132" t="s">
        <v>125</v>
      </c>
      <c r="S2132" t="s">
        <v>170</v>
      </c>
      <c r="T2132" t="s">
        <v>292</v>
      </c>
      <c r="U2132" t="s">
        <v>2725</v>
      </c>
      <c r="V2132" t="s">
        <v>1148</v>
      </c>
      <c r="W2132" t="s">
        <v>169</v>
      </c>
      <c r="Y2132" t="s">
        <v>2724</v>
      </c>
      <c r="Z2132" t="str">
        <f>"07734181142"</f>
        <v>07734181142</v>
      </c>
      <c r="AA2132" t="str">
        <f>""</f>
        <v/>
      </c>
      <c r="AB2132" t="s">
        <v>190</v>
      </c>
      <c r="AC2132" t="s">
        <v>2723</v>
      </c>
      <c r="AD2132" t="s">
        <v>114</v>
      </c>
      <c r="AE2132" s="63">
        <v>45209</v>
      </c>
      <c r="AF2132" t="s">
        <v>156</v>
      </c>
      <c r="AG2132" t="s">
        <v>112</v>
      </c>
      <c r="AH2132" t="s">
        <v>112</v>
      </c>
      <c r="AI2132" s="63">
        <v>43211</v>
      </c>
      <c r="AJ2132" s="63">
        <v>45657</v>
      </c>
      <c r="AK2132" t="s">
        <v>112</v>
      </c>
      <c r="AL2132" t="s">
        <v>111</v>
      </c>
      <c r="AM2132" t="s">
        <v>111</v>
      </c>
      <c r="AN2132">
        <v>15478</v>
      </c>
      <c r="AO2132" t="s">
        <v>110</v>
      </c>
      <c r="AP2132" t="s">
        <v>109</v>
      </c>
    </row>
    <row r="2133" spans="1:42" x14ac:dyDescent="0.25">
      <c r="A2133" s="28" t="str">
        <f>"5210"</f>
        <v>5210</v>
      </c>
      <c r="B2133">
        <v>5210</v>
      </c>
      <c r="C2133" t="s">
        <v>2488</v>
      </c>
      <c r="D2133" t="s">
        <v>121</v>
      </c>
      <c r="F2133" t="s">
        <v>120</v>
      </c>
      <c r="G2133" t="s">
        <v>230</v>
      </c>
      <c r="H2133" t="s">
        <v>359</v>
      </c>
      <c r="I2133" t="s">
        <v>187</v>
      </c>
      <c r="J2133" t="s">
        <v>7</v>
      </c>
      <c r="K2133" s="63">
        <v>26450</v>
      </c>
      <c r="L2133" s="28">
        <f>DATEDIF(K2133,Zwift25!G$1,"Y")</f>
        <v>52</v>
      </c>
      <c r="M2133" s="67">
        <f>IF(J2133="m",VLOOKUP(L2133,'All Solo Adjustments'!A:D,4,FALSE),VLOOKUP(L2133,'All Solo Adjustments'!A:J,10,FALSE))</f>
        <v>1.4814814814814816E-3</v>
      </c>
      <c r="N2133" s="63"/>
      <c r="O2133" s="63"/>
      <c r="P2133" s="63"/>
      <c r="Q2133" s="63"/>
      <c r="R2133" t="s">
        <v>125</v>
      </c>
      <c r="S2133" t="s">
        <v>170</v>
      </c>
      <c r="T2133" t="s">
        <v>292</v>
      </c>
      <c r="U2133" t="s">
        <v>2722</v>
      </c>
      <c r="V2133" t="s">
        <v>2721</v>
      </c>
      <c r="W2133" t="s">
        <v>445</v>
      </c>
      <c r="X2133" t="s">
        <v>123</v>
      </c>
      <c r="Y2133" t="s">
        <v>2720</v>
      </c>
      <c r="Z2133" t="str">
        <f>"07801212122"</f>
        <v>07801212122</v>
      </c>
      <c r="AA2133" t="str">
        <f>"07801212122"</f>
        <v>07801212122</v>
      </c>
      <c r="AB2133" t="s">
        <v>444</v>
      </c>
      <c r="AC2133" t="s">
        <v>2719</v>
      </c>
      <c r="AD2133" t="s">
        <v>114</v>
      </c>
      <c r="AE2133" s="63">
        <v>45293</v>
      </c>
      <c r="AF2133" t="s">
        <v>113</v>
      </c>
      <c r="AG2133" t="s">
        <v>112</v>
      </c>
      <c r="AH2133" t="s">
        <v>112</v>
      </c>
      <c r="AI2133" s="63">
        <v>42012</v>
      </c>
      <c r="AJ2133" s="63">
        <v>45657</v>
      </c>
      <c r="AK2133" t="s">
        <v>111</v>
      </c>
      <c r="AL2133" t="s">
        <v>111</v>
      </c>
      <c r="AM2133" t="s">
        <v>111</v>
      </c>
      <c r="AN2133">
        <v>24371</v>
      </c>
      <c r="AO2133" t="s">
        <v>110</v>
      </c>
      <c r="AP2133" t="s">
        <v>109</v>
      </c>
    </row>
    <row r="2134" spans="1:42" x14ac:dyDescent="0.25">
      <c r="A2134" s="28" t="str">
        <f>"14841"</f>
        <v>14841</v>
      </c>
      <c r="B2134">
        <v>14841</v>
      </c>
      <c r="C2134" t="s">
        <v>2488</v>
      </c>
      <c r="D2134" t="s">
        <v>121</v>
      </c>
      <c r="E2134" t="s">
        <v>584</v>
      </c>
      <c r="F2134" t="s">
        <v>120</v>
      </c>
      <c r="G2134" t="s">
        <v>546</v>
      </c>
      <c r="H2134" t="s">
        <v>601</v>
      </c>
      <c r="I2134" t="s">
        <v>187</v>
      </c>
      <c r="J2134" t="s">
        <v>7</v>
      </c>
      <c r="K2134" s="63">
        <v>22527</v>
      </c>
      <c r="L2134" s="28">
        <f>DATEDIF(K2134,Zwift25!G$1,"Y")</f>
        <v>63</v>
      </c>
      <c r="M2134" s="67">
        <f>IF(J2134="m",VLOOKUP(L2134,'All Solo Adjustments'!A:D,4,FALSE),VLOOKUP(L2134,'All Solo Adjustments'!A:J,10,FALSE))</f>
        <v>4.0277777777777777E-3</v>
      </c>
      <c r="N2134" s="63"/>
      <c r="O2134" s="63"/>
      <c r="P2134" s="63"/>
      <c r="Q2134" s="63"/>
      <c r="R2134" t="s">
        <v>180</v>
      </c>
      <c r="S2134" t="s">
        <v>179</v>
      </c>
      <c r="T2134" t="s">
        <v>292</v>
      </c>
      <c r="U2134" t="s">
        <v>2718</v>
      </c>
      <c r="V2134" t="s">
        <v>2717</v>
      </c>
      <c r="W2134" t="s">
        <v>1536</v>
      </c>
      <c r="Y2134" t="s">
        <v>2716</v>
      </c>
      <c r="Z2134" t="str">
        <f>"+447849985816"</f>
        <v>+447849985816</v>
      </c>
      <c r="AA2134" t="str">
        <f>""</f>
        <v/>
      </c>
      <c r="AB2134" t="s">
        <v>176</v>
      </c>
      <c r="AC2134" t="s">
        <v>2715</v>
      </c>
      <c r="AD2134" t="s">
        <v>114</v>
      </c>
      <c r="AE2134" s="63">
        <v>45212</v>
      </c>
      <c r="AF2134" t="s">
        <v>156</v>
      </c>
      <c r="AG2134" t="s">
        <v>112</v>
      </c>
      <c r="AH2134" t="s">
        <v>112</v>
      </c>
      <c r="AI2134" s="63">
        <v>44243</v>
      </c>
      <c r="AJ2134" s="63">
        <v>45657</v>
      </c>
      <c r="AK2134" t="s">
        <v>112</v>
      </c>
      <c r="AL2134" t="s">
        <v>111</v>
      </c>
      <c r="AM2134" t="s">
        <v>111</v>
      </c>
      <c r="AN2134">
        <v>36941</v>
      </c>
      <c r="AO2134" t="s">
        <v>110</v>
      </c>
      <c r="AP2134" t="s">
        <v>109</v>
      </c>
    </row>
    <row r="2135" spans="1:42" x14ac:dyDescent="0.25">
      <c r="A2135" s="28" t="str">
        <f>"14869"</f>
        <v>14869</v>
      </c>
      <c r="B2135">
        <v>14869</v>
      </c>
      <c r="C2135" t="s">
        <v>2488</v>
      </c>
      <c r="D2135" t="s">
        <v>121</v>
      </c>
      <c r="F2135" t="s">
        <v>120</v>
      </c>
      <c r="G2135" t="s">
        <v>189</v>
      </c>
      <c r="I2135" t="s">
        <v>187</v>
      </c>
      <c r="J2135" t="s">
        <v>7</v>
      </c>
      <c r="K2135" s="63">
        <v>21113</v>
      </c>
      <c r="L2135" s="28">
        <f>DATEDIF(K2135,Zwift25!G$1,"Y")</f>
        <v>66</v>
      </c>
      <c r="M2135" s="67">
        <f>IF(J2135="m",VLOOKUP(L2135,'All Solo Adjustments'!A:D,4,FALSE),VLOOKUP(L2135,'All Solo Adjustments'!A:J,10,FALSE))</f>
        <v>4.9421296296296297E-3</v>
      </c>
      <c r="N2135" s="63"/>
      <c r="O2135" s="63"/>
      <c r="P2135" s="63"/>
      <c r="Q2135" s="63"/>
      <c r="R2135" t="s">
        <v>118</v>
      </c>
      <c r="S2135" t="s">
        <v>117</v>
      </c>
      <c r="T2135" t="s">
        <v>292</v>
      </c>
      <c r="U2135" t="s">
        <v>2714</v>
      </c>
      <c r="V2135" t="s">
        <v>2713</v>
      </c>
      <c r="W2135" t="s">
        <v>116</v>
      </c>
      <c r="X2135" t="s">
        <v>368</v>
      </c>
      <c r="Y2135" t="s">
        <v>2712</v>
      </c>
      <c r="Z2135" t="str">
        <f>"07980434166"</f>
        <v>07980434166</v>
      </c>
      <c r="AA2135" t="str">
        <f>""</f>
        <v/>
      </c>
      <c r="AB2135" t="s">
        <v>2711</v>
      </c>
      <c r="AC2135" t="s">
        <v>2710</v>
      </c>
      <c r="AD2135" t="s">
        <v>114</v>
      </c>
      <c r="AE2135" s="63">
        <v>45278</v>
      </c>
      <c r="AF2135" t="s">
        <v>156</v>
      </c>
      <c r="AG2135" t="s">
        <v>112</v>
      </c>
      <c r="AH2135" t="s">
        <v>112</v>
      </c>
      <c r="AI2135" s="63">
        <v>44254</v>
      </c>
      <c r="AJ2135" s="63">
        <v>45657</v>
      </c>
      <c r="AK2135" t="s">
        <v>112</v>
      </c>
      <c r="AL2135" t="s">
        <v>111</v>
      </c>
      <c r="AM2135" t="s">
        <v>111</v>
      </c>
      <c r="AN2135">
        <v>16963</v>
      </c>
      <c r="AO2135" t="s">
        <v>110</v>
      </c>
      <c r="AP2135" t="s">
        <v>109</v>
      </c>
    </row>
    <row r="2136" spans="1:42" x14ac:dyDescent="0.25">
      <c r="A2136" s="28" t="str">
        <f>"6134"</f>
        <v>6134</v>
      </c>
      <c r="B2136">
        <v>6134</v>
      </c>
      <c r="C2136" t="s">
        <v>2488</v>
      </c>
      <c r="D2136" t="s">
        <v>121</v>
      </c>
      <c r="F2136" t="s">
        <v>120</v>
      </c>
      <c r="G2136" t="s">
        <v>300</v>
      </c>
      <c r="I2136" t="s">
        <v>2705</v>
      </c>
      <c r="J2136" t="s">
        <v>7</v>
      </c>
      <c r="K2136" s="63">
        <v>27141</v>
      </c>
      <c r="L2136" s="28">
        <f>DATEDIF(K2136,Zwift25!G$1,"Y")</f>
        <v>50</v>
      </c>
      <c r="M2136" s="67">
        <f>IF(J2136="m",VLOOKUP(L2136,'All Solo Adjustments'!A:D,4,FALSE),VLOOKUP(L2136,'All Solo Adjustments'!A:J,10,FALSE))</f>
        <v>1.1342592592592591E-3</v>
      </c>
      <c r="N2136" s="63"/>
      <c r="O2136" s="63"/>
      <c r="P2136" s="63"/>
      <c r="Q2136" s="63"/>
      <c r="R2136" t="s">
        <v>184</v>
      </c>
      <c r="S2136" t="s">
        <v>183</v>
      </c>
      <c r="T2136" t="s">
        <v>292</v>
      </c>
      <c r="U2136" t="s">
        <v>2709</v>
      </c>
      <c r="V2136" t="s">
        <v>1557</v>
      </c>
      <c r="W2136" t="s">
        <v>828</v>
      </c>
      <c r="Y2136" t="s">
        <v>2708</v>
      </c>
      <c r="Z2136" t="str">
        <f>"07976 904406"</f>
        <v>07976 904406</v>
      </c>
      <c r="AA2136" t="str">
        <f>""</f>
        <v/>
      </c>
      <c r="AB2136" t="s">
        <v>2707</v>
      </c>
      <c r="AC2136" t="s">
        <v>2706</v>
      </c>
      <c r="AD2136" t="s">
        <v>114</v>
      </c>
      <c r="AE2136" s="63">
        <v>45315</v>
      </c>
      <c r="AF2136" t="s">
        <v>156</v>
      </c>
      <c r="AG2136" t="s">
        <v>112</v>
      </c>
      <c r="AH2136" t="s">
        <v>112</v>
      </c>
      <c r="AI2136" s="63">
        <v>42809</v>
      </c>
      <c r="AJ2136" s="63">
        <v>45657</v>
      </c>
      <c r="AK2136" t="s">
        <v>111</v>
      </c>
      <c r="AL2136" t="s">
        <v>111</v>
      </c>
      <c r="AM2136" t="s">
        <v>111</v>
      </c>
      <c r="AN2136">
        <v>10621</v>
      </c>
      <c r="AO2136" t="s">
        <v>110</v>
      </c>
      <c r="AP2136" t="s">
        <v>109</v>
      </c>
    </row>
    <row r="2137" spans="1:42" x14ac:dyDescent="0.25">
      <c r="A2137" s="28" t="str">
        <f>"2664"</f>
        <v>2664</v>
      </c>
      <c r="B2137">
        <v>2664</v>
      </c>
      <c r="C2137" t="s">
        <v>2488</v>
      </c>
      <c r="D2137" t="s">
        <v>121</v>
      </c>
      <c r="F2137" t="s">
        <v>120</v>
      </c>
      <c r="G2137" t="s">
        <v>2344</v>
      </c>
      <c r="I2137" t="s">
        <v>2705</v>
      </c>
      <c r="J2137" t="s">
        <v>7</v>
      </c>
      <c r="K2137" s="63">
        <v>12354</v>
      </c>
      <c r="L2137" s="28">
        <f>DATEDIF(K2137,Zwift25!G$1,"Y")</f>
        <v>90</v>
      </c>
      <c r="M2137" s="67">
        <f>IF(J2137="m",VLOOKUP(L2137,'All Solo Adjustments'!A:D,4,FALSE),VLOOKUP(L2137,'All Solo Adjustments'!A:J,10,FALSE))</f>
        <v>1.8391203703703705E-2</v>
      </c>
      <c r="N2137" s="63"/>
      <c r="O2137" s="63"/>
      <c r="P2137" s="63"/>
      <c r="Q2137" s="63"/>
      <c r="R2137" t="s">
        <v>328</v>
      </c>
      <c r="S2137" t="s">
        <v>2290</v>
      </c>
      <c r="T2137" t="s">
        <v>292</v>
      </c>
      <c r="U2137" t="s">
        <v>2704</v>
      </c>
      <c r="V2137" t="s">
        <v>2703</v>
      </c>
      <c r="W2137" t="s">
        <v>1220</v>
      </c>
      <c r="X2137" t="s">
        <v>325</v>
      </c>
      <c r="Y2137" t="s">
        <v>2702</v>
      </c>
      <c r="Z2137" t="str">
        <f>"01942 717804"</f>
        <v>01942 717804</v>
      </c>
      <c r="AA2137" t="str">
        <f>""</f>
        <v/>
      </c>
      <c r="AB2137" t="s">
        <v>2336</v>
      </c>
      <c r="AD2137" t="s">
        <v>151</v>
      </c>
      <c r="AF2137" t="s">
        <v>113</v>
      </c>
      <c r="AG2137" t="s">
        <v>112</v>
      </c>
      <c r="AH2137" t="s">
        <v>112</v>
      </c>
      <c r="AK2137" t="s">
        <v>111</v>
      </c>
      <c r="AL2137" t="s">
        <v>111</v>
      </c>
      <c r="AM2137" t="s">
        <v>111</v>
      </c>
      <c r="AN2137" t="s">
        <v>105</v>
      </c>
      <c r="AO2137" t="s">
        <v>110</v>
      </c>
      <c r="AP2137" t="s">
        <v>109</v>
      </c>
    </row>
    <row r="2138" spans="1:42" x14ac:dyDescent="0.25">
      <c r="A2138" s="28" t="str">
        <f>"2666"</f>
        <v>2666</v>
      </c>
      <c r="B2138">
        <v>2666</v>
      </c>
      <c r="C2138" t="s">
        <v>2488</v>
      </c>
      <c r="D2138" t="s">
        <v>121</v>
      </c>
      <c r="F2138" t="s">
        <v>120</v>
      </c>
      <c r="G2138" t="s">
        <v>513</v>
      </c>
      <c r="I2138" t="s">
        <v>2701</v>
      </c>
      <c r="J2138" t="s">
        <v>7</v>
      </c>
      <c r="K2138" s="63">
        <v>13304</v>
      </c>
      <c r="L2138" s="28">
        <f>DATEDIF(K2138,Zwift25!G$1,"Y")</f>
        <v>88</v>
      </c>
      <c r="M2138" s="67">
        <f>IF(J2138="m",VLOOKUP(L2138,'All Solo Adjustments'!A:D,4,FALSE),VLOOKUP(L2138,'All Solo Adjustments'!A:J,10,FALSE))</f>
        <v>1.6597222222222222E-2</v>
      </c>
      <c r="N2138" s="63"/>
      <c r="O2138" s="63"/>
      <c r="P2138" s="63"/>
      <c r="Q2138" s="63"/>
      <c r="R2138" t="s">
        <v>137</v>
      </c>
      <c r="S2138" t="s">
        <v>2312</v>
      </c>
      <c r="T2138" t="s">
        <v>292</v>
      </c>
      <c r="U2138" t="s">
        <v>2700</v>
      </c>
      <c r="V2138" t="s">
        <v>2699</v>
      </c>
      <c r="W2138" t="s">
        <v>1009</v>
      </c>
      <c r="X2138" t="s">
        <v>134</v>
      </c>
      <c r="Y2138" t="s">
        <v>2698</v>
      </c>
      <c r="Z2138" t="str">
        <f>"01202 875902"</f>
        <v>01202 875902</v>
      </c>
      <c r="AA2138" t="str">
        <f>""</f>
        <v/>
      </c>
      <c r="AB2138" t="s">
        <v>1797</v>
      </c>
      <c r="AC2138" t="s">
        <v>2697</v>
      </c>
      <c r="AD2138" t="s">
        <v>151</v>
      </c>
      <c r="AF2138" t="s">
        <v>113</v>
      </c>
      <c r="AG2138" t="s">
        <v>112</v>
      </c>
      <c r="AH2138" t="s">
        <v>112</v>
      </c>
      <c r="AI2138" s="63">
        <v>29058</v>
      </c>
      <c r="AK2138" t="s">
        <v>111</v>
      </c>
      <c r="AL2138" t="s">
        <v>111</v>
      </c>
      <c r="AM2138" t="s">
        <v>111</v>
      </c>
      <c r="AN2138" t="s">
        <v>105</v>
      </c>
      <c r="AO2138" t="s">
        <v>110</v>
      </c>
      <c r="AP2138" t="s">
        <v>109</v>
      </c>
    </row>
    <row r="2139" spans="1:42" x14ac:dyDescent="0.25">
      <c r="A2139" s="28" t="str">
        <f>"2669"</f>
        <v>2669</v>
      </c>
      <c r="B2139">
        <v>2669</v>
      </c>
      <c r="C2139" t="s">
        <v>2488</v>
      </c>
      <c r="D2139" t="s">
        <v>121</v>
      </c>
      <c r="F2139" t="s">
        <v>120</v>
      </c>
      <c r="G2139" t="s">
        <v>790</v>
      </c>
      <c r="H2139" t="s">
        <v>760</v>
      </c>
      <c r="I2139" t="s">
        <v>2696</v>
      </c>
      <c r="J2139" t="s">
        <v>7</v>
      </c>
      <c r="K2139" s="63">
        <v>11781</v>
      </c>
      <c r="L2139" s="28">
        <f>DATEDIF(K2139,Zwift25!G$1,"Y")</f>
        <v>92</v>
      </c>
      <c r="M2139" s="67">
        <f>IF(J2139="m",VLOOKUP(L2139,'All Solo Adjustments'!A:D,4,FALSE),VLOOKUP(L2139,'All Solo Adjustments'!A:J,10,FALSE))</f>
        <v>2.0405092592592593E-2</v>
      </c>
      <c r="N2139" s="63"/>
      <c r="O2139" s="63"/>
      <c r="P2139" s="63"/>
      <c r="Q2139" s="63"/>
      <c r="R2139" t="s">
        <v>143</v>
      </c>
      <c r="S2139" t="s">
        <v>487</v>
      </c>
      <c r="T2139" t="s">
        <v>292</v>
      </c>
      <c r="U2139" t="s">
        <v>2695</v>
      </c>
      <c r="V2139" t="s">
        <v>2694</v>
      </c>
      <c r="W2139" t="s">
        <v>167</v>
      </c>
      <c r="Y2139" t="s">
        <v>2693</v>
      </c>
      <c r="Z2139" t="str">
        <f>"0208 543 9593"</f>
        <v>0208 543 9593</v>
      </c>
      <c r="AA2139" t="str">
        <f>""</f>
        <v/>
      </c>
      <c r="AB2139" t="s">
        <v>722</v>
      </c>
      <c r="AC2139" t="s">
        <v>2692</v>
      </c>
      <c r="AD2139" t="s">
        <v>151</v>
      </c>
      <c r="AF2139" t="s">
        <v>113</v>
      </c>
      <c r="AG2139" t="s">
        <v>112</v>
      </c>
      <c r="AH2139" t="s">
        <v>112</v>
      </c>
      <c r="AI2139" s="63">
        <v>32143</v>
      </c>
      <c r="AK2139" t="s">
        <v>111</v>
      </c>
      <c r="AL2139" t="s">
        <v>111</v>
      </c>
      <c r="AM2139" t="s">
        <v>111</v>
      </c>
      <c r="AN2139" t="s">
        <v>105</v>
      </c>
      <c r="AO2139" t="s">
        <v>110</v>
      </c>
      <c r="AP2139" t="s">
        <v>109</v>
      </c>
    </row>
    <row r="2140" spans="1:42" x14ac:dyDescent="0.25">
      <c r="A2140" s="28" t="str">
        <f>"14757"</f>
        <v>14757</v>
      </c>
      <c r="B2140">
        <v>14757</v>
      </c>
      <c r="C2140" t="s">
        <v>2488</v>
      </c>
      <c r="D2140" t="s">
        <v>121</v>
      </c>
      <c r="F2140" t="s">
        <v>120</v>
      </c>
      <c r="G2140" t="s">
        <v>1323</v>
      </c>
      <c r="I2140" t="s">
        <v>2691</v>
      </c>
      <c r="J2140" t="s">
        <v>7</v>
      </c>
      <c r="K2140" s="63">
        <v>25627</v>
      </c>
      <c r="L2140" s="28">
        <f>DATEDIF(K2140,Zwift25!G$1,"Y")</f>
        <v>54</v>
      </c>
      <c r="M2140" s="67">
        <f>IF(J2140="m",VLOOKUP(L2140,'All Solo Adjustments'!A:D,4,FALSE),VLOOKUP(L2140,'All Solo Adjustments'!A:J,10,FALSE))</f>
        <v>1.8518518518518517E-3</v>
      </c>
      <c r="N2140" s="63"/>
      <c r="O2140" s="63"/>
      <c r="P2140" s="63"/>
      <c r="Q2140" s="63"/>
      <c r="R2140" t="s">
        <v>328</v>
      </c>
      <c r="S2140" t="s">
        <v>327</v>
      </c>
      <c r="T2140" t="s">
        <v>292</v>
      </c>
      <c r="U2140" t="s">
        <v>2690</v>
      </c>
      <c r="V2140" t="s">
        <v>2689</v>
      </c>
      <c r="W2140" t="s">
        <v>354</v>
      </c>
      <c r="X2140" t="s">
        <v>810</v>
      </c>
      <c r="Y2140" t="s">
        <v>2688</v>
      </c>
      <c r="Z2140" t="str">
        <f>"07795274994"</f>
        <v>07795274994</v>
      </c>
      <c r="AA2140" t="str">
        <f>""</f>
        <v/>
      </c>
      <c r="AB2140" t="s">
        <v>2687</v>
      </c>
      <c r="AC2140" t="s">
        <v>2686</v>
      </c>
      <c r="AD2140" t="s">
        <v>114</v>
      </c>
      <c r="AE2140" s="63">
        <v>45300</v>
      </c>
      <c r="AF2140" t="s">
        <v>113</v>
      </c>
      <c r="AG2140" t="s">
        <v>112</v>
      </c>
      <c r="AH2140" t="s">
        <v>112</v>
      </c>
      <c r="AI2140" s="63">
        <v>44092</v>
      </c>
      <c r="AJ2140" s="63">
        <v>45657</v>
      </c>
      <c r="AK2140" t="s">
        <v>112</v>
      </c>
      <c r="AL2140" t="s">
        <v>111</v>
      </c>
      <c r="AM2140" t="s">
        <v>111</v>
      </c>
      <c r="AN2140">
        <v>429</v>
      </c>
      <c r="AO2140" t="s">
        <v>110</v>
      </c>
      <c r="AP2140" t="s">
        <v>109</v>
      </c>
    </row>
    <row r="2141" spans="1:42" x14ac:dyDescent="0.25">
      <c r="A2141" s="28" t="str">
        <f>"2670"</f>
        <v>2670</v>
      </c>
      <c r="B2141">
        <v>2670</v>
      </c>
      <c r="C2141" t="s">
        <v>2488</v>
      </c>
      <c r="D2141" t="s">
        <v>121</v>
      </c>
      <c r="F2141" t="s">
        <v>120</v>
      </c>
      <c r="G2141" t="s">
        <v>245</v>
      </c>
      <c r="I2141" t="s">
        <v>2685</v>
      </c>
      <c r="J2141" t="s">
        <v>7</v>
      </c>
      <c r="K2141" s="63">
        <v>17274</v>
      </c>
      <c r="L2141" s="28">
        <f>DATEDIF(K2141,Zwift25!G$1,"Y")</f>
        <v>77</v>
      </c>
      <c r="M2141" s="67">
        <f>IF(J2141="m",VLOOKUP(L2141,'All Solo Adjustments'!A:D,4,FALSE),VLOOKUP(L2141,'All Solo Adjustments'!A:J,10,FALSE))</f>
        <v>9.3981481481481485E-3</v>
      </c>
      <c r="N2141" s="63"/>
      <c r="O2141" s="63"/>
      <c r="P2141" s="63"/>
      <c r="Q2141" s="63"/>
      <c r="R2141" t="s">
        <v>239</v>
      </c>
      <c r="S2141" t="s">
        <v>274</v>
      </c>
      <c r="T2141" t="s">
        <v>292</v>
      </c>
      <c r="U2141" t="s">
        <v>2684</v>
      </c>
      <c r="V2141" t="s">
        <v>1635</v>
      </c>
      <c r="W2141" t="s">
        <v>627</v>
      </c>
      <c r="Y2141" t="s">
        <v>2683</v>
      </c>
      <c r="Z2141" t="str">
        <f>"01132 636212"</f>
        <v>01132 636212</v>
      </c>
      <c r="AA2141" t="str">
        <f>""</f>
        <v/>
      </c>
      <c r="AB2141" t="s">
        <v>868</v>
      </c>
      <c r="AC2141" t="s">
        <v>2682</v>
      </c>
      <c r="AD2141" t="s">
        <v>145</v>
      </c>
      <c r="AE2141" s="63">
        <v>45387</v>
      </c>
      <c r="AF2141" t="s">
        <v>113</v>
      </c>
      <c r="AG2141" t="s">
        <v>112</v>
      </c>
      <c r="AH2141" t="s">
        <v>112</v>
      </c>
      <c r="AI2141" s="63">
        <v>31884</v>
      </c>
      <c r="AJ2141" s="63">
        <v>45657</v>
      </c>
      <c r="AK2141" t="s">
        <v>111</v>
      </c>
      <c r="AL2141" t="s">
        <v>111</v>
      </c>
      <c r="AM2141" t="s">
        <v>111</v>
      </c>
      <c r="AN2141" t="s">
        <v>105</v>
      </c>
      <c r="AO2141" t="s">
        <v>110</v>
      </c>
      <c r="AP2141" t="s">
        <v>109</v>
      </c>
    </row>
    <row r="2142" spans="1:42" x14ac:dyDescent="0.25">
      <c r="A2142" s="28" t="str">
        <f>"14457"</f>
        <v>14457</v>
      </c>
      <c r="B2142">
        <v>14457</v>
      </c>
      <c r="C2142" t="s">
        <v>2488</v>
      </c>
      <c r="D2142" t="s">
        <v>121</v>
      </c>
      <c r="E2142" t="s">
        <v>584</v>
      </c>
      <c r="F2142" t="s">
        <v>120</v>
      </c>
      <c r="G2142" t="s">
        <v>649</v>
      </c>
      <c r="I2142" t="s">
        <v>1036</v>
      </c>
      <c r="J2142" t="s">
        <v>7</v>
      </c>
      <c r="K2142" s="63">
        <v>26645</v>
      </c>
      <c r="L2142" s="28">
        <f>DATEDIF(K2142,Zwift25!G$1,"Y")</f>
        <v>51</v>
      </c>
      <c r="M2142" s="67">
        <f>IF(J2142="m",VLOOKUP(L2142,'All Solo Adjustments'!A:D,4,FALSE),VLOOKUP(L2142,'All Solo Adjustments'!A:J,10,FALSE))</f>
        <v>1.3078703703703703E-3</v>
      </c>
      <c r="N2142" s="63"/>
      <c r="O2142" s="63"/>
      <c r="P2142" s="63"/>
      <c r="Q2142" s="63"/>
      <c r="R2142" t="s">
        <v>213</v>
      </c>
      <c r="S2142" t="s">
        <v>212</v>
      </c>
      <c r="T2142" t="s">
        <v>292</v>
      </c>
      <c r="U2142" t="s">
        <v>2681</v>
      </c>
      <c r="V2142" t="s">
        <v>2680</v>
      </c>
      <c r="W2142" t="s">
        <v>211</v>
      </c>
      <c r="Y2142" t="s">
        <v>2679</v>
      </c>
      <c r="Z2142" t="str">
        <f>"07973617473"</f>
        <v>07973617473</v>
      </c>
      <c r="AA2142" t="str">
        <f>""</f>
        <v/>
      </c>
      <c r="AB2142" t="s">
        <v>2678</v>
      </c>
      <c r="AC2142" t="s">
        <v>2677</v>
      </c>
      <c r="AD2142" t="s">
        <v>114</v>
      </c>
      <c r="AE2142" s="63">
        <v>45271</v>
      </c>
      <c r="AF2142" t="s">
        <v>156</v>
      </c>
      <c r="AG2142" t="s">
        <v>112</v>
      </c>
      <c r="AH2142" t="s">
        <v>112</v>
      </c>
      <c r="AI2142" s="63">
        <v>43860</v>
      </c>
      <c r="AJ2142" s="63">
        <v>45657</v>
      </c>
      <c r="AK2142" t="s">
        <v>112</v>
      </c>
      <c r="AL2142" t="s">
        <v>111</v>
      </c>
      <c r="AM2142" t="s">
        <v>111</v>
      </c>
      <c r="AN2142">
        <v>25800</v>
      </c>
      <c r="AO2142" t="s">
        <v>110</v>
      </c>
      <c r="AP2142" t="s">
        <v>109</v>
      </c>
    </row>
    <row r="2143" spans="1:42" x14ac:dyDescent="0.25">
      <c r="A2143" s="28" t="str">
        <f>"14814"</f>
        <v>14814</v>
      </c>
      <c r="B2143">
        <v>14814</v>
      </c>
      <c r="C2143" t="s">
        <v>2488</v>
      </c>
      <c r="D2143" t="s">
        <v>121</v>
      </c>
      <c r="E2143" t="s">
        <v>584</v>
      </c>
      <c r="F2143" t="s">
        <v>120</v>
      </c>
      <c r="G2143" t="s">
        <v>402</v>
      </c>
      <c r="I2143" t="s">
        <v>2673</v>
      </c>
      <c r="J2143" t="s">
        <v>7</v>
      </c>
      <c r="K2143" s="63">
        <v>28884</v>
      </c>
      <c r="L2143" s="28">
        <f>DATEDIF(K2143,Zwift25!G$1,"Y")</f>
        <v>45</v>
      </c>
      <c r="M2143" s="67">
        <f>IF(J2143="m",VLOOKUP(L2143,'All Solo Adjustments'!A:D,4,FALSE),VLOOKUP(L2143,'All Solo Adjustments'!A:J,10,FALSE))</f>
        <v>4.5138888888888892E-4</v>
      </c>
      <c r="N2143" s="63"/>
      <c r="O2143" s="63"/>
      <c r="P2143" s="63"/>
      <c r="Q2143" s="63"/>
      <c r="R2143" t="s">
        <v>283</v>
      </c>
      <c r="S2143" t="s">
        <v>530</v>
      </c>
      <c r="T2143" t="s">
        <v>292</v>
      </c>
      <c r="U2143" t="s">
        <v>2676</v>
      </c>
      <c r="V2143" t="s">
        <v>1983</v>
      </c>
      <c r="W2143" t="s">
        <v>1983</v>
      </c>
      <c r="X2143" t="s">
        <v>1306</v>
      </c>
      <c r="Y2143" t="s">
        <v>2675</v>
      </c>
      <c r="Z2143" t="str">
        <f>"07717362508"</f>
        <v>07717362508</v>
      </c>
      <c r="AA2143" t="str">
        <f>""</f>
        <v/>
      </c>
      <c r="AB2143" t="s">
        <v>1321</v>
      </c>
      <c r="AC2143" t="s">
        <v>2674</v>
      </c>
      <c r="AD2143" t="s">
        <v>114</v>
      </c>
      <c r="AE2143" s="63">
        <v>45208</v>
      </c>
      <c r="AF2143" t="s">
        <v>156</v>
      </c>
      <c r="AG2143" t="s">
        <v>112</v>
      </c>
      <c r="AH2143" t="s">
        <v>112</v>
      </c>
      <c r="AI2143" s="63">
        <v>44203</v>
      </c>
      <c r="AJ2143" s="63">
        <v>45657</v>
      </c>
      <c r="AK2143" t="s">
        <v>112</v>
      </c>
      <c r="AL2143" t="s">
        <v>111</v>
      </c>
      <c r="AM2143" t="s">
        <v>111</v>
      </c>
      <c r="AN2143">
        <v>10962</v>
      </c>
      <c r="AO2143" t="s">
        <v>110</v>
      </c>
      <c r="AP2143" t="s">
        <v>109</v>
      </c>
    </row>
    <row r="2144" spans="1:42" x14ac:dyDescent="0.25">
      <c r="A2144" s="28" t="str">
        <f>"15089"</f>
        <v>15089</v>
      </c>
      <c r="B2144">
        <v>15089</v>
      </c>
      <c r="C2144" t="s">
        <v>2488</v>
      </c>
      <c r="D2144" t="s">
        <v>121</v>
      </c>
      <c r="F2144" t="s">
        <v>120</v>
      </c>
      <c r="G2144" t="s">
        <v>359</v>
      </c>
      <c r="I2144" t="s">
        <v>2673</v>
      </c>
      <c r="J2144" t="s">
        <v>7</v>
      </c>
      <c r="K2144" s="63">
        <v>29299</v>
      </c>
      <c r="L2144" s="28">
        <f>DATEDIF(K2144,Zwift25!G$1,"Y")</f>
        <v>44</v>
      </c>
      <c r="M2144" s="67">
        <f>IF(J2144="m",VLOOKUP(L2144,'All Solo Adjustments'!A:D,4,FALSE),VLOOKUP(L2144,'All Solo Adjustments'!A:J,10,FALSE))</f>
        <v>3.3564814814814818E-4</v>
      </c>
      <c r="N2144" s="63"/>
      <c r="O2144" s="63"/>
      <c r="P2144" s="63"/>
      <c r="Q2144" s="63"/>
      <c r="R2144" t="s">
        <v>184</v>
      </c>
      <c r="S2144" t="s">
        <v>183</v>
      </c>
      <c r="T2144" t="s">
        <v>292</v>
      </c>
      <c r="U2144" t="s">
        <v>2672</v>
      </c>
      <c r="W2144" t="s">
        <v>2671</v>
      </c>
      <c r="X2144" t="s">
        <v>828</v>
      </c>
      <c r="Y2144" t="s">
        <v>2670</v>
      </c>
      <c r="Z2144" t="str">
        <f>"07866454955"</f>
        <v>07866454955</v>
      </c>
      <c r="AA2144" t="str">
        <f>""</f>
        <v/>
      </c>
      <c r="AB2144" t="s">
        <v>346</v>
      </c>
      <c r="AC2144" t="s">
        <v>2669</v>
      </c>
      <c r="AD2144" t="s">
        <v>114</v>
      </c>
      <c r="AE2144" s="63">
        <v>45262</v>
      </c>
      <c r="AF2144" t="s">
        <v>156</v>
      </c>
      <c r="AG2144" t="s">
        <v>112</v>
      </c>
      <c r="AH2144" t="s">
        <v>112</v>
      </c>
      <c r="AI2144" s="63">
        <v>44342</v>
      </c>
      <c r="AJ2144" s="63">
        <v>45657</v>
      </c>
      <c r="AK2144" t="s">
        <v>112</v>
      </c>
      <c r="AL2144" t="s">
        <v>111</v>
      </c>
      <c r="AM2144" t="s">
        <v>111</v>
      </c>
      <c r="AN2144">
        <v>37432</v>
      </c>
      <c r="AO2144" t="s">
        <v>110</v>
      </c>
      <c r="AP2144" t="s">
        <v>109</v>
      </c>
    </row>
    <row r="2145" spans="1:42" x14ac:dyDescent="0.25">
      <c r="A2145" s="28" t="str">
        <f>"4019"</f>
        <v>4019</v>
      </c>
      <c r="B2145">
        <v>4019</v>
      </c>
      <c r="C2145" t="s">
        <v>2488</v>
      </c>
      <c r="D2145" t="s">
        <v>121</v>
      </c>
      <c r="E2145" t="s">
        <v>584</v>
      </c>
      <c r="F2145" t="s">
        <v>120</v>
      </c>
      <c r="G2145" t="s">
        <v>165</v>
      </c>
      <c r="H2145" t="s">
        <v>705</v>
      </c>
      <c r="I2145" t="s">
        <v>2668</v>
      </c>
      <c r="J2145" t="s">
        <v>7</v>
      </c>
      <c r="K2145" s="63">
        <v>24194</v>
      </c>
      <c r="L2145" s="28">
        <f>DATEDIF(K2145,Zwift25!G$1,"Y")</f>
        <v>58</v>
      </c>
      <c r="M2145" s="67">
        <f>IF(J2145="m",VLOOKUP(L2145,'All Solo Adjustments'!A:D,4,FALSE),VLOOKUP(L2145,'All Solo Adjustments'!A:J,10,FALSE))</f>
        <v>2.7199074074074074E-3</v>
      </c>
      <c r="N2145" s="63"/>
      <c r="O2145" s="63"/>
      <c r="P2145" s="63"/>
      <c r="Q2145" s="63"/>
      <c r="R2145" t="s">
        <v>125</v>
      </c>
      <c r="S2145" t="s">
        <v>170</v>
      </c>
      <c r="T2145" t="s">
        <v>292</v>
      </c>
      <c r="U2145" t="s">
        <v>2667</v>
      </c>
      <c r="V2145" t="s">
        <v>2666</v>
      </c>
      <c r="W2145" t="s">
        <v>591</v>
      </c>
      <c r="X2145" t="s">
        <v>752</v>
      </c>
      <c r="Y2145" t="s">
        <v>2665</v>
      </c>
      <c r="Z2145" t="str">
        <f>"07765055943"</f>
        <v>07765055943</v>
      </c>
      <c r="AA2145" t="str">
        <f>""</f>
        <v/>
      </c>
      <c r="AB2145" t="s">
        <v>2664</v>
      </c>
      <c r="AC2145" t="s">
        <v>2663</v>
      </c>
      <c r="AD2145" t="s">
        <v>114</v>
      </c>
      <c r="AE2145" s="63">
        <v>45289</v>
      </c>
      <c r="AF2145" t="s">
        <v>156</v>
      </c>
      <c r="AG2145" t="s">
        <v>112</v>
      </c>
      <c r="AH2145" t="s">
        <v>112</v>
      </c>
      <c r="AI2145" s="63">
        <v>40373</v>
      </c>
      <c r="AJ2145" s="63">
        <v>45657</v>
      </c>
      <c r="AK2145" t="s">
        <v>111</v>
      </c>
      <c r="AL2145" t="s">
        <v>111</v>
      </c>
      <c r="AM2145" t="s">
        <v>111</v>
      </c>
      <c r="AN2145">
        <v>2666</v>
      </c>
      <c r="AO2145" t="s">
        <v>110</v>
      </c>
      <c r="AP2145" t="s">
        <v>109</v>
      </c>
    </row>
    <row r="2146" spans="1:42" x14ac:dyDescent="0.25">
      <c r="A2146" s="28" t="str">
        <f>"2675"</f>
        <v>2675</v>
      </c>
      <c r="B2146">
        <v>2675</v>
      </c>
      <c r="C2146" t="s">
        <v>2488</v>
      </c>
      <c r="D2146" t="s">
        <v>121</v>
      </c>
      <c r="F2146" t="s">
        <v>120</v>
      </c>
      <c r="G2146" t="s">
        <v>234</v>
      </c>
      <c r="I2146" t="s">
        <v>1030</v>
      </c>
      <c r="J2146" t="s">
        <v>7</v>
      </c>
      <c r="K2146" s="63">
        <v>16820</v>
      </c>
      <c r="L2146" s="28">
        <f>DATEDIF(K2146,Zwift25!G$1,"Y")</f>
        <v>78</v>
      </c>
      <c r="M2146" s="67">
        <f>IF(J2146="m",VLOOKUP(L2146,'All Solo Adjustments'!A:D,4,FALSE),VLOOKUP(L2146,'All Solo Adjustments'!A:J,10,FALSE))</f>
        <v>9.9189814814814817E-3</v>
      </c>
      <c r="N2146" s="63"/>
      <c r="O2146" s="63"/>
      <c r="P2146" s="63"/>
      <c r="Q2146" s="63"/>
      <c r="R2146" t="s">
        <v>137</v>
      </c>
      <c r="S2146" t="s">
        <v>136</v>
      </c>
      <c r="T2146" t="s">
        <v>292</v>
      </c>
      <c r="U2146" t="s">
        <v>2662</v>
      </c>
      <c r="V2146" t="s">
        <v>2661</v>
      </c>
      <c r="W2146" t="s">
        <v>1059</v>
      </c>
      <c r="Y2146" t="s">
        <v>2660</v>
      </c>
      <c r="Z2146" t="str">
        <f>"01373864431"</f>
        <v>01373864431</v>
      </c>
      <c r="AA2146" t="str">
        <f>""</f>
        <v/>
      </c>
      <c r="AB2146" t="s">
        <v>2117</v>
      </c>
      <c r="AC2146" t="s">
        <v>2659</v>
      </c>
      <c r="AD2146" t="s">
        <v>114</v>
      </c>
      <c r="AE2146" s="63">
        <v>45326</v>
      </c>
      <c r="AF2146" t="s">
        <v>113</v>
      </c>
      <c r="AG2146" t="s">
        <v>112</v>
      </c>
      <c r="AH2146" t="s">
        <v>112</v>
      </c>
      <c r="AI2146" s="63">
        <v>33970</v>
      </c>
      <c r="AJ2146" s="63">
        <v>45657</v>
      </c>
      <c r="AK2146" t="s">
        <v>111</v>
      </c>
      <c r="AL2146" t="s">
        <v>111</v>
      </c>
      <c r="AM2146" t="s">
        <v>111</v>
      </c>
      <c r="AN2146">
        <v>5760</v>
      </c>
      <c r="AO2146" t="s">
        <v>110</v>
      </c>
      <c r="AP2146" t="s">
        <v>109</v>
      </c>
    </row>
    <row r="2147" spans="1:42" x14ac:dyDescent="0.25">
      <c r="A2147" s="28" t="str">
        <f>"14265"</f>
        <v>14265</v>
      </c>
      <c r="B2147">
        <v>14265</v>
      </c>
      <c r="C2147" t="s">
        <v>2488</v>
      </c>
      <c r="D2147" t="s">
        <v>132</v>
      </c>
      <c r="F2147" t="s">
        <v>120</v>
      </c>
      <c r="G2147" t="s">
        <v>402</v>
      </c>
      <c r="H2147" t="s">
        <v>359</v>
      </c>
      <c r="I2147" t="s">
        <v>2656</v>
      </c>
      <c r="J2147" t="s">
        <v>7</v>
      </c>
      <c r="K2147" s="63">
        <v>22895</v>
      </c>
      <c r="L2147" s="28">
        <f>DATEDIF(K2147,Zwift25!G$1,"Y")</f>
        <v>62</v>
      </c>
      <c r="M2147" s="67">
        <f>IF(J2147="m",VLOOKUP(L2147,'All Solo Adjustments'!A:D,4,FALSE),VLOOKUP(L2147,'All Solo Adjustments'!A:J,10,FALSE))</f>
        <v>3.7384259259259259E-3</v>
      </c>
      <c r="N2147" s="63"/>
      <c r="O2147" s="63"/>
      <c r="P2147" s="63"/>
      <c r="Q2147" s="63"/>
      <c r="R2147" t="s">
        <v>239</v>
      </c>
      <c r="S2147" t="s">
        <v>238</v>
      </c>
      <c r="T2147" t="s">
        <v>292</v>
      </c>
      <c r="U2147" t="s">
        <v>2655</v>
      </c>
      <c r="V2147" t="s">
        <v>2654</v>
      </c>
      <c r="Y2147" t="s">
        <v>2653</v>
      </c>
      <c r="Z2147" t="str">
        <f>"01937 919276"</f>
        <v>01937 919276</v>
      </c>
      <c r="AA2147" t="str">
        <f>""</f>
        <v/>
      </c>
      <c r="AB2147" t="s">
        <v>2658</v>
      </c>
      <c r="AC2147" t="s">
        <v>2657</v>
      </c>
      <c r="AD2147" t="s">
        <v>114</v>
      </c>
      <c r="AE2147" s="63">
        <v>45297</v>
      </c>
      <c r="AF2147" t="s">
        <v>113</v>
      </c>
      <c r="AG2147" t="s">
        <v>112</v>
      </c>
      <c r="AH2147" t="s">
        <v>112</v>
      </c>
      <c r="AI2147" s="63">
        <v>43624</v>
      </c>
      <c r="AJ2147" s="63">
        <v>45657</v>
      </c>
      <c r="AK2147" t="s">
        <v>112</v>
      </c>
      <c r="AL2147" t="s">
        <v>111</v>
      </c>
      <c r="AM2147" t="s">
        <v>111</v>
      </c>
      <c r="AN2147">
        <v>18473</v>
      </c>
      <c r="AO2147" t="s">
        <v>110</v>
      </c>
      <c r="AP2147" t="s">
        <v>109</v>
      </c>
    </row>
    <row r="2148" spans="1:42" x14ac:dyDescent="0.25">
      <c r="A2148" s="28" t="str">
        <f>"14266"</f>
        <v>14266</v>
      </c>
      <c r="B2148">
        <v>14266</v>
      </c>
      <c r="C2148" t="s">
        <v>2488</v>
      </c>
      <c r="D2148" t="s">
        <v>130</v>
      </c>
      <c r="F2148" t="s">
        <v>120</v>
      </c>
      <c r="G2148" t="s">
        <v>1451</v>
      </c>
      <c r="H2148" t="s">
        <v>595</v>
      </c>
      <c r="I2148" t="s">
        <v>2656</v>
      </c>
      <c r="J2148" t="s">
        <v>126</v>
      </c>
      <c r="K2148" s="63">
        <v>24032</v>
      </c>
      <c r="L2148" s="28">
        <f>DATEDIF(K2148,Zwift25!G$1,"Y")</f>
        <v>58</v>
      </c>
      <c r="M2148" s="67">
        <f>IF(J2148="m",VLOOKUP(L2148,'All Solo Adjustments'!A:D,4,FALSE),VLOOKUP(L2148,'All Solo Adjustments'!A:J,10,FALSE))</f>
        <v>6.3194444444444444E-3</v>
      </c>
      <c r="N2148" s="63"/>
      <c r="O2148" s="63"/>
      <c r="P2148" s="63"/>
      <c r="Q2148" s="63"/>
      <c r="R2148" t="s">
        <v>239</v>
      </c>
      <c r="S2148" t="s">
        <v>238</v>
      </c>
      <c r="T2148" t="s">
        <v>292</v>
      </c>
      <c r="U2148" t="s">
        <v>2655</v>
      </c>
      <c r="V2148" t="s">
        <v>2654</v>
      </c>
      <c r="Y2148" t="s">
        <v>2653</v>
      </c>
      <c r="Z2148" t="str">
        <f>"01937 919276"</f>
        <v>01937 919276</v>
      </c>
      <c r="AA2148" t="str">
        <f>""</f>
        <v/>
      </c>
      <c r="AB2148" t="s">
        <v>1440</v>
      </c>
      <c r="AC2148" t="s">
        <v>2652</v>
      </c>
      <c r="AD2148" t="s">
        <v>114</v>
      </c>
      <c r="AE2148" s="63">
        <v>45297</v>
      </c>
      <c r="AF2148" t="s">
        <v>113</v>
      </c>
      <c r="AG2148" t="s">
        <v>112</v>
      </c>
      <c r="AH2148" t="s">
        <v>112</v>
      </c>
      <c r="AI2148" s="63">
        <v>43624</v>
      </c>
      <c r="AJ2148" s="63">
        <v>45657</v>
      </c>
      <c r="AK2148" t="s">
        <v>112</v>
      </c>
      <c r="AL2148" t="s">
        <v>111</v>
      </c>
      <c r="AM2148" t="s">
        <v>111</v>
      </c>
      <c r="AN2148" t="s">
        <v>105</v>
      </c>
      <c r="AO2148" t="s">
        <v>122</v>
      </c>
      <c r="AP2148" t="s">
        <v>122</v>
      </c>
    </row>
    <row r="2149" spans="1:42" x14ac:dyDescent="0.25">
      <c r="A2149" s="28" t="str">
        <f>"6044"</f>
        <v>6044</v>
      </c>
      <c r="B2149">
        <v>6044</v>
      </c>
      <c r="C2149" t="s">
        <v>2488</v>
      </c>
      <c r="D2149" t="s">
        <v>121</v>
      </c>
      <c r="F2149" t="s">
        <v>120</v>
      </c>
      <c r="G2149" t="s">
        <v>1104</v>
      </c>
      <c r="I2149" t="s">
        <v>2651</v>
      </c>
      <c r="J2149" t="s">
        <v>7</v>
      </c>
      <c r="K2149" s="63">
        <v>19236</v>
      </c>
      <c r="L2149" s="28">
        <f>DATEDIF(K2149,Zwift25!G$1,"Y")</f>
        <v>72</v>
      </c>
      <c r="M2149" s="67">
        <f>IF(J2149="m",VLOOKUP(L2149,'All Solo Adjustments'!A:D,4,FALSE),VLOOKUP(L2149,'All Solo Adjustments'!A:J,10,FALSE))</f>
        <v>7.129629629629629E-3</v>
      </c>
      <c r="N2149" s="63"/>
      <c r="O2149" s="63"/>
      <c r="P2149" s="63"/>
      <c r="Q2149" s="63"/>
      <c r="R2149" t="s">
        <v>118</v>
      </c>
      <c r="S2149" t="s">
        <v>117</v>
      </c>
      <c r="T2149" t="s">
        <v>292</v>
      </c>
      <c r="U2149" t="s">
        <v>2650</v>
      </c>
      <c r="V2149" t="s">
        <v>2649</v>
      </c>
      <c r="W2149" t="s">
        <v>1170</v>
      </c>
      <c r="X2149" t="s">
        <v>968</v>
      </c>
      <c r="Y2149" t="s">
        <v>2648</v>
      </c>
      <c r="Z2149" t="str">
        <f>"07942 318223"</f>
        <v>07942 318223</v>
      </c>
      <c r="AA2149" t="str">
        <f>""</f>
        <v/>
      </c>
      <c r="AB2149" t="s">
        <v>2074</v>
      </c>
      <c r="AC2149" t="s">
        <v>2647</v>
      </c>
      <c r="AD2149" t="s">
        <v>114</v>
      </c>
      <c r="AE2149" s="63">
        <v>45293</v>
      </c>
      <c r="AF2149" t="s">
        <v>156</v>
      </c>
      <c r="AG2149" t="s">
        <v>112</v>
      </c>
      <c r="AH2149" t="s">
        <v>112</v>
      </c>
      <c r="AI2149" s="63">
        <v>42736</v>
      </c>
      <c r="AJ2149" s="63">
        <v>45657</v>
      </c>
      <c r="AK2149" t="s">
        <v>111</v>
      </c>
      <c r="AL2149" t="s">
        <v>111</v>
      </c>
      <c r="AM2149" t="s">
        <v>111</v>
      </c>
      <c r="AN2149">
        <v>4427</v>
      </c>
      <c r="AO2149" t="s">
        <v>110</v>
      </c>
      <c r="AP2149" t="s">
        <v>109</v>
      </c>
    </row>
    <row r="2150" spans="1:42" x14ac:dyDescent="0.25">
      <c r="A2150" s="28" t="str">
        <f>"4686"</f>
        <v>4686</v>
      </c>
      <c r="B2150">
        <v>4686</v>
      </c>
      <c r="C2150" t="s">
        <v>2488</v>
      </c>
      <c r="D2150" t="s">
        <v>121</v>
      </c>
      <c r="F2150" t="s">
        <v>120</v>
      </c>
      <c r="G2150" t="s">
        <v>614</v>
      </c>
      <c r="I2150" t="s">
        <v>2646</v>
      </c>
      <c r="J2150" t="s">
        <v>7</v>
      </c>
      <c r="K2150" s="63">
        <v>16965</v>
      </c>
      <c r="L2150" s="28">
        <f>DATEDIF(K2150,Zwift25!G$1,"Y")</f>
        <v>78</v>
      </c>
      <c r="M2150" s="67">
        <f>IF(J2150="m",VLOOKUP(L2150,'All Solo Adjustments'!A:D,4,FALSE),VLOOKUP(L2150,'All Solo Adjustments'!A:J,10,FALSE))</f>
        <v>9.9189814814814817E-3</v>
      </c>
      <c r="N2150" s="63"/>
      <c r="O2150" s="63"/>
      <c r="P2150" s="63"/>
      <c r="Q2150" s="63"/>
      <c r="R2150" t="s">
        <v>198</v>
      </c>
      <c r="S2150" t="s">
        <v>461</v>
      </c>
      <c r="T2150" t="s">
        <v>292</v>
      </c>
      <c r="U2150" t="s">
        <v>2645</v>
      </c>
      <c r="V2150" t="s">
        <v>1040</v>
      </c>
      <c r="W2150" t="s">
        <v>1039</v>
      </c>
      <c r="Y2150" t="s">
        <v>2644</v>
      </c>
      <c r="Z2150" t="str">
        <f>"0161 336 4204"</f>
        <v>0161 336 4204</v>
      </c>
      <c r="AA2150" t="str">
        <f>"07765 834161"</f>
        <v>07765 834161</v>
      </c>
      <c r="AB2150" t="s">
        <v>2643</v>
      </c>
      <c r="AC2150" t="s">
        <v>2642</v>
      </c>
      <c r="AD2150" t="s">
        <v>145</v>
      </c>
      <c r="AE2150" s="63">
        <v>45299</v>
      </c>
      <c r="AF2150" t="s">
        <v>113</v>
      </c>
      <c r="AG2150" t="s">
        <v>112</v>
      </c>
      <c r="AH2150" t="s">
        <v>112</v>
      </c>
      <c r="AI2150" s="63">
        <v>41320</v>
      </c>
      <c r="AJ2150" s="63">
        <v>45657</v>
      </c>
      <c r="AK2150" t="s">
        <v>111</v>
      </c>
      <c r="AL2150" t="s">
        <v>111</v>
      </c>
      <c r="AM2150" t="s">
        <v>111</v>
      </c>
      <c r="AN2150" t="s">
        <v>105</v>
      </c>
      <c r="AO2150" t="s">
        <v>110</v>
      </c>
      <c r="AP2150" t="s">
        <v>109</v>
      </c>
    </row>
    <row r="2151" spans="1:42" x14ac:dyDescent="0.25">
      <c r="A2151" s="28" t="str">
        <f>"13951"</f>
        <v>13951</v>
      </c>
      <c r="B2151">
        <v>13951</v>
      </c>
      <c r="C2151" t="s">
        <v>2488</v>
      </c>
      <c r="D2151" t="s">
        <v>121</v>
      </c>
      <c r="F2151" t="s">
        <v>120</v>
      </c>
      <c r="G2151" t="s">
        <v>481</v>
      </c>
      <c r="I2151" t="s">
        <v>2641</v>
      </c>
      <c r="J2151" t="s">
        <v>7</v>
      </c>
      <c r="K2151" s="63">
        <v>20270</v>
      </c>
      <c r="L2151" s="28">
        <f>DATEDIF(K2151,Zwift25!G$1,"Y")</f>
        <v>69</v>
      </c>
      <c r="M2151" s="67">
        <f>IF(J2151="m",VLOOKUP(L2151,'All Solo Adjustments'!A:D,4,FALSE),VLOOKUP(L2151,'All Solo Adjustments'!A:J,10,FALSE))</f>
        <v>5.9722222222222225E-3</v>
      </c>
      <c r="N2151" s="63"/>
      <c r="O2151" s="63"/>
      <c r="P2151" s="63"/>
      <c r="Q2151" s="63"/>
      <c r="R2151" t="s">
        <v>328</v>
      </c>
      <c r="S2151" t="s">
        <v>327</v>
      </c>
      <c r="T2151" t="s">
        <v>292</v>
      </c>
      <c r="U2151" t="s">
        <v>2640</v>
      </c>
      <c r="V2151" t="s">
        <v>1502</v>
      </c>
      <c r="W2151" t="s">
        <v>326</v>
      </c>
      <c r="Y2151" t="s">
        <v>2639</v>
      </c>
      <c r="Z2151" t="str">
        <f>"07866 369609"</f>
        <v>07866 369609</v>
      </c>
      <c r="AA2151" t="str">
        <f>""</f>
        <v/>
      </c>
      <c r="AB2151" t="s">
        <v>2638</v>
      </c>
      <c r="AC2151" t="s">
        <v>2637</v>
      </c>
      <c r="AD2151" t="s">
        <v>114</v>
      </c>
      <c r="AE2151" s="63">
        <v>45292</v>
      </c>
      <c r="AF2151" t="s">
        <v>156</v>
      </c>
      <c r="AG2151" t="s">
        <v>112</v>
      </c>
      <c r="AH2151" t="s">
        <v>112</v>
      </c>
      <c r="AI2151" s="63">
        <v>43466</v>
      </c>
      <c r="AJ2151" s="63">
        <v>45657</v>
      </c>
      <c r="AK2151" t="s">
        <v>112</v>
      </c>
      <c r="AL2151" t="s">
        <v>111</v>
      </c>
      <c r="AM2151" t="s">
        <v>111</v>
      </c>
      <c r="AN2151">
        <v>36676</v>
      </c>
      <c r="AO2151" t="s">
        <v>110</v>
      </c>
      <c r="AP2151" t="s">
        <v>109</v>
      </c>
    </row>
    <row r="2152" spans="1:42" x14ac:dyDescent="0.25">
      <c r="A2152" s="28" t="str">
        <f>"14777"</f>
        <v>14777</v>
      </c>
      <c r="B2152">
        <v>14777</v>
      </c>
      <c r="C2152" t="s">
        <v>2488</v>
      </c>
      <c r="D2152" t="s">
        <v>121</v>
      </c>
      <c r="F2152" t="s">
        <v>120</v>
      </c>
      <c r="G2152" t="s">
        <v>370</v>
      </c>
      <c r="H2152" t="s">
        <v>410</v>
      </c>
      <c r="I2152" t="s">
        <v>2636</v>
      </c>
      <c r="J2152" t="s">
        <v>7</v>
      </c>
      <c r="K2152" s="63">
        <v>22129</v>
      </c>
      <c r="L2152" s="28">
        <f>DATEDIF(K2152,Zwift25!G$1,"Y")</f>
        <v>64</v>
      </c>
      <c r="M2152" s="67">
        <f>IF(J2152="m",VLOOKUP(L2152,'All Solo Adjustments'!A:D,4,FALSE),VLOOKUP(L2152,'All Solo Adjustments'!A:J,10,FALSE))</f>
        <v>4.31712962962963E-3</v>
      </c>
      <c r="N2152" s="63"/>
      <c r="O2152" s="63"/>
      <c r="P2152" s="63"/>
      <c r="Q2152" s="63"/>
      <c r="R2152" t="s">
        <v>125</v>
      </c>
      <c r="S2152" t="s">
        <v>170</v>
      </c>
      <c r="T2152" t="s">
        <v>292</v>
      </c>
      <c r="U2152" t="s">
        <v>2635</v>
      </c>
      <c r="V2152" t="s">
        <v>2634</v>
      </c>
      <c r="W2152" t="s">
        <v>2633</v>
      </c>
      <c r="X2152" t="s">
        <v>303</v>
      </c>
      <c r="Y2152" t="s">
        <v>2632</v>
      </c>
      <c r="Z2152" t="str">
        <f>"07977925478"</f>
        <v>07977925478</v>
      </c>
      <c r="AA2152" t="str">
        <f>"01953789532"</f>
        <v>01953789532</v>
      </c>
      <c r="AB2152" t="s">
        <v>2631</v>
      </c>
      <c r="AC2152" t="s">
        <v>2630</v>
      </c>
      <c r="AD2152" t="s">
        <v>114</v>
      </c>
      <c r="AE2152" s="63">
        <v>45290</v>
      </c>
      <c r="AF2152" t="s">
        <v>113</v>
      </c>
      <c r="AG2152" t="s">
        <v>112</v>
      </c>
      <c r="AH2152" t="s">
        <v>112</v>
      </c>
      <c r="AI2152" s="63">
        <v>44135</v>
      </c>
      <c r="AJ2152" s="63">
        <v>45657</v>
      </c>
      <c r="AK2152" t="s">
        <v>112</v>
      </c>
      <c r="AL2152" t="s">
        <v>111</v>
      </c>
      <c r="AM2152" t="s">
        <v>111</v>
      </c>
      <c r="AN2152">
        <v>36601</v>
      </c>
      <c r="AO2152" t="s">
        <v>110</v>
      </c>
      <c r="AP2152" t="s">
        <v>109</v>
      </c>
    </row>
    <row r="2153" spans="1:42" x14ac:dyDescent="0.25">
      <c r="A2153" s="28" t="str">
        <f>"2683"</f>
        <v>2683</v>
      </c>
      <c r="B2153">
        <v>2683</v>
      </c>
      <c r="C2153" t="s">
        <v>2488</v>
      </c>
      <c r="D2153" t="s">
        <v>121</v>
      </c>
      <c r="F2153" t="s">
        <v>120</v>
      </c>
      <c r="G2153" t="s">
        <v>220</v>
      </c>
      <c r="H2153" t="s">
        <v>284</v>
      </c>
      <c r="I2153" t="s">
        <v>2629</v>
      </c>
      <c r="J2153" t="s">
        <v>7</v>
      </c>
      <c r="K2153" s="63">
        <v>16200</v>
      </c>
      <c r="L2153" s="28">
        <f>DATEDIF(K2153,Zwift25!G$1,"Y")</f>
        <v>80</v>
      </c>
      <c r="M2153" s="67">
        <f>IF(J2153="m",VLOOKUP(L2153,'All Solo Adjustments'!A:D,4,FALSE),VLOOKUP(L2153,'All Solo Adjustments'!A:J,10,FALSE))</f>
        <v>1.1018518518518518E-2</v>
      </c>
      <c r="N2153" s="63"/>
      <c r="O2153" s="63"/>
      <c r="P2153" s="63"/>
      <c r="Q2153" s="63"/>
      <c r="R2153" t="s">
        <v>198</v>
      </c>
      <c r="S2153" t="s">
        <v>461</v>
      </c>
      <c r="T2153" t="s">
        <v>292</v>
      </c>
      <c r="U2153" t="s">
        <v>2628</v>
      </c>
      <c r="V2153" t="s">
        <v>1004</v>
      </c>
      <c r="W2153" t="s">
        <v>196</v>
      </c>
      <c r="Y2153" t="s">
        <v>2627</v>
      </c>
      <c r="Z2153" t="str">
        <f>"01625 615186"</f>
        <v>01625 615186</v>
      </c>
      <c r="AA2153" t="str">
        <f>"+447707742402"</f>
        <v>+447707742402</v>
      </c>
      <c r="AB2153" t="s">
        <v>1003</v>
      </c>
      <c r="AC2153" t="s">
        <v>2626</v>
      </c>
      <c r="AD2153" t="s">
        <v>114</v>
      </c>
      <c r="AE2153" s="63">
        <v>45279</v>
      </c>
      <c r="AF2153" t="s">
        <v>113</v>
      </c>
      <c r="AG2153" t="s">
        <v>112</v>
      </c>
      <c r="AH2153" t="s">
        <v>112</v>
      </c>
      <c r="AI2153" s="63">
        <v>35581</v>
      </c>
      <c r="AJ2153" s="63">
        <v>45657</v>
      </c>
      <c r="AK2153" t="s">
        <v>111</v>
      </c>
      <c r="AL2153" t="s">
        <v>111</v>
      </c>
      <c r="AM2153" t="s">
        <v>111</v>
      </c>
      <c r="AN2153" t="s">
        <v>105</v>
      </c>
      <c r="AO2153" t="s">
        <v>110</v>
      </c>
      <c r="AP2153" t="s">
        <v>109</v>
      </c>
    </row>
    <row r="2154" spans="1:42" x14ac:dyDescent="0.25">
      <c r="A2154" s="28" t="str">
        <f>"6166"</f>
        <v>6166</v>
      </c>
      <c r="B2154">
        <v>6166</v>
      </c>
      <c r="C2154" t="s">
        <v>2488</v>
      </c>
      <c r="D2154" t="s">
        <v>121</v>
      </c>
      <c r="F2154" t="s">
        <v>120</v>
      </c>
      <c r="G2154" t="s">
        <v>601</v>
      </c>
      <c r="I2154" t="s">
        <v>163</v>
      </c>
      <c r="J2154" t="s">
        <v>7</v>
      </c>
      <c r="K2154" s="63">
        <v>24748</v>
      </c>
      <c r="L2154" s="28">
        <f>DATEDIF(K2154,Zwift25!G$1,"Y")</f>
        <v>57</v>
      </c>
      <c r="M2154" s="67">
        <f>IF(J2154="m",VLOOKUP(L2154,'All Solo Adjustments'!A:D,4,FALSE),VLOOKUP(L2154,'All Solo Adjustments'!A:J,10,FALSE))</f>
        <v>2.488425925925926E-3</v>
      </c>
      <c r="N2154" s="63"/>
      <c r="O2154" s="63"/>
      <c r="P2154" s="63"/>
      <c r="Q2154" s="63"/>
      <c r="R2154" t="s">
        <v>180</v>
      </c>
      <c r="S2154" t="s">
        <v>179</v>
      </c>
      <c r="T2154" t="s">
        <v>292</v>
      </c>
      <c r="U2154" t="s">
        <v>2625</v>
      </c>
      <c r="V2154" t="s">
        <v>926</v>
      </c>
      <c r="Y2154" t="s">
        <v>2624</v>
      </c>
      <c r="Z2154" t="str">
        <f>"07740 719867"</f>
        <v>07740 719867</v>
      </c>
      <c r="AA2154" t="str">
        <f>""</f>
        <v/>
      </c>
      <c r="AB2154" t="s">
        <v>2623</v>
      </c>
      <c r="AC2154" t="s">
        <v>2622</v>
      </c>
      <c r="AD2154" t="s">
        <v>114</v>
      </c>
      <c r="AE2154" s="63">
        <v>45320</v>
      </c>
      <c r="AF2154" t="s">
        <v>156</v>
      </c>
      <c r="AG2154" t="s">
        <v>112</v>
      </c>
      <c r="AH2154" t="s">
        <v>112</v>
      </c>
      <c r="AI2154" s="63">
        <v>42831</v>
      </c>
      <c r="AJ2154" s="63">
        <v>45657</v>
      </c>
      <c r="AK2154" t="s">
        <v>111</v>
      </c>
      <c r="AL2154" t="s">
        <v>111</v>
      </c>
      <c r="AM2154" t="s">
        <v>111</v>
      </c>
      <c r="AN2154">
        <v>4436</v>
      </c>
      <c r="AO2154" t="s">
        <v>110</v>
      </c>
      <c r="AP2154" t="s">
        <v>109</v>
      </c>
    </row>
    <row r="2155" spans="1:42" x14ac:dyDescent="0.25">
      <c r="A2155" s="28" t="str">
        <f>"2693"</f>
        <v>2693</v>
      </c>
      <c r="B2155">
        <v>2693</v>
      </c>
      <c r="C2155" t="s">
        <v>2488</v>
      </c>
      <c r="D2155" t="s">
        <v>121</v>
      </c>
      <c r="F2155" t="s">
        <v>120</v>
      </c>
      <c r="G2155" t="s">
        <v>241</v>
      </c>
      <c r="I2155" t="s">
        <v>163</v>
      </c>
      <c r="J2155" t="s">
        <v>7</v>
      </c>
      <c r="K2155" s="63">
        <v>14405</v>
      </c>
      <c r="L2155" s="28">
        <f>DATEDIF(K2155,Zwift25!G$1,"Y")</f>
        <v>85</v>
      </c>
      <c r="M2155" s="67">
        <f>IF(J2155="m",VLOOKUP(L2155,'All Solo Adjustments'!A:D,4,FALSE),VLOOKUP(L2155,'All Solo Adjustments'!A:J,10,FALSE))</f>
        <v>1.4236111111111111E-2</v>
      </c>
      <c r="N2155" s="63"/>
      <c r="O2155" s="63"/>
      <c r="P2155" s="63"/>
      <c r="Q2155" s="63"/>
      <c r="R2155" t="s">
        <v>154</v>
      </c>
      <c r="S2155" t="s">
        <v>2621</v>
      </c>
      <c r="T2155" t="s">
        <v>292</v>
      </c>
      <c r="U2155" t="s">
        <v>2620</v>
      </c>
      <c r="V2155" t="s">
        <v>2263</v>
      </c>
      <c r="W2155" t="s">
        <v>752</v>
      </c>
      <c r="Y2155" t="s">
        <v>2619</v>
      </c>
      <c r="Z2155" t="str">
        <f>"01249 443726"</f>
        <v>01249 443726</v>
      </c>
      <c r="AA2155" t="str">
        <f>"07527790191"</f>
        <v>07527790191</v>
      </c>
      <c r="AB2155" t="s">
        <v>2618</v>
      </c>
      <c r="AC2155" t="s">
        <v>2617</v>
      </c>
      <c r="AD2155" t="s">
        <v>151</v>
      </c>
      <c r="AF2155" t="s">
        <v>113</v>
      </c>
      <c r="AG2155" t="s">
        <v>111</v>
      </c>
      <c r="AH2155" t="s">
        <v>111</v>
      </c>
      <c r="AI2155" s="63">
        <v>29221</v>
      </c>
      <c r="AK2155" t="s">
        <v>111</v>
      </c>
      <c r="AL2155" t="s">
        <v>111</v>
      </c>
      <c r="AM2155" t="s">
        <v>111</v>
      </c>
      <c r="AN2155" t="s">
        <v>105</v>
      </c>
      <c r="AO2155" t="s">
        <v>110</v>
      </c>
      <c r="AP2155" t="s">
        <v>109</v>
      </c>
    </row>
    <row r="2156" spans="1:42" x14ac:dyDescent="0.25">
      <c r="A2156" s="28" t="str">
        <f>"2695"</f>
        <v>2695</v>
      </c>
      <c r="B2156">
        <v>2695</v>
      </c>
      <c r="C2156" t="s">
        <v>2488</v>
      </c>
      <c r="D2156" t="s">
        <v>121</v>
      </c>
      <c r="F2156" t="s">
        <v>120</v>
      </c>
      <c r="G2156" t="s">
        <v>230</v>
      </c>
      <c r="I2156" t="s">
        <v>163</v>
      </c>
      <c r="J2156" t="s">
        <v>7</v>
      </c>
      <c r="K2156" s="63">
        <v>16433</v>
      </c>
      <c r="L2156" s="28">
        <f>DATEDIF(K2156,Zwift25!G$1,"Y")</f>
        <v>79</v>
      </c>
      <c r="M2156" s="67">
        <f>IF(J2156="m",VLOOKUP(L2156,'All Solo Adjustments'!A:D,4,FALSE),VLOOKUP(L2156,'All Solo Adjustments'!A:J,10,FALSE))</f>
        <v>1.0451388888888889E-2</v>
      </c>
      <c r="N2156" s="63"/>
      <c r="O2156" s="63"/>
      <c r="P2156" s="63"/>
      <c r="Q2156" s="63"/>
      <c r="R2156" t="s">
        <v>296</v>
      </c>
      <c r="S2156" t="s">
        <v>295</v>
      </c>
      <c r="T2156" t="s">
        <v>292</v>
      </c>
      <c r="U2156" t="s">
        <v>2616</v>
      </c>
      <c r="V2156" t="s">
        <v>2615</v>
      </c>
      <c r="W2156" t="s">
        <v>2614</v>
      </c>
      <c r="Y2156" t="s">
        <v>2613</v>
      </c>
      <c r="Z2156" t="str">
        <f>"01698 290085"</f>
        <v>01698 290085</v>
      </c>
      <c r="AA2156" t="str">
        <f>""</f>
        <v/>
      </c>
      <c r="AB2156" t="s">
        <v>1780</v>
      </c>
      <c r="AD2156" t="s">
        <v>151</v>
      </c>
      <c r="AF2156" t="s">
        <v>113</v>
      </c>
      <c r="AG2156" t="s">
        <v>112</v>
      </c>
      <c r="AH2156" t="s">
        <v>112</v>
      </c>
      <c r="AI2156" s="63">
        <v>31026</v>
      </c>
      <c r="AK2156" t="s">
        <v>111</v>
      </c>
      <c r="AL2156" t="s">
        <v>111</v>
      </c>
      <c r="AM2156" t="s">
        <v>111</v>
      </c>
      <c r="AN2156" t="s">
        <v>105</v>
      </c>
      <c r="AO2156" t="s">
        <v>110</v>
      </c>
      <c r="AP2156" t="s">
        <v>109</v>
      </c>
    </row>
    <row r="2157" spans="1:42" x14ac:dyDescent="0.25">
      <c r="A2157" s="28" t="str">
        <f>"2696"</f>
        <v>2696</v>
      </c>
      <c r="B2157">
        <v>2696</v>
      </c>
      <c r="C2157" t="s">
        <v>2488</v>
      </c>
      <c r="D2157" t="s">
        <v>121</v>
      </c>
      <c r="F2157" t="s">
        <v>120</v>
      </c>
      <c r="G2157" t="s">
        <v>251</v>
      </c>
      <c r="I2157" t="s">
        <v>163</v>
      </c>
      <c r="J2157" t="s">
        <v>7</v>
      </c>
      <c r="K2157" s="63">
        <v>22327</v>
      </c>
      <c r="L2157" s="28">
        <f>DATEDIF(K2157,Zwift25!G$1,"Y")</f>
        <v>63</v>
      </c>
      <c r="M2157" s="67">
        <f>IF(J2157="m",VLOOKUP(L2157,'All Solo Adjustments'!A:D,4,FALSE),VLOOKUP(L2157,'All Solo Adjustments'!A:J,10,FALSE))</f>
        <v>4.0277777777777777E-3</v>
      </c>
      <c r="N2157" s="63"/>
      <c r="O2157" s="63"/>
      <c r="P2157" s="63"/>
      <c r="Q2157" s="63"/>
      <c r="R2157" t="s">
        <v>184</v>
      </c>
      <c r="S2157" t="s">
        <v>183</v>
      </c>
      <c r="T2157" t="s">
        <v>292</v>
      </c>
      <c r="U2157" t="s">
        <v>2612</v>
      </c>
      <c r="V2157" t="s">
        <v>1481</v>
      </c>
      <c r="Y2157" t="s">
        <v>2611</v>
      </c>
      <c r="Z2157" t="str">
        <f>"01234 223344"</f>
        <v>01234 223344</v>
      </c>
      <c r="AA2157" t="str">
        <f>""</f>
        <v/>
      </c>
      <c r="AB2157" t="s">
        <v>290</v>
      </c>
      <c r="AC2157" t="s">
        <v>2610</v>
      </c>
      <c r="AD2157" t="s">
        <v>151</v>
      </c>
      <c r="AF2157" t="s">
        <v>113</v>
      </c>
      <c r="AG2157" t="s">
        <v>112</v>
      </c>
      <c r="AH2157" t="s">
        <v>112</v>
      </c>
      <c r="AK2157" t="s">
        <v>111</v>
      </c>
      <c r="AL2157" t="s">
        <v>111</v>
      </c>
      <c r="AM2157" t="s">
        <v>111</v>
      </c>
      <c r="AN2157" t="s">
        <v>105</v>
      </c>
      <c r="AO2157" t="s">
        <v>110</v>
      </c>
      <c r="AP2157" t="s">
        <v>109</v>
      </c>
    </row>
    <row r="2158" spans="1:42" x14ac:dyDescent="0.25">
      <c r="A2158" s="28" t="str">
        <f>"3280"</f>
        <v>3280</v>
      </c>
      <c r="B2158">
        <v>3280</v>
      </c>
      <c r="C2158" t="s">
        <v>2488</v>
      </c>
      <c r="D2158" t="s">
        <v>121</v>
      </c>
      <c r="F2158" t="s">
        <v>120</v>
      </c>
      <c r="G2158" t="s">
        <v>251</v>
      </c>
      <c r="I2158" t="s">
        <v>163</v>
      </c>
      <c r="J2158" t="s">
        <v>7</v>
      </c>
      <c r="K2158" s="63">
        <v>11021</v>
      </c>
      <c r="L2158" s="28">
        <f>DATEDIF(K2158,Zwift25!G$1,"Y")</f>
        <v>94</v>
      </c>
      <c r="M2158" s="67">
        <f>IF(J2158="m",VLOOKUP(L2158,'All Solo Adjustments'!A:D,4,FALSE),VLOOKUP(L2158,'All Solo Adjustments'!A:J,10,FALSE))</f>
        <v>2.2685185185185187E-2</v>
      </c>
      <c r="N2158" s="63"/>
      <c r="O2158" s="63"/>
      <c r="P2158" s="63"/>
      <c r="Q2158" s="63"/>
      <c r="R2158" t="s">
        <v>159</v>
      </c>
      <c r="S2158" t="s">
        <v>570</v>
      </c>
      <c r="T2158" t="s">
        <v>292</v>
      </c>
      <c r="U2158" t="s">
        <v>2609</v>
      </c>
      <c r="V2158" t="s">
        <v>1137</v>
      </c>
      <c r="W2158" t="s">
        <v>159</v>
      </c>
      <c r="Y2158" t="s">
        <v>2608</v>
      </c>
      <c r="Z2158" t="str">
        <f>"01622 843943"</f>
        <v>01622 843943</v>
      </c>
      <c r="AA2158" t="str">
        <f>""</f>
        <v/>
      </c>
      <c r="AB2158" t="s">
        <v>2607</v>
      </c>
      <c r="AC2158" t="s">
        <v>2606</v>
      </c>
      <c r="AD2158" t="s">
        <v>151</v>
      </c>
      <c r="AF2158" t="s">
        <v>113</v>
      </c>
      <c r="AG2158" t="s">
        <v>111</v>
      </c>
      <c r="AH2158" t="s">
        <v>112</v>
      </c>
      <c r="AK2158" t="s">
        <v>111</v>
      </c>
      <c r="AL2158" t="s">
        <v>111</v>
      </c>
      <c r="AM2158" t="s">
        <v>111</v>
      </c>
      <c r="AN2158" t="s">
        <v>105</v>
      </c>
      <c r="AO2158" t="s">
        <v>110</v>
      </c>
      <c r="AP2158" t="s">
        <v>109</v>
      </c>
    </row>
    <row r="2159" spans="1:42" x14ac:dyDescent="0.25">
      <c r="A2159" s="28" t="str">
        <f>"12632"</f>
        <v>12632</v>
      </c>
      <c r="B2159">
        <v>12632</v>
      </c>
      <c r="C2159" t="s">
        <v>2488</v>
      </c>
      <c r="D2159" t="s">
        <v>121</v>
      </c>
      <c r="E2159" t="s">
        <v>584</v>
      </c>
      <c r="F2159" t="s">
        <v>120</v>
      </c>
      <c r="G2159" t="s">
        <v>185</v>
      </c>
      <c r="H2159" t="s">
        <v>978</v>
      </c>
      <c r="I2159" t="s">
        <v>163</v>
      </c>
      <c r="J2159" t="s">
        <v>7</v>
      </c>
      <c r="K2159" s="63">
        <v>24719</v>
      </c>
      <c r="L2159" s="28">
        <f>DATEDIF(K2159,Zwift25!G$1,"Y")</f>
        <v>57</v>
      </c>
      <c r="M2159" s="67">
        <f>IF(J2159="m",VLOOKUP(L2159,'All Solo Adjustments'!A:D,4,FALSE),VLOOKUP(L2159,'All Solo Adjustments'!A:J,10,FALSE))</f>
        <v>2.488425925925926E-3</v>
      </c>
      <c r="N2159" s="63"/>
      <c r="O2159" s="63"/>
      <c r="P2159" s="63"/>
      <c r="Q2159" s="63"/>
      <c r="R2159" t="s">
        <v>125</v>
      </c>
      <c r="S2159" t="s">
        <v>170</v>
      </c>
      <c r="T2159" t="s">
        <v>292</v>
      </c>
      <c r="U2159" t="s">
        <v>2605</v>
      </c>
      <c r="V2159" t="s">
        <v>2604</v>
      </c>
      <c r="W2159" t="s">
        <v>683</v>
      </c>
      <c r="X2159" t="s">
        <v>828</v>
      </c>
      <c r="Y2159" t="s">
        <v>2603</v>
      </c>
      <c r="Z2159" t="str">
        <f>"07870848132"</f>
        <v>07870848132</v>
      </c>
      <c r="AA2159" t="str">
        <f>""</f>
        <v/>
      </c>
      <c r="AB2159" t="s">
        <v>308</v>
      </c>
      <c r="AC2159" t="s">
        <v>2602</v>
      </c>
      <c r="AD2159" t="s">
        <v>114</v>
      </c>
      <c r="AE2159" s="63">
        <v>45262</v>
      </c>
      <c r="AF2159" t="s">
        <v>156</v>
      </c>
      <c r="AG2159" t="s">
        <v>112</v>
      </c>
      <c r="AH2159" t="s">
        <v>112</v>
      </c>
      <c r="AI2159" s="63">
        <v>43227</v>
      </c>
      <c r="AJ2159" s="63">
        <v>45657</v>
      </c>
      <c r="AK2159" t="s">
        <v>112</v>
      </c>
      <c r="AL2159" t="s">
        <v>111</v>
      </c>
      <c r="AM2159" t="s">
        <v>111</v>
      </c>
      <c r="AN2159">
        <v>23772</v>
      </c>
      <c r="AO2159" t="s">
        <v>110</v>
      </c>
      <c r="AP2159" t="s">
        <v>109</v>
      </c>
    </row>
    <row r="2160" spans="1:42" x14ac:dyDescent="0.25">
      <c r="A2160" s="28" t="str">
        <f>"5468"</f>
        <v>5468</v>
      </c>
      <c r="B2160">
        <v>5468</v>
      </c>
      <c r="C2160" t="s">
        <v>2488</v>
      </c>
      <c r="D2160" t="s">
        <v>121</v>
      </c>
      <c r="F2160" t="s">
        <v>120</v>
      </c>
      <c r="G2160" t="s">
        <v>251</v>
      </c>
      <c r="I2160" t="s">
        <v>163</v>
      </c>
      <c r="J2160" t="s">
        <v>7</v>
      </c>
      <c r="K2160" s="63">
        <v>19739</v>
      </c>
      <c r="L2160" s="28">
        <f>DATEDIF(K2160,Zwift25!G$1,"Y")</f>
        <v>70</v>
      </c>
      <c r="M2160" s="67">
        <f>IF(J2160="m",VLOOKUP(L2160,'All Solo Adjustments'!A:D,4,FALSE),VLOOKUP(L2160,'All Solo Adjustments'!A:J,10,FALSE))</f>
        <v>6.3425925925925924E-3</v>
      </c>
      <c r="N2160" s="63"/>
      <c r="O2160" s="63"/>
      <c r="P2160" s="63"/>
      <c r="Q2160" s="63"/>
      <c r="R2160" t="s">
        <v>239</v>
      </c>
      <c r="S2160" t="s">
        <v>274</v>
      </c>
      <c r="T2160" t="s">
        <v>292</v>
      </c>
      <c r="U2160" t="s">
        <v>2601</v>
      </c>
      <c r="V2160" t="s">
        <v>2600</v>
      </c>
      <c r="W2160" t="s">
        <v>547</v>
      </c>
      <c r="Y2160" t="s">
        <v>2599</v>
      </c>
      <c r="Z2160" t="str">
        <f>"01909 550143"</f>
        <v>01909 550143</v>
      </c>
      <c r="AA2160" t="str">
        <f>""</f>
        <v/>
      </c>
      <c r="AB2160" t="s">
        <v>2408</v>
      </c>
      <c r="AC2160" t="s">
        <v>2598</v>
      </c>
      <c r="AD2160" t="s">
        <v>114</v>
      </c>
      <c r="AE2160" s="63">
        <v>45278</v>
      </c>
      <c r="AF2160" t="s">
        <v>156</v>
      </c>
      <c r="AG2160" t="s">
        <v>112</v>
      </c>
      <c r="AH2160" t="s">
        <v>112</v>
      </c>
      <c r="AI2160" s="63">
        <v>42138</v>
      </c>
      <c r="AJ2160" s="63">
        <v>45657</v>
      </c>
      <c r="AK2160" t="s">
        <v>111</v>
      </c>
      <c r="AL2160" t="s">
        <v>111</v>
      </c>
      <c r="AM2160" t="s">
        <v>111</v>
      </c>
      <c r="AN2160">
        <v>6488</v>
      </c>
      <c r="AO2160" t="s">
        <v>110</v>
      </c>
      <c r="AP2160" t="s">
        <v>109</v>
      </c>
    </row>
    <row r="2161" spans="1:42" x14ac:dyDescent="0.25">
      <c r="A2161" s="28" t="str">
        <f>"5294"</f>
        <v>5294</v>
      </c>
      <c r="B2161">
        <v>5294</v>
      </c>
      <c r="C2161" t="s">
        <v>2488</v>
      </c>
      <c r="D2161" t="s">
        <v>121</v>
      </c>
      <c r="E2161" t="s">
        <v>584</v>
      </c>
      <c r="F2161" t="s">
        <v>120</v>
      </c>
      <c r="G2161" t="s">
        <v>738</v>
      </c>
      <c r="I2161" t="s">
        <v>163</v>
      </c>
      <c r="J2161" t="s">
        <v>7</v>
      </c>
      <c r="K2161" s="63">
        <v>20183</v>
      </c>
      <c r="L2161" s="28">
        <f>DATEDIF(K2161,Zwift25!G$1,"Y")</f>
        <v>69</v>
      </c>
      <c r="M2161" s="67">
        <f>IF(J2161="m",VLOOKUP(L2161,'All Solo Adjustments'!A:D,4,FALSE),VLOOKUP(L2161,'All Solo Adjustments'!A:J,10,FALSE))</f>
        <v>5.9722222222222225E-3</v>
      </c>
      <c r="N2161" s="63"/>
      <c r="O2161" s="63"/>
      <c r="P2161" s="63"/>
      <c r="Q2161" s="63"/>
      <c r="R2161" t="s">
        <v>527</v>
      </c>
      <c r="S2161" t="s">
        <v>526</v>
      </c>
      <c r="T2161" t="s">
        <v>292</v>
      </c>
      <c r="U2161" t="s">
        <v>2597</v>
      </c>
      <c r="V2161" t="s">
        <v>1050</v>
      </c>
      <c r="Y2161" t="s">
        <v>2596</v>
      </c>
      <c r="Z2161" t="str">
        <f>"01429 291538"</f>
        <v>01429 291538</v>
      </c>
      <c r="AA2161" t="str">
        <f>""</f>
        <v/>
      </c>
      <c r="AB2161" t="s">
        <v>1049</v>
      </c>
      <c r="AC2161" t="s">
        <v>2595</v>
      </c>
      <c r="AD2161" t="s">
        <v>114</v>
      </c>
      <c r="AE2161" s="63">
        <v>45262</v>
      </c>
      <c r="AF2161" t="s">
        <v>113</v>
      </c>
      <c r="AG2161" t="s">
        <v>112</v>
      </c>
      <c r="AH2161" t="s">
        <v>112</v>
      </c>
      <c r="AI2161" s="63">
        <v>42052</v>
      </c>
      <c r="AJ2161" s="63">
        <v>45657</v>
      </c>
      <c r="AK2161" t="s">
        <v>111</v>
      </c>
      <c r="AL2161" t="s">
        <v>111</v>
      </c>
      <c r="AM2161" t="s">
        <v>111</v>
      </c>
      <c r="AN2161">
        <v>152</v>
      </c>
      <c r="AO2161" t="s">
        <v>110</v>
      </c>
      <c r="AP2161" t="s">
        <v>109</v>
      </c>
    </row>
    <row r="2162" spans="1:42" x14ac:dyDescent="0.25">
      <c r="A2162" s="28" t="str">
        <f>"2690"</f>
        <v>2690</v>
      </c>
      <c r="B2162">
        <v>2690</v>
      </c>
      <c r="C2162" t="s">
        <v>2488</v>
      </c>
      <c r="D2162" t="s">
        <v>121</v>
      </c>
      <c r="E2162" t="s">
        <v>584</v>
      </c>
      <c r="F2162" t="s">
        <v>120</v>
      </c>
      <c r="G2162" t="s">
        <v>251</v>
      </c>
      <c r="I2162" t="s">
        <v>163</v>
      </c>
      <c r="J2162" t="s">
        <v>7</v>
      </c>
      <c r="K2162" s="63">
        <v>21497</v>
      </c>
      <c r="L2162" s="28">
        <f>DATEDIF(K2162,Zwift25!G$1,"Y")</f>
        <v>65</v>
      </c>
      <c r="M2162" s="67">
        <f>IF(J2162="m",VLOOKUP(L2162,'All Solo Adjustments'!A:D,4,FALSE),VLOOKUP(L2162,'All Solo Adjustments'!A:J,10,FALSE))</f>
        <v>4.6180555555555558E-3</v>
      </c>
      <c r="N2162" s="63"/>
      <c r="O2162" s="63"/>
      <c r="P2162" s="63"/>
      <c r="Q2162" s="63"/>
      <c r="R2162" t="s">
        <v>198</v>
      </c>
      <c r="S2162" t="s">
        <v>461</v>
      </c>
      <c r="T2162" t="s">
        <v>292</v>
      </c>
      <c r="U2162" t="s">
        <v>2594</v>
      </c>
      <c r="V2162" t="s">
        <v>1137</v>
      </c>
      <c r="W2162" t="s">
        <v>999</v>
      </c>
      <c r="X2162" t="s">
        <v>196</v>
      </c>
      <c r="Y2162" t="s">
        <v>2593</v>
      </c>
      <c r="Z2162" t="str">
        <f>"07764730801"</f>
        <v>07764730801</v>
      </c>
      <c r="AA2162" t="str">
        <f>"01925710653"</f>
        <v>01925710653</v>
      </c>
      <c r="AB2162" t="s">
        <v>936</v>
      </c>
      <c r="AC2162" t="s">
        <v>2592</v>
      </c>
      <c r="AD2162" t="s">
        <v>114</v>
      </c>
      <c r="AE2162" s="63">
        <v>45262</v>
      </c>
      <c r="AF2162" t="s">
        <v>156</v>
      </c>
      <c r="AG2162" t="s">
        <v>112</v>
      </c>
      <c r="AH2162" t="s">
        <v>112</v>
      </c>
      <c r="AI2162" s="63">
        <v>38867</v>
      </c>
      <c r="AJ2162" s="63">
        <v>45657</v>
      </c>
      <c r="AK2162" t="s">
        <v>111</v>
      </c>
      <c r="AL2162" t="s">
        <v>111</v>
      </c>
      <c r="AM2162" t="s">
        <v>111</v>
      </c>
      <c r="AN2162">
        <v>1020</v>
      </c>
      <c r="AO2162" t="s">
        <v>110</v>
      </c>
      <c r="AP2162" t="s">
        <v>109</v>
      </c>
    </row>
    <row r="2163" spans="1:42" x14ac:dyDescent="0.25">
      <c r="A2163" s="28" t="str">
        <f>"15043"</f>
        <v>15043</v>
      </c>
      <c r="B2163">
        <v>15043</v>
      </c>
      <c r="C2163" t="s">
        <v>2488</v>
      </c>
      <c r="D2163" t="s">
        <v>121</v>
      </c>
      <c r="E2163" t="s">
        <v>584</v>
      </c>
      <c r="F2163" t="s">
        <v>120</v>
      </c>
      <c r="G2163" t="s">
        <v>189</v>
      </c>
      <c r="I2163" t="s">
        <v>163</v>
      </c>
      <c r="J2163" t="s">
        <v>7</v>
      </c>
      <c r="K2163" s="63">
        <v>27898</v>
      </c>
      <c r="L2163" s="28">
        <f>DATEDIF(K2163,Zwift25!G$1,"Y")</f>
        <v>48</v>
      </c>
      <c r="M2163" s="67">
        <f>IF(J2163="m",VLOOKUP(L2163,'All Solo Adjustments'!A:D,4,FALSE),VLOOKUP(L2163,'All Solo Adjustments'!A:J,10,FALSE))</f>
        <v>8.3333333333333339E-4</v>
      </c>
      <c r="N2163" s="63"/>
      <c r="O2163" s="63"/>
      <c r="P2163" s="63"/>
      <c r="Q2163" s="63"/>
      <c r="R2163" t="s">
        <v>283</v>
      </c>
      <c r="S2163" t="s">
        <v>530</v>
      </c>
      <c r="T2163" t="s">
        <v>292</v>
      </c>
      <c r="U2163" t="s">
        <v>2591</v>
      </c>
      <c r="V2163" t="s">
        <v>2590</v>
      </c>
      <c r="W2163" t="s">
        <v>2589</v>
      </c>
      <c r="X2163" t="s">
        <v>360</v>
      </c>
      <c r="Y2163" t="s">
        <v>2588</v>
      </c>
      <c r="Z2163" t="str">
        <f>"07472892762"</f>
        <v>07472892762</v>
      </c>
      <c r="AA2163" t="str">
        <f>""</f>
        <v/>
      </c>
      <c r="AB2163" t="s">
        <v>2587</v>
      </c>
      <c r="AC2163" t="s">
        <v>2586</v>
      </c>
      <c r="AD2163" t="s">
        <v>114</v>
      </c>
      <c r="AE2163" s="63">
        <v>45292</v>
      </c>
      <c r="AF2163" t="s">
        <v>156</v>
      </c>
      <c r="AG2163" t="s">
        <v>112</v>
      </c>
      <c r="AH2163" t="s">
        <v>112</v>
      </c>
      <c r="AI2163" s="63">
        <v>44318</v>
      </c>
      <c r="AJ2163" s="63">
        <v>45657</v>
      </c>
      <c r="AK2163" t="s">
        <v>112</v>
      </c>
      <c r="AL2163" t="s">
        <v>111</v>
      </c>
      <c r="AM2163" t="s">
        <v>111</v>
      </c>
      <c r="AN2163">
        <v>24430</v>
      </c>
      <c r="AO2163" t="s">
        <v>110</v>
      </c>
      <c r="AP2163" t="s">
        <v>109</v>
      </c>
    </row>
    <row r="2164" spans="1:42" x14ac:dyDescent="0.25">
      <c r="A2164" s="28" t="str">
        <f>"15677"</f>
        <v>15677</v>
      </c>
      <c r="B2164">
        <v>15677</v>
      </c>
      <c r="C2164" t="s">
        <v>2488</v>
      </c>
      <c r="D2164" t="s">
        <v>121</v>
      </c>
      <c r="F2164" t="s">
        <v>120</v>
      </c>
      <c r="G2164" t="s">
        <v>952</v>
      </c>
      <c r="I2164" t="s">
        <v>163</v>
      </c>
      <c r="J2164" t="s">
        <v>7</v>
      </c>
      <c r="K2164" s="63">
        <v>23965</v>
      </c>
      <c r="L2164" s="28">
        <f>DATEDIF(K2164,Zwift25!G$1,"Y")</f>
        <v>59</v>
      </c>
      <c r="M2164" s="67">
        <f>IF(J2164="m",VLOOKUP(L2164,'All Solo Adjustments'!A:D,4,FALSE),VLOOKUP(L2164,'All Solo Adjustments'!A:J,10,FALSE))</f>
        <v>2.9629629629629632E-3</v>
      </c>
      <c r="N2164" s="63"/>
      <c r="O2164" s="63"/>
      <c r="P2164" s="63"/>
      <c r="Q2164" s="63"/>
      <c r="R2164" t="s">
        <v>184</v>
      </c>
      <c r="S2164" t="s">
        <v>183</v>
      </c>
      <c r="T2164" t="s">
        <v>292</v>
      </c>
      <c r="U2164" t="s">
        <v>1462</v>
      </c>
      <c r="V2164" t="s">
        <v>2585</v>
      </c>
      <c r="X2164" t="s">
        <v>1747</v>
      </c>
      <c r="Y2164" t="s">
        <v>2584</v>
      </c>
      <c r="Z2164" t="str">
        <f>"07858629492"</f>
        <v>07858629492</v>
      </c>
      <c r="AA2164" t="str">
        <f>"07858629492"</f>
        <v>07858629492</v>
      </c>
      <c r="AB2164" t="s">
        <v>2583</v>
      </c>
      <c r="AC2164" t="s">
        <v>2582</v>
      </c>
      <c r="AD2164" t="s">
        <v>114</v>
      </c>
      <c r="AE2164" s="63">
        <v>45317</v>
      </c>
      <c r="AF2164" t="s">
        <v>156</v>
      </c>
      <c r="AG2164" t="s">
        <v>112</v>
      </c>
      <c r="AH2164" t="s">
        <v>112</v>
      </c>
      <c r="AI2164" s="63">
        <v>44962</v>
      </c>
      <c r="AJ2164" s="63">
        <v>45657</v>
      </c>
      <c r="AK2164" t="s">
        <v>112</v>
      </c>
      <c r="AL2164" t="s">
        <v>111</v>
      </c>
      <c r="AM2164" t="s">
        <v>111</v>
      </c>
      <c r="AN2164">
        <v>45585</v>
      </c>
      <c r="AO2164" t="s">
        <v>110</v>
      </c>
      <c r="AP2164" t="s">
        <v>109</v>
      </c>
    </row>
    <row r="2165" spans="1:42" x14ac:dyDescent="0.25">
      <c r="A2165" s="28" t="str">
        <f>"16014"</f>
        <v>16014</v>
      </c>
      <c r="B2165">
        <v>16014</v>
      </c>
      <c r="C2165" t="s">
        <v>2488</v>
      </c>
      <c r="D2165" t="s">
        <v>121</v>
      </c>
      <c r="F2165" t="s">
        <v>120</v>
      </c>
      <c r="G2165" t="s">
        <v>165</v>
      </c>
      <c r="I2165" t="s">
        <v>163</v>
      </c>
      <c r="J2165" t="s">
        <v>7</v>
      </c>
      <c r="K2165" s="63">
        <v>25094</v>
      </c>
      <c r="L2165" s="28">
        <f>DATEDIF(K2165,Zwift25!G$1,"Y")</f>
        <v>56</v>
      </c>
      <c r="M2165" s="67">
        <f>IF(J2165="m",VLOOKUP(L2165,'All Solo Adjustments'!A:D,4,FALSE),VLOOKUP(L2165,'All Solo Adjustments'!A:J,10,FALSE))</f>
        <v>2.2685185185185182E-3</v>
      </c>
      <c r="N2165" s="63"/>
      <c r="O2165" s="63"/>
      <c r="P2165" s="63"/>
      <c r="Q2165" s="63"/>
      <c r="R2165" t="s">
        <v>159</v>
      </c>
      <c r="S2165" t="s">
        <v>162</v>
      </c>
      <c r="T2165" t="s">
        <v>292</v>
      </c>
      <c r="U2165" t="s">
        <v>161</v>
      </c>
      <c r="V2165" t="s">
        <v>160</v>
      </c>
      <c r="X2165" t="s">
        <v>159</v>
      </c>
      <c r="Y2165" t="s">
        <v>2581</v>
      </c>
      <c r="Z2165" t="str">
        <f>"07977299620"</f>
        <v>07977299620</v>
      </c>
      <c r="AA2165" t="str">
        <f>""</f>
        <v/>
      </c>
      <c r="AB2165" t="s">
        <v>2016</v>
      </c>
      <c r="AC2165" t="s">
        <v>2580</v>
      </c>
      <c r="AD2165" t="s">
        <v>114</v>
      </c>
      <c r="AE2165" s="63">
        <v>45324</v>
      </c>
      <c r="AF2165" t="s">
        <v>156</v>
      </c>
      <c r="AG2165" t="s">
        <v>112</v>
      </c>
      <c r="AH2165" t="s">
        <v>112</v>
      </c>
      <c r="AI2165" s="63">
        <v>45324</v>
      </c>
      <c r="AJ2165" s="63">
        <v>45657</v>
      </c>
      <c r="AK2165" t="s">
        <v>112</v>
      </c>
      <c r="AL2165" t="s">
        <v>111</v>
      </c>
      <c r="AM2165" t="s">
        <v>111</v>
      </c>
      <c r="AN2165">
        <v>6812</v>
      </c>
      <c r="AO2165" t="s">
        <v>110</v>
      </c>
      <c r="AP2165" t="s">
        <v>109</v>
      </c>
    </row>
    <row r="2166" spans="1:42" x14ac:dyDescent="0.25">
      <c r="A2166" s="28" t="str">
        <f>"16015"</f>
        <v>16015</v>
      </c>
      <c r="B2166">
        <v>16015</v>
      </c>
      <c r="C2166" t="s">
        <v>2488</v>
      </c>
      <c r="D2166" t="s">
        <v>121</v>
      </c>
      <c r="F2166" t="s">
        <v>120</v>
      </c>
      <c r="G2166" t="s">
        <v>546</v>
      </c>
      <c r="I2166" t="s">
        <v>163</v>
      </c>
      <c r="J2166" t="s">
        <v>7</v>
      </c>
      <c r="K2166" s="63">
        <v>22146</v>
      </c>
      <c r="L2166" s="28">
        <f>DATEDIF(K2166,Zwift25!G$1,"Y")</f>
        <v>64</v>
      </c>
      <c r="M2166" s="67">
        <f>IF(J2166="m",VLOOKUP(L2166,'All Solo Adjustments'!A:D,4,FALSE),VLOOKUP(L2166,'All Solo Adjustments'!A:J,10,FALSE))</f>
        <v>4.31712962962963E-3</v>
      </c>
      <c r="N2166" s="63"/>
      <c r="O2166" s="63"/>
      <c r="P2166" s="63"/>
      <c r="Q2166" s="63"/>
      <c r="R2166" t="s">
        <v>154</v>
      </c>
      <c r="S2166" t="s">
        <v>153</v>
      </c>
      <c r="T2166" t="s">
        <v>292</v>
      </c>
      <c r="U2166">
        <v>4</v>
      </c>
      <c r="V2166" t="s">
        <v>2579</v>
      </c>
      <c r="W2166" t="s">
        <v>2578</v>
      </c>
      <c r="X2166" t="s">
        <v>669</v>
      </c>
      <c r="Y2166" t="s">
        <v>2577</v>
      </c>
      <c r="Z2166" t="str">
        <f>"07881505911"</f>
        <v>07881505911</v>
      </c>
      <c r="AA2166" t="str">
        <f>""</f>
        <v/>
      </c>
      <c r="AB2166" t="s">
        <v>408</v>
      </c>
      <c r="AC2166" t="s">
        <v>2576</v>
      </c>
      <c r="AD2166" t="s">
        <v>114</v>
      </c>
      <c r="AE2166" s="63">
        <v>45324</v>
      </c>
      <c r="AF2166" t="s">
        <v>156</v>
      </c>
      <c r="AG2166" t="s">
        <v>112</v>
      </c>
      <c r="AH2166" t="s">
        <v>112</v>
      </c>
      <c r="AI2166" s="63">
        <v>45324</v>
      </c>
      <c r="AJ2166" s="63">
        <v>45657</v>
      </c>
      <c r="AK2166" t="s">
        <v>112</v>
      </c>
      <c r="AL2166" t="s">
        <v>111</v>
      </c>
      <c r="AM2166" t="s">
        <v>111</v>
      </c>
      <c r="AN2166">
        <v>49559</v>
      </c>
      <c r="AO2166" t="s">
        <v>110</v>
      </c>
      <c r="AP2166" t="s">
        <v>109</v>
      </c>
    </row>
    <row r="2167" spans="1:42" x14ac:dyDescent="0.25">
      <c r="A2167" s="28" t="str">
        <f>"16025"</f>
        <v>16025</v>
      </c>
      <c r="B2167">
        <v>16025</v>
      </c>
      <c r="C2167" t="s">
        <v>2488</v>
      </c>
      <c r="D2167" t="s">
        <v>121</v>
      </c>
      <c r="E2167" t="s">
        <v>584</v>
      </c>
      <c r="F2167" t="s">
        <v>120</v>
      </c>
      <c r="G2167" t="s">
        <v>251</v>
      </c>
      <c r="H2167" t="s">
        <v>1413</v>
      </c>
      <c r="I2167" t="s">
        <v>2575</v>
      </c>
      <c r="J2167" t="s">
        <v>7</v>
      </c>
      <c r="K2167" s="63">
        <v>17252</v>
      </c>
      <c r="L2167" s="28">
        <f>DATEDIF(K2167,Zwift25!G$1,"Y")</f>
        <v>77</v>
      </c>
      <c r="M2167" s="67">
        <f>IF(J2167="m",VLOOKUP(L2167,'All Solo Adjustments'!A:D,4,FALSE),VLOOKUP(L2167,'All Solo Adjustments'!A:J,10,FALSE))</f>
        <v>9.3981481481481485E-3</v>
      </c>
      <c r="N2167" s="63"/>
      <c r="O2167" s="63"/>
      <c r="P2167" s="63"/>
      <c r="Q2167" s="63"/>
      <c r="R2167" t="s">
        <v>184</v>
      </c>
      <c r="S2167" t="s">
        <v>183</v>
      </c>
      <c r="T2167" t="s">
        <v>292</v>
      </c>
      <c r="U2167" t="s">
        <v>2574</v>
      </c>
      <c r="V2167" t="s">
        <v>2573</v>
      </c>
      <c r="W2167" t="s">
        <v>2572</v>
      </c>
      <c r="X2167" t="s">
        <v>2571</v>
      </c>
      <c r="Y2167">
        <v>95062</v>
      </c>
      <c r="Z2167" t="str">
        <f>"8313467051"</f>
        <v>8313467051</v>
      </c>
      <c r="AA2167" t="str">
        <f>""</f>
        <v/>
      </c>
      <c r="AB2167" t="s">
        <v>2570</v>
      </c>
      <c r="AC2167" t="s">
        <v>2569</v>
      </c>
      <c r="AD2167" t="s">
        <v>114</v>
      </c>
      <c r="AE2167" s="63">
        <v>45335</v>
      </c>
      <c r="AF2167" t="s">
        <v>156</v>
      </c>
      <c r="AG2167" t="s">
        <v>112</v>
      </c>
      <c r="AH2167" t="s">
        <v>112</v>
      </c>
      <c r="AI2167" s="63">
        <v>45335</v>
      </c>
      <c r="AJ2167" s="63">
        <v>45657</v>
      </c>
      <c r="AK2167" t="s">
        <v>112</v>
      </c>
      <c r="AL2167" t="s">
        <v>111</v>
      </c>
      <c r="AM2167" t="s">
        <v>111</v>
      </c>
      <c r="AN2167">
        <v>49646</v>
      </c>
      <c r="AO2167" t="s">
        <v>110</v>
      </c>
      <c r="AP2167" t="s">
        <v>109</v>
      </c>
    </row>
    <row r="2168" spans="1:42" x14ac:dyDescent="0.25">
      <c r="A2168" s="28" t="str">
        <f>"4930"</f>
        <v>4930</v>
      </c>
      <c r="B2168">
        <v>4930</v>
      </c>
      <c r="C2168" t="s">
        <v>2488</v>
      </c>
      <c r="D2168" t="s">
        <v>121</v>
      </c>
      <c r="F2168" t="s">
        <v>120</v>
      </c>
      <c r="G2168" t="s">
        <v>2568</v>
      </c>
      <c r="H2168" t="s">
        <v>583</v>
      </c>
      <c r="I2168" t="s">
        <v>2567</v>
      </c>
      <c r="J2168" t="s">
        <v>7</v>
      </c>
      <c r="K2168" s="63">
        <v>27081</v>
      </c>
      <c r="L2168" s="28">
        <f>DATEDIF(K2168,Zwift25!G$1,"Y")</f>
        <v>50</v>
      </c>
      <c r="M2168" s="67">
        <f>IF(J2168="m",VLOOKUP(L2168,'All Solo Adjustments'!A:D,4,FALSE),VLOOKUP(L2168,'All Solo Adjustments'!A:J,10,FALSE))</f>
        <v>1.1342592592592591E-3</v>
      </c>
      <c r="N2168" s="63"/>
      <c r="O2168" s="63"/>
      <c r="P2168" s="63"/>
      <c r="Q2168" s="63"/>
      <c r="R2168" t="s">
        <v>180</v>
      </c>
      <c r="S2168" t="s">
        <v>179</v>
      </c>
      <c r="T2168" t="s">
        <v>292</v>
      </c>
      <c r="U2168" t="s">
        <v>2566</v>
      </c>
      <c r="V2168" t="s">
        <v>260</v>
      </c>
      <c r="W2168" t="s">
        <v>992</v>
      </c>
      <c r="Y2168" t="s">
        <v>2565</v>
      </c>
      <c r="Z2168" t="str">
        <f>"07808 046266"</f>
        <v>07808 046266</v>
      </c>
      <c r="AA2168" t="str">
        <f>""</f>
        <v/>
      </c>
      <c r="AB2168" t="s">
        <v>2564</v>
      </c>
      <c r="AC2168" t="s">
        <v>2563</v>
      </c>
      <c r="AD2168" t="s">
        <v>114</v>
      </c>
      <c r="AE2168" s="63">
        <v>45396</v>
      </c>
      <c r="AF2168" t="s">
        <v>113</v>
      </c>
      <c r="AG2168" t="s">
        <v>112</v>
      </c>
      <c r="AH2168" t="s">
        <v>112</v>
      </c>
      <c r="AI2168" s="63">
        <v>41692</v>
      </c>
      <c r="AJ2168" s="63">
        <v>45657</v>
      </c>
      <c r="AK2168" t="s">
        <v>111</v>
      </c>
      <c r="AL2168" t="s">
        <v>111</v>
      </c>
      <c r="AM2168" t="s">
        <v>111</v>
      </c>
      <c r="AN2168">
        <v>5521</v>
      </c>
      <c r="AO2168" t="s">
        <v>110</v>
      </c>
      <c r="AP2168" t="s">
        <v>109</v>
      </c>
    </row>
    <row r="2169" spans="1:42" x14ac:dyDescent="0.25">
      <c r="A2169" s="28" t="str">
        <f>"16065"</f>
        <v>16065</v>
      </c>
      <c r="B2169">
        <v>16065</v>
      </c>
      <c r="C2169" t="s">
        <v>2488</v>
      </c>
      <c r="D2169" t="s">
        <v>121</v>
      </c>
      <c r="F2169" t="s">
        <v>120</v>
      </c>
      <c r="G2169" t="s">
        <v>185</v>
      </c>
      <c r="I2169" t="s">
        <v>1015</v>
      </c>
      <c r="J2169" t="s">
        <v>7</v>
      </c>
      <c r="K2169" s="63">
        <v>26636</v>
      </c>
      <c r="L2169" s="28">
        <f>DATEDIF(K2169,Zwift25!G$1,"Y")</f>
        <v>51</v>
      </c>
      <c r="M2169" s="67">
        <f>IF(J2169="m",VLOOKUP(L2169,'All Solo Adjustments'!A:D,4,FALSE),VLOOKUP(L2169,'All Solo Adjustments'!A:J,10,FALSE))</f>
        <v>1.3078703703703703E-3</v>
      </c>
      <c r="N2169" s="63"/>
      <c r="O2169" s="63"/>
      <c r="P2169" s="63"/>
      <c r="Q2169" s="63"/>
      <c r="R2169" t="s">
        <v>125</v>
      </c>
      <c r="S2169" t="s">
        <v>170</v>
      </c>
      <c r="T2169" t="s">
        <v>292</v>
      </c>
      <c r="U2169" t="s">
        <v>2562</v>
      </c>
      <c r="V2169" t="s">
        <v>2561</v>
      </c>
      <c r="W2169" t="s">
        <v>1600</v>
      </c>
      <c r="X2169" t="s">
        <v>123</v>
      </c>
      <c r="Y2169" t="s">
        <v>2560</v>
      </c>
      <c r="Z2169" t="str">
        <f>"07713138808"</f>
        <v>07713138808</v>
      </c>
      <c r="AA2169" t="str">
        <f>""</f>
        <v/>
      </c>
      <c r="AB2169" t="s">
        <v>1290</v>
      </c>
      <c r="AC2169" t="s">
        <v>2559</v>
      </c>
      <c r="AD2169" t="s">
        <v>114</v>
      </c>
      <c r="AE2169" s="63">
        <v>45398</v>
      </c>
      <c r="AF2169" t="s">
        <v>156</v>
      </c>
      <c r="AG2169" t="s">
        <v>112</v>
      </c>
      <c r="AH2169" t="s">
        <v>112</v>
      </c>
      <c r="AI2169" s="63">
        <v>45398</v>
      </c>
      <c r="AJ2169" s="63">
        <v>45657</v>
      </c>
      <c r="AK2169" t="s">
        <v>112</v>
      </c>
      <c r="AL2169" t="s">
        <v>111</v>
      </c>
      <c r="AM2169" t="s">
        <v>111</v>
      </c>
      <c r="AN2169">
        <v>18058</v>
      </c>
      <c r="AO2169" t="s">
        <v>110</v>
      </c>
      <c r="AP2169" t="s">
        <v>109</v>
      </c>
    </row>
    <row r="2170" spans="1:42" x14ac:dyDescent="0.25">
      <c r="A2170" s="28" t="str">
        <f>"16180"</f>
        <v>16180</v>
      </c>
      <c r="B2170">
        <v>16180</v>
      </c>
      <c r="C2170" t="s">
        <v>2488</v>
      </c>
      <c r="D2170" t="s">
        <v>132</v>
      </c>
      <c r="E2170" t="s">
        <v>584</v>
      </c>
      <c r="F2170" t="s">
        <v>149</v>
      </c>
      <c r="G2170" t="s">
        <v>2558</v>
      </c>
      <c r="H2170" t="s">
        <v>1268</v>
      </c>
      <c r="I2170" t="s">
        <v>2553</v>
      </c>
      <c r="J2170" t="s">
        <v>126</v>
      </c>
      <c r="K2170" s="63">
        <v>28056</v>
      </c>
      <c r="L2170" s="28">
        <f>DATEDIF(K2170,Zwift25!G$1,"Y")</f>
        <v>47</v>
      </c>
      <c r="M2170" s="67">
        <f>IF(J2170="m",VLOOKUP(L2170,'All Solo Adjustments'!A:D,4,FALSE),VLOOKUP(L2170,'All Solo Adjustments'!A:J,10,FALSE))</f>
        <v>4.7337962962962958E-3</v>
      </c>
      <c r="N2170" s="63"/>
      <c r="O2170" s="63"/>
      <c r="P2170" s="63"/>
      <c r="Q2170" s="63"/>
      <c r="R2170" t="s">
        <v>383</v>
      </c>
      <c r="S2170" t="s">
        <v>690</v>
      </c>
      <c r="T2170" t="s">
        <v>292</v>
      </c>
      <c r="U2170" t="s">
        <v>1014</v>
      </c>
      <c r="V2170" t="s">
        <v>1013</v>
      </c>
      <c r="W2170" t="s">
        <v>1012</v>
      </c>
      <c r="Y2170" t="s">
        <v>1011</v>
      </c>
      <c r="Z2170" t="str">
        <f>"07926945243"</f>
        <v>07926945243</v>
      </c>
      <c r="AA2170" t="str">
        <f>""</f>
        <v/>
      </c>
      <c r="AB2170" t="s">
        <v>2557</v>
      </c>
      <c r="AC2170" t="s">
        <v>2556</v>
      </c>
      <c r="AD2170" t="s">
        <v>114</v>
      </c>
      <c r="AE2170" s="63">
        <v>45474</v>
      </c>
      <c r="AF2170" t="s">
        <v>156</v>
      </c>
      <c r="AG2170" t="s">
        <v>112</v>
      </c>
      <c r="AH2170" t="s">
        <v>112</v>
      </c>
      <c r="AI2170" s="63">
        <v>45474</v>
      </c>
      <c r="AJ2170" s="63">
        <v>45657</v>
      </c>
      <c r="AK2170" t="s">
        <v>112</v>
      </c>
      <c r="AL2170" t="s">
        <v>111</v>
      </c>
      <c r="AM2170" t="s">
        <v>111</v>
      </c>
      <c r="AN2170">
        <v>30294</v>
      </c>
      <c r="AO2170" t="s">
        <v>122</v>
      </c>
      <c r="AP2170" t="s">
        <v>122</v>
      </c>
    </row>
    <row r="2171" spans="1:42" x14ac:dyDescent="0.25">
      <c r="A2171" s="28" t="str">
        <f>"16181"</f>
        <v>16181</v>
      </c>
      <c r="B2171">
        <v>16181</v>
      </c>
      <c r="C2171" t="s">
        <v>2488</v>
      </c>
      <c r="D2171" t="s">
        <v>130</v>
      </c>
      <c r="E2171" t="s">
        <v>584</v>
      </c>
      <c r="F2171" t="s">
        <v>120</v>
      </c>
      <c r="G2171" t="s">
        <v>2555</v>
      </c>
      <c r="H2171" t="s">
        <v>2554</v>
      </c>
      <c r="I2171" t="s">
        <v>2553</v>
      </c>
      <c r="J2171" t="s">
        <v>7</v>
      </c>
      <c r="K2171" s="63">
        <v>28228</v>
      </c>
      <c r="L2171" s="28">
        <f>DATEDIF(K2171,Zwift25!G$1,"Y")</f>
        <v>47</v>
      </c>
      <c r="M2171" s="67">
        <f>IF(J2171="m",VLOOKUP(L2171,'All Solo Adjustments'!A:D,4,FALSE),VLOOKUP(L2171,'All Solo Adjustments'!A:J,10,FALSE))</f>
        <v>6.9444444444444436E-4</v>
      </c>
      <c r="N2171" s="63"/>
      <c r="O2171" s="63"/>
      <c r="P2171" s="63"/>
      <c r="Q2171" s="63"/>
      <c r="R2171" t="s">
        <v>383</v>
      </c>
      <c r="S2171" t="s">
        <v>690</v>
      </c>
      <c r="T2171" t="s">
        <v>292</v>
      </c>
      <c r="U2171" t="s">
        <v>1014</v>
      </c>
      <c r="V2171" t="s">
        <v>1013</v>
      </c>
      <c r="W2171" t="s">
        <v>1012</v>
      </c>
      <c r="Y2171" t="s">
        <v>1011</v>
      </c>
      <c r="Z2171" t="str">
        <f>"07926945243"</f>
        <v>07926945243</v>
      </c>
      <c r="AA2171" t="str">
        <f>""</f>
        <v/>
      </c>
      <c r="AB2171" t="s">
        <v>1012</v>
      </c>
      <c r="AC2171" t="s">
        <v>1010</v>
      </c>
      <c r="AD2171" t="s">
        <v>114</v>
      </c>
      <c r="AE2171" s="63">
        <v>45474</v>
      </c>
      <c r="AG2171" t="s">
        <v>112</v>
      </c>
      <c r="AH2171" t="s">
        <v>112</v>
      </c>
      <c r="AI2171" s="63">
        <v>45474</v>
      </c>
      <c r="AJ2171" s="63">
        <v>45657</v>
      </c>
      <c r="AK2171" t="s">
        <v>112</v>
      </c>
      <c r="AL2171" t="s">
        <v>111</v>
      </c>
      <c r="AM2171" t="s">
        <v>111</v>
      </c>
      <c r="AN2171">
        <v>28430</v>
      </c>
      <c r="AO2171" t="s">
        <v>110</v>
      </c>
      <c r="AP2171" t="s">
        <v>109</v>
      </c>
    </row>
    <row r="2172" spans="1:42" x14ac:dyDescent="0.25">
      <c r="A2172" s="28" t="str">
        <f>"5991"</f>
        <v>5991</v>
      </c>
      <c r="B2172">
        <v>5991</v>
      </c>
      <c r="C2172" t="s">
        <v>2488</v>
      </c>
      <c r="D2172" t="s">
        <v>121</v>
      </c>
      <c r="E2172" t="s">
        <v>584</v>
      </c>
      <c r="F2172" t="s">
        <v>120</v>
      </c>
      <c r="G2172" t="s">
        <v>185</v>
      </c>
      <c r="I2172" t="s">
        <v>2548</v>
      </c>
      <c r="J2172" t="s">
        <v>7</v>
      </c>
      <c r="K2172" s="63">
        <v>21826</v>
      </c>
      <c r="L2172" s="28">
        <f>DATEDIF(K2172,Zwift25!G$1,"Y")</f>
        <v>65</v>
      </c>
      <c r="M2172" s="67">
        <f>IF(J2172="m",VLOOKUP(L2172,'All Solo Adjustments'!A:D,4,FALSE),VLOOKUP(L2172,'All Solo Adjustments'!A:J,10,FALSE))</f>
        <v>4.6180555555555558E-3</v>
      </c>
      <c r="N2172" s="63"/>
      <c r="O2172" s="63"/>
      <c r="P2172" s="63"/>
      <c r="Q2172" s="63"/>
      <c r="R2172" t="s">
        <v>296</v>
      </c>
      <c r="S2172" t="s">
        <v>295</v>
      </c>
      <c r="T2172" t="s">
        <v>292</v>
      </c>
      <c r="U2172" t="s">
        <v>2552</v>
      </c>
      <c r="V2172" t="s">
        <v>2039</v>
      </c>
      <c r="Y2172" t="s">
        <v>2551</v>
      </c>
      <c r="Z2172" t="str">
        <f>"07899818104"</f>
        <v>07899818104</v>
      </c>
      <c r="AA2172" t="str">
        <f>"07801261377"</f>
        <v>07801261377</v>
      </c>
      <c r="AB2172" t="s">
        <v>1384</v>
      </c>
      <c r="AC2172" t="s">
        <v>2550</v>
      </c>
      <c r="AD2172" t="s">
        <v>114</v>
      </c>
      <c r="AE2172" s="63">
        <v>45261</v>
      </c>
      <c r="AF2172" t="s">
        <v>113</v>
      </c>
      <c r="AG2172" t="s">
        <v>112</v>
      </c>
      <c r="AH2172" t="s">
        <v>112</v>
      </c>
      <c r="AI2172" s="63">
        <v>42652</v>
      </c>
      <c r="AJ2172" s="63">
        <v>45657</v>
      </c>
      <c r="AK2172" t="s">
        <v>111</v>
      </c>
      <c r="AL2172" t="s">
        <v>111</v>
      </c>
      <c r="AM2172" t="s">
        <v>111</v>
      </c>
      <c r="AN2172">
        <v>4363</v>
      </c>
      <c r="AO2172" t="s">
        <v>110</v>
      </c>
      <c r="AP2172" t="s">
        <v>109</v>
      </c>
    </row>
    <row r="2173" spans="1:42" x14ac:dyDescent="0.25">
      <c r="A2173" s="28" t="str">
        <f>"2698"</f>
        <v>2698</v>
      </c>
      <c r="B2173">
        <v>2698</v>
      </c>
      <c r="C2173" t="s">
        <v>2488</v>
      </c>
      <c r="D2173" t="s">
        <v>121</v>
      </c>
      <c r="F2173" t="s">
        <v>120</v>
      </c>
      <c r="G2173" t="s">
        <v>2549</v>
      </c>
      <c r="I2173" t="s">
        <v>2548</v>
      </c>
      <c r="J2173" t="s">
        <v>7</v>
      </c>
      <c r="K2173" s="63">
        <v>11113</v>
      </c>
      <c r="L2173" s="28">
        <f>DATEDIF(K2173,Zwift25!G$1,"Y")</f>
        <v>94</v>
      </c>
      <c r="M2173" s="67">
        <f>IF(J2173="m",VLOOKUP(L2173,'All Solo Adjustments'!A:D,4,FALSE),VLOOKUP(L2173,'All Solo Adjustments'!A:J,10,FALSE))</f>
        <v>2.2685185185185187E-2</v>
      </c>
      <c r="N2173" s="63"/>
      <c r="O2173" s="63"/>
      <c r="P2173" s="63"/>
      <c r="Q2173" s="63"/>
      <c r="R2173" t="s">
        <v>198</v>
      </c>
      <c r="S2173" t="s">
        <v>476</v>
      </c>
      <c r="T2173" t="s">
        <v>292</v>
      </c>
      <c r="U2173" t="s">
        <v>2547</v>
      </c>
      <c r="V2173" t="s">
        <v>2546</v>
      </c>
      <c r="W2173" t="s">
        <v>1039</v>
      </c>
      <c r="Y2173" t="s">
        <v>2545</v>
      </c>
      <c r="Z2173" t="str">
        <f>"0161 790 6740"</f>
        <v>0161 790 6740</v>
      </c>
      <c r="AA2173" t="str">
        <f>""</f>
        <v/>
      </c>
      <c r="AB2173" t="s">
        <v>615</v>
      </c>
      <c r="AD2173" t="s">
        <v>151</v>
      </c>
      <c r="AF2173" t="s">
        <v>113</v>
      </c>
      <c r="AG2173" t="s">
        <v>112</v>
      </c>
      <c r="AH2173" t="s">
        <v>112</v>
      </c>
      <c r="AI2173" s="63">
        <v>29220</v>
      </c>
      <c r="AK2173" t="s">
        <v>111</v>
      </c>
      <c r="AL2173" t="s">
        <v>111</v>
      </c>
      <c r="AM2173" t="s">
        <v>111</v>
      </c>
      <c r="AN2173">
        <v>10352</v>
      </c>
      <c r="AO2173" t="s">
        <v>110</v>
      </c>
      <c r="AP2173" t="s">
        <v>109</v>
      </c>
    </row>
    <row r="2174" spans="1:42" x14ac:dyDescent="0.25">
      <c r="A2174" s="28" t="str">
        <f>"2701"</f>
        <v>2701</v>
      </c>
      <c r="B2174">
        <v>2701</v>
      </c>
      <c r="C2174" t="s">
        <v>2488</v>
      </c>
      <c r="D2174" t="s">
        <v>121</v>
      </c>
      <c r="F2174" t="s">
        <v>120</v>
      </c>
      <c r="G2174" t="s">
        <v>251</v>
      </c>
      <c r="I2174" t="s">
        <v>2544</v>
      </c>
      <c r="J2174" t="s">
        <v>7</v>
      </c>
      <c r="K2174" s="63">
        <v>19198</v>
      </c>
      <c r="L2174" s="28">
        <f>DATEDIF(K2174,Zwift25!G$1,"Y")</f>
        <v>72</v>
      </c>
      <c r="M2174" s="67">
        <f>IF(J2174="m",VLOOKUP(L2174,'All Solo Adjustments'!A:D,4,FALSE),VLOOKUP(L2174,'All Solo Adjustments'!A:J,10,FALSE))</f>
        <v>7.129629629629629E-3</v>
      </c>
      <c r="N2174" s="63"/>
      <c r="O2174" s="63"/>
      <c r="P2174" s="63"/>
      <c r="Q2174" s="63"/>
      <c r="R2174" t="s">
        <v>180</v>
      </c>
      <c r="S2174" t="s">
        <v>179</v>
      </c>
      <c r="T2174" t="s">
        <v>292</v>
      </c>
      <c r="U2174" t="s">
        <v>2543</v>
      </c>
      <c r="V2174" t="s">
        <v>2542</v>
      </c>
      <c r="W2174" t="s">
        <v>420</v>
      </c>
      <c r="X2174" t="s">
        <v>419</v>
      </c>
      <c r="Y2174" t="s">
        <v>2541</v>
      </c>
      <c r="Z2174" t="str">
        <f>"01778 343077"</f>
        <v>01778 343077</v>
      </c>
      <c r="AA2174" t="str">
        <f>"07932162471"</f>
        <v>07932162471</v>
      </c>
      <c r="AB2174" t="s">
        <v>1340</v>
      </c>
      <c r="AC2174" t="s">
        <v>2540</v>
      </c>
      <c r="AD2174" t="s">
        <v>114</v>
      </c>
      <c r="AE2174" s="63">
        <v>45265</v>
      </c>
      <c r="AF2174" t="s">
        <v>156</v>
      </c>
      <c r="AG2174" t="s">
        <v>112</v>
      </c>
      <c r="AH2174" t="s">
        <v>112</v>
      </c>
      <c r="AI2174" s="63">
        <v>43420</v>
      </c>
      <c r="AJ2174" s="63">
        <v>45657</v>
      </c>
      <c r="AK2174" t="s">
        <v>111</v>
      </c>
      <c r="AL2174" t="s">
        <v>111</v>
      </c>
      <c r="AM2174" t="s">
        <v>111</v>
      </c>
      <c r="AN2174">
        <v>8612</v>
      </c>
      <c r="AO2174" t="s">
        <v>110</v>
      </c>
      <c r="AP2174" t="s">
        <v>109</v>
      </c>
    </row>
    <row r="2175" spans="1:42" x14ac:dyDescent="0.25">
      <c r="A2175" s="28" t="str">
        <f>"6406"</f>
        <v>6406</v>
      </c>
      <c r="B2175">
        <v>6406</v>
      </c>
      <c r="C2175" t="s">
        <v>2488</v>
      </c>
      <c r="D2175" t="s">
        <v>121</v>
      </c>
      <c r="F2175" t="s">
        <v>120</v>
      </c>
      <c r="G2175" t="s">
        <v>465</v>
      </c>
      <c r="I2175" t="s">
        <v>2539</v>
      </c>
      <c r="J2175" t="s">
        <v>7</v>
      </c>
      <c r="K2175" s="63">
        <v>27151</v>
      </c>
      <c r="L2175" s="28">
        <f>DATEDIF(K2175,Zwift25!G$1,"Y")</f>
        <v>50</v>
      </c>
      <c r="M2175" s="67">
        <f>IF(J2175="m",VLOOKUP(L2175,'All Solo Adjustments'!A:D,4,FALSE),VLOOKUP(L2175,'All Solo Adjustments'!A:J,10,FALSE))</f>
        <v>1.1342592592592591E-3</v>
      </c>
      <c r="N2175" s="63"/>
      <c r="O2175" s="63"/>
      <c r="P2175" s="63"/>
      <c r="Q2175" s="63"/>
      <c r="R2175" t="s">
        <v>239</v>
      </c>
      <c r="S2175" t="s">
        <v>274</v>
      </c>
      <c r="T2175" t="s">
        <v>292</v>
      </c>
      <c r="U2175" t="s">
        <v>2538</v>
      </c>
      <c r="V2175" t="s">
        <v>898</v>
      </c>
      <c r="Y2175" t="s">
        <v>2537</v>
      </c>
      <c r="Z2175" t="str">
        <f>"01482 797025"</f>
        <v>01482 797025</v>
      </c>
      <c r="AA2175" t="str">
        <f>"07714462546"</f>
        <v>07714462546</v>
      </c>
      <c r="AB2175" t="s">
        <v>2536</v>
      </c>
      <c r="AC2175" t="s">
        <v>2535</v>
      </c>
      <c r="AD2175" t="s">
        <v>114</v>
      </c>
      <c r="AE2175" s="63">
        <v>45330</v>
      </c>
      <c r="AF2175" t="s">
        <v>156</v>
      </c>
      <c r="AG2175" t="s">
        <v>112</v>
      </c>
      <c r="AH2175" t="s">
        <v>112</v>
      </c>
      <c r="AI2175" s="63">
        <v>43115</v>
      </c>
      <c r="AJ2175" s="63">
        <v>45657</v>
      </c>
      <c r="AK2175" t="s">
        <v>111</v>
      </c>
      <c r="AL2175" t="s">
        <v>111</v>
      </c>
      <c r="AM2175" t="s">
        <v>111</v>
      </c>
      <c r="AN2175">
        <v>17417</v>
      </c>
      <c r="AO2175" t="s">
        <v>110</v>
      </c>
      <c r="AP2175" t="s">
        <v>109</v>
      </c>
    </row>
    <row r="2176" spans="1:42" x14ac:dyDescent="0.25">
      <c r="A2176" s="28" t="str">
        <f>"2706"</f>
        <v>2706</v>
      </c>
      <c r="B2176">
        <v>2706</v>
      </c>
      <c r="C2176" t="s">
        <v>2488</v>
      </c>
      <c r="D2176" t="s">
        <v>121</v>
      </c>
      <c r="F2176" t="s">
        <v>120</v>
      </c>
      <c r="G2176" t="s">
        <v>481</v>
      </c>
      <c r="I2176" t="s">
        <v>138</v>
      </c>
      <c r="J2176" t="s">
        <v>7</v>
      </c>
      <c r="K2176" s="63">
        <v>12131</v>
      </c>
      <c r="L2176" s="28">
        <f>DATEDIF(K2176,Zwift25!G$1,"Y")</f>
        <v>91</v>
      </c>
      <c r="M2176" s="67">
        <f>IF(J2176="m",VLOOKUP(L2176,'All Solo Adjustments'!A:D,4,FALSE),VLOOKUP(L2176,'All Solo Adjustments'!A:J,10,FALSE))</f>
        <v>1.9363425925925926E-2</v>
      </c>
      <c r="N2176" s="63"/>
      <c r="O2176" s="63"/>
      <c r="P2176" s="63"/>
      <c r="Q2176" s="63"/>
      <c r="R2176" t="s">
        <v>239</v>
      </c>
      <c r="S2176" t="s">
        <v>437</v>
      </c>
      <c r="T2176" t="s">
        <v>292</v>
      </c>
      <c r="U2176" t="s">
        <v>2534</v>
      </c>
      <c r="V2176" t="s">
        <v>2533</v>
      </c>
      <c r="W2176" t="s">
        <v>2271</v>
      </c>
      <c r="X2176" t="s">
        <v>975</v>
      </c>
      <c r="Y2176" t="s">
        <v>2532</v>
      </c>
      <c r="Z2176" t="str">
        <f>"01535 656337"</f>
        <v>01535 656337</v>
      </c>
      <c r="AA2176" t="str">
        <f>""</f>
        <v/>
      </c>
      <c r="AB2176" t="s">
        <v>679</v>
      </c>
      <c r="AD2176" t="s">
        <v>151</v>
      </c>
      <c r="AF2176" t="s">
        <v>113</v>
      </c>
      <c r="AG2176" t="s">
        <v>112</v>
      </c>
      <c r="AH2176" t="s">
        <v>112</v>
      </c>
      <c r="AI2176" s="63">
        <v>27189</v>
      </c>
      <c r="AK2176" t="s">
        <v>111</v>
      </c>
      <c r="AL2176" t="s">
        <v>111</v>
      </c>
      <c r="AM2176" t="s">
        <v>111</v>
      </c>
      <c r="AN2176" t="s">
        <v>105</v>
      </c>
      <c r="AO2176" t="s">
        <v>110</v>
      </c>
      <c r="AP2176" t="s">
        <v>109</v>
      </c>
    </row>
    <row r="2177" spans="1:42" x14ac:dyDescent="0.25">
      <c r="A2177" s="28" t="str">
        <f>"15002"</f>
        <v>15002</v>
      </c>
      <c r="B2177">
        <v>15002</v>
      </c>
      <c r="C2177" t="s">
        <v>2488</v>
      </c>
      <c r="D2177" t="s">
        <v>121</v>
      </c>
      <c r="F2177" t="s">
        <v>120</v>
      </c>
      <c r="G2177" t="s">
        <v>171</v>
      </c>
      <c r="H2177" t="s">
        <v>481</v>
      </c>
      <c r="I2177" t="s">
        <v>2531</v>
      </c>
      <c r="J2177" t="s">
        <v>7</v>
      </c>
      <c r="K2177" s="63">
        <v>20861</v>
      </c>
      <c r="L2177" s="28">
        <f>DATEDIF(K2177,Zwift25!G$1,"Y")</f>
        <v>67</v>
      </c>
      <c r="M2177" s="67">
        <f>IF(J2177="m",VLOOKUP(L2177,'All Solo Adjustments'!A:D,4,FALSE),VLOOKUP(L2177,'All Solo Adjustments'!A:J,10,FALSE))</f>
        <v>5.2662037037037035E-3</v>
      </c>
      <c r="N2177" s="63"/>
      <c r="O2177" s="63"/>
      <c r="P2177" s="63"/>
      <c r="Q2177" s="63"/>
      <c r="R2177" t="s">
        <v>239</v>
      </c>
      <c r="S2177" t="s">
        <v>274</v>
      </c>
      <c r="T2177" t="s">
        <v>292</v>
      </c>
      <c r="U2177" t="s">
        <v>1580</v>
      </c>
      <c r="V2177" t="s">
        <v>2530</v>
      </c>
      <c r="W2177" t="s">
        <v>569</v>
      </c>
      <c r="X2177" t="s">
        <v>236</v>
      </c>
      <c r="Y2177" t="s">
        <v>2529</v>
      </c>
      <c r="Z2177" t="str">
        <f>"07921138134"</f>
        <v>07921138134</v>
      </c>
      <c r="AA2177" t="str">
        <f>""</f>
        <v/>
      </c>
      <c r="AB2177" t="s">
        <v>679</v>
      </c>
      <c r="AC2177" t="s">
        <v>2528</v>
      </c>
      <c r="AD2177" t="s">
        <v>114</v>
      </c>
      <c r="AE2177" s="63">
        <v>45397</v>
      </c>
      <c r="AF2177" t="s">
        <v>156</v>
      </c>
      <c r="AG2177" t="s">
        <v>112</v>
      </c>
      <c r="AH2177" t="s">
        <v>112</v>
      </c>
      <c r="AI2177" s="63">
        <v>44303</v>
      </c>
      <c r="AJ2177" s="63">
        <v>45657</v>
      </c>
      <c r="AK2177" t="s">
        <v>112</v>
      </c>
      <c r="AL2177" t="s">
        <v>111</v>
      </c>
      <c r="AM2177" t="s">
        <v>111</v>
      </c>
      <c r="AN2177">
        <v>1478</v>
      </c>
      <c r="AO2177" t="s">
        <v>110</v>
      </c>
      <c r="AP2177" t="s">
        <v>109</v>
      </c>
    </row>
    <row r="2178" spans="1:42" x14ac:dyDescent="0.25">
      <c r="A2178" s="28" t="str">
        <f>"15450"</f>
        <v>15450</v>
      </c>
      <c r="B2178">
        <v>15450</v>
      </c>
      <c r="C2178" t="s">
        <v>2488</v>
      </c>
      <c r="D2178" t="s">
        <v>121</v>
      </c>
      <c r="F2178" t="s">
        <v>120</v>
      </c>
      <c r="G2178" t="s">
        <v>2527</v>
      </c>
      <c r="H2178" t="s">
        <v>1807</v>
      </c>
      <c r="I2178" t="s">
        <v>138</v>
      </c>
      <c r="J2178" t="s">
        <v>7</v>
      </c>
      <c r="K2178" s="63">
        <v>29501</v>
      </c>
      <c r="L2178" s="28">
        <f>DATEDIF(K2178,Zwift25!G$1,"Y")</f>
        <v>44</v>
      </c>
      <c r="M2178" s="67">
        <f>IF(J2178="m",VLOOKUP(L2178,'All Solo Adjustments'!A:D,4,FALSE),VLOOKUP(L2178,'All Solo Adjustments'!A:J,10,FALSE))</f>
        <v>3.3564814814814818E-4</v>
      </c>
      <c r="N2178" s="63"/>
      <c r="O2178" s="63"/>
      <c r="P2178" s="63"/>
      <c r="Q2178" s="63"/>
      <c r="R2178" t="s">
        <v>143</v>
      </c>
      <c r="S2178" t="s">
        <v>142</v>
      </c>
      <c r="T2178" t="s">
        <v>292</v>
      </c>
      <c r="U2178" t="s">
        <v>2526</v>
      </c>
      <c r="V2178" t="s">
        <v>2525</v>
      </c>
      <c r="W2178" t="s">
        <v>486</v>
      </c>
      <c r="Y2178" t="s">
        <v>2524</v>
      </c>
      <c r="Z2178" t="str">
        <f>"07879468769"</f>
        <v>07879468769</v>
      </c>
      <c r="AA2178" t="str">
        <f>""</f>
        <v/>
      </c>
      <c r="AB2178" t="s">
        <v>2523</v>
      </c>
      <c r="AC2178" t="s">
        <v>2522</v>
      </c>
      <c r="AD2178" t="s">
        <v>114</v>
      </c>
      <c r="AE2178" s="63">
        <v>45365</v>
      </c>
      <c r="AF2178" t="s">
        <v>156</v>
      </c>
      <c r="AG2178" t="s">
        <v>112</v>
      </c>
      <c r="AH2178" t="s">
        <v>112</v>
      </c>
      <c r="AI2178" s="63">
        <v>44664</v>
      </c>
      <c r="AJ2178" s="63">
        <v>45657</v>
      </c>
      <c r="AK2178" t="s">
        <v>112</v>
      </c>
      <c r="AL2178" t="s">
        <v>111</v>
      </c>
      <c r="AM2178" t="s">
        <v>111</v>
      </c>
      <c r="AN2178" t="s">
        <v>105</v>
      </c>
      <c r="AO2178" t="s">
        <v>110</v>
      </c>
      <c r="AP2178" t="s">
        <v>109</v>
      </c>
    </row>
    <row r="2179" spans="1:42" x14ac:dyDescent="0.25">
      <c r="A2179" s="28" t="str">
        <f>"4175"</f>
        <v>4175</v>
      </c>
      <c r="B2179">
        <v>4175</v>
      </c>
      <c r="C2179" t="s">
        <v>2488</v>
      </c>
      <c r="D2179" t="s">
        <v>132</v>
      </c>
      <c r="F2179" t="s">
        <v>120</v>
      </c>
      <c r="G2179" t="s">
        <v>251</v>
      </c>
      <c r="H2179" t="s">
        <v>410</v>
      </c>
      <c r="I2179" t="s">
        <v>127</v>
      </c>
      <c r="J2179" t="s">
        <v>7</v>
      </c>
      <c r="K2179" s="63">
        <v>20160</v>
      </c>
      <c r="L2179" s="28">
        <f>DATEDIF(K2179,Zwift25!G$1,"Y")</f>
        <v>69</v>
      </c>
      <c r="M2179" s="67">
        <f>IF(J2179="m",VLOOKUP(L2179,'All Solo Adjustments'!A:D,4,FALSE),VLOOKUP(L2179,'All Solo Adjustments'!A:J,10,FALSE))</f>
        <v>5.9722222222222225E-3</v>
      </c>
      <c r="N2179" s="63"/>
      <c r="O2179" s="63"/>
      <c r="P2179" s="63"/>
      <c r="Q2179" s="63"/>
      <c r="R2179" t="s">
        <v>213</v>
      </c>
      <c r="S2179" t="s">
        <v>1478</v>
      </c>
      <c r="T2179" t="s">
        <v>292</v>
      </c>
      <c r="U2179" t="s">
        <v>2520</v>
      </c>
      <c r="V2179" t="s">
        <v>2519</v>
      </c>
      <c r="W2179" t="s">
        <v>535</v>
      </c>
      <c r="Y2179" t="s">
        <v>2518</v>
      </c>
      <c r="Z2179" t="str">
        <f>"01743 874444"</f>
        <v>01743 874444</v>
      </c>
      <c r="AA2179" t="str">
        <f>"07962 103325"</f>
        <v>07962 103325</v>
      </c>
      <c r="AB2179" t="s">
        <v>533</v>
      </c>
      <c r="AC2179" t="s">
        <v>2521</v>
      </c>
      <c r="AD2179" t="s">
        <v>114</v>
      </c>
      <c r="AE2179" s="63">
        <v>45292</v>
      </c>
      <c r="AF2179" t="s">
        <v>113</v>
      </c>
      <c r="AG2179" t="s">
        <v>112</v>
      </c>
      <c r="AH2179" t="s">
        <v>112</v>
      </c>
      <c r="AI2179" s="63">
        <v>40580</v>
      </c>
      <c r="AJ2179" s="63">
        <v>45657</v>
      </c>
      <c r="AK2179" t="s">
        <v>111</v>
      </c>
      <c r="AL2179" t="s">
        <v>111</v>
      </c>
      <c r="AM2179" t="s">
        <v>111</v>
      </c>
      <c r="AN2179">
        <v>1615</v>
      </c>
      <c r="AO2179" t="s">
        <v>110</v>
      </c>
      <c r="AP2179" t="s">
        <v>109</v>
      </c>
    </row>
    <row r="2180" spans="1:42" x14ac:dyDescent="0.25">
      <c r="A2180" s="28" t="str">
        <f>"13013"</f>
        <v>13013</v>
      </c>
      <c r="B2180">
        <v>13013</v>
      </c>
      <c r="C2180" t="s">
        <v>2488</v>
      </c>
      <c r="D2180" t="s">
        <v>130</v>
      </c>
      <c r="F2180" t="s">
        <v>149</v>
      </c>
      <c r="G2180" t="s">
        <v>1385</v>
      </c>
      <c r="I2180" t="s">
        <v>127</v>
      </c>
      <c r="J2180" t="s">
        <v>126</v>
      </c>
      <c r="K2180" s="63">
        <v>21094</v>
      </c>
      <c r="L2180" s="28">
        <f>DATEDIF(K2180,Zwift25!G$1,"Y")</f>
        <v>67</v>
      </c>
      <c r="M2180" s="67">
        <f>IF(J2180="m",VLOOKUP(L2180,'All Solo Adjustments'!A:D,4,FALSE),VLOOKUP(L2180,'All Solo Adjustments'!A:J,10,FALSE))</f>
        <v>1.0081018518518519E-2</v>
      </c>
      <c r="N2180" s="63"/>
      <c r="O2180" s="63"/>
      <c r="P2180" s="63"/>
      <c r="Q2180" s="63"/>
      <c r="R2180" t="s">
        <v>213</v>
      </c>
      <c r="S2180" t="s">
        <v>1478</v>
      </c>
      <c r="T2180" t="s">
        <v>292</v>
      </c>
      <c r="U2180" t="s">
        <v>2520</v>
      </c>
      <c r="V2180" t="s">
        <v>2519</v>
      </c>
      <c r="W2180" t="s">
        <v>535</v>
      </c>
      <c r="Y2180" t="s">
        <v>2518</v>
      </c>
      <c r="Z2180" t="str">
        <f>"01743 874444"</f>
        <v>01743 874444</v>
      </c>
      <c r="AA2180" t="str">
        <f>"07962 103325"</f>
        <v>07962 103325</v>
      </c>
      <c r="AB2180" t="s">
        <v>533</v>
      </c>
      <c r="AC2180" t="s">
        <v>2517</v>
      </c>
      <c r="AD2180" t="s">
        <v>114</v>
      </c>
      <c r="AE2180" s="63">
        <v>45292</v>
      </c>
      <c r="AF2180" t="s">
        <v>156</v>
      </c>
      <c r="AG2180" t="s">
        <v>111</v>
      </c>
      <c r="AH2180" t="s">
        <v>111</v>
      </c>
      <c r="AI2180" s="63">
        <v>40580</v>
      </c>
      <c r="AJ2180" s="63">
        <v>45657</v>
      </c>
      <c r="AK2180" t="s">
        <v>111</v>
      </c>
      <c r="AL2180" t="s">
        <v>111</v>
      </c>
      <c r="AM2180" t="s">
        <v>111</v>
      </c>
      <c r="AN2180">
        <v>2523</v>
      </c>
      <c r="AO2180" t="s">
        <v>122</v>
      </c>
      <c r="AP2180" t="s">
        <v>122</v>
      </c>
    </row>
    <row r="2181" spans="1:42" x14ac:dyDescent="0.25">
      <c r="A2181" s="28" t="str">
        <f>"4761"</f>
        <v>4761</v>
      </c>
      <c r="B2181">
        <v>4761</v>
      </c>
      <c r="C2181" t="s">
        <v>2488</v>
      </c>
      <c r="D2181" t="s">
        <v>121</v>
      </c>
      <c r="F2181" t="s">
        <v>139</v>
      </c>
      <c r="G2181" t="s">
        <v>2516</v>
      </c>
      <c r="I2181" t="s">
        <v>119</v>
      </c>
      <c r="J2181" t="s">
        <v>126</v>
      </c>
      <c r="K2181" s="63">
        <v>16146</v>
      </c>
      <c r="L2181" s="28">
        <f>DATEDIF(K2181,Zwift25!G$1,"Y")</f>
        <v>80</v>
      </c>
      <c r="M2181" s="67">
        <f>IF(J2181="m",VLOOKUP(L2181,'All Solo Adjustments'!A:D,4,FALSE),VLOOKUP(L2181,'All Solo Adjustments'!A:J,10,FALSE))</f>
        <v>1.6828703703703703E-2</v>
      </c>
      <c r="N2181" s="63"/>
      <c r="O2181" s="63"/>
      <c r="P2181" s="63"/>
      <c r="Q2181" s="63"/>
      <c r="R2181" t="s">
        <v>184</v>
      </c>
      <c r="S2181" t="s">
        <v>183</v>
      </c>
      <c r="T2181" t="s">
        <v>292</v>
      </c>
      <c r="U2181" t="s">
        <v>1580</v>
      </c>
      <c r="V2181" t="s">
        <v>2515</v>
      </c>
      <c r="W2181" t="s">
        <v>167</v>
      </c>
      <c r="Y2181" t="s">
        <v>2514</v>
      </c>
      <c r="Z2181" t="str">
        <f>"07889 158211"</f>
        <v>07889 158211</v>
      </c>
      <c r="AA2181" t="str">
        <f>""</f>
        <v/>
      </c>
      <c r="AB2181" t="s">
        <v>1974</v>
      </c>
      <c r="AC2181" t="s">
        <v>2513</v>
      </c>
      <c r="AD2181" t="s">
        <v>114</v>
      </c>
      <c r="AE2181" s="63">
        <v>45292</v>
      </c>
      <c r="AF2181" t="s">
        <v>156</v>
      </c>
      <c r="AG2181" t="s">
        <v>112</v>
      </c>
      <c r="AH2181" t="s">
        <v>112</v>
      </c>
      <c r="AI2181" s="63">
        <v>41403</v>
      </c>
      <c r="AJ2181" s="63">
        <v>45657</v>
      </c>
      <c r="AK2181" t="s">
        <v>111</v>
      </c>
      <c r="AL2181" t="s">
        <v>111</v>
      </c>
      <c r="AM2181" t="s">
        <v>111</v>
      </c>
      <c r="AN2181">
        <v>3349</v>
      </c>
      <c r="AO2181" t="s">
        <v>122</v>
      </c>
      <c r="AP2181" t="s">
        <v>122</v>
      </c>
    </row>
    <row r="2182" spans="1:42" x14ac:dyDescent="0.25">
      <c r="A2182" s="28" t="str">
        <f>"2714"</f>
        <v>2714</v>
      </c>
      <c r="B2182">
        <v>2714</v>
      </c>
      <c r="C2182" t="s">
        <v>2488</v>
      </c>
      <c r="D2182" t="s">
        <v>121</v>
      </c>
      <c r="E2182" t="s">
        <v>584</v>
      </c>
      <c r="F2182" t="s">
        <v>120</v>
      </c>
      <c r="G2182" t="s">
        <v>506</v>
      </c>
      <c r="I2182" t="s">
        <v>119</v>
      </c>
      <c r="J2182" t="s">
        <v>7</v>
      </c>
      <c r="K2182" s="63">
        <v>18673</v>
      </c>
      <c r="L2182" s="28">
        <f>DATEDIF(K2182,Zwift25!G$1,"Y")</f>
        <v>73</v>
      </c>
      <c r="M2182" s="67">
        <f>IF(J2182="m",VLOOKUP(L2182,'All Solo Adjustments'!A:D,4,FALSE),VLOOKUP(L2182,'All Solo Adjustments'!A:J,10,FALSE))</f>
        <v>7.5462962962962966E-3</v>
      </c>
      <c r="N2182" s="63"/>
      <c r="O2182" s="63"/>
      <c r="P2182" s="63"/>
      <c r="Q2182" s="63"/>
      <c r="R2182" t="s">
        <v>239</v>
      </c>
      <c r="S2182" t="s">
        <v>274</v>
      </c>
      <c r="T2182" t="s">
        <v>292</v>
      </c>
      <c r="U2182" t="s">
        <v>2512</v>
      </c>
      <c r="V2182" t="s">
        <v>2511</v>
      </c>
      <c r="W2182" t="s">
        <v>127</v>
      </c>
      <c r="Y2182" t="s">
        <v>2510</v>
      </c>
      <c r="Z2182" t="str">
        <f>"01759 372832"</f>
        <v>01759 372832</v>
      </c>
      <c r="AA2182" t="str">
        <f>""</f>
        <v/>
      </c>
      <c r="AB2182" t="s">
        <v>272</v>
      </c>
      <c r="AC2182" t="s">
        <v>2509</v>
      </c>
      <c r="AD2182" t="s">
        <v>114</v>
      </c>
      <c r="AE2182" s="63">
        <v>45294</v>
      </c>
      <c r="AF2182" t="s">
        <v>113</v>
      </c>
      <c r="AG2182" t="s">
        <v>112</v>
      </c>
      <c r="AH2182" t="s">
        <v>112</v>
      </c>
      <c r="AI2182" s="63">
        <v>38325</v>
      </c>
      <c r="AJ2182" s="63">
        <v>45657</v>
      </c>
      <c r="AK2182" t="s">
        <v>111</v>
      </c>
      <c r="AL2182" t="s">
        <v>111</v>
      </c>
      <c r="AM2182" t="s">
        <v>111</v>
      </c>
      <c r="AN2182">
        <v>15570</v>
      </c>
      <c r="AO2182" t="s">
        <v>110</v>
      </c>
      <c r="AP2182" t="s">
        <v>109</v>
      </c>
    </row>
    <row r="2183" spans="1:42" x14ac:dyDescent="0.25">
      <c r="A2183" s="28" t="str">
        <f>"14523"</f>
        <v>14523</v>
      </c>
      <c r="B2183">
        <v>14523</v>
      </c>
      <c r="C2183" t="s">
        <v>2488</v>
      </c>
      <c r="D2183" t="s">
        <v>121</v>
      </c>
      <c r="F2183" t="s">
        <v>120</v>
      </c>
      <c r="G2183" t="s">
        <v>251</v>
      </c>
      <c r="I2183" t="s">
        <v>119</v>
      </c>
      <c r="J2183" t="s">
        <v>7</v>
      </c>
      <c r="K2183" s="63">
        <v>21926</v>
      </c>
      <c r="L2183" s="28">
        <f>DATEDIF(K2183,Zwift25!G$1,"Y")</f>
        <v>64</v>
      </c>
      <c r="M2183" s="67">
        <f>IF(J2183="m",VLOOKUP(L2183,'All Solo Adjustments'!A:D,4,FALSE),VLOOKUP(L2183,'All Solo Adjustments'!A:J,10,FALSE))</f>
        <v>4.31712962962963E-3</v>
      </c>
      <c r="N2183" s="63"/>
      <c r="O2183" s="63"/>
      <c r="P2183" s="63"/>
      <c r="Q2183" s="63"/>
      <c r="R2183" t="s">
        <v>239</v>
      </c>
      <c r="S2183" t="s">
        <v>274</v>
      </c>
      <c r="T2183" t="s">
        <v>292</v>
      </c>
      <c r="U2183" t="s">
        <v>2508</v>
      </c>
      <c r="V2183" t="s">
        <v>2072</v>
      </c>
      <c r="W2183" t="s">
        <v>627</v>
      </c>
      <c r="Y2183" t="s">
        <v>2507</v>
      </c>
      <c r="Z2183" t="str">
        <f>"07962321605"</f>
        <v>07962321605</v>
      </c>
      <c r="AA2183" t="str">
        <f>""</f>
        <v/>
      </c>
      <c r="AB2183" t="s">
        <v>566</v>
      </c>
      <c r="AC2183" t="s">
        <v>2506</v>
      </c>
      <c r="AD2183" t="s">
        <v>114</v>
      </c>
      <c r="AE2183" s="63">
        <v>45329</v>
      </c>
      <c r="AF2183" t="s">
        <v>156</v>
      </c>
      <c r="AG2183" t="s">
        <v>112</v>
      </c>
      <c r="AH2183" t="s">
        <v>112</v>
      </c>
      <c r="AI2183" s="63">
        <v>43906</v>
      </c>
      <c r="AJ2183" s="63">
        <v>45657</v>
      </c>
      <c r="AK2183" t="s">
        <v>112</v>
      </c>
      <c r="AL2183" t="s">
        <v>111</v>
      </c>
      <c r="AM2183" t="s">
        <v>111</v>
      </c>
      <c r="AN2183">
        <v>16284</v>
      </c>
      <c r="AO2183" t="s">
        <v>110</v>
      </c>
      <c r="AP2183" t="s">
        <v>109</v>
      </c>
    </row>
    <row r="2184" spans="1:42" x14ac:dyDescent="0.25">
      <c r="A2184" s="28" t="str">
        <f>"15446"</f>
        <v>15446</v>
      </c>
      <c r="B2184">
        <v>15446</v>
      </c>
      <c r="C2184" t="s">
        <v>2488</v>
      </c>
      <c r="D2184" t="s">
        <v>121</v>
      </c>
      <c r="F2184" t="s">
        <v>120</v>
      </c>
      <c r="G2184" t="s">
        <v>481</v>
      </c>
      <c r="I2184" t="s">
        <v>2505</v>
      </c>
      <c r="J2184" t="s">
        <v>7</v>
      </c>
      <c r="K2184" s="63">
        <v>23696</v>
      </c>
      <c r="L2184" s="28">
        <f>DATEDIF(K2184,Zwift25!G$1,"Y")</f>
        <v>59</v>
      </c>
      <c r="M2184" s="67">
        <f>IF(J2184="m",VLOOKUP(L2184,'All Solo Adjustments'!A:D,4,FALSE),VLOOKUP(L2184,'All Solo Adjustments'!A:J,10,FALSE))</f>
        <v>2.9629629629629632E-3</v>
      </c>
      <c r="N2184" s="63"/>
      <c r="O2184" s="63"/>
      <c r="P2184" s="63"/>
      <c r="Q2184" s="63"/>
      <c r="R2184" t="s">
        <v>137</v>
      </c>
      <c r="S2184" t="s">
        <v>136</v>
      </c>
      <c r="T2184" t="s">
        <v>292</v>
      </c>
      <c r="U2184" t="s">
        <v>2504</v>
      </c>
      <c r="V2184" t="s">
        <v>1856</v>
      </c>
      <c r="W2184" t="s">
        <v>564</v>
      </c>
      <c r="Y2184" t="s">
        <v>2503</v>
      </c>
      <c r="Z2184" t="str">
        <f>"07881 299604"</f>
        <v>07881 299604</v>
      </c>
      <c r="AA2184" t="str">
        <f>""</f>
        <v/>
      </c>
      <c r="AB2184" t="s">
        <v>2502</v>
      </c>
      <c r="AC2184" t="s">
        <v>2501</v>
      </c>
      <c r="AD2184" t="s">
        <v>114</v>
      </c>
      <c r="AE2184" s="63">
        <v>45355</v>
      </c>
      <c r="AF2184" t="s">
        <v>156</v>
      </c>
      <c r="AG2184" t="s">
        <v>112</v>
      </c>
      <c r="AH2184" t="s">
        <v>112</v>
      </c>
      <c r="AI2184" s="63">
        <v>44661</v>
      </c>
      <c r="AJ2184" s="63">
        <v>45657</v>
      </c>
      <c r="AK2184" t="s">
        <v>112</v>
      </c>
      <c r="AL2184" t="s">
        <v>112</v>
      </c>
      <c r="AM2184" t="s">
        <v>111</v>
      </c>
      <c r="AN2184">
        <v>10992</v>
      </c>
      <c r="AO2184" t="s">
        <v>110</v>
      </c>
      <c r="AP2184" t="s">
        <v>109</v>
      </c>
    </row>
    <row r="2185" spans="1:42" x14ac:dyDescent="0.25">
      <c r="A2185" s="28" t="str">
        <f>"15664"</f>
        <v>15664</v>
      </c>
      <c r="B2185">
        <v>15664</v>
      </c>
      <c r="C2185" t="s">
        <v>2488</v>
      </c>
      <c r="D2185" t="s">
        <v>121</v>
      </c>
      <c r="E2185" t="s">
        <v>2500</v>
      </c>
      <c r="F2185" t="s">
        <v>120</v>
      </c>
      <c r="G2185" t="s">
        <v>952</v>
      </c>
      <c r="I2185" t="s">
        <v>2499</v>
      </c>
      <c r="J2185" t="s">
        <v>7</v>
      </c>
      <c r="K2185" s="63">
        <v>23561</v>
      </c>
      <c r="L2185" s="28">
        <f>DATEDIF(K2185,Zwift25!G$1,"Y")</f>
        <v>60</v>
      </c>
      <c r="M2185" s="67">
        <f>IF(J2185="m",VLOOKUP(L2185,'All Solo Adjustments'!A:D,4,FALSE),VLOOKUP(L2185,'All Solo Adjustments'!A:J,10,FALSE))</f>
        <v>3.2060185185185186E-3</v>
      </c>
      <c r="N2185" s="63"/>
      <c r="O2185" s="63"/>
      <c r="P2185" s="63"/>
      <c r="Q2185" s="63"/>
      <c r="R2185" t="s">
        <v>296</v>
      </c>
      <c r="S2185" t="s">
        <v>295</v>
      </c>
      <c r="T2185" t="s">
        <v>292</v>
      </c>
      <c r="U2185" t="s">
        <v>2498</v>
      </c>
      <c r="V2185" t="s">
        <v>2497</v>
      </c>
      <c r="Y2185" t="s">
        <v>2496</v>
      </c>
      <c r="Z2185" t="str">
        <f>"07511558565"</f>
        <v>07511558565</v>
      </c>
      <c r="AA2185" t="str">
        <f>""</f>
        <v/>
      </c>
      <c r="AB2185" t="s">
        <v>1241</v>
      </c>
      <c r="AC2185" t="s">
        <v>2495</v>
      </c>
      <c r="AD2185" t="s">
        <v>114</v>
      </c>
      <c r="AE2185" s="63">
        <v>45261</v>
      </c>
      <c r="AF2185" t="s">
        <v>156</v>
      </c>
      <c r="AG2185" t="s">
        <v>112</v>
      </c>
      <c r="AH2185" t="s">
        <v>112</v>
      </c>
      <c r="AI2185" s="63">
        <v>44942</v>
      </c>
      <c r="AJ2185" s="63">
        <v>45657</v>
      </c>
      <c r="AK2185" t="s">
        <v>112</v>
      </c>
      <c r="AL2185" t="s">
        <v>111</v>
      </c>
      <c r="AM2185" t="s">
        <v>111</v>
      </c>
      <c r="AN2185">
        <v>33435</v>
      </c>
      <c r="AO2185" t="s">
        <v>110</v>
      </c>
      <c r="AP2185" t="s">
        <v>109</v>
      </c>
    </row>
    <row r="2186" spans="1:42" x14ac:dyDescent="0.25">
      <c r="A2186" s="28" t="str">
        <f>"12088"</f>
        <v>12088</v>
      </c>
      <c r="B2186">
        <v>12088</v>
      </c>
      <c r="C2186" t="s">
        <v>2488</v>
      </c>
      <c r="D2186" t="s">
        <v>121</v>
      </c>
      <c r="E2186" t="s">
        <v>584</v>
      </c>
      <c r="F2186" t="s">
        <v>120</v>
      </c>
      <c r="G2186" t="s">
        <v>2494</v>
      </c>
      <c r="I2186" t="s">
        <v>2493</v>
      </c>
      <c r="J2186" t="s">
        <v>7</v>
      </c>
      <c r="K2186" s="63">
        <v>24477</v>
      </c>
      <c r="L2186" s="28">
        <f>DATEDIF(K2186,Zwift25!G$1,"Y")</f>
        <v>57</v>
      </c>
      <c r="M2186" s="67">
        <f>IF(J2186="m",VLOOKUP(L2186,'All Solo Adjustments'!A:D,4,FALSE),VLOOKUP(L2186,'All Solo Adjustments'!A:J,10,FALSE))</f>
        <v>2.488425925925926E-3</v>
      </c>
      <c r="N2186" s="63"/>
      <c r="O2186" s="63"/>
      <c r="P2186" s="63"/>
      <c r="Q2186" s="63"/>
      <c r="R2186" t="s">
        <v>184</v>
      </c>
      <c r="S2186" t="s">
        <v>183</v>
      </c>
      <c r="T2186" t="s">
        <v>292</v>
      </c>
      <c r="U2186" t="s">
        <v>2492</v>
      </c>
      <c r="X2186" t="s">
        <v>271</v>
      </c>
      <c r="Y2186" t="s">
        <v>2491</v>
      </c>
      <c r="Z2186" t="str">
        <f>"074 36 916119"</f>
        <v>074 36 916119</v>
      </c>
      <c r="AA2186" t="str">
        <f>""</f>
        <v/>
      </c>
      <c r="AB2186" t="s">
        <v>2490</v>
      </c>
      <c r="AC2186" t="s">
        <v>2489</v>
      </c>
      <c r="AD2186" t="s">
        <v>114</v>
      </c>
      <c r="AE2186" s="63">
        <v>45262</v>
      </c>
      <c r="AF2186" t="s">
        <v>156</v>
      </c>
      <c r="AG2186" t="s">
        <v>112</v>
      </c>
      <c r="AH2186" t="s">
        <v>112</v>
      </c>
      <c r="AI2186" s="63">
        <v>43212</v>
      </c>
      <c r="AJ2186" s="63">
        <v>45657</v>
      </c>
      <c r="AK2186" t="s">
        <v>112</v>
      </c>
      <c r="AL2186" t="s">
        <v>111</v>
      </c>
      <c r="AM2186" t="s">
        <v>111</v>
      </c>
      <c r="AN2186">
        <v>21849</v>
      </c>
      <c r="AO2186" t="s">
        <v>110</v>
      </c>
      <c r="AP2186" t="s">
        <v>109</v>
      </c>
    </row>
    <row r="2187" spans="1:42" x14ac:dyDescent="0.25">
      <c r="A2187" s="28" t="str">
        <f>"15494"</f>
        <v>15494</v>
      </c>
      <c r="B2187">
        <v>15494</v>
      </c>
      <c r="C2187" t="s">
        <v>2488</v>
      </c>
      <c r="D2187" t="s">
        <v>121</v>
      </c>
      <c r="E2187" t="s">
        <v>584</v>
      </c>
      <c r="F2187" t="s">
        <v>139</v>
      </c>
      <c r="G2187" t="s">
        <v>2487</v>
      </c>
      <c r="I2187" t="s">
        <v>2486</v>
      </c>
      <c r="J2187" t="s">
        <v>126</v>
      </c>
      <c r="K2187" s="63">
        <v>29003</v>
      </c>
      <c r="L2187" s="28">
        <f>DATEDIF(K2187,Zwift25!G$1,"Y")</f>
        <v>45</v>
      </c>
      <c r="M2187" s="67">
        <f>IF(J2187="m",VLOOKUP(L2187,'All Solo Adjustments'!A:D,4,FALSE),VLOOKUP(L2187,'All Solo Adjustments'!A:J,10,FALSE))</f>
        <v>4.6180555555555558E-3</v>
      </c>
      <c r="N2187" s="63"/>
      <c r="O2187" s="63"/>
      <c r="P2187" s="63"/>
      <c r="Q2187" s="63"/>
      <c r="R2187" t="s">
        <v>239</v>
      </c>
      <c r="S2187" t="s">
        <v>274</v>
      </c>
      <c r="T2187" t="s">
        <v>292</v>
      </c>
      <c r="U2187" t="s">
        <v>2485</v>
      </c>
      <c r="V2187" t="s">
        <v>2484</v>
      </c>
      <c r="Y2187" t="s">
        <v>2483</v>
      </c>
      <c r="Z2187" t="str">
        <f>"07776130108"</f>
        <v>07776130108</v>
      </c>
      <c r="AA2187" t="str">
        <f>""</f>
        <v/>
      </c>
      <c r="AB2187" t="s">
        <v>2482</v>
      </c>
      <c r="AC2187" t="s">
        <v>2481</v>
      </c>
      <c r="AD2187" t="s">
        <v>114</v>
      </c>
      <c r="AE2187" s="63">
        <v>45262</v>
      </c>
      <c r="AF2187" t="s">
        <v>113</v>
      </c>
      <c r="AG2187" t="s">
        <v>112</v>
      </c>
      <c r="AH2187" t="s">
        <v>112</v>
      </c>
      <c r="AI2187" s="63">
        <v>44696</v>
      </c>
      <c r="AJ2187" s="63">
        <v>45657</v>
      </c>
      <c r="AK2187" t="s">
        <v>112</v>
      </c>
      <c r="AL2187" t="s">
        <v>112</v>
      </c>
      <c r="AM2187" t="s">
        <v>112</v>
      </c>
      <c r="AN2187">
        <v>40377</v>
      </c>
      <c r="AO2187" t="s">
        <v>122</v>
      </c>
      <c r="AP2187" t="s">
        <v>122</v>
      </c>
    </row>
  </sheetData>
  <autoFilter ref="A1:AP2187" xr:uid="{D2EF8F36-A14A-44B1-9112-D84B21407C44}"/>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75E29-D616-439F-801E-410B61F6627C}">
  <sheetPr codeName="Sheet12">
    <pageSetUpPr fitToPage="1"/>
  </sheetPr>
  <dimension ref="A1:AG92"/>
  <sheetViews>
    <sheetView zoomScale="66" zoomScaleNormal="66" workbookViewId="0">
      <pane xSplit="1" ySplit="3" topLeftCell="B17" activePane="bottomRight" state="frozen"/>
      <selection activeCell="A4" sqref="A4:XFD32"/>
      <selection pane="topRight" activeCell="A4" sqref="A4:XFD32"/>
      <selection pane="bottomLeft" activeCell="A4" sqref="A4:XFD32"/>
      <selection pane="bottomRight" activeCell="A4" sqref="A4:XFD32"/>
    </sheetView>
  </sheetViews>
  <sheetFormatPr defaultRowHeight="15" x14ac:dyDescent="0.25"/>
  <cols>
    <col min="1" max="1" width="14.7109375" customWidth="1"/>
    <col min="2" max="33" width="8.7109375" customWidth="1"/>
  </cols>
  <sheetData>
    <row r="1" spans="1:33" x14ac:dyDescent="0.25">
      <c r="A1" s="21"/>
      <c r="B1" s="72" t="s">
        <v>66</v>
      </c>
      <c r="C1" s="73"/>
      <c r="D1" s="73"/>
      <c r="E1" s="73"/>
      <c r="F1" s="73"/>
      <c r="G1" s="73"/>
      <c r="H1" s="73"/>
      <c r="I1" s="73"/>
      <c r="J1" s="74" t="s">
        <v>67</v>
      </c>
      <c r="K1" s="74"/>
      <c r="L1" s="74"/>
      <c r="M1" s="74"/>
      <c r="N1" s="74"/>
      <c r="O1" s="74"/>
      <c r="P1" s="74"/>
      <c r="Q1" s="74"/>
      <c r="R1" s="75" t="s">
        <v>68</v>
      </c>
      <c r="S1" s="76"/>
      <c r="T1" s="76"/>
      <c r="U1" s="76"/>
      <c r="V1" s="76"/>
      <c r="W1" s="76"/>
      <c r="X1" s="76"/>
      <c r="Y1" s="76"/>
      <c r="Z1" s="77" t="s">
        <v>69</v>
      </c>
      <c r="AA1" s="77"/>
      <c r="AB1" s="77"/>
      <c r="AC1" s="77"/>
      <c r="AD1" s="77"/>
      <c r="AE1" s="77"/>
      <c r="AF1" s="77"/>
      <c r="AG1" s="77"/>
    </row>
    <row r="2" spans="1:33" x14ac:dyDescent="0.25">
      <c r="A2" s="21" t="s">
        <v>34</v>
      </c>
      <c r="B2" s="22">
        <v>10</v>
      </c>
      <c r="C2" s="22">
        <v>15</v>
      </c>
      <c r="D2" s="22">
        <v>25</v>
      </c>
      <c r="E2" s="22">
        <v>30</v>
      </c>
      <c r="F2" s="22">
        <v>50</v>
      </c>
      <c r="G2" s="22">
        <v>100</v>
      </c>
      <c r="H2" s="22">
        <v>12</v>
      </c>
      <c r="I2" s="23">
        <v>24</v>
      </c>
      <c r="J2" s="22">
        <v>10</v>
      </c>
      <c r="K2" s="22">
        <v>15</v>
      </c>
      <c r="L2" s="22">
        <v>25</v>
      </c>
      <c r="M2" s="22">
        <v>30</v>
      </c>
      <c r="N2" s="22">
        <v>50</v>
      </c>
      <c r="O2" s="22">
        <v>100</v>
      </c>
      <c r="P2" s="22">
        <v>12</v>
      </c>
      <c r="Q2" s="22">
        <v>24</v>
      </c>
      <c r="R2" s="22">
        <v>10</v>
      </c>
      <c r="S2" s="22">
        <v>15</v>
      </c>
      <c r="T2" s="22">
        <v>25</v>
      </c>
      <c r="U2" s="22">
        <v>30</v>
      </c>
      <c r="V2" s="22">
        <v>50</v>
      </c>
      <c r="W2" s="22">
        <v>100</v>
      </c>
      <c r="X2" s="22">
        <v>12</v>
      </c>
      <c r="Y2" s="22">
        <v>24</v>
      </c>
      <c r="Z2" s="22">
        <v>10</v>
      </c>
      <c r="AA2" s="22">
        <v>15</v>
      </c>
      <c r="AB2" s="22">
        <v>25</v>
      </c>
      <c r="AC2" s="22">
        <v>30</v>
      </c>
      <c r="AD2" s="22">
        <v>50</v>
      </c>
      <c r="AE2" s="22">
        <v>100</v>
      </c>
      <c r="AF2" s="22">
        <v>12</v>
      </c>
      <c r="AG2" s="22">
        <v>24</v>
      </c>
    </row>
    <row r="3" spans="1:33" x14ac:dyDescent="0.25">
      <c r="A3" s="21" t="s">
        <v>8</v>
      </c>
      <c r="B3" s="24" t="s">
        <v>7</v>
      </c>
      <c r="C3" s="24" t="s">
        <v>7</v>
      </c>
      <c r="D3" s="24" t="s">
        <v>7</v>
      </c>
      <c r="E3" s="24" t="s">
        <v>7</v>
      </c>
      <c r="F3" s="24" t="s">
        <v>7</v>
      </c>
      <c r="G3" s="24" t="s">
        <v>7</v>
      </c>
      <c r="H3" s="22" t="s">
        <v>12</v>
      </c>
      <c r="I3" s="22" t="s">
        <v>12</v>
      </c>
      <c r="J3" s="24" t="s">
        <v>7</v>
      </c>
      <c r="K3" s="24" t="s">
        <v>7</v>
      </c>
      <c r="L3" s="24" t="s">
        <v>7</v>
      </c>
      <c r="M3" s="24" t="s">
        <v>7</v>
      </c>
      <c r="N3" s="24" t="s">
        <v>7</v>
      </c>
      <c r="O3" s="24" t="s">
        <v>7</v>
      </c>
      <c r="P3" s="22" t="s">
        <v>12</v>
      </c>
      <c r="Q3" s="22" t="s">
        <v>12</v>
      </c>
      <c r="R3" s="24" t="s">
        <v>7</v>
      </c>
      <c r="S3" s="24" t="s">
        <v>7</v>
      </c>
      <c r="T3" s="24" t="s">
        <v>7</v>
      </c>
      <c r="U3" s="24" t="s">
        <v>7</v>
      </c>
      <c r="V3" s="24" t="s">
        <v>7</v>
      </c>
      <c r="W3" s="24" t="s">
        <v>7</v>
      </c>
      <c r="X3" s="22" t="s">
        <v>12</v>
      </c>
      <c r="Y3" s="22" t="s">
        <v>12</v>
      </c>
      <c r="Z3" s="24" t="s">
        <v>7</v>
      </c>
      <c r="AA3" s="24" t="s">
        <v>7</v>
      </c>
      <c r="AB3" s="24" t="s">
        <v>7</v>
      </c>
      <c r="AC3" s="24" t="s">
        <v>7</v>
      </c>
      <c r="AD3" s="24" t="s">
        <v>7</v>
      </c>
      <c r="AE3" s="24" t="s">
        <v>7</v>
      </c>
      <c r="AF3" s="22" t="s">
        <v>12</v>
      </c>
      <c r="AG3" s="22" t="s">
        <v>12</v>
      </c>
    </row>
    <row r="4" spans="1:33" hidden="1" x14ac:dyDescent="0.25">
      <c r="A4" s="17">
        <v>11</v>
      </c>
      <c r="B4" s="53" t="str">
        <f>IF('All Solo Standards Source'!B5&lt;1/24,TEXT('All Solo Standards Source'!B5,"M:SS"),TEXT('All Solo Standards Source'!B5,"H:MM:SS"))</f>
        <v>37:10</v>
      </c>
      <c r="C4" s="53"/>
      <c r="D4" s="53"/>
      <c r="E4" s="53"/>
      <c r="F4" s="53"/>
      <c r="G4" s="53"/>
      <c r="H4" s="53"/>
      <c r="I4" s="53"/>
      <c r="J4" s="57" t="str">
        <f>IF('All Solo Standards Source'!C5&lt;1/24,TEXT('All Solo Standards Source'!C5,"M:SS"),TEXT('All Solo Standards Source'!C5,"H:MM:SS"))</f>
        <v>40:54</v>
      </c>
      <c r="K4" s="57"/>
      <c r="L4" s="57"/>
      <c r="M4" s="57"/>
      <c r="N4" s="57"/>
      <c r="O4" s="57"/>
      <c r="P4" s="57"/>
      <c r="Q4" s="57"/>
      <c r="R4" s="50" t="str">
        <f>IF('All Solo Standards Source'!D5&lt;1/24,TEXT('All Solo Standards Source'!D5,"M:SS"),TEXT('All Solo Standards Source'!D5,"H:MM:SS"))</f>
        <v>40:07</v>
      </c>
      <c r="S4" s="50"/>
      <c r="T4" s="50"/>
      <c r="U4" s="50"/>
      <c r="V4" s="50"/>
      <c r="W4" s="50"/>
      <c r="X4" s="50"/>
      <c r="Y4" s="50"/>
      <c r="Z4" s="55" t="str">
        <f>IF('All Solo Standards Source'!E5&lt;1/24,TEXT('All Solo Standards Source'!E5,"M:SS"),TEXT('All Solo Standards Source'!E5,"H:MM:SS"))</f>
        <v>44:13</v>
      </c>
      <c r="AA4" s="55"/>
      <c r="AB4" s="55"/>
      <c r="AC4" s="55"/>
      <c r="AD4" s="55"/>
      <c r="AE4" s="55"/>
      <c r="AF4" s="55"/>
      <c r="AG4" s="55"/>
    </row>
    <row r="5" spans="1:33" hidden="1" x14ac:dyDescent="0.25">
      <c r="A5" s="17">
        <v>12</v>
      </c>
      <c r="B5" s="53" t="str">
        <f>IF('All Solo Standards Source'!B6&lt;1/24,TEXT('All Solo Standards Source'!B6,"M:SS"),TEXT('All Solo Standards Source'!B6,"H:MM:SS"))</f>
        <v>32:24</v>
      </c>
      <c r="C5" s="53" t="str">
        <f>IF('All Solo Standards Source'!F6&lt;1/24,TEXT('All Solo Standards Source'!F6,"M:SS"),TEXT('All Solo Standards Source'!F6,"H:MM:SS"))</f>
        <v>49:10</v>
      </c>
      <c r="D5" s="53" t="str">
        <f>IF('All Solo Standards Source'!J6&lt;1/24,TEXT('All Solo Standards Source'!J6,"M:SS"),TEXT('All Solo Standards Source'!J6,"H:MM:SS"))</f>
        <v>1:23:57</v>
      </c>
      <c r="E5" s="53" t="str">
        <f>IF('All Solo Standards Source'!N6&lt;1/24,TEXT('All Solo Standards Source'!N6,"M:SS"),TEXT('All Solo Standards Source'!N6,"H:MM:SS"))</f>
        <v>1:42:04</v>
      </c>
      <c r="F5" s="53" t="str">
        <f>IF('All Solo Standards Source'!R6&lt;1/24,TEXT('All Solo Standards Source'!R6,"M:SS"),TEXT('All Solo Standards Source'!R6,"H:MM:SS"))</f>
        <v>3:00:44</v>
      </c>
      <c r="G5" s="53" t="str">
        <f>IF('All Solo Standards Source'!V6&lt;1/24,TEXT('All Solo Standards Source'!V6,"M:SS"),TEXT('All Solo Standards Source'!V6,"H:MM:SS"))</f>
        <v>7:52:10</v>
      </c>
      <c r="H5" s="53" t="str">
        <f>TEXT('All Solo Standards Source'!Z6,"0.00")</f>
        <v>153.44</v>
      </c>
      <c r="I5" s="53" t="str">
        <f>TEXT('All Solo Standards Source'!AD6,"0.00")</f>
        <v>277.54</v>
      </c>
      <c r="J5" s="57" t="str">
        <f>IF('All Solo Standards Source'!C6&lt;1/24,TEXT('All Solo Standards Source'!C6,"M:SS"),TEXT('All Solo Standards Source'!C6,"H:MM:SS"))</f>
        <v>35:37</v>
      </c>
      <c r="K5" s="57" t="str">
        <f>IF('All Solo Standards Source'!G6&lt;1/24,TEXT('All Solo Standards Source'!G6,"M:SS"),TEXT('All Solo Standards Source'!G6,"H:MM:SS"))</f>
        <v>54:03</v>
      </c>
      <c r="L5" s="57" t="str">
        <f>IF('All Solo Standards Source'!K6&lt;1/24,TEXT('All Solo Standards Source'!K6,"M:SS"),TEXT('All Solo Standards Source'!K6,"H:MM:SS"))</f>
        <v>1:32:19</v>
      </c>
      <c r="M5" s="57" t="str">
        <f>IF('All Solo Standards Source'!O6&lt;1/24,TEXT('All Solo Standards Source'!O6,"M:SS"),TEXT('All Solo Standards Source'!O6,"H:MM:SS"))</f>
        <v>1:52:15</v>
      </c>
      <c r="N5" s="57" t="str">
        <f>IF('All Solo Standards Source'!S6&lt;1/24,TEXT('All Solo Standards Source'!S6,"M:SS"),TEXT('All Solo Standards Source'!S6,"H:MM:SS"))</f>
        <v>3:18:51</v>
      </c>
      <c r="O5" s="57" t="str">
        <f>IF('All Solo Standards Source'!W6&lt;1/24,TEXT('All Solo Standards Source'!W6,"M:SS"),TEXT('All Solo Standards Source'!W6,"H:MM:SS"))</f>
        <v>8:40:32</v>
      </c>
      <c r="P5" s="57" t="str">
        <f>TEXT('All Solo Standards Source'!AA6,"0.00")</f>
        <v>130.74</v>
      </c>
      <c r="Q5" s="57" t="str">
        <f>TEXT('All Solo Standards Source'!AE6,"0.00")</f>
        <v>242.62</v>
      </c>
      <c r="R5" s="50" t="str">
        <f>IF('All Solo Standards Source'!D6&lt;1/24,TEXT('All Solo Standards Source'!D6,"M:SS"),TEXT('All Solo Standards Source'!D6,"H:MM:SS"))</f>
        <v>34:54</v>
      </c>
      <c r="S5" s="50" t="str">
        <f>IF('All Solo Standards Source'!H6&lt;1/24,TEXT('All Solo Standards Source'!H6,"M:SS"),TEXT('All Solo Standards Source'!H6,"H:MM:SS"))</f>
        <v>52:58</v>
      </c>
      <c r="T5" s="50" t="str">
        <f>IF('All Solo Standards Source'!L6&lt;1/24,TEXT('All Solo Standards Source'!L6,"M:SS"),TEXT('All Solo Standards Source'!L6,"H:MM:SS"))</f>
        <v>1:30:27</v>
      </c>
      <c r="U5" s="50" t="str">
        <f>IF('All Solo Standards Source'!P6&lt;1/24,TEXT('All Solo Standards Source'!P6,"M:SS"),TEXT('All Solo Standards Source'!P6,"H:MM:SS"))</f>
        <v>1:50:00</v>
      </c>
      <c r="V5" s="50" t="str">
        <f>IF('All Solo Standards Source'!T6&lt;1/24,TEXT('All Solo Standards Source'!T6,"M:SS"),TEXT('All Solo Standards Source'!T6,"H:MM:SS"))</f>
        <v>3:14:54</v>
      </c>
      <c r="W5" s="50" t="str">
        <f>IF('All Solo Standards Source'!X6&lt;1/24,TEXT('All Solo Standards Source'!X6,"M:SS"),TEXT('All Solo Standards Source'!X6,"H:MM:SS"))</f>
        <v>8:30:49</v>
      </c>
      <c r="X5" s="50" t="str">
        <f>TEXT('All Solo Standards Source'!AB6,"0.00")</f>
        <v>136.38</v>
      </c>
      <c r="Y5" s="50" t="str">
        <f>TEXT('All Solo Standards Source'!AF6,"0.00")</f>
        <v>251.03</v>
      </c>
      <c r="Z5" s="55" t="str">
        <f>IF('All Solo Standards Source'!E6&lt;1/24,TEXT('All Solo Standards Source'!E6,"M:SS"),TEXT('All Solo Standards Source'!E6,"H:MM:SS"))</f>
        <v>38:25</v>
      </c>
      <c r="AA5" s="55" t="str">
        <f>IF('All Solo Standards Source'!I6&lt;1/24,TEXT('All Solo Standards Source'!I6,"M:SS"),TEXT('All Solo Standards Source'!I6,"H:MM:SS"))</f>
        <v>58:18</v>
      </c>
      <c r="AB5" s="55" t="str">
        <f>IF('All Solo Standards Source'!M6&lt;1/24,TEXT('All Solo Standards Source'!M6,"M:SS"),TEXT('All Solo Standards Source'!M6,"H:MM:SS"))</f>
        <v>1:39:36</v>
      </c>
      <c r="AC5" s="55" t="str">
        <f>IF('All Solo Standards Source'!Q6&lt;1/24,TEXT('All Solo Standards Source'!Q6,"M:SS"),TEXT('All Solo Standards Source'!Q6,"H:MM:SS"))</f>
        <v>2:01:07</v>
      </c>
      <c r="AD5" s="55" t="str">
        <f>IF('All Solo Standards Source'!U6&lt;1/24,TEXT('All Solo Standards Source'!U6,"M:SS"),TEXT('All Solo Standards Source'!U6,"H:MM:SS"))</f>
        <v>3:34:45</v>
      </c>
      <c r="AE5" s="55" t="str">
        <f>IF('All Solo Standards Source'!Y6&lt;1/24,TEXT('All Solo Standards Source'!Y6,"M:SS"),TEXT('All Solo Standards Source'!Y6,"H:MM:SS"))</f>
        <v>9:23:49</v>
      </c>
      <c r="AF5" s="55" t="str">
        <f>TEXT('All Solo Standards Source'!AC6,"0.00")</f>
        <v>115.22</v>
      </c>
      <c r="AG5" s="55" t="str">
        <f>TEXT('All Solo Standards Source'!AG6,"0.00")</f>
        <v>217.58</v>
      </c>
    </row>
    <row r="6" spans="1:33" hidden="1" x14ac:dyDescent="0.25">
      <c r="A6" s="17">
        <v>13</v>
      </c>
      <c r="B6" s="53" t="str">
        <f>IF('All Solo Standards Source'!B7&lt;1/24,TEXT('All Solo Standards Source'!B7,"M:SS"),TEXT('All Solo Standards Source'!B7,"H:MM:SS"))</f>
        <v>29:54</v>
      </c>
      <c r="C6" s="53" t="str">
        <f>IF('All Solo Standards Source'!F7&lt;1/24,TEXT('All Solo Standards Source'!F7,"M:SS"),TEXT('All Solo Standards Source'!F7,"H:MM:SS"))</f>
        <v>45:12</v>
      </c>
      <c r="D6" s="53" t="str">
        <f>IF('All Solo Standards Source'!J7&lt;1/24,TEXT('All Solo Standards Source'!J7,"M:SS"),TEXT('All Solo Standards Source'!J7,"H:MM:SS"))</f>
        <v>1:16:36</v>
      </c>
      <c r="E6" s="53" t="str">
        <f>IF('All Solo Standards Source'!N7&lt;1/24,TEXT('All Solo Standards Source'!N7,"M:SS"),TEXT('All Solo Standards Source'!N7,"H:MM:SS"))</f>
        <v>1:32:43</v>
      </c>
      <c r="F6" s="53" t="str">
        <f>IF('All Solo Standards Source'!R7&lt;1/24,TEXT('All Solo Standards Source'!R7,"M:SS"),TEXT('All Solo Standards Source'!R7,"H:MM:SS"))</f>
        <v>2:40:45</v>
      </c>
      <c r="G6" s="53" t="str">
        <f>IF('All Solo Standards Source'!V7&lt;1/24,TEXT('All Solo Standards Source'!V7,"M:SS"),TEXT('All Solo Standards Source'!V7,"H:MM:SS"))</f>
        <v>6:12:44</v>
      </c>
      <c r="H6" s="53" t="str">
        <f>TEXT('All Solo Standards Source'!Z7,"0.00")</f>
        <v>175.29</v>
      </c>
      <c r="I6" s="53" t="str">
        <f>TEXT('All Solo Standards Source'!AD7,"0.00")</f>
        <v>305.74</v>
      </c>
      <c r="J6" s="57" t="str">
        <f>IF('All Solo Standards Source'!C7&lt;1/24,TEXT('All Solo Standards Source'!C7,"M:SS"),TEXT('All Solo Standards Source'!C7,"H:MM:SS"))</f>
        <v>32:50</v>
      </c>
      <c r="K6" s="57" t="str">
        <f>IF('All Solo Standards Source'!G7&lt;1/24,TEXT('All Solo Standards Source'!G7,"M:SS"),TEXT('All Solo Standards Source'!G7,"H:MM:SS"))</f>
        <v>49:38</v>
      </c>
      <c r="L6" s="57" t="str">
        <f>IF('All Solo Standards Source'!K7&lt;1/24,TEXT('All Solo Standards Source'!K7,"M:SS"),TEXT('All Solo Standards Source'!K7,"H:MM:SS"))</f>
        <v>1:24:08</v>
      </c>
      <c r="M6" s="57" t="str">
        <f>IF('All Solo Standards Source'!O7&lt;1/24,TEXT('All Solo Standards Source'!O7,"M:SS"),TEXT('All Solo Standards Source'!O7,"H:MM:SS"))</f>
        <v>1:41:52</v>
      </c>
      <c r="N6" s="57" t="str">
        <f>IF('All Solo Standards Source'!S7&lt;1/24,TEXT('All Solo Standards Source'!S7,"M:SS"),TEXT('All Solo Standards Source'!S7,"H:MM:SS"))</f>
        <v>2:56:39</v>
      </c>
      <c r="O6" s="57" t="str">
        <f>IF('All Solo Standards Source'!W7&lt;1/24,TEXT('All Solo Standards Source'!W7,"M:SS"),TEXT('All Solo Standards Source'!W7,"H:MM:SS"))</f>
        <v>6:50:03</v>
      </c>
      <c r="P6" s="57" t="str">
        <f>TEXT('All Solo Standards Source'!AA7,"0.00")</f>
        <v>151.35</v>
      </c>
      <c r="Q6" s="57" t="str">
        <f>TEXT('All Solo Standards Source'!AE7,"0.00")</f>
        <v>270.12</v>
      </c>
      <c r="R6" s="50" t="str">
        <f>IF('All Solo Standards Source'!D7&lt;1/24,TEXT('All Solo Standards Source'!D7,"M:SS"),TEXT('All Solo Standards Source'!D7,"H:MM:SS"))</f>
        <v>32:09</v>
      </c>
      <c r="S6" s="50" t="str">
        <f>IF('All Solo Standards Source'!H7&lt;1/24,TEXT('All Solo Standards Source'!H7,"M:SS"),TEXT('All Solo Standards Source'!H7,"H:MM:SS"))</f>
        <v>48:37</v>
      </c>
      <c r="T6" s="50" t="str">
        <f>IF('All Solo Standards Source'!L7&lt;1/24,TEXT('All Solo Standards Source'!L7,"M:SS"),TEXT('All Solo Standards Source'!L7,"H:MM:SS"))</f>
        <v>1:22:23</v>
      </c>
      <c r="U6" s="50" t="str">
        <f>IF('All Solo Standards Source'!P7&lt;1/24,TEXT('All Solo Standards Source'!P7,"M:SS"),TEXT('All Solo Standards Source'!P7,"H:MM:SS"))</f>
        <v>1:39:46</v>
      </c>
      <c r="V6" s="50" t="str">
        <f>IF('All Solo Standards Source'!T7&lt;1/24,TEXT('All Solo Standards Source'!T7,"M:SS"),TEXT('All Solo Standards Source'!T7,"H:MM:SS"))</f>
        <v>2:53:01</v>
      </c>
      <c r="W6" s="50" t="str">
        <f>IF('All Solo Standards Source'!X7&lt;1/24,TEXT('All Solo Standards Source'!X7,"M:SS"),TEXT('All Solo Standards Source'!X7,"H:MM:SS"))</f>
        <v>6:41:53</v>
      </c>
      <c r="X6" s="50" t="str">
        <f>TEXT('All Solo Standards Source'!AB7,"0.00")</f>
        <v>157.15</v>
      </c>
      <c r="Y6" s="50" t="str">
        <f>TEXT('All Solo Standards Source'!AF7,"0.00")</f>
        <v>278.62</v>
      </c>
      <c r="Z6" s="55" t="str">
        <f>IF('All Solo Standards Source'!E7&lt;1/24,TEXT('All Solo Standards Source'!E7,"M:SS"),TEXT('All Solo Standards Source'!E7,"H:MM:SS"))</f>
        <v>35:22</v>
      </c>
      <c r="AA6" s="55" t="str">
        <f>IF('All Solo Standards Source'!I7&lt;1/24,TEXT('All Solo Standards Source'!I7,"M:SS"),TEXT('All Solo Standards Source'!I7,"H:MM:SS"))</f>
        <v>53:29</v>
      </c>
      <c r="AB6" s="55" t="str">
        <f>IF('All Solo Standards Source'!M7&lt;1/24,TEXT('All Solo Standards Source'!M7,"M:SS"),TEXT('All Solo Standards Source'!M7,"H:MM:SS"))</f>
        <v>1:30:39</v>
      </c>
      <c r="AC6" s="55" t="str">
        <f>IF('All Solo Standards Source'!Q7&lt;1/24,TEXT('All Solo Standards Source'!Q7,"M:SS"),TEXT('All Solo Standards Source'!Q7,"H:MM:SS"))</f>
        <v>1:49:45</v>
      </c>
      <c r="AD6" s="55" t="str">
        <f>IF('All Solo Standards Source'!U7&lt;1/24,TEXT('All Solo Standards Source'!U7,"M:SS"),TEXT('All Solo Standards Source'!U7,"H:MM:SS"))</f>
        <v>3:10:25</v>
      </c>
      <c r="AE6" s="55" t="str">
        <f>IF('All Solo Standards Source'!Y7&lt;1/24,TEXT('All Solo Standards Source'!Y7,"M:SS"),TEXT('All Solo Standards Source'!Y7,"H:MM:SS"))</f>
        <v>7:22:47</v>
      </c>
      <c r="AF6" s="55" t="str">
        <f>TEXT('All Solo Standards Source'!AC7,"0.00")</f>
        <v>134.72</v>
      </c>
      <c r="AG6" s="55" t="str">
        <f>TEXT('All Solo Standards Source'!AG7,"0.00")</f>
        <v>244.38</v>
      </c>
    </row>
    <row r="7" spans="1:33" hidden="1" x14ac:dyDescent="0.25">
      <c r="A7" s="17">
        <v>14</v>
      </c>
      <c r="B7" s="53" t="str">
        <f>IF('All Solo Standards Source'!B8&lt;1/24,TEXT('All Solo Standards Source'!B8,"M:SS"),TEXT('All Solo Standards Source'!B8,"H:MM:SS"))</f>
        <v>28:22</v>
      </c>
      <c r="C7" s="53" t="str">
        <f>IF('All Solo Standards Source'!F8&lt;1/24,TEXT('All Solo Standards Source'!F8,"M:SS"),TEXT('All Solo Standards Source'!F8,"H:MM:SS"))</f>
        <v>42:49</v>
      </c>
      <c r="D7" s="53" t="str">
        <f>IF('All Solo Standards Source'!J8&lt;1/24,TEXT('All Solo Standards Source'!J8,"M:SS"),TEXT('All Solo Standards Source'!J8,"H:MM:SS"))</f>
        <v>1:12:16</v>
      </c>
      <c r="E7" s="53" t="str">
        <f>IF('All Solo Standards Source'!N8&lt;1/24,TEXT('All Solo Standards Source'!N8,"M:SS"),TEXT('All Solo Standards Source'!N8,"H:MM:SS"))</f>
        <v>1:27:17</v>
      </c>
      <c r="F7" s="53" t="str">
        <f>IF('All Solo Standards Source'!R8&lt;1/24,TEXT('All Solo Standards Source'!R8,"M:SS"),TEXT('All Solo Standards Source'!R8,"H:MM:SS"))</f>
        <v>2:29:39</v>
      </c>
      <c r="G7" s="53" t="str">
        <f>IF('All Solo Standards Source'!V8&lt;1/24,TEXT('All Solo Standards Source'!V8,"M:SS"),TEXT('All Solo Standards Source'!V8,"H:MM:SS"))</f>
        <v>5:29:32</v>
      </c>
      <c r="H7" s="53" t="str">
        <f>TEXT('All Solo Standards Source'!Z8,"0.00")</f>
        <v>191.67</v>
      </c>
      <c r="I7" s="53" t="str">
        <f>TEXT('All Solo Standards Source'!AD8,"0.00")</f>
        <v>327.44</v>
      </c>
      <c r="J7" s="57" t="str">
        <f>IF('All Solo Standards Source'!C8&lt;1/24,TEXT('All Solo Standards Source'!C8,"M:SS"),TEXT('All Solo Standards Source'!C8,"H:MM:SS"))</f>
        <v>31:08</v>
      </c>
      <c r="K7" s="57" t="str">
        <f>IF('All Solo Standards Source'!G8&lt;1/24,TEXT('All Solo Standards Source'!G8,"M:SS"),TEXT('All Solo Standards Source'!G8,"H:MM:SS"))</f>
        <v>47:00</v>
      </c>
      <c r="L7" s="57" t="str">
        <f>IF('All Solo Standards Source'!K8&lt;1/24,TEXT('All Solo Standards Source'!K8,"M:SS"),TEXT('All Solo Standards Source'!K8,"H:MM:SS"))</f>
        <v>1:19:20</v>
      </c>
      <c r="M7" s="57" t="str">
        <f>IF('All Solo Standards Source'!O8&lt;1/24,TEXT('All Solo Standards Source'!O8,"M:SS"),TEXT('All Solo Standards Source'!O8,"H:MM:SS"))</f>
        <v>1:35:49</v>
      </c>
      <c r="N7" s="57" t="str">
        <f>IF('All Solo Standards Source'!S8&lt;1/24,TEXT('All Solo Standards Source'!S8,"M:SS"),TEXT('All Solo Standards Source'!S8,"H:MM:SS"))</f>
        <v>2:44:19</v>
      </c>
      <c r="O7" s="57" t="str">
        <f>IF('All Solo Standards Source'!W8&lt;1/24,TEXT('All Solo Standards Source'!W8,"M:SS"),TEXT('All Solo Standards Source'!W8,"H:MM:SS"))</f>
        <v>6:02:03</v>
      </c>
      <c r="P7" s="57" t="str">
        <f>TEXT('All Solo Standards Source'!AA8,"0.00")</f>
        <v>166.72</v>
      </c>
      <c r="Q7" s="57" t="str">
        <f>TEXT('All Solo Standards Source'!AE8,"0.00")</f>
        <v>291.20</v>
      </c>
      <c r="R7" s="50" t="str">
        <f>IF('All Solo Standards Source'!D8&lt;1/24,TEXT('All Solo Standards Source'!D8,"M:SS"),TEXT('All Solo Standards Source'!D8,"H:MM:SS"))</f>
        <v>30:29</v>
      </c>
      <c r="S7" s="50" t="str">
        <f>IF('All Solo Standards Source'!H8&lt;1/24,TEXT('All Solo Standards Source'!H8,"M:SS"),TEXT('All Solo Standards Source'!H8,"H:MM:SS"))</f>
        <v>46:01</v>
      </c>
      <c r="T7" s="50" t="str">
        <f>IF('All Solo Standards Source'!L8&lt;1/24,TEXT('All Solo Standards Source'!L8,"M:SS"),TEXT('All Solo Standards Source'!L8,"H:MM:SS"))</f>
        <v>1:17:39</v>
      </c>
      <c r="U7" s="50" t="str">
        <f>IF('All Solo Standards Source'!P8&lt;1/24,TEXT('All Solo Standards Source'!P8,"M:SS"),TEXT('All Solo Standards Source'!P8,"H:MM:SS"))</f>
        <v>1:33:48</v>
      </c>
      <c r="V7" s="50" t="str">
        <f>IF('All Solo Standards Source'!T8&lt;1/24,TEXT('All Solo Standards Source'!T8,"M:SS"),TEXT('All Solo Standards Source'!T8,"H:MM:SS"))</f>
        <v>2:40:51</v>
      </c>
      <c r="W7" s="50" t="str">
        <f>IF('All Solo Standards Source'!X8&lt;1/24,TEXT('All Solo Standards Source'!X8,"M:SS"),TEXT('All Solo Standards Source'!X8,"H:MM:SS"))</f>
        <v>5:54:34</v>
      </c>
      <c r="X7" s="50" t="str">
        <f>TEXT('All Solo Standards Source'!AB8,"0.00")</f>
        <v>172.67</v>
      </c>
      <c r="Y7" s="50" t="str">
        <f>TEXT('All Solo Standards Source'!AF8,"0.00")</f>
        <v>299.79</v>
      </c>
      <c r="Z7" s="55" t="str">
        <f>IF('All Solo Standards Source'!E8&lt;1/24,TEXT('All Solo Standards Source'!E8,"M:SS"),TEXT('All Solo Standards Source'!E8,"H:MM:SS"))</f>
        <v>33:31</v>
      </c>
      <c r="AA7" s="55" t="str">
        <f>IF('All Solo Standards Source'!I8&lt;1/24,TEXT('All Solo Standards Source'!I8,"M:SS"),TEXT('All Solo Standards Source'!I8,"H:MM:SS"))</f>
        <v>50:35</v>
      </c>
      <c r="AB7" s="55" t="str">
        <f>IF('All Solo Standards Source'!M8&lt;1/24,TEXT('All Solo Standards Source'!M8,"M:SS"),TEXT('All Solo Standards Source'!M8,"H:MM:SS"))</f>
        <v>1:25:23</v>
      </c>
      <c r="AC7" s="55" t="str">
        <f>IF('All Solo Standards Source'!Q8&lt;1/24,TEXT('All Solo Standards Source'!Q8,"M:SS"),TEXT('All Solo Standards Source'!Q8,"H:MM:SS"))</f>
        <v>1:43:08</v>
      </c>
      <c r="AD7" s="55" t="str">
        <f>IF('All Solo Standards Source'!U8&lt;1/24,TEXT('All Solo Standards Source'!U8,"M:SS"),TEXT('All Solo Standards Source'!U8,"H:MM:SS"))</f>
        <v>2:56:55</v>
      </c>
      <c r="AE7" s="55" t="str">
        <f>IF('All Solo Standards Source'!Y8&lt;1/24,TEXT('All Solo Standards Source'!Y8,"M:SS"),TEXT('All Solo Standards Source'!Y8,"H:MM:SS"))</f>
        <v>6:30:12</v>
      </c>
      <c r="AF7" s="55" t="str">
        <f>TEXT('All Solo Standards Source'!AC8,"0.00")</f>
        <v>149.21</v>
      </c>
      <c r="AG7" s="55" t="str">
        <f>TEXT('All Solo Standards Source'!AG8,"0.00")</f>
        <v>264.87</v>
      </c>
    </row>
    <row r="8" spans="1:33" hidden="1" x14ac:dyDescent="0.25">
      <c r="A8" s="17">
        <v>15</v>
      </c>
      <c r="B8" s="53" t="str">
        <f>IF('All Solo Standards Source'!B9&lt;1/24,TEXT('All Solo Standards Source'!B9,"M:SS"),TEXT('All Solo Standards Source'!B9,"H:MM:SS"))</f>
        <v>27:24</v>
      </c>
      <c r="C8" s="53" t="str">
        <f>IF('All Solo Standards Source'!F9&lt;1/24,TEXT('All Solo Standards Source'!F9,"M:SS"),TEXT('All Solo Standards Source'!F9,"H:MM:SS"))</f>
        <v>41:19</v>
      </c>
      <c r="D8" s="53" t="str">
        <f>IF('All Solo Standards Source'!J9&lt;1/24,TEXT('All Solo Standards Source'!J9,"M:SS"),TEXT('All Solo Standards Source'!J9,"H:MM:SS"))</f>
        <v>1:09:33</v>
      </c>
      <c r="E8" s="53" t="str">
        <f>IF('All Solo Standards Source'!N9&lt;1/24,TEXT('All Solo Standards Source'!N9,"M:SS"),TEXT('All Solo Standards Source'!N9,"H:MM:SS"))</f>
        <v>1:23:52</v>
      </c>
      <c r="F8" s="53" t="str">
        <f>IF('All Solo Standards Source'!R9&lt;1/24,TEXT('All Solo Standards Source'!R9,"M:SS"),TEXT('All Solo Standards Source'!R9,"H:MM:SS"))</f>
        <v>2:22:53</v>
      </c>
      <c r="G8" s="53" t="str">
        <f>IF('All Solo Standards Source'!V9&lt;1/24,TEXT('All Solo Standards Source'!V9,"M:SS"),TEXT('All Solo Standards Source'!V9,"H:MM:SS"))</f>
        <v>5:05:57</v>
      </c>
      <c r="H8" s="53" t="str">
        <f>TEXT('All Solo Standards Source'!Z9,"0.00")</f>
        <v>203.74</v>
      </c>
      <c r="I8" s="53" t="str">
        <f>TEXT('All Solo Standards Source'!AD9,"0.00")</f>
        <v>343.72</v>
      </c>
      <c r="J8" s="57" t="str">
        <f>IF('All Solo Standards Source'!C9&lt;1/24,TEXT('All Solo Standards Source'!C9,"M:SS"),TEXT('All Solo Standards Source'!C9,"H:MM:SS"))</f>
        <v>30:04</v>
      </c>
      <c r="K8" s="57" t="str">
        <f>IF('All Solo Standards Source'!G9&lt;1/24,TEXT('All Solo Standards Source'!G9,"M:SS"),TEXT('All Solo Standards Source'!G9,"H:MM:SS"))</f>
        <v>45:19</v>
      </c>
      <c r="L8" s="57" t="str">
        <f>IF('All Solo Standards Source'!K9&lt;1/24,TEXT('All Solo Standards Source'!K9,"M:SS"),TEXT('All Solo Standards Source'!K9,"H:MM:SS"))</f>
        <v>1:16:18</v>
      </c>
      <c r="M8" s="57" t="str">
        <f>IF('All Solo Standards Source'!O9&lt;1/24,TEXT('All Solo Standards Source'!O9,"M:SS"),TEXT('All Solo Standards Source'!O9,"H:MM:SS"))</f>
        <v>1:32:02</v>
      </c>
      <c r="N8" s="57" t="str">
        <f>IF('All Solo Standards Source'!S9&lt;1/24,TEXT('All Solo Standards Source'!S9,"M:SS"),TEXT('All Solo Standards Source'!S9,"H:MM:SS"))</f>
        <v>2:36:47</v>
      </c>
      <c r="O8" s="57" t="str">
        <f>IF('All Solo Standards Source'!W9&lt;1/24,TEXT('All Solo Standards Source'!W9,"M:SS"),TEXT('All Solo Standards Source'!W9,"H:MM:SS"))</f>
        <v>5:35:50</v>
      </c>
      <c r="P8" s="57" t="str">
        <f>TEXT('All Solo Standards Source'!AA9,"0.00")</f>
        <v>178.02</v>
      </c>
      <c r="Q8" s="57" t="str">
        <f>TEXT('All Solo Standards Source'!AE9,"0.00")</f>
        <v>306.98</v>
      </c>
      <c r="R8" s="50" t="str">
        <f>IF('All Solo Standards Source'!D9&lt;1/24,TEXT('All Solo Standards Source'!D9,"M:SS"),TEXT('All Solo Standards Source'!D9,"H:MM:SS"))</f>
        <v>29:25</v>
      </c>
      <c r="S8" s="50" t="str">
        <f>IF('All Solo Standards Source'!H9&lt;1/24,TEXT('All Solo Standards Source'!H9,"M:SS"),TEXT('All Solo Standards Source'!H9,"H:MM:SS"))</f>
        <v>44:22</v>
      </c>
      <c r="T8" s="50" t="str">
        <f>IF('All Solo Standards Source'!L9&lt;1/24,TEXT('All Solo Standards Source'!L9,"M:SS"),TEXT('All Solo Standards Source'!L9,"H:MM:SS"))</f>
        <v>1:14:40</v>
      </c>
      <c r="U8" s="50" t="str">
        <f>IF('All Solo Standards Source'!P9&lt;1/24,TEXT('All Solo Standards Source'!P9,"M:SS"),TEXT('All Solo Standards Source'!P9,"H:MM:SS"))</f>
        <v>1:30:04</v>
      </c>
      <c r="V8" s="50" t="str">
        <f>IF('All Solo Standards Source'!T9&lt;1/24,TEXT('All Solo Standards Source'!T9,"M:SS"),TEXT('All Solo Standards Source'!T9,"H:MM:SS"))</f>
        <v>2:33:26</v>
      </c>
      <c r="W8" s="50" t="str">
        <f>IF('All Solo Standards Source'!X9&lt;1/24,TEXT('All Solo Standards Source'!X9,"M:SS"),TEXT('All Solo Standards Source'!X9,"H:MM:SS"))</f>
        <v>5:28:43</v>
      </c>
      <c r="X8" s="50" t="str">
        <f>TEXT('All Solo Standards Source'!AB9,"0.00")</f>
        <v>184.07</v>
      </c>
      <c r="Y8" s="50" t="str">
        <f>TEXT('All Solo Standards Source'!AF9,"0.00")</f>
        <v>315.65</v>
      </c>
      <c r="Z8" s="55" t="str">
        <f>IF('All Solo Standards Source'!E9&lt;1/24,TEXT('All Solo Standards Source'!E9,"M:SS"),TEXT('All Solo Standards Source'!E9,"H:MM:SS"))</f>
        <v>32:20</v>
      </c>
      <c r="AA8" s="55" t="str">
        <f>IF('All Solo Standards Source'!I9&lt;1/24,TEXT('All Solo Standards Source'!I9,"M:SS"),TEXT('All Solo Standards Source'!I9,"H:MM:SS"))</f>
        <v>48:45</v>
      </c>
      <c r="AB8" s="55" t="str">
        <f>IF('All Solo Standards Source'!M9&lt;1/24,TEXT('All Solo Standards Source'!M9,"M:SS"),TEXT('All Solo Standards Source'!M9,"H:MM:SS"))</f>
        <v>1:22:04</v>
      </c>
      <c r="AC8" s="55" t="str">
        <f>IF('All Solo Standards Source'!Q9&lt;1/24,TEXT('All Solo Standards Source'!Q9,"M:SS"),TEXT('All Solo Standards Source'!Q9,"H:MM:SS"))</f>
        <v>1:38:59</v>
      </c>
      <c r="AD8" s="55" t="str">
        <f>IF('All Solo Standards Source'!U9&lt;1/24,TEXT('All Solo Standards Source'!U9,"M:SS"),TEXT('All Solo Standards Source'!U9,"H:MM:SS"))</f>
        <v>2:48:40</v>
      </c>
      <c r="AE8" s="55" t="str">
        <f>IF('All Solo Standards Source'!Y9&lt;1/24,TEXT('All Solo Standards Source'!Y9,"M:SS"),TEXT('All Solo Standards Source'!Y9,"H:MM:SS"))</f>
        <v>6:01:29</v>
      </c>
      <c r="AF8" s="55" t="str">
        <f>TEXT('All Solo Standards Source'!AC9,"0.00")</f>
        <v>159.84</v>
      </c>
      <c r="AG8" s="55" t="str">
        <f>TEXT('All Solo Standards Source'!AG9,"0.00")</f>
        <v>280.18</v>
      </c>
    </row>
    <row r="9" spans="1:33" hidden="1" x14ac:dyDescent="0.25">
      <c r="A9" s="17">
        <v>16</v>
      </c>
      <c r="B9" s="53" t="str">
        <f>IF('All Solo Standards Source'!B10&lt;1/24,TEXT('All Solo Standards Source'!B10,"M:SS"),TEXT('All Solo Standards Source'!B10,"H:MM:SS"))</f>
        <v>26:47</v>
      </c>
      <c r="C9" s="53" t="str">
        <f>IF('All Solo Standards Source'!F10&lt;1/24,TEXT('All Solo Standards Source'!F10,"M:SS"),TEXT('All Solo Standards Source'!F10,"H:MM:SS"))</f>
        <v>40:20</v>
      </c>
      <c r="D9" s="53" t="str">
        <f>IF('All Solo Standards Source'!J10&lt;1/24,TEXT('All Solo Standards Source'!J10,"M:SS"),TEXT('All Solo Standards Source'!J10,"H:MM:SS"))</f>
        <v>1:07:48</v>
      </c>
      <c r="E9" s="53" t="str">
        <f>IF('All Solo Standards Source'!N10&lt;1/24,TEXT('All Solo Standards Source'!N10,"M:SS"),TEXT('All Solo Standards Source'!N10,"H:MM:SS"))</f>
        <v>1:21:42</v>
      </c>
      <c r="F9" s="53" t="str">
        <f>IF('All Solo Standards Source'!R10&lt;1/24,TEXT('All Solo Standards Source'!R10,"M:SS"),TEXT('All Solo Standards Source'!R10,"H:MM:SS"))</f>
        <v>2:18:38</v>
      </c>
      <c r="G9" s="53" t="str">
        <f>IF('All Solo Standards Source'!V10&lt;1/24,TEXT('All Solo Standards Source'!V10,"M:SS"),TEXT('All Solo Standards Source'!V10,"H:MM:SS"))</f>
        <v>4:52:01</v>
      </c>
      <c r="H9" s="53" t="str">
        <f>TEXT('All Solo Standards Source'!Z10,"0.00")</f>
        <v>212.29</v>
      </c>
      <c r="I9" s="53" t="str">
        <f>TEXT('All Solo Standards Source'!AD10,"0.00")</f>
        <v>355.42</v>
      </c>
      <c r="J9" s="57" t="str">
        <f>IF('All Solo Standards Source'!C10&lt;1/24,TEXT('All Solo Standards Source'!C10,"M:SS"),TEXT('All Solo Standards Source'!C10,"H:MM:SS"))</f>
        <v>29:22</v>
      </c>
      <c r="K9" s="57" t="str">
        <f>IF('All Solo Standards Source'!G10&lt;1/24,TEXT('All Solo Standards Source'!G10,"M:SS"),TEXT('All Solo Standards Source'!G10,"H:MM:SS"))</f>
        <v>44:14</v>
      </c>
      <c r="L9" s="57" t="str">
        <f>IF('All Solo Standards Source'!K10&lt;1/24,TEXT('All Solo Standards Source'!K10,"M:SS"),TEXT('All Solo Standards Source'!K10,"H:MM:SS"))</f>
        <v>1:14:21</v>
      </c>
      <c r="M9" s="57" t="str">
        <f>IF('All Solo Standards Source'!O10&lt;1/24,TEXT('All Solo Standards Source'!O10,"M:SS"),TEXT('All Solo Standards Source'!O10,"H:MM:SS"))</f>
        <v>1:29:37</v>
      </c>
      <c r="N9" s="57" t="str">
        <f>IF('All Solo Standards Source'!S10&lt;1/24,TEXT('All Solo Standards Source'!S10,"M:SS"),TEXT('All Solo Standards Source'!S10,"H:MM:SS"))</f>
        <v>2:32:04</v>
      </c>
      <c r="O9" s="57" t="str">
        <f>IF('All Solo Standards Source'!W10&lt;1/24,TEXT('All Solo Standards Source'!W10,"M:SS"),TEXT('All Solo Standards Source'!W10,"H:MM:SS"))</f>
        <v>5:20:21</v>
      </c>
      <c r="P9" s="57" t="str">
        <f>TEXT('All Solo Standards Source'!AA10,"0.00")</f>
        <v>186.01</v>
      </c>
      <c r="Q9" s="57" t="str">
        <f>TEXT('All Solo Standards Source'!AE10,"0.00")</f>
        <v>318.30</v>
      </c>
      <c r="R9" s="50" t="str">
        <f>IF('All Solo Standards Source'!D10&lt;1/24,TEXT('All Solo Standards Source'!D10,"M:SS"),TEXT('All Solo Standards Source'!D10,"H:MM:SS"))</f>
        <v>28:44</v>
      </c>
      <c r="S9" s="50" t="str">
        <f>IF('All Solo Standards Source'!H10&lt;1/24,TEXT('All Solo Standards Source'!H10,"M:SS"),TEXT('All Solo Standards Source'!H10,"H:MM:SS"))</f>
        <v>43:18</v>
      </c>
      <c r="T9" s="50" t="str">
        <f>IF('All Solo Standards Source'!L10&lt;1/24,TEXT('All Solo Standards Source'!L10,"M:SS"),TEXT('All Solo Standards Source'!L10,"H:MM:SS"))</f>
        <v>1:12:45</v>
      </c>
      <c r="U9" s="50" t="str">
        <f>IF('All Solo Standards Source'!P10&lt;1/24,TEXT('All Solo Standards Source'!P10,"M:SS"),TEXT('All Solo Standards Source'!P10,"H:MM:SS"))</f>
        <v>1:27:41</v>
      </c>
      <c r="V9" s="50" t="str">
        <f>IF('All Solo Standards Source'!T10&lt;1/24,TEXT('All Solo Standards Source'!T10,"M:SS"),TEXT('All Solo Standards Source'!T10,"H:MM:SS"))</f>
        <v>2:28:47</v>
      </c>
      <c r="W9" s="50" t="str">
        <f>IF('All Solo Standards Source'!X10&lt;1/24,TEXT('All Solo Standards Source'!X10,"M:SS"),TEXT('All Solo Standards Source'!X10,"H:MM:SS"))</f>
        <v>5:13:28</v>
      </c>
      <c r="X9" s="50" t="str">
        <f>TEXT('All Solo Standards Source'!AB10,"0.00")</f>
        <v>192.14</v>
      </c>
      <c r="Y9" s="50" t="str">
        <f>TEXT('All Solo Standards Source'!AF10,"0.00")</f>
        <v>327.02</v>
      </c>
      <c r="Z9" s="55" t="str">
        <f>IF('All Solo Standards Source'!E10&lt;1/24,TEXT('All Solo Standards Source'!E10,"M:SS"),TEXT('All Solo Standards Source'!E10,"H:MM:SS"))</f>
        <v>31:34</v>
      </c>
      <c r="AA9" s="55" t="str">
        <f>IF('All Solo Standards Source'!I10&lt;1/24,TEXT('All Solo Standards Source'!I10,"M:SS"),TEXT('All Solo Standards Source'!I10,"H:MM:SS"))</f>
        <v>47:34</v>
      </c>
      <c r="AB9" s="55" t="str">
        <f>IF('All Solo Standards Source'!M10&lt;1/24,TEXT('All Solo Standards Source'!M10,"M:SS"),TEXT('All Solo Standards Source'!M10,"H:MM:SS"))</f>
        <v>1:19:56</v>
      </c>
      <c r="AC9" s="55" t="str">
        <f>IF('All Solo Standards Source'!Q10&lt;1/24,TEXT('All Solo Standards Source'!Q10,"M:SS"),TEXT('All Solo Standards Source'!Q10,"H:MM:SS"))</f>
        <v>1:36:20</v>
      </c>
      <c r="AD9" s="55" t="str">
        <f>IF('All Solo Standards Source'!U10&lt;1/24,TEXT('All Solo Standards Source'!U10,"M:SS"),TEXT('All Solo Standards Source'!U10,"H:MM:SS"))</f>
        <v>2:43:29</v>
      </c>
      <c r="AE9" s="55" t="str">
        <f>IF('All Solo Standards Source'!Y10&lt;1/24,TEXT('All Solo Standards Source'!Y10,"M:SS"),TEXT('All Solo Standards Source'!Y10,"H:MM:SS"))</f>
        <v>5:44:32</v>
      </c>
      <c r="AF9" s="55" t="str">
        <f>TEXT('All Solo Standards Source'!AC10,"0.00")</f>
        <v>167.35</v>
      </c>
      <c r="AG9" s="55" t="str">
        <f>TEXT('All Solo Standards Source'!AG10,"0.00")</f>
        <v>291.14</v>
      </c>
    </row>
    <row r="10" spans="1:33" hidden="1" x14ac:dyDescent="0.25">
      <c r="A10" s="17">
        <v>17</v>
      </c>
      <c r="B10" s="53" t="str">
        <f>IF('All Solo Standards Source'!B11&lt;1/24,TEXT('All Solo Standards Source'!B11,"M:SS"),TEXT('All Solo Standards Source'!B11,"H:MM:SS"))</f>
        <v>26:23</v>
      </c>
      <c r="C10" s="53" t="str">
        <f>IF('All Solo Standards Source'!F11&lt;1/24,TEXT('All Solo Standards Source'!F11,"M:SS"),TEXT('All Solo Standards Source'!F11,"H:MM:SS"))</f>
        <v>39:44</v>
      </c>
      <c r="D10" s="53" t="str">
        <f>IF('All Solo Standards Source'!J11&lt;1/24,TEXT('All Solo Standards Source'!J11,"M:SS"),TEXT('All Solo Standards Source'!J11,"H:MM:SS"))</f>
        <v>1:06:44</v>
      </c>
      <c r="E10" s="53" t="str">
        <f>IF('All Solo Standards Source'!N11&lt;1/24,TEXT('All Solo Standards Source'!N11,"M:SS"),TEXT('All Solo Standards Source'!N11,"H:MM:SS"))</f>
        <v>1:20:22</v>
      </c>
      <c r="F10" s="53" t="str">
        <f>IF('All Solo Standards Source'!R11&lt;1/24,TEXT('All Solo Standards Source'!R11,"M:SS"),TEXT('All Solo Standards Source'!R11,"H:MM:SS"))</f>
        <v>2:16:03</v>
      </c>
      <c r="G10" s="53" t="str">
        <f>IF('All Solo Standards Source'!V11&lt;1/24,TEXT('All Solo Standards Source'!V11,"M:SS"),TEXT('All Solo Standards Source'!V11,"H:MM:SS"))</f>
        <v>4:43:51</v>
      </c>
      <c r="H10" s="53" t="str">
        <f>TEXT('All Solo Standards Source'!Z11,"0.00")</f>
        <v>217.91</v>
      </c>
      <c r="I10" s="53" t="str">
        <f>TEXT('All Solo Standards Source'!AD11,"0.00")</f>
        <v>363.17</v>
      </c>
      <c r="J10" s="57" t="str">
        <f>IF('All Solo Standards Source'!C11&lt;1/24,TEXT('All Solo Standards Source'!C11,"M:SS"),TEXT('All Solo Standards Source'!C11,"H:MM:SS"))</f>
        <v>28:56</v>
      </c>
      <c r="K10" s="57" t="str">
        <f>IF('All Solo Standards Source'!G11&lt;1/24,TEXT('All Solo Standards Source'!G11,"M:SS"),TEXT('All Solo Standards Source'!G11,"H:MM:SS"))</f>
        <v>43:34</v>
      </c>
      <c r="L10" s="57" t="str">
        <f>IF('All Solo Standards Source'!K11&lt;1/24,TEXT('All Solo Standards Source'!K11,"M:SS"),TEXT('All Solo Standards Source'!K11,"H:MM:SS"))</f>
        <v>1:13:10</v>
      </c>
      <c r="M10" s="57" t="str">
        <f>IF('All Solo Standards Source'!O11&lt;1/24,TEXT('All Solo Standards Source'!O11,"M:SS"),TEXT('All Solo Standards Source'!O11,"H:MM:SS"))</f>
        <v>1:28:08</v>
      </c>
      <c r="N10" s="57" t="str">
        <f>IF('All Solo Standards Source'!S11&lt;1/24,TEXT('All Solo Standards Source'!S11,"M:SS"),TEXT('All Solo Standards Source'!S11,"H:MM:SS"))</f>
        <v>2:29:12</v>
      </c>
      <c r="O10" s="57" t="str">
        <f>IF('All Solo Standards Source'!W11&lt;1/24,TEXT('All Solo Standards Source'!W11,"M:SS"),TEXT('All Solo Standards Source'!W11,"H:MM:SS"))</f>
        <v>5:11:17</v>
      </c>
      <c r="P10" s="57" t="str">
        <f>TEXT('All Solo Standards Source'!AA11,"0.00")</f>
        <v>191.26</v>
      </c>
      <c r="Q10" s="57" t="str">
        <f>TEXT('All Solo Standards Source'!AE11,"0.00")</f>
        <v>325.79</v>
      </c>
      <c r="R10" s="50" t="str">
        <f>IF('All Solo Standards Source'!D11&lt;1/24,TEXT('All Solo Standards Source'!D11,"M:SS"),TEXT('All Solo Standards Source'!D11,"H:MM:SS"))</f>
        <v>28:19</v>
      </c>
      <c r="S10" s="50" t="str">
        <f>IF('All Solo Standards Source'!H11&lt;1/24,TEXT('All Solo Standards Source'!H11,"M:SS"),TEXT('All Solo Standards Source'!H11,"H:MM:SS"))</f>
        <v>42:38</v>
      </c>
      <c r="T10" s="50" t="str">
        <f>IF('All Solo Standards Source'!L11&lt;1/24,TEXT('All Solo Standards Source'!L11,"M:SS"),TEXT('All Solo Standards Source'!L11,"H:MM:SS"))</f>
        <v>1:11:35</v>
      </c>
      <c r="U10" s="50" t="str">
        <f>IF('All Solo Standards Source'!P11&lt;1/24,TEXT('All Solo Standards Source'!P11,"M:SS"),TEXT('All Solo Standards Source'!P11,"H:MM:SS"))</f>
        <v>1:26:14</v>
      </c>
      <c r="V10" s="50" t="str">
        <f>IF('All Solo Standards Source'!T11&lt;1/24,TEXT('All Solo Standards Source'!T11,"M:SS"),TEXT('All Solo Standards Source'!T11,"H:MM:SS"))</f>
        <v>2:25:57</v>
      </c>
      <c r="W10" s="50" t="str">
        <f>IF('All Solo Standards Source'!X11&lt;1/24,TEXT('All Solo Standards Source'!X11,"M:SS"),TEXT('All Solo Standards Source'!X11,"H:MM:SS"))</f>
        <v>5:04:31</v>
      </c>
      <c r="X10" s="50" t="str">
        <f>TEXT('All Solo Standards Source'!AB11,"0.00")</f>
        <v>197.43</v>
      </c>
      <c r="Y10" s="50" t="str">
        <f>TEXT('All Solo Standards Source'!AF11,"0.00")</f>
        <v>334.55</v>
      </c>
      <c r="Z10" s="55" t="str">
        <f>IF('All Solo Standards Source'!E11&lt;1/24,TEXT('All Solo Standards Source'!E11,"M:SS"),TEXT('All Solo Standards Source'!E11,"H:MM:SS"))</f>
        <v>31:06</v>
      </c>
      <c r="AA10" s="55" t="str">
        <f>IF('All Solo Standards Source'!I11&lt;1/24,TEXT('All Solo Standards Source'!I11,"M:SS"),TEXT('All Solo Standards Source'!I11,"H:MM:SS"))</f>
        <v>46:50</v>
      </c>
      <c r="AB10" s="55" t="str">
        <f>IF('All Solo Standards Source'!M11&lt;1/24,TEXT('All Solo Standards Source'!M11,"M:SS"),TEXT('All Solo Standards Source'!M11,"H:MM:SS"))</f>
        <v>1:18:38</v>
      </c>
      <c r="AC10" s="55" t="str">
        <f>IF('All Solo Standards Source'!Q11&lt;1/24,TEXT('All Solo Standards Source'!Q11,"M:SS"),TEXT('All Solo Standards Source'!Q11,"H:MM:SS"))</f>
        <v>1:34:43</v>
      </c>
      <c r="AD10" s="55" t="str">
        <f>IF('All Solo Standards Source'!U11&lt;1/24,TEXT('All Solo Standards Source'!U11,"M:SS"),TEXT('All Solo Standards Source'!U11,"H:MM:SS"))</f>
        <v>2:40:21</v>
      </c>
      <c r="AE10" s="55" t="str">
        <f>IF('All Solo Standards Source'!Y11&lt;1/24,TEXT('All Solo Standards Source'!Y11,"M:SS"),TEXT('All Solo Standards Source'!Y11,"H:MM:SS"))</f>
        <v>5:34:35</v>
      </c>
      <c r="AF10" s="55" t="str">
        <f>TEXT('All Solo Standards Source'!AC11,"0.00")</f>
        <v>172.27</v>
      </c>
      <c r="AG10" s="55" t="str">
        <f>TEXT('All Solo Standards Source'!AG11,"0.00")</f>
        <v>298.38</v>
      </c>
    </row>
    <row r="11" spans="1:33" hidden="1" x14ac:dyDescent="0.25">
      <c r="A11" s="17">
        <v>18</v>
      </c>
      <c r="B11" s="53" t="str">
        <f>IF('All Solo Standards Source'!B12&lt;1/24,TEXT('All Solo Standards Source'!B12,"M:SS"),TEXT('All Solo Standards Source'!B12,"H:MM:SS"))</f>
        <v>26:11</v>
      </c>
      <c r="C11" s="53" t="str">
        <f>IF('All Solo Standards Source'!F12&lt;1/24,TEXT('All Solo Standards Source'!F12,"M:SS"),TEXT('All Solo Standards Source'!F12,"H:MM:SS"))</f>
        <v>39:25</v>
      </c>
      <c r="D11" s="53" t="str">
        <f>IF('All Solo Standards Source'!J12&lt;1/24,TEXT('All Solo Standards Source'!J12,"M:SS"),TEXT('All Solo Standards Source'!J12,"H:MM:SS"))</f>
        <v>1:06:10</v>
      </c>
      <c r="E11" s="53" t="str">
        <f>IF('All Solo Standards Source'!N12&lt;1/24,TEXT('All Solo Standards Source'!N12,"M:SS"),TEXT('All Solo Standards Source'!N12,"H:MM:SS"))</f>
        <v>1:19:40</v>
      </c>
      <c r="F11" s="53" t="str">
        <f>IF('All Solo Standards Source'!R12&lt;1/24,TEXT('All Solo Standards Source'!R12,"M:SS"),TEXT('All Solo Standards Source'!R12,"H:MM:SS"))</f>
        <v>2:14:42</v>
      </c>
      <c r="G11" s="53" t="str">
        <f>IF('All Solo Standards Source'!V12&lt;1/24,TEXT('All Solo Standards Source'!V12,"M:SS"),TEXT('All Solo Standards Source'!V12,"H:MM:SS"))</f>
        <v>4:39:38</v>
      </c>
      <c r="H11" s="53" t="str">
        <f>TEXT('All Solo Standards Source'!Z12,"0.00")</f>
        <v>221.01</v>
      </c>
      <c r="I11" s="53" t="str">
        <f>TEXT('All Solo Standards Source'!AD12,"0.00")</f>
        <v>367.46</v>
      </c>
      <c r="J11" s="57" t="str">
        <f>IF('All Solo Standards Source'!C12&lt;1/24,TEXT('All Solo Standards Source'!C12,"M:SS"),TEXT('All Solo Standards Source'!C12,"H:MM:SS"))</f>
        <v>28:42</v>
      </c>
      <c r="K11" s="57" t="str">
        <f>IF('All Solo Standards Source'!G12&lt;1/24,TEXT('All Solo Standards Source'!G12,"M:SS"),TEXT('All Solo Standards Source'!G12,"H:MM:SS"))</f>
        <v>43:13</v>
      </c>
      <c r="L11" s="57" t="str">
        <f>IF('All Solo Standards Source'!K12&lt;1/24,TEXT('All Solo Standards Source'!K12,"M:SS"),TEXT('All Solo Standards Source'!K12,"H:MM:SS"))</f>
        <v>1:12:32</v>
      </c>
      <c r="M11" s="57" t="str">
        <f>IF('All Solo Standards Source'!O12&lt;1/24,TEXT('All Solo Standards Source'!O12,"M:SS"),TEXT('All Solo Standards Source'!O12,"H:MM:SS"))</f>
        <v>1:27:21</v>
      </c>
      <c r="N11" s="57" t="str">
        <f>IF('All Solo Standards Source'!S12&lt;1/24,TEXT('All Solo Standards Source'!S12,"M:SS"),TEXT('All Solo Standards Source'!S12,"H:MM:SS"))</f>
        <v>2:27:41</v>
      </c>
      <c r="O11" s="57" t="str">
        <f>IF('All Solo Standards Source'!W12&lt;1/24,TEXT('All Solo Standards Source'!W12,"M:SS"),TEXT('All Solo Standards Source'!W12,"H:MM:SS"))</f>
        <v>5:06:36</v>
      </c>
      <c r="P11" s="57" t="str">
        <f>TEXT('All Solo Standards Source'!AA12,"0.00")</f>
        <v>194.14</v>
      </c>
      <c r="Q11" s="57" t="str">
        <f>TEXT('All Solo Standards Source'!AE12,"0.00")</f>
        <v>329.94</v>
      </c>
      <c r="R11" s="50" t="str">
        <f>IF('All Solo Standards Source'!D12&lt;1/24,TEXT('All Solo Standards Source'!D12,"M:SS"),TEXT('All Solo Standards Source'!D12,"H:MM:SS"))</f>
        <v>28:05</v>
      </c>
      <c r="S11" s="50" t="str">
        <f>IF('All Solo Standards Source'!H12&lt;1/24,TEXT('All Solo Standards Source'!H12,"M:SS"),TEXT('All Solo Standards Source'!H12,"H:MM:SS"))</f>
        <v>42:17</v>
      </c>
      <c r="T11" s="50" t="str">
        <f>IF('All Solo Standards Source'!L12&lt;1/24,TEXT('All Solo Standards Source'!L12,"M:SS"),TEXT('All Solo Standards Source'!L12,"H:MM:SS"))</f>
        <v>1:10:57</v>
      </c>
      <c r="U11" s="50" t="str">
        <f>IF('All Solo Standards Source'!P12&lt;1/24,TEXT('All Solo Standards Source'!P12,"M:SS"),TEXT('All Solo Standards Source'!P12,"H:MM:SS"))</f>
        <v>1:25:27</v>
      </c>
      <c r="V11" s="50" t="str">
        <f>IF('All Solo Standards Source'!T12&lt;1/24,TEXT('All Solo Standards Source'!T12,"M:SS"),TEXT('All Solo Standards Source'!T12,"H:MM:SS"))</f>
        <v>2:24:28</v>
      </c>
      <c r="W11" s="50" t="str">
        <f>IF('All Solo Standards Source'!X12&lt;1/24,TEXT('All Solo Standards Source'!X12,"M:SS"),TEXT('All Solo Standards Source'!X12,"H:MM:SS"))</f>
        <v>4:59:54</v>
      </c>
      <c r="X11" s="50" t="str">
        <f>TEXT('All Solo Standards Source'!AB12,"0.00")</f>
        <v>200.35</v>
      </c>
      <c r="Y11" s="50" t="str">
        <f>TEXT('All Solo Standards Source'!AF12,"0.00")</f>
        <v>338.71</v>
      </c>
      <c r="Z11" s="55" t="str">
        <f>IF('All Solo Standards Source'!E12&lt;1/24,TEXT('All Solo Standards Source'!E12,"M:SS"),TEXT('All Solo Standards Source'!E12,"H:MM:SS"))</f>
        <v>30:51</v>
      </c>
      <c r="AA11" s="55" t="str">
        <f>IF('All Solo Standards Source'!I12&lt;1/24,TEXT('All Solo Standards Source'!I12,"M:SS"),TEXT('All Solo Standards Source'!I12,"H:MM:SS"))</f>
        <v>46:27</v>
      </c>
      <c r="AB11" s="55" t="str">
        <f>IF('All Solo Standards Source'!M12&lt;1/24,TEXT('All Solo Standards Source'!M12,"M:SS"),TEXT('All Solo Standards Source'!M12,"H:MM:SS"))</f>
        <v>1:17:57</v>
      </c>
      <c r="AC11" s="55" t="str">
        <f>IF('All Solo Standards Source'!Q12&lt;1/24,TEXT('All Solo Standards Source'!Q12,"M:SS"),TEXT('All Solo Standards Source'!Q12,"H:MM:SS"))</f>
        <v>1:33:51</v>
      </c>
      <c r="AD11" s="55" t="str">
        <f>IF('All Solo Standards Source'!U12&lt;1/24,TEXT('All Solo Standards Source'!U12,"M:SS"),TEXT('All Solo Standards Source'!U12,"H:MM:SS"))</f>
        <v>2:38:42</v>
      </c>
      <c r="AE11" s="55" t="str">
        <f>IF('All Solo Standards Source'!Y12&lt;1/24,TEXT('All Solo Standards Source'!Y12,"M:SS"),TEXT('All Solo Standards Source'!Y12,"H:MM:SS"))</f>
        <v>5:29:27</v>
      </c>
      <c r="AF11" s="55" t="str">
        <f>TEXT('All Solo Standards Source'!AC12,"0.00")</f>
        <v>174.98</v>
      </c>
      <c r="AG11" s="55" t="str">
        <f>TEXT('All Solo Standards Source'!AG12,"0.00")</f>
        <v>302.39</v>
      </c>
    </row>
    <row r="12" spans="1:33" hidden="1" x14ac:dyDescent="0.25">
      <c r="A12" s="17">
        <v>19</v>
      </c>
      <c r="B12" s="53" t="str">
        <f>IF('All Solo Standards Source'!B13&lt;1/24,TEXT('All Solo Standards Source'!B13,"M:SS"),TEXT('All Solo Standards Source'!B13,"H:MM:SS"))</f>
        <v>26:08</v>
      </c>
      <c r="C12" s="53" t="str">
        <f>IF('All Solo Standards Source'!F13&lt;1/24,TEXT('All Solo Standards Source'!F13,"M:SS"),TEXT('All Solo Standards Source'!F13,"H:MM:SS"))</f>
        <v>39:20</v>
      </c>
      <c r="D12" s="53" t="str">
        <f>IF('All Solo Standards Source'!J13&lt;1/24,TEXT('All Solo Standards Source'!J13,"M:SS"),TEXT('All Solo Standards Source'!J13,"H:MM:SS"))</f>
        <v>1:06:00</v>
      </c>
      <c r="E12" s="53" t="str">
        <f>IF('All Solo Standards Source'!N13&lt;1/24,TEXT('All Solo Standards Source'!N13,"M:SS"),TEXT('All Solo Standards Source'!N13,"H:MM:SS"))</f>
        <v>1:19:28</v>
      </c>
      <c r="F12" s="53" t="str">
        <f>IF('All Solo Standards Source'!R13&lt;1/24,TEXT('All Solo Standards Source'!R13,"M:SS"),TEXT('All Solo Standards Source'!R13,"H:MM:SS"))</f>
        <v>2:14:19</v>
      </c>
      <c r="G12" s="53" t="str">
        <f>IF('All Solo Standards Source'!V13&lt;1/24,TEXT('All Solo Standards Source'!V13,"M:SS"),TEXT('All Solo Standards Source'!V13,"H:MM:SS"))</f>
        <v>4:38:27</v>
      </c>
      <c r="H12" s="53" t="str">
        <f>TEXT('All Solo Standards Source'!Z13,"0.00")</f>
        <v>221.90</v>
      </c>
      <c r="I12" s="53" t="str">
        <f>TEXT('All Solo Standards Source'!AD13,"0.00")</f>
        <v>368.69</v>
      </c>
      <c r="J12" s="57" t="str">
        <f>IF('All Solo Standards Source'!C13&lt;1/24,TEXT('All Solo Standards Source'!C13,"M:SS"),TEXT('All Solo Standards Source'!C13,"H:MM:SS"))</f>
        <v>28:39</v>
      </c>
      <c r="K12" s="57" t="str">
        <f>IF('All Solo Standards Source'!G13&lt;1/24,TEXT('All Solo Standards Source'!G13,"M:SS"),TEXT('All Solo Standards Source'!G13,"H:MM:SS"))</f>
        <v>43:07</v>
      </c>
      <c r="L12" s="57" t="str">
        <f>IF('All Solo Standards Source'!K13&lt;1/24,TEXT('All Solo Standards Source'!K13,"M:SS"),TEXT('All Solo Standards Source'!K13,"H:MM:SS"))</f>
        <v>1:12:22</v>
      </c>
      <c r="M12" s="57" t="str">
        <f>IF('All Solo Standards Source'!O13&lt;1/24,TEXT('All Solo Standards Source'!O13,"M:SS"),TEXT('All Solo Standards Source'!O13,"H:MM:SS"))</f>
        <v>1:27:08</v>
      </c>
      <c r="N12" s="57" t="str">
        <f>IF('All Solo Standards Source'!S13&lt;1/24,TEXT('All Solo Standards Source'!S13,"M:SS"),TEXT('All Solo Standards Source'!S13,"H:MM:SS"))</f>
        <v>2:27:16</v>
      </c>
      <c r="O12" s="57" t="str">
        <f>IF('All Solo Standards Source'!W13&lt;1/24,TEXT('All Solo Standards Source'!W13,"M:SS"),TEXT('All Solo Standards Source'!W13,"H:MM:SS"))</f>
        <v>5:05:17</v>
      </c>
      <c r="P12" s="57" t="str">
        <f>TEXT('All Solo Standards Source'!AA13,"0.00")</f>
        <v>194.97</v>
      </c>
      <c r="Q12" s="57" t="str">
        <f>TEXT('All Solo Standards Source'!AE13,"0.00")</f>
        <v>331.13</v>
      </c>
      <c r="R12" s="50" t="str">
        <f>IF('All Solo Standards Source'!D13&lt;1/24,TEXT('All Solo Standards Source'!D13,"M:SS"),TEXT('All Solo Standards Source'!D13,"H:MM:SS"))</f>
        <v>28:01</v>
      </c>
      <c r="S12" s="50" t="str">
        <f>IF('All Solo Standards Source'!H13&lt;1/24,TEXT('All Solo Standards Source'!H13,"M:SS"),TEXT('All Solo Standards Source'!H13,"H:MM:SS"))</f>
        <v>42:11</v>
      </c>
      <c r="T12" s="50" t="str">
        <f>IF('All Solo Standards Source'!L13&lt;1/24,TEXT('All Solo Standards Source'!L13,"M:SS"),TEXT('All Solo Standards Source'!L13,"H:MM:SS"))</f>
        <v>1:10:47</v>
      </c>
      <c r="U12" s="50" t="str">
        <f>IF('All Solo Standards Source'!P13&lt;1/24,TEXT('All Solo Standards Source'!P13,"M:SS"),TEXT('All Solo Standards Source'!P13,"H:MM:SS"))</f>
        <v>1:25:14</v>
      </c>
      <c r="V12" s="50" t="str">
        <f>IF('All Solo Standards Source'!T13&lt;1/24,TEXT('All Solo Standards Source'!T13,"M:SS"),TEXT('All Solo Standards Source'!T13,"H:MM:SS"))</f>
        <v>2:24:03</v>
      </c>
      <c r="W12" s="50" t="str">
        <f>IF('All Solo Standards Source'!X13&lt;1/24,TEXT('All Solo Standards Source'!X13,"M:SS"),TEXT('All Solo Standards Source'!X13,"H:MM:SS"))</f>
        <v>4:58:37</v>
      </c>
      <c r="X12" s="50" t="str">
        <f>TEXT('All Solo Standards Source'!AB13,"0.00")</f>
        <v>201.18</v>
      </c>
      <c r="Y12" s="50" t="str">
        <f>TEXT('All Solo Standards Source'!AF13,"0.00")</f>
        <v>339.91</v>
      </c>
      <c r="Z12" s="55" t="str">
        <f>IF('All Solo Standards Source'!E13&lt;1/24,TEXT('All Solo Standards Source'!E13,"M:SS"),TEXT('All Solo Standards Source'!E13,"H:MM:SS"))</f>
        <v>30:47</v>
      </c>
      <c r="AA12" s="55" t="str">
        <f>IF('All Solo Standards Source'!I13&lt;1/24,TEXT('All Solo Standards Source'!I13,"M:SS"),TEXT('All Solo Standards Source'!I13,"H:MM:SS"))</f>
        <v>46:20</v>
      </c>
      <c r="AB12" s="55" t="str">
        <f>IF('All Solo Standards Source'!M13&lt;1/24,TEXT('All Solo Standards Source'!M13,"M:SS"),TEXT('All Solo Standards Source'!M13,"H:MM:SS"))</f>
        <v>1:17:45</v>
      </c>
      <c r="AC12" s="55" t="str">
        <f>IF('All Solo Standards Source'!Q13&lt;1/24,TEXT('All Solo Standards Source'!Q13,"M:SS"),TEXT('All Solo Standards Source'!Q13,"H:MM:SS"))</f>
        <v>1:33:37</v>
      </c>
      <c r="AD12" s="55" t="str">
        <f>IF('All Solo Standards Source'!U13&lt;1/24,TEXT('All Solo Standards Source'!U13,"M:SS"),TEXT('All Solo Standards Source'!U13,"H:MM:SS"))</f>
        <v>2:38:14</v>
      </c>
      <c r="AE12" s="55" t="str">
        <f>IF('All Solo Standards Source'!Y13&lt;1/24,TEXT('All Solo Standards Source'!Y13,"M:SS"),TEXT('All Solo Standards Source'!Y13,"H:MM:SS"))</f>
        <v>5:28:01</v>
      </c>
      <c r="AF12" s="55" t="str">
        <f>TEXT('All Solo Standards Source'!AC13,"0.00")</f>
        <v>175.75</v>
      </c>
      <c r="AG12" s="55" t="str">
        <f>TEXT('All Solo Standards Source'!AG13,"0.00")</f>
        <v>303.54</v>
      </c>
    </row>
    <row r="13" spans="1:33" hidden="1" x14ac:dyDescent="0.25">
      <c r="A13" s="17">
        <v>20</v>
      </c>
      <c r="B13" s="53" t="str">
        <f>IF('All Solo Standards Source'!B14&lt;1/24,TEXT('All Solo Standards Source'!B14,"M:SS"),TEXT('All Solo Standards Source'!B14,"H:MM:SS"))</f>
        <v>26:08</v>
      </c>
      <c r="C13" s="53" t="str">
        <f>IF('All Solo Standards Source'!F14&lt;1/24,TEXT('All Solo Standards Source'!F14,"M:SS"),TEXT('All Solo Standards Source'!F14,"H:MM:SS"))</f>
        <v>39:20</v>
      </c>
      <c r="D13" s="53" t="str">
        <f>IF('All Solo Standards Source'!J14&lt;1/24,TEXT('All Solo Standards Source'!J14,"M:SS"),TEXT('All Solo Standards Source'!J14,"H:MM:SS"))</f>
        <v>1:06:00</v>
      </c>
      <c r="E13" s="53" t="str">
        <f>IF('All Solo Standards Source'!N14&lt;1/24,TEXT('All Solo Standards Source'!N14,"M:SS"),TEXT('All Solo Standards Source'!N14,"H:MM:SS"))</f>
        <v>1:19:28</v>
      </c>
      <c r="F13" s="53" t="str">
        <f>IF('All Solo Standards Source'!R14&lt;1/24,TEXT('All Solo Standards Source'!R14,"M:SS"),TEXT('All Solo Standards Source'!R14,"H:MM:SS"))</f>
        <v>2:14:19</v>
      </c>
      <c r="G13" s="53" t="str">
        <f>IF('All Solo Standards Source'!V14&lt;1/24,TEXT('All Solo Standards Source'!V14,"M:SS"),TEXT('All Solo Standards Source'!V14,"H:MM:SS"))</f>
        <v>4:38:27</v>
      </c>
      <c r="H13" s="53" t="str">
        <f>TEXT('All Solo Standards Source'!Z14,"0.00")</f>
        <v>221.90</v>
      </c>
      <c r="I13" s="53" t="str">
        <f>TEXT('All Solo Standards Source'!AD14,"0.00")</f>
        <v>368.69</v>
      </c>
      <c r="J13" s="57" t="str">
        <f>IF('All Solo Standards Source'!C14&lt;1/24,TEXT('All Solo Standards Source'!C14,"M:SS"),TEXT('All Solo Standards Source'!C14,"H:MM:SS"))</f>
        <v>28:39</v>
      </c>
      <c r="K13" s="57" t="str">
        <f>IF('All Solo Standards Source'!G14&lt;1/24,TEXT('All Solo Standards Source'!G14,"M:SS"),TEXT('All Solo Standards Source'!G14,"H:MM:SS"))</f>
        <v>43:07</v>
      </c>
      <c r="L13" s="57" t="str">
        <f>IF('All Solo Standards Source'!K14&lt;1/24,TEXT('All Solo Standards Source'!K14,"M:SS"),TEXT('All Solo Standards Source'!K14,"H:MM:SS"))</f>
        <v>1:12:22</v>
      </c>
      <c r="M13" s="57" t="str">
        <f>IF('All Solo Standards Source'!O14&lt;1/24,TEXT('All Solo Standards Source'!O14,"M:SS"),TEXT('All Solo Standards Source'!O14,"H:MM:SS"))</f>
        <v>1:27:08</v>
      </c>
      <c r="N13" s="57" t="str">
        <f>IF('All Solo Standards Source'!S14&lt;1/24,TEXT('All Solo Standards Source'!S14,"M:SS"),TEXT('All Solo Standards Source'!S14,"H:MM:SS"))</f>
        <v>2:27:16</v>
      </c>
      <c r="O13" s="57" t="str">
        <f>IF('All Solo Standards Source'!W14&lt;1/24,TEXT('All Solo Standards Source'!W14,"M:SS"),TEXT('All Solo Standards Source'!W14,"H:MM:SS"))</f>
        <v>5:05:17</v>
      </c>
      <c r="P13" s="57" t="str">
        <f>TEXT('All Solo Standards Source'!AA14,"0.00")</f>
        <v>194.97</v>
      </c>
      <c r="Q13" s="57" t="str">
        <f>TEXT('All Solo Standards Source'!AE14,"0.00")</f>
        <v>331.13</v>
      </c>
      <c r="R13" s="50" t="str">
        <f>IF('All Solo Standards Source'!D14&lt;1/24,TEXT('All Solo Standards Source'!D14,"M:SS"),TEXT('All Solo Standards Source'!D14,"H:MM:SS"))</f>
        <v>28:01</v>
      </c>
      <c r="S13" s="50" t="str">
        <f>IF('All Solo Standards Source'!H14&lt;1/24,TEXT('All Solo Standards Source'!H14,"M:SS"),TEXT('All Solo Standards Source'!H14,"H:MM:SS"))</f>
        <v>42:11</v>
      </c>
      <c r="T13" s="50" t="str">
        <f>IF('All Solo Standards Source'!L14&lt;1/24,TEXT('All Solo Standards Source'!L14,"M:SS"),TEXT('All Solo Standards Source'!L14,"H:MM:SS"))</f>
        <v>1:10:47</v>
      </c>
      <c r="U13" s="50" t="str">
        <f>IF('All Solo Standards Source'!P14&lt;1/24,TEXT('All Solo Standards Source'!P14,"M:SS"),TEXT('All Solo Standards Source'!P14,"H:MM:SS"))</f>
        <v>1:25:14</v>
      </c>
      <c r="V13" s="50" t="str">
        <f>IF('All Solo Standards Source'!T14&lt;1/24,TEXT('All Solo Standards Source'!T14,"M:SS"),TEXT('All Solo Standards Source'!T14,"H:MM:SS"))</f>
        <v>2:24:03</v>
      </c>
      <c r="W13" s="50" t="str">
        <f>IF('All Solo Standards Source'!X14&lt;1/24,TEXT('All Solo Standards Source'!X14,"M:SS"),TEXT('All Solo Standards Source'!X14,"H:MM:SS"))</f>
        <v>4:58:37</v>
      </c>
      <c r="X13" s="50" t="str">
        <f>TEXT('All Solo Standards Source'!AB14,"0.00")</f>
        <v>201.18</v>
      </c>
      <c r="Y13" s="50" t="str">
        <f>TEXT('All Solo Standards Source'!AF14,"0.00")</f>
        <v>339.91</v>
      </c>
      <c r="Z13" s="55" t="str">
        <f>IF('All Solo Standards Source'!E14&lt;1/24,TEXT('All Solo Standards Source'!E14,"M:SS"),TEXT('All Solo Standards Source'!E14,"H:MM:SS"))</f>
        <v>30:47</v>
      </c>
      <c r="AA13" s="55" t="str">
        <f>IF('All Solo Standards Source'!I14&lt;1/24,TEXT('All Solo Standards Source'!I14,"M:SS"),TEXT('All Solo Standards Source'!I14,"H:MM:SS"))</f>
        <v>46:20</v>
      </c>
      <c r="AB13" s="55" t="str">
        <f>IF('All Solo Standards Source'!M14&lt;1/24,TEXT('All Solo Standards Source'!M14,"M:SS"),TEXT('All Solo Standards Source'!M14,"H:MM:SS"))</f>
        <v>1:17:45</v>
      </c>
      <c r="AC13" s="55" t="str">
        <f>IF('All Solo Standards Source'!Q14&lt;1/24,TEXT('All Solo Standards Source'!Q14,"M:SS"),TEXT('All Solo Standards Source'!Q14,"H:MM:SS"))</f>
        <v>1:33:37</v>
      </c>
      <c r="AD13" s="55" t="str">
        <f>IF('All Solo Standards Source'!U14&lt;1/24,TEXT('All Solo Standards Source'!U14,"M:SS"),TEXT('All Solo Standards Source'!U14,"H:MM:SS"))</f>
        <v>2:38:14</v>
      </c>
      <c r="AE13" s="55" t="str">
        <f>IF('All Solo Standards Source'!Y14&lt;1/24,TEXT('All Solo Standards Source'!Y14,"M:SS"),TEXT('All Solo Standards Source'!Y14,"H:MM:SS"))</f>
        <v>5:28:01</v>
      </c>
      <c r="AF13" s="55" t="str">
        <f>TEXT('All Solo Standards Source'!AC14,"0.00")</f>
        <v>175.75</v>
      </c>
      <c r="AG13" s="55" t="str">
        <f>TEXT('All Solo Standards Source'!AG14,"0.00")</f>
        <v>303.54</v>
      </c>
    </row>
    <row r="14" spans="1:33" hidden="1" x14ac:dyDescent="0.25">
      <c r="A14" s="17">
        <v>21</v>
      </c>
      <c r="B14" s="53" t="str">
        <f>IF('All Solo Standards Source'!B15&lt;1/24,TEXT('All Solo Standards Source'!B15,"M:SS"),TEXT('All Solo Standards Source'!B15,"H:MM:SS"))</f>
        <v>26:08</v>
      </c>
      <c r="C14" s="53" t="str">
        <f>IF('All Solo Standards Source'!F15&lt;1/24,TEXT('All Solo Standards Source'!F15,"M:SS"),TEXT('All Solo Standards Source'!F15,"H:MM:SS"))</f>
        <v>39:20</v>
      </c>
      <c r="D14" s="53" t="str">
        <f>IF('All Solo Standards Source'!J15&lt;1/24,TEXT('All Solo Standards Source'!J15,"M:SS"),TEXT('All Solo Standards Source'!J15,"H:MM:SS"))</f>
        <v>1:06:00</v>
      </c>
      <c r="E14" s="53" t="str">
        <f>IF('All Solo Standards Source'!N15&lt;1/24,TEXT('All Solo Standards Source'!N15,"M:SS"),TEXT('All Solo Standards Source'!N15,"H:MM:SS"))</f>
        <v>1:19:28</v>
      </c>
      <c r="F14" s="53" t="str">
        <f>IF('All Solo Standards Source'!R15&lt;1/24,TEXT('All Solo Standards Source'!R15,"M:SS"),TEXT('All Solo Standards Source'!R15,"H:MM:SS"))</f>
        <v>2:14:19</v>
      </c>
      <c r="G14" s="53" t="str">
        <f>IF('All Solo Standards Source'!V15&lt;1/24,TEXT('All Solo Standards Source'!V15,"M:SS"),TEXT('All Solo Standards Source'!V15,"H:MM:SS"))</f>
        <v>4:38:27</v>
      </c>
      <c r="H14" s="53" t="str">
        <f>TEXT('All Solo Standards Source'!Z15,"0.00")</f>
        <v>221.90</v>
      </c>
      <c r="I14" s="53" t="str">
        <f>TEXT('All Solo Standards Source'!AD15,"0.00")</f>
        <v>368.69</v>
      </c>
      <c r="J14" s="57" t="str">
        <f>IF('All Solo Standards Source'!C15&lt;1/24,TEXT('All Solo Standards Source'!C15,"M:SS"),TEXT('All Solo Standards Source'!C15,"H:MM:SS"))</f>
        <v>28:39</v>
      </c>
      <c r="K14" s="57" t="str">
        <f>IF('All Solo Standards Source'!G15&lt;1/24,TEXT('All Solo Standards Source'!G15,"M:SS"),TEXT('All Solo Standards Source'!G15,"H:MM:SS"))</f>
        <v>43:07</v>
      </c>
      <c r="L14" s="57" t="str">
        <f>IF('All Solo Standards Source'!K15&lt;1/24,TEXT('All Solo Standards Source'!K15,"M:SS"),TEXT('All Solo Standards Source'!K15,"H:MM:SS"))</f>
        <v>1:12:22</v>
      </c>
      <c r="M14" s="57" t="str">
        <f>IF('All Solo Standards Source'!O15&lt;1/24,TEXT('All Solo Standards Source'!O15,"M:SS"),TEXT('All Solo Standards Source'!O15,"H:MM:SS"))</f>
        <v>1:27:08</v>
      </c>
      <c r="N14" s="57" t="str">
        <f>IF('All Solo Standards Source'!S15&lt;1/24,TEXT('All Solo Standards Source'!S15,"M:SS"),TEXT('All Solo Standards Source'!S15,"H:MM:SS"))</f>
        <v>2:27:16</v>
      </c>
      <c r="O14" s="57" t="str">
        <f>IF('All Solo Standards Source'!W15&lt;1/24,TEXT('All Solo Standards Source'!W15,"M:SS"),TEXT('All Solo Standards Source'!W15,"H:MM:SS"))</f>
        <v>5:05:17</v>
      </c>
      <c r="P14" s="57" t="str">
        <f>TEXT('All Solo Standards Source'!AA15,"0.00")</f>
        <v>194.97</v>
      </c>
      <c r="Q14" s="57" t="str">
        <f>TEXT('All Solo Standards Source'!AE15,"0.00")</f>
        <v>331.13</v>
      </c>
      <c r="R14" s="50" t="str">
        <f>IF('All Solo Standards Source'!D15&lt;1/24,TEXT('All Solo Standards Source'!D15,"M:SS"),TEXT('All Solo Standards Source'!D15,"H:MM:SS"))</f>
        <v>28:01</v>
      </c>
      <c r="S14" s="50" t="str">
        <f>IF('All Solo Standards Source'!H15&lt;1/24,TEXT('All Solo Standards Source'!H15,"M:SS"),TEXT('All Solo Standards Source'!H15,"H:MM:SS"))</f>
        <v>42:11</v>
      </c>
      <c r="T14" s="50" t="str">
        <f>IF('All Solo Standards Source'!L15&lt;1/24,TEXT('All Solo Standards Source'!L15,"M:SS"),TEXT('All Solo Standards Source'!L15,"H:MM:SS"))</f>
        <v>1:10:47</v>
      </c>
      <c r="U14" s="50" t="str">
        <f>IF('All Solo Standards Source'!P15&lt;1/24,TEXT('All Solo Standards Source'!P15,"M:SS"),TEXT('All Solo Standards Source'!P15,"H:MM:SS"))</f>
        <v>1:25:14</v>
      </c>
      <c r="V14" s="50" t="str">
        <f>IF('All Solo Standards Source'!T15&lt;1/24,TEXT('All Solo Standards Source'!T15,"M:SS"),TEXT('All Solo Standards Source'!T15,"H:MM:SS"))</f>
        <v>2:24:03</v>
      </c>
      <c r="W14" s="50" t="str">
        <f>IF('All Solo Standards Source'!X15&lt;1/24,TEXT('All Solo Standards Source'!X15,"M:SS"),TEXT('All Solo Standards Source'!X15,"H:MM:SS"))</f>
        <v>4:58:37</v>
      </c>
      <c r="X14" s="50" t="str">
        <f>TEXT('All Solo Standards Source'!AB15,"0.00")</f>
        <v>201.18</v>
      </c>
      <c r="Y14" s="50" t="str">
        <f>TEXT('All Solo Standards Source'!AF15,"0.00")</f>
        <v>339.91</v>
      </c>
      <c r="Z14" s="55" t="str">
        <f>IF('All Solo Standards Source'!E15&lt;1/24,TEXT('All Solo Standards Source'!E15,"M:SS"),TEXT('All Solo Standards Source'!E15,"H:MM:SS"))</f>
        <v>30:47</v>
      </c>
      <c r="AA14" s="55" t="str">
        <f>IF('All Solo Standards Source'!I15&lt;1/24,TEXT('All Solo Standards Source'!I15,"M:SS"),TEXT('All Solo Standards Source'!I15,"H:MM:SS"))</f>
        <v>46:20</v>
      </c>
      <c r="AB14" s="55" t="str">
        <f>IF('All Solo Standards Source'!M15&lt;1/24,TEXT('All Solo Standards Source'!M15,"M:SS"),TEXT('All Solo Standards Source'!M15,"H:MM:SS"))</f>
        <v>1:17:45</v>
      </c>
      <c r="AC14" s="55" t="str">
        <f>IF('All Solo Standards Source'!Q15&lt;1/24,TEXT('All Solo Standards Source'!Q15,"M:SS"),TEXT('All Solo Standards Source'!Q15,"H:MM:SS"))</f>
        <v>1:33:37</v>
      </c>
      <c r="AD14" s="55" t="str">
        <f>IF('All Solo Standards Source'!U15&lt;1/24,TEXT('All Solo Standards Source'!U15,"M:SS"),TEXT('All Solo Standards Source'!U15,"H:MM:SS"))</f>
        <v>2:38:14</v>
      </c>
      <c r="AE14" s="55" t="str">
        <f>IF('All Solo Standards Source'!Y15&lt;1/24,TEXT('All Solo Standards Source'!Y15,"M:SS"),TEXT('All Solo Standards Source'!Y15,"H:MM:SS"))</f>
        <v>5:28:01</v>
      </c>
      <c r="AF14" s="55" t="str">
        <f>TEXT('All Solo Standards Source'!AC15,"0.00")</f>
        <v>175.75</v>
      </c>
      <c r="AG14" s="55" t="str">
        <f>TEXT('All Solo Standards Source'!AG15,"0.00")</f>
        <v>303.54</v>
      </c>
    </row>
    <row r="15" spans="1:33" hidden="1" x14ac:dyDescent="0.25">
      <c r="A15" s="17">
        <v>22</v>
      </c>
      <c r="B15" s="53" t="str">
        <f>IF('All Solo Standards Source'!B16&lt;1/24,TEXT('All Solo Standards Source'!B16,"M:SS"),TEXT('All Solo Standards Source'!B16,"H:MM:SS"))</f>
        <v>26:08</v>
      </c>
      <c r="C15" s="53" t="str">
        <f>IF('All Solo Standards Source'!F16&lt;1/24,TEXT('All Solo Standards Source'!F16,"M:SS"),TEXT('All Solo Standards Source'!F16,"H:MM:SS"))</f>
        <v>39:20</v>
      </c>
      <c r="D15" s="53" t="str">
        <f>IF('All Solo Standards Source'!J16&lt;1/24,TEXT('All Solo Standards Source'!J16,"M:SS"),TEXT('All Solo Standards Source'!J16,"H:MM:SS"))</f>
        <v>1:06:00</v>
      </c>
      <c r="E15" s="53" t="str">
        <f>IF('All Solo Standards Source'!N16&lt;1/24,TEXT('All Solo Standards Source'!N16,"M:SS"),TEXT('All Solo Standards Source'!N16,"H:MM:SS"))</f>
        <v>1:19:28</v>
      </c>
      <c r="F15" s="53" t="str">
        <f>IF('All Solo Standards Source'!R16&lt;1/24,TEXT('All Solo Standards Source'!R16,"M:SS"),TEXT('All Solo Standards Source'!R16,"H:MM:SS"))</f>
        <v>2:14:19</v>
      </c>
      <c r="G15" s="53" t="str">
        <f>IF('All Solo Standards Source'!V16&lt;1/24,TEXT('All Solo Standards Source'!V16,"M:SS"),TEXT('All Solo Standards Source'!V16,"H:MM:SS"))</f>
        <v>4:38:27</v>
      </c>
      <c r="H15" s="53" t="str">
        <f>TEXT('All Solo Standards Source'!Z16,"0.00")</f>
        <v>221.90</v>
      </c>
      <c r="I15" s="53" t="str">
        <f>TEXT('All Solo Standards Source'!AD16,"0.00")</f>
        <v>368.69</v>
      </c>
      <c r="J15" s="57" t="str">
        <f>IF('All Solo Standards Source'!C16&lt;1/24,TEXT('All Solo Standards Source'!C16,"M:SS"),TEXT('All Solo Standards Source'!C16,"H:MM:SS"))</f>
        <v>28:39</v>
      </c>
      <c r="K15" s="57" t="str">
        <f>IF('All Solo Standards Source'!G16&lt;1/24,TEXT('All Solo Standards Source'!G16,"M:SS"),TEXT('All Solo Standards Source'!G16,"H:MM:SS"))</f>
        <v>43:07</v>
      </c>
      <c r="L15" s="57" t="str">
        <f>IF('All Solo Standards Source'!K16&lt;1/24,TEXT('All Solo Standards Source'!K16,"M:SS"),TEXT('All Solo Standards Source'!K16,"H:MM:SS"))</f>
        <v>1:12:22</v>
      </c>
      <c r="M15" s="57" t="str">
        <f>IF('All Solo Standards Source'!O16&lt;1/24,TEXT('All Solo Standards Source'!O16,"M:SS"),TEXT('All Solo Standards Source'!O16,"H:MM:SS"))</f>
        <v>1:27:08</v>
      </c>
      <c r="N15" s="57" t="str">
        <f>IF('All Solo Standards Source'!S16&lt;1/24,TEXT('All Solo Standards Source'!S16,"M:SS"),TEXT('All Solo Standards Source'!S16,"H:MM:SS"))</f>
        <v>2:27:16</v>
      </c>
      <c r="O15" s="57" t="str">
        <f>IF('All Solo Standards Source'!W16&lt;1/24,TEXT('All Solo Standards Source'!W16,"M:SS"),TEXT('All Solo Standards Source'!W16,"H:MM:SS"))</f>
        <v>5:05:17</v>
      </c>
      <c r="P15" s="57" t="str">
        <f>TEXT('All Solo Standards Source'!AA16,"0.00")</f>
        <v>194.97</v>
      </c>
      <c r="Q15" s="57" t="str">
        <f>TEXT('All Solo Standards Source'!AE16,"0.00")</f>
        <v>331.13</v>
      </c>
      <c r="R15" s="50" t="str">
        <f>IF('All Solo Standards Source'!D16&lt;1/24,TEXT('All Solo Standards Source'!D16,"M:SS"),TEXT('All Solo Standards Source'!D16,"H:MM:SS"))</f>
        <v>28:01</v>
      </c>
      <c r="S15" s="50" t="str">
        <f>IF('All Solo Standards Source'!H16&lt;1/24,TEXT('All Solo Standards Source'!H16,"M:SS"),TEXT('All Solo Standards Source'!H16,"H:MM:SS"))</f>
        <v>42:11</v>
      </c>
      <c r="T15" s="50" t="str">
        <f>IF('All Solo Standards Source'!L16&lt;1/24,TEXT('All Solo Standards Source'!L16,"M:SS"),TEXT('All Solo Standards Source'!L16,"H:MM:SS"))</f>
        <v>1:10:47</v>
      </c>
      <c r="U15" s="50" t="str">
        <f>IF('All Solo Standards Source'!P16&lt;1/24,TEXT('All Solo Standards Source'!P16,"M:SS"),TEXT('All Solo Standards Source'!P16,"H:MM:SS"))</f>
        <v>1:25:14</v>
      </c>
      <c r="V15" s="50" t="str">
        <f>IF('All Solo Standards Source'!T16&lt;1/24,TEXT('All Solo Standards Source'!T16,"M:SS"),TEXT('All Solo Standards Source'!T16,"H:MM:SS"))</f>
        <v>2:24:03</v>
      </c>
      <c r="W15" s="50" t="str">
        <f>IF('All Solo Standards Source'!X16&lt;1/24,TEXT('All Solo Standards Source'!X16,"M:SS"),TEXT('All Solo Standards Source'!X16,"H:MM:SS"))</f>
        <v>4:58:37</v>
      </c>
      <c r="X15" s="50" t="str">
        <f>TEXT('All Solo Standards Source'!AB16,"0.00")</f>
        <v>201.18</v>
      </c>
      <c r="Y15" s="50" t="str">
        <f>TEXT('All Solo Standards Source'!AF16,"0.00")</f>
        <v>339.91</v>
      </c>
      <c r="Z15" s="55" t="str">
        <f>IF('All Solo Standards Source'!E16&lt;1/24,TEXT('All Solo Standards Source'!E16,"M:SS"),TEXT('All Solo Standards Source'!E16,"H:MM:SS"))</f>
        <v>30:47</v>
      </c>
      <c r="AA15" s="55" t="str">
        <f>IF('All Solo Standards Source'!I16&lt;1/24,TEXT('All Solo Standards Source'!I16,"M:SS"),TEXT('All Solo Standards Source'!I16,"H:MM:SS"))</f>
        <v>46:20</v>
      </c>
      <c r="AB15" s="55" t="str">
        <f>IF('All Solo Standards Source'!M16&lt;1/24,TEXT('All Solo Standards Source'!M16,"M:SS"),TEXT('All Solo Standards Source'!M16,"H:MM:SS"))</f>
        <v>1:17:45</v>
      </c>
      <c r="AC15" s="55" t="str">
        <f>IF('All Solo Standards Source'!Q16&lt;1/24,TEXT('All Solo Standards Source'!Q16,"M:SS"),TEXT('All Solo Standards Source'!Q16,"H:MM:SS"))</f>
        <v>1:33:37</v>
      </c>
      <c r="AD15" s="55" t="str">
        <f>IF('All Solo Standards Source'!U16&lt;1/24,TEXT('All Solo Standards Source'!U16,"M:SS"),TEXT('All Solo Standards Source'!U16,"H:MM:SS"))</f>
        <v>2:38:14</v>
      </c>
      <c r="AE15" s="55" t="str">
        <f>IF('All Solo Standards Source'!Y16&lt;1/24,TEXT('All Solo Standards Source'!Y16,"M:SS"),TEXT('All Solo Standards Source'!Y16,"H:MM:SS"))</f>
        <v>5:28:01</v>
      </c>
      <c r="AF15" s="55" t="str">
        <f>TEXT('All Solo Standards Source'!AC16,"0.00")</f>
        <v>175.75</v>
      </c>
      <c r="AG15" s="55" t="str">
        <f>TEXT('All Solo Standards Source'!AG16,"0.00")</f>
        <v>303.54</v>
      </c>
    </row>
    <row r="16" spans="1:33" hidden="1" x14ac:dyDescent="0.25">
      <c r="A16" s="17">
        <v>23</v>
      </c>
      <c r="B16" s="53" t="str">
        <f>IF('All Solo Standards Source'!B17&lt;1/24,TEXT('All Solo Standards Source'!B17,"M:SS"),TEXT('All Solo Standards Source'!B17,"H:MM:SS"))</f>
        <v>26:08</v>
      </c>
      <c r="C16" s="53" t="str">
        <f>IF('All Solo Standards Source'!F17&lt;1/24,TEXT('All Solo Standards Source'!F17,"M:SS"),TEXT('All Solo Standards Source'!F17,"H:MM:SS"))</f>
        <v>39:20</v>
      </c>
      <c r="D16" s="53" t="str">
        <f>IF('All Solo Standards Source'!J17&lt;1/24,TEXT('All Solo Standards Source'!J17,"M:SS"),TEXT('All Solo Standards Source'!J17,"H:MM:SS"))</f>
        <v>1:06:00</v>
      </c>
      <c r="E16" s="53" t="str">
        <f>IF('All Solo Standards Source'!N17&lt;1/24,TEXT('All Solo Standards Source'!N17,"M:SS"),TEXT('All Solo Standards Source'!N17,"H:MM:SS"))</f>
        <v>1:19:28</v>
      </c>
      <c r="F16" s="53" t="str">
        <f>IF('All Solo Standards Source'!R17&lt;1/24,TEXT('All Solo Standards Source'!R17,"M:SS"),TEXT('All Solo Standards Source'!R17,"H:MM:SS"))</f>
        <v>2:14:19</v>
      </c>
      <c r="G16" s="53" t="str">
        <f>IF('All Solo Standards Source'!V17&lt;1/24,TEXT('All Solo Standards Source'!V17,"M:SS"),TEXT('All Solo Standards Source'!V17,"H:MM:SS"))</f>
        <v>4:38:27</v>
      </c>
      <c r="H16" s="53" t="str">
        <f>TEXT('All Solo Standards Source'!Z17,"0.00")</f>
        <v>221.90</v>
      </c>
      <c r="I16" s="53" t="str">
        <f>TEXT('All Solo Standards Source'!AD17,"0.00")</f>
        <v>368.69</v>
      </c>
      <c r="J16" s="57" t="str">
        <f>IF('All Solo Standards Source'!C17&lt;1/24,TEXT('All Solo Standards Source'!C17,"M:SS"),TEXT('All Solo Standards Source'!C17,"H:MM:SS"))</f>
        <v>28:39</v>
      </c>
      <c r="K16" s="57" t="str">
        <f>IF('All Solo Standards Source'!G17&lt;1/24,TEXT('All Solo Standards Source'!G17,"M:SS"),TEXT('All Solo Standards Source'!G17,"H:MM:SS"))</f>
        <v>43:07</v>
      </c>
      <c r="L16" s="57" t="str">
        <f>IF('All Solo Standards Source'!K17&lt;1/24,TEXT('All Solo Standards Source'!K17,"M:SS"),TEXT('All Solo Standards Source'!K17,"H:MM:SS"))</f>
        <v>1:12:22</v>
      </c>
      <c r="M16" s="57" t="str">
        <f>IF('All Solo Standards Source'!O17&lt;1/24,TEXT('All Solo Standards Source'!O17,"M:SS"),TEXT('All Solo Standards Source'!O17,"H:MM:SS"))</f>
        <v>1:27:08</v>
      </c>
      <c r="N16" s="57" t="str">
        <f>IF('All Solo Standards Source'!S17&lt;1/24,TEXT('All Solo Standards Source'!S17,"M:SS"),TEXT('All Solo Standards Source'!S17,"H:MM:SS"))</f>
        <v>2:27:16</v>
      </c>
      <c r="O16" s="57" t="str">
        <f>IF('All Solo Standards Source'!W17&lt;1/24,TEXT('All Solo Standards Source'!W17,"M:SS"),TEXT('All Solo Standards Source'!W17,"H:MM:SS"))</f>
        <v>5:05:17</v>
      </c>
      <c r="P16" s="57" t="str">
        <f>TEXT('All Solo Standards Source'!AA17,"0.00")</f>
        <v>194.97</v>
      </c>
      <c r="Q16" s="57" t="str">
        <f>TEXT('All Solo Standards Source'!AE17,"0.00")</f>
        <v>331.13</v>
      </c>
      <c r="R16" s="50" t="str">
        <f>IF('All Solo Standards Source'!D17&lt;1/24,TEXT('All Solo Standards Source'!D17,"M:SS"),TEXT('All Solo Standards Source'!D17,"H:MM:SS"))</f>
        <v>28:01</v>
      </c>
      <c r="S16" s="50" t="str">
        <f>IF('All Solo Standards Source'!H17&lt;1/24,TEXT('All Solo Standards Source'!H17,"M:SS"),TEXT('All Solo Standards Source'!H17,"H:MM:SS"))</f>
        <v>42:11</v>
      </c>
      <c r="T16" s="50" t="str">
        <f>IF('All Solo Standards Source'!L17&lt;1/24,TEXT('All Solo Standards Source'!L17,"M:SS"),TEXT('All Solo Standards Source'!L17,"H:MM:SS"))</f>
        <v>1:10:47</v>
      </c>
      <c r="U16" s="50" t="str">
        <f>IF('All Solo Standards Source'!P17&lt;1/24,TEXT('All Solo Standards Source'!P17,"M:SS"),TEXT('All Solo Standards Source'!P17,"H:MM:SS"))</f>
        <v>1:25:14</v>
      </c>
      <c r="V16" s="50" t="str">
        <f>IF('All Solo Standards Source'!T17&lt;1/24,TEXT('All Solo Standards Source'!T17,"M:SS"),TEXT('All Solo Standards Source'!T17,"H:MM:SS"))</f>
        <v>2:24:03</v>
      </c>
      <c r="W16" s="50" t="str">
        <f>IF('All Solo Standards Source'!X17&lt;1/24,TEXT('All Solo Standards Source'!X17,"M:SS"),TEXT('All Solo Standards Source'!X17,"H:MM:SS"))</f>
        <v>4:58:37</v>
      </c>
      <c r="X16" s="50" t="str">
        <f>TEXT('All Solo Standards Source'!AB17,"0.00")</f>
        <v>201.18</v>
      </c>
      <c r="Y16" s="50" t="str">
        <f>TEXT('All Solo Standards Source'!AF17,"0.00")</f>
        <v>339.91</v>
      </c>
      <c r="Z16" s="55" t="str">
        <f>IF('All Solo Standards Source'!E17&lt;1/24,TEXT('All Solo Standards Source'!E17,"M:SS"),TEXT('All Solo Standards Source'!E17,"H:MM:SS"))</f>
        <v>30:47</v>
      </c>
      <c r="AA16" s="55" t="str">
        <f>IF('All Solo Standards Source'!I17&lt;1/24,TEXT('All Solo Standards Source'!I17,"M:SS"),TEXT('All Solo Standards Source'!I17,"H:MM:SS"))</f>
        <v>46:20</v>
      </c>
      <c r="AB16" s="55" t="str">
        <f>IF('All Solo Standards Source'!M17&lt;1/24,TEXT('All Solo Standards Source'!M17,"M:SS"),TEXT('All Solo Standards Source'!M17,"H:MM:SS"))</f>
        <v>1:17:45</v>
      </c>
      <c r="AC16" s="55" t="str">
        <f>IF('All Solo Standards Source'!Q17&lt;1/24,TEXT('All Solo Standards Source'!Q17,"M:SS"),TEXT('All Solo Standards Source'!Q17,"H:MM:SS"))</f>
        <v>1:33:37</v>
      </c>
      <c r="AD16" s="55" t="str">
        <f>IF('All Solo Standards Source'!U17&lt;1/24,TEXT('All Solo Standards Source'!U17,"M:SS"),TEXT('All Solo Standards Source'!U17,"H:MM:SS"))</f>
        <v>2:38:14</v>
      </c>
      <c r="AE16" s="55" t="str">
        <f>IF('All Solo Standards Source'!Y17&lt;1/24,TEXT('All Solo Standards Source'!Y17,"M:SS"),TEXT('All Solo Standards Source'!Y17,"H:MM:SS"))</f>
        <v>5:28:01</v>
      </c>
      <c r="AF16" s="55" t="str">
        <f>TEXT('All Solo Standards Source'!AC17,"0.00")</f>
        <v>175.75</v>
      </c>
      <c r="AG16" s="55" t="str">
        <f>TEXT('All Solo Standards Source'!AG17,"0.00")</f>
        <v>303.54</v>
      </c>
    </row>
    <row r="17" spans="1:33" hidden="1" x14ac:dyDescent="0.25">
      <c r="A17" s="17">
        <v>24</v>
      </c>
      <c r="B17" s="53" t="str">
        <f>IF('All Solo Standards Source'!B18&lt;1/24,TEXT('All Solo Standards Source'!B18,"M:SS"),TEXT('All Solo Standards Source'!B18,"H:MM:SS"))</f>
        <v>26:08</v>
      </c>
      <c r="C17" s="53" t="str">
        <f>IF('All Solo Standards Source'!F18&lt;1/24,TEXT('All Solo Standards Source'!F18,"M:SS"),TEXT('All Solo Standards Source'!F18,"H:MM:SS"))</f>
        <v>39:20</v>
      </c>
      <c r="D17" s="53" t="str">
        <f>IF('All Solo Standards Source'!J18&lt;1/24,TEXT('All Solo Standards Source'!J18,"M:SS"),TEXT('All Solo Standards Source'!J18,"H:MM:SS"))</f>
        <v>1:06:00</v>
      </c>
      <c r="E17" s="53" t="str">
        <f>IF('All Solo Standards Source'!N18&lt;1/24,TEXT('All Solo Standards Source'!N18,"M:SS"),TEXT('All Solo Standards Source'!N18,"H:MM:SS"))</f>
        <v>1:19:28</v>
      </c>
      <c r="F17" s="53" t="str">
        <f>IF('All Solo Standards Source'!R18&lt;1/24,TEXT('All Solo Standards Source'!R18,"M:SS"),TEXT('All Solo Standards Source'!R18,"H:MM:SS"))</f>
        <v>2:14:19</v>
      </c>
      <c r="G17" s="53" t="str">
        <f>IF('All Solo Standards Source'!V18&lt;1/24,TEXT('All Solo Standards Source'!V18,"M:SS"),TEXT('All Solo Standards Source'!V18,"H:MM:SS"))</f>
        <v>4:38:27</v>
      </c>
      <c r="H17" s="53" t="str">
        <f>TEXT('All Solo Standards Source'!Z18,"0.00")</f>
        <v>221.90</v>
      </c>
      <c r="I17" s="53" t="str">
        <f>TEXT('All Solo Standards Source'!AD18,"0.00")</f>
        <v>368.69</v>
      </c>
      <c r="J17" s="57" t="str">
        <f>IF('All Solo Standards Source'!C18&lt;1/24,TEXT('All Solo Standards Source'!C18,"M:SS"),TEXT('All Solo Standards Source'!C18,"H:MM:SS"))</f>
        <v>28:39</v>
      </c>
      <c r="K17" s="57" t="str">
        <f>IF('All Solo Standards Source'!G18&lt;1/24,TEXT('All Solo Standards Source'!G18,"M:SS"),TEXT('All Solo Standards Source'!G18,"H:MM:SS"))</f>
        <v>43:07</v>
      </c>
      <c r="L17" s="57" t="str">
        <f>IF('All Solo Standards Source'!K18&lt;1/24,TEXT('All Solo Standards Source'!K18,"M:SS"),TEXT('All Solo Standards Source'!K18,"H:MM:SS"))</f>
        <v>1:12:22</v>
      </c>
      <c r="M17" s="57" t="str">
        <f>IF('All Solo Standards Source'!O18&lt;1/24,TEXT('All Solo Standards Source'!O18,"M:SS"),TEXT('All Solo Standards Source'!O18,"H:MM:SS"))</f>
        <v>1:27:08</v>
      </c>
      <c r="N17" s="57" t="str">
        <f>IF('All Solo Standards Source'!S18&lt;1/24,TEXT('All Solo Standards Source'!S18,"M:SS"),TEXT('All Solo Standards Source'!S18,"H:MM:SS"))</f>
        <v>2:27:16</v>
      </c>
      <c r="O17" s="57" t="str">
        <f>IF('All Solo Standards Source'!W18&lt;1/24,TEXT('All Solo Standards Source'!W18,"M:SS"),TEXT('All Solo Standards Source'!W18,"H:MM:SS"))</f>
        <v>5:05:17</v>
      </c>
      <c r="P17" s="57" t="str">
        <f>TEXT('All Solo Standards Source'!AA18,"0.00")</f>
        <v>194.97</v>
      </c>
      <c r="Q17" s="57" t="str">
        <f>TEXT('All Solo Standards Source'!AE18,"0.00")</f>
        <v>331.13</v>
      </c>
      <c r="R17" s="50" t="str">
        <f>IF('All Solo Standards Source'!D18&lt;1/24,TEXT('All Solo Standards Source'!D18,"M:SS"),TEXT('All Solo Standards Source'!D18,"H:MM:SS"))</f>
        <v>28:01</v>
      </c>
      <c r="S17" s="50" t="str">
        <f>IF('All Solo Standards Source'!H18&lt;1/24,TEXT('All Solo Standards Source'!H18,"M:SS"),TEXT('All Solo Standards Source'!H18,"H:MM:SS"))</f>
        <v>42:11</v>
      </c>
      <c r="T17" s="50" t="str">
        <f>IF('All Solo Standards Source'!L18&lt;1/24,TEXT('All Solo Standards Source'!L18,"M:SS"),TEXT('All Solo Standards Source'!L18,"H:MM:SS"))</f>
        <v>1:10:47</v>
      </c>
      <c r="U17" s="50" t="str">
        <f>IF('All Solo Standards Source'!P18&lt;1/24,TEXT('All Solo Standards Source'!P18,"M:SS"),TEXT('All Solo Standards Source'!P18,"H:MM:SS"))</f>
        <v>1:25:14</v>
      </c>
      <c r="V17" s="50" t="str">
        <f>IF('All Solo Standards Source'!T18&lt;1/24,TEXT('All Solo Standards Source'!T18,"M:SS"),TEXT('All Solo Standards Source'!T18,"H:MM:SS"))</f>
        <v>2:24:03</v>
      </c>
      <c r="W17" s="50" t="str">
        <f>IF('All Solo Standards Source'!X18&lt;1/24,TEXT('All Solo Standards Source'!X18,"M:SS"),TEXT('All Solo Standards Source'!X18,"H:MM:SS"))</f>
        <v>4:58:37</v>
      </c>
      <c r="X17" s="50" t="str">
        <f>TEXT('All Solo Standards Source'!AB18,"0.00")</f>
        <v>201.18</v>
      </c>
      <c r="Y17" s="50" t="str">
        <f>TEXT('All Solo Standards Source'!AF18,"0.00")</f>
        <v>339.91</v>
      </c>
      <c r="Z17" s="55" t="str">
        <f>IF('All Solo Standards Source'!E18&lt;1/24,TEXT('All Solo Standards Source'!E18,"M:SS"),TEXT('All Solo Standards Source'!E18,"H:MM:SS"))</f>
        <v>30:47</v>
      </c>
      <c r="AA17" s="55" t="str">
        <f>IF('All Solo Standards Source'!I18&lt;1/24,TEXT('All Solo Standards Source'!I18,"M:SS"),TEXT('All Solo Standards Source'!I18,"H:MM:SS"))</f>
        <v>46:20</v>
      </c>
      <c r="AB17" s="55" t="str">
        <f>IF('All Solo Standards Source'!M18&lt;1/24,TEXT('All Solo Standards Source'!M18,"M:SS"),TEXT('All Solo Standards Source'!M18,"H:MM:SS"))</f>
        <v>1:17:45</v>
      </c>
      <c r="AC17" s="55" t="str">
        <f>IF('All Solo Standards Source'!Q18&lt;1/24,TEXT('All Solo Standards Source'!Q18,"M:SS"),TEXT('All Solo Standards Source'!Q18,"H:MM:SS"))</f>
        <v>1:33:37</v>
      </c>
      <c r="AD17" s="55" t="str">
        <f>IF('All Solo Standards Source'!U18&lt;1/24,TEXT('All Solo Standards Source'!U18,"M:SS"),TEXT('All Solo Standards Source'!U18,"H:MM:SS"))</f>
        <v>2:38:14</v>
      </c>
      <c r="AE17" s="55" t="str">
        <f>IF('All Solo Standards Source'!Y18&lt;1/24,TEXT('All Solo Standards Source'!Y18,"M:SS"),TEXT('All Solo Standards Source'!Y18,"H:MM:SS"))</f>
        <v>5:28:01</v>
      </c>
      <c r="AF17" s="55" t="str">
        <f>TEXT('All Solo Standards Source'!AC18,"0.00")</f>
        <v>175.75</v>
      </c>
      <c r="AG17" s="55" t="str">
        <f>TEXT('All Solo Standards Source'!AG18,"0.00")</f>
        <v>303.54</v>
      </c>
    </row>
    <row r="18" spans="1:33" hidden="1" x14ac:dyDescent="0.25">
      <c r="A18" s="17">
        <v>25</v>
      </c>
      <c r="B18" s="53" t="str">
        <f>IF('All Solo Standards Source'!B19&lt;1/24,TEXT('All Solo Standards Source'!B19,"M:SS"),TEXT('All Solo Standards Source'!B19,"H:MM:SS"))</f>
        <v>26:08</v>
      </c>
      <c r="C18" s="53" t="str">
        <f>IF('All Solo Standards Source'!F19&lt;1/24,TEXT('All Solo Standards Source'!F19,"M:SS"),TEXT('All Solo Standards Source'!F19,"H:MM:SS"))</f>
        <v>39:20</v>
      </c>
      <c r="D18" s="53" t="str">
        <f>IF('All Solo Standards Source'!J19&lt;1/24,TEXT('All Solo Standards Source'!J19,"M:SS"),TEXT('All Solo Standards Source'!J19,"H:MM:SS"))</f>
        <v>1:06:00</v>
      </c>
      <c r="E18" s="53" t="str">
        <f>IF('All Solo Standards Source'!N19&lt;1/24,TEXT('All Solo Standards Source'!N19,"M:SS"),TEXT('All Solo Standards Source'!N19,"H:MM:SS"))</f>
        <v>1:19:28</v>
      </c>
      <c r="F18" s="53" t="str">
        <f>IF('All Solo Standards Source'!R19&lt;1/24,TEXT('All Solo Standards Source'!R19,"M:SS"),TEXT('All Solo Standards Source'!R19,"H:MM:SS"))</f>
        <v>2:14:19</v>
      </c>
      <c r="G18" s="53" t="str">
        <f>IF('All Solo Standards Source'!V19&lt;1/24,TEXT('All Solo Standards Source'!V19,"M:SS"),TEXT('All Solo Standards Source'!V19,"H:MM:SS"))</f>
        <v>4:38:27</v>
      </c>
      <c r="H18" s="53" t="str">
        <f>TEXT('All Solo Standards Source'!Z19,"0.00")</f>
        <v>221.90</v>
      </c>
      <c r="I18" s="53" t="str">
        <f>TEXT('All Solo Standards Source'!AD19,"0.00")</f>
        <v>368.69</v>
      </c>
      <c r="J18" s="57" t="str">
        <f>IF('All Solo Standards Source'!C19&lt;1/24,TEXT('All Solo Standards Source'!C19,"M:SS"),TEXT('All Solo Standards Source'!C19,"H:MM:SS"))</f>
        <v>28:39</v>
      </c>
      <c r="K18" s="57" t="str">
        <f>IF('All Solo Standards Source'!G19&lt;1/24,TEXT('All Solo Standards Source'!G19,"M:SS"),TEXT('All Solo Standards Source'!G19,"H:MM:SS"))</f>
        <v>43:07</v>
      </c>
      <c r="L18" s="57" t="str">
        <f>IF('All Solo Standards Source'!K19&lt;1/24,TEXT('All Solo Standards Source'!K19,"M:SS"),TEXT('All Solo Standards Source'!K19,"H:MM:SS"))</f>
        <v>1:12:22</v>
      </c>
      <c r="M18" s="57" t="str">
        <f>IF('All Solo Standards Source'!O19&lt;1/24,TEXT('All Solo Standards Source'!O19,"M:SS"),TEXT('All Solo Standards Source'!O19,"H:MM:SS"))</f>
        <v>1:27:08</v>
      </c>
      <c r="N18" s="57" t="str">
        <f>IF('All Solo Standards Source'!S19&lt;1/24,TEXT('All Solo Standards Source'!S19,"M:SS"),TEXT('All Solo Standards Source'!S19,"H:MM:SS"))</f>
        <v>2:27:16</v>
      </c>
      <c r="O18" s="57" t="str">
        <f>IF('All Solo Standards Source'!W19&lt;1/24,TEXT('All Solo Standards Source'!W19,"M:SS"),TEXT('All Solo Standards Source'!W19,"H:MM:SS"))</f>
        <v>5:05:17</v>
      </c>
      <c r="P18" s="57" t="str">
        <f>TEXT('All Solo Standards Source'!AA19,"0.00")</f>
        <v>194.97</v>
      </c>
      <c r="Q18" s="57" t="str">
        <f>TEXT('All Solo Standards Source'!AE19,"0.00")</f>
        <v>331.13</v>
      </c>
      <c r="R18" s="50" t="str">
        <f>IF('All Solo Standards Source'!D19&lt;1/24,TEXT('All Solo Standards Source'!D19,"M:SS"),TEXT('All Solo Standards Source'!D19,"H:MM:SS"))</f>
        <v>28:01</v>
      </c>
      <c r="S18" s="50" t="str">
        <f>IF('All Solo Standards Source'!H19&lt;1/24,TEXT('All Solo Standards Source'!H19,"M:SS"),TEXT('All Solo Standards Source'!H19,"H:MM:SS"))</f>
        <v>42:11</v>
      </c>
      <c r="T18" s="50" t="str">
        <f>IF('All Solo Standards Source'!L19&lt;1/24,TEXT('All Solo Standards Source'!L19,"M:SS"),TEXT('All Solo Standards Source'!L19,"H:MM:SS"))</f>
        <v>1:10:47</v>
      </c>
      <c r="U18" s="50" t="str">
        <f>IF('All Solo Standards Source'!P19&lt;1/24,TEXT('All Solo Standards Source'!P19,"M:SS"),TEXT('All Solo Standards Source'!P19,"H:MM:SS"))</f>
        <v>1:25:14</v>
      </c>
      <c r="V18" s="50" t="str">
        <f>IF('All Solo Standards Source'!T19&lt;1/24,TEXT('All Solo Standards Source'!T19,"M:SS"),TEXT('All Solo Standards Source'!T19,"H:MM:SS"))</f>
        <v>2:24:03</v>
      </c>
      <c r="W18" s="50" t="str">
        <f>IF('All Solo Standards Source'!X19&lt;1/24,TEXT('All Solo Standards Source'!X19,"M:SS"),TEXT('All Solo Standards Source'!X19,"H:MM:SS"))</f>
        <v>4:58:37</v>
      </c>
      <c r="X18" s="50" t="str">
        <f>TEXT('All Solo Standards Source'!AB19,"0.00")</f>
        <v>201.18</v>
      </c>
      <c r="Y18" s="50" t="str">
        <f>TEXT('All Solo Standards Source'!AF19,"0.00")</f>
        <v>339.91</v>
      </c>
      <c r="Z18" s="55" t="str">
        <f>IF('All Solo Standards Source'!E19&lt;1/24,TEXT('All Solo Standards Source'!E19,"M:SS"),TEXT('All Solo Standards Source'!E19,"H:MM:SS"))</f>
        <v>30:47</v>
      </c>
      <c r="AA18" s="55" t="str">
        <f>IF('All Solo Standards Source'!I19&lt;1/24,TEXT('All Solo Standards Source'!I19,"M:SS"),TEXT('All Solo Standards Source'!I19,"H:MM:SS"))</f>
        <v>46:20</v>
      </c>
      <c r="AB18" s="55" t="str">
        <f>IF('All Solo Standards Source'!M19&lt;1/24,TEXT('All Solo Standards Source'!M19,"M:SS"),TEXT('All Solo Standards Source'!M19,"H:MM:SS"))</f>
        <v>1:17:45</v>
      </c>
      <c r="AC18" s="55" t="str">
        <f>IF('All Solo Standards Source'!Q19&lt;1/24,TEXT('All Solo Standards Source'!Q19,"M:SS"),TEXT('All Solo Standards Source'!Q19,"H:MM:SS"))</f>
        <v>1:33:37</v>
      </c>
      <c r="AD18" s="55" t="str">
        <f>IF('All Solo Standards Source'!U19&lt;1/24,TEXT('All Solo Standards Source'!U19,"M:SS"),TEXT('All Solo Standards Source'!U19,"H:MM:SS"))</f>
        <v>2:38:14</v>
      </c>
      <c r="AE18" s="55" t="str">
        <f>IF('All Solo Standards Source'!Y19&lt;1/24,TEXT('All Solo Standards Source'!Y19,"M:SS"),TEXT('All Solo Standards Source'!Y19,"H:MM:SS"))</f>
        <v>5:28:01</v>
      </c>
      <c r="AF18" s="55" t="str">
        <f>TEXT('All Solo Standards Source'!AC19,"0.00")</f>
        <v>175.75</v>
      </c>
      <c r="AG18" s="55" t="str">
        <f>TEXT('All Solo Standards Source'!AG19,"0.00")</f>
        <v>303.54</v>
      </c>
    </row>
    <row r="19" spans="1:33" hidden="1" x14ac:dyDescent="0.25">
      <c r="A19" s="17">
        <v>26</v>
      </c>
      <c r="B19" s="53" t="str">
        <f>IF('All Solo Standards Source'!B20&lt;1/24,TEXT('All Solo Standards Source'!B20,"M:SS"),TEXT('All Solo Standards Source'!B20,"H:MM:SS"))</f>
        <v>26:08</v>
      </c>
      <c r="C19" s="53" t="str">
        <f>IF('All Solo Standards Source'!F20&lt;1/24,TEXT('All Solo Standards Source'!F20,"M:SS"),TEXT('All Solo Standards Source'!F20,"H:MM:SS"))</f>
        <v>39:20</v>
      </c>
      <c r="D19" s="53" t="str">
        <f>IF('All Solo Standards Source'!J20&lt;1/24,TEXT('All Solo Standards Source'!J20,"M:SS"),TEXT('All Solo Standards Source'!J20,"H:MM:SS"))</f>
        <v>1:06:00</v>
      </c>
      <c r="E19" s="53" t="str">
        <f>IF('All Solo Standards Source'!N20&lt;1/24,TEXT('All Solo Standards Source'!N20,"M:SS"),TEXT('All Solo Standards Source'!N20,"H:MM:SS"))</f>
        <v>1:19:28</v>
      </c>
      <c r="F19" s="53" t="str">
        <f>IF('All Solo Standards Source'!R20&lt;1/24,TEXT('All Solo Standards Source'!R20,"M:SS"),TEXT('All Solo Standards Source'!R20,"H:MM:SS"))</f>
        <v>2:14:19</v>
      </c>
      <c r="G19" s="53" t="str">
        <f>IF('All Solo Standards Source'!V20&lt;1/24,TEXT('All Solo Standards Source'!V20,"M:SS"),TEXT('All Solo Standards Source'!V20,"H:MM:SS"))</f>
        <v>4:38:27</v>
      </c>
      <c r="H19" s="53" t="str">
        <f>TEXT('All Solo Standards Source'!Z20,"0.00")</f>
        <v>221.90</v>
      </c>
      <c r="I19" s="53" t="str">
        <f>TEXT('All Solo Standards Source'!AD20,"0.00")</f>
        <v>368.69</v>
      </c>
      <c r="J19" s="57" t="str">
        <f>IF('All Solo Standards Source'!C20&lt;1/24,TEXT('All Solo Standards Source'!C20,"M:SS"),TEXT('All Solo Standards Source'!C20,"H:MM:SS"))</f>
        <v>28:39</v>
      </c>
      <c r="K19" s="57" t="str">
        <f>IF('All Solo Standards Source'!G20&lt;1/24,TEXT('All Solo Standards Source'!G20,"M:SS"),TEXT('All Solo Standards Source'!G20,"H:MM:SS"))</f>
        <v>43:07</v>
      </c>
      <c r="L19" s="57" t="str">
        <f>IF('All Solo Standards Source'!K20&lt;1/24,TEXT('All Solo Standards Source'!K20,"M:SS"),TEXT('All Solo Standards Source'!K20,"H:MM:SS"))</f>
        <v>1:12:22</v>
      </c>
      <c r="M19" s="57" t="str">
        <f>IF('All Solo Standards Source'!O20&lt;1/24,TEXT('All Solo Standards Source'!O20,"M:SS"),TEXT('All Solo Standards Source'!O20,"H:MM:SS"))</f>
        <v>1:27:08</v>
      </c>
      <c r="N19" s="57" t="str">
        <f>IF('All Solo Standards Source'!S20&lt;1/24,TEXT('All Solo Standards Source'!S20,"M:SS"),TEXT('All Solo Standards Source'!S20,"H:MM:SS"))</f>
        <v>2:27:16</v>
      </c>
      <c r="O19" s="57" t="str">
        <f>IF('All Solo Standards Source'!W20&lt;1/24,TEXT('All Solo Standards Source'!W20,"M:SS"),TEXT('All Solo Standards Source'!W20,"H:MM:SS"))</f>
        <v>5:05:17</v>
      </c>
      <c r="P19" s="57" t="str">
        <f>TEXT('All Solo Standards Source'!AA20,"0.00")</f>
        <v>194.97</v>
      </c>
      <c r="Q19" s="57" t="str">
        <f>TEXT('All Solo Standards Source'!AE20,"0.00")</f>
        <v>331.13</v>
      </c>
      <c r="R19" s="50" t="str">
        <f>IF('All Solo Standards Source'!D20&lt;1/24,TEXT('All Solo Standards Source'!D20,"M:SS"),TEXT('All Solo Standards Source'!D20,"H:MM:SS"))</f>
        <v>28:01</v>
      </c>
      <c r="S19" s="50" t="str">
        <f>IF('All Solo Standards Source'!H20&lt;1/24,TEXT('All Solo Standards Source'!H20,"M:SS"),TEXT('All Solo Standards Source'!H20,"H:MM:SS"))</f>
        <v>42:11</v>
      </c>
      <c r="T19" s="50" t="str">
        <f>IF('All Solo Standards Source'!L20&lt;1/24,TEXT('All Solo Standards Source'!L20,"M:SS"),TEXT('All Solo Standards Source'!L20,"H:MM:SS"))</f>
        <v>1:10:47</v>
      </c>
      <c r="U19" s="50" t="str">
        <f>IF('All Solo Standards Source'!P20&lt;1/24,TEXT('All Solo Standards Source'!P20,"M:SS"),TEXT('All Solo Standards Source'!P20,"H:MM:SS"))</f>
        <v>1:25:14</v>
      </c>
      <c r="V19" s="50" t="str">
        <f>IF('All Solo Standards Source'!T20&lt;1/24,TEXT('All Solo Standards Source'!T20,"M:SS"),TEXT('All Solo Standards Source'!T20,"H:MM:SS"))</f>
        <v>2:24:03</v>
      </c>
      <c r="W19" s="50" t="str">
        <f>IF('All Solo Standards Source'!X20&lt;1/24,TEXT('All Solo Standards Source'!X20,"M:SS"),TEXT('All Solo Standards Source'!X20,"H:MM:SS"))</f>
        <v>4:58:37</v>
      </c>
      <c r="X19" s="50" t="str">
        <f>TEXT('All Solo Standards Source'!AB20,"0.00")</f>
        <v>201.18</v>
      </c>
      <c r="Y19" s="50" t="str">
        <f>TEXT('All Solo Standards Source'!AF20,"0.00")</f>
        <v>339.91</v>
      </c>
      <c r="Z19" s="55" t="str">
        <f>IF('All Solo Standards Source'!E20&lt;1/24,TEXT('All Solo Standards Source'!E20,"M:SS"),TEXT('All Solo Standards Source'!E20,"H:MM:SS"))</f>
        <v>30:47</v>
      </c>
      <c r="AA19" s="55" t="str">
        <f>IF('All Solo Standards Source'!I20&lt;1/24,TEXT('All Solo Standards Source'!I20,"M:SS"),TEXT('All Solo Standards Source'!I20,"H:MM:SS"))</f>
        <v>46:20</v>
      </c>
      <c r="AB19" s="55" t="str">
        <f>IF('All Solo Standards Source'!M20&lt;1/24,TEXT('All Solo Standards Source'!M20,"M:SS"),TEXT('All Solo Standards Source'!M20,"H:MM:SS"))</f>
        <v>1:17:45</v>
      </c>
      <c r="AC19" s="55" t="str">
        <f>IF('All Solo Standards Source'!Q20&lt;1/24,TEXT('All Solo Standards Source'!Q20,"M:SS"),TEXT('All Solo Standards Source'!Q20,"H:MM:SS"))</f>
        <v>1:33:37</v>
      </c>
      <c r="AD19" s="55" t="str">
        <f>IF('All Solo Standards Source'!U20&lt;1/24,TEXT('All Solo Standards Source'!U20,"M:SS"),TEXT('All Solo Standards Source'!U20,"H:MM:SS"))</f>
        <v>2:38:14</v>
      </c>
      <c r="AE19" s="55" t="str">
        <f>IF('All Solo Standards Source'!Y20&lt;1/24,TEXT('All Solo Standards Source'!Y20,"M:SS"),TEXT('All Solo Standards Source'!Y20,"H:MM:SS"))</f>
        <v>5:28:01</v>
      </c>
      <c r="AF19" s="55" t="str">
        <f>TEXT('All Solo Standards Source'!AC20,"0.00")</f>
        <v>175.75</v>
      </c>
      <c r="AG19" s="55" t="str">
        <f>TEXT('All Solo Standards Source'!AG20,"0.00")</f>
        <v>303.54</v>
      </c>
    </row>
    <row r="20" spans="1:33" hidden="1" x14ac:dyDescent="0.25">
      <c r="A20" s="17">
        <v>27</v>
      </c>
      <c r="B20" s="53" t="str">
        <f>IF('All Solo Standards Source'!B21&lt;1/24,TEXT('All Solo Standards Source'!B21,"M:SS"),TEXT('All Solo Standards Source'!B21,"H:MM:SS"))</f>
        <v>26:08</v>
      </c>
      <c r="C20" s="53" t="str">
        <f>IF('All Solo Standards Source'!F21&lt;1/24,TEXT('All Solo Standards Source'!F21,"M:SS"),TEXT('All Solo Standards Source'!F21,"H:MM:SS"))</f>
        <v>39:20</v>
      </c>
      <c r="D20" s="53" t="str">
        <f>IF('All Solo Standards Source'!J21&lt;1/24,TEXT('All Solo Standards Source'!J21,"M:SS"),TEXT('All Solo Standards Source'!J21,"H:MM:SS"))</f>
        <v>1:06:00</v>
      </c>
      <c r="E20" s="53" t="str">
        <f>IF('All Solo Standards Source'!N21&lt;1/24,TEXT('All Solo Standards Source'!N21,"M:SS"),TEXT('All Solo Standards Source'!N21,"H:MM:SS"))</f>
        <v>1:19:28</v>
      </c>
      <c r="F20" s="53" t="str">
        <f>IF('All Solo Standards Source'!R21&lt;1/24,TEXT('All Solo Standards Source'!R21,"M:SS"),TEXT('All Solo Standards Source'!R21,"H:MM:SS"))</f>
        <v>2:14:19</v>
      </c>
      <c r="G20" s="53" t="str">
        <f>IF('All Solo Standards Source'!V21&lt;1/24,TEXT('All Solo Standards Source'!V21,"M:SS"),TEXT('All Solo Standards Source'!V21,"H:MM:SS"))</f>
        <v>4:38:27</v>
      </c>
      <c r="H20" s="53" t="str">
        <f>TEXT('All Solo Standards Source'!Z21,"0.00")</f>
        <v>221.90</v>
      </c>
      <c r="I20" s="53" t="str">
        <f>TEXT('All Solo Standards Source'!AD21,"0.00")</f>
        <v>368.69</v>
      </c>
      <c r="J20" s="57" t="str">
        <f>IF('All Solo Standards Source'!C21&lt;1/24,TEXT('All Solo Standards Source'!C21,"M:SS"),TEXT('All Solo Standards Source'!C21,"H:MM:SS"))</f>
        <v>28:39</v>
      </c>
      <c r="K20" s="57" t="str">
        <f>IF('All Solo Standards Source'!G21&lt;1/24,TEXT('All Solo Standards Source'!G21,"M:SS"),TEXT('All Solo Standards Source'!G21,"H:MM:SS"))</f>
        <v>43:07</v>
      </c>
      <c r="L20" s="57" t="str">
        <f>IF('All Solo Standards Source'!K21&lt;1/24,TEXT('All Solo Standards Source'!K21,"M:SS"),TEXT('All Solo Standards Source'!K21,"H:MM:SS"))</f>
        <v>1:12:22</v>
      </c>
      <c r="M20" s="57" t="str">
        <f>IF('All Solo Standards Source'!O21&lt;1/24,TEXT('All Solo Standards Source'!O21,"M:SS"),TEXT('All Solo Standards Source'!O21,"H:MM:SS"))</f>
        <v>1:27:08</v>
      </c>
      <c r="N20" s="57" t="str">
        <f>IF('All Solo Standards Source'!S21&lt;1/24,TEXT('All Solo Standards Source'!S21,"M:SS"),TEXT('All Solo Standards Source'!S21,"H:MM:SS"))</f>
        <v>2:27:16</v>
      </c>
      <c r="O20" s="57" t="str">
        <f>IF('All Solo Standards Source'!W21&lt;1/24,TEXT('All Solo Standards Source'!W21,"M:SS"),TEXT('All Solo Standards Source'!W21,"H:MM:SS"))</f>
        <v>5:05:17</v>
      </c>
      <c r="P20" s="57" t="str">
        <f>TEXT('All Solo Standards Source'!AA21,"0.00")</f>
        <v>194.97</v>
      </c>
      <c r="Q20" s="57" t="str">
        <f>TEXT('All Solo Standards Source'!AE21,"0.00")</f>
        <v>331.13</v>
      </c>
      <c r="R20" s="50" t="str">
        <f>IF('All Solo Standards Source'!D21&lt;1/24,TEXT('All Solo Standards Source'!D21,"M:SS"),TEXT('All Solo Standards Source'!D21,"H:MM:SS"))</f>
        <v>28:01</v>
      </c>
      <c r="S20" s="50" t="str">
        <f>IF('All Solo Standards Source'!H21&lt;1/24,TEXT('All Solo Standards Source'!H21,"M:SS"),TEXT('All Solo Standards Source'!H21,"H:MM:SS"))</f>
        <v>42:11</v>
      </c>
      <c r="T20" s="50" t="str">
        <f>IF('All Solo Standards Source'!L21&lt;1/24,TEXT('All Solo Standards Source'!L21,"M:SS"),TEXT('All Solo Standards Source'!L21,"H:MM:SS"))</f>
        <v>1:10:47</v>
      </c>
      <c r="U20" s="50" t="str">
        <f>IF('All Solo Standards Source'!P21&lt;1/24,TEXT('All Solo Standards Source'!P21,"M:SS"),TEXT('All Solo Standards Source'!P21,"H:MM:SS"))</f>
        <v>1:25:14</v>
      </c>
      <c r="V20" s="50" t="str">
        <f>IF('All Solo Standards Source'!T21&lt;1/24,TEXT('All Solo Standards Source'!T21,"M:SS"),TEXT('All Solo Standards Source'!T21,"H:MM:SS"))</f>
        <v>2:24:03</v>
      </c>
      <c r="W20" s="50" t="str">
        <f>IF('All Solo Standards Source'!X21&lt;1/24,TEXT('All Solo Standards Source'!X21,"M:SS"),TEXT('All Solo Standards Source'!X21,"H:MM:SS"))</f>
        <v>4:58:37</v>
      </c>
      <c r="X20" s="50" t="str">
        <f>TEXT('All Solo Standards Source'!AB21,"0.00")</f>
        <v>201.18</v>
      </c>
      <c r="Y20" s="50" t="str">
        <f>TEXT('All Solo Standards Source'!AF21,"0.00")</f>
        <v>339.91</v>
      </c>
      <c r="Z20" s="55" t="str">
        <f>IF('All Solo Standards Source'!E21&lt;1/24,TEXT('All Solo Standards Source'!E21,"M:SS"),TEXT('All Solo Standards Source'!E21,"H:MM:SS"))</f>
        <v>30:47</v>
      </c>
      <c r="AA20" s="55" t="str">
        <f>IF('All Solo Standards Source'!I21&lt;1/24,TEXT('All Solo Standards Source'!I21,"M:SS"),TEXT('All Solo Standards Source'!I21,"H:MM:SS"))</f>
        <v>46:20</v>
      </c>
      <c r="AB20" s="55" t="str">
        <f>IF('All Solo Standards Source'!M21&lt;1/24,TEXT('All Solo Standards Source'!M21,"M:SS"),TEXT('All Solo Standards Source'!M21,"H:MM:SS"))</f>
        <v>1:17:45</v>
      </c>
      <c r="AC20" s="55" t="str">
        <f>IF('All Solo Standards Source'!Q21&lt;1/24,TEXT('All Solo Standards Source'!Q21,"M:SS"),TEXT('All Solo Standards Source'!Q21,"H:MM:SS"))</f>
        <v>1:33:37</v>
      </c>
      <c r="AD20" s="55" t="str">
        <f>IF('All Solo Standards Source'!U21&lt;1/24,TEXT('All Solo Standards Source'!U21,"M:SS"),TEXT('All Solo Standards Source'!U21,"H:MM:SS"))</f>
        <v>2:38:14</v>
      </c>
      <c r="AE20" s="55" t="str">
        <f>IF('All Solo Standards Source'!Y21&lt;1/24,TEXT('All Solo Standards Source'!Y21,"M:SS"),TEXT('All Solo Standards Source'!Y21,"H:MM:SS"))</f>
        <v>5:28:01</v>
      </c>
      <c r="AF20" s="55" t="str">
        <f>TEXT('All Solo Standards Source'!AC21,"0.00")</f>
        <v>175.75</v>
      </c>
      <c r="AG20" s="55" t="str">
        <f>TEXT('All Solo Standards Source'!AG21,"0.00")</f>
        <v>303.54</v>
      </c>
    </row>
    <row r="21" spans="1:33" hidden="1" x14ac:dyDescent="0.25">
      <c r="A21" s="17">
        <v>28</v>
      </c>
      <c r="B21" s="53" t="str">
        <f>IF('All Solo Standards Source'!B22&lt;1/24,TEXT('All Solo Standards Source'!B22,"M:SS"),TEXT('All Solo Standards Source'!B22,"H:MM:SS"))</f>
        <v>26:08</v>
      </c>
      <c r="C21" s="53" t="str">
        <f>IF('All Solo Standards Source'!F22&lt;1/24,TEXT('All Solo Standards Source'!F22,"M:SS"),TEXT('All Solo Standards Source'!F22,"H:MM:SS"))</f>
        <v>39:20</v>
      </c>
      <c r="D21" s="53" t="str">
        <f>IF('All Solo Standards Source'!J22&lt;1/24,TEXT('All Solo Standards Source'!J22,"M:SS"),TEXT('All Solo Standards Source'!J22,"H:MM:SS"))</f>
        <v>1:06:00</v>
      </c>
      <c r="E21" s="53" t="str">
        <f>IF('All Solo Standards Source'!N22&lt;1/24,TEXT('All Solo Standards Source'!N22,"M:SS"),TEXT('All Solo Standards Source'!N22,"H:MM:SS"))</f>
        <v>1:19:28</v>
      </c>
      <c r="F21" s="53" t="str">
        <f>IF('All Solo Standards Source'!R22&lt;1/24,TEXT('All Solo Standards Source'!R22,"M:SS"),TEXT('All Solo Standards Source'!R22,"H:MM:SS"))</f>
        <v>2:14:19</v>
      </c>
      <c r="G21" s="53" t="str">
        <f>IF('All Solo Standards Source'!V22&lt;1/24,TEXT('All Solo Standards Source'!V22,"M:SS"),TEXT('All Solo Standards Source'!V22,"H:MM:SS"))</f>
        <v>4:38:27</v>
      </c>
      <c r="H21" s="53" t="str">
        <f>TEXT('All Solo Standards Source'!Z22,"0.00")</f>
        <v>221.90</v>
      </c>
      <c r="I21" s="53" t="str">
        <f>TEXT('All Solo Standards Source'!AD22,"0.00")</f>
        <v>368.69</v>
      </c>
      <c r="J21" s="57" t="str">
        <f>IF('All Solo Standards Source'!C22&lt;1/24,TEXT('All Solo Standards Source'!C22,"M:SS"),TEXT('All Solo Standards Source'!C22,"H:MM:SS"))</f>
        <v>28:39</v>
      </c>
      <c r="K21" s="57" t="str">
        <f>IF('All Solo Standards Source'!G22&lt;1/24,TEXT('All Solo Standards Source'!G22,"M:SS"),TEXT('All Solo Standards Source'!G22,"H:MM:SS"))</f>
        <v>43:07</v>
      </c>
      <c r="L21" s="57" t="str">
        <f>IF('All Solo Standards Source'!K22&lt;1/24,TEXT('All Solo Standards Source'!K22,"M:SS"),TEXT('All Solo Standards Source'!K22,"H:MM:SS"))</f>
        <v>1:12:22</v>
      </c>
      <c r="M21" s="57" t="str">
        <f>IF('All Solo Standards Source'!O22&lt;1/24,TEXT('All Solo Standards Source'!O22,"M:SS"),TEXT('All Solo Standards Source'!O22,"H:MM:SS"))</f>
        <v>1:27:08</v>
      </c>
      <c r="N21" s="57" t="str">
        <f>IF('All Solo Standards Source'!S22&lt;1/24,TEXT('All Solo Standards Source'!S22,"M:SS"),TEXT('All Solo Standards Source'!S22,"H:MM:SS"))</f>
        <v>2:27:16</v>
      </c>
      <c r="O21" s="57" t="str">
        <f>IF('All Solo Standards Source'!W22&lt;1/24,TEXT('All Solo Standards Source'!W22,"M:SS"),TEXT('All Solo Standards Source'!W22,"H:MM:SS"))</f>
        <v>5:05:17</v>
      </c>
      <c r="P21" s="57" t="str">
        <f>TEXT('All Solo Standards Source'!AA22,"0.00")</f>
        <v>194.97</v>
      </c>
      <c r="Q21" s="57" t="str">
        <f>TEXT('All Solo Standards Source'!AE22,"0.00")</f>
        <v>331.13</v>
      </c>
      <c r="R21" s="50" t="str">
        <f>IF('All Solo Standards Source'!D22&lt;1/24,TEXT('All Solo Standards Source'!D22,"M:SS"),TEXT('All Solo Standards Source'!D22,"H:MM:SS"))</f>
        <v>28:01</v>
      </c>
      <c r="S21" s="50" t="str">
        <f>IF('All Solo Standards Source'!H22&lt;1/24,TEXT('All Solo Standards Source'!H22,"M:SS"),TEXT('All Solo Standards Source'!H22,"H:MM:SS"))</f>
        <v>42:11</v>
      </c>
      <c r="T21" s="50" t="str">
        <f>IF('All Solo Standards Source'!L22&lt;1/24,TEXT('All Solo Standards Source'!L22,"M:SS"),TEXT('All Solo Standards Source'!L22,"H:MM:SS"))</f>
        <v>1:10:47</v>
      </c>
      <c r="U21" s="50" t="str">
        <f>IF('All Solo Standards Source'!P22&lt;1/24,TEXT('All Solo Standards Source'!P22,"M:SS"),TEXT('All Solo Standards Source'!P22,"H:MM:SS"))</f>
        <v>1:25:14</v>
      </c>
      <c r="V21" s="50" t="str">
        <f>IF('All Solo Standards Source'!T22&lt;1/24,TEXT('All Solo Standards Source'!T22,"M:SS"),TEXT('All Solo Standards Source'!T22,"H:MM:SS"))</f>
        <v>2:24:03</v>
      </c>
      <c r="W21" s="50" t="str">
        <f>IF('All Solo Standards Source'!X22&lt;1/24,TEXT('All Solo Standards Source'!X22,"M:SS"),TEXT('All Solo Standards Source'!X22,"H:MM:SS"))</f>
        <v>4:58:37</v>
      </c>
      <c r="X21" s="50" t="str">
        <f>TEXT('All Solo Standards Source'!AB22,"0.00")</f>
        <v>201.18</v>
      </c>
      <c r="Y21" s="50" t="str">
        <f>TEXT('All Solo Standards Source'!AF22,"0.00")</f>
        <v>339.91</v>
      </c>
      <c r="Z21" s="55" t="str">
        <f>IF('All Solo Standards Source'!E22&lt;1/24,TEXT('All Solo Standards Source'!E22,"M:SS"),TEXT('All Solo Standards Source'!E22,"H:MM:SS"))</f>
        <v>30:47</v>
      </c>
      <c r="AA21" s="55" t="str">
        <f>IF('All Solo Standards Source'!I22&lt;1/24,TEXT('All Solo Standards Source'!I22,"M:SS"),TEXT('All Solo Standards Source'!I22,"H:MM:SS"))</f>
        <v>46:20</v>
      </c>
      <c r="AB21" s="55" t="str">
        <f>IF('All Solo Standards Source'!M22&lt;1/24,TEXT('All Solo Standards Source'!M22,"M:SS"),TEXT('All Solo Standards Source'!M22,"H:MM:SS"))</f>
        <v>1:17:45</v>
      </c>
      <c r="AC21" s="55" t="str">
        <f>IF('All Solo Standards Source'!Q22&lt;1/24,TEXT('All Solo Standards Source'!Q22,"M:SS"),TEXT('All Solo Standards Source'!Q22,"H:MM:SS"))</f>
        <v>1:33:37</v>
      </c>
      <c r="AD21" s="55" t="str">
        <f>IF('All Solo Standards Source'!U22&lt;1/24,TEXT('All Solo Standards Source'!U22,"M:SS"),TEXT('All Solo Standards Source'!U22,"H:MM:SS"))</f>
        <v>2:38:14</v>
      </c>
      <c r="AE21" s="55" t="str">
        <f>IF('All Solo Standards Source'!Y22&lt;1/24,TEXT('All Solo Standards Source'!Y22,"M:SS"),TEXT('All Solo Standards Source'!Y22,"H:MM:SS"))</f>
        <v>5:28:01</v>
      </c>
      <c r="AF21" s="55" t="str">
        <f>TEXT('All Solo Standards Source'!AC22,"0.00")</f>
        <v>175.75</v>
      </c>
      <c r="AG21" s="55" t="str">
        <f>TEXT('All Solo Standards Source'!AG22,"0.00")</f>
        <v>303.54</v>
      </c>
    </row>
    <row r="22" spans="1:33" hidden="1" x14ac:dyDescent="0.25">
      <c r="A22" s="17">
        <v>29</v>
      </c>
      <c r="B22" s="53" t="str">
        <f>IF('All Solo Standards Source'!B23&lt;1/24,TEXT('All Solo Standards Source'!B23,"M:SS"),TEXT('All Solo Standards Source'!B23,"H:MM:SS"))</f>
        <v>26:08</v>
      </c>
      <c r="C22" s="53" t="str">
        <f>IF('All Solo Standards Source'!F23&lt;1/24,TEXT('All Solo Standards Source'!F23,"M:SS"),TEXT('All Solo Standards Source'!F23,"H:MM:SS"))</f>
        <v>39:20</v>
      </c>
      <c r="D22" s="53" t="str">
        <f>IF('All Solo Standards Source'!J23&lt;1/24,TEXT('All Solo Standards Source'!J23,"M:SS"),TEXT('All Solo Standards Source'!J23,"H:MM:SS"))</f>
        <v>1:06:00</v>
      </c>
      <c r="E22" s="53" t="str">
        <f>IF('All Solo Standards Source'!N23&lt;1/24,TEXT('All Solo Standards Source'!N23,"M:SS"),TEXT('All Solo Standards Source'!N23,"H:MM:SS"))</f>
        <v>1:19:28</v>
      </c>
      <c r="F22" s="53" t="str">
        <f>IF('All Solo Standards Source'!R23&lt;1/24,TEXT('All Solo Standards Source'!R23,"M:SS"),TEXT('All Solo Standards Source'!R23,"H:MM:SS"))</f>
        <v>2:14:19</v>
      </c>
      <c r="G22" s="53" t="str">
        <f>IF('All Solo Standards Source'!V23&lt;1/24,TEXT('All Solo Standards Source'!V23,"M:SS"),TEXT('All Solo Standards Source'!V23,"H:MM:SS"))</f>
        <v>4:38:27</v>
      </c>
      <c r="H22" s="53" t="str">
        <f>TEXT('All Solo Standards Source'!Z23,"0.00")</f>
        <v>221.90</v>
      </c>
      <c r="I22" s="53" t="str">
        <f>TEXT('All Solo Standards Source'!AD23,"0.00")</f>
        <v>368.69</v>
      </c>
      <c r="J22" s="57" t="str">
        <f>IF('All Solo Standards Source'!C23&lt;1/24,TEXT('All Solo Standards Source'!C23,"M:SS"),TEXT('All Solo Standards Source'!C23,"H:MM:SS"))</f>
        <v>28:39</v>
      </c>
      <c r="K22" s="57" t="str">
        <f>IF('All Solo Standards Source'!G23&lt;1/24,TEXT('All Solo Standards Source'!G23,"M:SS"),TEXT('All Solo Standards Source'!G23,"H:MM:SS"))</f>
        <v>43:07</v>
      </c>
      <c r="L22" s="57" t="str">
        <f>IF('All Solo Standards Source'!K23&lt;1/24,TEXT('All Solo Standards Source'!K23,"M:SS"),TEXT('All Solo Standards Source'!K23,"H:MM:SS"))</f>
        <v>1:12:22</v>
      </c>
      <c r="M22" s="57" t="str">
        <f>IF('All Solo Standards Source'!O23&lt;1/24,TEXT('All Solo Standards Source'!O23,"M:SS"),TEXT('All Solo Standards Source'!O23,"H:MM:SS"))</f>
        <v>1:27:08</v>
      </c>
      <c r="N22" s="57" t="str">
        <f>IF('All Solo Standards Source'!S23&lt;1/24,TEXT('All Solo Standards Source'!S23,"M:SS"),TEXT('All Solo Standards Source'!S23,"H:MM:SS"))</f>
        <v>2:27:16</v>
      </c>
      <c r="O22" s="57" t="str">
        <f>IF('All Solo Standards Source'!W23&lt;1/24,TEXT('All Solo Standards Source'!W23,"M:SS"),TEXT('All Solo Standards Source'!W23,"H:MM:SS"))</f>
        <v>5:05:17</v>
      </c>
      <c r="P22" s="57" t="str">
        <f>TEXT('All Solo Standards Source'!AA23,"0.00")</f>
        <v>194.97</v>
      </c>
      <c r="Q22" s="57" t="str">
        <f>TEXT('All Solo Standards Source'!AE23,"0.00")</f>
        <v>331.13</v>
      </c>
      <c r="R22" s="50" t="str">
        <f>IF('All Solo Standards Source'!D23&lt;1/24,TEXT('All Solo Standards Source'!D23,"M:SS"),TEXT('All Solo Standards Source'!D23,"H:MM:SS"))</f>
        <v>28:01</v>
      </c>
      <c r="S22" s="50" t="str">
        <f>IF('All Solo Standards Source'!H23&lt;1/24,TEXT('All Solo Standards Source'!H23,"M:SS"),TEXT('All Solo Standards Source'!H23,"H:MM:SS"))</f>
        <v>42:11</v>
      </c>
      <c r="T22" s="50" t="str">
        <f>IF('All Solo Standards Source'!L23&lt;1/24,TEXT('All Solo Standards Source'!L23,"M:SS"),TEXT('All Solo Standards Source'!L23,"H:MM:SS"))</f>
        <v>1:10:47</v>
      </c>
      <c r="U22" s="50" t="str">
        <f>IF('All Solo Standards Source'!P23&lt;1/24,TEXT('All Solo Standards Source'!P23,"M:SS"),TEXT('All Solo Standards Source'!P23,"H:MM:SS"))</f>
        <v>1:25:14</v>
      </c>
      <c r="V22" s="50" t="str">
        <f>IF('All Solo Standards Source'!T23&lt;1/24,TEXT('All Solo Standards Source'!T23,"M:SS"),TEXT('All Solo Standards Source'!T23,"H:MM:SS"))</f>
        <v>2:24:03</v>
      </c>
      <c r="W22" s="50" t="str">
        <f>IF('All Solo Standards Source'!X23&lt;1/24,TEXT('All Solo Standards Source'!X23,"M:SS"),TEXT('All Solo Standards Source'!X23,"H:MM:SS"))</f>
        <v>4:58:37</v>
      </c>
      <c r="X22" s="50" t="str">
        <f>TEXT('All Solo Standards Source'!AB23,"0.00")</f>
        <v>201.18</v>
      </c>
      <c r="Y22" s="50" t="str">
        <f>TEXT('All Solo Standards Source'!AF23,"0.00")</f>
        <v>339.91</v>
      </c>
      <c r="Z22" s="55" t="str">
        <f>IF('All Solo Standards Source'!E23&lt;1/24,TEXT('All Solo Standards Source'!E23,"M:SS"),TEXT('All Solo Standards Source'!E23,"H:MM:SS"))</f>
        <v>30:47</v>
      </c>
      <c r="AA22" s="55" t="str">
        <f>IF('All Solo Standards Source'!I23&lt;1/24,TEXT('All Solo Standards Source'!I23,"M:SS"),TEXT('All Solo Standards Source'!I23,"H:MM:SS"))</f>
        <v>46:20</v>
      </c>
      <c r="AB22" s="55" t="str">
        <f>IF('All Solo Standards Source'!M23&lt;1/24,TEXT('All Solo Standards Source'!M23,"M:SS"),TEXT('All Solo Standards Source'!M23,"H:MM:SS"))</f>
        <v>1:17:45</v>
      </c>
      <c r="AC22" s="55" t="str">
        <f>IF('All Solo Standards Source'!Q23&lt;1/24,TEXT('All Solo Standards Source'!Q23,"M:SS"),TEXT('All Solo Standards Source'!Q23,"H:MM:SS"))</f>
        <v>1:33:37</v>
      </c>
      <c r="AD22" s="55" t="str">
        <f>IF('All Solo Standards Source'!U23&lt;1/24,TEXT('All Solo Standards Source'!U23,"M:SS"),TEXT('All Solo Standards Source'!U23,"H:MM:SS"))</f>
        <v>2:38:14</v>
      </c>
      <c r="AE22" s="55" t="str">
        <f>IF('All Solo Standards Source'!Y23&lt;1/24,TEXT('All Solo Standards Source'!Y23,"M:SS"),TEXT('All Solo Standards Source'!Y23,"H:MM:SS"))</f>
        <v>5:28:01</v>
      </c>
      <c r="AF22" s="55" t="str">
        <f>TEXT('All Solo Standards Source'!AC23,"0.00")</f>
        <v>175.75</v>
      </c>
      <c r="AG22" s="55" t="str">
        <f>TEXT('All Solo Standards Source'!AG23,"0.00")</f>
        <v>303.54</v>
      </c>
    </row>
    <row r="23" spans="1:33" hidden="1" x14ac:dyDescent="0.25">
      <c r="A23" s="17">
        <v>30</v>
      </c>
      <c r="B23" s="53" t="str">
        <f>IF('All Solo Standards Source'!B24&lt;1/24,TEXT('All Solo Standards Source'!B24,"M:SS"),TEXT('All Solo Standards Source'!B24,"H:MM:SS"))</f>
        <v>26:08</v>
      </c>
      <c r="C23" s="53" t="str">
        <f>IF('All Solo Standards Source'!F24&lt;1/24,TEXT('All Solo Standards Source'!F24,"M:SS"),TEXT('All Solo Standards Source'!F24,"H:MM:SS"))</f>
        <v>39:20</v>
      </c>
      <c r="D23" s="53" t="str">
        <f>IF('All Solo Standards Source'!J24&lt;1/24,TEXT('All Solo Standards Source'!J24,"M:SS"),TEXT('All Solo Standards Source'!J24,"H:MM:SS"))</f>
        <v>1:06:00</v>
      </c>
      <c r="E23" s="53" t="str">
        <f>IF('All Solo Standards Source'!N24&lt;1/24,TEXT('All Solo Standards Source'!N24,"M:SS"),TEXT('All Solo Standards Source'!N24,"H:MM:SS"))</f>
        <v>1:19:28</v>
      </c>
      <c r="F23" s="53" t="str">
        <f>IF('All Solo Standards Source'!R24&lt;1/24,TEXT('All Solo Standards Source'!R24,"M:SS"),TEXT('All Solo Standards Source'!R24,"H:MM:SS"))</f>
        <v>2:14:19</v>
      </c>
      <c r="G23" s="53" t="str">
        <f>IF('All Solo Standards Source'!V24&lt;1/24,TEXT('All Solo Standards Source'!V24,"M:SS"),TEXT('All Solo Standards Source'!V24,"H:MM:SS"))</f>
        <v>4:38:27</v>
      </c>
      <c r="H23" s="53" t="str">
        <f>TEXT('All Solo Standards Source'!Z24,"0.00")</f>
        <v>221.90</v>
      </c>
      <c r="I23" s="53" t="str">
        <f>TEXT('All Solo Standards Source'!AD24,"0.00")</f>
        <v>368.69</v>
      </c>
      <c r="J23" s="57" t="str">
        <f>IF('All Solo Standards Source'!C24&lt;1/24,TEXT('All Solo Standards Source'!C24,"M:SS"),TEXT('All Solo Standards Source'!C24,"H:MM:SS"))</f>
        <v>28:39</v>
      </c>
      <c r="K23" s="57" t="str">
        <f>IF('All Solo Standards Source'!G24&lt;1/24,TEXT('All Solo Standards Source'!G24,"M:SS"),TEXT('All Solo Standards Source'!G24,"H:MM:SS"))</f>
        <v>43:07</v>
      </c>
      <c r="L23" s="57" t="str">
        <f>IF('All Solo Standards Source'!K24&lt;1/24,TEXT('All Solo Standards Source'!K24,"M:SS"),TEXT('All Solo Standards Source'!K24,"H:MM:SS"))</f>
        <v>1:12:22</v>
      </c>
      <c r="M23" s="57" t="str">
        <f>IF('All Solo Standards Source'!O24&lt;1/24,TEXT('All Solo Standards Source'!O24,"M:SS"),TEXT('All Solo Standards Source'!O24,"H:MM:SS"))</f>
        <v>1:27:08</v>
      </c>
      <c r="N23" s="57" t="str">
        <f>IF('All Solo Standards Source'!S24&lt;1/24,TEXT('All Solo Standards Source'!S24,"M:SS"),TEXT('All Solo Standards Source'!S24,"H:MM:SS"))</f>
        <v>2:27:16</v>
      </c>
      <c r="O23" s="57" t="str">
        <f>IF('All Solo Standards Source'!W24&lt;1/24,TEXT('All Solo Standards Source'!W24,"M:SS"),TEXT('All Solo Standards Source'!W24,"H:MM:SS"))</f>
        <v>5:05:17</v>
      </c>
      <c r="P23" s="57" t="str">
        <f>TEXT('All Solo Standards Source'!AA24,"0.00")</f>
        <v>194.97</v>
      </c>
      <c r="Q23" s="57" t="str">
        <f>TEXT('All Solo Standards Source'!AE24,"0.00")</f>
        <v>331.13</v>
      </c>
      <c r="R23" s="50" t="str">
        <f>IF('All Solo Standards Source'!D24&lt;1/24,TEXT('All Solo Standards Source'!D24,"M:SS"),TEXT('All Solo Standards Source'!D24,"H:MM:SS"))</f>
        <v>28:01</v>
      </c>
      <c r="S23" s="50" t="str">
        <f>IF('All Solo Standards Source'!H24&lt;1/24,TEXT('All Solo Standards Source'!H24,"M:SS"),TEXT('All Solo Standards Source'!H24,"H:MM:SS"))</f>
        <v>42:11</v>
      </c>
      <c r="T23" s="50" t="str">
        <f>IF('All Solo Standards Source'!L24&lt;1/24,TEXT('All Solo Standards Source'!L24,"M:SS"),TEXT('All Solo Standards Source'!L24,"H:MM:SS"))</f>
        <v>1:10:47</v>
      </c>
      <c r="U23" s="50" t="str">
        <f>IF('All Solo Standards Source'!P24&lt;1/24,TEXT('All Solo Standards Source'!P24,"M:SS"),TEXT('All Solo Standards Source'!P24,"H:MM:SS"))</f>
        <v>1:25:14</v>
      </c>
      <c r="V23" s="50" t="str">
        <f>IF('All Solo Standards Source'!T24&lt;1/24,TEXT('All Solo Standards Source'!T24,"M:SS"),TEXT('All Solo Standards Source'!T24,"H:MM:SS"))</f>
        <v>2:24:03</v>
      </c>
      <c r="W23" s="50" t="str">
        <f>IF('All Solo Standards Source'!X24&lt;1/24,TEXT('All Solo Standards Source'!X24,"M:SS"),TEXT('All Solo Standards Source'!X24,"H:MM:SS"))</f>
        <v>4:58:37</v>
      </c>
      <c r="X23" s="50" t="str">
        <f>TEXT('All Solo Standards Source'!AB24,"0.00")</f>
        <v>201.18</v>
      </c>
      <c r="Y23" s="50" t="str">
        <f>TEXT('All Solo Standards Source'!AF24,"0.00")</f>
        <v>339.91</v>
      </c>
      <c r="Z23" s="55" t="str">
        <f>IF('All Solo Standards Source'!E24&lt;1/24,TEXT('All Solo Standards Source'!E24,"M:SS"),TEXT('All Solo Standards Source'!E24,"H:MM:SS"))</f>
        <v>30:47</v>
      </c>
      <c r="AA23" s="55" t="str">
        <f>IF('All Solo Standards Source'!I24&lt;1/24,TEXT('All Solo Standards Source'!I24,"M:SS"),TEXT('All Solo Standards Source'!I24,"H:MM:SS"))</f>
        <v>46:20</v>
      </c>
      <c r="AB23" s="55" t="str">
        <f>IF('All Solo Standards Source'!M24&lt;1/24,TEXT('All Solo Standards Source'!M24,"M:SS"),TEXT('All Solo Standards Source'!M24,"H:MM:SS"))</f>
        <v>1:17:45</v>
      </c>
      <c r="AC23" s="55" t="str">
        <f>IF('All Solo Standards Source'!Q24&lt;1/24,TEXT('All Solo Standards Source'!Q24,"M:SS"),TEXT('All Solo Standards Source'!Q24,"H:MM:SS"))</f>
        <v>1:33:37</v>
      </c>
      <c r="AD23" s="55" t="str">
        <f>IF('All Solo Standards Source'!U24&lt;1/24,TEXT('All Solo Standards Source'!U24,"M:SS"),TEXT('All Solo Standards Source'!U24,"H:MM:SS"))</f>
        <v>2:38:14</v>
      </c>
      <c r="AE23" s="55" t="str">
        <f>IF('All Solo Standards Source'!Y24&lt;1/24,TEXT('All Solo Standards Source'!Y24,"M:SS"),TEXT('All Solo Standards Source'!Y24,"H:MM:SS"))</f>
        <v>5:28:01</v>
      </c>
      <c r="AF23" s="55" t="str">
        <f>TEXT('All Solo Standards Source'!AC24,"0.00")</f>
        <v>175.75</v>
      </c>
      <c r="AG23" s="55" t="str">
        <f>TEXT('All Solo Standards Source'!AG24,"0.00")</f>
        <v>303.54</v>
      </c>
    </row>
    <row r="24" spans="1:33" hidden="1" x14ac:dyDescent="0.25">
      <c r="A24" s="17">
        <v>31</v>
      </c>
      <c r="B24" s="53" t="str">
        <f>IF('All Solo Standards Source'!B25&lt;1/24,TEXT('All Solo Standards Source'!B25,"M:SS"),TEXT('All Solo Standards Source'!B25,"H:MM:SS"))</f>
        <v>26:08</v>
      </c>
      <c r="C24" s="53" t="str">
        <f>IF('All Solo Standards Source'!F25&lt;1/24,TEXT('All Solo Standards Source'!F25,"M:SS"),TEXT('All Solo Standards Source'!F25,"H:MM:SS"))</f>
        <v>39:20</v>
      </c>
      <c r="D24" s="53" t="str">
        <f>IF('All Solo Standards Source'!J25&lt;1/24,TEXT('All Solo Standards Source'!J25,"M:SS"),TEXT('All Solo Standards Source'!J25,"H:MM:SS"))</f>
        <v>1:06:00</v>
      </c>
      <c r="E24" s="53" t="str">
        <f>IF('All Solo Standards Source'!N25&lt;1/24,TEXT('All Solo Standards Source'!N25,"M:SS"),TEXT('All Solo Standards Source'!N25,"H:MM:SS"))</f>
        <v>1:19:28</v>
      </c>
      <c r="F24" s="53" t="str">
        <f>IF('All Solo Standards Source'!R25&lt;1/24,TEXT('All Solo Standards Source'!R25,"M:SS"),TEXT('All Solo Standards Source'!R25,"H:MM:SS"))</f>
        <v>2:14:19</v>
      </c>
      <c r="G24" s="53" t="str">
        <f>IF('All Solo Standards Source'!V25&lt;1/24,TEXT('All Solo Standards Source'!V25,"M:SS"),TEXT('All Solo Standards Source'!V25,"H:MM:SS"))</f>
        <v>4:38:27</v>
      </c>
      <c r="H24" s="53" t="str">
        <f>TEXT('All Solo Standards Source'!Z25,"0.00")</f>
        <v>221.90</v>
      </c>
      <c r="I24" s="53" t="str">
        <f>TEXT('All Solo Standards Source'!AD25,"0.00")</f>
        <v>368.69</v>
      </c>
      <c r="J24" s="57" t="str">
        <f>IF('All Solo Standards Source'!C25&lt;1/24,TEXT('All Solo Standards Source'!C25,"M:SS"),TEXT('All Solo Standards Source'!C25,"H:MM:SS"))</f>
        <v>28:39</v>
      </c>
      <c r="K24" s="57" t="str">
        <f>IF('All Solo Standards Source'!G25&lt;1/24,TEXT('All Solo Standards Source'!G25,"M:SS"),TEXT('All Solo Standards Source'!G25,"H:MM:SS"))</f>
        <v>43:07</v>
      </c>
      <c r="L24" s="57" t="str">
        <f>IF('All Solo Standards Source'!K25&lt;1/24,TEXT('All Solo Standards Source'!K25,"M:SS"),TEXT('All Solo Standards Source'!K25,"H:MM:SS"))</f>
        <v>1:12:22</v>
      </c>
      <c r="M24" s="57" t="str">
        <f>IF('All Solo Standards Source'!O25&lt;1/24,TEXT('All Solo Standards Source'!O25,"M:SS"),TEXT('All Solo Standards Source'!O25,"H:MM:SS"))</f>
        <v>1:27:08</v>
      </c>
      <c r="N24" s="57" t="str">
        <f>IF('All Solo Standards Source'!S25&lt;1/24,TEXT('All Solo Standards Source'!S25,"M:SS"),TEXT('All Solo Standards Source'!S25,"H:MM:SS"))</f>
        <v>2:27:16</v>
      </c>
      <c r="O24" s="57" t="str">
        <f>IF('All Solo Standards Source'!W25&lt;1/24,TEXT('All Solo Standards Source'!W25,"M:SS"),TEXT('All Solo Standards Source'!W25,"H:MM:SS"))</f>
        <v>5:05:17</v>
      </c>
      <c r="P24" s="57" t="str">
        <f>TEXT('All Solo Standards Source'!AA25,"0.00")</f>
        <v>194.97</v>
      </c>
      <c r="Q24" s="57" t="str">
        <f>TEXT('All Solo Standards Source'!AE25,"0.00")</f>
        <v>331.13</v>
      </c>
      <c r="R24" s="50" t="str">
        <f>IF('All Solo Standards Source'!D25&lt;1/24,TEXT('All Solo Standards Source'!D25,"M:SS"),TEXT('All Solo Standards Source'!D25,"H:MM:SS"))</f>
        <v>28:01</v>
      </c>
      <c r="S24" s="50" t="str">
        <f>IF('All Solo Standards Source'!H25&lt;1/24,TEXT('All Solo Standards Source'!H25,"M:SS"),TEXT('All Solo Standards Source'!H25,"H:MM:SS"))</f>
        <v>42:11</v>
      </c>
      <c r="T24" s="50" t="str">
        <f>IF('All Solo Standards Source'!L25&lt;1/24,TEXT('All Solo Standards Source'!L25,"M:SS"),TEXT('All Solo Standards Source'!L25,"H:MM:SS"))</f>
        <v>1:10:47</v>
      </c>
      <c r="U24" s="50" t="str">
        <f>IF('All Solo Standards Source'!P25&lt;1/24,TEXT('All Solo Standards Source'!P25,"M:SS"),TEXT('All Solo Standards Source'!P25,"H:MM:SS"))</f>
        <v>1:25:14</v>
      </c>
      <c r="V24" s="50" t="str">
        <f>IF('All Solo Standards Source'!T25&lt;1/24,TEXT('All Solo Standards Source'!T25,"M:SS"),TEXT('All Solo Standards Source'!T25,"H:MM:SS"))</f>
        <v>2:24:03</v>
      </c>
      <c r="W24" s="50" t="str">
        <f>IF('All Solo Standards Source'!X25&lt;1/24,TEXT('All Solo Standards Source'!X25,"M:SS"),TEXT('All Solo Standards Source'!X25,"H:MM:SS"))</f>
        <v>4:58:37</v>
      </c>
      <c r="X24" s="50" t="str">
        <f>TEXT('All Solo Standards Source'!AB25,"0.00")</f>
        <v>201.18</v>
      </c>
      <c r="Y24" s="50" t="str">
        <f>TEXT('All Solo Standards Source'!AF25,"0.00")</f>
        <v>339.91</v>
      </c>
      <c r="Z24" s="55" t="str">
        <f>IF('All Solo Standards Source'!E25&lt;1/24,TEXT('All Solo Standards Source'!E25,"M:SS"),TEXT('All Solo Standards Source'!E25,"H:MM:SS"))</f>
        <v>30:47</v>
      </c>
      <c r="AA24" s="55" t="str">
        <f>IF('All Solo Standards Source'!I25&lt;1/24,TEXT('All Solo Standards Source'!I25,"M:SS"),TEXT('All Solo Standards Source'!I25,"H:MM:SS"))</f>
        <v>46:20</v>
      </c>
      <c r="AB24" s="55" t="str">
        <f>IF('All Solo Standards Source'!M25&lt;1/24,TEXT('All Solo Standards Source'!M25,"M:SS"),TEXT('All Solo Standards Source'!M25,"H:MM:SS"))</f>
        <v>1:17:45</v>
      </c>
      <c r="AC24" s="55" t="str">
        <f>IF('All Solo Standards Source'!Q25&lt;1/24,TEXT('All Solo Standards Source'!Q25,"M:SS"),TEXT('All Solo Standards Source'!Q25,"H:MM:SS"))</f>
        <v>1:33:37</v>
      </c>
      <c r="AD24" s="55" t="str">
        <f>IF('All Solo Standards Source'!U25&lt;1/24,TEXT('All Solo Standards Source'!U25,"M:SS"),TEXT('All Solo Standards Source'!U25,"H:MM:SS"))</f>
        <v>2:38:14</v>
      </c>
      <c r="AE24" s="55" t="str">
        <f>IF('All Solo Standards Source'!Y25&lt;1/24,TEXT('All Solo Standards Source'!Y25,"M:SS"),TEXT('All Solo Standards Source'!Y25,"H:MM:SS"))</f>
        <v>5:28:01</v>
      </c>
      <c r="AF24" s="55" t="str">
        <f>TEXT('All Solo Standards Source'!AC25,"0.00")</f>
        <v>175.75</v>
      </c>
      <c r="AG24" s="55" t="str">
        <f>TEXT('All Solo Standards Source'!AG25,"0.00")</f>
        <v>303.54</v>
      </c>
    </row>
    <row r="25" spans="1:33" hidden="1" x14ac:dyDescent="0.25">
      <c r="A25" s="17">
        <v>32</v>
      </c>
      <c r="B25" s="53" t="str">
        <f>IF('All Solo Standards Source'!B26&lt;1/24,TEXT('All Solo Standards Source'!B26,"M:SS"),TEXT('All Solo Standards Source'!B26,"H:MM:SS"))</f>
        <v>26:08</v>
      </c>
      <c r="C25" s="53" t="str">
        <f>IF('All Solo Standards Source'!F26&lt;1/24,TEXT('All Solo Standards Source'!F26,"M:SS"),TEXT('All Solo Standards Source'!F26,"H:MM:SS"))</f>
        <v>39:20</v>
      </c>
      <c r="D25" s="53" t="str">
        <f>IF('All Solo Standards Source'!J26&lt;1/24,TEXT('All Solo Standards Source'!J26,"M:SS"),TEXT('All Solo Standards Source'!J26,"H:MM:SS"))</f>
        <v>1:06:00</v>
      </c>
      <c r="E25" s="53" t="str">
        <f>IF('All Solo Standards Source'!N26&lt;1/24,TEXT('All Solo Standards Source'!N26,"M:SS"),TEXT('All Solo Standards Source'!N26,"H:MM:SS"))</f>
        <v>1:19:28</v>
      </c>
      <c r="F25" s="53" t="str">
        <f>IF('All Solo Standards Source'!R26&lt;1/24,TEXT('All Solo Standards Source'!R26,"M:SS"),TEXT('All Solo Standards Source'!R26,"H:MM:SS"))</f>
        <v>2:14:19</v>
      </c>
      <c r="G25" s="53" t="str">
        <f>IF('All Solo Standards Source'!V26&lt;1/24,TEXT('All Solo Standards Source'!V26,"M:SS"),TEXT('All Solo Standards Source'!V26,"H:MM:SS"))</f>
        <v>4:38:27</v>
      </c>
      <c r="H25" s="53" t="str">
        <f>TEXT('All Solo Standards Source'!Z26,"0.00")</f>
        <v>221.90</v>
      </c>
      <c r="I25" s="53" t="str">
        <f>TEXT('All Solo Standards Source'!AD26,"0.00")</f>
        <v>368.69</v>
      </c>
      <c r="J25" s="57" t="str">
        <f>IF('All Solo Standards Source'!C26&lt;1/24,TEXT('All Solo Standards Source'!C26,"M:SS"),TEXT('All Solo Standards Source'!C26,"H:MM:SS"))</f>
        <v>28:39</v>
      </c>
      <c r="K25" s="57" t="str">
        <f>IF('All Solo Standards Source'!G26&lt;1/24,TEXT('All Solo Standards Source'!G26,"M:SS"),TEXT('All Solo Standards Source'!G26,"H:MM:SS"))</f>
        <v>43:07</v>
      </c>
      <c r="L25" s="57" t="str">
        <f>IF('All Solo Standards Source'!K26&lt;1/24,TEXT('All Solo Standards Source'!K26,"M:SS"),TEXT('All Solo Standards Source'!K26,"H:MM:SS"))</f>
        <v>1:12:22</v>
      </c>
      <c r="M25" s="57" t="str">
        <f>IF('All Solo Standards Source'!O26&lt;1/24,TEXT('All Solo Standards Source'!O26,"M:SS"),TEXT('All Solo Standards Source'!O26,"H:MM:SS"))</f>
        <v>1:27:08</v>
      </c>
      <c r="N25" s="57" t="str">
        <f>IF('All Solo Standards Source'!S26&lt;1/24,TEXT('All Solo Standards Source'!S26,"M:SS"),TEXT('All Solo Standards Source'!S26,"H:MM:SS"))</f>
        <v>2:27:16</v>
      </c>
      <c r="O25" s="57" t="str">
        <f>IF('All Solo Standards Source'!W26&lt;1/24,TEXT('All Solo Standards Source'!W26,"M:SS"),TEXT('All Solo Standards Source'!W26,"H:MM:SS"))</f>
        <v>5:05:17</v>
      </c>
      <c r="P25" s="57" t="str">
        <f>TEXT('All Solo Standards Source'!AA26,"0.00")</f>
        <v>194.97</v>
      </c>
      <c r="Q25" s="57" t="str">
        <f>TEXT('All Solo Standards Source'!AE26,"0.00")</f>
        <v>331.13</v>
      </c>
      <c r="R25" s="50" t="str">
        <f>IF('All Solo Standards Source'!D26&lt;1/24,TEXT('All Solo Standards Source'!D26,"M:SS"),TEXT('All Solo Standards Source'!D26,"H:MM:SS"))</f>
        <v>28:01</v>
      </c>
      <c r="S25" s="50" t="str">
        <f>IF('All Solo Standards Source'!H26&lt;1/24,TEXT('All Solo Standards Source'!H26,"M:SS"),TEXT('All Solo Standards Source'!H26,"H:MM:SS"))</f>
        <v>42:11</v>
      </c>
      <c r="T25" s="50" t="str">
        <f>IF('All Solo Standards Source'!L26&lt;1/24,TEXT('All Solo Standards Source'!L26,"M:SS"),TEXT('All Solo Standards Source'!L26,"H:MM:SS"))</f>
        <v>1:10:47</v>
      </c>
      <c r="U25" s="50" t="str">
        <f>IF('All Solo Standards Source'!P26&lt;1/24,TEXT('All Solo Standards Source'!P26,"M:SS"),TEXT('All Solo Standards Source'!P26,"H:MM:SS"))</f>
        <v>1:25:14</v>
      </c>
      <c r="V25" s="50" t="str">
        <f>IF('All Solo Standards Source'!T26&lt;1/24,TEXT('All Solo Standards Source'!T26,"M:SS"),TEXT('All Solo Standards Source'!T26,"H:MM:SS"))</f>
        <v>2:24:03</v>
      </c>
      <c r="W25" s="50" t="str">
        <f>IF('All Solo Standards Source'!X26&lt;1/24,TEXT('All Solo Standards Source'!X26,"M:SS"),TEXT('All Solo Standards Source'!X26,"H:MM:SS"))</f>
        <v>4:58:37</v>
      </c>
      <c r="X25" s="50" t="str">
        <f>TEXT('All Solo Standards Source'!AB26,"0.00")</f>
        <v>201.18</v>
      </c>
      <c r="Y25" s="50" t="str">
        <f>TEXT('All Solo Standards Source'!AF26,"0.00")</f>
        <v>339.91</v>
      </c>
      <c r="Z25" s="55" t="str">
        <f>IF('All Solo Standards Source'!E26&lt;1/24,TEXT('All Solo Standards Source'!E26,"M:SS"),TEXT('All Solo Standards Source'!E26,"H:MM:SS"))</f>
        <v>30:47</v>
      </c>
      <c r="AA25" s="55" t="str">
        <f>IF('All Solo Standards Source'!I26&lt;1/24,TEXT('All Solo Standards Source'!I26,"M:SS"),TEXT('All Solo Standards Source'!I26,"H:MM:SS"))</f>
        <v>46:20</v>
      </c>
      <c r="AB25" s="55" t="str">
        <f>IF('All Solo Standards Source'!M26&lt;1/24,TEXT('All Solo Standards Source'!M26,"M:SS"),TEXT('All Solo Standards Source'!M26,"H:MM:SS"))</f>
        <v>1:17:45</v>
      </c>
      <c r="AC25" s="55" t="str">
        <f>IF('All Solo Standards Source'!Q26&lt;1/24,TEXT('All Solo Standards Source'!Q26,"M:SS"),TEXT('All Solo Standards Source'!Q26,"H:MM:SS"))</f>
        <v>1:33:37</v>
      </c>
      <c r="AD25" s="55" t="str">
        <f>IF('All Solo Standards Source'!U26&lt;1/24,TEXT('All Solo Standards Source'!U26,"M:SS"),TEXT('All Solo Standards Source'!U26,"H:MM:SS"))</f>
        <v>2:38:14</v>
      </c>
      <c r="AE25" s="55" t="str">
        <f>IF('All Solo Standards Source'!Y26&lt;1/24,TEXT('All Solo Standards Source'!Y26,"M:SS"),TEXT('All Solo Standards Source'!Y26,"H:MM:SS"))</f>
        <v>5:28:01</v>
      </c>
      <c r="AF25" s="55" t="str">
        <f>TEXT('All Solo Standards Source'!AC26,"0.00")</f>
        <v>175.75</v>
      </c>
      <c r="AG25" s="55" t="str">
        <f>TEXT('All Solo Standards Source'!AG26,"0.00")</f>
        <v>303.54</v>
      </c>
    </row>
    <row r="26" spans="1:33" hidden="1" x14ac:dyDescent="0.25">
      <c r="A26" s="17">
        <v>33</v>
      </c>
      <c r="B26" s="53" t="str">
        <f>IF('All Solo Standards Source'!B27&lt;1/24,TEXT('All Solo Standards Source'!B27,"M:SS"),TEXT('All Solo Standards Source'!B27,"H:MM:SS"))</f>
        <v>26:08</v>
      </c>
      <c r="C26" s="53" t="str">
        <f>IF('All Solo Standards Source'!F27&lt;1/24,TEXT('All Solo Standards Source'!F27,"M:SS"),TEXT('All Solo Standards Source'!F27,"H:MM:SS"))</f>
        <v>39:20</v>
      </c>
      <c r="D26" s="53" t="str">
        <f>IF('All Solo Standards Source'!J27&lt;1/24,TEXT('All Solo Standards Source'!J27,"M:SS"),TEXT('All Solo Standards Source'!J27,"H:MM:SS"))</f>
        <v>1:06:00</v>
      </c>
      <c r="E26" s="53" t="str">
        <f>IF('All Solo Standards Source'!N27&lt;1/24,TEXT('All Solo Standards Source'!N27,"M:SS"),TEXT('All Solo Standards Source'!N27,"H:MM:SS"))</f>
        <v>1:19:28</v>
      </c>
      <c r="F26" s="53" t="str">
        <f>IF('All Solo Standards Source'!R27&lt;1/24,TEXT('All Solo Standards Source'!R27,"M:SS"),TEXT('All Solo Standards Source'!R27,"H:MM:SS"))</f>
        <v>2:14:19</v>
      </c>
      <c r="G26" s="53" t="str">
        <f>IF('All Solo Standards Source'!V27&lt;1/24,TEXT('All Solo Standards Source'!V27,"M:SS"),TEXT('All Solo Standards Source'!V27,"H:MM:SS"))</f>
        <v>4:38:27</v>
      </c>
      <c r="H26" s="53" t="str">
        <f>TEXT('All Solo Standards Source'!Z27,"0.00")</f>
        <v>221.90</v>
      </c>
      <c r="I26" s="53" t="str">
        <f>TEXT('All Solo Standards Source'!AD27,"0.00")</f>
        <v>368.69</v>
      </c>
      <c r="J26" s="57" t="str">
        <f>IF('All Solo Standards Source'!C27&lt;1/24,TEXT('All Solo Standards Source'!C27,"M:SS"),TEXT('All Solo Standards Source'!C27,"H:MM:SS"))</f>
        <v>28:39</v>
      </c>
      <c r="K26" s="57" t="str">
        <f>IF('All Solo Standards Source'!G27&lt;1/24,TEXT('All Solo Standards Source'!G27,"M:SS"),TEXT('All Solo Standards Source'!G27,"H:MM:SS"))</f>
        <v>43:07</v>
      </c>
      <c r="L26" s="57" t="str">
        <f>IF('All Solo Standards Source'!K27&lt;1/24,TEXT('All Solo Standards Source'!K27,"M:SS"),TEXT('All Solo Standards Source'!K27,"H:MM:SS"))</f>
        <v>1:12:22</v>
      </c>
      <c r="M26" s="57" t="str">
        <f>IF('All Solo Standards Source'!O27&lt;1/24,TEXT('All Solo Standards Source'!O27,"M:SS"),TEXT('All Solo Standards Source'!O27,"H:MM:SS"))</f>
        <v>1:27:08</v>
      </c>
      <c r="N26" s="57" t="str">
        <f>IF('All Solo Standards Source'!S27&lt;1/24,TEXT('All Solo Standards Source'!S27,"M:SS"),TEXT('All Solo Standards Source'!S27,"H:MM:SS"))</f>
        <v>2:27:16</v>
      </c>
      <c r="O26" s="57" t="str">
        <f>IF('All Solo Standards Source'!W27&lt;1/24,TEXT('All Solo Standards Source'!W27,"M:SS"),TEXT('All Solo Standards Source'!W27,"H:MM:SS"))</f>
        <v>5:05:17</v>
      </c>
      <c r="P26" s="57" t="str">
        <f>TEXT('All Solo Standards Source'!AA27,"0.00")</f>
        <v>194.97</v>
      </c>
      <c r="Q26" s="57" t="str">
        <f>TEXT('All Solo Standards Source'!AE27,"0.00")</f>
        <v>331.13</v>
      </c>
      <c r="R26" s="50" t="str">
        <f>IF('All Solo Standards Source'!D27&lt;1/24,TEXT('All Solo Standards Source'!D27,"M:SS"),TEXT('All Solo Standards Source'!D27,"H:MM:SS"))</f>
        <v>28:01</v>
      </c>
      <c r="S26" s="50" t="str">
        <f>IF('All Solo Standards Source'!H27&lt;1/24,TEXT('All Solo Standards Source'!H27,"M:SS"),TEXT('All Solo Standards Source'!H27,"H:MM:SS"))</f>
        <v>42:11</v>
      </c>
      <c r="T26" s="50" t="str">
        <f>IF('All Solo Standards Source'!L27&lt;1/24,TEXT('All Solo Standards Source'!L27,"M:SS"),TEXT('All Solo Standards Source'!L27,"H:MM:SS"))</f>
        <v>1:10:47</v>
      </c>
      <c r="U26" s="50" t="str">
        <f>IF('All Solo Standards Source'!P27&lt;1/24,TEXT('All Solo Standards Source'!P27,"M:SS"),TEXT('All Solo Standards Source'!P27,"H:MM:SS"))</f>
        <v>1:25:14</v>
      </c>
      <c r="V26" s="50" t="str">
        <f>IF('All Solo Standards Source'!T27&lt;1/24,TEXT('All Solo Standards Source'!T27,"M:SS"),TEXT('All Solo Standards Source'!T27,"H:MM:SS"))</f>
        <v>2:24:03</v>
      </c>
      <c r="W26" s="50" t="str">
        <f>IF('All Solo Standards Source'!X27&lt;1/24,TEXT('All Solo Standards Source'!X27,"M:SS"),TEXT('All Solo Standards Source'!X27,"H:MM:SS"))</f>
        <v>4:58:37</v>
      </c>
      <c r="X26" s="50" t="str">
        <f>TEXT('All Solo Standards Source'!AB27,"0.00")</f>
        <v>201.18</v>
      </c>
      <c r="Y26" s="50" t="str">
        <f>TEXT('All Solo Standards Source'!AF27,"0.00")</f>
        <v>339.91</v>
      </c>
      <c r="Z26" s="55" t="str">
        <f>IF('All Solo Standards Source'!E27&lt;1/24,TEXT('All Solo Standards Source'!E27,"M:SS"),TEXT('All Solo Standards Source'!E27,"H:MM:SS"))</f>
        <v>30:47</v>
      </c>
      <c r="AA26" s="55" t="str">
        <f>IF('All Solo Standards Source'!I27&lt;1/24,TEXT('All Solo Standards Source'!I27,"M:SS"),TEXT('All Solo Standards Source'!I27,"H:MM:SS"))</f>
        <v>46:20</v>
      </c>
      <c r="AB26" s="55" t="str">
        <f>IF('All Solo Standards Source'!M27&lt;1/24,TEXT('All Solo Standards Source'!M27,"M:SS"),TEXT('All Solo Standards Source'!M27,"H:MM:SS"))</f>
        <v>1:17:45</v>
      </c>
      <c r="AC26" s="55" t="str">
        <f>IF('All Solo Standards Source'!Q27&lt;1/24,TEXT('All Solo Standards Source'!Q27,"M:SS"),TEXT('All Solo Standards Source'!Q27,"H:MM:SS"))</f>
        <v>1:33:37</v>
      </c>
      <c r="AD26" s="55" t="str">
        <f>IF('All Solo Standards Source'!U27&lt;1/24,TEXT('All Solo Standards Source'!U27,"M:SS"),TEXT('All Solo Standards Source'!U27,"H:MM:SS"))</f>
        <v>2:38:14</v>
      </c>
      <c r="AE26" s="55" t="str">
        <f>IF('All Solo Standards Source'!Y27&lt;1/24,TEXT('All Solo Standards Source'!Y27,"M:SS"),TEXT('All Solo Standards Source'!Y27,"H:MM:SS"))</f>
        <v>5:28:01</v>
      </c>
      <c r="AF26" s="55" t="str">
        <f>TEXT('All Solo Standards Source'!AC27,"0.00")</f>
        <v>175.75</v>
      </c>
      <c r="AG26" s="55" t="str">
        <f>TEXT('All Solo Standards Source'!AG27,"0.00")</f>
        <v>303.54</v>
      </c>
    </row>
    <row r="27" spans="1:33" hidden="1" x14ac:dyDescent="0.25">
      <c r="A27" s="17">
        <v>34</v>
      </c>
      <c r="B27" s="53" t="str">
        <f>IF('All Solo Standards Source'!B28&lt;1/24,TEXT('All Solo Standards Source'!B28,"M:SS"),TEXT('All Solo Standards Source'!B28,"H:MM:SS"))</f>
        <v>26:08</v>
      </c>
      <c r="C27" s="53" t="str">
        <f>IF('All Solo Standards Source'!F28&lt;1/24,TEXT('All Solo Standards Source'!F28,"M:SS"),TEXT('All Solo Standards Source'!F28,"H:MM:SS"))</f>
        <v>39:20</v>
      </c>
      <c r="D27" s="53" t="str">
        <f>IF('All Solo Standards Source'!J28&lt;1/24,TEXT('All Solo Standards Source'!J28,"M:SS"),TEXT('All Solo Standards Source'!J28,"H:MM:SS"))</f>
        <v>1:06:00</v>
      </c>
      <c r="E27" s="53" t="str">
        <f>IF('All Solo Standards Source'!N28&lt;1/24,TEXT('All Solo Standards Source'!N28,"M:SS"),TEXT('All Solo Standards Source'!N28,"H:MM:SS"))</f>
        <v>1:19:28</v>
      </c>
      <c r="F27" s="53" t="str">
        <f>IF('All Solo Standards Source'!R28&lt;1/24,TEXT('All Solo Standards Source'!R28,"M:SS"),TEXT('All Solo Standards Source'!R28,"H:MM:SS"))</f>
        <v>2:14:19</v>
      </c>
      <c r="G27" s="53" t="str">
        <f>IF('All Solo Standards Source'!V28&lt;1/24,TEXT('All Solo Standards Source'!V28,"M:SS"),TEXT('All Solo Standards Source'!V28,"H:MM:SS"))</f>
        <v>4:38:27</v>
      </c>
      <c r="H27" s="53" t="str">
        <f>TEXT('All Solo Standards Source'!Z28,"0.00")</f>
        <v>221.90</v>
      </c>
      <c r="I27" s="53" t="str">
        <f>TEXT('All Solo Standards Source'!AD28,"0.00")</f>
        <v>368.69</v>
      </c>
      <c r="J27" s="57" t="str">
        <f>IF('All Solo Standards Source'!C28&lt;1/24,TEXT('All Solo Standards Source'!C28,"M:SS"),TEXT('All Solo Standards Source'!C28,"H:MM:SS"))</f>
        <v>28:39</v>
      </c>
      <c r="K27" s="57" t="str">
        <f>IF('All Solo Standards Source'!G28&lt;1/24,TEXT('All Solo Standards Source'!G28,"M:SS"),TEXT('All Solo Standards Source'!G28,"H:MM:SS"))</f>
        <v>43:07</v>
      </c>
      <c r="L27" s="57" t="str">
        <f>IF('All Solo Standards Source'!K28&lt;1/24,TEXT('All Solo Standards Source'!K28,"M:SS"),TEXT('All Solo Standards Source'!K28,"H:MM:SS"))</f>
        <v>1:12:22</v>
      </c>
      <c r="M27" s="57" t="str">
        <f>IF('All Solo Standards Source'!O28&lt;1/24,TEXT('All Solo Standards Source'!O28,"M:SS"),TEXT('All Solo Standards Source'!O28,"H:MM:SS"))</f>
        <v>1:27:08</v>
      </c>
      <c r="N27" s="57" t="str">
        <f>IF('All Solo Standards Source'!S28&lt;1/24,TEXT('All Solo Standards Source'!S28,"M:SS"),TEXT('All Solo Standards Source'!S28,"H:MM:SS"))</f>
        <v>2:27:16</v>
      </c>
      <c r="O27" s="57" t="str">
        <f>IF('All Solo Standards Source'!W28&lt;1/24,TEXT('All Solo Standards Source'!W28,"M:SS"),TEXT('All Solo Standards Source'!W28,"H:MM:SS"))</f>
        <v>5:05:17</v>
      </c>
      <c r="P27" s="57" t="str">
        <f>TEXT('All Solo Standards Source'!AA28,"0.00")</f>
        <v>194.97</v>
      </c>
      <c r="Q27" s="57" t="str">
        <f>TEXT('All Solo Standards Source'!AE28,"0.00")</f>
        <v>331.13</v>
      </c>
      <c r="R27" s="50" t="str">
        <f>IF('All Solo Standards Source'!D28&lt;1/24,TEXT('All Solo Standards Source'!D28,"M:SS"),TEXT('All Solo Standards Source'!D28,"H:MM:SS"))</f>
        <v>28:01</v>
      </c>
      <c r="S27" s="50" t="str">
        <f>IF('All Solo Standards Source'!H28&lt;1/24,TEXT('All Solo Standards Source'!H28,"M:SS"),TEXT('All Solo Standards Source'!H28,"H:MM:SS"))</f>
        <v>42:11</v>
      </c>
      <c r="T27" s="50" t="str">
        <f>IF('All Solo Standards Source'!L28&lt;1/24,TEXT('All Solo Standards Source'!L28,"M:SS"),TEXT('All Solo Standards Source'!L28,"H:MM:SS"))</f>
        <v>1:10:47</v>
      </c>
      <c r="U27" s="50" t="str">
        <f>IF('All Solo Standards Source'!P28&lt;1/24,TEXT('All Solo Standards Source'!P28,"M:SS"),TEXT('All Solo Standards Source'!P28,"H:MM:SS"))</f>
        <v>1:25:14</v>
      </c>
      <c r="V27" s="50" t="str">
        <f>IF('All Solo Standards Source'!T28&lt;1/24,TEXT('All Solo Standards Source'!T28,"M:SS"),TEXT('All Solo Standards Source'!T28,"H:MM:SS"))</f>
        <v>2:24:03</v>
      </c>
      <c r="W27" s="50" t="str">
        <f>IF('All Solo Standards Source'!X28&lt;1/24,TEXT('All Solo Standards Source'!X28,"M:SS"),TEXT('All Solo Standards Source'!X28,"H:MM:SS"))</f>
        <v>4:58:37</v>
      </c>
      <c r="X27" s="50" t="str">
        <f>TEXT('All Solo Standards Source'!AB28,"0.00")</f>
        <v>201.18</v>
      </c>
      <c r="Y27" s="50" t="str">
        <f>TEXT('All Solo Standards Source'!AF28,"0.00")</f>
        <v>339.91</v>
      </c>
      <c r="Z27" s="55" t="str">
        <f>IF('All Solo Standards Source'!E28&lt;1/24,TEXT('All Solo Standards Source'!E28,"M:SS"),TEXT('All Solo Standards Source'!E28,"H:MM:SS"))</f>
        <v>30:47</v>
      </c>
      <c r="AA27" s="55" t="str">
        <f>IF('All Solo Standards Source'!I28&lt;1/24,TEXT('All Solo Standards Source'!I28,"M:SS"),TEXT('All Solo Standards Source'!I28,"H:MM:SS"))</f>
        <v>46:20</v>
      </c>
      <c r="AB27" s="55" t="str">
        <f>IF('All Solo Standards Source'!M28&lt;1/24,TEXT('All Solo Standards Source'!M28,"M:SS"),TEXT('All Solo Standards Source'!M28,"H:MM:SS"))</f>
        <v>1:17:45</v>
      </c>
      <c r="AC27" s="55" t="str">
        <f>IF('All Solo Standards Source'!Q28&lt;1/24,TEXT('All Solo Standards Source'!Q28,"M:SS"),TEXT('All Solo Standards Source'!Q28,"H:MM:SS"))</f>
        <v>1:33:37</v>
      </c>
      <c r="AD27" s="55" t="str">
        <f>IF('All Solo Standards Source'!U28&lt;1/24,TEXT('All Solo Standards Source'!U28,"M:SS"),TEXT('All Solo Standards Source'!U28,"H:MM:SS"))</f>
        <v>2:38:14</v>
      </c>
      <c r="AE27" s="55" t="str">
        <f>IF('All Solo Standards Source'!Y28&lt;1/24,TEXT('All Solo Standards Source'!Y28,"M:SS"),TEXT('All Solo Standards Source'!Y28,"H:MM:SS"))</f>
        <v>5:28:01</v>
      </c>
      <c r="AF27" s="55" t="str">
        <f>TEXT('All Solo Standards Source'!AC28,"0.00")</f>
        <v>175.75</v>
      </c>
      <c r="AG27" s="55" t="str">
        <f>TEXT('All Solo Standards Source'!AG28,"0.00")</f>
        <v>303.54</v>
      </c>
    </row>
    <row r="28" spans="1:33" hidden="1" x14ac:dyDescent="0.25">
      <c r="A28" s="17">
        <v>35</v>
      </c>
      <c r="B28" s="53" t="str">
        <f>IF('All Solo Standards Source'!B29&lt;1/24,TEXT('All Solo Standards Source'!B29,"M:SS"),TEXT('All Solo Standards Source'!B29,"H:MM:SS"))</f>
        <v>26:08</v>
      </c>
      <c r="C28" s="53" t="str">
        <f>IF('All Solo Standards Source'!F29&lt;1/24,TEXT('All Solo Standards Source'!F29,"M:SS"),TEXT('All Solo Standards Source'!F29,"H:MM:SS"))</f>
        <v>39:20</v>
      </c>
      <c r="D28" s="53" t="str">
        <f>IF('All Solo Standards Source'!J29&lt;1/24,TEXT('All Solo Standards Source'!J29,"M:SS"),TEXT('All Solo Standards Source'!J29,"H:MM:SS"))</f>
        <v>1:06:00</v>
      </c>
      <c r="E28" s="53" t="str">
        <f>IF('All Solo Standards Source'!N29&lt;1/24,TEXT('All Solo Standards Source'!N29,"M:SS"),TEXT('All Solo Standards Source'!N29,"H:MM:SS"))</f>
        <v>1:19:28</v>
      </c>
      <c r="F28" s="53" t="str">
        <f>IF('All Solo Standards Source'!R29&lt;1/24,TEXT('All Solo Standards Source'!R29,"M:SS"),TEXT('All Solo Standards Source'!R29,"H:MM:SS"))</f>
        <v>2:14:19</v>
      </c>
      <c r="G28" s="53" t="str">
        <f>IF('All Solo Standards Source'!V29&lt;1/24,TEXT('All Solo Standards Source'!V29,"M:SS"),TEXT('All Solo Standards Source'!V29,"H:MM:SS"))</f>
        <v>4:38:27</v>
      </c>
      <c r="H28" s="53" t="str">
        <f>TEXT('All Solo Standards Source'!Z29,"0.00")</f>
        <v>221.90</v>
      </c>
      <c r="I28" s="53" t="str">
        <f>TEXT('All Solo Standards Source'!AD29,"0.00")</f>
        <v>368.69</v>
      </c>
      <c r="J28" s="57" t="str">
        <f>IF('All Solo Standards Source'!C29&lt;1/24,TEXT('All Solo Standards Source'!C29,"M:SS"),TEXT('All Solo Standards Source'!C29,"H:MM:SS"))</f>
        <v>28:39</v>
      </c>
      <c r="K28" s="57" t="str">
        <f>IF('All Solo Standards Source'!G29&lt;1/24,TEXT('All Solo Standards Source'!G29,"M:SS"),TEXT('All Solo Standards Source'!G29,"H:MM:SS"))</f>
        <v>43:07</v>
      </c>
      <c r="L28" s="57" t="str">
        <f>IF('All Solo Standards Source'!K29&lt;1/24,TEXT('All Solo Standards Source'!K29,"M:SS"),TEXT('All Solo Standards Source'!K29,"H:MM:SS"))</f>
        <v>1:12:22</v>
      </c>
      <c r="M28" s="57" t="str">
        <f>IF('All Solo Standards Source'!O29&lt;1/24,TEXT('All Solo Standards Source'!O29,"M:SS"),TEXT('All Solo Standards Source'!O29,"H:MM:SS"))</f>
        <v>1:27:08</v>
      </c>
      <c r="N28" s="57" t="str">
        <f>IF('All Solo Standards Source'!S29&lt;1/24,TEXT('All Solo Standards Source'!S29,"M:SS"),TEXT('All Solo Standards Source'!S29,"H:MM:SS"))</f>
        <v>2:27:16</v>
      </c>
      <c r="O28" s="57" t="str">
        <f>IF('All Solo Standards Source'!W29&lt;1/24,TEXT('All Solo Standards Source'!W29,"M:SS"),TEXT('All Solo Standards Source'!W29,"H:MM:SS"))</f>
        <v>5:05:17</v>
      </c>
      <c r="P28" s="57" t="str">
        <f>TEXT('All Solo Standards Source'!AA29,"0.00")</f>
        <v>194.97</v>
      </c>
      <c r="Q28" s="57" t="str">
        <f>TEXT('All Solo Standards Source'!AE29,"0.00")</f>
        <v>331.13</v>
      </c>
      <c r="R28" s="50" t="str">
        <f>IF('All Solo Standards Source'!D29&lt;1/24,TEXT('All Solo Standards Source'!D29,"M:SS"),TEXT('All Solo Standards Source'!D29,"H:MM:SS"))</f>
        <v>28:01</v>
      </c>
      <c r="S28" s="50" t="str">
        <f>IF('All Solo Standards Source'!H29&lt;1/24,TEXT('All Solo Standards Source'!H29,"M:SS"),TEXT('All Solo Standards Source'!H29,"H:MM:SS"))</f>
        <v>42:11</v>
      </c>
      <c r="T28" s="50" t="str">
        <f>IF('All Solo Standards Source'!L29&lt;1/24,TEXT('All Solo Standards Source'!L29,"M:SS"),TEXT('All Solo Standards Source'!L29,"H:MM:SS"))</f>
        <v>1:10:47</v>
      </c>
      <c r="U28" s="50" t="str">
        <f>IF('All Solo Standards Source'!P29&lt;1/24,TEXT('All Solo Standards Source'!P29,"M:SS"),TEXT('All Solo Standards Source'!P29,"H:MM:SS"))</f>
        <v>1:25:14</v>
      </c>
      <c r="V28" s="50" t="str">
        <f>IF('All Solo Standards Source'!T29&lt;1/24,TEXT('All Solo Standards Source'!T29,"M:SS"),TEXT('All Solo Standards Source'!T29,"H:MM:SS"))</f>
        <v>2:24:03</v>
      </c>
      <c r="W28" s="50" t="str">
        <f>IF('All Solo Standards Source'!X29&lt;1/24,TEXT('All Solo Standards Source'!X29,"M:SS"),TEXT('All Solo Standards Source'!X29,"H:MM:SS"))</f>
        <v>4:58:37</v>
      </c>
      <c r="X28" s="50" t="str">
        <f>TEXT('All Solo Standards Source'!AB29,"0.00")</f>
        <v>201.18</v>
      </c>
      <c r="Y28" s="50" t="str">
        <f>TEXT('All Solo Standards Source'!AF29,"0.00")</f>
        <v>339.91</v>
      </c>
      <c r="Z28" s="55" t="str">
        <f>IF('All Solo Standards Source'!E29&lt;1/24,TEXT('All Solo Standards Source'!E29,"M:SS"),TEXT('All Solo Standards Source'!E29,"H:MM:SS"))</f>
        <v>30:47</v>
      </c>
      <c r="AA28" s="55" t="str">
        <f>IF('All Solo Standards Source'!I29&lt;1/24,TEXT('All Solo Standards Source'!I29,"M:SS"),TEXT('All Solo Standards Source'!I29,"H:MM:SS"))</f>
        <v>46:20</v>
      </c>
      <c r="AB28" s="55" t="str">
        <f>IF('All Solo Standards Source'!M29&lt;1/24,TEXT('All Solo Standards Source'!M29,"M:SS"),TEXT('All Solo Standards Source'!M29,"H:MM:SS"))</f>
        <v>1:17:45</v>
      </c>
      <c r="AC28" s="55" t="str">
        <f>IF('All Solo Standards Source'!Q29&lt;1/24,TEXT('All Solo Standards Source'!Q29,"M:SS"),TEXT('All Solo Standards Source'!Q29,"H:MM:SS"))</f>
        <v>1:33:37</v>
      </c>
      <c r="AD28" s="55" t="str">
        <f>IF('All Solo Standards Source'!U29&lt;1/24,TEXT('All Solo Standards Source'!U29,"M:SS"),TEXT('All Solo Standards Source'!U29,"H:MM:SS"))</f>
        <v>2:38:14</v>
      </c>
      <c r="AE28" s="55" t="str">
        <f>IF('All Solo Standards Source'!Y29&lt;1/24,TEXT('All Solo Standards Source'!Y29,"M:SS"),TEXT('All Solo Standards Source'!Y29,"H:MM:SS"))</f>
        <v>5:28:01</v>
      </c>
      <c r="AF28" s="55" t="str">
        <f>TEXT('All Solo Standards Source'!AC29,"0.00")</f>
        <v>175.75</v>
      </c>
      <c r="AG28" s="55" t="str">
        <f>TEXT('All Solo Standards Source'!AG29,"0.00")</f>
        <v>303.54</v>
      </c>
    </row>
    <row r="29" spans="1:33" hidden="1" x14ac:dyDescent="0.25">
      <c r="A29" s="17">
        <v>36</v>
      </c>
      <c r="B29" s="53" t="str">
        <f>IF('All Solo Standards Source'!B30&lt;1/24,TEXT('All Solo Standards Source'!B30,"M:SS"),TEXT('All Solo Standards Source'!B30,"H:MM:SS"))</f>
        <v>26:08</v>
      </c>
      <c r="C29" s="53" t="str">
        <f>IF('All Solo Standards Source'!F30&lt;1/24,TEXT('All Solo Standards Source'!F30,"M:SS"),TEXT('All Solo Standards Source'!F30,"H:MM:SS"))</f>
        <v>39:20</v>
      </c>
      <c r="D29" s="53" t="str">
        <f>IF('All Solo Standards Source'!J30&lt;1/24,TEXT('All Solo Standards Source'!J30,"M:SS"),TEXT('All Solo Standards Source'!J30,"H:MM:SS"))</f>
        <v>1:06:00</v>
      </c>
      <c r="E29" s="53" t="str">
        <f>IF('All Solo Standards Source'!N30&lt;1/24,TEXT('All Solo Standards Source'!N30,"M:SS"),TEXT('All Solo Standards Source'!N30,"H:MM:SS"))</f>
        <v>1:19:28</v>
      </c>
      <c r="F29" s="53" t="str">
        <f>IF('All Solo Standards Source'!R30&lt;1/24,TEXT('All Solo Standards Source'!R30,"M:SS"),TEXT('All Solo Standards Source'!R30,"H:MM:SS"))</f>
        <v>2:14:19</v>
      </c>
      <c r="G29" s="53" t="str">
        <f>IF('All Solo Standards Source'!V30&lt;1/24,TEXT('All Solo Standards Source'!V30,"M:SS"),TEXT('All Solo Standards Source'!V30,"H:MM:SS"))</f>
        <v>4:38:27</v>
      </c>
      <c r="H29" s="53" t="str">
        <f>TEXT('All Solo Standards Source'!Z30,"0.00")</f>
        <v>221.90</v>
      </c>
      <c r="I29" s="53" t="str">
        <f>TEXT('All Solo Standards Source'!AD30,"0.00")</f>
        <v>368.69</v>
      </c>
      <c r="J29" s="57" t="str">
        <f>IF('All Solo Standards Source'!C30&lt;1/24,TEXT('All Solo Standards Source'!C30,"M:SS"),TEXT('All Solo Standards Source'!C30,"H:MM:SS"))</f>
        <v>28:39</v>
      </c>
      <c r="K29" s="57" t="str">
        <f>IF('All Solo Standards Source'!G30&lt;1/24,TEXT('All Solo Standards Source'!G30,"M:SS"),TEXT('All Solo Standards Source'!G30,"H:MM:SS"))</f>
        <v>43:07</v>
      </c>
      <c r="L29" s="57" t="str">
        <f>IF('All Solo Standards Source'!K30&lt;1/24,TEXT('All Solo Standards Source'!K30,"M:SS"),TEXT('All Solo Standards Source'!K30,"H:MM:SS"))</f>
        <v>1:12:22</v>
      </c>
      <c r="M29" s="57" t="str">
        <f>IF('All Solo Standards Source'!O30&lt;1/24,TEXT('All Solo Standards Source'!O30,"M:SS"),TEXT('All Solo Standards Source'!O30,"H:MM:SS"))</f>
        <v>1:27:08</v>
      </c>
      <c r="N29" s="57" t="str">
        <f>IF('All Solo Standards Source'!S30&lt;1/24,TEXT('All Solo Standards Source'!S30,"M:SS"),TEXT('All Solo Standards Source'!S30,"H:MM:SS"))</f>
        <v>2:27:16</v>
      </c>
      <c r="O29" s="57" t="str">
        <f>IF('All Solo Standards Source'!W30&lt;1/24,TEXT('All Solo Standards Source'!W30,"M:SS"),TEXT('All Solo Standards Source'!W30,"H:MM:SS"))</f>
        <v>5:05:17</v>
      </c>
      <c r="P29" s="57" t="str">
        <f>TEXT('All Solo Standards Source'!AA30,"0.00")</f>
        <v>194.97</v>
      </c>
      <c r="Q29" s="57" t="str">
        <f>TEXT('All Solo Standards Source'!AE30,"0.00")</f>
        <v>331.13</v>
      </c>
      <c r="R29" s="50" t="str">
        <f>IF('All Solo Standards Source'!D30&lt;1/24,TEXT('All Solo Standards Source'!D30,"M:SS"),TEXT('All Solo Standards Source'!D30,"H:MM:SS"))</f>
        <v>28:01</v>
      </c>
      <c r="S29" s="50" t="str">
        <f>IF('All Solo Standards Source'!H30&lt;1/24,TEXT('All Solo Standards Source'!H30,"M:SS"),TEXT('All Solo Standards Source'!H30,"H:MM:SS"))</f>
        <v>42:11</v>
      </c>
      <c r="T29" s="50" t="str">
        <f>IF('All Solo Standards Source'!L30&lt;1/24,TEXT('All Solo Standards Source'!L30,"M:SS"),TEXT('All Solo Standards Source'!L30,"H:MM:SS"))</f>
        <v>1:10:47</v>
      </c>
      <c r="U29" s="50" t="str">
        <f>IF('All Solo Standards Source'!P30&lt;1/24,TEXT('All Solo Standards Source'!P30,"M:SS"),TEXT('All Solo Standards Source'!P30,"H:MM:SS"))</f>
        <v>1:25:14</v>
      </c>
      <c r="V29" s="50" t="str">
        <f>IF('All Solo Standards Source'!T30&lt;1/24,TEXT('All Solo Standards Source'!T30,"M:SS"),TEXT('All Solo Standards Source'!T30,"H:MM:SS"))</f>
        <v>2:24:03</v>
      </c>
      <c r="W29" s="50" t="str">
        <f>IF('All Solo Standards Source'!X30&lt;1/24,TEXT('All Solo Standards Source'!X30,"M:SS"),TEXT('All Solo Standards Source'!X30,"H:MM:SS"))</f>
        <v>4:58:37</v>
      </c>
      <c r="X29" s="50" t="str">
        <f>TEXT('All Solo Standards Source'!AB30,"0.00")</f>
        <v>201.18</v>
      </c>
      <c r="Y29" s="50" t="str">
        <f>TEXT('All Solo Standards Source'!AF30,"0.00")</f>
        <v>339.91</v>
      </c>
      <c r="Z29" s="55" t="str">
        <f>IF('All Solo Standards Source'!E30&lt;1/24,TEXT('All Solo Standards Source'!E30,"M:SS"),TEXT('All Solo Standards Source'!E30,"H:MM:SS"))</f>
        <v>30:47</v>
      </c>
      <c r="AA29" s="55" t="str">
        <f>IF('All Solo Standards Source'!I30&lt;1/24,TEXT('All Solo Standards Source'!I30,"M:SS"),TEXT('All Solo Standards Source'!I30,"H:MM:SS"))</f>
        <v>46:20</v>
      </c>
      <c r="AB29" s="55" t="str">
        <f>IF('All Solo Standards Source'!M30&lt;1/24,TEXT('All Solo Standards Source'!M30,"M:SS"),TEXT('All Solo Standards Source'!M30,"H:MM:SS"))</f>
        <v>1:17:45</v>
      </c>
      <c r="AC29" s="55" t="str">
        <f>IF('All Solo Standards Source'!Q30&lt;1/24,TEXT('All Solo Standards Source'!Q30,"M:SS"),TEXT('All Solo Standards Source'!Q30,"H:MM:SS"))</f>
        <v>1:33:37</v>
      </c>
      <c r="AD29" s="55" t="str">
        <f>IF('All Solo Standards Source'!U30&lt;1/24,TEXT('All Solo Standards Source'!U30,"M:SS"),TEXT('All Solo Standards Source'!U30,"H:MM:SS"))</f>
        <v>2:38:14</v>
      </c>
      <c r="AE29" s="55" t="str">
        <f>IF('All Solo Standards Source'!Y30&lt;1/24,TEXT('All Solo Standards Source'!Y30,"M:SS"),TEXT('All Solo Standards Source'!Y30,"H:MM:SS"))</f>
        <v>5:28:01</v>
      </c>
      <c r="AF29" s="55" t="str">
        <f>TEXT('All Solo Standards Source'!AC30,"0.00")</f>
        <v>175.75</v>
      </c>
      <c r="AG29" s="55" t="str">
        <f>TEXT('All Solo Standards Source'!AG30,"0.00")</f>
        <v>303.54</v>
      </c>
    </row>
    <row r="30" spans="1:33" hidden="1" x14ac:dyDescent="0.25">
      <c r="A30" s="17">
        <v>37</v>
      </c>
      <c r="B30" s="53" t="str">
        <f>IF('All Solo Standards Source'!B31&lt;1/24,TEXT('All Solo Standards Source'!B31,"M:SS"),TEXT('All Solo Standards Source'!B31,"H:MM:SS"))</f>
        <v>26:08</v>
      </c>
      <c r="C30" s="53" t="str">
        <f>IF('All Solo Standards Source'!F31&lt;1/24,TEXT('All Solo Standards Source'!F31,"M:SS"),TEXT('All Solo Standards Source'!F31,"H:MM:SS"))</f>
        <v>39:20</v>
      </c>
      <c r="D30" s="53" t="str">
        <f>IF('All Solo Standards Source'!J31&lt;1/24,TEXT('All Solo Standards Source'!J31,"M:SS"),TEXT('All Solo Standards Source'!J31,"H:MM:SS"))</f>
        <v>1:06:00</v>
      </c>
      <c r="E30" s="53" t="str">
        <f>IF('All Solo Standards Source'!N31&lt;1/24,TEXT('All Solo Standards Source'!N31,"M:SS"),TEXT('All Solo Standards Source'!N31,"H:MM:SS"))</f>
        <v>1:19:28</v>
      </c>
      <c r="F30" s="53" t="str">
        <f>IF('All Solo Standards Source'!R31&lt;1/24,TEXT('All Solo Standards Source'!R31,"M:SS"),TEXT('All Solo Standards Source'!R31,"H:MM:SS"))</f>
        <v>2:14:19</v>
      </c>
      <c r="G30" s="53" t="str">
        <f>IF('All Solo Standards Source'!V31&lt;1/24,TEXT('All Solo Standards Source'!V31,"M:SS"),TEXT('All Solo Standards Source'!V31,"H:MM:SS"))</f>
        <v>4:38:27</v>
      </c>
      <c r="H30" s="53" t="str">
        <f>TEXT('All Solo Standards Source'!Z31,"0.00")</f>
        <v>221.90</v>
      </c>
      <c r="I30" s="53" t="str">
        <f>TEXT('All Solo Standards Source'!AD31,"0.00")</f>
        <v>368.69</v>
      </c>
      <c r="J30" s="57" t="str">
        <f>IF('All Solo Standards Source'!C31&lt;1/24,TEXT('All Solo Standards Source'!C31,"M:SS"),TEXT('All Solo Standards Source'!C31,"H:MM:SS"))</f>
        <v>28:39</v>
      </c>
      <c r="K30" s="57" t="str">
        <f>IF('All Solo Standards Source'!G31&lt;1/24,TEXT('All Solo Standards Source'!G31,"M:SS"),TEXT('All Solo Standards Source'!G31,"H:MM:SS"))</f>
        <v>43:07</v>
      </c>
      <c r="L30" s="57" t="str">
        <f>IF('All Solo Standards Source'!K31&lt;1/24,TEXT('All Solo Standards Source'!K31,"M:SS"),TEXT('All Solo Standards Source'!K31,"H:MM:SS"))</f>
        <v>1:12:22</v>
      </c>
      <c r="M30" s="57" t="str">
        <f>IF('All Solo Standards Source'!O31&lt;1/24,TEXT('All Solo Standards Source'!O31,"M:SS"),TEXT('All Solo Standards Source'!O31,"H:MM:SS"))</f>
        <v>1:27:08</v>
      </c>
      <c r="N30" s="57" t="str">
        <f>IF('All Solo Standards Source'!S31&lt;1/24,TEXT('All Solo Standards Source'!S31,"M:SS"),TEXT('All Solo Standards Source'!S31,"H:MM:SS"))</f>
        <v>2:27:16</v>
      </c>
      <c r="O30" s="57" t="str">
        <f>IF('All Solo Standards Source'!W31&lt;1/24,TEXT('All Solo Standards Source'!W31,"M:SS"),TEXT('All Solo Standards Source'!W31,"H:MM:SS"))</f>
        <v>5:05:17</v>
      </c>
      <c r="P30" s="57" t="str">
        <f>TEXT('All Solo Standards Source'!AA31,"0.00")</f>
        <v>194.97</v>
      </c>
      <c r="Q30" s="57" t="str">
        <f>TEXT('All Solo Standards Source'!AE31,"0.00")</f>
        <v>331.13</v>
      </c>
      <c r="R30" s="50" t="str">
        <f>IF('All Solo Standards Source'!D31&lt;1/24,TEXT('All Solo Standards Source'!D31,"M:SS"),TEXT('All Solo Standards Source'!D31,"H:MM:SS"))</f>
        <v>28:01</v>
      </c>
      <c r="S30" s="50" t="str">
        <f>IF('All Solo Standards Source'!H31&lt;1/24,TEXT('All Solo Standards Source'!H31,"M:SS"),TEXT('All Solo Standards Source'!H31,"H:MM:SS"))</f>
        <v>42:11</v>
      </c>
      <c r="T30" s="50" t="str">
        <f>IF('All Solo Standards Source'!L31&lt;1/24,TEXT('All Solo Standards Source'!L31,"M:SS"),TEXT('All Solo Standards Source'!L31,"H:MM:SS"))</f>
        <v>1:10:47</v>
      </c>
      <c r="U30" s="50" t="str">
        <f>IF('All Solo Standards Source'!P31&lt;1/24,TEXT('All Solo Standards Source'!P31,"M:SS"),TEXT('All Solo Standards Source'!P31,"H:MM:SS"))</f>
        <v>1:25:14</v>
      </c>
      <c r="V30" s="50" t="str">
        <f>IF('All Solo Standards Source'!T31&lt;1/24,TEXT('All Solo Standards Source'!T31,"M:SS"),TEXT('All Solo Standards Source'!T31,"H:MM:SS"))</f>
        <v>2:24:03</v>
      </c>
      <c r="W30" s="50" t="str">
        <f>IF('All Solo Standards Source'!X31&lt;1/24,TEXT('All Solo Standards Source'!X31,"M:SS"),TEXT('All Solo Standards Source'!X31,"H:MM:SS"))</f>
        <v>4:58:37</v>
      </c>
      <c r="X30" s="50" t="str">
        <f>TEXT('All Solo Standards Source'!AB31,"0.00")</f>
        <v>201.18</v>
      </c>
      <c r="Y30" s="50" t="str">
        <f>TEXT('All Solo Standards Source'!AF31,"0.00")</f>
        <v>339.91</v>
      </c>
      <c r="Z30" s="55" t="str">
        <f>IF('All Solo Standards Source'!E31&lt;1/24,TEXT('All Solo Standards Source'!E31,"M:SS"),TEXT('All Solo Standards Source'!E31,"H:MM:SS"))</f>
        <v>30:47</v>
      </c>
      <c r="AA30" s="55" t="str">
        <f>IF('All Solo Standards Source'!I31&lt;1/24,TEXT('All Solo Standards Source'!I31,"M:SS"),TEXT('All Solo Standards Source'!I31,"H:MM:SS"))</f>
        <v>46:20</v>
      </c>
      <c r="AB30" s="55" t="str">
        <f>IF('All Solo Standards Source'!M31&lt;1/24,TEXT('All Solo Standards Source'!M31,"M:SS"),TEXT('All Solo Standards Source'!M31,"H:MM:SS"))</f>
        <v>1:17:45</v>
      </c>
      <c r="AC30" s="55" t="str">
        <f>IF('All Solo Standards Source'!Q31&lt;1/24,TEXT('All Solo Standards Source'!Q31,"M:SS"),TEXT('All Solo Standards Source'!Q31,"H:MM:SS"))</f>
        <v>1:33:37</v>
      </c>
      <c r="AD30" s="55" t="str">
        <f>IF('All Solo Standards Source'!U31&lt;1/24,TEXT('All Solo Standards Source'!U31,"M:SS"),TEXT('All Solo Standards Source'!U31,"H:MM:SS"))</f>
        <v>2:38:14</v>
      </c>
      <c r="AE30" s="55" t="str">
        <f>IF('All Solo Standards Source'!Y31&lt;1/24,TEXT('All Solo Standards Source'!Y31,"M:SS"),TEXT('All Solo Standards Source'!Y31,"H:MM:SS"))</f>
        <v>5:28:01</v>
      </c>
      <c r="AF30" s="55" t="str">
        <f>TEXT('All Solo Standards Source'!AC31,"0.00")</f>
        <v>175.75</v>
      </c>
      <c r="AG30" s="55" t="str">
        <f>TEXT('All Solo Standards Source'!AG31,"0.00")</f>
        <v>303.54</v>
      </c>
    </row>
    <row r="31" spans="1:33" hidden="1" x14ac:dyDescent="0.25">
      <c r="A31" s="17">
        <v>38</v>
      </c>
      <c r="B31" s="53" t="str">
        <f>IF('All Solo Standards Source'!B32&lt;1/24,TEXT('All Solo Standards Source'!B32,"M:SS"),TEXT('All Solo Standards Source'!B32,"H:MM:SS"))</f>
        <v>26:08</v>
      </c>
      <c r="C31" s="53" t="str">
        <f>IF('All Solo Standards Source'!F32&lt;1/24,TEXT('All Solo Standards Source'!F32,"M:SS"),TEXT('All Solo Standards Source'!F32,"H:MM:SS"))</f>
        <v>39:20</v>
      </c>
      <c r="D31" s="53" t="str">
        <f>IF('All Solo Standards Source'!J32&lt;1/24,TEXT('All Solo Standards Source'!J32,"M:SS"),TEXT('All Solo Standards Source'!J32,"H:MM:SS"))</f>
        <v>1:06:00</v>
      </c>
      <c r="E31" s="53" t="str">
        <f>IF('All Solo Standards Source'!N32&lt;1/24,TEXT('All Solo Standards Source'!N32,"M:SS"),TEXT('All Solo Standards Source'!N32,"H:MM:SS"))</f>
        <v>1:19:28</v>
      </c>
      <c r="F31" s="53" t="str">
        <f>IF('All Solo Standards Source'!R32&lt;1/24,TEXT('All Solo Standards Source'!R32,"M:SS"),TEXT('All Solo Standards Source'!R32,"H:MM:SS"))</f>
        <v>2:14:19</v>
      </c>
      <c r="G31" s="53" t="str">
        <f>IF('All Solo Standards Source'!V32&lt;1/24,TEXT('All Solo Standards Source'!V32,"M:SS"),TEXT('All Solo Standards Source'!V32,"H:MM:SS"))</f>
        <v>4:38:27</v>
      </c>
      <c r="H31" s="53" t="str">
        <f>TEXT('All Solo Standards Source'!Z32,"0.00")</f>
        <v>221.90</v>
      </c>
      <c r="I31" s="53" t="str">
        <f>TEXT('All Solo Standards Source'!AD32,"0.00")</f>
        <v>368.69</v>
      </c>
      <c r="J31" s="57" t="str">
        <f>IF('All Solo Standards Source'!C32&lt;1/24,TEXT('All Solo Standards Source'!C32,"M:SS"),TEXT('All Solo Standards Source'!C32,"H:MM:SS"))</f>
        <v>28:39</v>
      </c>
      <c r="K31" s="57" t="str">
        <f>IF('All Solo Standards Source'!G32&lt;1/24,TEXT('All Solo Standards Source'!G32,"M:SS"),TEXT('All Solo Standards Source'!G32,"H:MM:SS"))</f>
        <v>43:07</v>
      </c>
      <c r="L31" s="57" t="str">
        <f>IF('All Solo Standards Source'!K32&lt;1/24,TEXT('All Solo Standards Source'!K32,"M:SS"),TEXT('All Solo Standards Source'!K32,"H:MM:SS"))</f>
        <v>1:12:22</v>
      </c>
      <c r="M31" s="57" t="str">
        <f>IF('All Solo Standards Source'!O32&lt;1/24,TEXT('All Solo Standards Source'!O32,"M:SS"),TEXT('All Solo Standards Source'!O32,"H:MM:SS"))</f>
        <v>1:27:08</v>
      </c>
      <c r="N31" s="57" t="str">
        <f>IF('All Solo Standards Source'!S32&lt;1/24,TEXT('All Solo Standards Source'!S32,"M:SS"),TEXT('All Solo Standards Source'!S32,"H:MM:SS"))</f>
        <v>2:27:16</v>
      </c>
      <c r="O31" s="57" t="str">
        <f>IF('All Solo Standards Source'!W32&lt;1/24,TEXT('All Solo Standards Source'!W32,"M:SS"),TEXT('All Solo Standards Source'!W32,"H:MM:SS"))</f>
        <v>5:05:17</v>
      </c>
      <c r="P31" s="57" t="str">
        <f>TEXT('All Solo Standards Source'!AA32,"0.00")</f>
        <v>194.97</v>
      </c>
      <c r="Q31" s="57" t="str">
        <f>TEXT('All Solo Standards Source'!AE32,"0.00")</f>
        <v>331.13</v>
      </c>
      <c r="R31" s="50" t="str">
        <f>IF('All Solo Standards Source'!D32&lt;1/24,TEXT('All Solo Standards Source'!D32,"M:SS"),TEXT('All Solo Standards Source'!D32,"H:MM:SS"))</f>
        <v>28:01</v>
      </c>
      <c r="S31" s="50" t="str">
        <f>IF('All Solo Standards Source'!H32&lt;1/24,TEXT('All Solo Standards Source'!H32,"M:SS"),TEXT('All Solo Standards Source'!H32,"H:MM:SS"))</f>
        <v>42:11</v>
      </c>
      <c r="T31" s="50" t="str">
        <f>IF('All Solo Standards Source'!L32&lt;1/24,TEXT('All Solo Standards Source'!L32,"M:SS"),TEXT('All Solo Standards Source'!L32,"H:MM:SS"))</f>
        <v>1:10:47</v>
      </c>
      <c r="U31" s="50" t="str">
        <f>IF('All Solo Standards Source'!P32&lt;1/24,TEXT('All Solo Standards Source'!P32,"M:SS"),TEXT('All Solo Standards Source'!P32,"H:MM:SS"))</f>
        <v>1:25:14</v>
      </c>
      <c r="V31" s="50" t="str">
        <f>IF('All Solo Standards Source'!T32&lt;1/24,TEXT('All Solo Standards Source'!T32,"M:SS"),TEXT('All Solo Standards Source'!T32,"H:MM:SS"))</f>
        <v>2:24:03</v>
      </c>
      <c r="W31" s="50" t="str">
        <f>IF('All Solo Standards Source'!X32&lt;1/24,TEXT('All Solo Standards Source'!X32,"M:SS"),TEXT('All Solo Standards Source'!X32,"H:MM:SS"))</f>
        <v>4:58:37</v>
      </c>
      <c r="X31" s="50" t="str">
        <f>TEXT('All Solo Standards Source'!AB32,"0.00")</f>
        <v>201.18</v>
      </c>
      <c r="Y31" s="50" t="str">
        <f>TEXT('All Solo Standards Source'!AF32,"0.00")</f>
        <v>339.91</v>
      </c>
      <c r="Z31" s="55" t="str">
        <f>IF('All Solo Standards Source'!E32&lt;1/24,TEXT('All Solo Standards Source'!E32,"M:SS"),TEXT('All Solo Standards Source'!E32,"H:MM:SS"))</f>
        <v>30:47</v>
      </c>
      <c r="AA31" s="55" t="str">
        <f>IF('All Solo Standards Source'!I32&lt;1/24,TEXT('All Solo Standards Source'!I32,"M:SS"),TEXT('All Solo Standards Source'!I32,"H:MM:SS"))</f>
        <v>46:20</v>
      </c>
      <c r="AB31" s="55" t="str">
        <f>IF('All Solo Standards Source'!M32&lt;1/24,TEXT('All Solo Standards Source'!M32,"M:SS"),TEXT('All Solo Standards Source'!M32,"H:MM:SS"))</f>
        <v>1:17:45</v>
      </c>
      <c r="AC31" s="55" t="str">
        <f>IF('All Solo Standards Source'!Q32&lt;1/24,TEXT('All Solo Standards Source'!Q32,"M:SS"),TEXT('All Solo Standards Source'!Q32,"H:MM:SS"))</f>
        <v>1:33:37</v>
      </c>
      <c r="AD31" s="55" t="str">
        <f>IF('All Solo Standards Source'!U32&lt;1/24,TEXT('All Solo Standards Source'!U32,"M:SS"),TEXT('All Solo Standards Source'!U32,"H:MM:SS"))</f>
        <v>2:38:14</v>
      </c>
      <c r="AE31" s="55" t="str">
        <f>IF('All Solo Standards Source'!Y32&lt;1/24,TEXT('All Solo Standards Source'!Y32,"M:SS"),TEXT('All Solo Standards Source'!Y32,"H:MM:SS"))</f>
        <v>5:28:01</v>
      </c>
      <c r="AF31" s="55" t="str">
        <f>TEXT('All Solo Standards Source'!AC32,"0.00")</f>
        <v>175.75</v>
      </c>
      <c r="AG31" s="55" t="str">
        <f>TEXT('All Solo Standards Source'!AG32,"0.00")</f>
        <v>303.54</v>
      </c>
    </row>
    <row r="32" spans="1:33" hidden="1" x14ac:dyDescent="0.25">
      <c r="A32" s="17">
        <v>39</v>
      </c>
      <c r="B32" s="53" t="str">
        <f>IF('All Solo Standards Source'!B33&lt;1/24,TEXT('All Solo Standards Source'!B33,"M:SS"),TEXT('All Solo Standards Source'!B33,"H:MM:SS"))</f>
        <v>26:08</v>
      </c>
      <c r="C32" s="53" t="str">
        <f>IF('All Solo Standards Source'!F33&lt;1/24,TEXT('All Solo Standards Source'!F33,"M:SS"),TEXT('All Solo Standards Source'!F33,"H:MM:SS"))</f>
        <v>39:20</v>
      </c>
      <c r="D32" s="53" t="str">
        <f>IF('All Solo Standards Source'!J33&lt;1/24,TEXT('All Solo Standards Source'!J33,"M:SS"),TEXT('All Solo Standards Source'!J33,"H:MM:SS"))</f>
        <v>1:06:00</v>
      </c>
      <c r="E32" s="53" t="str">
        <f>IF('All Solo Standards Source'!N33&lt;1/24,TEXT('All Solo Standards Source'!N33,"M:SS"),TEXT('All Solo Standards Source'!N33,"H:MM:SS"))</f>
        <v>1:19:28</v>
      </c>
      <c r="F32" s="53" t="str">
        <f>IF('All Solo Standards Source'!R33&lt;1/24,TEXT('All Solo Standards Source'!R33,"M:SS"),TEXT('All Solo Standards Source'!R33,"H:MM:SS"))</f>
        <v>2:14:19</v>
      </c>
      <c r="G32" s="53" t="str">
        <f>IF('All Solo Standards Source'!V33&lt;1/24,TEXT('All Solo Standards Source'!V33,"M:SS"),TEXT('All Solo Standards Source'!V33,"H:MM:SS"))</f>
        <v>4:38:27</v>
      </c>
      <c r="H32" s="53" t="str">
        <f>TEXT('All Solo Standards Source'!Z33,"0.00")</f>
        <v>221.90</v>
      </c>
      <c r="I32" s="53" t="str">
        <f>TEXT('All Solo Standards Source'!AD33,"0.00")</f>
        <v>368.69</v>
      </c>
      <c r="J32" s="57" t="str">
        <f>IF('All Solo Standards Source'!C33&lt;1/24,TEXT('All Solo Standards Source'!C33,"M:SS"),TEXT('All Solo Standards Source'!C33,"H:MM:SS"))</f>
        <v>28:39</v>
      </c>
      <c r="K32" s="57" t="str">
        <f>IF('All Solo Standards Source'!G33&lt;1/24,TEXT('All Solo Standards Source'!G33,"M:SS"),TEXT('All Solo Standards Source'!G33,"H:MM:SS"))</f>
        <v>43:07</v>
      </c>
      <c r="L32" s="57" t="str">
        <f>IF('All Solo Standards Source'!K33&lt;1/24,TEXT('All Solo Standards Source'!K33,"M:SS"),TEXT('All Solo Standards Source'!K33,"H:MM:SS"))</f>
        <v>1:12:22</v>
      </c>
      <c r="M32" s="57" t="str">
        <f>IF('All Solo Standards Source'!O33&lt;1/24,TEXT('All Solo Standards Source'!O33,"M:SS"),TEXT('All Solo Standards Source'!O33,"H:MM:SS"))</f>
        <v>1:27:08</v>
      </c>
      <c r="N32" s="57" t="str">
        <f>IF('All Solo Standards Source'!S33&lt;1/24,TEXT('All Solo Standards Source'!S33,"M:SS"),TEXT('All Solo Standards Source'!S33,"H:MM:SS"))</f>
        <v>2:27:16</v>
      </c>
      <c r="O32" s="57" t="str">
        <f>IF('All Solo Standards Source'!W33&lt;1/24,TEXT('All Solo Standards Source'!W33,"M:SS"),TEXT('All Solo Standards Source'!W33,"H:MM:SS"))</f>
        <v>5:05:17</v>
      </c>
      <c r="P32" s="57" t="str">
        <f>TEXT('All Solo Standards Source'!AA33,"0.00")</f>
        <v>194.97</v>
      </c>
      <c r="Q32" s="57" t="str">
        <f>TEXT('All Solo Standards Source'!AE33,"0.00")</f>
        <v>331.13</v>
      </c>
      <c r="R32" s="50" t="str">
        <f>IF('All Solo Standards Source'!D33&lt;1/24,TEXT('All Solo Standards Source'!D33,"M:SS"),TEXT('All Solo Standards Source'!D33,"H:MM:SS"))</f>
        <v>28:01</v>
      </c>
      <c r="S32" s="50" t="str">
        <f>IF('All Solo Standards Source'!H33&lt;1/24,TEXT('All Solo Standards Source'!H33,"M:SS"),TEXT('All Solo Standards Source'!H33,"H:MM:SS"))</f>
        <v>42:11</v>
      </c>
      <c r="T32" s="50" t="str">
        <f>IF('All Solo Standards Source'!L33&lt;1/24,TEXT('All Solo Standards Source'!L33,"M:SS"),TEXT('All Solo Standards Source'!L33,"H:MM:SS"))</f>
        <v>1:10:47</v>
      </c>
      <c r="U32" s="50" t="str">
        <f>IF('All Solo Standards Source'!P33&lt;1/24,TEXT('All Solo Standards Source'!P33,"M:SS"),TEXT('All Solo Standards Source'!P33,"H:MM:SS"))</f>
        <v>1:25:14</v>
      </c>
      <c r="V32" s="50" t="str">
        <f>IF('All Solo Standards Source'!T33&lt;1/24,TEXT('All Solo Standards Source'!T33,"M:SS"),TEXT('All Solo Standards Source'!T33,"H:MM:SS"))</f>
        <v>2:24:03</v>
      </c>
      <c r="W32" s="50" t="str">
        <f>IF('All Solo Standards Source'!X33&lt;1/24,TEXT('All Solo Standards Source'!X33,"M:SS"),TEXT('All Solo Standards Source'!X33,"H:MM:SS"))</f>
        <v>4:58:37</v>
      </c>
      <c r="X32" s="50" t="str">
        <f>TEXT('All Solo Standards Source'!AB33,"0.00")</f>
        <v>201.18</v>
      </c>
      <c r="Y32" s="50" t="str">
        <f>TEXT('All Solo Standards Source'!AF33,"0.00")</f>
        <v>339.91</v>
      </c>
      <c r="Z32" s="55" t="str">
        <f>IF('All Solo Standards Source'!E33&lt;1/24,TEXT('All Solo Standards Source'!E33,"M:SS"),TEXT('All Solo Standards Source'!E33,"H:MM:SS"))</f>
        <v>30:47</v>
      </c>
      <c r="AA32" s="55" t="str">
        <f>IF('All Solo Standards Source'!I33&lt;1/24,TEXT('All Solo Standards Source'!I33,"M:SS"),TEXT('All Solo Standards Source'!I33,"H:MM:SS"))</f>
        <v>46:20</v>
      </c>
      <c r="AB32" s="55" t="str">
        <f>IF('All Solo Standards Source'!M33&lt;1/24,TEXT('All Solo Standards Source'!M33,"M:SS"),TEXT('All Solo Standards Source'!M33,"H:MM:SS"))</f>
        <v>1:17:45</v>
      </c>
      <c r="AC32" s="55" t="str">
        <f>IF('All Solo Standards Source'!Q33&lt;1/24,TEXT('All Solo Standards Source'!Q33,"M:SS"),TEXT('All Solo Standards Source'!Q33,"H:MM:SS"))</f>
        <v>1:33:37</v>
      </c>
      <c r="AD32" s="55" t="str">
        <f>IF('All Solo Standards Source'!U33&lt;1/24,TEXT('All Solo Standards Source'!U33,"M:SS"),TEXT('All Solo Standards Source'!U33,"H:MM:SS"))</f>
        <v>2:38:14</v>
      </c>
      <c r="AE32" s="55" t="str">
        <f>IF('All Solo Standards Source'!Y33&lt;1/24,TEXT('All Solo Standards Source'!Y33,"M:SS"),TEXT('All Solo Standards Source'!Y33,"H:MM:SS"))</f>
        <v>5:28:01</v>
      </c>
      <c r="AF32" s="55" t="str">
        <f>TEXT('All Solo Standards Source'!AC33,"0.00")</f>
        <v>175.75</v>
      </c>
      <c r="AG32" s="55" t="str">
        <f>TEXT('All Solo Standards Source'!AG33,"0.00")</f>
        <v>303.54</v>
      </c>
    </row>
    <row r="33" spans="1:33" x14ac:dyDescent="0.25">
      <c r="A33" s="17">
        <v>40</v>
      </c>
      <c r="B33" s="53" t="str">
        <f>IF('All Solo Standards Source'!B34&lt;1/24,TEXT('All Solo Standards Source'!B34,"M:SS"),TEXT('All Solo Standards Source'!B34,"H:MM:SS"))</f>
        <v>26:08</v>
      </c>
      <c r="C33" s="53" t="str">
        <f>IF('All Solo Standards Source'!F34&lt;1/24,TEXT('All Solo Standards Source'!F34,"M:SS"),TEXT('All Solo Standards Source'!F34,"H:MM:SS"))</f>
        <v>39:20</v>
      </c>
      <c r="D33" s="53" t="str">
        <f>IF('All Solo Standards Source'!J34&lt;1/24,TEXT('All Solo Standards Source'!J34,"M:SS"),TEXT('All Solo Standards Source'!J34,"H:MM:SS"))</f>
        <v>1:06:00</v>
      </c>
      <c r="E33" s="53" t="str">
        <f>IF('All Solo Standards Source'!N34&lt;1/24,TEXT('All Solo Standards Source'!N34,"M:SS"),TEXT('All Solo Standards Source'!N34,"H:MM:SS"))</f>
        <v>1:19:28</v>
      </c>
      <c r="F33" s="53" t="str">
        <f>IF('All Solo Standards Source'!R34&lt;1/24,TEXT('All Solo Standards Source'!R34,"M:SS"),TEXT('All Solo Standards Source'!R34,"H:MM:SS"))</f>
        <v>2:14:19</v>
      </c>
      <c r="G33" s="53" t="str">
        <f>IF('All Solo Standards Source'!V34&lt;1/24,TEXT('All Solo Standards Source'!V34,"M:SS"),TEXT('All Solo Standards Source'!V34,"H:MM:SS"))</f>
        <v>4:38:27</v>
      </c>
      <c r="H33" s="53" t="str">
        <f>TEXT('All Solo Standards Source'!Z34,"0.00")</f>
        <v>221.90</v>
      </c>
      <c r="I33" s="53" t="str">
        <f>TEXT('All Solo Standards Source'!AD34,"0.00")</f>
        <v>368.69</v>
      </c>
      <c r="J33" s="57" t="str">
        <f>IF('All Solo Standards Source'!C34&lt;1/24,TEXT('All Solo Standards Source'!C34,"M:SS"),TEXT('All Solo Standards Source'!C34,"H:MM:SS"))</f>
        <v>28:39</v>
      </c>
      <c r="K33" s="57" t="str">
        <f>IF('All Solo Standards Source'!G34&lt;1/24,TEXT('All Solo Standards Source'!G34,"M:SS"),TEXT('All Solo Standards Source'!G34,"H:MM:SS"))</f>
        <v>43:07</v>
      </c>
      <c r="L33" s="57" t="str">
        <f>IF('All Solo Standards Source'!K34&lt;1/24,TEXT('All Solo Standards Source'!K34,"M:SS"),TEXT('All Solo Standards Source'!K34,"H:MM:SS"))</f>
        <v>1:12:22</v>
      </c>
      <c r="M33" s="57" t="str">
        <f>IF('All Solo Standards Source'!O34&lt;1/24,TEXT('All Solo Standards Source'!O34,"M:SS"),TEXT('All Solo Standards Source'!O34,"H:MM:SS"))</f>
        <v>1:27:08</v>
      </c>
      <c r="N33" s="57" t="str">
        <f>IF('All Solo Standards Source'!S34&lt;1/24,TEXT('All Solo Standards Source'!S34,"M:SS"),TEXT('All Solo Standards Source'!S34,"H:MM:SS"))</f>
        <v>2:27:16</v>
      </c>
      <c r="O33" s="57" t="str">
        <f>IF('All Solo Standards Source'!W34&lt;1/24,TEXT('All Solo Standards Source'!W34,"M:SS"),TEXT('All Solo Standards Source'!W34,"H:MM:SS"))</f>
        <v>5:05:17</v>
      </c>
      <c r="P33" s="57" t="str">
        <f>TEXT('All Solo Standards Source'!AA34,"0.00")</f>
        <v>194.97</v>
      </c>
      <c r="Q33" s="57" t="str">
        <f>TEXT('All Solo Standards Source'!AE34,"0.00")</f>
        <v>331.13</v>
      </c>
      <c r="R33" s="50" t="str">
        <f>IF('All Solo Standards Source'!D34&lt;1/24,TEXT('All Solo Standards Source'!D34,"M:SS"),TEXT('All Solo Standards Source'!D34,"H:MM:SS"))</f>
        <v>28:01</v>
      </c>
      <c r="S33" s="50" t="str">
        <f>IF('All Solo Standards Source'!H34&lt;1/24,TEXT('All Solo Standards Source'!H34,"M:SS"),TEXT('All Solo Standards Source'!H34,"H:MM:SS"))</f>
        <v>42:11</v>
      </c>
      <c r="T33" s="50" t="str">
        <f>IF('All Solo Standards Source'!L34&lt;1/24,TEXT('All Solo Standards Source'!L34,"M:SS"),TEXT('All Solo Standards Source'!L34,"H:MM:SS"))</f>
        <v>1:10:47</v>
      </c>
      <c r="U33" s="50" t="str">
        <f>IF('All Solo Standards Source'!P34&lt;1/24,TEXT('All Solo Standards Source'!P34,"M:SS"),TEXT('All Solo Standards Source'!P34,"H:MM:SS"))</f>
        <v>1:25:14</v>
      </c>
      <c r="V33" s="50" t="str">
        <f>IF('All Solo Standards Source'!T34&lt;1/24,TEXT('All Solo Standards Source'!T34,"M:SS"),TEXT('All Solo Standards Source'!T34,"H:MM:SS"))</f>
        <v>2:24:03</v>
      </c>
      <c r="W33" s="50" t="str">
        <f>IF('All Solo Standards Source'!X34&lt;1/24,TEXT('All Solo Standards Source'!X34,"M:SS"),TEXT('All Solo Standards Source'!X34,"H:MM:SS"))</f>
        <v>4:58:37</v>
      </c>
      <c r="X33" s="50" t="str">
        <f>TEXT('All Solo Standards Source'!AB34,"0.00")</f>
        <v>201.18</v>
      </c>
      <c r="Y33" s="50" t="str">
        <f>TEXT('All Solo Standards Source'!AF34,"0.00")</f>
        <v>339.91</v>
      </c>
      <c r="Z33" s="55" t="str">
        <f>IF('All Solo Standards Source'!E34&lt;1/24,TEXT('All Solo Standards Source'!E34,"M:SS"),TEXT('All Solo Standards Source'!E34,"H:MM:SS"))</f>
        <v>30:47</v>
      </c>
      <c r="AA33" s="55" t="str">
        <f>IF('All Solo Standards Source'!I34&lt;1/24,TEXT('All Solo Standards Source'!I34,"M:SS"),TEXT('All Solo Standards Source'!I34,"H:MM:SS"))</f>
        <v>46:20</v>
      </c>
      <c r="AB33" s="55" t="str">
        <f>IF('All Solo Standards Source'!M34&lt;1/24,TEXT('All Solo Standards Source'!M34,"M:SS"),TEXT('All Solo Standards Source'!M34,"H:MM:SS"))</f>
        <v>1:17:45</v>
      </c>
      <c r="AC33" s="55" t="str">
        <f>IF('All Solo Standards Source'!Q34&lt;1/24,TEXT('All Solo Standards Source'!Q34,"M:SS"),TEXT('All Solo Standards Source'!Q34,"H:MM:SS"))</f>
        <v>1:33:37</v>
      </c>
      <c r="AD33" s="55" t="str">
        <f>IF('All Solo Standards Source'!U34&lt;1/24,TEXT('All Solo Standards Source'!U34,"M:SS"),TEXT('All Solo Standards Source'!U34,"H:MM:SS"))</f>
        <v>2:38:14</v>
      </c>
      <c r="AE33" s="55" t="str">
        <f>IF('All Solo Standards Source'!Y34&lt;1/24,TEXT('All Solo Standards Source'!Y34,"M:SS"),TEXT('All Solo Standards Source'!Y34,"H:MM:SS"))</f>
        <v>5:28:01</v>
      </c>
      <c r="AF33" s="55" t="str">
        <f>TEXT('All Solo Standards Source'!AC34,"0.00")</f>
        <v>175.75</v>
      </c>
      <c r="AG33" s="55" t="str">
        <f>TEXT('All Solo Standards Source'!AG34,"0.00")</f>
        <v>303.54</v>
      </c>
    </row>
    <row r="34" spans="1:33" x14ac:dyDescent="0.25">
      <c r="A34" s="25">
        <v>41</v>
      </c>
      <c r="B34" s="53" t="str">
        <f>IF('All Solo Standards Source'!B35&lt;1/24,TEXT('All Solo Standards Source'!B35,"M:SS"),TEXT('All Solo Standards Source'!B35,"H:MM:SS"))</f>
        <v>26:10</v>
      </c>
      <c r="C34" s="53" t="str">
        <f>IF('All Solo Standards Source'!F35&lt;1/24,TEXT('All Solo Standards Source'!F35,"M:SS"),TEXT('All Solo Standards Source'!F35,"H:MM:SS"))</f>
        <v>39:23</v>
      </c>
      <c r="D34" s="53" t="str">
        <f>IF('All Solo Standards Source'!J35&lt;1/24,TEXT('All Solo Standards Source'!J35,"M:SS"),TEXT('All Solo Standards Source'!J35,"H:MM:SS"))</f>
        <v>1:06:06</v>
      </c>
      <c r="E34" s="53" t="str">
        <f>IF('All Solo Standards Source'!N35&lt;1/24,TEXT('All Solo Standards Source'!N35,"M:SS"),TEXT('All Solo Standards Source'!N35,"H:MM:SS"))</f>
        <v>1:19:36</v>
      </c>
      <c r="F34" s="53" t="str">
        <f>IF('All Solo Standards Source'!R35&lt;1/24,TEXT('All Solo Standards Source'!R35,"M:SS"),TEXT('All Solo Standards Source'!R35,"H:MM:SS"))</f>
        <v>2:14:32</v>
      </c>
      <c r="G34" s="53" t="str">
        <f>IF('All Solo Standards Source'!V35&lt;1/24,TEXT('All Solo Standards Source'!V35,"M:SS"),TEXT('All Solo Standards Source'!V35,"H:MM:SS"))</f>
        <v>4:38:56</v>
      </c>
      <c r="H34" s="53" t="str">
        <f>TEXT('All Solo Standards Source'!Z35,"0.00")</f>
        <v>221.19</v>
      </c>
      <c r="I34" s="53" t="str">
        <f>TEXT('All Solo Standards Source'!AD35,"0.00")</f>
        <v>367.28</v>
      </c>
      <c r="J34" s="57" t="str">
        <f>IF('All Solo Standards Source'!C35&lt;1/24,TEXT('All Solo Standards Source'!C35,"M:SS"),TEXT('All Solo Standards Source'!C35,"H:MM:SS"))</f>
        <v>28:40</v>
      </c>
      <c r="K34" s="57" t="str">
        <f>IF('All Solo Standards Source'!G35&lt;1/24,TEXT('All Solo Standards Source'!G35,"M:SS"),TEXT('All Solo Standards Source'!G35,"H:MM:SS"))</f>
        <v>43:09</v>
      </c>
      <c r="L34" s="57" t="str">
        <f>IF('All Solo Standards Source'!K35&lt;1/24,TEXT('All Solo Standards Source'!K35,"M:SS"),TEXT('All Solo Standards Source'!K35,"H:MM:SS"))</f>
        <v>1:12:25</v>
      </c>
      <c r="M34" s="57" t="str">
        <f>IF('All Solo Standards Source'!O35&lt;1/24,TEXT('All Solo Standards Source'!O35,"M:SS"),TEXT('All Solo Standards Source'!O35,"H:MM:SS"))</f>
        <v>1:27:12</v>
      </c>
      <c r="N34" s="57" t="str">
        <f>IF('All Solo Standards Source'!S35&lt;1/24,TEXT('All Solo Standards Source'!S35,"M:SS"),TEXT('All Solo Standards Source'!S35,"H:MM:SS"))</f>
        <v>2:27:23</v>
      </c>
      <c r="O34" s="57" t="str">
        <f>IF('All Solo Standards Source'!W35&lt;1/24,TEXT('All Solo Standards Source'!W35,"M:SS"),TEXT('All Solo Standards Source'!W35,"H:MM:SS"))</f>
        <v>5:05:34</v>
      </c>
      <c r="P34" s="57" t="str">
        <f>TEXT('All Solo Standards Source'!AA35,"0.00")</f>
        <v>194.57</v>
      </c>
      <c r="Q34" s="57" t="str">
        <f>TEXT('All Solo Standards Source'!AE35,"0.00")</f>
        <v>330.21</v>
      </c>
      <c r="R34" s="50" t="str">
        <f>IF('All Solo Standards Source'!D35&lt;1/24,TEXT('All Solo Standards Source'!D35,"M:SS"),TEXT('All Solo Standards Source'!D35,"H:MM:SS"))</f>
        <v>28:04</v>
      </c>
      <c r="S34" s="50" t="str">
        <f>IF('All Solo Standards Source'!H35&lt;1/24,TEXT('All Solo Standards Source'!H35,"M:SS"),TEXT('All Solo Standards Source'!H35,"H:MM:SS"))</f>
        <v>42:14</v>
      </c>
      <c r="T34" s="50" t="str">
        <f>IF('All Solo Standards Source'!L35&lt;1/24,TEXT('All Solo Standards Source'!L35,"M:SS"),TEXT('All Solo Standards Source'!L35,"H:MM:SS"))</f>
        <v>1:10:53</v>
      </c>
      <c r="U34" s="50" t="str">
        <f>IF('All Solo Standards Source'!P35&lt;1/24,TEXT('All Solo Standards Source'!P35,"M:SS"),TEXT('All Solo Standards Source'!P35,"H:MM:SS"))</f>
        <v>1:25:22</v>
      </c>
      <c r="V34" s="50" t="str">
        <f>IF('All Solo Standards Source'!T35&lt;1/24,TEXT('All Solo Standards Source'!T35,"M:SS"),TEXT('All Solo Standards Source'!T35,"H:MM:SS"))</f>
        <v>2:24:17</v>
      </c>
      <c r="W34" s="50" t="str">
        <f>IF('All Solo Standards Source'!X35&lt;1/24,TEXT('All Solo Standards Source'!X35,"M:SS"),TEXT('All Solo Standards Source'!X35,"H:MM:SS"))</f>
        <v>4:59:09</v>
      </c>
      <c r="X34" s="50" t="str">
        <f>TEXT('All Solo Standards Source'!AB35,"0.00")</f>
        <v>200.54</v>
      </c>
      <c r="Y34" s="50" t="str">
        <f>TEXT('All Solo Standards Source'!AF35,"0.00")</f>
        <v>338.63</v>
      </c>
      <c r="Z34" s="55" t="str">
        <f>IF('All Solo Standards Source'!E35&lt;1/24,TEXT('All Solo Standards Source'!E35,"M:SS"),TEXT('All Solo Standards Source'!E35,"H:MM:SS"))</f>
        <v>30:48</v>
      </c>
      <c r="AA34" s="55" t="str">
        <f>IF('All Solo Standards Source'!I35&lt;1/24,TEXT('All Solo Standards Source'!I35,"M:SS"),TEXT('All Solo Standards Source'!I35,"H:MM:SS"))</f>
        <v>46:22</v>
      </c>
      <c r="AB34" s="55" t="str">
        <f>IF('All Solo Standards Source'!M35&lt;1/24,TEXT('All Solo Standards Source'!M35,"M:SS"),TEXT('All Solo Standards Source'!M35,"H:MM:SS"))</f>
        <v>1:17:48</v>
      </c>
      <c r="AC34" s="55" t="str">
        <f>IF('All Solo Standards Source'!Q35&lt;1/24,TEXT('All Solo Standards Source'!Q35,"M:SS"),TEXT('All Solo Standards Source'!Q35,"H:MM:SS"))</f>
        <v>1:33:41</v>
      </c>
      <c r="AD34" s="55" t="str">
        <f>IF('All Solo Standards Source'!U35&lt;1/24,TEXT('All Solo Standards Source'!U35,"M:SS"),TEXT('All Solo Standards Source'!U35,"H:MM:SS"))</f>
        <v>2:38:21</v>
      </c>
      <c r="AE34" s="55" t="str">
        <f>IF('All Solo Standards Source'!Y35&lt;1/24,TEXT('All Solo Standards Source'!Y35,"M:SS"),TEXT('All Solo Standards Source'!Y35,"H:MM:SS"))</f>
        <v>5:28:19</v>
      </c>
      <c r="AF34" s="55" t="str">
        <f>TEXT('All Solo Standards Source'!AC35,"0.00")</f>
        <v>175.39</v>
      </c>
      <c r="AG34" s="55" t="str">
        <f>TEXT('All Solo Standards Source'!AG35,"0.00")</f>
        <v>302.71</v>
      </c>
    </row>
    <row r="35" spans="1:33" x14ac:dyDescent="0.25">
      <c r="A35" s="25">
        <v>42</v>
      </c>
      <c r="B35" s="53" t="str">
        <f>IF('All Solo Standards Source'!B36&lt;1/24,TEXT('All Solo Standards Source'!B36,"M:SS"),TEXT('All Solo Standards Source'!B36,"H:MM:SS"))</f>
        <v>26:13</v>
      </c>
      <c r="C35" s="53" t="str">
        <f>IF('All Solo Standards Source'!F36&lt;1/24,TEXT('All Solo Standards Source'!F36,"M:SS"),TEXT('All Solo Standards Source'!F36,"H:MM:SS"))</f>
        <v>39:27</v>
      </c>
      <c r="D35" s="53" t="str">
        <f>IF('All Solo Standards Source'!J36&lt;1/24,TEXT('All Solo Standards Source'!J36,"M:SS"),TEXT('All Solo Standards Source'!J36,"H:MM:SS"))</f>
        <v>1:06:13</v>
      </c>
      <c r="E35" s="53" t="str">
        <f>IF('All Solo Standards Source'!N36&lt;1/24,TEXT('All Solo Standards Source'!N36,"M:SS"),TEXT('All Solo Standards Source'!N36,"H:MM:SS"))</f>
        <v>1:19:44</v>
      </c>
      <c r="F35" s="53" t="str">
        <f>IF('All Solo Standards Source'!R36&lt;1/24,TEXT('All Solo Standards Source'!R36,"M:SS"),TEXT('All Solo Standards Source'!R36,"H:MM:SS"))</f>
        <v>2:14:47</v>
      </c>
      <c r="G35" s="53" t="str">
        <f>IF('All Solo Standards Source'!V36&lt;1/24,TEXT('All Solo Standards Source'!V36,"M:SS"),TEXT('All Solo Standards Source'!V36,"H:MM:SS"))</f>
        <v>4:39:28</v>
      </c>
      <c r="H35" s="53" t="str">
        <f>TEXT('All Solo Standards Source'!Z36,"0.00")</f>
        <v>220.38</v>
      </c>
      <c r="I35" s="53" t="str">
        <f>TEXT('All Solo Standards Source'!AD36,"0.00")</f>
        <v>365.67</v>
      </c>
      <c r="J35" s="57" t="str">
        <f>IF('All Solo Standards Source'!C36&lt;1/24,TEXT('All Solo Standards Source'!C36,"M:SS"),TEXT('All Solo Standards Source'!C36,"H:MM:SS"))</f>
        <v>28:41</v>
      </c>
      <c r="K35" s="57" t="str">
        <f>IF('All Solo Standards Source'!G36&lt;1/24,TEXT('All Solo Standards Source'!G36,"M:SS"),TEXT('All Solo Standards Source'!G36,"H:MM:SS"))</f>
        <v>43:11</v>
      </c>
      <c r="L35" s="57" t="str">
        <f>IF('All Solo Standards Source'!K36&lt;1/24,TEXT('All Solo Standards Source'!K36,"M:SS"),TEXT('All Solo Standards Source'!K36,"H:MM:SS"))</f>
        <v>1:12:28</v>
      </c>
      <c r="M35" s="57" t="str">
        <f>IF('All Solo Standards Source'!O36&lt;1/24,TEXT('All Solo Standards Source'!O36,"M:SS"),TEXT('All Solo Standards Source'!O36,"H:MM:SS"))</f>
        <v>1:27:16</v>
      </c>
      <c r="N35" s="57" t="str">
        <f>IF('All Solo Standards Source'!S36&lt;1/24,TEXT('All Solo Standards Source'!S36,"M:SS"),TEXT('All Solo Standards Source'!S36,"H:MM:SS"))</f>
        <v>2:27:30</v>
      </c>
      <c r="O35" s="57" t="str">
        <f>IF('All Solo Standards Source'!W36&lt;1/24,TEXT('All Solo Standards Source'!W36,"M:SS"),TEXT('All Solo Standards Source'!W36,"H:MM:SS"))</f>
        <v>5:05:52</v>
      </c>
      <c r="P35" s="57" t="str">
        <f>TEXT('All Solo Standards Source'!AA36,"0.00")</f>
        <v>194.14</v>
      </c>
      <c r="Q35" s="57" t="str">
        <f>TEXT('All Solo Standards Source'!AE36,"0.00")</f>
        <v>329.18</v>
      </c>
      <c r="R35" s="50" t="str">
        <f>IF('All Solo Standards Source'!D36&lt;1/24,TEXT('All Solo Standards Source'!D36,"M:SS"),TEXT('All Solo Standards Source'!D36,"H:MM:SS"))</f>
        <v>28:07</v>
      </c>
      <c r="S35" s="50" t="str">
        <f>IF('All Solo Standards Source'!H36&lt;1/24,TEXT('All Solo Standards Source'!H36,"M:SS"),TEXT('All Solo Standards Source'!H36,"H:MM:SS"))</f>
        <v>42:19</v>
      </c>
      <c r="T35" s="50" t="str">
        <f>IF('All Solo Standards Source'!L36&lt;1/24,TEXT('All Solo Standards Source'!L36,"M:SS"),TEXT('All Solo Standards Source'!L36,"H:MM:SS"))</f>
        <v>1:11:01</v>
      </c>
      <c r="U35" s="50" t="str">
        <f>IF('All Solo Standards Source'!P36&lt;1/24,TEXT('All Solo Standards Source'!P36,"M:SS"),TEXT('All Solo Standards Source'!P36,"H:MM:SS"))</f>
        <v>1:25:31</v>
      </c>
      <c r="V35" s="50" t="str">
        <f>IF('All Solo Standards Source'!T36&lt;1/24,TEXT('All Solo Standards Source'!T36,"M:SS"),TEXT('All Solo Standards Source'!T36,"H:MM:SS"))</f>
        <v>2:24:33</v>
      </c>
      <c r="W35" s="50" t="str">
        <f>IF('All Solo Standards Source'!X36&lt;1/24,TEXT('All Solo Standards Source'!X36,"M:SS"),TEXT('All Solo Standards Source'!X36,"H:MM:SS"))</f>
        <v>4:59:44</v>
      </c>
      <c r="X35" s="50" t="str">
        <f>TEXT('All Solo Standards Source'!AB36,"0.00")</f>
        <v>199.80</v>
      </c>
      <c r="Y35" s="50" t="str">
        <f>TEXT('All Solo Standards Source'!AF36,"0.00")</f>
        <v>337.16</v>
      </c>
      <c r="Z35" s="55" t="str">
        <f>IF('All Solo Standards Source'!E36&lt;1/24,TEXT('All Solo Standards Source'!E36,"M:SS"),TEXT('All Solo Standards Source'!E36,"H:MM:SS"))</f>
        <v>30:49</v>
      </c>
      <c r="AA35" s="55" t="str">
        <f>IF('All Solo Standards Source'!I36&lt;1/24,TEXT('All Solo Standards Source'!I36,"M:SS"),TEXT('All Solo Standards Source'!I36,"H:MM:SS"))</f>
        <v>46:24</v>
      </c>
      <c r="AB35" s="55" t="str">
        <f>IF('All Solo Standards Source'!M36&lt;1/24,TEXT('All Solo Standards Source'!M36,"M:SS"),TEXT('All Solo Standards Source'!M36,"H:MM:SS"))</f>
        <v>1:17:52</v>
      </c>
      <c r="AC35" s="55" t="str">
        <f>IF('All Solo Standards Source'!Q36&lt;1/24,TEXT('All Solo Standards Source'!Q36,"M:SS"),TEXT('All Solo Standards Source'!Q36,"H:MM:SS"))</f>
        <v>1:33:46</v>
      </c>
      <c r="AD35" s="55" t="str">
        <f>IF('All Solo Standards Source'!U36&lt;1/24,TEXT('All Solo Standards Source'!U36,"M:SS"),TEXT('All Solo Standards Source'!U36,"H:MM:SS"))</f>
        <v>2:38:29</v>
      </c>
      <c r="AE35" s="55" t="str">
        <f>IF('All Solo Standards Source'!Y36&lt;1/24,TEXT('All Solo Standards Source'!Y36,"M:SS"),TEXT('All Solo Standards Source'!Y36,"H:MM:SS"))</f>
        <v>5:28:39</v>
      </c>
      <c r="AF35" s="55" t="str">
        <f>TEXT('All Solo Standards Source'!AC36,"0.00")</f>
        <v>175.00</v>
      </c>
      <c r="AG35" s="55" t="str">
        <f>TEXT('All Solo Standards Source'!AG36,"0.00")</f>
        <v>301.80</v>
      </c>
    </row>
    <row r="36" spans="1:33" x14ac:dyDescent="0.25">
      <c r="A36" s="25">
        <v>43</v>
      </c>
      <c r="B36" s="53" t="str">
        <f>IF('All Solo Standards Source'!B37&lt;1/24,TEXT('All Solo Standards Source'!B37,"M:SS"),TEXT('All Solo Standards Source'!B37,"H:MM:SS"))</f>
        <v>26:16</v>
      </c>
      <c r="C36" s="53" t="str">
        <f>IF('All Solo Standards Source'!F37&lt;1/24,TEXT('All Solo Standards Source'!F37,"M:SS"),TEXT('All Solo Standards Source'!F37,"H:MM:SS"))</f>
        <v>39:32</v>
      </c>
      <c r="D36" s="53" t="str">
        <f>IF('All Solo Standards Source'!J37&lt;1/24,TEXT('All Solo Standards Source'!J37,"M:SS"),TEXT('All Solo Standards Source'!J37,"H:MM:SS"))</f>
        <v>1:06:21</v>
      </c>
      <c r="E36" s="53" t="str">
        <f>IF('All Solo Standards Source'!N37&lt;1/24,TEXT('All Solo Standards Source'!N37,"M:SS"),TEXT('All Solo Standards Source'!N37,"H:MM:SS"))</f>
        <v>1:19:54</v>
      </c>
      <c r="F36" s="53" t="str">
        <f>IF('All Solo Standards Source'!R37&lt;1/24,TEXT('All Solo Standards Source'!R37,"M:SS"),TEXT('All Solo Standards Source'!R37,"H:MM:SS"))</f>
        <v>2:15:03</v>
      </c>
      <c r="G36" s="53" t="str">
        <f>IF('All Solo Standards Source'!V37&lt;1/24,TEXT('All Solo Standards Source'!V37,"M:SS"),TEXT('All Solo Standards Source'!V37,"H:MM:SS"))</f>
        <v>4:40:05</v>
      </c>
      <c r="H36" s="53" t="str">
        <f>TEXT('All Solo Standards Source'!Z37,"0.00")</f>
        <v>219.47</v>
      </c>
      <c r="I36" s="53" t="str">
        <f>TEXT('All Solo Standards Source'!AD37,"0.00")</f>
        <v>363.87</v>
      </c>
      <c r="J36" s="57" t="str">
        <f>IF('All Solo Standards Source'!C37&lt;1/24,TEXT('All Solo Standards Source'!C37,"M:SS"),TEXT('All Solo Standards Source'!C37,"H:MM:SS"))</f>
        <v>28:43</v>
      </c>
      <c r="K36" s="57" t="str">
        <f>IF('All Solo Standards Source'!G37&lt;1/24,TEXT('All Solo Standards Source'!G37,"M:SS"),TEXT('All Solo Standards Source'!G37,"H:MM:SS"))</f>
        <v>43:13</v>
      </c>
      <c r="L36" s="57" t="str">
        <f>IF('All Solo Standards Source'!K37&lt;1/24,TEXT('All Solo Standards Source'!K37,"M:SS"),TEXT('All Solo Standards Source'!K37,"H:MM:SS"))</f>
        <v>1:12:31</v>
      </c>
      <c r="M36" s="57" t="str">
        <f>IF('All Solo Standards Source'!O37&lt;1/24,TEXT('All Solo Standards Source'!O37,"M:SS"),TEXT('All Solo Standards Source'!O37,"H:MM:SS"))</f>
        <v>1:27:20</v>
      </c>
      <c r="N36" s="57" t="str">
        <f>IF('All Solo Standards Source'!S37&lt;1/24,TEXT('All Solo Standards Source'!S37,"M:SS"),TEXT('All Solo Standards Source'!S37,"H:MM:SS"))</f>
        <v>2:27:38</v>
      </c>
      <c r="O36" s="57" t="str">
        <f>IF('All Solo Standards Source'!W37&lt;1/24,TEXT('All Solo Standards Source'!W37,"M:SS"),TEXT('All Solo Standards Source'!W37,"H:MM:SS"))</f>
        <v>5:06:10</v>
      </c>
      <c r="P36" s="57" t="str">
        <f>TEXT('All Solo Standards Source'!AA37,"0.00")</f>
        <v>193.67</v>
      </c>
      <c r="Q36" s="57" t="str">
        <f>TEXT('All Solo Standards Source'!AE37,"0.00")</f>
        <v>328.06</v>
      </c>
      <c r="R36" s="50" t="str">
        <f>IF('All Solo Standards Source'!D37&lt;1/24,TEXT('All Solo Standards Source'!D37,"M:SS"),TEXT('All Solo Standards Source'!D37,"H:MM:SS"))</f>
        <v>28:10</v>
      </c>
      <c r="S36" s="50" t="str">
        <f>IF('All Solo Standards Source'!H37&lt;1/24,TEXT('All Solo Standards Source'!H37,"M:SS"),TEXT('All Solo Standards Source'!H37,"H:MM:SS"))</f>
        <v>42:24</v>
      </c>
      <c r="T36" s="50" t="str">
        <f>IF('All Solo Standards Source'!L37&lt;1/24,TEXT('All Solo Standards Source'!L37,"M:SS"),TEXT('All Solo Standards Source'!L37,"H:MM:SS"))</f>
        <v>1:11:10</v>
      </c>
      <c r="U36" s="50" t="str">
        <f>IF('All Solo Standards Source'!P37&lt;1/24,TEXT('All Solo Standards Source'!P37,"M:SS"),TEXT('All Solo Standards Source'!P37,"H:MM:SS"))</f>
        <v>1:25:41</v>
      </c>
      <c r="V36" s="50" t="str">
        <f>IF('All Solo Standards Source'!T37&lt;1/24,TEXT('All Solo Standards Source'!T37,"M:SS"),TEXT('All Solo Standards Source'!T37,"H:MM:SS"))</f>
        <v>2:24:51</v>
      </c>
      <c r="W36" s="50" t="str">
        <f>IF('All Solo Standards Source'!X37&lt;1/24,TEXT('All Solo Standards Source'!X37,"M:SS"),TEXT('All Solo Standards Source'!X37,"H:MM:SS"))</f>
        <v>5:00:25</v>
      </c>
      <c r="X36" s="50" t="str">
        <f>TEXT('All Solo Standards Source'!AB37,"0.00")</f>
        <v>198.97</v>
      </c>
      <c r="Y36" s="50" t="str">
        <f>TEXT('All Solo Standards Source'!AF37,"0.00")</f>
        <v>335.51</v>
      </c>
      <c r="Z36" s="55" t="str">
        <f>IF('All Solo Standards Source'!E37&lt;1/24,TEXT('All Solo Standards Source'!E37,"M:SS"),TEXT('All Solo Standards Source'!E37,"H:MM:SS"))</f>
        <v>30:51</v>
      </c>
      <c r="AA36" s="55" t="str">
        <f>IF('All Solo Standards Source'!I37&lt;1/24,TEXT('All Solo Standards Source'!I37,"M:SS"),TEXT('All Solo Standards Source'!I37,"H:MM:SS"))</f>
        <v>46:26</v>
      </c>
      <c r="AB36" s="55" t="str">
        <f>IF('All Solo Standards Source'!M37&lt;1/24,TEXT('All Solo Standards Source'!M37,"M:SS"),TEXT('All Solo Standards Source'!M37,"H:MM:SS"))</f>
        <v>1:17:56</v>
      </c>
      <c r="AC36" s="55" t="str">
        <f>IF('All Solo Standards Source'!Q37&lt;1/24,TEXT('All Solo Standards Source'!Q37,"M:SS"),TEXT('All Solo Standards Source'!Q37,"H:MM:SS"))</f>
        <v>1:33:50</v>
      </c>
      <c r="AD36" s="55" t="str">
        <f>IF('All Solo Standards Source'!U37&lt;1/24,TEXT('All Solo Standards Source'!U37,"M:SS"),TEXT('All Solo Standards Source'!U37,"H:MM:SS"))</f>
        <v>2:38:38</v>
      </c>
      <c r="AE36" s="55" t="str">
        <f>IF('All Solo Standards Source'!Y37&lt;1/24,TEXT('All Solo Standards Source'!Y37,"M:SS"),TEXT('All Solo Standards Source'!Y37,"H:MM:SS"))</f>
        <v>5:28:59</v>
      </c>
      <c r="AF36" s="55" t="str">
        <f>TEXT('All Solo Standards Source'!AC37,"0.00")</f>
        <v>174.59</v>
      </c>
      <c r="AG36" s="55" t="str">
        <f>TEXT('All Solo Standards Source'!AG37,"0.00")</f>
        <v>300.79</v>
      </c>
    </row>
    <row r="37" spans="1:33" x14ac:dyDescent="0.25">
      <c r="A37" s="25">
        <v>44</v>
      </c>
      <c r="B37" s="53" t="str">
        <f>IF('All Solo Standards Source'!B38&lt;1/24,TEXT('All Solo Standards Source'!B38,"M:SS"),TEXT('All Solo Standards Source'!B38,"H:MM:SS"))</f>
        <v>26:19</v>
      </c>
      <c r="C37" s="53" t="str">
        <f>IF('All Solo Standards Source'!F38&lt;1/24,TEXT('All Solo Standards Source'!F38,"M:SS"),TEXT('All Solo Standards Source'!F38,"H:MM:SS"))</f>
        <v>39:37</v>
      </c>
      <c r="D37" s="53" t="str">
        <f>IF('All Solo Standards Source'!J38&lt;1/24,TEXT('All Solo Standards Source'!J38,"M:SS"),TEXT('All Solo Standards Source'!J38,"H:MM:SS"))</f>
        <v>1:06:29</v>
      </c>
      <c r="E37" s="53" t="str">
        <f>IF('All Solo Standards Source'!N38&lt;1/24,TEXT('All Solo Standards Source'!N38,"M:SS"),TEXT('All Solo Standards Source'!N38,"H:MM:SS"))</f>
        <v>1:20:04</v>
      </c>
      <c r="F37" s="53" t="str">
        <f>IF('All Solo Standards Source'!R38&lt;1/24,TEXT('All Solo Standards Source'!R38,"M:SS"),TEXT('All Solo Standards Source'!R38,"H:MM:SS"))</f>
        <v>2:15:21</v>
      </c>
      <c r="G37" s="53" t="str">
        <f>IF('All Solo Standards Source'!V38&lt;1/24,TEXT('All Solo Standards Source'!V38,"M:SS"),TEXT('All Solo Standards Source'!V38,"H:MM:SS"))</f>
        <v>4:40:46</v>
      </c>
      <c r="H37" s="53" t="str">
        <f>TEXT('All Solo Standards Source'!Z38,"0.00")</f>
        <v>218.47</v>
      </c>
      <c r="I37" s="53" t="str">
        <f>TEXT('All Solo Standards Source'!AD38,"0.00")</f>
        <v>361.89</v>
      </c>
      <c r="J37" s="57" t="str">
        <f>IF('All Solo Standards Source'!C38&lt;1/24,TEXT('All Solo Standards Source'!C38,"M:SS"),TEXT('All Solo Standards Source'!C38,"H:MM:SS"))</f>
        <v>28:44</v>
      </c>
      <c r="K37" s="57" t="str">
        <f>IF('All Solo Standards Source'!G38&lt;1/24,TEXT('All Solo Standards Source'!G38,"M:SS"),TEXT('All Solo Standards Source'!G38,"H:MM:SS"))</f>
        <v>43:15</v>
      </c>
      <c r="L37" s="57" t="str">
        <f>IF('All Solo Standards Source'!K38&lt;1/24,TEXT('All Solo Standards Source'!K38,"M:SS"),TEXT('All Solo Standards Source'!K38,"H:MM:SS"))</f>
        <v>1:12:35</v>
      </c>
      <c r="M37" s="57" t="str">
        <f>IF('All Solo Standards Source'!O38&lt;1/24,TEXT('All Solo Standards Source'!O38,"M:SS"),TEXT('All Solo Standards Source'!O38,"H:MM:SS"))</f>
        <v>1:27:25</v>
      </c>
      <c r="N37" s="57" t="str">
        <f>IF('All Solo Standards Source'!S38&lt;1/24,TEXT('All Solo Standards Source'!S38,"M:SS"),TEXT('All Solo Standards Source'!S38,"H:MM:SS"))</f>
        <v>2:27:46</v>
      </c>
      <c r="O37" s="57" t="str">
        <f>IF('All Solo Standards Source'!W38&lt;1/24,TEXT('All Solo Standards Source'!W38,"M:SS"),TEXT('All Solo Standards Source'!W38,"H:MM:SS"))</f>
        <v>5:06:31</v>
      </c>
      <c r="P37" s="57" t="str">
        <f>TEXT('All Solo Standards Source'!AA38,"0.00")</f>
        <v>193.16</v>
      </c>
      <c r="Q37" s="57" t="str">
        <f>TEXT('All Solo Standards Source'!AE38,"0.00")</f>
        <v>326.82</v>
      </c>
      <c r="R37" s="50" t="str">
        <f>IF('All Solo Standards Source'!D38&lt;1/24,TEXT('All Solo Standards Source'!D38,"M:SS"),TEXT('All Solo Standards Source'!D38,"H:MM:SS"))</f>
        <v>28:14</v>
      </c>
      <c r="S37" s="50" t="str">
        <f>IF('All Solo Standards Source'!H38&lt;1/24,TEXT('All Solo Standards Source'!H38,"M:SS"),TEXT('All Solo Standards Source'!H38,"H:MM:SS"))</f>
        <v>42:30</v>
      </c>
      <c r="T37" s="50" t="str">
        <f>IF('All Solo Standards Source'!L38&lt;1/24,TEXT('All Solo Standards Source'!L38,"M:SS"),TEXT('All Solo Standards Source'!L38,"H:MM:SS"))</f>
        <v>1:11:19</v>
      </c>
      <c r="U37" s="50" t="str">
        <f>IF('All Solo Standards Source'!P38&lt;1/24,TEXT('All Solo Standards Source'!P38,"M:SS"),TEXT('All Solo Standards Source'!P38,"H:MM:SS"))</f>
        <v>1:25:53</v>
      </c>
      <c r="V37" s="50" t="str">
        <f>IF('All Solo Standards Source'!T38&lt;1/24,TEXT('All Solo Standards Source'!T38,"M:SS"),TEXT('All Solo Standards Source'!T38,"H:MM:SS"))</f>
        <v>2:25:11</v>
      </c>
      <c r="W37" s="50" t="str">
        <f>IF('All Solo Standards Source'!X38&lt;1/24,TEXT('All Solo Standards Source'!X38,"M:SS"),TEXT('All Solo Standards Source'!X38,"H:MM:SS"))</f>
        <v>5:01:09</v>
      </c>
      <c r="X37" s="50" t="str">
        <f>TEXT('All Solo Standards Source'!AB38,"0.00")</f>
        <v>198.06</v>
      </c>
      <c r="Y37" s="50" t="str">
        <f>TEXT('All Solo Standards Source'!AF38,"0.00")</f>
        <v>333.70</v>
      </c>
      <c r="Z37" s="55" t="str">
        <f>IF('All Solo Standards Source'!E38&lt;1/24,TEXT('All Solo Standards Source'!E38,"M:SS"),TEXT('All Solo Standards Source'!E38,"H:MM:SS"))</f>
        <v>30:52</v>
      </c>
      <c r="AA37" s="55" t="str">
        <f>IF('All Solo Standards Source'!I38&lt;1/24,TEXT('All Solo Standards Source'!I38,"M:SS"),TEXT('All Solo Standards Source'!I38,"H:MM:SS"))</f>
        <v>46:28</v>
      </c>
      <c r="AB37" s="55" t="str">
        <f>IF('All Solo Standards Source'!M38&lt;1/24,TEXT('All Solo Standards Source'!M38,"M:SS"),TEXT('All Solo Standards Source'!M38,"H:MM:SS"))</f>
        <v>1:18:00</v>
      </c>
      <c r="AC37" s="55" t="str">
        <f>IF('All Solo Standards Source'!Q38&lt;1/24,TEXT('All Solo Standards Source'!Q38,"M:SS"),TEXT('All Solo Standards Source'!Q38,"H:MM:SS"))</f>
        <v>1:33:55</v>
      </c>
      <c r="AD37" s="55" t="str">
        <f>IF('All Solo Standards Source'!U38&lt;1/24,TEXT('All Solo Standards Source'!U38,"M:SS"),TEXT('All Solo Standards Source'!U38,"H:MM:SS"))</f>
        <v>2:38:47</v>
      </c>
      <c r="AE37" s="55" t="str">
        <f>IF('All Solo Standards Source'!Y38&lt;1/24,TEXT('All Solo Standards Source'!Y38,"M:SS"),TEXT('All Solo Standards Source'!Y38,"H:MM:SS"))</f>
        <v>5:29:22</v>
      </c>
      <c r="AF37" s="55" t="str">
        <f>TEXT('All Solo Standards Source'!AC38,"0.00")</f>
        <v>174.13</v>
      </c>
      <c r="AG37" s="55" t="str">
        <f>TEXT('All Solo Standards Source'!AG38,"0.00")</f>
        <v>299.69</v>
      </c>
    </row>
    <row r="38" spans="1:33" x14ac:dyDescent="0.25">
      <c r="A38" s="25">
        <v>45</v>
      </c>
      <c r="B38" s="53" t="str">
        <f>IF('All Solo Standards Source'!B39&lt;1/24,TEXT('All Solo Standards Source'!B39,"M:SS"),TEXT('All Solo Standards Source'!B39,"H:MM:SS"))</f>
        <v>26:23</v>
      </c>
      <c r="C38" s="53" t="str">
        <f>IF('All Solo Standards Source'!F39&lt;1/24,TEXT('All Solo Standards Source'!F39,"M:SS"),TEXT('All Solo Standards Source'!F39,"H:MM:SS"))</f>
        <v>39:43</v>
      </c>
      <c r="D38" s="53" t="str">
        <f>IF('All Solo Standards Source'!J39&lt;1/24,TEXT('All Solo Standards Source'!J39,"M:SS"),TEXT('All Solo Standards Source'!J39,"H:MM:SS"))</f>
        <v>1:06:39</v>
      </c>
      <c r="E38" s="53" t="str">
        <f>IF('All Solo Standards Source'!N39&lt;1/24,TEXT('All Solo Standards Source'!N39,"M:SS"),TEXT('All Solo Standards Source'!N39,"H:MM:SS"))</f>
        <v>1:20:16</v>
      </c>
      <c r="F38" s="53" t="str">
        <f>IF('All Solo Standards Source'!R39&lt;1/24,TEXT('All Solo Standards Source'!R39,"M:SS"),TEXT('All Solo Standards Source'!R39,"H:MM:SS"))</f>
        <v>2:15:41</v>
      </c>
      <c r="G38" s="53" t="str">
        <f>IF('All Solo Standards Source'!V39&lt;1/24,TEXT('All Solo Standards Source'!V39,"M:SS"),TEXT('All Solo Standards Source'!V39,"H:MM:SS"))</f>
        <v>4:41:31</v>
      </c>
      <c r="H38" s="53" t="str">
        <f>TEXT('All Solo Standards Source'!Z39,"0.00")</f>
        <v>217.38</v>
      </c>
      <c r="I38" s="53" t="str">
        <f>TEXT('All Solo Standards Source'!AD39,"0.00")</f>
        <v>359.73</v>
      </c>
      <c r="J38" s="57" t="str">
        <f>IF('All Solo Standards Source'!C39&lt;1/24,TEXT('All Solo Standards Source'!C39,"M:SS"),TEXT('All Solo Standards Source'!C39,"H:MM:SS"))</f>
        <v>28:45</v>
      </c>
      <c r="K38" s="57" t="str">
        <f>IF('All Solo Standards Source'!G39&lt;1/24,TEXT('All Solo Standards Source'!G39,"M:SS"),TEXT('All Solo Standards Source'!G39,"H:MM:SS"))</f>
        <v>43:17</v>
      </c>
      <c r="L38" s="57" t="str">
        <f>IF('All Solo Standards Source'!K39&lt;1/24,TEXT('All Solo Standards Source'!K39,"M:SS"),TEXT('All Solo Standards Source'!K39,"H:MM:SS"))</f>
        <v>1:12:39</v>
      </c>
      <c r="M38" s="57" t="str">
        <f>IF('All Solo Standards Source'!O39&lt;1/24,TEXT('All Solo Standards Source'!O39,"M:SS"),TEXT('All Solo Standards Source'!O39,"H:MM:SS"))</f>
        <v>1:27:30</v>
      </c>
      <c r="N38" s="57" t="str">
        <f>IF('All Solo Standards Source'!S39&lt;1/24,TEXT('All Solo Standards Source'!S39,"M:SS"),TEXT('All Solo Standards Source'!S39,"H:MM:SS"))</f>
        <v>2:27:55</v>
      </c>
      <c r="O38" s="57" t="str">
        <f>IF('All Solo Standards Source'!W39&lt;1/24,TEXT('All Solo Standards Source'!W39,"M:SS"),TEXT('All Solo Standards Source'!W39,"H:MM:SS"))</f>
        <v>5:06:53</v>
      </c>
      <c r="P38" s="57" t="str">
        <f>TEXT('All Solo Standards Source'!AA39,"0.00")</f>
        <v>192.60</v>
      </c>
      <c r="Q38" s="57" t="str">
        <f>TEXT('All Solo Standards Source'!AE39,"0.00")</f>
        <v>325.47</v>
      </c>
      <c r="R38" s="50" t="str">
        <f>IF('All Solo Standards Source'!D39&lt;1/24,TEXT('All Solo Standards Source'!D39,"M:SS"),TEXT('All Solo Standards Source'!D39,"H:MM:SS"))</f>
        <v>28:18</v>
      </c>
      <c r="S38" s="50" t="str">
        <f>IF('All Solo Standards Source'!H39&lt;1/24,TEXT('All Solo Standards Source'!H39,"M:SS"),TEXT('All Solo Standards Source'!H39,"H:MM:SS"))</f>
        <v>42:36</v>
      </c>
      <c r="T38" s="50" t="str">
        <f>IF('All Solo Standards Source'!L39&lt;1/24,TEXT('All Solo Standards Source'!L39,"M:SS"),TEXT('All Solo Standards Source'!L39,"H:MM:SS"))</f>
        <v>1:11:29</v>
      </c>
      <c r="U38" s="50" t="str">
        <f>IF('All Solo Standards Source'!P39&lt;1/24,TEXT('All Solo Standards Source'!P39,"M:SS"),TEXT('All Solo Standards Source'!P39,"H:MM:SS"))</f>
        <v>1:26:06</v>
      </c>
      <c r="V38" s="50" t="str">
        <f>IF('All Solo Standards Source'!T39&lt;1/24,TEXT('All Solo Standards Source'!T39,"M:SS"),TEXT('All Solo Standards Source'!T39,"H:MM:SS"))</f>
        <v>2:25:33</v>
      </c>
      <c r="W38" s="50" t="str">
        <f>IF('All Solo Standards Source'!X39&lt;1/24,TEXT('All Solo Standards Source'!X39,"M:SS"),TEXT('All Solo Standards Source'!X39,"H:MM:SS"))</f>
        <v>5:01:58</v>
      </c>
      <c r="X38" s="50" t="str">
        <f>TEXT('All Solo Standards Source'!AB39,"0.00")</f>
        <v>197.06</v>
      </c>
      <c r="Y38" s="50" t="str">
        <f>TEXT('All Solo Standards Source'!AF39,"0.00")</f>
        <v>331.72</v>
      </c>
      <c r="Z38" s="55" t="str">
        <f>IF('All Solo Standards Source'!E39&lt;1/24,TEXT('All Solo Standards Source'!E39,"M:SS"),TEXT('All Solo Standards Source'!E39,"H:MM:SS"))</f>
        <v>30:54</v>
      </c>
      <c r="AA38" s="55" t="str">
        <f>IF('All Solo Standards Source'!I39&lt;1/24,TEXT('All Solo Standards Source'!I39,"M:SS"),TEXT('All Solo Standards Source'!I39,"H:MM:SS"))</f>
        <v>46:31</v>
      </c>
      <c r="AB38" s="55" t="str">
        <f>IF('All Solo Standards Source'!M39&lt;1/24,TEXT('All Solo Standards Source'!M39,"M:SS"),TEXT('All Solo Standards Source'!M39,"H:MM:SS"))</f>
        <v>1:18:04</v>
      </c>
      <c r="AC38" s="55" t="str">
        <f>IF('All Solo Standards Source'!Q39&lt;1/24,TEXT('All Solo Standards Source'!Q39,"M:SS"),TEXT('All Solo Standards Source'!Q39,"H:MM:SS"))</f>
        <v>1:34:01</v>
      </c>
      <c r="AD38" s="55" t="str">
        <f>IF('All Solo Standards Source'!U39&lt;1/24,TEXT('All Solo Standards Source'!U39,"M:SS"),TEXT('All Solo Standards Source'!U39,"H:MM:SS"))</f>
        <v>2:38:57</v>
      </c>
      <c r="AE38" s="55" t="str">
        <f>IF('All Solo Standards Source'!Y39&lt;1/24,TEXT('All Solo Standards Source'!Y39,"M:SS"),TEXT('All Solo Standards Source'!Y39,"H:MM:SS"))</f>
        <v>5:29:46</v>
      </c>
      <c r="AF38" s="55" t="str">
        <f>TEXT('All Solo Standards Source'!AC39,"0.00")</f>
        <v>173.63</v>
      </c>
      <c r="AG38" s="55" t="str">
        <f>TEXT('All Solo Standards Source'!AG39,"0.00")</f>
        <v>298.48</v>
      </c>
    </row>
    <row r="39" spans="1:33" x14ac:dyDescent="0.25">
      <c r="A39" s="25">
        <v>46</v>
      </c>
      <c r="B39" s="53" t="str">
        <f>IF('All Solo Standards Source'!B40&lt;1/24,TEXT('All Solo Standards Source'!B40,"M:SS"),TEXT('All Solo Standards Source'!B40,"H:MM:SS"))</f>
        <v>26:27</v>
      </c>
      <c r="C39" s="53" t="str">
        <f>IF('All Solo Standards Source'!F40&lt;1/24,TEXT('All Solo Standards Source'!F40,"M:SS"),TEXT('All Solo Standards Source'!F40,"H:MM:SS"))</f>
        <v>39:49</v>
      </c>
      <c r="D39" s="53" t="str">
        <f>IF('All Solo Standards Source'!J40&lt;1/24,TEXT('All Solo Standards Source'!J40,"M:SS"),TEXT('All Solo Standards Source'!J40,"H:MM:SS"))</f>
        <v>1:06:49</v>
      </c>
      <c r="E39" s="53" t="str">
        <f>IF('All Solo Standards Source'!N40&lt;1/24,TEXT('All Solo Standards Source'!N40,"M:SS"),TEXT('All Solo Standards Source'!N40,"H:MM:SS"))</f>
        <v>1:20:28</v>
      </c>
      <c r="F39" s="53" t="str">
        <f>IF('All Solo Standards Source'!R40&lt;1/24,TEXT('All Solo Standards Source'!R40,"M:SS"),TEXT('All Solo Standards Source'!R40,"H:MM:SS"))</f>
        <v>2:16:03</v>
      </c>
      <c r="G39" s="53" t="str">
        <f>IF('All Solo Standards Source'!V40&lt;1/24,TEXT('All Solo Standards Source'!V40,"M:SS"),TEXT('All Solo Standards Source'!V40,"H:MM:SS"))</f>
        <v>4:42:19</v>
      </c>
      <c r="H39" s="53" t="str">
        <f>TEXT('All Solo Standards Source'!Z40,"0.00")</f>
        <v>216.21</v>
      </c>
      <c r="I39" s="53" t="str">
        <f>TEXT('All Solo Standards Source'!AD40,"0.00")</f>
        <v>357.41</v>
      </c>
      <c r="J39" s="57" t="str">
        <f>IF('All Solo Standards Source'!C40&lt;1/24,TEXT('All Solo Standards Source'!C40,"M:SS"),TEXT('All Solo Standards Source'!C40,"H:MM:SS"))</f>
        <v>28:47</v>
      </c>
      <c r="K39" s="57" t="str">
        <f>IF('All Solo Standards Source'!G40&lt;1/24,TEXT('All Solo Standards Source'!G40,"M:SS"),TEXT('All Solo Standards Source'!G40,"H:MM:SS"))</f>
        <v>43:20</v>
      </c>
      <c r="L39" s="57" t="str">
        <f>IF('All Solo Standards Source'!K40&lt;1/24,TEXT('All Solo Standards Source'!K40,"M:SS"),TEXT('All Solo Standards Source'!K40,"H:MM:SS"))</f>
        <v>1:12:44</v>
      </c>
      <c r="M39" s="57" t="str">
        <f>IF('All Solo Standards Source'!O40&lt;1/24,TEXT('All Solo Standards Source'!O40,"M:SS"),TEXT('All Solo Standards Source'!O40,"H:MM:SS"))</f>
        <v>1:27:35</v>
      </c>
      <c r="N39" s="57" t="str">
        <f>IF('All Solo Standards Source'!S40&lt;1/24,TEXT('All Solo Standards Source'!S40,"M:SS"),TEXT('All Solo Standards Source'!S40,"H:MM:SS"))</f>
        <v>2:28:05</v>
      </c>
      <c r="O39" s="57" t="str">
        <f>IF('All Solo Standards Source'!W40&lt;1/24,TEXT('All Solo Standards Source'!W40,"M:SS"),TEXT('All Solo Standards Source'!W40,"H:MM:SS"))</f>
        <v>5:07:19</v>
      </c>
      <c r="P39" s="57" t="str">
        <f>TEXT('All Solo Standards Source'!AA40,"0.00")</f>
        <v>191.98</v>
      </c>
      <c r="Q39" s="57" t="str">
        <f>TEXT('All Solo Standards Source'!AE40,"0.00")</f>
        <v>323.99</v>
      </c>
      <c r="R39" s="50" t="str">
        <f>IF('All Solo Standards Source'!D40&lt;1/24,TEXT('All Solo Standards Source'!D40,"M:SS"),TEXT('All Solo Standards Source'!D40,"H:MM:SS"))</f>
        <v>28:22</v>
      </c>
      <c r="S39" s="50" t="str">
        <f>IF('All Solo Standards Source'!H40&lt;1/24,TEXT('All Solo Standards Source'!H40,"M:SS"),TEXT('All Solo Standards Source'!H40,"H:MM:SS"))</f>
        <v>42:42</v>
      </c>
      <c r="T39" s="50" t="str">
        <f>IF('All Solo Standards Source'!L40&lt;1/24,TEXT('All Solo Standards Source'!L40,"M:SS"),TEXT('All Solo Standards Source'!L40,"H:MM:SS"))</f>
        <v>1:11:41</v>
      </c>
      <c r="U39" s="50" t="str">
        <f>IF('All Solo Standards Source'!P40&lt;1/24,TEXT('All Solo Standards Source'!P40,"M:SS"),TEXT('All Solo Standards Source'!P40,"H:MM:SS"))</f>
        <v>1:26:19</v>
      </c>
      <c r="V39" s="50" t="str">
        <f>IF('All Solo Standards Source'!T40&lt;1/24,TEXT('All Solo Standards Source'!T40,"M:SS"),TEXT('All Solo Standards Source'!T40,"H:MM:SS"))</f>
        <v>2:25:57</v>
      </c>
      <c r="W39" s="50" t="str">
        <f>IF('All Solo Standards Source'!X40&lt;1/24,TEXT('All Solo Standards Source'!X40,"M:SS"),TEXT('All Solo Standards Source'!X40,"H:MM:SS"))</f>
        <v>5:02:51</v>
      </c>
      <c r="X39" s="50" t="str">
        <f>TEXT('All Solo Standards Source'!AB40,"0.00")</f>
        <v>195.99</v>
      </c>
      <c r="Y39" s="50" t="str">
        <f>TEXT('All Solo Standards Source'!AF40,"0.00")</f>
        <v>329.59</v>
      </c>
      <c r="Z39" s="55" t="str">
        <f>IF('All Solo Standards Source'!E40&lt;1/24,TEXT('All Solo Standards Source'!E40,"M:SS"),TEXT('All Solo Standards Source'!E40,"H:MM:SS"))</f>
        <v>30:56</v>
      </c>
      <c r="AA39" s="55" t="str">
        <f>IF('All Solo Standards Source'!I40&lt;1/24,TEXT('All Solo Standards Source'!I40,"M:SS"),TEXT('All Solo Standards Source'!I40,"H:MM:SS"))</f>
        <v>46:34</v>
      </c>
      <c r="AB39" s="55" t="str">
        <f>IF('All Solo Standards Source'!M40&lt;1/24,TEXT('All Solo Standards Source'!M40,"M:SS"),TEXT('All Solo Standards Source'!M40,"H:MM:SS"))</f>
        <v>1:18:09</v>
      </c>
      <c r="AC39" s="55" t="str">
        <f>IF('All Solo Standards Source'!Q40&lt;1/24,TEXT('All Solo Standards Source'!Q40,"M:SS"),TEXT('All Solo Standards Source'!Q40,"H:MM:SS"))</f>
        <v>1:34:07</v>
      </c>
      <c r="AD39" s="55" t="str">
        <f>IF('All Solo Standards Source'!U40&lt;1/24,TEXT('All Solo Standards Source'!U40,"M:SS"),TEXT('All Solo Standards Source'!U40,"H:MM:SS"))</f>
        <v>2:39:08</v>
      </c>
      <c r="AE39" s="55" t="str">
        <f>IF('All Solo Standards Source'!Y40&lt;1/24,TEXT('All Solo Standards Source'!Y40,"M:SS"),TEXT('All Solo Standards Source'!Y40,"H:MM:SS"))</f>
        <v>5:30:14</v>
      </c>
      <c r="AF39" s="55" t="str">
        <f>TEXT('All Solo Standards Source'!AC40,"0.00")</f>
        <v>173.08</v>
      </c>
      <c r="AG39" s="55" t="str">
        <f>TEXT('All Solo Standards Source'!AG40,"0.00")</f>
        <v>297.16</v>
      </c>
    </row>
    <row r="40" spans="1:33" x14ac:dyDescent="0.25">
      <c r="A40" s="25">
        <v>47</v>
      </c>
      <c r="B40" s="53" t="str">
        <f>IF('All Solo Standards Source'!B41&lt;1/24,TEXT('All Solo Standards Source'!B41,"M:SS"),TEXT('All Solo Standards Source'!B41,"H:MM:SS"))</f>
        <v>26:31</v>
      </c>
      <c r="C40" s="53" t="str">
        <f>IF('All Solo Standards Source'!F41&lt;1/24,TEXT('All Solo Standards Source'!F41,"M:SS"),TEXT('All Solo Standards Source'!F41,"H:MM:SS"))</f>
        <v>39:55</v>
      </c>
      <c r="D40" s="53" t="str">
        <f>IF('All Solo Standards Source'!J41&lt;1/24,TEXT('All Solo Standards Source'!J41,"M:SS"),TEXT('All Solo Standards Source'!J41,"H:MM:SS"))</f>
        <v>1:07:00</v>
      </c>
      <c r="E40" s="53" t="str">
        <f>IF('All Solo Standards Source'!N41&lt;1/24,TEXT('All Solo Standards Source'!N41,"M:SS"),TEXT('All Solo Standards Source'!N41,"H:MM:SS"))</f>
        <v>1:20:42</v>
      </c>
      <c r="F40" s="53" t="str">
        <f>IF('All Solo Standards Source'!R41&lt;1/24,TEXT('All Solo Standards Source'!R41,"M:SS"),TEXT('All Solo Standards Source'!R41,"H:MM:SS"))</f>
        <v>2:16:27</v>
      </c>
      <c r="G40" s="53" t="str">
        <f>IF('All Solo Standards Source'!V41&lt;1/24,TEXT('All Solo Standards Source'!V41,"M:SS"),TEXT('All Solo Standards Source'!V41,"H:MM:SS"))</f>
        <v>4:43:12</v>
      </c>
      <c r="H40" s="53" t="str">
        <f>TEXT('All Solo Standards Source'!Z41,"0.00")</f>
        <v>214.95</v>
      </c>
      <c r="I40" s="53" t="str">
        <f>TEXT('All Solo Standards Source'!AD41,"0.00")</f>
        <v>354.92</v>
      </c>
      <c r="J40" s="57" t="str">
        <f>IF('All Solo Standards Source'!C41&lt;1/24,TEXT('All Solo Standards Source'!C41,"M:SS"),TEXT('All Solo Standards Source'!C41,"H:MM:SS"))</f>
        <v>28:49</v>
      </c>
      <c r="K40" s="57" t="str">
        <f>IF('All Solo Standards Source'!G41&lt;1/24,TEXT('All Solo Standards Source'!G41,"M:SS"),TEXT('All Solo Standards Source'!G41,"H:MM:SS"))</f>
        <v>43:23</v>
      </c>
      <c r="L40" s="57" t="str">
        <f>IF('All Solo Standards Source'!K41&lt;1/24,TEXT('All Solo Standards Source'!K41,"M:SS"),TEXT('All Solo Standards Source'!K41,"H:MM:SS"))</f>
        <v>1:12:49</v>
      </c>
      <c r="M40" s="57" t="str">
        <f>IF('All Solo Standards Source'!O41&lt;1/24,TEXT('All Solo Standards Source'!O41,"M:SS"),TEXT('All Solo Standards Source'!O41,"H:MM:SS"))</f>
        <v>1:27:42</v>
      </c>
      <c r="N40" s="57" t="str">
        <f>IF('All Solo Standards Source'!S41&lt;1/24,TEXT('All Solo Standards Source'!S41,"M:SS"),TEXT('All Solo Standards Source'!S41,"H:MM:SS"))</f>
        <v>2:28:17</v>
      </c>
      <c r="O40" s="57" t="str">
        <f>IF('All Solo Standards Source'!W41&lt;1/24,TEXT('All Solo Standards Source'!W41,"M:SS"),TEXT('All Solo Standards Source'!W41,"H:MM:SS"))</f>
        <v>5:07:47</v>
      </c>
      <c r="P40" s="57" t="str">
        <f>TEXT('All Solo Standards Source'!AA41,"0.00")</f>
        <v>191.29</v>
      </c>
      <c r="Q40" s="57" t="str">
        <f>TEXT('All Solo Standards Source'!AE41,"0.00")</f>
        <v>322.37</v>
      </c>
      <c r="R40" s="50" t="str">
        <f>IF('All Solo Standards Source'!D41&lt;1/24,TEXT('All Solo Standards Source'!D41,"M:SS"),TEXT('All Solo Standards Source'!D41,"H:MM:SS"))</f>
        <v>28:27</v>
      </c>
      <c r="S40" s="50" t="str">
        <f>IF('All Solo Standards Source'!H41&lt;1/24,TEXT('All Solo Standards Source'!H41,"M:SS"),TEXT('All Solo Standards Source'!H41,"H:MM:SS"))</f>
        <v>42:49</v>
      </c>
      <c r="T40" s="50" t="str">
        <f>IF('All Solo Standards Source'!L41&lt;1/24,TEXT('All Solo Standards Source'!L41,"M:SS"),TEXT('All Solo Standards Source'!L41,"H:MM:SS"))</f>
        <v>1:11:53</v>
      </c>
      <c r="U40" s="50" t="str">
        <f>IF('All Solo Standards Source'!P41&lt;1/24,TEXT('All Solo Standards Source'!P41,"M:SS"),TEXT('All Solo Standards Source'!P41,"H:MM:SS"))</f>
        <v>1:26:34</v>
      </c>
      <c r="V40" s="50" t="str">
        <f>IF('All Solo Standards Source'!T41&lt;1/24,TEXT('All Solo Standards Source'!T41,"M:SS"),TEXT('All Solo Standards Source'!T41,"H:MM:SS"))</f>
        <v>2:26:23</v>
      </c>
      <c r="W40" s="50" t="str">
        <f>IF('All Solo Standards Source'!X41&lt;1/24,TEXT('All Solo Standards Source'!X41,"M:SS"),TEXT('All Solo Standards Source'!X41,"H:MM:SS"))</f>
        <v>5:03:49</v>
      </c>
      <c r="X40" s="50" t="str">
        <f>TEXT('All Solo Standards Source'!AB41,"0.00")</f>
        <v>194.84</v>
      </c>
      <c r="Y40" s="50" t="str">
        <f>TEXT('All Solo Standards Source'!AF41,"0.00")</f>
        <v>327.32</v>
      </c>
      <c r="Z40" s="55" t="str">
        <f>IF('All Solo Standards Source'!E41&lt;1/24,TEXT('All Solo Standards Source'!E41,"M:SS"),TEXT('All Solo Standards Source'!E41,"H:MM:SS"))</f>
        <v>30:58</v>
      </c>
      <c r="AA40" s="55" t="str">
        <f>IF('All Solo Standards Source'!I41&lt;1/24,TEXT('All Solo Standards Source'!I41,"M:SS"),TEXT('All Solo Standards Source'!I41,"H:MM:SS"))</f>
        <v>46:37</v>
      </c>
      <c r="AB40" s="55" t="str">
        <f>IF('All Solo Standards Source'!M41&lt;1/24,TEXT('All Solo Standards Source'!M41,"M:SS"),TEXT('All Solo Standards Source'!M41,"H:MM:SS"))</f>
        <v>1:18:15</v>
      </c>
      <c r="AC40" s="55" t="str">
        <f>IF('All Solo Standards Source'!Q41&lt;1/24,TEXT('All Solo Standards Source'!Q41,"M:SS"),TEXT('All Solo Standards Source'!Q41,"H:MM:SS"))</f>
        <v>1:34:14</v>
      </c>
      <c r="AD40" s="55" t="str">
        <f>IF('All Solo Standards Source'!U41&lt;1/24,TEXT('All Solo Standards Source'!U41,"M:SS"),TEXT('All Solo Standards Source'!U41,"H:MM:SS"))</f>
        <v>2:39:21</v>
      </c>
      <c r="AE40" s="55" t="str">
        <f>IF('All Solo Standards Source'!Y41&lt;1/24,TEXT('All Solo Standards Source'!Y41,"M:SS"),TEXT('All Solo Standards Source'!Y41,"H:MM:SS"))</f>
        <v>5:30:45</v>
      </c>
      <c r="AF40" s="55" t="str">
        <f>TEXT('All Solo Standards Source'!AC41,"0.00")</f>
        <v>172.47</v>
      </c>
      <c r="AG40" s="55" t="str">
        <f>TEXT('All Solo Standards Source'!AG41,"0.00")</f>
        <v>295.72</v>
      </c>
    </row>
    <row r="41" spans="1:33" x14ac:dyDescent="0.25">
      <c r="A41" s="25">
        <v>48</v>
      </c>
      <c r="B41" s="53" t="str">
        <f>IF('All Solo Standards Source'!B42&lt;1/24,TEXT('All Solo Standards Source'!B42,"M:SS"),TEXT('All Solo Standards Source'!B42,"H:MM:SS"))</f>
        <v>26:36</v>
      </c>
      <c r="C41" s="53" t="str">
        <f>IF('All Solo Standards Source'!F42&lt;1/24,TEXT('All Solo Standards Source'!F42,"M:SS"),TEXT('All Solo Standards Source'!F42,"H:MM:SS"))</f>
        <v>40:02</v>
      </c>
      <c r="D41" s="53" t="str">
        <f>IF('All Solo Standards Source'!J42&lt;1/24,TEXT('All Solo Standards Source'!J42,"M:SS"),TEXT('All Solo Standards Source'!J42,"H:MM:SS"))</f>
        <v>1:07:12</v>
      </c>
      <c r="E41" s="53" t="str">
        <f>IF('All Solo Standards Source'!N42&lt;1/24,TEXT('All Solo Standards Source'!N42,"M:SS"),TEXT('All Solo Standards Source'!N42,"H:MM:SS"))</f>
        <v>1:20:56</v>
      </c>
      <c r="F41" s="53" t="str">
        <f>IF('All Solo Standards Source'!R42&lt;1/24,TEXT('All Solo Standards Source'!R42,"M:SS"),TEXT('All Solo Standards Source'!R42,"H:MM:SS"))</f>
        <v>2:16:52</v>
      </c>
      <c r="G41" s="53" t="str">
        <f>IF('All Solo Standards Source'!V42&lt;1/24,TEXT('All Solo Standards Source'!V42,"M:SS"),TEXT('All Solo Standards Source'!V42,"H:MM:SS"))</f>
        <v>4:44:08</v>
      </c>
      <c r="H41" s="53" t="str">
        <f>TEXT('All Solo Standards Source'!Z42,"0.00")</f>
        <v>213.62</v>
      </c>
      <c r="I41" s="53" t="str">
        <f>TEXT('All Solo Standards Source'!AD42,"0.00")</f>
        <v>352.28</v>
      </c>
      <c r="J41" s="57" t="str">
        <f>IF('All Solo Standards Source'!C42&lt;1/24,TEXT('All Solo Standards Source'!C42,"M:SS"),TEXT('All Solo Standards Source'!C42,"H:MM:SS"))</f>
        <v>28:51</v>
      </c>
      <c r="K41" s="57" t="str">
        <f>IF('All Solo Standards Source'!G42&lt;1/24,TEXT('All Solo Standards Source'!G42,"M:SS"),TEXT('All Solo Standards Source'!G42,"H:MM:SS"))</f>
        <v>43:26</v>
      </c>
      <c r="L41" s="57" t="str">
        <f>IF('All Solo Standards Source'!K42&lt;1/24,TEXT('All Solo Standards Source'!K42,"M:SS"),TEXT('All Solo Standards Source'!K42,"H:MM:SS"))</f>
        <v>1:12:55</v>
      </c>
      <c r="M41" s="57" t="str">
        <f>IF('All Solo Standards Source'!O42&lt;1/24,TEXT('All Solo Standards Source'!O42,"M:SS"),TEXT('All Solo Standards Source'!O42,"H:MM:SS"))</f>
        <v>1:27:49</v>
      </c>
      <c r="N41" s="57" t="str">
        <f>IF('All Solo Standards Source'!S42&lt;1/24,TEXT('All Solo Standards Source'!S42,"M:SS"),TEXT('All Solo Standards Source'!S42,"H:MM:SS"))</f>
        <v>2:28:30</v>
      </c>
      <c r="O41" s="57" t="str">
        <f>IF('All Solo Standards Source'!W42&lt;1/24,TEXT('All Solo Standards Source'!W42,"M:SS"),TEXT('All Solo Standards Source'!W42,"H:MM:SS"))</f>
        <v>5:08:19</v>
      </c>
      <c r="P41" s="57" t="str">
        <f>TEXT('All Solo Standards Source'!AA42,"0.00")</f>
        <v>190.54</v>
      </c>
      <c r="Q41" s="57" t="str">
        <f>TEXT('All Solo Standards Source'!AE42,"0.00")</f>
        <v>320.62</v>
      </c>
      <c r="R41" s="50" t="str">
        <f>IF('All Solo Standards Source'!D42&lt;1/24,TEXT('All Solo Standards Source'!D42,"M:SS"),TEXT('All Solo Standards Source'!D42,"H:MM:SS"))</f>
        <v>28:32</v>
      </c>
      <c r="S41" s="50" t="str">
        <f>IF('All Solo Standards Source'!H42&lt;1/24,TEXT('All Solo Standards Source'!H42,"M:SS"),TEXT('All Solo Standards Source'!H42,"H:MM:SS"))</f>
        <v>42:57</v>
      </c>
      <c r="T41" s="50" t="str">
        <f>IF('All Solo Standards Source'!L42&lt;1/24,TEXT('All Solo Standards Source'!L42,"M:SS"),TEXT('All Solo Standards Source'!L42,"H:MM:SS"))</f>
        <v>1:12:06</v>
      </c>
      <c r="U41" s="50" t="str">
        <f>IF('All Solo Standards Source'!P42&lt;1/24,TEXT('All Solo Standards Source'!P42,"M:SS"),TEXT('All Solo Standards Source'!P42,"H:MM:SS"))</f>
        <v>1:26:50</v>
      </c>
      <c r="V41" s="50" t="str">
        <f>IF('All Solo Standards Source'!T42&lt;1/24,TEXT('All Solo Standards Source'!T42,"M:SS"),TEXT('All Solo Standards Source'!T42,"H:MM:SS"))</f>
        <v>2:26:50</v>
      </c>
      <c r="W41" s="50" t="str">
        <f>IF('All Solo Standards Source'!X42&lt;1/24,TEXT('All Solo Standards Source'!X42,"M:SS"),TEXT('All Solo Standards Source'!X42,"H:MM:SS"))</f>
        <v>5:04:51</v>
      </c>
      <c r="X41" s="50" t="str">
        <f>TEXT('All Solo Standards Source'!AB42,"0.00")</f>
        <v>193.62</v>
      </c>
      <c r="Y41" s="50" t="str">
        <f>TEXT('All Solo Standards Source'!AF42,"0.00")</f>
        <v>324.90</v>
      </c>
      <c r="Z41" s="55" t="str">
        <f>IF('All Solo Standards Source'!E42&lt;1/24,TEXT('All Solo Standards Source'!E42,"M:SS"),TEXT('All Solo Standards Source'!E42,"H:MM:SS"))</f>
        <v>31:01</v>
      </c>
      <c r="AA41" s="55" t="str">
        <f>IF('All Solo Standards Source'!I42&lt;1/24,TEXT('All Solo Standards Source'!I42,"M:SS"),TEXT('All Solo Standards Source'!I42,"H:MM:SS"))</f>
        <v>46:41</v>
      </c>
      <c r="AB41" s="55" t="str">
        <f>IF('All Solo Standards Source'!M42&lt;1/24,TEXT('All Solo Standards Source'!M42,"M:SS"),TEXT('All Solo Standards Source'!M42,"H:MM:SS"))</f>
        <v>1:18:22</v>
      </c>
      <c r="AC41" s="55" t="str">
        <f>IF('All Solo Standards Source'!Q42&lt;1/24,TEXT('All Solo Standards Source'!Q42,"M:SS"),TEXT('All Solo Standards Source'!Q42,"H:MM:SS"))</f>
        <v>1:34:22</v>
      </c>
      <c r="AD41" s="55" t="str">
        <f>IF('All Solo Standards Source'!U42&lt;1/24,TEXT('All Solo Standards Source'!U42,"M:SS"),TEXT('All Solo Standards Source'!U42,"H:MM:SS"))</f>
        <v>2:39:35</v>
      </c>
      <c r="AE41" s="55" t="str">
        <f>IF('All Solo Standards Source'!Y42&lt;1/24,TEXT('All Solo Standards Source'!Y42,"M:SS"),TEXT('All Solo Standards Source'!Y42,"H:MM:SS"))</f>
        <v>5:31:20</v>
      </c>
      <c r="AF41" s="55" t="str">
        <f>TEXT('All Solo Standards Source'!AC42,"0.00")</f>
        <v>171.80</v>
      </c>
      <c r="AG41" s="55" t="str">
        <f>TEXT('All Solo Standards Source'!AG42,"0.00")</f>
        <v>294.15</v>
      </c>
    </row>
    <row r="42" spans="1:33" x14ac:dyDescent="0.25">
      <c r="A42" s="25">
        <v>49</v>
      </c>
      <c r="B42" s="53" t="str">
        <f>IF('All Solo Standards Source'!B43&lt;1/24,TEXT('All Solo Standards Source'!B43,"M:SS"),TEXT('All Solo Standards Source'!B43,"H:MM:SS"))</f>
        <v>26:41</v>
      </c>
      <c r="C42" s="53" t="str">
        <f>IF('All Solo Standards Source'!F43&lt;1/24,TEXT('All Solo Standards Source'!F43,"M:SS"),TEXT('All Solo Standards Source'!F43,"H:MM:SS"))</f>
        <v>40:10</v>
      </c>
      <c r="D42" s="53" t="str">
        <f>IF('All Solo Standards Source'!J43&lt;1/24,TEXT('All Solo Standards Source'!J43,"M:SS"),TEXT('All Solo Standards Source'!J43,"H:MM:SS"))</f>
        <v>1:07:25</v>
      </c>
      <c r="E42" s="53" t="str">
        <f>IF('All Solo Standards Source'!N43&lt;1/24,TEXT('All Solo Standards Source'!N43,"M:SS"),TEXT('All Solo Standards Source'!N43,"H:MM:SS"))</f>
        <v>1:21:12</v>
      </c>
      <c r="F42" s="53" t="str">
        <f>IF('All Solo Standards Source'!R43&lt;1/24,TEXT('All Solo Standards Source'!R43,"M:SS"),TEXT('All Solo Standards Source'!R43,"H:MM:SS"))</f>
        <v>2:17:19</v>
      </c>
      <c r="G42" s="53" t="str">
        <f>IF('All Solo Standards Source'!V43&lt;1/24,TEXT('All Solo Standards Source'!V43,"M:SS"),TEXT('All Solo Standards Source'!V43,"H:MM:SS"))</f>
        <v>4:45:08</v>
      </c>
      <c r="H42" s="53" t="str">
        <f>TEXT('All Solo Standards Source'!Z43,"0.00")</f>
        <v>212.21</v>
      </c>
      <c r="I42" s="53" t="str">
        <f>TEXT('All Solo Standards Source'!AD43,"0.00")</f>
        <v>349.48</v>
      </c>
      <c r="J42" s="57" t="str">
        <f>IF('All Solo Standards Source'!C43&lt;1/24,TEXT('All Solo Standards Source'!C43,"M:SS"),TEXT('All Solo Standards Source'!C43,"H:MM:SS"))</f>
        <v>28:54</v>
      </c>
      <c r="K42" s="57" t="str">
        <f>IF('All Solo Standards Source'!G43&lt;1/24,TEXT('All Solo Standards Source'!G43,"M:SS"),TEXT('All Solo Standards Source'!G43,"H:MM:SS"))</f>
        <v>43:30</v>
      </c>
      <c r="L42" s="57" t="str">
        <f>IF('All Solo Standards Source'!K43&lt;1/24,TEXT('All Solo Standards Source'!K43,"M:SS"),TEXT('All Solo Standards Source'!K43,"H:MM:SS"))</f>
        <v>1:13:02</v>
      </c>
      <c r="M42" s="57" t="str">
        <f>IF('All Solo Standards Source'!O43&lt;1/24,TEXT('All Solo Standards Source'!O43,"M:SS"),TEXT('All Solo Standards Source'!O43,"H:MM:SS"))</f>
        <v>1:27:58</v>
      </c>
      <c r="N42" s="57" t="str">
        <f>IF('All Solo Standards Source'!S43&lt;1/24,TEXT('All Solo Standards Source'!S43,"M:SS"),TEXT('All Solo Standards Source'!S43,"H:MM:SS"))</f>
        <v>2:28:45</v>
      </c>
      <c r="O42" s="57" t="str">
        <f>IF('All Solo Standards Source'!W43&lt;1/24,TEXT('All Solo Standards Source'!W43,"M:SS"),TEXT('All Solo Standards Source'!W43,"H:MM:SS"))</f>
        <v>5:08:55</v>
      </c>
      <c r="P42" s="57" t="str">
        <f>TEXT('All Solo Standards Source'!AA43,"0.00")</f>
        <v>189.72</v>
      </c>
      <c r="Q42" s="57" t="str">
        <f>TEXT('All Solo Standards Source'!AE43,"0.00")</f>
        <v>318.72</v>
      </c>
      <c r="R42" s="50" t="str">
        <f>IF('All Solo Standards Source'!D43&lt;1/24,TEXT('All Solo Standards Source'!D43,"M:SS"),TEXT('All Solo Standards Source'!D43,"H:MM:SS"))</f>
        <v>28:37</v>
      </c>
      <c r="S42" s="50" t="str">
        <f>IF('All Solo Standards Source'!H43&lt;1/24,TEXT('All Solo Standards Source'!H43,"M:SS"),TEXT('All Solo Standards Source'!H43,"H:MM:SS"))</f>
        <v>43:05</v>
      </c>
      <c r="T42" s="50" t="str">
        <f>IF('All Solo Standards Source'!L43&lt;1/24,TEXT('All Solo Standards Source'!L43,"M:SS"),TEXT('All Solo Standards Source'!L43,"H:MM:SS"))</f>
        <v>1:12:20</v>
      </c>
      <c r="U42" s="50" t="str">
        <f>IF('All Solo Standards Source'!P43&lt;1/24,TEXT('All Solo Standards Source'!P43,"M:SS"),TEXT('All Solo Standards Source'!P43,"H:MM:SS"))</f>
        <v>1:27:07</v>
      </c>
      <c r="V42" s="50" t="str">
        <f>IF('All Solo Standards Source'!T43&lt;1/24,TEXT('All Solo Standards Source'!T43,"M:SS"),TEXT('All Solo Standards Source'!T43,"H:MM:SS"))</f>
        <v>2:27:19</v>
      </c>
      <c r="W42" s="50" t="str">
        <f>IF('All Solo Standards Source'!X43&lt;1/24,TEXT('All Solo Standards Source'!X43,"M:SS"),TEXT('All Solo Standards Source'!X43,"H:MM:SS"))</f>
        <v>5:05:56</v>
      </c>
      <c r="X42" s="50" t="str">
        <f>TEXT('All Solo Standards Source'!AB43,"0.00")</f>
        <v>192.33</v>
      </c>
      <c r="Y42" s="50" t="str">
        <f>TEXT('All Solo Standards Source'!AF43,"0.00")</f>
        <v>322.35</v>
      </c>
      <c r="Z42" s="55" t="str">
        <f>IF('All Solo Standards Source'!E43&lt;1/24,TEXT('All Solo Standards Source'!E43,"M:SS"),TEXT('All Solo Standards Source'!E43,"H:MM:SS"))</f>
        <v>31:03</v>
      </c>
      <c r="AA42" s="55" t="str">
        <f>IF('All Solo Standards Source'!I43&lt;1/24,TEXT('All Solo Standards Source'!I43,"M:SS"),TEXT('All Solo Standards Source'!I43,"H:MM:SS"))</f>
        <v>46:45</v>
      </c>
      <c r="AB42" s="55" t="str">
        <f>IF('All Solo Standards Source'!M43&lt;1/24,TEXT('All Solo Standards Source'!M43,"M:SS"),TEXT('All Solo Standards Source'!M43,"H:MM:SS"))</f>
        <v>1:18:29</v>
      </c>
      <c r="AC42" s="55" t="str">
        <f>IF('All Solo Standards Source'!Q43&lt;1/24,TEXT('All Solo Standards Source'!Q43,"M:SS"),TEXT('All Solo Standards Source'!Q43,"H:MM:SS"))</f>
        <v>1:34:32</v>
      </c>
      <c r="AD42" s="55" t="str">
        <f>IF('All Solo Standards Source'!U43&lt;1/24,TEXT('All Solo Standards Source'!U43,"M:SS"),TEXT('All Solo Standards Source'!U43,"H:MM:SS"))</f>
        <v>2:39:52</v>
      </c>
      <c r="AE42" s="55" t="str">
        <f>IF('All Solo Standards Source'!Y43&lt;1/24,TEXT('All Solo Standards Source'!Y43,"M:SS"),TEXT('All Solo Standards Source'!Y43,"H:MM:SS"))</f>
        <v>5:32:00</v>
      </c>
      <c r="AF42" s="55" t="str">
        <f>TEXT('All Solo Standards Source'!AC43,"0.00")</f>
        <v>171.05</v>
      </c>
      <c r="AG42" s="55" t="str">
        <f>TEXT('All Solo Standards Source'!AG43,"0.00")</f>
        <v>292.44</v>
      </c>
    </row>
    <row r="43" spans="1:33" x14ac:dyDescent="0.25">
      <c r="A43" s="25">
        <v>50</v>
      </c>
      <c r="B43" s="53" t="str">
        <f>IF('All Solo Standards Source'!B44&lt;1/24,TEXT('All Solo Standards Source'!B44,"M:SS"),TEXT('All Solo Standards Source'!B44,"H:MM:SS"))</f>
        <v>26:46</v>
      </c>
      <c r="C43" s="53" t="str">
        <f>IF('All Solo Standards Source'!F44&lt;1/24,TEXT('All Solo Standards Source'!F44,"M:SS"),TEXT('All Solo Standards Source'!F44,"H:MM:SS"))</f>
        <v>40:18</v>
      </c>
      <c r="D43" s="53" t="str">
        <f>IF('All Solo Standards Source'!J44&lt;1/24,TEXT('All Solo Standards Source'!J44,"M:SS"),TEXT('All Solo Standards Source'!J44,"H:MM:SS"))</f>
        <v>1:07:38</v>
      </c>
      <c r="E43" s="53" t="str">
        <f>IF('All Solo Standards Source'!N44&lt;1/24,TEXT('All Solo Standards Source'!N44,"M:SS"),TEXT('All Solo Standards Source'!N44,"H:MM:SS"))</f>
        <v>1:21:28</v>
      </c>
      <c r="F43" s="53" t="str">
        <f>IF('All Solo Standards Source'!R44&lt;1/24,TEXT('All Solo Standards Source'!R44,"M:SS"),TEXT('All Solo Standards Source'!R44,"H:MM:SS"))</f>
        <v>2:17:47</v>
      </c>
      <c r="G43" s="53" t="str">
        <f>IF('All Solo Standards Source'!V44&lt;1/24,TEXT('All Solo Standards Source'!V44,"M:SS"),TEXT('All Solo Standards Source'!V44,"H:MM:SS"))</f>
        <v>4:46:12</v>
      </c>
      <c r="H43" s="53" t="str">
        <f>TEXT('All Solo Standards Source'!Z44,"0.00")</f>
        <v>210.72</v>
      </c>
      <c r="I43" s="53" t="str">
        <f>TEXT('All Solo Standards Source'!AD44,"0.00")</f>
        <v>346.55</v>
      </c>
      <c r="J43" s="57" t="str">
        <f>IF('All Solo Standards Source'!C44&lt;1/24,TEXT('All Solo Standards Source'!C44,"M:SS"),TEXT('All Solo Standards Source'!C44,"H:MM:SS"))</f>
        <v>28:57</v>
      </c>
      <c r="K43" s="57" t="str">
        <f>IF('All Solo Standards Source'!G44&lt;1/24,TEXT('All Solo Standards Source'!G44,"M:SS"),TEXT('All Solo Standards Source'!G44,"H:MM:SS"))</f>
        <v>43:35</v>
      </c>
      <c r="L43" s="57" t="str">
        <f>IF('All Solo Standards Source'!K44&lt;1/24,TEXT('All Solo Standards Source'!K44,"M:SS"),TEXT('All Solo Standards Source'!K44,"H:MM:SS"))</f>
        <v>1:13:10</v>
      </c>
      <c r="M43" s="57" t="str">
        <f>IF('All Solo Standards Source'!O44&lt;1/24,TEXT('All Solo Standards Source'!O44,"M:SS"),TEXT('All Solo Standards Source'!O44,"H:MM:SS"))</f>
        <v>1:28:07</v>
      </c>
      <c r="N43" s="57" t="str">
        <f>IF('All Solo Standards Source'!S44&lt;1/24,TEXT('All Solo Standards Source'!S44,"M:SS"),TEXT('All Solo Standards Source'!S44,"H:MM:SS"))</f>
        <v>2:29:03</v>
      </c>
      <c r="O43" s="57" t="str">
        <f>IF('All Solo Standards Source'!W44&lt;1/24,TEXT('All Solo Standards Source'!W44,"M:SS"),TEXT('All Solo Standards Source'!W44,"H:MM:SS"))</f>
        <v>5:09:36</v>
      </c>
      <c r="P43" s="57" t="str">
        <f>TEXT('All Solo Standards Source'!AA44,"0.00")</f>
        <v>188.80</v>
      </c>
      <c r="Q43" s="57" t="str">
        <f>TEXT('All Solo Standards Source'!AE44,"0.00")</f>
        <v>316.66</v>
      </c>
      <c r="R43" s="50" t="str">
        <f>IF('All Solo Standards Source'!D44&lt;1/24,TEXT('All Solo Standards Source'!D44,"M:SS"),TEXT('All Solo Standards Source'!D44,"H:MM:SS"))</f>
        <v>28:43</v>
      </c>
      <c r="S43" s="50" t="str">
        <f>IF('All Solo Standards Source'!H44&lt;1/24,TEXT('All Solo Standards Source'!H44,"M:SS"),TEXT('All Solo Standards Source'!H44,"H:MM:SS"))</f>
        <v>43:14</v>
      </c>
      <c r="T43" s="50" t="str">
        <f>IF('All Solo Standards Source'!L44&lt;1/24,TEXT('All Solo Standards Source'!L44,"M:SS"),TEXT('All Solo Standards Source'!L44,"H:MM:SS"))</f>
        <v>1:12:35</v>
      </c>
      <c r="U43" s="50" t="str">
        <f>IF('All Solo Standards Source'!P44&lt;1/24,TEXT('All Solo Standards Source'!P44,"M:SS"),TEXT('All Solo Standards Source'!P44,"H:MM:SS"))</f>
        <v>1:27:25</v>
      </c>
      <c r="V43" s="50" t="str">
        <f>IF('All Solo Standards Source'!T44&lt;1/24,TEXT('All Solo Standards Source'!T44,"M:SS"),TEXT('All Solo Standards Source'!T44,"H:MM:SS"))</f>
        <v>2:27:51</v>
      </c>
      <c r="W43" s="50" t="str">
        <f>IF('All Solo Standards Source'!X44&lt;1/24,TEXT('All Solo Standards Source'!X44,"M:SS"),TEXT('All Solo Standards Source'!X44,"H:MM:SS"))</f>
        <v>5:07:07</v>
      </c>
      <c r="X43" s="50" t="str">
        <f>TEXT('All Solo Standards Source'!AB44,"0.00")</f>
        <v>190.98</v>
      </c>
      <c r="Y43" s="50" t="str">
        <f>TEXT('All Solo Standards Source'!AF44,"0.00")</f>
        <v>319.66</v>
      </c>
      <c r="Z43" s="55" t="str">
        <f>IF('All Solo Standards Source'!E44&lt;1/24,TEXT('All Solo Standards Source'!E44,"M:SS"),TEXT('All Solo Standards Source'!E44,"H:MM:SS"))</f>
        <v>31:07</v>
      </c>
      <c r="AA43" s="55" t="str">
        <f>IF('All Solo Standards Source'!I44&lt;1/24,TEXT('All Solo Standards Source'!I44,"M:SS"),TEXT('All Solo Standards Source'!I44,"H:MM:SS"))</f>
        <v>46:50</v>
      </c>
      <c r="AB43" s="55" t="str">
        <f>IF('All Solo Standards Source'!M44&lt;1/24,TEXT('All Solo Standards Source'!M44,"M:SS"),TEXT('All Solo Standards Source'!M44,"H:MM:SS"))</f>
        <v>1:18:38</v>
      </c>
      <c r="AC43" s="55" t="str">
        <f>IF('All Solo Standards Source'!Q44&lt;1/24,TEXT('All Solo Standards Source'!Q44,"M:SS"),TEXT('All Solo Standards Source'!Q44,"H:MM:SS"))</f>
        <v>1:34:42</v>
      </c>
      <c r="AD43" s="55" t="str">
        <f>IF('All Solo Standards Source'!U44&lt;1/24,TEXT('All Solo Standards Source'!U44,"M:SS"),TEXT('All Solo Standards Source'!U44,"H:MM:SS"))</f>
        <v>2:40:11</v>
      </c>
      <c r="AE43" s="55" t="str">
        <f>IF('All Solo Standards Source'!Y44&lt;1/24,TEXT('All Solo Standards Source'!Y44,"M:SS"),TEXT('All Solo Standards Source'!Y44,"H:MM:SS"))</f>
        <v>5:32:45</v>
      </c>
      <c r="AF43" s="55" t="str">
        <f>TEXT('All Solo Standards Source'!AC44,"0.00")</f>
        <v>170.24</v>
      </c>
      <c r="AG43" s="55" t="str">
        <f>TEXT('All Solo Standards Source'!AG44,"0.00")</f>
        <v>290.59</v>
      </c>
    </row>
    <row r="44" spans="1:33" x14ac:dyDescent="0.25">
      <c r="A44" s="25">
        <v>51</v>
      </c>
      <c r="B44" s="53" t="str">
        <f>IF('All Solo Standards Source'!B45&lt;1/24,TEXT('All Solo Standards Source'!B45,"M:SS"),TEXT('All Solo Standards Source'!B45,"H:MM:SS"))</f>
        <v>26:51</v>
      </c>
      <c r="C44" s="53" t="str">
        <f>IF('All Solo Standards Source'!F45&lt;1/24,TEXT('All Solo Standards Source'!F45,"M:SS"),TEXT('All Solo Standards Source'!F45,"H:MM:SS"))</f>
        <v>40:26</v>
      </c>
      <c r="D44" s="53" t="str">
        <f>IF('All Solo Standards Source'!J45&lt;1/24,TEXT('All Solo Standards Source'!J45,"M:SS"),TEXT('All Solo Standards Source'!J45,"H:MM:SS"))</f>
        <v>1:07:53</v>
      </c>
      <c r="E44" s="53" t="str">
        <f>IF('All Solo Standards Source'!N45&lt;1/24,TEXT('All Solo Standards Source'!N45,"M:SS"),TEXT('All Solo Standards Source'!N45,"H:MM:SS"))</f>
        <v>1:21:45</v>
      </c>
      <c r="F44" s="53" t="str">
        <f>IF('All Solo Standards Source'!R45&lt;1/24,TEXT('All Solo Standards Source'!R45,"M:SS"),TEXT('All Solo Standards Source'!R45,"H:MM:SS"))</f>
        <v>2:18:17</v>
      </c>
      <c r="G44" s="53" t="str">
        <f>IF('All Solo Standards Source'!V45&lt;1/24,TEXT('All Solo Standards Source'!V45,"M:SS"),TEXT('All Solo Standards Source'!V45,"H:MM:SS"))</f>
        <v>4:47:20</v>
      </c>
      <c r="H44" s="53" t="str">
        <f>TEXT('All Solo Standards Source'!Z45,"0.00")</f>
        <v>209.17</v>
      </c>
      <c r="I44" s="53" t="str">
        <f>TEXT('All Solo Standards Source'!AD45,"0.00")</f>
        <v>343.48</v>
      </c>
      <c r="J44" s="57" t="str">
        <f>IF('All Solo Standards Source'!C45&lt;1/24,TEXT('All Solo Standards Source'!C45,"M:SS"),TEXT('All Solo Standards Source'!C45,"H:MM:SS"))</f>
        <v>29:01</v>
      </c>
      <c r="K44" s="57" t="str">
        <f>IF('All Solo Standards Source'!G45&lt;1/24,TEXT('All Solo Standards Source'!G45,"M:SS"),TEXT('All Solo Standards Source'!G45,"H:MM:SS"))</f>
        <v>43:40</v>
      </c>
      <c r="L44" s="57" t="str">
        <f>IF('All Solo Standards Source'!K45&lt;1/24,TEXT('All Solo Standards Source'!K45,"M:SS"),TEXT('All Solo Standards Source'!K45,"H:MM:SS"))</f>
        <v>1:13:19</v>
      </c>
      <c r="M44" s="57" t="str">
        <f>IF('All Solo Standards Source'!O45&lt;1/24,TEXT('All Solo Standards Source'!O45,"M:SS"),TEXT('All Solo Standards Source'!O45,"H:MM:SS"))</f>
        <v>1:28:18</v>
      </c>
      <c r="N44" s="57" t="str">
        <f>IF('All Solo Standards Source'!S45&lt;1/24,TEXT('All Solo Standards Source'!S45,"M:SS"),TEXT('All Solo Standards Source'!S45,"H:MM:SS"))</f>
        <v>2:29:22</v>
      </c>
      <c r="O44" s="57" t="str">
        <f>IF('All Solo Standards Source'!W45&lt;1/24,TEXT('All Solo Standards Source'!W45,"M:SS"),TEXT('All Solo Standards Source'!W45,"H:MM:SS"))</f>
        <v>5:10:22</v>
      </c>
      <c r="P44" s="57" t="str">
        <f>TEXT('All Solo Standards Source'!AA45,"0.00")</f>
        <v>187.80</v>
      </c>
      <c r="Q44" s="57" t="str">
        <f>TEXT('All Solo Standards Source'!AE45,"0.00")</f>
        <v>314.43</v>
      </c>
      <c r="R44" s="50" t="str">
        <f>IF('All Solo Standards Source'!D45&lt;1/24,TEXT('All Solo Standards Source'!D45,"M:SS"),TEXT('All Solo Standards Source'!D45,"H:MM:SS"))</f>
        <v>28:49</v>
      </c>
      <c r="S44" s="50" t="str">
        <f>IF('All Solo Standards Source'!H45&lt;1/24,TEXT('All Solo Standards Source'!H45,"M:SS"),TEXT('All Solo Standards Source'!H45,"H:MM:SS"))</f>
        <v>43:23</v>
      </c>
      <c r="T44" s="50" t="str">
        <f>IF('All Solo Standards Source'!L45&lt;1/24,TEXT('All Solo Standards Source'!L45,"M:SS"),TEXT('All Solo Standards Source'!L45,"H:MM:SS"))</f>
        <v>1:12:50</v>
      </c>
      <c r="U44" s="50" t="str">
        <f>IF('All Solo Standards Source'!P45&lt;1/24,TEXT('All Solo Standards Source'!P45,"M:SS"),TEXT('All Solo Standards Source'!P45,"H:MM:SS"))</f>
        <v>1:27:44</v>
      </c>
      <c r="V44" s="50" t="str">
        <f>IF('All Solo Standards Source'!T45&lt;1/24,TEXT('All Solo Standards Source'!T45,"M:SS"),TEXT('All Solo Standards Source'!T45,"H:MM:SS"))</f>
        <v>2:28:24</v>
      </c>
      <c r="W44" s="50" t="str">
        <f>IF('All Solo Standards Source'!X45&lt;1/24,TEXT('All Solo Standards Source'!X45,"M:SS"),TEXT('All Solo Standards Source'!X45,"H:MM:SS"))</f>
        <v>5:08:21</v>
      </c>
      <c r="X44" s="50" t="str">
        <f>TEXT('All Solo Standards Source'!AB45,"0.00")</f>
        <v>189.55</v>
      </c>
      <c r="Y44" s="50" t="str">
        <f>TEXT('All Solo Standards Source'!AF45,"0.00")</f>
        <v>316.85</v>
      </c>
      <c r="Z44" s="55" t="str">
        <f>IF('All Solo Standards Source'!E45&lt;1/24,TEXT('All Solo Standards Source'!E45,"M:SS"),TEXT('All Solo Standards Source'!E45,"H:MM:SS"))</f>
        <v>31:11</v>
      </c>
      <c r="AA44" s="55" t="str">
        <f>IF('All Solo Standards Source'!I45&lt;1/24,TEXT('All Solo Standards Source'!I45,"M:SS"),TEXT('All Solo Standards Source'!I45,"H:MM:SS"))</f>
        <v>46:56</v>
      </c>
      <c r="AB44" s="55" t="str">
        <f>IF('All Solo Standards Source'!M45&lt;1/24,TEXT('All Solo Standards Source'!M45,"M:SS"),TEXT('All Solo Standards Source'!M45,"H:MM:SS"))</f>
        <v>1:18:48</v>
      </c>
      <c r="AC44" s="55" t="str">
        <f>IF('All Solo Standards Source'!Q45&lt;1/24,TEXT('All Solo Standards Source'!Q45,"M:SS"),TEXT('All Solo Standards Source'!Q45,"H:MM:SS"))</f>
        <v>1:34:54</v>
      </c>
      <c r="AD44" s="55" t="str">
        <f>IF('All Solo Standards Source'!U45&lt;1/24,TEXT('All Solo Standards Source'!U45,"M:SS"),TEXT('All Solo Standards Source'!U45,"H:MM:SS"))</f>
        <v>2:40:32</v>
      </c>
      <c r="AE44" s="55" t="str">
        <f>IF('All Solo Standards Source'!Y45&lt;1/24,TEXT('All Solo Standards Source'!Y45,"M:SS"),TEXT('All Solo Standards Source'!Y45,"H:MM:SS"))</f>
        <v>5:33:35</v>
      </c>
      <c r="AF44" s="55" t="str">
        <f>TEXT('All Solo Standards Source'!AC45,"0.00")</f>
        <v>169.34</v>
      </c>
      <c r="AG44" s="55" t="str">
        <f>TEXT('All Solo Standards Source'!AG45,"0.00")</f>
        <v>288.59</v>
      </c>
    </row>
    <row r="45" spans="1:33" x14ac:dyDescent="0.25">
      <c r="A45" s="25">
        <v>52</v>
      </c>
      <c r="B45" s="53" t="str">
        <f>IF('All Solo Standards Source'!B46&lt;1/24,TEXT('All Solo Standards Source'!B46,"M:SS"),TEXT('All Solo Standards Source'!B46,"H:MM:SS"))</f>
        <v>26:57</v>
      </c>
      <c r="C45" s="53" t="str">
        <f>IF('All Solo Standards Source'!F46&lt;1/24,TEXT('All Solo Standards Source'!F46,"M:SS"),TEXT('All Solo Standards Source'!F46,"H:MM:SS"))</f>
        <v>40:35</v>
      </c>
      <c r="D45" s="53" t="str">
        <f>IF('All Solo Standards Source'!J46&lt;1/24,TEXT('All Solo Standards Source'!J46,"M:SS"),TEXT('All Solo Standards Source'!J46,"H:MM:SS"))</f>
        <v>1:08:08</v>
      </c>
      <c r="E45" s="53" t="str">
        <f>IF('All Solo Standards Source'!N46&lt;1/24,TEXT('All Solo Standards Source'!N46,"M:SS"),TEXT('All Solo Standards Source'!N46,"H:MM:SS"))</f>
        <v>1:22:03</v>
      </c>
      <c r="F45" s="53" t="str">
        <f>IF('All Solo Standards Source'!R46&lt;1/24,TEXT('All Solo Standards Source'!R46,"M:SS"),TEXT('All Solo Standards Source'!R46,"H:MM:SS"))</f>
        <v>2:18:49</v>
      </c>
      <c r="G45" s="53" t="str">
        <f>IF('All Solo Standards Source'!V46&lt;1/24,TEXT('All Solo Standards Source'!V46,"M:SS"),TEXT('All Solo Standards Source'!V46,"H:MM:SS"))</f>
        <v>4:48:31</v>
      </c>
      <c r="H45" s="53" t="str">
        <f>TEXT('All Solo Standards Source'!Z46,"0.00")</f>
        <v>207.54</v>
      </c>
      <c r="I45" s="53" t="str">
        <f>TEXT('All Solo Standards Source'!AD46,"0.00")</f>
        <v>340.27</v>
      </c>
      <c r="J45" s="57" t="str">
        <f>IF('All Solo Standards Source'!C46&lt;1/24,TEXT('All Solo Standards Source'!C46,"M:SS"),TEXT('All Solo Standards Source'!C46,"H:MM:SS"))</f>
        <v>29:04</v>
      </c>
      <c r="K45" s="57" t="str">
        <f>IF('All Solo Standards Source'!G46&lt;1/24,TEXT('All Solo Standards Source'!G46,"M:SS"),TEXT('All Solo Standards Source'!G46,"H:MM:SS"))</f>
        <v>43:46</v>
      </c>
      <c r="L45" s="57" t="str">
        <f>IF('All Solo Standards Source'!K46&lt;1/24,TEXT('All Solo Standards Source'!K46,"M:SS"),TEXT('All Solo Standards Source'!K46,"H:MM:SS"))</f>
        <v>1:13:29</v>
      </c>
      <c r="M45" s="57" t="str">
        <f>IF('All Solo Standards Source'!O46&lt;1/24,TEXT('All Solo Standards Source'!O46,"M:SS"),TEXT('All Solo Standards Source'!O46,"H:MM:SS"))</f>
        <v>1:28:31</v>
      </c>
      <c r="N45" s="57" t="str">
        <f>IF('All Solo Standards Source'!S46&lt;1/24,TEXT('All Solo Standards Source'!S46,"M:SS"),TEXT('All Solo Standards Source'!S46,"H:MM:SS"))</f>
        <v>2:29:45</v>
      </c>
      <c r="O45" s="57" t="str">
        <f>IF('All Solo Standards Source'!W46&lt;1/24,TEXT('All Solo Standards Source'!W46,"M:SS"),TEXT('All Solo Standards Source'!W46,"H:MM:SS"))</f>
        <v>5:11:15</v>
      </c>
      <c r="P45" s="57" t="str">
        <f>TEXT('All Solo Standards Source'!AA46,"0.00")</f>
        <v>186.71</v>
      </c>
      <c r="Q45" s="57" t="str">
        <f>TEXT('All Solo Standards Source'!AE46,"0.00")</f>
        <v>312.04</v>
      </c>
      <c r="R45" s="50" t="str">
        <f>IF('All Solo Standards Source'!D46&lt;1/24,TEXT('All Solo Standards Source'!D46,"M:SS"),TEXT('All Solo Standards Source'!D46,"H:MM:SS"))</f>
        <v>28:56</v>
      </c>
      <c r="S45" s="50" t="str">
        <f>IF('All Solo Standards Source'!H46&lt;1/24,TEXT('All Solo Standards Source'!H46,"M:SS"),TEXT('All Solo Standards Source'!H46,"H:MM:SS"))</f>
        <v>43:33</v>
      </c>
      <c r="T45" s="50" t="str">
        <f>IF('All Solo Standards Source'!L46&lt;1/24,TEXT('All Solo Standards Source'!L46,"M:SS"),TEXT('All Solo Standards Source'!L46,"H:MM:SS"))</f>
        <v>1:13:07</v>
      </c>
      <c r="U45" s="50" t="str">
        <f>IF('All Solo Standards Source'!P46&lt;1/24,TEXT('All Solo Standards Source'!P46,"M:SS"),TEXT('All Solo Standards Source'!P46,"H:MM:SS"))</f>
        <v>1:28:04</v>
      </c>
      <c r="V45" s="50" t="str">
        <f>IF('All Solo Standards Source'!T46&lt;1/24,TEXT('All Solo Standards Source'!T46,"M:SS"),TEXT('All Solo Standards Source'!T46,"H:MM:SS"))</f>
        <v>2:28:59</v>
      </c>
      <c r="W45" s="50" t="str">
        <f>IF('All Solo Standards Source'!X46&lt;1/24,TEXT('All Solo Standards Source'!X46,"M:SS"),TEXT('All Solo Standards Source'!X46,"H:MM:SS"))</f>
        <v>5:09:39</v>
      </c>
      <c r="X45" s="50" t="str">
        <f>TEXT('All Solo Standards Source'!AB46,"0.00")</f>
        <v>188.07</v>
      </c>
      <c r="Y45" s="50" t="str">
        <f>TEXT('All Solo Standards Source'!AF46,"0.00")</f>
        <v>313.91</v>
      </c>
      <c r="Z45" s="55" t="str">
        <f>IF('All Solo Standards Source'!E46&lt;1/24,TEXT('All Solo Standards Source'!E46,"M:SS"),TEXT('All Solo Standards Source'!E46,"H:MM:SS"))</f>
        <v>31:15</v>
      </c>
      <c r="AA45" s="55" t="str">
        <f>IF('All Solo Standards Source'!I46&lt;1/24,TEXT('All Solo Standards Source'!I46,"M:SS"),TEXT('All Solo Standards Source'!I46,"H:MM:SS"))</f>
        <v>47:03</v>
      </c>
      <c r="AB45" s="55" t="str">
        <f>IF('All Solo Standards Source'!M46&lt;1/24,TEXT('All Solo Standards Source'!M46,"M:SS"),TEXT('All Solo Standards Source'!M46,"H:MM:SS"))</f>
        <v>1:18:59</v>
      </c>
      <c r="AC45" s="55" t="str">
        <f>IF('All Solo Standards Source'!Q46&lt;1/24,TEXT('All Solo Standards Source'!Q46,"M:SS"),TEXT('All Solo Standards Source'!Q46,"H:MM:SS"))</f>
        <v>1:35:08</v>
      </c>
      <c r="AD45" s="55" t="str">
        <f>IF('All Solo Standards Source'!U46&lt;1/24,TEXT('All Solo Standards Source'!U46,"M:SS"),TEXT('All Solo Standards Source'!U46,"H:MM:SS"))</f>
        <v>2:40:57</v>
      </c>
      <c r="AE45" s="55" t="str">
        <f>IF('All Solo Standards Source'!Y46&lt;1/24,TEXT('All Solo Standards Source'!Y46,"M:SS"),TEXT('All Solo Standards Source'!Y46,"H:MM:SS"))</f>
        <v>5:34:33</v>
      </c>
      <c r="AF45" s="55" t="str">
        <f>TEXT('All Solo Standards Source'!AC46,"0.00")</f>
        <v>168.35</v>
      </c>
      <c r="AG45" s="55" t="str">
        <f>TEXT('All Solo Standards Source'!AG46,"0.00")</f>
        <v>286.43</v>
      </c>
    </row>
    <row r="46" spans="1:33" x14ac:dyDescent="0.25">
      <c r="A46" s="25">
        <v>53</v>
      </c>
      <c r="B46" s="53" t="str">
        <f>IF('All Solo Standards Source'!B47&lt;1/24,TEXT('All Solo Standards Source'!B47,"M:SS"),TEXT('All Solo Standards Source'!B47,"H:MM:SS"))</f>
        <v>27:03</v>
      </c>
      <c r="C46" s="53" t="str">
        <f>IF('All Solo Standards Source'!F47&lt;1/24,TEXT('All Solo Standards Source'!F47,"M:SS"),TEXT('All Solo Standards Source'!F47,"H:MM:SS"))</f>
        <v>40:44</v>
      </c>
      <c r="D46" s="53" t="str">
        <f>IF('All Solo Standards Source'!J47&lt;1/24,TEXT('All Solo Standards Source'!J47,"M:SS"),TEXT('All Solo Standards Source'!J47,"H:MM:SS"))</f>
        <v>1:08:24</v>
      </c>
      <c r="E46" s="53" t="str">
        <f>IF('All Solo Standards Source'!N47&lt;1/24,TEXT('All Solo Standards Source'!N47,"M:SS"),TEXT('All Solo Standards Source'!N47,"H:MM:SS"))</f>
        <v>1:22:23</v>
      </c>
      <c r="F46" s="53" t="str">
        <f>IF('All Solo Standards Source'!R47&lt;1/24,TEXT('All Solo Standards Source'!R47,"M:SS"),TEXT('All Solo Standards Source'!R47,"H:MM:SS"))</f>
        <v>2:19:23</v>
      </c>
      <c r="G46" s="53" t="str">
        <f>IF('All Solo Standards Source'!V47&lt;1/24,TEXT('All Solo Standards Source'!V47,"M:SS"),TEXT('All Solo Standards Source'!V47,"H:MM:SS"))</f>
        <v>4:49:47</v>
      </c>
      <c r="H46" s="53" t="str">
        <f>TEXT('All Solo Standards Source'!Z47,"0.00")</f>
        <v>205.85</v>
      </c>
      <c r="I46" s="53" t="str">
        <f>TEXT('All Solo Standards Source'!AD47,"0.00")</f>
        <v>336.93</v>
      </c>
      <c r="J46" s="57" t="str">
        <f>IF('All Solo Standards Source'!C47&lt;1/24,TEXT('All Solo Standards Source'!C47,"M:SS"),TEXT('All Solo Standards Source'!C47,"H:MM:SS"))</f>
        <v>29:09</v>
      </c>
      <c r="K46" s="57" t="str">
        <f>IF('All Solo Standards Source'!G47&lt;1/24,TEXT('All Solo Standards Source'!G47,"M:SS"),TEXT('All Solo Standards Source'!G47,"H:MM:SS"))</f>
        <v>43:53</v>
      </c>
      <c r="L46" s="57" t="str">
        <f>IF('All Solo Standards Source'!K47&lt;1/24,TEXT('All Solo Standards Source'!K47,"M:SS"),TEXT('All Solo Standards Source'!K47,"H:MM:SS"))</f>
        <v>1:13:41</v>
      </c>
      <c r="M46" s="57" t="str">
        <f>IF('All Solo Standards Source'!O47&lt;1/24,TEXT('All Solo Standards Source'!O47,"M:SS"),TEXT('All Solo Standards Source'!O47,"H:MM:SS"))</f>
        <v>1:28:45</v>
      </c>
      <c r="N46" s="57" t="str">
        <f>IF('All Solo Standards Source'!S47&lt;1/24,TEXT('All Solo Standards Source'!S47,"M:SS"),TEXT('All Solo Standards Source'!S47,"H:MM:SS"))</f>
        <v>2:30:10</v>
      </c>
      <c r="O46" s="57" t="str">
        <f>IF('All Solo Standards Source'!W47&lt;1/24,TEXT('All Solo Standards Source'!W47,"M:SS"),TEXT('All Solo Standards Source'!W47,"H:MM:SS"))</f>
        <v>5:12:14</v>
      </c>
      <c r="P46" s="57" t="str">
        <f>TEXT('All Solo Standards Source'!AA47,"0.00")</f>
        <v>185.51</v>
      </c>
      <c r="Q46" s="57" t="str">
        <f>TEXT('All Solo Standards Source'!AE47,"0.00")</f>
        <v>309.47</v>
      </c>
      <c r="R46" s="50" t="str">
        <f>IF('All Solo Standards Source'!D47&lt;1/24,TEXT('All Solo Standards Source'!D47,"M:SS"),TEXT('All Solo Standards Source'!D47,"H:MM:SS"))</f>
        <v>29:02</v>
      </c>
      <c r="S46" s="50" t="str">
        <f>IF('All Solo Standards Source'!H47&lt;1/24,TEXT('All Solo Standards Source'!H47,"M:SS"),TEXT('All Solo Standards Source'!H47,"H:MM:SS"))</f>
        <v>43:43</v>
      </c>
      <c r="T46" s="50" t="str">
        <f>IF('All Solo Standards Source'!L47&lt;1/24,TEXT('All Solo Standards Source'!L47,"M:SS"),TEXT('All Solo Standards Source'!L47,"H:MM:SS"))</f>
        <v>1:13:24</v>
      </c>
      <c r="U46" s="50" t="str">
        <f>IF('All Solo Standards Source'!P47&lt;1/24,TEXT('All Solo Standards Source'!P47,"M:SS"),TEXT('All Solo Standards Source'!P47,"H:MM:SS"))</f>
        <v>1:28:25</v>
      </c>
      <c r="V46" s="50" t="str">
        <f>IF('All Solo Standards Source'!T47&lt;1/24,TEXT('All Solo Standards Source'!T47,"M:SS"),TEXT('All Solo Standards Source'!T47,"H:MM:SS"))</f>
        <v>2:29:35</v>
      </c>
      <c r="W46" s="50" t="str">
        <f>IF('All Solo Standards Source'!X47&lt;1/24,TEXT('All Solo Standards Source'!X47,"M:SS"),TEXT('All Solo Standards Source'!X47,"H:MM:SS"))</f>
        <v>5:11:02</v>
      </c>
      <c r="X46" s="50" t="str">
        <f>TEXT('All Solo Standards Source'!AB47,"0.00")</f>
        <v>186.52</v>
      </c>
      <c r="Y46" s="50" t="str">
        <f>TEXT('All Solo Standards Source'!AF47,"0.00")</f>
        <v>310.85</v>
      </c>
      <c r="Z46" s="55" t="str">
        <f>IF('All Solo Standards Source'!E47&lt;1/24,TEXT('All Solo Standards Source'!E47,"M:SS"),TEXT('All Solo Standards Source'!E47,"H:MM:SS"))</f>
        <v>31:20</v>
      </c>
      <c r="AA46" s="55" t="str">
        <f>IF('All Solo Standards Source'!I47&lt;1/24,TEXT('All Solo Standards Source'!I47,"M:SS"),TEXT('All Solo Standards Source'!I47,"H:MM:SS"))</f>
        <v>47:10</v>
      </c>
      <c r="AB46" s="55" t="str">
        <f>IF('All Solo Standards Source'!M47&lt;1/24,TEXT('All Solo Standards Source'!M47,"M:SS"),TEXT('All Solo Standards Source'!M47,"H:MM:SS"))</f>
        <v>1:19:12</v>
      </c>
      <c r="AC46" s="55" t="str">
        <f>IF('All Solo Standards Source'!Q47&lt;1/24,TEXT('All Solo Standards Source'!Q47,"M:SS"),TEXT('All Solo Standards Source'!Q47,"H:MM:SS"))</f>
        <v>1:35:24</v>
      </c>
      <c r="AD46" s="55" t="str">
        <f>IF('All Solo Standards Source'!U47&lt;1/24,TEXT('All Solo Standards Source'!U47,"M:SS"),TEXT('All Solo Standards Source'!U47,"H:MM:SS"))</f>
        <v>2:41:24</v>
      </c>
      <c r="AE46" s="55" t="str">
        <f>IF('All Solo Standards Source'!Y47&lt;1/24,TEXT('All Solo Standards Source'!Y47,"M:SS"),TEXT('All Solo Standards Source'!Y47,"H:MM:SS"))</f>
        <v>5:35:37</v>
      </c>
      <c r="AF46" s="55" t="str">
        <f>TEXT('All Solo Standards Source'!AC47,"0.00")</f>
        <v>167.26</v>
      </c>
      <c r="AG46" s="55" t="str">
        <f>TEXT('All Solo Standards Source'!AG47,"0.00")</f>
        <v>284.10</v>
      </c>
    </row>
    <row r="47" spans="1:33" x14ac:dyDescent="0.25">
      <c r="A47" s="25">
        <v>54</v>
      </c>
      <c r="B47" s="53" t="str">
        <f>IF('All Solo Standards Source'!B48&lt;1/24,TEXT('All Solo Standards Source'!B48,"M:SS"),TEXT('All Solo Standards Source'!B48,"H:MM:SS"))</f>
        <v>27:10</v>
      </c>
      <c r="C47" s="53" t="str">
        <f>IF('All Solo Standards Source'!F48&lt;1/24,TEXT('All Solo Standards Source'!F48,"M:SS"),TEXT('All Solo Standards Source'!F48,"H:MM:SS"))</f>
        <v>40:54</v>
      </c>
      <c r="D47" s="53" t="str">
        <f>IF('All Solo Standards Source'!J48&lt;1/24,TEXT('All Solo Standards Source'!J48,"M:SS"),TEXT('All Solo Standards Source'!J48,"H:MM:SS"))</f>
        <v>1:08:40</v>
      </c>
      <c r="E47" s="53" t="str">
        <f>IF('All Solo Standards Source'!N48&lt;1/24,TEXT('All Solo Standards Source'!N48,"M:SS"),TEXT('All Solo Standards Source'!N48,"H:MM:SS"))</f>
        <v>1:22:43</v>
      </c>
      <c r="F47" s="53" t="str">
        <f>IF('All Solo Standards Source'!R48&lt;1/24,TEXT('All Solo Standards Source'!R48,"M:SS"),TEXT('All Solo Standards Source'!R48,"H:MM:SS"))</f>
        <v>2:19:58</v>
      </c>
      <c r="G47" s="53" t="str">
        <f>IF('All Solo Standards Source'!V48&lt;1/24,TEXT('All Solo Standards Source'!V48,"M:SS"),TEXT('All Solo Standards Source'!V48,"H:MM:SS"))</f>
        <v>4:51:06</v>
      </c>
      <c r="H47" s="53" t="str">
        <f>TEXT('All Solo Standards Source'!Z48,"0.00")</f>
        <v>204.09</v>
      </c>
      <c r="I47" s="53" t="str">
        <f>TEXT('All Solo Standards Source'!AD48,"0.00")</f>
        <v>333.46</v>
      </c>
      <c r="J47" s="57" t="str">
        <f>IF('All Solo Standards Source'!C48&lt;1/24,TEXT('All Solo Standards Source'!C48,"M:SS"),TEXT('All Solo Standards Source'!C48,"H:MM:SS"))</f>
        <v>29:14</v>
      </c>
      <c r="K47" s="57" t="str">
        <f>IF('All Solo Standards Source'!G48&lt;1/24,TEXT('All Solo Standards Source'!G48,"M:SS"),TEXT('All Solo Standards Source'!G48,"H:MM:SS"))</f>
        <v>44:01</v>
      </c>
      <c r="L47" s="57" t="str">
        <f>IF('All Solo Standards Source'!K48&lt;1/24,TEXT('All Solo Standards Source'!K48,"M:SS"),TEXT('All Solo Standards Source'!K48,"H:MM:SS"))</f>
        <v>1:13:54</v>
      </c>
      <c r="M47" s="57" t="str">
        <f>IF('All Solo Standards Source'!O48&lt;1/24,TEXT('All Solo Standards Source'!O48,"M:SS"),TEXT('All Solo Standards Source'!O48,"H:MM:SS"))</f>
        <v>1:29:01</v>
      </c>
      <c r="N47" s="57" t="str">
        <f>IF('All Solo Standards Source'!S48&lt;1/24,TEXT('All Solo Standards Source'!S48,"M:SS"),TEXT('All Solo Standards Source'!S48,"H:MM:SS"))</f>
        <v>2:30:38</v>
      </c>
      <c r="O47" s="57" t="str">
        <f>IF('All Solo Standards Source'!W48&lt;1/24,TEXT('All Solo Standards Source'!W48,"M:SS"),TEXT('All Solo Standards Source'!W48,"H:MM:SS"))</f>
        <v>5:13:20</v>
      </c>
      <c r="P47" s="57" t="str">
        <f>TEXT('All Solo Standards Source'!AA48,"0.00")</f>
        <v>184.21</v>
      </c>
      <c r="Q47" s="57" t="str">
        <f>TEXT('All Solo Standards Source'!AE48,"0.00")</f>
        <v>306.71</v>
      </c>
      <c r="R47" s="50" t="str">
        <f>IF('All Solo Standards Source'!D48&lt;1/24,TEXT('All Solo Standards Source'!D48,"M:SS"),TEXT('All Solo Standards Source'!D48,"H:MM:SS"))</f>
        <v>29:09</v>
      </c>
      <c r="S47" s="50" t="str">
        <f>IF('All Solo Standards Source'!H48&lt;1/24,TEXT('All Solo Standards Source'!H48,"M:SS"),TEXT('All Solo Standards Source'!H48,"H:MM:SS"))</f>
        <v>43:54</v>
      </c>
      <c r="T47" s="50" t="str">
        <f>IF('All Solo Standards Source'!L48&lt;1/24,TEXT('All Solo Standards Source'!L48,"M:SS"),TEXT('All Solo Standards Source'!L48,"H:MM:SS"))</f>
        <v>1:13:42</v>
      </c>
      <c r="U47" s="50" t="str">
        <f>IF('All Solo Standards Source'!P48&lt;1/24,TEXT('All Solo Standards Source'!P48,"M:SS"),TEXT('All Solo Standards Source'!P48,"H:MM:SS"))</f>
        <v>1:28:47</v>
      </c>
      <c r="V47" s="50" t="str">
        <f>IF('All Solo Standards Source'!T48&lt;1/24,TEXT('All Solo Standards Source'!T48,"M:SS"),TEXT('All Solo Standards Source'!T48,"H:MM:SS"))</f>
        <v>2:30:14</v>
      </c>
      <c r="W47" s="50" t="str">
        <f>IF('All Solo Standards Source'!X48&lt;1/24,TEXT('All Solo Standards Source'!X48,"M:SS"),TEXT('All Solo Standards Source'!X48,"H:MM:SS"))</f>
        <v>5:12:29</v>
      </c>
      <c r="X47" s="50" t="str">
        <f>TEXT('All Solo Standards Source'!AB48,"0.00")</f>
        <v>184.91</v>
      </c>
      <c r="Y47" s="50" t="str">
        <f>TEXT('All Solo Standards Source'!AF48,"0.00")</f>
        <v>307.68</v>
      </c>
      <c r="Z47" s="55" t="str">
        <f>IF('All Solo Standards Source'!E48&lt;1/24,TEXT('All Solo Standards Source'!E48,"M:SS"),TEXT('All Solo Standards Source'!E48,"H:MM:SS"))</f>
        <v>31:25</v>
      </c>
      <c r="AA47" s="55" t="str">
        <f>IF('All Solo Standards Source'!I48&lt;1/24,TEXT('All Solo Standards Source'!I48,"M:SS"),TEXT('All Solo Standards Source'!I48,"H:MM:SS"))</f>
        <v>47:19</v>
      </c>
      <c r="AB47" s="55" t="str">
        <f>IF('All Solo Standards Source'!M48&lt;1/24,TEXT('All Solo Standards Source'!M48,"M:SS"),TEXT('All Solo Standards Source'!M48,"H:MM:SS"))</f>
        <v>1:19:26</v>
      </c>
      <c r="AC47" s="55" t="str">
        <f>IF('All Solo Standards Source'!Q48&lt;1/24,TEXT('All Solo Standards Source'!Q48,"M:SS"),TEXT('All Solo Standards Source'!Q48,"H:MM:SS"))</f>
        <v>1:35:41</v>
      </c>
      <c r="AD47" s="55" t="str">
        <f>IF('All Solo Standards Source'!U48&lt;1/24,TEXT('All Solo Standards Source'!U48,"M:SS"),TEXT('All Solo Standards Source'!U48,"H:MM:SS"))</f>
        <v>2:41:56</v>
      </c>
      <c r="AE47" s="55" t="str">
        <f>IF('All Solo Standards Source'!Y48&lt;1/24,TEXT('All Solo Standards Source'!Y48,"M:SS"),TEXT('All Solo Standards Source'!Y48,"H:MM:SS"))</f>
        <v>5:36:50</v>
      </c>
      <c r="AF47" s="55" t="str">
        <f>TEXT('All Solo Standards Source'!AC48,"0.00")</f>
        <v>166.08</v>
      </c>
      <c r="AG47" s="55" t="str">
        <f>TEXT('All Solo Standards Source'!AG48,"0.00")</f>
        <v>281.60</v>
      </c>
    </row>
    <row r="48" spans="1:33" x14ac:dyDescent="0.25">
      <c r="A48" s="25">
        <v>55</v>
      </c>
      <c r="B48" s="53" t="str">
        <f>IF('All Solo Standards Source'!B49&lt;1/24,TEXT('All Solo Standards Source'!B49,"M:SS"),TEXT('All Solo Standards Source'!B49,"H:MM:SS"))</f>
        <v>27:17</v>
      </c>
      <c r="C48" s="53" t="str">
        <f>IF('All Solo Standards Source'!F49&lt;1/24,TEXT('All Solo Standards Source'!F49,"M:SS"),TEXT('All Solo Standards Source'!F49,"H:MM:SS"))</f>
        <v>41:04</v>
      </c>
      <c r="D48" s="53" t="str">
        <f>IF('All Solo Standards Source'!J49&lt;1/24,TEXT('All Solo Standards Source'!J49,"M:SS"),TEXT('All Solo Standards Source'!J49,"H:MM:SS"))</f>
        <v>1:08:58</v>
      </c>
      <c r="E48" s="53" t="str">
        <f>IF('All Solo Standards Source'!N49&lt;1/24,TEXT('All Solo Standards Source'!N49,"M:SS"),TEXT('All Solo Standards Source'!N49,"H:MM:SS"))</f>
        <v>1:23:04</v>
      </c>
      <c r="F48" s="53" t="str">
        <f>IF('All Solo Standards Source'!R49&lt;1/24,TEXT('All Solo Standards Source'!R49,"M:SS"),TEXT('All Solo Standards Source'!R49,"H:MM:SS"))</f>
        <v>2:20:35</v>
      </c>
      <c r="G48" s="53" t="str">
        <f>IF('All Solo Standards Source'!V49&lt;1/24,TEXT('All Solo Standards Source'!V49,"M:SS"),TEXT('All Solo Standards Source'!V49,"H:MM:SS"))</f>
        <v>4:52:30</v>
      </c>
      <c r="H48" s="53" t="str">
        <f>TEXT('All Solo Standards Source'!Z49,"0.00")</f>
        <v>202.26</v>
      </c>
      <c r="I48" s="53" t="str">
        <f>TEXT('All Solo Standards Source'!AD49,"0.00")</f>
        <v>329.87</v>
      </c>
      <c r="J48" s="57" t="str">
        <f>IF('All Solo Standards Source'!C49&lt;1/24,TEXT('All Solo Standards Source'!C49,"M:SS"),TEXT('All Solo Standards Source'!C49,"H:MM:SS"))</f>
        <v>29:20</v>
      </c>
      <c r="K48" s="57" t="str">
        <f>IF('All Solo Standards Source'!G49&lt;1/24,TEXT('All Solo Standards Source'!G49,"M:SS"),TEXT('All Solo Standards Source'!G49,"H:MM:SS"))</f>
        <v>44:10</v>
      </c>
      <c r="L48" s="57" t="str">
        <f>IF('All Solo Standards Source'!K49&lt;1/24,TEXT('All Solo Standards Source'!K49,"M:SS"),TEXT('All Solo Standards Source'!K49,"H:MM:SS"))</f>
        <v>1:14:09</v>
      </c>
      <c r="M48" s="57" t="str">
        <f>IF('All Solo Standards Source'!O49&lt;1/24,TEXT('All Solo Standards Source'!O49,"M:SS"),TEXT('All Solo Standards Source'!O49,"H:MM:SS"))</f>
        <v>1:29:19</v>
      </c>
      <c r="N48" s="57" t="str">
        <f>IF('All Solo Standards Source'!S49&lt;1/24,TEXT('All Solo Standards Source'!S49,"M:SS"),TEXT('All Solo Standards Source'!S49,"H:MM:SS"))</f>
        <v>2:31:11</v>
      </c>
      <c r="O48" s="57" t="str">
        <f>IF('All Solo Standards Source'!W49&lt;1/24,TEXT('All Solo Standards Source'!W49,"M:SS"),TEXT('All Solo Standards Source'!W49,"H:MM:SS"))</f>
        <v>5:14:34</v>
      </c>
      <c r="P48" s="57" t="str">
        <f>TEXT('All Solo Standards Source'!AA49,"0.00")</f>
        <v>182.79</v>
      </c>
      <c r="Q48" s="57" t="str">
        <f>TEXT('All Solo Standards Source'!AE49,"0.00")</f>
        <v>303.76</v>
      </c>
      <c r="R48" s="50" t="str">
        <f>IF('All Solo Standards Source'!D49&lt;1/24,TEXT('All Solo Standards Source'!D49,"M:SS"),TEXT('All Solo Standards Source'!D49,"H:MM:SS"))</f>
        <v>29:17</v>
      </c>
      <c r="S48" s="50" t="str">
        <f>IF('All Solo Standards Source'!H49&lt;1/24,TEXT('All Solo Standards Source'!H49,"M:SS"),TEXT('All Solo Standards Source'!H49,"H:MM:SS"))</f>
        <v>44:05</v>
      </c>
      <c r="T48" s="50" t="str">
        <f>IF('All Solo Standards Source'!L49&lt;1/24,TEXT('All Solo Standards Source'!L49,"M:SS"),TEXT('All Solo Standards Source'!L49,"H:MM:SS"))</f>
        <v>1:14:01</v>
      </c>
      <c r="U48" s="50" t="str">
        <f>IF('All Solo Standards Source'!P49&lt;1/24,TEXT('All Solo Standards Source'!P49,"M:SS"),TEXT('All Solo Standards Source'!P49,"H:MM:SS"))</f>
        <v>1:29:10</v>
      </c>
      <c r="V48" s="50" t="str">
        <f>IF('All Solo Standards Source'!T49&lt;1/24,TEXT('All Solo Standards Source'!T49,"M:SS"),TEXT('All Solo Standards Source'!T49,"H:MM:SS"))</f>
        <v>2:30:54</v>
      </c>
      <c r="W48" s="50" t="str">
        <f>IF('All Solo Standards Source'!X49&lt;1/24,TEXT('All Solo Standards Source'!X49,"M:SS"),TEXT('All Solo Standards Source'!X49,"H:MM:SS"))</f>
        <v>5:14:00</v>
      </c>
      <c r="X48" s="50" t="str">
        <f>TEXT('All Solo Standards Source'!AB49,"0.00")</f>
        <v>183.25</v>
      </c>
      <c r="Y48" s="50" t="str">
        <f>TEXT('All Solo Standards Source'!AF49,"0.00")</f>
        <v>304.39</v>
      </c>
      <c r="Z48" s="55" t="str">
        <f>IF('All Solo Standards Source'!E49&lt;1/24,TEXT('All Solo Standards Source'!E49,"M:SS"),TEXT('All Solo Standards Source'!E49,"H:MM:SS"))</f>
        <v>31:32</v>
      </c>
      <c r="AA48" s="55" t="str">
        <f>IF('All Solo Standards Source'!I49&lt;1/24,TEXT('All Solo Standards Source'!I49,"M:SS"),TEXT('All Solo Standards Source'!I49,"H:MM:SS"))</f>
        <v>47:28</v>
      </c>
      <c r="AB48" s="55" t="str">
        <f>IF('All Solo Standards Source'!M49&lt;1/24,TEXT('All Solo Standards Source'!M49,"M:SS"),TEXT('All Solo Standards Source'!M49,"H:MM:SS"))</f>
        <v>1:19:43</v>
      </c>
      <c r="AC48" s="55" t="str">
        <f>IF('All Solo Standards Source'!Q49&lt;1/24,TEXT('All Solo Standards Source'!Q49,"M:SS"),TEXT('All Solo Standards Source'!Q49,"H:MM:SS"))</f>
        <v>1:36:01</v>
      </c>
      <c r="AD48" s="55" t="str">
        <f>IF('All Solo Standards Source'!U49&lt;1/24,TEXT('All Solo Standards Source'!U49,"M:SS"),TEXT('All Solo Standards Source'!U49,"H:MM:SS"))</f>
        <v>2:42:31</v>
      </c>
      <c r="AE48" s="55" t="str">
        <f>IF('All Solo Standards Source'!Y49&lt;1/24,TEXT('All Solo Standards Source'!Y49,"M:SS"),TEXT('All Solo Standards Source'!Y49,"H:MM:SS"))</f>
        <v>5:38:11</v>
      </c>
      <c r="AF48" s="55" t="str">
        <f>TEXT('All Solo Standards Source'!AC49,"0.00")</f>
        <v>164.79</v>
      </c>
      <c r="AG48" s="55" t="str">
        <f>TEXT('All Solo Standards Source'!AG49,"0.00")</f>
        <v>278.92</v>
      </c>
    </row>
    <row r="49" spans="1:33" x14ac:dyDescent="0.25">
      <c r="A49" s="25">
        <v>56</v>
      </c>
      <c r="B49" s="53" t="str">
        <f>IF('All Solo Standards Source'!B50&lt;1/24,TEXT('All Solo Standards Source'!B50,"M:SS"),TEXT('All Solo Standards Source'!B50,"H:MM:SS"))</f>
        <v>27:24</v>
      </c>
      <c r="C49" s="53" t="str">
        <f>IF('All Solo Standards Source'!F50&lt;1/24,TEXT('All Solo Standards Source'!F50,"M:SS"),TEXT('All Solo Standards Source'!F50,"H:MM:SS"))</f>
        <v>41:15</v>
      </c>
      <c r="D49" s="53" t="str">
        <f>IF('All Solo Standards Source'!J50&lt;1/24,TEXT('All Solo Standards Source'!J50,"M:SS"),TEXT('All Solo Standards Source'!J50,"H:MM:SS"))</f>
        <v>1:09:16</v>
      </c>
      <c r="E49" s="53" t="str">
        <f>IF('All Solo Standards Source'!N50&lt;1/24,TEXT('All Solo Standards Source'!N50,"M:SS"),TEXT('All Solo Standards Source'!N50,"H:MM:SS"))</f>
        <v>1:23:26</v>
      </c>
      <c r="F49" s="53" t="str">
        <f>IF('All Solo Standards Source'!R50&lt;1/24,TEXT('All Solo Standards Source'!R50,"M:SS"),TEXT('All Solo Standards Source'!R50,"H:MM:SS"))</f>
        <v>2:21:14</v>
      </c>
      <c r="G49" s="53" t="str">
        <f>IF('All Solo Standards Source'!V50&lt;1/24,TEXT('All Solo Standards Source'!V50,"M:SS"),TEXT('All Solo Standards Source'!V50,"H:MM:SS"))</f>
        <v>4:53:57</v>
      </c>
      <c r="H49" s="53" t="str">
        <f>TEXT('All Solo Standards Source'!Z50,"0.00")</f>
        <v>200.38</v>
      </c>
      <c r="I49" s="53" t="str">
        <f>TEXT('All Solo Standards Source'!AD50,"0.00")</f>
        <v>326.17</v>
      </c>
      <c r="J49" s="57" t="str">
        <f>IF('All Solo Standards Source'!C50&lt;1/24,TEXT('All Solo Standards Source'!C50,"M:SS"),TEXT('All Solo Standards Source'!C50,"H:MM:SS"))</f>
        <v>29:26</v>
      </c>
      <c r="K49" s="57" t="str">
        <f>IF('All Solo Standards Source'!G50&lt;1/24,TEXT('All Solo Standards Source'!G50,"M:SS"),TEXT('All Solo Standards Source'!G50,"H:MM:SS"))</f>
        <v>44:19</v>
      </c>
      <c r="L49" s="57" t="str">
        <f>IF('All Solo Standards Source'!K50&lt;1/24,TEXT('All Solo Standards Source'!K50,"M:SS"),TEXT('All Solo Standards Source'!K50,"H:MM:SS"))</f>
        <v>1:14:26</v>
      </c>
      <c r="M49" s="57" t="str">
        <f>IF('All Solo Standards Source'!O50&lt;1/24,TEXT('All Solo Standards Source'!O50,"M:SS"),TEXT('All Solo Standards Source'!O50,"H:MM:SS"))</f>
        <v>1:29:40</v>
      </c>
      <c r="N49" s="57" t="str">
        <f>IF('All Solo Standards Source'!S50&lt;1/24,TEXT('All Solo Standards Source'!S50,"M:SS"),TEXT('All Solo Standards Source'!S50,"H:MM:SS"))</f>
        <v>2:31:47</v>
      </c>
      <c r="O49" s="57" t="str">
        <f>IF('All Solo Standards Source'!W50&lt;1/24,TEXT('All Solo Standards Source'!W50,"M:SS"),TEXT('All Solo Standards Source'!W50,"H:MM:SS"))</f>
        <v>5:15:57</v>
      </c>
      <c r="P49" s="57" t="str">
        <f>TEXT('All Solo Standards Source'!AA50,"0.00")</f>
        <v>181.25</v>
      </c>
      <c r="Q49" s="57" t="str">
        <f>TEXT('All Solo Standards Source'!AE50,"0.00")</f>
        <v>300.62</v>
      </c>
      <c r="R49" s="50" t="str">
        <f>IF('All Solo Standards Source'!D50&lt;1/24,TEXT('All Solo Standards Source'!D50,"M:SS"),TEXT('All Solo Standards Source'!D50,"H:MM:SS"))</f>
        <v>29:24</v>
      </c>
      <c r="S49" s="50" t="str">
        <f>IF('All Solo Standards Source'!H50&lt;1/24,TEXT('All Solo Standards Source'!H50,"M:SS"),TEXT('All Solo Standards Source'!H50,"H:MM:SS"))</f>
        <v>44:17</v>
      </c>
      <c r="T49" s="50" t="str">
        <f>IF('All Solo Standards Source'!L50&lt;1/24,TEXT('All Solo Standards Source'!L50,"M:SS"),TEXT('All Solo Standards Source'!L50,"H:MM:SS"))</f>
        <v>1:14:21</v>
      </c>
      <c r="U49" s="50" t="str">
        <f>IF('All Solo Standards Source'!P50&lt;1/24,TEXT('All Solo Standards Source'!P50,"M:SS"),TEXT('All Solo Standards Source'!P50,"H:MM:SS"))</f>
        <v>1:29:34</v>
      </c>
      <c r="V49" s="50" t="str">
        <f>IF('All Solo Standards Source'!T50&lt;1/24,TEXT('All Solo Standards Source'!T50,"M:SS"),TEXT('All Solo Standards Source'!T50,"H:MM:SS"))</f>
        <v>2:31:37</v>
      </c>
      <c r="W49" s="50" t="str">
        <f>IF('All Solo Standards Source'!X50&lt;1/24,TEXT('All Solo Standards Source'!X50,"M:SS"),TEXT('All Solo Standards Source'!X50,"H:MM:SS"))</f>
        <v>5:15:36</v>
      </c>
      <c r="X49" s="50" t="str">
        <f>TEXT('All Solo Standards Source'!AB50,"0.00")</f>
        <v>181.52</v>
      </c>
      <c r="Y49" s="50" t="str">
        <f>TEXT('All Solo Standards Source'!AF50,"0.00")</f>
        <v>300.99</v>
      </c>
      <c r="Z49" s="55" t="str">
        <f>IF('All Solo Standards Source'!E50&lt;1/24,TEXT('All Solo Standards Source'!E50,"M:SS"),TEXT('All Solo Standards Source'!E50,"H:MM:SS"))</f>
        <v>31:39</v>
      </c>
      <c r="AA49" s="55" t="str">
        <f>IF('All Solo Standards Source'!I50&lt;1/24,TEXT('All Solo Standards Source'!I50,"M:SS"),TEXT('All Solo Standards Source'!I50,"H:MM:SS"))</f>
        <v>47:39</v>
      </c>
      <c r="AB49" s="55" t="str">
        <f>IF('All Solo Standards Source'!M50&lt;1/24,TEXT('All Solo Standards Source'!M50,"M:SS"),TEXT('All Solo Standards Source'!M50,"H:MM:SS"))</f>
        <v>1:20:01</v>
      </c>
      <c r="AC49" s="55" t="str">
        <f>IF('All Solo Standards Source'!Q50&lt;1/24,TEXT('All Solo Standards Source'!Q50,"M:SS"),TEXT('All Solo Standards Source'!Q50,"H:MM:SS"))</f>
        <v>1:36:24</v>
      </c>
      <c r="AD49" s="55" t="str">
        <f>IF('All Solo Standards Source'!U50&lt;1/24,TEXT('All Solo Standards Source'!U50,"M:SS"),TEXT('All Solo Standards Source'!U50,"H:MM:SS"))</f>
        <v>2:43:10</v>
      </c>
      <c r="AE49" s="55" t="str">
        <f>IF('All Solo Standards Source'!Y50&lt;1/24,TEXT('All Solo Standards Source'!Y50,"M:SS"),TEXT('All Solo Standards Source'!Y50,"H:MM:SS"))</f>
        <v>5:39:41</v>
      </c>
      <c r="AF49" s="55" t="str">
        <f>TEXT('All Solo Standards Source'!AC50,"0.00")</f>
        <v>163.39</v>
      </c>
      <c r="AG49" s="55" t="str">
        <f>TEXT('All Solo Standards Source'!AG50,"0.00")</f>
        <v>276.05</v>
      </c>
    </row>
    <row r="50" spans="1:33" x14ac:dyDescent="0.25">
      <c r="A50" s="25">
        <v>57</v>
      </c>
      <c r="B50" s="53" t="str">
        <f>IF('All Solo Standards Source'!B51&lt;1/24,TEXT('All Solo Standards Source'!B51,"M:SS"),TEXT('All Solo Standards Source'!B51,"H:MM:SS"))</f>
        <v>27:31</v>
      </c>
      <c r="C50" s="53" t="str">
        <f>IF('All Solo Standards Source'!F51&lt;1/24,TEXT('All Solo Standards Source'!F51,"M:SS"),TEXT('All Solo Standards Source'!F51,"H:MM:SS"))</f>
        <v>41:26</v>
      </c>
      <c r="D50" s="53" t="str">
        <f>IF('All Solo Standards Source'!J51&lt;1/24,TEXT('All Solo Standards Source'!J51,"M:SS"),TEXT('All Solo Standards Source'!J51,"H:MM:SS"))</f>
        <v>1:09:35</v>
      </c>
      <c r="E50" s="53" t="str">
        <f>IF('All Solo Standards Source'!N51&lt;1/24,TEXT('All Solo Standards Source'!N51,"M:SS"),TEXT('All Solo Standards Source'!N51,"H:MM:SS"))</f>
        <v>1:23:49</v>
      </c>
      <c r="F50" s="53" t="str">
        <f>IF('All Solo Standards Source'!R51&lt;1/24,TEXT('All Solo Standards Source'!R51,"M:SS"),TEXT('All Solo Standards Source'!R51,"H:MM:SS"))</f>
        <v>2:21:54</v>
      </c>
      <c r="G50" s="53" t="str">
        <f>IF('All Solo Standards Source'!V51&lt;1/24,TEXT('All Solo Standards Source'!V51,"M:SS"),TEXT('All Solo Standards Source'!V51,"H:MM:SS"))</f>
        <v>4:55:29</v>
      </c>
      <c r="H50" s="53" t="str">
        <f>TEXT('All Solo Standards Source'!Z51,"0.00")</f>
        <v>198.43</v>
      </c>
      <c r="I50" s="53" t="str">
        <f>TEXT('All Solo Standards Source'!AD51,"0.00")</f>
        <v>322.34</v>
      </c>
      <c r="J50" s="57" t="str">
        <f>IF('All Solo Standards Source'!C51&lt;1/24,TEXT('All Solo Standards Source'!C51,"M:SS"),TEXT('All Solo Standards Source'!C51,"H:MM:SS"))</f>
        <v>29:34</v>
      </c>
      <c r="K50" s="57" t="str">
        <f>IF('All Solo Standards Source'!G51&lt;1/24,TEXT('All Solo Standards Source'!G51,"M:SS"),TEXT('All Solo Standards Source'!G51,"H:MM:SS"))</f>
        <v>44:30</v>
      </c>
      <c r="L50" s="57" t="str">
        <f>IF('All Solo Standards Source'!K51&lt;1/24,TEXT('All Solo Standards Source'!K51,"M:SS"),TEXT('All Solo Standards Source'!K51,"H:MM:SS"))</f>
        <v>1:14:45</v>
      </c>
      <c r="M50" s="57" t="str">
        <f>IF('All Solo Standards Source'!O51&lt;1/24,TEXT('All Solo Standards Source'!O51,"M:SS"),TEXT('All Solo Standards Source'!O51,"H:MM:SS"))</f>
        <v>1:30:03</v>
      </c>
      <c r="N50" s="57" t="str">
        <f>IF('All Solo Standards Source'!S51&lt;1/24,TEXT('All Solo Standards Source'!S51,"M:SS"),TEXT('All Solo Standards Source'!S51,"H:MM:SS"))</f>
        <v>2:32:27</v>
      </c>
      <c r="O50" s="57" t="str">
        <f>IF('All Solo Standards Source'!W51&lt;1/24,TEXT('All Solo Standards Source'!W51,"M:SS"),TEXT('All Solo Standards Source'!W51,"H:MM:SS"))</f>
        <v>5:17:29</v>
      </c>
      <c r="P50" s="57" t="str">
        <f>TEXT('All Solo Standards Source'!AA51,"0.00")</f>
        <v>179.58</v>
      </c>
      <c r="Q50" s="57" t="str">
        <f>TEXT('All Solo Standards Source'!AE51,"0.00")</f>
        <v>297.27</v>
      </c>
      <c r="R50" s="50" t="str">
        <f>IF('All Solo Standards Source'!D51&lt;1/24,TEXT('All Solo Standards Source'!D51,"M:SS"),TEXT('All Solo Standards Source'!D51,"H:MM:SS"))</f>
        <v>29:32</v>
      </c>
      <c r="S50" s="50" t="str">
        <f>IF('All Solo Standards Source'!H51&lt;1/24,TEXT('All Solo Standards Source'!H51,"M:SS"),TEXT('All Solo Standards Source'!H51,"H:MM:SS"))</f>
        <v>44:29</v>
      </c>
      <c r="T50" s="50" t="str">
        <f>IF('All Solo Standards Source'!L51&lt;1/24,TEXT('All Solo Standards Source'!L51,"M:SS"),TEXT('All Solo Standards Source'!L51,"H:MM:SS"))</f>
        <v>1:14:42</v>
      </c>
      <c r="U50" s="50" t="str">
        <f>IF('All Solo Standards Source'!P51&lt;1/24,TEXT('All Solo Standards Source'!P51,"M:SS"),TEXT('All Solo Standards Source'!P51,"H:MM:SS"))</f>
        <v>1:30:00</v>
      </c>
      <c r="V50" s="50" t="str">
        <f>IF('All Solo Standards Source'!T51&lt;1/24,TEXT('All Solo Standards Source'!T51,"M:SS"),TEXT('All Solo Standards Source'!T51,"H:MM:SS"))</f>
        <v>2:32:21</v>
      </c>
      <c r="W50" s="50" t="str">
        <f>IF('All Solo Standards Source'!X51&lt;1/24,TEXT('All Solo Standards Source'!X51,"M:SS"),TEXT('All Solo Standards Source'!X51,"H:MM:SS"))</f>
        <v>5:17:16</v>
      </c>
      <c r="X50" s="50" t="str">
        <f>TEXT('All Solo Standards Source'!AB51,"0.00")</f>
        <v>179.74</v>
      </c>
      <c r="Y50" s="50" t="str">
        <f>TEXT('All Solo Standards Source'!AF51,"0.00")</f>
        <v>297.49</v>
      </c>
      <c r="Z50" s="55" t="str">
        <f>IF('All Solo Standards Source'!E51&lt;1/24,TEXT('All Solo Standards Source'!E51,"M:SS"),TEXT('All Solo Standards Source'!E51,"H:MM:SS"))</f>
        <v>31:47</v>
      </c>
      <c r="AA50" s="55" t="str">
        <f>IF('All Solo Standards Source'!I51&lt;1/24,TEXT('All Solo Standards Source'!I51,"M:SS"),TEXT('All Solo Standards Source'!I51,"H:MM:SS"))</f>
        <v>47:51</v>
      </c>
      <c r="AB50" s="55" t="str">
        <f>IF('All Solo Standards Source'!M51&lt;1/24,TEXT('All Solo Standards Source'!M51,"M:SS"),TEXT('All Solo Standards Source'!M51,"H:MM:SS"))</f>
        <v>1:20:22</v>
      </c>
      <c r="AC50" s="55" t="str">
        <f>IF('All Solo Standards Source'!Q51&lt;1/24,TEXT('All Solo Standards Source'!Q51,"M:SS"),TEXT('All Solo Standards Source'!Q51,"H:MM:SS"))</f>
        <v>1:36:49</v>
      </c>
      <c r="AD50" s="55" t="str">
        <f>IF('All Solo Standards Source'!U51&lt;1/24,TEXT('All Solo Standards Source'!U51,"M:SS"),TEXT('All Solo Standards Source'!U51,"H:MM:SS"))</f>
        <v>2:43:54</v>
      </c>
      <c r="AE50" s="55" t="str">
        <f>IF('All Solo Standards Source'!Y51&lt;1/24,TEXT('All Solo Standards Source'!Y51,"M:SS"),TEXT('All Solo Standards Source'!Y51,"H:MM:SS"))</f>
        <v>5:41:22</v>
      </c>
      <c r="AF50" s="55" t="str">
        <f>TEXT('All Solo Standards Source'!AC51,"0.00")</f>
        <v>161.87</v>
      </c>
      <c r="AG50" s="55" t="str">
        <f>TEXT('All Solo Standards Source'!AG51,"0.00")</f>
        <v>273.00</v>
      </c>
    </row>
    <row r="51" spans="1:33" x14ac:dyDescent="0.25">
      <c r="A51" s="25">
        <v>58</v>
      </c>
      <c r="B51" s="53" t="str">
        <f>IF('All Solo Standards Source'!B52&lt;1/24,TEXT('All Solo Standards Source'!B52,"M:SS"),TEXT('All Solo Standards Source'!B52,"H:MM:SS"))</f>
        <v>27:39</v>
      </c>
      <c r="C51" s="53" t="str">
        <f>IF('All Solo Standards Source'!F52&lt;1/24,TEXT('All Solo Standards Source'!F52,"M:SS"),TEXT('All Solo Standards Source'!F52,"H:MM:SS"))</f>
        <v>41:37</v>
      </c>
      <c r="D51" s="53" t="str">
        <f>IF('All Solo Standards Source'!J52&lt;1/24,TEXT('All Solo Standards Source'!J52,"M:SS"),TEXT('All Solo Standards Source'!J52,"H:MM:SS"))</f>
        <v>1:09:55</v>
      </c>
      <c r="E51" s="53" t="str">
        <f>IF('All Solo Standards Source'!N52&lt;1/24,TEXT('All Solo Standards Source'!N52,"M:SS"),TEXT('All Solo Standards Source'!N52,"H:MM:SS"))</f>
        <v>1:24:13</v>
      </c>
      <c r="F51" s="53" t="str">
        <f>IF('All Solo Standards Source'!R52&lt;1/24,TEXT('All Solo Standards Source'!R52,"M:SS"),TEXT('All Solo Standards Source'!R52,"H:MM:SS"))</f>
        <v>2:22:36</v>
      </c>
      <c r="G51" s="53" t="str">
        <f>IF('All Solo Standards Source'!V52&lt;1/24,TEXT('All Solo Standards Source'!V52,"M:SS"),TEXT('All Solo Standards Source'!V52,"H:MM:SS"))</f>
        <v>4:57:05</v>
      </c>
      <c r="H51" s="53" t="str">
        <f>TEXT('All Solo Standards Source'!Z52,"0.00")</f>
        <v>196.42</v>
      </c>
      <c r="I51" s="53" t="str">
        <f>TEXT('All Solo Standards Source'!AD52,"0.00")</f>
        <v>318.41</v>
      </c>
      <c r="J51" s="57" t="str">
        <f>IF('All Solo Standards Source'!C52&lt;1/24,TEXT('All Solo Standards Source'!C52,"M:SS"),TEXT('All Solo Standards Source'!C52,"H:MM:SS"))</f>
        <v>29:42</v>
      </c>
      <c r="K51" s="57" t="str">
        <f>IF('All Solo Standards Source'!G52&lt;1/24,TEXT('All Solo Standards Source'!G52,"M:SS"),TEXT('All Solo Standards Source'!G52,"H:MM:SS"))</f>
        <v>44:43</v>
      </c>
      <c r="L51" s="57" t="str">
        <f>IF('All Solo Standards Source'!K52&lt;1/24,TEXT('All Solo Standards Source'!K52,"M:SS"),TEXT('All Solo Standards Source'!K52,"H:MM:SS"))</f>
        <v>1:15:06</v>
      </c>
      <c r="M51" s="57" t="str">
        <f>IF('All Solo Standards Source'!O52&lt;1/24,TEXT('All Solo Standards Source'!O52,"M:SS"),TEXT('All Solo Standards Source'!O52,"H:MM:SS"))</f>
        <v>1:30:29</v>
      </c>
      <c r="N51" s="57" t="str">
        <f>IF('All Solo Standards Source'!S52&lt;1/24,TEXT('All Solo Standards Source'!S52,"M:SS"),TEXT('All Solo Standards Source'!S52,"H:MM:SS"))</f>
        <v>2:33:12</v>
      </c>
      <c r="O51" s="57" t="str">
        <f>IF('All Solo Standards Source'!W52&lt;1/24,TEXT('All Solo Standards Source'!W52,"M:SS"),TEXT('All Solo Standards Source'!W52,"H:MM:SS"))</f>
        <v>5:19:11</v>
      </c>
      <c r="P51" s="57" t="str">
        <f>TEXT('All Solo Standards Source'!AA52,"0.00")</f>
        <v>177.79</v>
      </c>
      <c r="Q51" s="57" t="str">
        <f>TEXT('All Solo Standards Source'!AE52,"0.00")</f>
        <v>293.72</v>
      </c>
      <c r="R51" s="50" t="str">
        <f>IF('All Solo Standards Source'!D52&lt;1/24,TEXT('All Solo Standards Source'!D52,"M:SS"),TEXT('All Solo Standards Source'!D52,"H:MM:SS"))</f>
        <v>29:41</v>
      </c>
      <c r="S51" s="50" t="str">
        <f>IF('All Solo Standards Source'!H52&lt;1/24,TEXT('All Solo Standards Source'!H52,"M:SS"),TEXT('All Solo Standards Source'!H52,"H:MM:SS"))</f>
        <v>44:42</v>
      </c>
      <c r="T51" s="50" t="str">
        <f>IF('All Solo Standards Source'!L52&lt;1/24,TEXT('All Solo Standards Source'!L52,"M:SS"),TEXT('All Solo Standards Source'!L52,"H:MM:SS"))</f>
        <v>1:15:04</v>
      </c>
      <c r="U51" s="50" t="str">
        <f>IF('All Solo Standards Source'!P52&lt;1/24,TEXT('All Solo Standards Source'!P52,"M:SS"),TEXT('All Solo Standards Source'!P52,"H:MM:SS"))</f>
        <v>1:30:26</v>
      </c>
      <c r="V51" s="50" t="str">
        <f>IF('All Solo Standards Source'!T52&lt;1/24,TEXT('All Solo Standards Source'!T52,"M:SS"),TEXT('All Solo Standards Source'!T52,"H:MM:SS"))</f>
        <v>2:33:07</v>
      </c>
      <c r="W51" s="50" t="str">
        <f>IF('All Solo Standards Source'!X52&lt;1/24,TEXT('All Solo Standards Source'!X52,"M:SS"),TEXT('All Solo Standards Source'!X52,"H:MM:SS"))</f>
        <v>5:19:01</v>
      </c>
      <c r="X51" s="50" t="str">
        <f>TEXT('All Solo Standards Source'!AB52,"0.00")</f>
        <v>177.91</v>
      </c>
      <c r="Y51" s="50" t="str">
        <f>TEXT('All Solo Standards Source'!AF52,"0.00")</f>
        <v>293.88</v>
      </c>
      <c r="Z51" s="55" t="str">
        <f>IF('All Solo Standards Source'!E52&lt;1/24,TEXT('All Solo Standards Source'!E52,"M:SS"),TEXT('All Solo Standards Source'!E52,"H:MM:SS"))</f>
        <v>31:56</v>
      </c>
      <c r="AA51" s="55" t="str">
        <f>IF('All Solo Standards Source'!I52&lt;1/24,TEXT('All Solo Standards Source'!I52,"M:SS"),TEXT('All Solo Standards Source'!I52,"H:MM:SS"))</f>
        <v>48:05</v>
      </c>
      <c r="AB51" s="55" t="str">
        <f>IF('All Solo Standards Source'!M52&lt;1/24,TEXT('All Solo Standards Source'!M52,"M:SS"),TEXT('All Solo Standards Source'!M52,"H:MM:SS"))</f>
        <v>1:20:45</v>
      </c>
      <c r="AC51" s="55" t="str">
        <f>IF('All Solo Standards Source'!Q52&lt;1/24,TEXT('All Solo Standards Source'!Q52,"M:SS"),TEXT('All Solo Standards Source'!Q52,"H:MM:SS"))</f>
        <v>1:37:17</v>
      </c>
      <c r="AD51" s="55" t="str">
        <f>IF('All Solo Standards Source'!U52&lt;1/24,TEXT('All Solo Standards Source'!U52,"M:SS"),TEXT('All Solo Standards Source'!U52,"H:MM:SS"))</f>
        <v>2:44:44</v>
      </c>
      <c r="AE51" s="55" t="str">
        <f>IF('All Solo Standards Source'!Y52&lt;1/24,TEXT('All Solo Standards Source'!Y52,"M:SS"),TEXT('All Solo Standards Source'!Y52,"H:MM:SS"))</f>
        <v>5:43:14</v>
      </c>
      <c r="AF51" s="55" t="str">
        <f>TEXT('All Solo Standards Source'!AC52,"0.00")</f>
        <v>160.24</v>
      </c>
      <c r="AG51" s="55" t="str">
        <f>TEXT('All Solo Standards Source'!AG52,"0.00")</f>
        <v>269.74</v>
      </c>
    </row>
    <row r="52" spans="1:33" x14ac:dyDescent="0.25">
      <c r="A52" s="25">
        <v>59</v>
      </c>
      <c r="B52" s="53" t="str">
        <f>IF('All Solo Standards Source'!B53&lt;1/24,TEXT('All Solo Standards Source'!B53,"M:SS"),TEXT('All Solo Standards Source'!B53,"H:MM:SS"))</f>
        <v>27:47</v>
      </c>
      <c r="C52" s="53" t="str">
        <f>IF('All Solo Standards Source'!F53&lt;1/24,TEXT('All Solo Standards Source'!F53,"M:SS"),TEXT('All Solo Standards Source'!F53,"H:MM:SS"))</f>
        <v>41:50</v>
      </c>
      <c r="D52" s="53" t="str">
        <f>IF('All Solo Standards Source'!J53&lt;1/24,TEXT('All Solo Standards Source'!J53,"M:SS"),TEXT('All Solo Standards Source'!J53,"H:MM:SS"))</f>
        <v>1:10:16</v>
      </c>
      <c r="E52" s="53" t="str">
        <f>IF('All Solo Standards Source'!N53&lt;1/24,TEXT('All Solo Standards Source'!N53,"M:SS"),TEXT('All Solo Standards Source'!N53,"H:MM:SS"))</f>
        <v>1:24:39</v>
      </c>
      <c r="F52" s="53" t="str">
        <f>IF('All Solo Standards Source'!R53&lt;1/24,TEXT('All Solo Standards Source'!R53,"M:SS"),TEXT('All Solo Standards Source'!R53,"H:MM:SS"))</f>
        <v>2:23:20</v>
      </c>
      <c r="G52" s="53" t="str">
        <f>IF('All Solo Standards Source'!V53&lt;1/24,TEXT('All Solo Standards Source'!V53,"M:SS"),TEXT('All Solo Standards Source'!V53,"H:MM:SS"))</f>
        <v>4:58:45</v>
      </c>
      <c r="H52" s="53" t="str">
        <f>TEXT('All Solo Standards Source'!Z53,"0.00")</f>
        <v>194.35</v>
      </c>
      <c r="I52" s="53" t="str">
        <f>TEXT('All Solo Standards Source'!AD53,"0.00")</f>
        <v>314.36</v>
      </c>
      <c r="J52" s="57" t="str">
        <f>IF('All Solo Standards Source'!C53&lt;1/24,TEXT('All Solo Standards Source'!C53,"M:SS"),TEXT('All Solo Standards Source'!C53,"H:MM:SS"))</f>
        <v>29:51</v>
      </c>
      <c r="K52" s="57" t="str">
        <f>IF('All Solo Standards Source'!G53&lt;1/24,TEXT('All Solo Standards Source'!G53,"M:SS"),TEXT('All Solo Standards Source'!G53,"H:MM:SS"))</f>
        <v>44:57</v>
      </c>
      <c r="L52" s="57" t="str">
        <f>IF('All Solo Standards Source'!K53&lt;1/24,TEXT('All Solo Standards Source'!K53,"M:SS"),TEXT('All Solo Standards Source'!K53,"H:MM:SS"))</f>
        <v>1:15:30</v>
      </c>
      <c r="M52" s="57" t="str">
        <f>IF('All Solo Standards Source'!O53&lt;1/24,TEXT('All Solo Standards Source'!O53,"M:SS"),TEXT('All Solo Standards Source'!O53,"H:MM:SS"))</f>
        <v>1:30:57</v>
      </c>
      <c r="N52" s="57" t="str">
        <f>IF('All Solo Standards Source'!S53&lt;1/24,TEXT('All Solo Standards Source'!S53,"M:SS"),TEXT('All Solo Standards Source'!S53,"H:MM:SS"))</f>
        <v>2:34:02</v>
      </c>
      <c r="O52" s="57" t="str">
        <f>IF('All Solo Standards Source'!W53&lt;1/24,TEXT('All Solo Standards Source'!W53,"M:SS"),TEXT('All Solo Standards Source'!W53,"H:MM:SS"))</f>
        <v>5:21:04</v>
      </c>
      <c r="P52" s="57" t="str">
        <f>TEXT('All Solo Standards Source'!AA53,"0.00")</f>
        <v>175.86</v>
      </c>
      <c r="Q52" s="57" t="str">
        <f>TEXT('All Solo Standards Source'!AE53,"0.00")</f>
        <v>289.95</v>
      </c>
      <c r="R52" s="50" t="str">
        <f>IF('All Solo Standards Source'!D53&lt;1/24,TEXT('All Solo Standards Source'!D53,"M:SS"),TEXT('All Solo Standards Source'!D53,"H:MM:SS"))</f>
        <v>29:50</v>
      </c>
      <c r="S52" s="50" t="str">
        <f>IF('All Solo Standards Source'!H53&lt;1/24,TEXT('All Solo Standards Source'!H53,"M:SS"),TEXT('All Solo Standards Source'!H53,"H:MM:SS"))</f>
        <v>44:55</v>
      </c>
      <c r="T52" s="50" t="str">
        <f>IF('All Solo Standards Source'!L53&lt;1/24,TEXT('All Solo Standards Source'!L53,"M:SS"),TEXT('All Solo Standards Source'!L53,"H:MM:SS"))</f>
        <v>1:15:27</v>
      </c>
      <c r="U52" s="50" t="str">
        <f>IF('All Solo Standards Source'!P53&lt;1/24,TEXT('All Solo Standards Source'!P53,"M:SS"),TEXT('All Solo Standards Source'!P53,"H:MM:SS"))</f>
        <v>1:30:54</v>
      </c>
      <c r="V52" s="50" t="str">
        <f>IF('All Solo Standards Source'!T53&lt;1/24,TEXT('All Solo Standards Source'!T53,"M:SS"),TEXT('All Solo Standards Source'!T53,"H:MM:SS"))</f>
        <v>2:33:56</v>
      </c>
      <c r="W52" s="50" t="str">
        <f>IF('All Solo Standards Source'!X53&lt;1/24,TEXT('All Solo Standards Source'!X53,"M:SS"),TEXT('All Solo Standards Source'!X53,"H:MM:SS"))</f>
        <v>5:20:51</v>
      </c>
      <c r="X52" s="50" t="str">
        <f>TEXT('All Solo Standards Source'!AB53,"0.00")</f>
        <v>176.02</v>
      </c>
      <c r="Y52" s="50" t="str">
        <f>TEXT('All Solo Standards Source'!AF53,"0.00")</f>
        <v>290.17</v>
      </c>
      <c r="Z52" s="55" t="str">
        <f>IF('All Solo Standards Source'!E53&lt;1/24,TEXT('All Solo Standards Source'!E53,"M:SS"),TEXT('All Solo Standards Source'!E53,"H:MM:SS"))</f>
        <v>32:06</v>
      </c>
      <c r="AA52" s="55" t="str">
        <f>IF('All Solo Standards Source'!I53&lt;1/24,TEXT('All Solo Standards Source'!I53,"M:SS"),TEXT('All Solo Standards Source'!I53,"H:MM:SS"))</f>
        <v>48:20</v>
      </c>
      <c r="AB52" s="55" t="str">
        <f>IF('All Solo Standards Source'!M53&lt;1/24,TEXT('All Solo Standards Source'!M53,"M:SS"),TEXT('All Solo Standards Source'!M53,"H:MM:SS"))</f>
        <v>1:21:11</v>
      </c>
      <c r="AC52" s="55" t="str">
        <f>IF('All Solo Standards Source'!Q53&lt;1/24,TEXT('All Solo Standards Source'!Q53,"M:SS"),TEXT('All Solo Standards Source'!Q53,"H:MM:SS"))</f>
        <v>1:37:48</v>
      </c>
      <c r="AD52" s="55" t="str">
        <f>IF('All Solo Standards Source'!U53&lt;1/24,TEXT('All Solo Standards Source'!U53,"M:SS"),TEXT('All Solo Standards Source'!U53,"H:MM:SS"))</f>
        <v>2:45:38</v>
      </c>
      <c r="AE52" s="55" t="str">
        <f>IF('All Solo Standards Source'!Y53&lt;1/24,TEXT('All Solo Standards Source'!Y53,"M:SS"),TEXT('All Solo Standards Source'!Y53,"H:MM:SS"))</f>
        <v>5:45:18</v>
      </c>
      <c r="AF52" s="55" t="str">
        <f>TEXT('All Solo Standards Source'!AC53,"0.00")</f>
        <v>158.47</v>
      </c>
      <c r="AG52" s="55" t="str">
        <f>TEXT('All Solo Standards Source'!AG53,"0.00")</f>
        <v>266.29</v>
      </c>
    </row>
    <row r="53" spans="1:33" x14ac:dyDescent="0.25">
      <c r="A53" s="25">
        <v>60</v>
      </c>
      <c r="B53" s="53" t="str">
        <f>IF('All Solo Standards Source'!B54&lt;1/24,TEXT('All Solo Standards Source'!B54,"M:SS"),TEXT('All Solo Standards Source'!B54,"H:MM:SS"))</f>
        <v>27:55</v>
      </c>
      <c r="C53" s="53" t="str">
        <f>IF('All Solo Standards Source'!F54&lt;1/24,TEXT('All Solo Standards Source'!F54,"M:SS"),TEXT('All Solo Standards Source'!F54,"H:MM:SS"))</f>
        <v>42:02</v>
      </c>
      <c r="D53" s="53" t="str">
        <f>IF('All Solo Standards Source'!J54&lt;1/24,TEXT('All Solo Standards Source'!J54,"M:SS"),TEXT('All Solo Standards Source'!J54,"H:MM:SS"))</f>
        <v>1:10:37</v>
      </c>
      <c r="E53" s="53" t="str">
        <f>IF('All Solo Standards Source'!N54&lt;1/24,TEXT('All Solo Standards Source'!N54,"M:SS"),TEXT('All Solo Standards Source'!N54,"H:MM:SS"))</f>
        <v>1:25:05</v>
      </c>
      <c r="F53" s="53" t="str">
        <f>IF('All Solo Standards Source'!R54&lt;1/24,TEXT('All Solo Standards Source'!R54,"M:SS"),TEXT('All Solo Standards Source'!R54,"H:MM:SS"))</f>
        <v>2:24:06</v>
      </c>
      <c r="G53" s="53" t="str">
        <f>IF('All Solo Standards Source'!V54&lt;1/24,TEXT('All Solo Standards Source'!V54,"M:SS"),TEXT('All Solo Standards Source'!V54,"H:MM:SS"))</f>
        <v>5:00:30</v>
      </c>
      <c r="H53" s="53" t="str">
        <f>TEXT('All Solo Standards Source'!Z54,"0.00")</f>
        <v>192.23</v>
      </c>
      <c r="I53" s="53" t="str">
        <f>TEXT('All Solo Standards Source'!AD54,"0.00")</f>
        <v>310.20</v>
      </c>
      <c r="J53" s="57" t="str">
        <f>IF('All Solo Standards Source'!C54&lt;1/24,TEXT('All Solo Standards Source'!C54,"M:SS"),TEXT('All Solo Standards Source'!C54,"H:MM:SS"))</f>
        <v>30:01</v>
      </c>
      <c r="K53" s="57" t="str">
        <f>IF('All Solo Standards Source'!G54&lt;1/24,TEXT('All Solo Standards Source'!G54,"M:SS"),TEXT('All Solo Standards Source'!G54,"H:MM:SS"))</f>
        <v>45:12</v>
      </c>
      <c r="L53" s="57" t="str">
        <f>IF('All Solo Standards Source'!K54&lt;1/24,TEXT('All Solo Standards Source'!K54,"M:SS"),TEXT('All Solo Standards Source'!K54,"H:MM:SS"))</f>
        <v>1:15:56</v>
      </c>
      <c r="M53" s="57" t="str">
        <f>IF('All Solo Standards Source'!O54&lt;1/24,TEXT('All Solo Standards Source'!O54,"M:SS"),TEXT('All Solo Standards Source'!O54,"H:MM:SS"))</f>
        <v>1:31:29</v>
      </c>
      <c r="N53" s="57" t="str">
        <f>IF('All Solo Standards Source'!S54&lt;1/24,TEXT('All Solo Standards Source'!S54,"M:SS"),TEXT('All Solo Standards Source'!S54,"H:MM:SS"))</f>
        <v>2:34:57</v>
      </c>
      <c r="O53" s="57" t="str">
        <f>IF('All Solo Standards Source'!W54&lt;1/24,TEXT('All Solo Standards Source'!W54,"M:SS"),TEXT('All Solo Standards Source'!W54,"H:MM:SS"))</f>
        <v>5:23:09</v>
      </c>
      <c r="P53" s="57" t="str">
        <f>TEXT('All Solo Standards Source'!AA54,"0.00")</f>
        <v>173.79</v>
      </c>
      <c r="Q53" s="57" t="str">
        <f>TEXT('All Solo Standards Source'!AE54,"0.00")</f>
        <v>285.97</v>
      </c>
      <c r="R53" s="50" t="str">
        <f>IF('All Solo Standards Source'!D54&lt;1/24,TEXT('All Solo Standards Source'!D54,"M:SS"),TEXT('All Solo Standards Source'!D54,"H:MM:SS"))</f>
        <v>29:59</v>
      </c>
      <c r="S53" s="50" t="str">
        <f>IF('All Solo Standards Source'!H54&lt;1/24,TEXT('All Solo Standards Source'!H54,"M:SS"),TEXT('All Solo Standards Source'!H54,"H:MM:SS"))</f>
        <v>45:09</v>
      </c>
      <c r="T53" s="50" t="str">
        <f>IF('All Solo Standards Source'!L54&lt;1/24,TEXT('All Solo Standards Source'!L54,"M:SS"),TEXT('All Solo Standards Source'!L54,"H:MM:SS"))</f>
        <v>1:15:50</v>
      </c>
      <c r="U53" s="50" t="str">
        <f>IF('All Solo Standards Source'!P54&lt;1/24,TEXT('All Solo Standards Source'!P54,"M:SS"),TEXT('All Solo Standards Source'!P54,"H:MM:SS"))</f>
        <v>1:31:22</v>
      </c>
      <c r="V53" s="50" t="str">
        <f>IF('All Solo Standards Source'!T54&lt;1/24,TEXT('All Solo Standards Source'!T54,"M:SS"),TEXT('All Solo Standards Source'!T54,"H:MM:SS"))</f>
        <v>2:34:46</v>
      </c>
      <c r="W53" s="50" t="str">
        <f>IF('All Solo Standards Source'!X54&lt;1/24,TEXT('All Solo Standards Source'!X54,"M:SS"),TEXT('All Solo Standards Source'!X54,"H:MM:SS"))</f>
        <v>5:22:46</v>
      </c>
      <c r="X53" s="50" t="str">
        <f>TEXT('All Solo Standards Source'!AB54,"0.00")</f>
        <v>174.08</v>
      </c>
      <c r="Y53" s="50" t="str">
        <f>TEXT('All Solo Standards Source'!AF54,"0.00")</f>
        <v>286.35</v>
      </c>
      <c r="Z53" s="55" t="str">
        <f>IF('All Solo Standards Source'!E54&lt;1/24,TEXT('All Solo Standards Source'!E54,"M:SS"),TEXT('All Solo Standards Source'!E54,"H:MM:SS"))</f>
        <v>32:17</v>
      </c>
      <c r="AA53" s="55" t="str">
        <f>IF('All Solo Standards Source'!I54&lt;1/24,TEXT('All Solo Standards Source'!I54,"M:SS"),TEXT('All Solo Standards Source'!I54,"H:MM:SS"))</f>
        <v>48:36</v>
      </c>
      <c r="AB53" s="55" t="str">
        <f>IF('All Solo Standards Source'!M54&lt;1/24,TEXT('All Solo Standards Source'!M54,"M:SS"),TEXT('All Solo Standards Source'!M54,"H:MM:SS"))</f>
        <v>1:21:39</v>
      </c>
      <c r="AC53" s="55" t="str">
        <f>IF('All Solo Standards Source'!Q54&lt;1/24,TEXT('All Solo Standards Source'!Q54,"M:SS"),TEXT('All Solo Standards Source'!Q54,"H:MM:SS"))</f>
        <v>1:38:23</v>
      </c>
      <c r="AD53" s="55" t="str">
        <f>IF('All Solo Standards Source'!U54&lt;1/24,TEXT('All Solo Standards Source'!U54,"M:SS"),TEXT('All Solo Standards Source'!U54,"H:MM:SS"))</f>
        <v>2:46:39</v>
      </c>
      <c r="AE53" s="55" t="str">
        <f>IF('All Solo Standards Source'!Y54&lt;1/24,TEXT('All Solo Standards Source'!Y54,"M:SS"),TEXT('All Solo Standards Source'!Y54,"H:MM:SS"))</f>
        <v>5:47:35</v>
      </c>
      <c r="AF53" s="55" t="str">
        <f>TEXT('All Solo Standards Source'!AC54,"0.00")</f>
        <v>156.58</v>
      </c>
      <c r="AG53" s="55" t="str">
        <f>TEXT('All Solo Standards Source'!AG54,"0.00")</f>
        <v>262.63</v>
      </c>
    </row>
    <row r="54" spans="1:33" x14ac:dyDescent="0.25">
      <c r="A54" s="25">
        <v>61</v>
      </c>
      <c r="B54" s="53" t="str">
        <f>IF('All Solo Standards Source'!B55&lt;1/24,TEXT('All Solo Standards Source'!B55,"M:SS"),TEXT('All Solo Standards Source'!B55,"H:MM:SS"))</f>
        <v>28:04</v>
      </c>
      <c r="C54" s="53" t="str">
        <f>IF('All Solo Standards Source'!F55&lt;1/24,TEXT('All Solo Standards Source'!F55,"M:SS"),TEXT('All Solo Standards Source'!F55,"H:MM:SS"))</f>
        <v>42:16</v>
      </c>
      <c r="D54" s="53" t="str">
        <f>IF('All Solo Standards Source'!J55&lt;1/24,TEXT('All Solo Standards Source'!J55,"M:SS"),TEXT('All Solo Standards Source'!J55,"H:MM:SS"))</f>
        <v>1:11:00</v>
      </c>
      <c r="E54" s="53" t="str">
        <f>IF('All Solo Standards Source'!N55&lt;1/24,TEXT('All Solo Standards Source'!N55,"M:SS"),TEXT('All Solo Standards Source'!N55,"H:MM:SS"))</f>
        <v>1:25:32</v>
      </c>
      <c r="F54" s="53" t="str">
        <f>IF('All Solo Standards Source'!R55&lt;1/24,TEXT('All Solo Standards Source'!R55,"M:SS"),TEXT('All Solo Standards Source'!R55,"H:MM:SS"))</f>
        <v>2:24:54</v>
      </c>
      <c r="G54" s="53" t="str">
        <f>IF('All Solo Standards Source'!V55&lt;1/24,TEXT('All Solo Standards Source'!V55,"M:SS"),TEXT('All Solo Standards Source'!V55,"H:MM:SS"))</f>
        <v>5:02:19</v>
      </c>
      <c r="H54" s="53" t="str">
        <f>TEXT('All Solo Standards Source'!Z55,"0.00")</f>
        <v>190.05</v>
      </c>
      <c r="I54" s="53" t="str">
        <f>TEXT('All Solo Standards Source'!AD55,"0.00")</f>
        <v>305.94</v>
      </c>
      <c r="J54" s="57" t="str">
        <f>IF('All Solo Standards Source'!C55&lt;1/24,TEXT('All Solo Standards Source'!C55,"M:SS"),TEXT('All Solo Standards Source'!C55,"H:MM:SS"))</f>
        <v>30:12</v>
      </c>
      <c r="K54" s="57" t="str">
        <f>IF('All Solo Standards Source'!G55&lt;1/24,TEXT('All Solo Standards Source'!G55,"M:SS"),TEXT('All Solo Standards Source'!G55,"H:MM:SS"))</f>
        <v>45:29</v>
      </c>
      <c r="L54" s="57" t="str">
        <f>IF('All Solo Standards Source'!K55&lt;1/24,TEXT('All Solo Standards Source'!K55,"M:SS"),TEXT('All Solo Standards Source'!K55,"H:MM:SS"))</f>
        <v>1:16:25</v>
      </c>
      <c r="M54" s="57" t="str">
        <f>IF('All Solo Standards Source'!O55&lt;1/24,TEXT('All Solo Standards Source'!O55,"M:SS"),TEXT('All Solo Standards Source'!O55,"H:MM:SS"))</f>
        <v>1:32:04</v>
      </c>
      <c r="N54" s="57" t="str">
        <f>IF('All Solo Standards Source'!S55&lt;1/24,TEXT('All Solo Standards Source'!S55,"M:SS"),TEXT('All Solo Standards Source'!S55,"H:MM:SS"))</f>
        <v>2:35:58</v>
      </c>
      <c r="O54" s="57" t="str">
        <f>IF('All Solo Standards Source'!W55&lt;1/24,TEXT('All Solo Standards Source'!W55,"M:SS"),TEXT('All Solo Standards Source'!W55,"H:MM:SS"))</f>
        <v>5:25:27</v>
      </c>
      <c r="P54" s="57" t="str">
        <f>TEXT('All Solo Standards Source'!AA55,"0.00")</f>
        <v>171.58</v>
      </c>
      <c r="Q54" s="57" t="str">
        <f>TEXT('All Solo Standards Source'!AE55,"0.00")</f>
        <v>281.77</v>
      </c>
      <c r="R54" s="50" t="str">
        <f>IF('All Solo Standards Source'!D55&lt;1/24,TEXT('All Solo Standards Source'!D55,"M:SS"),TEXT('All Solo Standards Source'!D55,"H:MM:SS"))</f>
        <v>30:08</v>
      </c>
      <c r="S54" s="50" t="str">
        <f>IF('All Solo Standards Source'!H55&lt;1/24,TEXT('All Solo Standards Source'!H55,"M:SS"),TEXT('All Solo Standards Source'!H55,"H:MM:SS"))</f>
        <v>45:23</v>
      </c>
      <c r="T54" s="50" t="str">
        <f>IF('All Solo Standards Source'!L55&lt;1/24,TEXT('All Solo Standards Source'!L55,"M:SS"),TEXT('All Solo Standards Source'!L55,"H:MM:SS"))</f>
        <v>1:16:15</v>
      </c>
      <c r="U54" s="50" t="str">
        <f>IF('All Solo Standards Source'!P55&lt;1/24,TEXT('All Solo Standards Source'!P55,"M:SS"),TEXT('All Solo Standards Source'!P55,"H:MM:SS"))</f>
        <v>1:31:52</v>
      </c>
      <c r="V54" s="50" t="str">
        <f>IF('All Solo Standards Source'!T55&lt;1/24,TEXT('All Solo Standards Source'!T55,"M:SS"),TEXT('All Solo Standards Source'!T55,"H:MM:SS"))</f>
        <v>2:35:39</v>
      </c>
      <c r="W54" s="50" t="str">
        <f>IF('All Solo Standards Source'!X55&lt;1/24,TEXT('All Solo Standards Source'!X55,"M:SS"),TEXT('All Solo Standards Source'!X55,"H:MM:SS"))</f>
        <v>5:24:46</v>
      </c>
      <c r="X54" s="50" t="str">
        <f>TEXT('All Solo Standards Source'!AB55,"0.00")</f>
        <v>172.08</v>
      </c>
      <c r="Y54" s="50" t="str">
        <f>TEXT('All Solo Standards Source'!AF55,"0.00")</f>
        <v>282.44</v>
      </c>
      <c r="Z54" s="55" t="str">
        <f>IF('All Solo Standards Source'!E55&lt;1/24,TEXT('All Solo Standards Source'!E55,"M:SS"),TEXT('All Solo Standards Source'!E55,"H:MM:SS"))</f>
        <v>32:29</v>
      </c>
      <c r="AA54" s="55" t="str">
        <f>IF('All Solo Standards Source'!I55&lt;1/24,TEXT('All Solo Standards Source'!I55,"M:SS"),TEXT('All Solo Standards Source'!I55,"H:MM:SS"))</f>
        <v>48:55</v>
      </c>
      <c r="AB54" s="55" t="str">
        <f>IF('All Solo Standards Source'!M55&lt;1/24,TEXT('All Solo Standards Source'!M55,"M:SS"),TEXT('All Solo Standards Source'!M55,"H:MM:SS"))</f>
        <v>1:22:11</v>
      </c>
      <c r="AC54" s="55" t="str">
        <f>IF('All Solo Standards Source'!Q55&lt;1/24,TEXT('All Solo Standards Source'!Q55,"M:SS"),TEXT('All Solo Standards Source'!Q55,"H:MM:SS"))</f>
        <v>1:39:01</v>
      </c>
      <c r="AD54" s="55" t="str">
        <f>IF('All Solo Standards Source'!U55&lt;1/24,TEXT('All Solo Standards Source'!U55,"M:SS"),TEXT('All Solo Standards Source'!U55,"H:MM:SS"))</f>
        <v>2:47:46</v>
      </c>
      <c r="AE54" s="55" t="str">
        <f>IF('All Solo Standards Source'!Y55&lt;1/24,TEXT('All Solo Standards Source'!Y55,"M:SS"),TEXT('All Solo Standards Source'!Y55,"H:MM:SS"))</f>
        <v>5:50:06</v>
      </c>
      <c r="AF54" s="55" t="str">
        <f>TEXT('All Solo Standards Source'!AC55,"0.00")</f>
        <v>154.55</v>
      </c>
      <c r="AG54" s="55" t="str">
        <f>TEXT('All Solo Standards Source'!AG55,"0.00")</f>
        <v>258.77</v>
      </c>
    </row>
    <row r="55" spans="1:33" x14ac:dyDescent="0.25">
      <c r="A55" s="25">
        <v>62</v>
      </c>
      <c r="B55" s="53" t="str">
        <f>IF('All Solo Standards Source'!B56&lt;1/24,TEXT('All Solo Standards Source'!B56,"M:SS"),TEXT('All Solo Standards Source'!B56,"H:MM:SS"))</f>
        <v>28:13</v>
      </c>
      <c r="C55" s="53" t="str">
        <f>IF('All Solo Standards Source'!F56&lt;1/24,TEXT('All Solo Standards Source'!F56,"M:SS"),TEXT('All Solo Standards Source'!F56,"H:MM:SS"))</f>
        <v>42:29</v>
      </c>
      <c r="D55" s="53" t="str">
        <f>IF('All Solo Standards Source'!J56&lt;1/24,TEXT('All Solo Standards Source'!J56,"M:SS"),TEXT('All Solo Standards Source'!J56,"H:MM:SS"))</f>
        <v>1:11:23</v>
      </c>
      <c r="E55" s="53" t="str">
        <f>IF('All Solo Standards Source'!N56&lt;1/24,TEXT('All Solo Standards Source'!N56,"M:SS"),TEXT('All Solo Standards Source'!N56,"H:MM:SS"))</f>
        <v>1:26:01</v>
      </c>
      <c r="F55" s="53" t="str">
        <f>IF('All Solo Standards Source'!R56&lt;1/24,TEXT('All Solo Standards Source'!R56,"M:SS"),TEXT('All Solo Standards Source'!R56,"H:MM:SS"))</f>
        <v>2:25:44</v>
      </c>
      <c r="G55" s="53" t="str">
        <f>IF('All Solo Standards Source'!V56&lt;1/24,TEXT('All Solo Standards Source'!V56,"M:SS"),TEXT('All Solo Standards Source'!V56,"H:MM:SS"))</f>
        <v>5:04:14</v>
      </c>
      <c r="H55" s="53" t="str">
        <f>TEXT('All Solo Standards Source'!Z56,"0.00")</f>
        <v>187.81</v>
      </c>
      <c r="I55" s="53" t="str">
        <f>TEXT('All Solo Standards Source'!AD56,"0.00")</f>
        <v>301.57</v>
      </c>
      <c r="J55" s="57" t="str">
        <f>IF('All Solo Standards Source'!C56&lt;1/24,TEXT('All Solo Standards Source'!C56,"M:SS"),TEXT('All Solo Standards Source'!C56,"H:MM:SS"))</f>
        <v>30:24</v>
      </c>
      <c r="K55" s="57" t="str">
        <f>IF('All Solo Standards Source'!G56&lt;1/24,TEXT('All Solo Standards Source'!G56,"M:SS"),TEXT('All Solo Standards Source'!G56,"H:MM:SS"))</f>
        <v>45:48</v>
      </c>
      <c r="L55" s="57" t="str">
        <f>IF('All Solo Standards Source'!K56&lt;1/24,TEXT('All Solo Standards Source'!K56,"M:SS"),TEXT('All Solo Standards Source'!K56,"H:MM:SS"))</f>
        <v>1:16:57</v>
      </c>
      <c r="M55" s="57" t="str">
        <f>IF('All Solo Standards Source'!O56&lt;1/24,TEXT('All Solo Standards Source'!O56,"M:SS"),TEXT('All Solo Standards Source'!O56,"H:MM:SS"))</f>
        <v>1:32:43</v>
      </c>
      <c r="N55" s="57" t="str">
        <f>IF('All Solo Standards Source'!S56&lt;1/24,TEXT('All Solo Standards Source'!S56,"M:SS"),TEXT('All Solo Standards Source'!S56,"H:MM:SS"))</f>
        <v>2:37:06</v>
      </c>
      <c r="O55" s="57" t="str">
        <f>IF('All Solo Standards Source'!W56&lt;1/24,TEXT('All Solo Standards Source'!W56,"M:SS"),TEXT('All Solo Standards Source'!W56,"H:MM:SS"))</f>
        <v>5:27:58</v>
      </c>
      <c r="P55" s="57" t="str">
        <f>TEXT('All Solo Standards Source'!AA56,"0.00")</f>
        <v>169.22</v>
      </c>
      <c r="Q55" s="57" t="str">
        <f>TEXT('All Solo Standards Source'!AE56,"0.00")</f>
        <v>277.36</v>
      </c>
      <c r="R55" s="50" t="str">
        <f>IF('All Solo Standards Source'!D56&lt;1/24,TEXT('All Solo Standards Source'!D56,"M:SS"),TEXT('All Solo Standards Source'!D56,"H:MM:SS"))</f>
        <v>30:18</v>
      </c>
      <c r="S55" s="50" t="str">
        <f>IF('All Solo Standards Source'!H56&lt;1/24,TEXT('All Solo Standards Source'!H56,"M:SS"),TEXT('All Solo Standards Source'!H56,"H:MM:SS"))</f>
        <v>45:38</v>
      </c>
      <c r="T55" s="50" t="str">
        <f>IF('All Solo Standards Source'!L56&lt;1/24,TEXT('All Solo Standards Source'!L56,"M:SS"),TEXT('All Solo Standards Source'!L56,"H:MM:SS"))</f>
        <v>1:16:41</v>
      </c>
      <c r="U55" s="50" t="str">
        <f>IF('All Solo Standards Source'!P56&lt;1/24,TEXT('All Solo Standards Source'!P56,"M:SS"),TEXT('All Solo Standards Source'!P56,"H:MM:SS"))</f>
        <v>1:32:24</v>
      </c>
      <c r="V55" s="50" t="str">
        <f>IF('All Solo Standards Source'!T56&lt;1/24,TEXT('All Solo Standards Source'!T56,"M:SS"),TEXT('All Solo Standards Source'!T56,"H:MM:SS"))</f>
        <v>2:36:34</v>
      </c>
      <c r="W55" s="50" t="str">
        <f>IF('All Solo Standards Source'!X56&lt;1/24,TEXT('All Solo Standards Source'!X56,"M:SS"),TEXT('All Solo Standards Source'!X56,"H:MM:SS"))</f>
        <v>5:26:51</v>
      </c>
      <c r="X55" s="50" t="str">
        <f>TEXT('All Solo Standards Source'!AB56,"0.00")</f>
        <v>170.04</v>
      </c>
      <c r="Y55" s="50" t="str">
        <f>TEXT('All Solo Standards Source'!AF56,"0.00")</f>
        <v>278.44</v>
      </c>
      <c r="Z55" s="55" t="str">
        <f>IF('All Solo Standards Source'!E56&lt;1/24,TEXT('All Solo Standards Source'!E56,"M:SS"),TEXT('All Solo Standards Source'!E56,"H:MM:SS"))</f>
        <v>32:42</v>
      </c>
      <c r="AA55" s="55" t="str">
        <f>IF('All Solo Standards Source'!I56&lt;1/24,TEXT('All Solo Standards Source'!I56,"M:SS"),TEXT('All Solo Standards Source'!I56,"H:MM:SS"))</f>
        <v>49:16</v>
      </c>
      <c r="AB55" s="55" t="str">
        <f>IF('All Solo Standards Source'!M56&lt;1/24,TEXT('All Solo Standards Source'!M56,"M:SS"),TEXT('All Solo Standards Source'!M56,"H:MM:SS"))</f>
        <v>1:22:46</v>
      </c>
      <c r="AC55" s="55" t="str">
        <f>IF('All Solo Standards Source'!Q56&lt;1/24,TEXT('All Solo Standards Source'!Q56,"M:SS"),TEXT('All Solo Standards Source'!Q56,"H:MM:SS"))</f>
        <v>1:39:44</v>
      </c>
      <c r="AD55" s="55" t="str">
        <f>IF('All Solo Standards Source'!U56&lt;1/24,TEXT('All Solo Standards Source'!U56,"M:SS"),TEXT('All Solo Standards Source'!U56,"H:MM:SS"))</f>
        <v>2:49:00</v>
      </c>
      <c r="AE55" s="55" t="str">
        <f>IF('All Solo Standards Source'!Y56&lt;1/24,TEXT('All Solo Standards Source'!Y56,"M:SS"),TEXT('All Solo Standards Source'!Y56,"H:MM:SS"))</f>
        <v>5:52:52</v>
      </c>
      <c r="AF55" s="55" t="str">
        <f>TEXT('All Solo Standards Source'!AC56,"0.00")</f>
        <v>152.38</v>
      </c>
      <c r="AG55" s="55" t="str">
        <f>TEXT('All Solo Standards Source'!AG56,"0.00")</f>
        <v>254.69</v>
      </c>
    </row>
    <row r="56" spans="1:33" x14ac:dyDescent="0.25">
      <c r="A56" s="25">
        <v>63</v>
      </c>
      <c r="B56" s="53" t="str">
        <f>IF('All Solo Standards Source'!B57&lt;1/24,TEXT('All Solo Standards Source'!B57,"M:SS"),TEXT('All Solo Standards Source'!B57,"H:MM:SS"))</f>
        <v>28:22</v>
      </c>
      <c r="C56" s="53" t="str">
        <f>IF('All Solo Standards Source'!F57&lt;1/24,TEXT('All Solo Standards Source'!F57,"M:SS"),TEXT('All Solo Standards Source'!F57,"H:MM:SS"))</f>
        <v>42:44</v>
      </c>
      <c r="D56" s="53" t="str">
        <f>IF('All Solo Standards Source'!J57&lt;1/24,TEXT('All Solo Standards Source'!J57,"M:SS"),TEXT('All Solo Standards Source'!J57,"H:MM:SS"))</f>
        <v>1:11:48</v>
      </c>
      <c r="E56" s="53" t="str">
        <f>IF('All Solo Standards Source'!N57&lt;1/24,TEXT('All Solo Standards Source'!N57,"M:SS"),TEXT('All Solo Standards Source'!N57,"H:MM:SS"))</f>
        <v>1:26:31</v>
      </c>
      <c r="F56" s="53" t="str">
        <f>IF('All Solo Standards Source'!R57&lt;1/24,TEXT('All Solo Standards Source'!R57,"M:SS"),TEXT('All Solo Standards Source'!R57,"H:MM:SS"))</f>
        <v>2:26:37</v>
      </c>
      <c r="G56" s="53" t="str">
        <f>IF('All Solo Standards Source'!V57&lt;1/24,TEXT('All Solo Standards Source'!V57,"M:SS"),TEXT('All Solo Standards Source'!V57,"H:MM:SS"))</f>
        <v>5:06:13</v>
      </c>
      <c r="H56" s="53" t="str">
        <f>TEXT('All Solo Standards Source'!Z57,"0.00")</f>
        <v>185.51</v>
      </c>
      <c r="I56" s="53" t="str">
        <f>TEXT('All Solo Standards Source'!AD57,"0.00")</f>
        <v>297.10</v>
      </c>
      <c r="J56" s="57" t="str">
        <f>IF('All Solo Standards Source'!C57&lt;1/24,TEXT('All Solo Standards Source'!C57,"M:SS"),TEXT('All Solo Standards Source'!C57,"H:MM:SS"))</f>
        <v>30:38</v>
      </c>
      <c r="K56" s="57" t="str">
        <f>IF('All Solo Standards Source'!G57&lt;1/24,TEXT('All Solo Standards Source'!G57,"M:SS"),TEXT('All Solo Standards Source'!G57,"H:MM:SS"))</f>
        <v>46:08</v>
      </c>
      <c r="L56" s="57" t="str">
        <f>IF('All Solo Standards Source'!K57&lt;1/24,TEXT('All Solo Standards Source'!K57,"M:SS"),TEXT('All Solo Standards Source'!K57,"H:MM:SS"))</f>
        <v>1:17:32</v>
      </c>
      <c r="M56" s="57" t="str">
        <f>IF('All Solo Standards Source'!O57&lt;1/24,TEXT('All Solo Standards Source'!O57,"M:SS"),TEXT('All Solo Standards Source'!O57,"H:MM:SS"))</f>
        <v>1:33:25</v>
      </c>
      <c r="N56" s="57" t="str">
        <f>IF('All Solo Standards Source'!S57&lt;1/24,TEXT('All Solo Standards Source'!S57,"M:SS"),TEXT('All Solo Standards Source'!S57,"H:MM:SS"))</f>
        <v>2:38:20</v>
      </c>
      <c r="O56" s="57" t="str">
        <f>IF('All Solo Standards Source'!W57&lt;1/24,TEXT('All Solo Standards Source'!W57,"M:SS"),TEXT('All Solo Standards Source'!W57,"H:MM:SS"))</f>
        <v>5:30:45</v>
      </c>
      <c r="P56" s="57" t="str">
        <f>TEXT('All Solo Standards Source'!AA57,"0.00")</f>
        <v>166.71</v>
      </c>
      <c r="Q56" s="57" t="str">
        <f>TEXT('All Solo Standards Source'!AE57,"0.00")</f>
        <v>272.71</v>
      </c>
      <c r="R56" s="50" t="str">
        <f>IF('All Solo Standards Source'!D57&lt;1/24,TEXT('All Solo Standards Source'!D57,"M:SS"),TEXT('All Solo Standards Source'!D57,"H:MM:SS"))</f>
        <v>30:28</v>
      </c>
      <c r="S56" s="50" t="str">
        <f>IF('All Solo Standards Source'!H57&lt;1/24,TEXT('All Solo Standards Source'!H57,"M:SS"),TEXT('All Solo Standards Source'!H57,"H:MM:SS"))</f>
        <v>45:54</v>
      </c>
      <c r="T56" s="50" t="str">
        <f>IF('All Solo Standards Source'!L57&lt;1/24,TEXT('All Solo Standards Source'!L57,"M:SS"),TEXT('All Solo Standards Source'!L57,"H:MM:SS"))</f>
        <v>1:17:08</v>
      </c>
      <c r="U56" s="50" t="str">
        <f>IF('All Solo Standards Source'!P57&lt;1/24,TEXT('All Solo Standards Source'!P57,"M:SS"),TEXT('All Solo Standards Source'!P57,"H:MM:SS"))</f>
        <v>1:32:56</v>
      </c>
      <c r="V56" s="50" t="str">
        <f>IF('All Solo Standards Source'!T57&lt;1/24,TEXT('All Solo Standards Source'!T57,"M:SS"),TEXT('All Solo Standards Source'!T57,"H:MM:SS"))</f>
        <v>2:37:31</v>
      </c>
      <c r="W56" s="50" t="str">
        <f>IF('All Solo Standards Source'!X57&lt;1/24,TEXT('All Solo Standards Source'!X57,"M:SS"),TEXT('All Solo Standards Source'!X57,"H:MM:SS"))</f>
        <v>5:29:02</v>
      </c>
      <c r="X56" s="50" t="str">
        <f>TEXT('All Solo Standards Source'!AB57,"0.00")</f>
        <v>167.94</v>
      </c>
      <c r="Y56" s="50" t="str">
        <f>TEXT('All Solo Standards Source'!AF57,"0.00")</f>
        <v>274.33</v>
      </c>
      <c r="Z56" s="55" t="str">
        <f>IF('All Solo Standards Source'!E57&lt;1/24,TEXT('All Solo Standards Source'!E57,"M:SS"),TEXT('All Solo Standards Source'!E57,"H:MM:SS"))</f>
        <v>32:57</v>
      </c>
      <c r="AA56" s="55" t="str">
        <f>IF('All Solo Standards Source'!I57&lt;1/24,TEXT('All Solo Standards Source'!I57,"M:SS"),TEXT('All Solo Standards Source'!I57,"H:MM:SS"))</f>
        <v>49:38</v>
      </c>
      <c r="AB56" s="55" t="str">
        <f>IF('All Solo Standards Source'!M57&lt;1/24,TEXT('All Solo Standards Source'!M57,"M:SS"),TEXT('All Solo Standards Source'!M57,"H:MM:SS"))</f>
        <v>1:23:25</v>
      </c>
      <c r="AC56" s="55" t="str">
        <f>IF('All Solo Standards Source'!Q57&lt;1/24,TEXT('All Solo Standards Source'!Q57,"M:SS"),TEXT('All Solo Standards Source'!Q57,"H:MM:SS"))</f>
        <v>1:40:30</v>
      </c>
      <c r="AD56" s="55" t="str">
        <f>IF('All Solo Standards Source'!U57&lt;1/24,TEXT('All Solo Standards Source'!U57,"M:SS"),TEXT('All Solo Standards Source'!U57,"H:MM:SS"))</f>
        <v>2:50:21</v>
      </c>
      <c r="AE56" s="55" t="str">
        <f>IF('All Solo Standards Source'!Y57&lt;1/24,TEXT('All Solo Standards Source'!Y57,"M:SS"),TEXT('All Solo Standards Source'!Y57,"H:MM:SS"))</f>
        <v>5:55:55</v>
      </c>
      <c r="AF56" s="55" t="str">
        <f>TEXT('All Solo Standards Source'!AC57,"0.00")</f>
        <v>150.07</v>
      </c>
      <c r="AG56" s="55" t="str">
        <f>TEXT('All Solo Standards Source'!AG57,"0.00")</f>
        <v>250.40</v>
      </c>
    </row>
    <row r="57" spans="1:33" x14ac:dyDescent="0.25">
      <c r="A57" s="25">
        <v>64</v>
      </c>
      <c r="B57" s="53" t="str">
        <f>IF('All Solo Standards Source'!B58&lt;1/24,TEXT('All Solo Standards Source'!B58,"M:SS"),TEXT('All Solo Standards Source'!B58,"H:MM:SS"))</f>
        <v>28:32</v>
      </c>
      <c r="C57" s="53" t="str">
        <f>IF('All Solo Standards Source'!F58&lt;1/24,TEXT('All Solo Standards Source'!F58,"M:SS"),TEXT('All Solo Standards Source'!F58,"H:MM:SS"))</f>
        <v>42:58</v>
      </c>
      <c r="D57" s="53" t="str">
        <f>IF('All Solo Standards Source'!J58&lt;1/24,TEXT('All Solo Standards Source'!J58,"M:SS"),TEXT('All Solo Standards Source'!J58,"H:MM:SS"))</f>
        <v>1:12:13</v>
      </c>
      <c r="E57" s="53" t="str">
        <f>IF('All Solo Standards Source'!N58&lt;1/24,TEXT('All Solo Standards Source'!N58,"M:SS"),TEXT('All Solo Standards Source'!N58,"H:MM:SS"))</f>
        <v>1:27:01</v>
      </c>
      <c r="F57" s="53" t="str">
        <f>IF('All Solo Standards Source'!R58&lt;1/24,TEXT('All Solo Standards Source'!R58,"M:SS"),TEXT('All Solo Standards Source'!R58,"H:MM:SS"))</f>
        <v>2:27:31</v>
      </c>
      <c r="G57" s="53" t="str">
        <f>IF('All Solo Standards Source'!V58&lt;1/24,TEXT('All Solo Standards Source'!V58,"M:SS"),TEXT('All Solo Standards Source'!V58,"H:MM:SS"))</f>
        <v>5:08:17</v>
      </c>
      <c r="H57" s="53" t="str">
        <f>TEXT('All Solo Standards Source'!Z58,"0.00")</f>
        <v>183.17</v>
      </c>
      <c r="I57" s="53" t="str">
        <f>TEXT('All Solo Standards Source'!AD58,"0.00")</f>
        <v>292.54</v>
      </c>
      <c r="J57" s="57" t="str">
        <f>IF('All Solo Standards Source'!C58&lt;1/24,TEXT('All Solo Standards Source'!C58,"M:SS"),TEXT('All Solo Standards Source'!C58,"H:MM:SS"))</f>
        <v>30:53</v>
      </c>
      <c r="K57" s="57" t="str">
        <f>IF('All Solo Standards Source'!G58&lt;1/24,TEXT('All Solo Standards Source'!G58,"M:SS"),TEXT('All Solo Standards Source'!G58,"H:MM:SS"))</f>
        <v>46:31</v>
      </c>
      <c r="L57" s="57" t="str">
        <f>IF('All Solo Standards Source'!K58&lt;1/24,TEXT('All Solo Standards Source'!K58,"M:SS"),TEXT('All Solo Standards Source'!K58,"H:MM:SS"))</f>
        <v>1:18:10</v>
      </c>
      <c r="M57" s="57" t="str">
        <f>IF('All Solo Standards Source'!O58&lt;1/24,TEXT('All Solo Standards Source'!O58,"M:SS"),TEXT('All Solo Standards Source'!O58,"H:MM:SS"))</f>
        <v>1:34:12</v>
      </c>
      <c r="N57" s="57" t="str">
        <f>IF('All Solo Standards Source'!S58&lt;1/24,TEXT('All Solo Standards Source'!S58,"M:SS"),TEXT('All Solo Standards Source'!S58,"H:MM:SS"))</f>
        <v>2:39:42</v>
      </c>
      <c r="O57" s="57" t="str">
        <f>IF('All Solo Standards Source'!W58&lt;1/24,TEXT('All Solo Standards Source'!W58,"M:SS"),TEXT('All Solo Standards Source'!W58,"H:MM:SS"))</f>
        <v>5:33:48</v>
      </c>
      <c r="P57" s="57" t="str">
        <f>TEXT('All Solo Standards Source'!AA58,"0.00")</f>
        <v>164.05</v>
      </c>
      <c r="Q57" s="57" t="str">
        <f>TEXT('All Solo Standards Source'!AE58,"0.00")</f>
        <v>267.84</v>
      </c>
      <c r="R57" s="50" t="str">
        <f>IF('All Solo Standards Source'!D58&lt;1/24,TEXT('All Solo Standards Source'!D58,"M:SS"),TEXT('All Solo Standards Source'!D58,"H:MM:SS"))</f>
        <v>30:39</v>
      </c>
      <c r="S57" s="50" t="str">
        <f>IF('All Solo Standards Source'!H58&lt;1/24,TEXT('All Solo Standards Source'!H58,"M:SS"),TEXT('All Solo Standards Source'!H58,"H:MM:SS"))</f>
        <v>46:10</v>
      </c>
      <c r="T57" s="50" t="str">
        <f>IF('All Solo Standards Source'!L58&lt;1/24,TEXT('All Solo Standards Source'!L58,"M:SS"),TEXT('All Solo Standards Source'!L58,"H:MM:SS"))</f>
        <v>1:17:35</v>
      </c>
      <c r="U57" s="50" t="str">
        <f>IF('All Solo Standards Source'!P58&lt;1/24,TEXT('All Solo Standards Source'!P58,"M:SS"),TEXT('All Solo Standards Source'!P58,"H:MM:SS"))</f>
        <v>1:33:30</v>
      </c>
      <c r="V57" s="50" t="str">
        <f>IF('All Solo Standards Source'!T58&lt;1/24,TEXT('All Solo Standards Source'!T58,"M:SS"),TEXT('All Solo Standards Source'!T58,"H:MM:SS"))</f>
        <v>2:38:30</v>
      </c>
      <c r="W57" s="50" t="str">
        <f>IF('All Solo Standards Source'!X58&lt;1/24,TEXT('All Solo Standards Source'!X58,"M:SS"),TEXT('All Solo Standards Source'!X58,"H:MM:SS"))</f>
        <v>5:31:18</v>
      </c>
      <c r="X57" s="50" t="str">
        <f>TEXT('All Solo Standards Source'!AB58,"0.00")</f>
        <v>165.79</v>
      </c>
      <c r="Y57" s="50" t="str">
        <f>TEXT('All Solo Standards Source'!AF58,"0.00")</f>
        <v>270.14</v>
      </c>
      <c r="Z57" s="55" t="str">
        <f>IF('All Solo Standards Source'!E58&lt;1/24,TEXT('All Solo Standards Source'!E58,"M:SS"),TEXT('All Solo Standards Source'!E58,"H:MM:SS"))</f>
        <v>33:14</v>
      </c>
      <c r="AA57" s="55" t="str">
        <f>IF('All Solo Standards Source'!I58&lt;1/24,TEXT('All Solo Standards Source'!I58,"M:SS"),TEXT('All Solo Standards Source'!I58,"H:MM:SS"))</f>
        <v>50:03</v>
      </c>
      <c r="AB57" s="55" t="str">
        <f>IF('All Solo Standards Source'!M58&lt;1/24,TEXT('All Solo Standards Source'!M58,"M:SS"),TEXT('All Solo Standards Source'!M58,"H:MM:SS"))</f>
        <v>1:24:07</v>
      </c>
      <c r="AC57" s="55" t="str">
        <f>IF('All Solo Standards Source'!Q58&lt;1/24,TEXT('All Solo Standards Source'!Q58,"M:SS"),TEXT('All Solo Standards Source'!Q58,"H:MM:SS"))</f>
        <v>1:41:22</v>
      </c>
      <c r="AD57" s="55" t="str">
        <f>IF('All Solo Standards Source'!U58&lt;1/24,TEXT('All Solo Standards Source'!U58,"M:SS"),TEXT('All Solo Standards Source'!U58,"H:MM:SS"))</f>
        <v>2:51:51</v>
      </c>
      <c r="AE57" s="55" t="str">
        <f>IF('All Solo Standards Source'!Y58&lt;1/24,TEXT('All Solo Standards Source'!Y58,"M:SS"),TEXT('All Solo Standards Source'!Y58,"H:MM:SS"))</f>
        <v>5:59:15</v>
      </c>
      <c r="AF57" s="55" t="str">
        <f>TEXT('All Solo Standards Source'!AC58,"0.00")</f>
        <v>147.62</v>
      </c>
      <c r="AG57" s="55" t="str">
        <f>TEXT('All Solo Standards Source'!AG58,"0.00")</f>
        <v>245.89</v>
      </c>
    </row>
    <row r="58" spans="1:33" x14ac:dyDescent="0.25">
      <c r="A58" s="25">
        <v>65</v>
      </c>
      <c r="B58" s="53" t="str">
        <f>IF('All Solo Standards Source'!B59&lt;1/24,TEXT('All Solo Standards Source'!B59,"M:SS"),TEXT('All Solo Standards Source'!B59,"H:MM:SS"))</f>
        <v>28:42</v>
      </c>
      <c r="C58" s="53" t="str">
        <f>IF('All Solo Standards Source'!F59&lt;1/24,TEXT('All Solo Standards Source'!F59,"M:SS"),TEXT('All Solo Standards Source'!F59,"H:MM:SS"))</f>
        <v>43:14</v>
      </c>
      <c r="D58" s="53" t="str">
        <f>IF('All Solo Standards Source'!J59&lt;1/24,TEXT('All Solo Standards Source'!J59,"M:SS"),TEXT('All Solo Standards Source'!J59,"H:MM:SS"))</f>
        <v>1:12:39</v>
      </c>
      <c r="E58" s="53" t="str">
        <f>IF('All Solo Standards Source'!N59&lt;1/24,TEXT('All Solo Standards Source'!N59,"M:SS"),TEXT('All Solo Standards Source'!N59,"H:MM:SS"))</f>
        <v>1:27:33</v>
      </c>
      <c r="F58" s="53" t="str">
        <f>IF('All Solo Standards Source'!R59&lt;1/24,TEXT('All Solo Standards Source'!R59,"M:SS"),TEXT('All Solo Standards Source'!R59,"H:MM:SS"))</f>
        <v>2:28:27</v>
      </c>
      <c r="G58" s="53" t="str">
        <f>IF('All Solo Standards Source'!V59&lt;1/24,TEXT('All Solo Standards Source'!V59,"M:SS"),TEXT('All Solo Standards Source'!V59,"H:MM:SS"))</f>
        <v>5:10:27</v>
      </c>
      <c r="H58" s="53" t="str">
        <f>TEXT('All Solo Standards Source'!Z59,"0.00")</f>
        <v>180.76</v>
      </c>
      <c r="I58" s="53" t="str">
        <f>TEXT('All Solo Standards Source'!AD59,"0.00")</f>
        <v>287.87</v>
      </c>
      <c r="J58" s="57" t="str">
        <f>IF('All Solo Standards Source'!C59&lt;1/24,TEXT('All Solo Standards Source'!C59,"M:SS"),TEXT('All Solo Standards Source'!C59,"H:MM:SS"))</f>
        <v>31:09</v>
      </c>
      <c r="K58" s="57" t="str">
        <f>IF('All Solo Standards Source'!G59&lt;1/24,TEXT('All Solo Standards Source'!G59,"M:SS"),TEXT('All Solo Standards Source'!G59,"H:MM:SS"))</f>
        <v>46:56</v>
      </c>
      <c r="L58" s="57" t="str">
        <f>IF('All Solo Standards Source'!K59&lt;1/24,TEXT('All Solo Standards Source'!K59,"M:SS"),TEXT('All Solo Standards Source'!K59,"H:MM:SS"))</f>
        <v>1:18:53</v>
      </c>
      <c r="M58" s="57" t="str">
        <f>IF('All Solo Standards Source'!O59&lt;1/24,TEXT('All Solo Standards Source'!O59,"M:SS"),TEXT('All Solo Standards Source'!O59,"H:MM:SS"))</f>
        <v>1:35:04</v>
      </c>
      <c r="N58" s="57" t="str">
        <f>IF('All Solo Standards Source'!S59&lt;1/24,TEXT('All Solo Standards Source'!S59,"M:SS"),TEXT('All Solo Standards Source'!S59,"H:MM:SS"))</f>
        <v>2:41:11</v>
      </c>
      <c r="O58" s="57" t="str">
        <f>IF('All Solo Standards Source'!W59&lt;1/24,TEXT('All Solo Standards Source'!W59,"M:SS"),TEXT('All Solo Standards Source'!W59,"H:MM:SS"))</f>
        <v>5:37:09</v>
      </c>
      <c r="P58" s="57" t="str">
        <f>TEXT('All Solo Standards Source'!AA59,"0.00")</f>
        <v>161.22</v>
      </c>
      <c r="Q58" s="57" t="str">
        <f>TEXT('All Solo Standards Source'!AE59,"0.00")</f>
        <v>262.75</v>
      </c>
      <c r="R58" s="50" t="str">
        <f>IF('All Solo Standards Source'!D59&lt;1/24,TEXT('All Solo Standards Source'!D59,"M:SS"),TEXT('All Solo Standards Source'!D59,"H:MM:SS"))</f>
        <v>30:50</v>
      </c>
      <c r="S58" s="50" t="str">
        <f>IF('All Solo Standards Source'!H59&lt;1/24,TEXT('All Solo Standards Source'!H59,"M:SS"),TEXT('All Solo Standards Source'!H59,"H:MM:SS"))</f>
        <v>46:27</v>
      </c>
      <c r="T58" s="50" t="str">
        <f>IF('All Solo Standards Source'!L59&lt;1/24,TEXT('All Solo Standards Source'!L59,"M:SS"),TEXT('All Solo Standards Source'!L59,"H:MM:SS"))</f>
        <v>1:18:04</v>
      </c>
      <c r="U58" s="50" t="str">
        <f>IF('All Solo Standards Source'!P59&lt;1/24,TEXT('All Solo Standards Source'!P59,"M:SS"),TEXT('All Solo Standards Source'!P59,"H:MM:SS"))</f>
        <v>1:34:05</v>
      </c>
      <c r="V58" s="50" t="str">
        <f>IF('All Solo Standards Source'!T59&lt;1/24,TEXT('All Solo Standards Source'!T59,"M:SS"),TEXT('All Solo Standards Source'!T59,"H:MM:SS"))</f>
        <v>2:39:32</v>
      </c>
      <c r="W58" s="50" t="str">
        <f>IF('All Solo Standards Source'!X59&lt;1/24,TEXT('All Solo Standards Source'!X59,"M:SS"),TEXT('All Solo Standards Source'!X59,"H:MM:SS"))</f>
        <v>5:33:41</v>
      </c>
      <c r="X58" s="50" t="str">
        <f>TEXT('All Solo Standards Source'!AB59,"0.00")</f>
        <v>163.59</v>
      </c>
      <c r="Y58" s="50" t="str">
        <f>TEXT('All Solo Standards Source'!AF59,"0.00")</f>
        <v>265.85</v>
      </c>
      <c r="Z58" s="55" t="str">
        <f>IF('All Solo Standards Source'!E59&lt;1/24,TEXT('All Solo Standards Source'!E59,"M:SS"),TEXT('All Solo Standards Source'!E59,"H:MM:SS"))</f>
        <v>33:32</v>
      </c>
      <c r="AA58" s="55" t="str">
        <f>IF('All Solo Standards Source'!I59&lt;1/24,TEXT('All Solo Standards Source'!I59,"M:SS"),TEXT('All Solo Standards Source'!I59,"H:MM:SS"))</f>
        <v>50:30</v>
      </c>
      <c r="AB58" s="55" t="str">
        <f>IF('All Solo Standards Source'!M59&lt;1/24,TEXT('All Solo Standards Source'!M59,"M:SS"),TEXT('All Solo Standards Source'!M59,"H:MM:SS"))</f>
        <v>1:24:54</v>
      </c>
      <c r="AC58" s="55" t="str">
        <f>IF('All Solo Standards Source'!Q59&lt;1/24,TEXT('All Solo Standards Source'!Q59,"M:SS"),TEXT('All Solo Standards Source'!Q59,"H:MM:SS"))</f>
        <v>1:42:18</v>
      </c>
      <c r="AD58" s="55" t="str">
        <f>IF('All Solo Standards Source'!U59&lt;1/24,TEXT('All Solo Standards Source'!U59,"M:SS"),TEXT('All Solo Standards Source'!U59,"H:MM:SS"))</f>
        <v>2:53:29</v>
      </c>
      <c r="AE58" s="55" t="str">
        <f>IF('All Solo Standards Source'!Y59&lt;1/24,TEXT('All Solo Standards Source'!Y59,"M:SS"),TEXT('All Solo Standards Source'!Y59,"H:MM:SS"))</f>
        <v>6:02:55</v>
      </c>
      <c r="AF58" s="55" t="str">
        <f>TEXT('All Solo Standards Source'!AC59,"0.00")</f>
        <v>145.02</v>
      </c>
      <c r="AG58" s="55" t="str">
        <f>TEXT('All Solo Standards Source'!AG59,"0.00")</f>
        <v>241.16</v>
      </c>
    </row>
    <row r="59" spans="1:33" x14ac:dyDescent="0.25">
      <c r="A59" s="25">
        <v>66</v>
      </c>
      <c r="B59" s="53" t="str">
        <f>IF('All Solo Standards Source'!B60&lt;1/24,TEXT('All Solo Standards Source'!B60,"M:SS"),TEXT('All Solo Standards Source'!B60,"H:MM:SS"))</f>
        <v>28:53</v>
      </c>
      <c r="C59" s="53" t="str">
        <f>IF('All Solo Standards Source'!F60&lt;1/24,TEXT('All Solo Standards Source'!F60,"M:SS"),TEXT('All Solo Standards Source'!F60,"H:MM:SS"))</f>
        <v>43:30</v>
      </c>
      <c r="D59" s="53" t="str">
        <f>IF('All Solo Standards Source'!J60&lt;1/24,TEXT('All Solo Standards Source'!J60,"M:SS"),TEXT('All Solo Standards Source'!J60,"H:MM:SS"))</f>
        <v>1:13:07</v>
      </c>
      <c r="E59" s="53" t="str">
        <f>IF('All Solo Standards Source'!N60&lt;1/24,TEXT('All Solo Standards Source'!N60,"M:SS"),TEXT('All Solo Standards Source'!N60,"H:MM:SS"))</f>
        <v>1:28:07</v>
      </c>
      <c r="F59" s="53" t="str">
        <f>IF('All Solo Standards Source'!R60&lt;1/24,TEXT('All Solo Standards Source'!R60,"M:SS"),TEXT('All Solo Standards Source'!R60,"H:MM:SS"))</f>
        <v>2:29:26</v>
      </c>
      <c r="G59" s="53" t="str">
        <f>IF('All Solo Standards Source'!V60&lt;1/24,TEXT('All Solo Standards Source'!V60,"M:SS"),TEXT('All Solo Standards Source'!V60,"H:MM:SS"))</f>
        <v>5:12:43</v>
      </c>
      <c r="H59" s="53" t="str">
        <f>TEXT('All Solo Standards Source'!Z60,"0.00")</f>
        <v>178.31</v>
      </c>
      <c r="I59" s="53" t="str">
        <f>TEXT('All Solo Standards Source'!AD60,"0.00")</f>
        <v>283.10</v>
      </c>
      <c r="J59" s="57" t="str">
        <f>IF('All Solo Standards Source'!C60&lt;1/24,TEXT('All Solo Standards Source'!C60,"M:SS"),TEXT('All Solo Standards Source'!C60,"H:MM:SS"))</f>
        <v>31:28</v>
      </c>
      <c r="K59" s="57" t="str">
        <f>IF('All Solo Standards Source'!G60&lt;1/24,TEXT('All Solo Standards Source'!G60,"M:SS"),TEXT('All Solo Standards Source'!G60,"H:MM:SS"))</f>
        <v>47:23</v>
      </c>
      <c r="L59" s="57" t="str">
        <f>IF('All Solo Standards Source'!K60&lt;1/24,TEXT('All Solo Standards Source'!K60,"M:SS"),TEXT('All Solo Standards Source'!K60,"H:MM:SS"))</f>
        <v>1:19:40</v>
      </c>
      <c r="M59" s="57" t="str">
        <f>IF('All Solo Standards Source'!O60&lt;1/24,TEXT('All Solo Standards Source'!O60,"M:SS"),TEXT('All Solo Standards Source'!O60,"H:MM:SS"))</f>
        <v>1:36:00</v>
      </c>
      <c r="N59" s="57" t="str">
        <f>IF('All Solo Standards Source'!S60&lt;1/24,TEXT('All Solo Standards Source'!S60,"M:SS"),TEXT('All Solo Standards Source'!S60,"H:MM:SS"))</f>
        <v>2:42:50</v>
      </c>
      <c r="O59" s="57" t="str">
        <f>IF('All Solo Standards Source'!W60&lt;1/24,TEXT('All Solo Standards Source'!W60,"M:SS"),TEXT('All Solo Standards Source'!W60,"H:MM:SS"))</f>
        <v>5:40:49</v>
      </c>
      <c r="P59" s="57" t="str">
        <f>TEXT('All Solo Standards Source'!AA60,"0.00")</f>
        <v>158.24</v>
      </c>
      <c r="Q59" s="57" t="str">
        <f>TEXT('All Solo Standards Source'!AE60,"0.00")</f>
        <v>257.42</v>
      </c>
      <c r="R59" s="50" t="str">
        <f>IF('All Solo Standards Source'!D60&lt;1/24,TEXT('All Solo Standards Source'!D60,"M:SS"),TEXT('All Solo Standards Source'!D60,"H:MM:SS"))</f>
        <v>31:02</v>
      </c>
      <c r="S59" s="50" t="str">
        <f>IF('All Solo Standards Source'!H60&lt;1/24,TEXT('All Solo Standards Source'!H60,"M:SS"),TEXT('All Solo Standards Source'!H60,"H:MM:SS"))</f>
        <v>46:45</v>
      </c>
      <c r="T59" s="50" t="str">
        <f>IF('All Solo Standards Source'!L60&lt;1/24,TEXT('All Solo Standards Source'!L60,"M:SS"),TEXT('All Solo Standards Source'!L60,"H:MM:SS"))</f>
        <v>1:18:34</v>
      </c>
      <c r="U59" s="50" t="str">
        <f>IF('All Solo Standards Source'!P60&lt;1/24,TEXT('All Solo Standards Source'!P60,"M:SS"),TEXT('All Solo Standards Source'!P60,"H:MM:SS"))</f>
        <v>1:34:42</v>
      </c>
      <c r="V59" s="50" t="str">
        <f>IF('All Solo Standards Source'!T60&lt;1/24,TEXT('All Solo Standards Source'!T60,"M:SS"),TEXT('All Solo Standards Source'!T60,"H:MM:SS"))</f>
        <v>2:40:36</v>
      </c>
      <c r="W59" s="50" t="str">
        <f>IF('All Solo Standards Source'!X60&lt;1/24,TEXT('All Solo Standards Source'!X60,"M:SS"),TEXT('All Solo Standards Source'!X60,"H:MM:SS"))</f>
        <v>5:36:09</v>
      </c>
      <c r="X59" s="50" t="str">
        <f>TEXT('All Solo Standards Source'!AB60,"0.00")</f>
        <v>161.35</v>
      </c>
      <c r="Y59" s="50" t="str">
        <f>TEXT('All Solo Standards Source'!AF60,"0.00")</f>
        <v>261.47</v>
      </c>
      <c r="Z59" s="55" t="str">
        <f>IF('All Solo Standards Source'!E60&lt;1/24,TEXT('All Solo Standards Source'!E60,"M:SS"),TEXT('All Solo Standards Source'!E60,"H:MM:SS"))</f>
        <v>33:52</v>
      </c>
      <c r="AA59" s="55" t="str">
        <f>IF('All Solo Standards Source'!I60&lt;1/24,TEXT('All Solo Standards Source'!I60,"M:SS"),TEXT('All Solo Standards Source'!I60,"H:MM:SS"))</f>
        <v>51:00</v>
      </c>
      <c r="AB59" s="55" t="str">
        <f>IF('All Solo Standards Source'!M60&lt;1/24,TEXT('All Solo Standards Source'!M60,"M:SS"),TEXT('All Solo Standards Source'!M60,"H:MM:SS"))</f>
        <v>1:25:45</v>
      </c>
      <c r="AC59" s="55" t="str">
        <f>IF('All Solo Standards Source'!Q60&lt;1/24,TEXT('All Solo Standards Source'!Q60,"M:SS"),TEXT('All Solo Standards Source'!Q60,"H:MM:SS"))</f>
        <v>1:43:20</v>
      </c>
      <c r="AD59" s="55" t="str">
        <f>IF('All Solo Standards Source'!U60&lt;1/24,TEXT('All Solo Standards Source'!U60,"M:SS"),TEXT('All Solo Standards Source'!U60,"H:MM:SS"))</f>
        <v>2:55:17</v>
      </c>
      <c r="AE59" s="55" t="str">
        <f>IF('All Solo Standards Source'!Y60&lt;1/24,TEXT('All Solo Standards Source'!Y60,"M:SS"),TEXT('All Solo Standards Source'!Y60,"H:MM:SS"))</f>
        <v>6:06:56</v>
      </c>
      <c r="AF59" s="55" t="str">
        <f>TEXT('All Solo Standards Source'!AC60,"0.00")</f>
        <v>142.26</v>
      </c>
      <c r="AG59" s="55" t="str">
        <f>TEXT('All Solo Standards Source'!AG60,"0.00")</f>
        <v>236.21</v>
      </c>
    </row>
    <row r="60" spans="1:33" x14ac:dyDescent="0.25">
      <c r="A60" s="25">
        <v>67</v>
      </c>
      <c r="B60" s="53" t="str">
        <f>IF('All Solo Standards Source'!B61&lt;1/24,TEXT('All Solo Standards Source'!B61,"M:SS"),TEXT('All Solo Standards Source'!B61,"H:MM:SS"))</f>
        <v>29:04</v>
      </c>
      <c r="C60" s="53" t="str">
        <f>IF('All Solo Standards Source'!F61&lt;1/24,TEXT('All Solo Standards Source'!F61,"M:SS"),TEXT('All Solo Standards Source'!F61,"H:MM:SS"))</f>
        <v>43:46</v>
      </c>
      <c r="D60" s="53" t="str">
        <f>IF('All Solo Standards Source'!J61&lt;1/24,TEXT('All Solo Standards Source'!J61,"M:SS"),TEXT('All Solo Standards Source'!J61,"H:MM:SS"))</f>
        <v>1:13:35</v>
      </c>
      <c r="E60" s="53" t="str">
        <f>IF('All Solo Standards Source'!N61&lt;1/24,TEXT('All Solo Standards Source'!N61,"M:SS"),TEXT('All Solo Standards Source'!N61,"H:MM:SS"))</f>
        <v>1:28:42</v>
      </c>
      <c r="F60" s="53" t="str">
        <f>IF('All Solo Standards Source'!R61&lt;1/24,TEXT('All Solo Standards Source'!R61,"M:SS"),TEXT('All Solo Standards Source'!R61,"H:MM:SS"))</f>
        <v>2:30:27</v>
      </c>
      <c r="G60" s="53" t="str">
        <f>IF('All Solo Standards Source'!V61&lt;1/24,TEXT('All Solo Standards Source'!V61,"M:SS"),TEXT('All Solo Standards Source'!V61,"H:MM:SS"))</f>
        <v>5:15:04</v>
      </c>
      <c r="H60" s="53" t="str">
        <f>TEXT('All Solo Standards Source'!Z61,"0.00")</f>
        <v>175.79</v>
      </c>
      <c r="I60" s="53" t="str">
        <f>TEXT('All Solo Standards Source'!AD61,"0.00")</f>
        <v>278.24</v>
      </c>
      <c r="J60" s="57" t="str">
        <f>IF('All Solo Standards Source'!C61&lt;1/24,TEXT('All Solo Standards Source'!C61,"M:SS"),TEXT('All Solo Standards Source'!C61,"H:MM:SS"))</f>
        <v>31:47</v>
      </c>
      <c r="K60" s="57" t="str">
        <f>IF('All Solo Standards Source'!G61&lt;1/24,TEXT('All Solo Standards Source'!G61,"M:SS"),TEXT('All Solo Standards Source'!G61,"H:MM:SS"))</f>
        <v>47:53</v>
      </c>
      <c r="L60" s="57" t="str">
        <f>IF('All Solo Standards Source'!K61&lt;1/24,TEXT('All Solo Standards Source'!K61,"M:SS"),TEXT('All Solo Standards Source'!K61,"H:MM:SS"))</f>
        <v>1:20:31</v>
      </c>
      <c r="M60" s="57" t="str">
        <f>IF('All Solo Standards Source'!O61&lt;1/24,TEXT('All Solo Standards Source'!O61,"M:SS"),TEXT('All Solo Standards Source'!O61,"H:MM:SS"))</f>
        <v>1:37:02</v>
      </c>
      <c r="N60" s="57" t="str">
        <f>IF('All Solo Standards Source'!S61&lt;1/24,TEXT('All Solo Standards Source'!S61,"M:SS"),TEXT('All Solo Standards Source'!S61,"H:MM:SS"))</f>
        <v>2:44:38</v>
      </c>
      <c r="O60" s="57" t="str">
        <f>IF('All Solo Standards Source'!W61&lt;1/24,TEXT('All Solo Standards Source'!W61,"M:SS"),TEXT('All Solo Standards Source'!W61,"H:MM:SS"))</f>
        <v>5:44:50</v>
      </c>
      <c r="P60" s="57" t="str">
        <f>TEXT('All Solo Standards Source'!AA61,"0.00")</f>
        <v>155.09</v>
      </c>
      <c r="Q60" s="57" t="str">
        <f>TEXT('All Solo Standards Source'!AE61,"0.00")</f>
        <v>251.87</v>
      </c>
      <c r="R60" s="50" t="str">
        <f>IF('All Solo Standards Source'!D61&lt;1/24,TEXT('All Solo Standards Source'!D61,"M:SS"),TEXT('All Solo Standards Source'!D61,"H:MM:SS"))</f>
        <v>31:14</v>
      </c>
      <c r="S60" s="50" t="str">
        <f>IF('All Solo Standards Source'!H61&lt;1/24,TEXT('All Solo Standards Source'!H61,"M:SS"),TEXT('All Solo Standards Source'!H61,"H:MM:SS"))</f>
        <v>47:03</v>
      </c>
      <c r="T60" s="50" t="str">
        <f>IF('All Solo Standards Source'!L61&lt;1/24,TEXT('All Solo Standards Source'!L61,"M:SS"),TEXT('All Solo Standards Source'!L61,"H:MM:SS"))</f>
        <v>1:19:06</v>
      </c>
      <c r="U60" s="50" t="str">
        <f>IF('All Solo Standards Source'!P61&lt;1/24,TEXT('All Solo Standards Source'!P61,"M:SS"),TEXT('All Solo Standards Source'!P61,"H:MM:SS"))</f>
        <v>1:35:20</v>
      </c>
      <c r="V60" s="50" t="str">
        <f>IF('All Solo Standards Source'!T61&lt;1/24,TEXT('All Solo Standards Source'!T61,"M:SS"),TEXT('All Solo Standards Source'!T61,"H:MM:SS"))</f>
        <v>2:41:43</v>
      </c>
      <c r="W60" s="50" t="str">
        <f>IF('All Solo Standards Source'!X61&lt;1/24,TEXT('All Solo Standards Source'!X61,"M:SS"),TEXT('All Solo Standards Source'!X61,"H:MM:SS"))</f>
        <v>5:38:44</v>
      </c>
      <c r="X60" s="50" t="str">
        <f>TEXT('All Solo Standards Source'!AB61,"0.00")</f>
        <v>159.05</v>
      </c>
      <c r="Y60" s="50" t="str">
        <f>TEXT('All Solo Standards Source'!AF61,"0.00")</f>
        <v>257.00</v>
      </c>
      <c r="Z60" s="55" t="str">
        <f>IF('All Solo Standards Source'!E61&lt;1/24,TEXT('All Solo Standards Source'!E61,"M:SS"),TEXT('All Solo Standards Source'!E61,"H:MM:SS"))</f>
        <v>34:13</v>
      </c>
      <c r="AA60" s="55" t="str">
        <f>IF('All Solo Standards Source'!I61&lt;1/24,TEXT('All Solo Standards Source'!I61,"M:SS"),TEXT('All Solo Standards Source'!I61,"H:MM:SS"))</f>
        <v>51:33</v>
      </c>
      <c r="AB60" s="55" t="str">
        <f>IF('All Solo Standards Source'!M61&lt;1/24,TEXT('All Solo Standards Source'!M61,"M:SS"),TEXT('All Solo Standards Source'!M61,"H:MM:SS"))</f>
        <v>1:26:41</v>
      </c>
      <c r="AC60" s="55" t="str">
        <f>IF('All Solo Standards Source'!Q61&lt;1/24,TEXT('All Solo Standards Source'!Q61,"M:SS"),TEXT('All Solo Standards Source'!Q61,"H:MM:SS"))</f>
        <v>1:44:28</v>
      </c>
      <c r="AD60" s="55" t="str">
        <f>IF('All Solo Standards Source'!U61&lt;1/24,TEXT('All Solo Standards Source'!U61,"M:SS"),TEXT('All Solo Standards Source'!U61,"H:MM:SS"))</f>
        <v>2:57:15</v>
      </c>
      <c r="AE60" s="55" t="str">
        <f>IF('All Solo Standards Source'!Y61&lt;1/24,TEXT('All Solo Standards Source'!Y61,"M:SS"),TEXT('All Solo Standards Source'!Y61,"H:MM:SS"))</f>
        <v>6:11:20</v>
      </c>
      <c r="AF60" s="55" t="str">
        <f>TEXT('All Solo Standards Source'!AC61,"0.00")</f>
        <v>139.36</v>
      </c>
      <c r="AG60" s="55" t="str">
        <f>TEXT('All Solo Standards Source'!AG61,"0.00")</f>
        <v>231.04</v>
      </c>
    </row>
    <row r="61" spans="1:33" x14ac:dyDescent="0.25">
      <c r="A61" s="25">
        <v>68</v>
      </c>
      <c r="B61" s="53" t="str">
        <f>IF('All Solo Standards Source'!B62&lt;1/24,TEXT('All Solo Standards Source'!B62,"M:SS"),TEXT('All Solo Standards Source'!B62,"H:MM:SS"))</f>
        <v>29:15</v>
      </c>
      <c r="C61" s="53" t="str">
        <f>IF('All Solo Standards Source'!F62&lt;1/24,TEXT('All Solo Standards Source'!F62,"M:SS"),TEXT('All Solo Standards Source'!F62,"H:MM:SS"))</f>
        <v>44:04</v>
      </c>
      <c r="D61" s="53" t="str">
        <f>IF('All Solo Standards Source'!J62&lt;1/24,TEXT('All Solo Standards Source'!J62,"M:SS"),TEXT('All Solo Standards Source'!J62,"H:MM:SS"))</f>
        <v>1:14:05</v>
      </c>
      <c r="E61" s="53" t="str">
        <f>IF('All Solo Standards Source'!N62&lt;1/24,TEXT('All Solo Standards Source'!N62,"M:SS"),TEXT('All Solo Standards Source'!N62,"H:MM:SS"))</f>
        <v>1:29:18</v>
      </c>
      <c r="F61" s="53" t="str">
        <f>IF('All Solo Standards Source'!R62&lt;1/24,TEXT('All Solo Standards Source'!R62,"M:SS"),TEXT('All Solo Standards Source'!R62,"H:MM:SS"))</f>
        <v>2:31:31</v>
      </c>
      <c r="G61" s="53" t="str">
        <f>IF('All Solo Standards Source'!V62&lt;1/24,TEXT('All Solo Standards Source'!V62,"M:SS"),TEXT('All Solo Standards Source'!V62,"H:MM:SS"))</f>
        <v>5:17:32</v>
      </c>
      <c r="H61" s="53" t="str">
        <f>TEXT('All Solo Standards Source'!Z62,"0.00")</f>
        <v>173.23</v>
      </c>
      <c r="I61" s="53" t="str">
        <f>TEXT('All Solo Standards Source'!AD62,"0.00")</f>
        <v>273.29</v>
      </c>
      <c r="J61" s="57" t="str">
        <f>IF('All Solo Standards Source'!C62&lt;1/24,TEXT('All Solo Standards Source'!C62,"M:SS"),TEXT('All Solo Standards Source'!C62,"H:MM:SS"))</f>
        <v>32:09</v>
      </c>
      <c r="K61" s="57" t="str">
        <f>IF('All Solo Standards Source'!G62&lt;1/24,TEXT('All Solo Standards Source'!G62,"M:SS"),TEXT('All Solo Standards Source'!G62,"H:MM:SS"))</f>
        <v>48:26</v>
      </c>
      <c r="L61" s="57" t="str">
        <f>IF('All Solo Standards Source'!K62&lt;1/24,TEXT('All Solo Standards Source'!K62,"M:SS"),TEXT('All Solo Standards Source'!K62,"H:MM:SS"))</f>
        <v>1:21:27</v>
      </c>
      <c r="M61" s="57" t="str">
        <f>IF('All Solo Standards Source'!O62&lt;1/24,TEXT('All Solo Standards Source'!O62,"M:SS"),TEXT('All Solo Standards Source'!O62,"H:MM:SS"))</f>
        <v>1:38:10</v>
      </c>
      <c r="N61" s="57" t="str">
        <f>IF('All Solo Standards Source'!S62&lt;1/24,TEXT('All Solo Standards Source'!S62,"M:SS"),TEXT('All Solo Standards Source'!S62,"H:MM:SS"))</f>
        <v>2:46:36</v>
      </c>
      <c r="O61" s="57" t="str">
        <f>IF('All Solo Standards Source'!W62&lt;1/24,TEXT('All Solo Standards Source'!W62,"M:SS"),TEXT('All Solo Standards Source'!W62,"H:MM:SS"))</f>
        <v>5:49:14</v>
      </c>
      <c r="P61" s="57" t="str">
        <f>TEXT('All Solo Standards Source'!AA62,"0.00")</f>
        <v>151.78</v>
      </c>
      <c r="Q61" s="57" t="str">
        <f>TEXT('All Solo Standards Source'!AE62,"0.00")</f>
        <v>246.09</v>
      </c>
      <c r="R61" s="50" t="str">
        <f>IF('All Solo Standards Source'!D62&lt;1/24,TEXT('All Solo Standards Source'!D62,"M:SS"),TEXT('All Solo Standards Source'!D62,"H:MM:SS"))</f>
        <v>31:26</v>
      </c>
      <c r="S61" s="50" t="str">
        <f>IF('All Solo Standards Source'!H62&lt;1/24,TEXT('All Solo Standards Source'!H62,"M:SS"),TEXT('All Solo Standards Source'!H62,"H:MM:SS"))</f>
        <v>47:22</v>
      </c>
      <c r="T61" s="50" t="str">
        <f>IF('All Solo Standards Source'!L62&lt;1/24,TEXT('All Solo Standards Source'!L62,"M:SS"),TEXT('All Solo Standards Source'!L62,"H:MM:SS"))</f>
        <v>1:19:38</v>
      </c>
      <c r="U61" s="50" t="str">
        <f>IF('All Solo Standards Source'!P62&lt;1/24,TEXT('All Solo Standards Source'!P62,"M:SS"),TEXT('All Solo Standards Source'!P62,"H:MM:SS"))</f>
        <v>1:35:59</v>
      </c>
      <c r="V61" s="50" t="str">
        <f>IF('All Solo Standards Source'!T62&lt;1/24,TEXT('All Solo Standards Source'!T62,"M:SS"),TEXT('All Solo Standards Source'!T62,"H:MM:SS"))</f>
        <v>2:42:53</v>
      </c>
      <c r="W61" s="50" t="str">
        <f>IF('All Solo Standards Source'!X62&lt;1/24,TEXT('All Solo Standards Source'!X62,"M:SS"),TEXT('All Solo Standards Source'!X62,"H:MM:SS"))</f>
        <v>5:41:26</v>
      </c>
      <c r="X61" s="50" t="str">
        <f>TEXT('All Solo Standards Source'!AB62,"0.00")</f>
        <v>156.71</v>
      </c>
      <c r="Y61" s="50" t="str">
        <f>TEXT('All Solo Standards Source'!AF62,"0.00")</f>
        <v>252.44</v>
      </c>
      <c r="Z61" s="55" t="str">
        <f>IF('All Solo Standards Source'!E62&lt;1/24,TEXT('All Solo Standards Source'!E62,"M:SS"),TEXT('All Solo Standards Source'!E62,"H:MM:SS"))</f>
        <v>34:37</v>
      </c>
      <c r="AA61" s="55" t="str">
        <f>IF('All Solo Standards Source'!I62&lt;1/24,TEXT('All Solo Standards Source'!I62,"M:SS"),TEXT('All Solo Standards Source'!I62,"H:MM:SS"))</f>
        <v>52:10</v>
      </c>
      <c r="AB61" s="55" t="str">
        <f>IF('All Solo Standards Source'!M62&lt;1/24,TEXT('All Solo Standards Source'!M62,"M:SS"),TEXT('All Solo Standards Source'!M62,"H:MM:SS"))</f>
        <v>1:27:42</v>
      </c>
      <c r="AC61" s="55" t="str">
        <f>IF('All Solo Standards Source'!Q62&lt;1/24,TEXT('All Solo Standards Source'!Q62,"M:SS"),TEXT('All Solo Standards Source'!Q62,"H:MM:SS"))</f>
        <v>1:45:43</v>
      </c>
      <c r="AD61" s="55" t="str">
        <f>IF('All Solo Standards Source'!U62&lt;1/24,TEXT('All Solo Standards Source'!U62,"M:SS"),TEXT('All Solo Standards Source'!U62,"H:MM:SS"))</f>
        <v>2:59:24</v>
      </c>
      <c r="AE61" s="55" t="str">
        <f>IF('All Solo Standards Source'!Y62&lt;1/24,TEXT('All Solo Standards Source'!Y62,"M:SS"),TEXT('All Solo Standards Source'!Y62,"H:MM:SS"))</f>
        <v>6:16:09</v>
      </c>
      <c r="AF61" s="55" t="str">
        <f>TEXT('All Solo Standards Source'!AC62,"0.00")</f>
        <v>136.29</v>
      </c>
      <c r="AG61" s="55" t="str">
        <f>TEXT('All Solo Standards Source'!AG62,"0.00")</f>
        <v>225.64</v>
      </c>
    </row>
    <row r="62" spans="1:33" x14ac:dyDescent="0.25">
      <c r="A62" s="25">
        <v>69</v>
      </c>
      <c r="B62" s="53" t="str">
        <f>IF('All Solo Standards Source'!B63&lt;1/24,TEXT('All Solo Standards Source'!B63,"M:SS"),TEXT('All Solo Standards Source'!B63,"H:MM:SS"))</f>
        <v>29:27</v>
      </c>
      <c r="C62" s="53" t="str">
        <f>IF('All Solo Standards Source'!F63&lt;1/24,TEXT('All Solo Standards Source'!F63,"M:SS"),TEXT('All Solo Standards Source'!F63,"H:MM:SS"))</f>
        <v>44:22</v>
      </c>
      <c r="D62" s="53" t="str">
        <f>IF('All Solo Standards Source'!J63&lt;1/24,TEXT('All Solo Standards Source'!J63,"M:SS"),TEXT('All Solo Standards Source'!J63,"H:MM:SS"))</f>
        <v>1:14:36</v>
      </c>
      <c r="E62" s="53" t="str">
        <f>IF('All Solo Standards Source'!N63&lt;1/24,TEXT('All Solo Standards Source'!N63,"M:SS"),TEXT('All Solo Standards Source'!N63,"H:MM:SS"))</f>
        <v>1:29:55</v>
      </c>
      <c r="F62" s="53" t="str">
        <f>IF('All Solo Standards Source'!R63&lt;1/24,TEXT('All Solo Standards Source'!R63,"M:SS"),TEXT('All Solo Standards Source'!R63,"H:MM:SS"))</f>
        <v>2:32:37</v>
      </c>
      <c r="G62" s="53" t="str">
        <f>IF('All Solo Standards Source'!V63&lt;1/24,TEXT('All Solo Standards Source'!V63,"M:SS"),TEXT('All Solo Standards Source'!V63,"H:MM:SS"))</f>
        <v>5:20:06</v>
      </c>
      <c r="H62" s="53" t="str">
        <f>TEXT('All Solo Standards Source'!Z63,"0.00")</f>
        <v>170.61</v>
      </c>
      <c r="I62" s="53" t="str">
        <f>TEXT('All Solo Standards Source'!AD63,"0.00")</f>
        <v>268.24</v>
      </c>
      <c r="J62" s="57" t="str">
        <f>IF('All Solo Standards Source'!C63&lt;1/24,TEXT('All Solo Standards Source'!C63,"M:SS"),TEXT('All Solo Standards Source'!C63,"H:MM:SS"))</f>
        <v>32:23</v>
      </c>
      <c r="K62" s="57" t="str">
        <f>IF('All Solo Standards Source'!G63&lt;1/24,TEXT('All Solo Standards Source'!G63,"M:SS"),TEXT('All Solo Standards Source'!G63,"H:MM:SS"))</f>
        <v>48:48</v>
      </c>
      <c r="L62" s="57" t="str">
        <f>IF('All Solo Standards Source'!K63&lt;1/24,TEXT('All Solo Standards Source'!K63,"M:SS"),TEXT('All Solo Standards Source'!K63,"H:MM:SS"))</f>
        <v>1:22:03</v>
      </c>
      <c r="M62" s="57" t="str">
        <f>IF('All Solo Standards Source'!O63&lt;1/24,TEXT('All Solo Standards Source'!O63,"M:SS"),TEXT('All Solo Standards Source'!O63,"H:MM:SS"))</f>
        <v>1:38:54</v>
      </c>
      <c r="N62" s="57" t="str">
        <f>IF('All Solo Standards Source'!S63&lt;1/24,TEXT('All Solo Standards Source'!S63,"M:SS"),TEXT('All Solo Standards Source'!S63,"H:MM:SS"))</f>
        <v>2:47:53</v>
      </c>
      <c r="O62" s="57" t="str">
        <f>IF('All Solo Standards Source'!W63&lt;1/24,TEXT('All Solo Standards Source'!W63,"M:SS"),TEXT('All Solo Standards Source'!W63,"H:MM:SS"))</f>
        <v>5:52:13</v>
      </c>
      <c r="P62" s="57" t="str">
        <f>TEXT('All Solo Standards Source'!AA63,"0.00")</f>
        <v>149.39</v>
      </c>
      <c r="Q62" s="57" t="str">
        <f>TEXT('All Solo Standards Source'!AE63,"0.00")</f>
        <v>241.48</v>
      </c>
      <c r="R62" s="50" t="str">
        <f>IF('All Solo Standards Source'!D63&lt;1/24,TEXT('All Solo Standards Source'!D63,"M:SS"),TEXT('All Solo Standards Source'!D63,"H:MM:SS"))</f>
        <v>31:39</v>
      </c>
      <c r="S62" s="50" t="str">
        <f>IF('All Solo Standards Source'!H63&lt;1/24,TEXT('All Solo Standards Source'!H63,"M:SS"),TEXT('All Solo Standards Source'!H63,"H:MM:SS"))</f>
        <v>47:42</v>
      </c>
      <c r="T62" s="50" t="str">
        <f>IF('All Solo Standards Source'!L63&lt;1/24,TEXT('All Solo Standards Source'!L63,"M:SS"),TEXT('All Solo Standards Source'!L63,"H:MM:SS"))</f>
        <v>1:20:12</v>
      </c>
      <c r="U62" s="50" t="str">
        <f>IF('All Solo Standards Source'!P63&lt;1/24,TEXT('All Solo Standards Source'!P63,"M:SS"),TEXT('All Solo Standards Source'!P63,"H:MM:SS"))</f>
        <v>1:36:40</v>
      </c>
      <c r="V62" s="50" t="str">
        <f>IF('All Solo Standards Source'!T63&lt;1/24,TEXT('All Solo Standards Source'!T63,"M:SS"),TEXT('All Solo Standards Source'!T63,"H:MM:SS"))</f>
        <v>2:44:06</v>
      </c>
      <c r="W62" s="50" t="str">
        <f>IF('All Solo Standards Source'!X63&lt;1/24,TEXT('All Solo Standards Source'!X63,"M:SS"),TEXT('All Solo Standards Source'!X63,"H:MM:SS"))</f>
        <v>5:44:15</v>
      </c>
      <c r="X62" s="50" t="str">
        <f>TEXT('All Solo Standards Source'!AB63,"0.00")</f>
        <v>154.31</v>
      </c>
      <c r="Y62" s="50" t="str">
        <f>TEXT('All Solo Standards Source'!AF63,"0.00")</f>
        <v>247.80</v>
      </c>
      <c r="Z62" s="55" t="str">
        <f>IF('All Solo Standards Source'!E63&lt;1/24,TEXT('All Solo Standards Source'!E63,"M:SS"),TEXT('All Solo Standards Source'!E63,"H:MM:SS"))</f>
        <v>34:52</v>
      </c>
      <c r="AA62" s="55" t="str">
        <f>IF('All Solo Standards Source'!I63&lt;1/24,TEXT('All Solo Standards Source'!I63,"M:SS"),TEXT('All Solo Standards Source'!I63,"H:MM:SS"))</f>
        <v>52:33</v>
      </c>
      <c r="AB62" s="55" t="str">
        <f>IF('All Solo Standards Source'!M63&lt;1/24,TEXT('All Solo Standards Source'!M63,"M:SS"),TEXT('All Solo Standards Source'!M63,"H:MM:SS"))</f>
        <v>1:28:22</v>
      </c>
      <c r="AC62" s="55" t="str">
        <f>IF('All Solo Standards Source'!Q63&lt;1/24,TEXT('All Solo Standards Source'!Q63,"M:SS"),TEXT('All Solo Standards Source'!Q63,"H:MM:SS"))</f>
        <v>1:46:31</v>
      </c>
      <c r="AD62" s="55" t="str">
        <f>IF('All Solo Standards Source'!U63&lt;1/24,TEXT('All Solo Standards Source'!U63,"M:SS"),TEXT('All Solo Standards Source'!U63,"H:MM:SS"))</f>
        <v>3:00:49</v>
      </c>
      <c r="AE62" s="55" t="str">
        <f>IF('All Solo Standards Source'!Y63&lt;1/24,TEXT('All Solo Standards Source'!Y63,"M:SS"),TEXT('All Solo Standards Source'!Y63,"H:MM:SS"))</f>
        <v>6:19:26</v>
      </c>
      <c r="AF62" s="55" t="str">
        <f>TEXT('All Solo Standards Source'!AC63,"0.00")</f>
        <v>134.10</v>
      </c>
      <c r="AG62" s="55" t="str">
        <f>TEXT('All Solo Standards Source'!AG63,"0.00")</f>
        <v>221.41</v>
      </c>
    </row>
    <row r="63" spans="1:33" x14ac:dyDescent="0.25">
      <c r="A63" s="25">
        <v>70</v>
      </c>
      <c r="B63" s="53" t="str">
        <f>IF('All Solo Standards Source'!B64&lt;1/24,TEXT('All Solo Standards Source'!B64,"M:SS"),TEXT('All Solo Standards Source'!B64,"H:MM:SS"))</f>
        <v>29:39</v>
      </c>
      <c r="C63" s="53" t="str">
        <f>IF('All Solo Standards Source'!F64&lt;1/24,TEXT('All Solo Standards Source'!F64,"M:SS"),TEXT('All Solo Standards Source'!F64,"H:MM:SS"))</f>
        <v>44:41</v>
      </c>
      <c r="D63" s="53" t="str">
        <f>IF('All Solo Standards Source'!J64&lt;1/24,TEXT('All Solo Standards Source'!J64,"M:SS"),TEXT('All Solo Standards Source'!J64,"H:MM:SS"))</f>
        <v>1:15:08</v>
      </c>
      <c r="E63" s="53" t="str">
        <f>IF('All Solo Standards Source'!N64&lt;1/24,TEXT('All Solo Standards Source'!N64,"M:SS"),TEXT('All Solo Standards Source'!N64,"H:MM:SS"))</f>
        <v>1:30:34</v>
      </c>
      <c r="F63" s="53" t="str">
        <f>IF('All Solo Standards Source'!R64&lt;1/24,TEXT('All Solo Standards Source'!R64,"M:SS"),TEXT('All Solo Standards Source'!R64,"H:MM:SS"))</f>
        <v>2:33:46</v>
      </c>
      <c r="G63" s="53" t="str">
        <f>IF('All Solo Standards Source'!V64&lt;1/24,TEXT('All Solo Standards Source'!V64,"M:SS"),TEXT('All Solo Standards Source'!V64,"H:MM:SS"))</f>
        <v>5:22:47</v>
      </c>
      <c r="H63" s="53" t="str">
        <f>TEXT('All Solo Standards Source'!Z64,"0.00")</f>
        <v>167.94</v>
      </c>
      <c r="I63" s="53" t="str">
        <f>TEXT('All Solo Standards Source'!AD64,"0.00")</f>
        <v>263.09</v>
      </c>
      <c r="J63" s="57" t="str">
        <f>IF('All Solo Standards Source'!C64&lt;1/24,TEXT('All Solo Standards Source'!C64,"M:SS"),TEXT('All Solo Standards Source'!C64,"H:MM:SS"))</f>
        <v>32:37</v>
      </c>
      <c r="K63" s="57" t="str">
        <f>IF('All Solo Standards Source'!G64&lt;1/24,TEXT('All Solo Standards Source'!G64,"M:SS"),TEXT('All Solo Standards Source'!G64,"H:MM:SS"))</f>
        <v>49:09</v>
      </c>
      <c r="L63" s="57" t="str">
        <f>IF('All Solo Standards Source'!K64&lt;1/24,TEXT('All Solo Standards Source'!K64,"M:SS"),TEXT('All Solo Standards Source'!K64,"H:MM:SS"))</f>
        <v>1:22:39</v>
      </c>
      <c r="M63" s="57" t="str">
        <f>IF('All Solo Standards Source'!O64&lt;1/24,TEXT('All Solo Standards Source'!O64,"M:SS"),TEXT('All Solo Standards Source'!O64,"H:MM:SS"))</f>
        <v>1:39:38</v>
      </c>
      <c r="N63" s="57" t="str">
        <f>IF('All Solo Standards Source'!S64&lt;1/24,TEXT('All Solo Standards Source'!S64,"M:SS"),TEXT('All Solo Standards Source'!S64,"H:MM:SS"))</f>
        <v>2:49:11</v>
      </c>
      <c r="O63" s="57" t="str">
        <f>IF('All Solo Standards Source'!W64&lt;1/24,TEXT('All Solo Standards Source'!W64,"M:SS"),TEXT('All Solo Standards Source'!W64,"H:MM:SS"))</f>
        <v>5:55:14</v>
      </c>
      <c r="P63" s="57" t="str">
        <f>TEXT('All Solo Standards Source'!AA64,"0.00")</f>
        <v>147.02</v>
      </c>
      <c r="Q63" s="57" t="str">
        <f>TEXT('All Solo Standards Source'!AE64,"0.00")</f>
        <v>236.87</v>
      </c>
      <c r="R63" s="50" t="str">
        <f>IF('All Solo Standards Source'!D64&lt;1/24,TEXT('All Solo Standards Source'!D64,"M:SS"),TEXT('All Solo Standards Source'!D64,"H:MM:SS"))</f>
        <v>31:53</v>
      </c>
      <c r="S63" s="50" t="str">
        <f>IF('All Solo Standards Source'!H64&lt;1/24,TEXT('All Solo Standards Source'!H64,"M:SS"),TEXT('All Solo Standards Source'!H64,"H:MM:SS"))</f>
        <v>48:02</v>
      </c>
      <c r="T63" s="50" t="str">
        <f>IF('All Solo Standards Source'!L64&lt;1/24,TEXT('All Solo Standards Source'!L64,"M:SS"),TEXT('All Solo Standards Source'!L64,"H:MM:SS"))</f>
        <v>1:20:47</v>
      </c>
      <c r="U63" s="50" t="str">
        <f>IF('All Solo Standards Source'!P64&lt;1/24,TEXT('All Solo Standards Source'!P64,"M:SS"),TEXT('All Solo Standards Source'!P64,"H:MM:SS"))</f>
        <v>1:37:23</v>
      </c>
      <c r="V63" s="50" t="str">
        <f>IF('All Solo Standards Source'!T64&lt;1/24,TEXT('All Solo Standards Source'!T64,"M:SS"),TEXT('All Solo Standards Source'!T64,"H:MM:SS"))</f>
        <v>2:45:21</v>
      </c>
      <c r="W63" s="50" t="str">
        <f>IF('All Solo Standards Source'!X64&lt;1/24,TEXT('All Solo Standards Source'!X64,"M:SS"),TEXT('All Solo Standards Source'!X64,"H:MM:SS"))</f>
        <v>5:47:11</v>
      </c>
      <c r="X63" s="50" t="str">
        <f>TEXT('All Solo Standards Source'!AB64,"0.00")</f>
        <v>151.87</v>
      </c>
      <c r="Y63" s="50" t="str">
        <f>TEXT('All Solo Standards Source'!AF64,"0.00")</f>
        <v>243.06</v>
      </c>
      <c r="Z63" s="55" t="str">
        <f>IF('All Solo Standards Source'!E64&lt;1/24,TEXT('All Solo Standards Source'!E64,"M:SS"),TEXT('All Solo Standards Source'!E64,"H:MM:SS"))</f>
        <v>35:08</v>
      </c>
      <c r="AA63" s="55" t="str">
        <f>IF('All Solo Standards Source'!I64&lt;1/24,TEXT('All Solo Standards Source'!I64,"M:SS"),TEXT('All Solo Standards Source'!I64,"H:MM:SS"))</f>
        <v>52:56</v>
      </c>
      <c r="AB63" s="55" t="str">
        <f>IF('All Solo Standards Source'!M64&lt;1/24,TEXT('All Solo Standards Source'!M64,"M:SS"),TEXT('All Solo Standards Source'!M64,"H:MM:SS"))</f>
        <v>1:29:01</v>
      </c>
      <c r="AC63" s="55" t="str">
        <f>IF('All Solo Standards Source'!Q64&lt;1/24,TEXT('All Solo Standards Source'!Q64,"M:SS"),TEXT('All Solo Standards Source'!Q64,"H:MM:SS"))</f>
        <v>1:47:19</v>
      </c>
      <c r="AD63" s="55" t="str">
        <f>IF('All Solo Standards Source'!U64&lt;1/24,TEXT('All Solo Standards Source'!U64,"M:SS"),TEXT('All Solo Standards Source'!U64,"H:MM:SS"))</f>
        <v>3:02:14</v>
      </c>
      <c r="AE63" s="55" t="str">
        <f>IF('All Solo Standards Source'!Y64&lt;1/24,TEXT('All Solo Standards Source'!Y64,"M:SS"),TEXT('All Solo Standards Source'!Y64,"H:MM:SS"))</f>
        <v>6:22:44</v>
      </c>
      <c r="AF63" s="55" t="str">
        <f>TEXT('All Solo Standards Source'!AC64,"0.00")</f>
        <v>131.93</v>
      </c>
      <c r="AG63" s="55" t="str">
        <f>TEXT('All Solo Standards Source'!AG64,"0.00")</f>
        <v>217.17</v>
      </c>
    </row>
    <row r="64" spans="1:33" x14ac:dyDescent="0.25">
      <c r="A64" s="25">
        <v>71</v>
      </c>
      <c r="B64" s="53" t="str">
        <f>IF('All Solo Standards Source'!B65&lt;1/24,TEXT('All Solo Standards Source'!B65,"M:SS"),TEXT('All Solo Standards Source'!B65,"H:MM:SS"))</f>
        <v>29:52</v>
      </c>
      <c r="C64" s="53" t="str">
        <f>IF('All Solo Standards Source'!F65&lt;1/24,TEXT('All Solo Standards Source'!F65,"M:SS"),TEXT('All Solo Standards Source'!F65,"H:MM:SS"))</f>
        <v>45:00</v>
      </c>
      <c r="D64" s="53" t="str">
        <f>IF('All Solo Standards Source'!J65&lt;1/24,TEXT('All Solo Standards Source'!J65,"M:SS"),TEXT('All Solo Standards Source'!J65,"H:MM:SS"))</f>
        <v>1:15:41</v>
      </c>
      <c r="E64" s="53" t="str">
        <f>IF('All Solo Standards Source'!N65&lt;1/24,TEXT('All Solo Standards Source'!N65,"M:SS"),TEXT('All Solo Standards Source'!N65,"H:MM:SS"))</f>
        <v>1:31:15</v>
      </c>
      <c r="F64" s="53" t="str">
        <f>IF('All Solo Standards Source'!R65&lt;1/24,TEXT('All Solo Standards Source'!R65,"M:SS"),TEXT('All Solo Standards Source'!R65,"H:MM:SS"))</f>
        <v>2:34:58</v>
      </c>
      <c r="G64" s="53" t="str">
        <f>IF('All Solo Standards Source'!V65&lt;1/24,TEXT('All Solo Standards Source'!V65,"M:SS"),TEXT('All Solo Standards Source'!V65,"H:MM:SS"))</f>
        <v>5:25:35</v>
      </c>
      <c r="H64" s="53" t="str">
        <f>TEXT('All Solo Standards Source'!Z65,"0.00")</f>
        <v>165.22</v>
      </c>
      <c r="I64" s="53" t="str">
        <f>TEXT('All Solo Standards Source'!AD65,"0.00")</f>
        <v>257.86</v>
      </c>
      <c r="J64" s="57" t="str">
        <f>IF('All Solo Standards Source'!C65&lt;1/24,TEXT('All Solo Standards Source'!C65,"M:SS"),TEXT('All Solo Standards Source'!C65,"H:MM:SS"))</f>
        <v>32:51</v>
      </c>
      <c r="K64" s="57" t="str">
        <f>IF('All Solo Standards Source'!G65&lt;1/24,TEXT('All Solo Standards Source'!G65,"M:SS"),TEXT('All Solo Standards Source'!G65,"H:MM:SS"))</f>
        <v>49:31</v>
      </c>
      <c r="L64" s="57" t="str">
        <f>IF('All Solo Standards Source'!K65&lt;1/24,TEXT('All Solo Standards Source'!K65,"M:SS"),TEXT('All Solo Standards Source'!K65,"H:MM:SS"))</f>
        <v>1:23:17</v>
      </c>
      <c r="M64" s="57" t="str">
        <f>IF('All Solo Standards Source'!O65&lt;1/24,TEXT('All Solo Standards Source'!O65,"M:SS"),TEXT('All Solo Standards Source'!O65,"H:MM:SS"))</f>
        <v>1:40:24</v>
      </c>
      <c r="N64" s="57" t="str">
        <f>IF('All Solo Standards Source'!S65&lt;1/24,TEXT('All Solo Standards Source'!S65,"M:SS"),TEXT('All Solo Standards Source'!S65,"H:MM:SS"))</f>
        <v>2:50:32</v>
      </c>
      <c r="O64" s="57" t="str">
        <f>IF('All Solo Standards Source'!W65&lt;1/24,TEXT('All Solo Standards Source'!W65,"M:SS"),TEXT('All Solo Standards Source'!W65,"H:MM:SS"))</f>
        <v>5:58:24</v>
      </c>
      <c r="P64" s="57" t="str">
        <f>TEXT('All Solo Standards Source'!AA65,"0.00")</f>
        <v>144.59</v>
      </c>
      <c r="Q64" s="57" t="str">
        <f>TEXT('All Solo Standards Source'!AE65,"0.00")</f>
        <v>232.18</v>
      </c>
      <c r="R64" s="50" t="str">
        <f>IF('All Solo Standards Source'!D65&lt;1/24,TEXT('All Solo Standards Source'!D65,"M:SS"),TEXT('All Solo Standards Source'!D65,"H:MM:SS"))</f>
        <v>32:07</v>
      </c>
      <c r="S64" s="50" t="str">
        <f>IF('All Solo Standards Source'!H65&lt;1/24,TEXT('All Solo Standards Source'!H65,"M:SS"),TEXT('All Solo Standards Source'!H65,"H:MM:SS"))</f>
        <v>48:23</v>
      </c>
      <c r="T64" s="50" t="str">
        <f>IF('All Solo Standards Source'!L65&lt;1/24,TEXT('All Solo Standards Source'!L65,"M:SS"),TEXT('All Solo Standards Source'!L65,"H:MM:SS"))</f>
        <v>1:21:24</v>
      </c>
      <c r="U64" s="50" t="str">
        <f>IF('All Solo Standards Source'!P65&lt;1/24,TEXT('All Solo Standards Source'!P65,"M:SS"),TEXT('All Solo Standards Source'!P65,"H:MM:SS"))</f>
        <v>1:38:08</v>
      </c>
      <c r="V64" s="50" t="str">
        <f>IF('All Solo Standards Source'!T65&lt;1/24,TEXT('All Solo Standards Source'!T65,"M:SS"),TEXT('All Solo Standards Source'!T65,"H:MM:SS"))</f>
        <v>2:46:40</v>
      </c>
      <c r="W64" s="50" t="str">
        <f>IF('All Solo Standards Source'!X65&lt;1/24,TEXT('All Solo Standards Source'!X65,"M:SS"),TEXT('All Solo Standards Source'!X65,"H:MM:SS"))</f>
        <v>5:50:15</v>
      </c>
      <c r="X64" s="50" t="str">
        <f>TEXT('All Solo Standards Source'!AB65,"0.00")</f>
        <v>149.37</v>
      </c>
      <c r="Y64" s="50" t="str">
        <f>TEXT('All Solo Standards Source'!AF65,"0.00")</f>
        <v>238.24</v>
      </c>
      <c r="Z64" s="55" t="str">
        <f>IF('All Solo Standards Source'!E65&lt;1/24,TEXT('All Solo Standards Source'!E65,"M:SS"),TEXT('All Solo Standards Source'!E65,"H:MM:SS"))</f>
        <v>35:23</v>
      </c>
      <c r="AA64" s="55" t="str">
        <f>IF('All Solo Standards Source'!I65&lt;1/24,TEXT('All Solo Standards Source'!I65,"M:SS"),TEXT('All Solo Standards Source'!I65,"H:MM:SS"))</f>
        <v>53:20</v>
      </c>
      <c r="AB64" s="55" t="str">
        <f>IF('All Solo Standards Source'!M65&lt;1/24,TEXT('All Solo Standards Source'!M65,"M:SS"),TEXT('All Solo Standards Source'!M65,"H:MM:SS"))</f>
        <v>1:29:43</v>
      </c>
      <c r="AC64" s="55" t="str">
        <f>IF('All Solo Standards Source'!Q65&lt;1/24,TEXT('All Solo Standards Source'!Q65,"M:SS"),TEXT('All Solo Standards Source'!Q65,"H:MM:SS"))</f>
        <v>1:48:09</v>
      </c>
      <c r="AD64" s="55" t="str">
        <f>IF('All Solo Standards Source'!U65&lt;1/24,TEXT('All Solo Standards Source'!U65,"M:SS"),TEXT('All Solo Standards Source'!U65,"H:MM:SS"))</f>
        <v>3:03:43</v>
      </c>
      <c r="AE64" s="55" t="str">
        <f>IF('All Solo Standards Source'!Y65&lt;1/24,TEXT('All Solo Standards Source'!Y65,"M:SS"),TEXT('All Solo Standards Source'!Y65,"H:MM:SS"))</f>
        <v>6:26:12</v>
      </c>
      <c r="AF64" s="55" t="str">
        <f>TEXT('All Solo Standards Source'!AC65,"0.00")</f>
        <v>129.71</v>
      </c>
      <c r="AG64" s="55" t="str">
        <f>TEXT('All Solo Standards Source'!AG65,"0.00")</f>
        <v>212.85</v>
      </c>
    </row>
    <row r="65" spans="1:33" x14ac:dyDescent="0.25">
      <c r="A65" s="25">
        <v>72</v>
      </c>
      <c r="B65" s="53" t="str">
        <f>IF('All Solo Standards Source'!B66&lt;1/24,TEXT('All Solo Standards Source'!B66,"M:SS"),TEXT('All Solo Standards Source'!B66,"H:MM:SS"))</f>
        <v>30:05</v>
      </c>
      <c r="C65" s="53" t="str">
        <f>IF('All Solo Standards Source'!F66&lt;1/24,TEXT('All Solo Standards Source'!F66,"M:SS"),TEXT('All Solo Standards Source'!F66,"H:MM:SS"))</f>
        <v>45:20</v>
      </c>
      <c r="D65" s="53" t="str">
        <f>IF('All Solo Standards Source'!J66&lt;1/24,TEXT('All Solo Standards Source'!J66,"M:SS"),TEXT('All Solo Standards Source'!J66,"H:MM:SS"))</f>
        <v>1:16:16</v>
      </c>
      <c r="E65" s="53" t="str">
        <f>IF('All Solo Standards Source'!N66&lt;1/24,TEXT('All Solo Standards Source'!N66,"M:SS"),TEXT('All Solo Standards Source'!N66,"H:MM:SS"))</f>
        <v>1:31:57</v>
      </c>
      <c r="F65" s="53" t="str">
        <f>IF('All Solo Standards Source'!R66&lt;1/24,TEXT('All Solo Standards Source'!R66,"M:SS"),TEXT('All Solo Standards Source'!R66,"H:MM:SS"))</f>
        <v>2:36:13</v>
      </c>
      <c r="G65" s="53" t="str">
        <f>IF('All Solo Standards Source'!V66&lt;1/24,TEXT('All Solo Standards Source'!V66,"M:SS"),TEXT('All Solo Standards Source'!V66,"H:MM:SS"))</f>
        <v>5:28:31</v>
      </c>
      <c r="H65" s="53" t="str">
        <f>TEXT('All Solo Standards Source'!Z66,"0.00")</f>
        <v>162.44</v>
      </c>
      <c r="I65" s="53" t="str">
        <f>TEXT('All Solo Standards Source'!AD66,"0.00")</f>
        <v>252.53</v>
      </c>
      <c r="J65" s="57" t="str">
        <f>IF('All Solo Standards Source'!C66&lt;1/24,TEXT('All Solo Standards Source'!C66,"M:SS"),TEXT('All Solo Standards Source'!C66,"H:MM:SS"))</f>
        <v>33:06</v>
      </c>
      <c r="K65" s="57" t="str">
        <f>IF('All Solo Standards Source'!G66&lt;1/24,TEXT('All Solo Standards Source'!G66,"M:SS"),TEXT('All Solo Standards Source'!G66,"H:MM:SS"))</f>
        <v>49:53</v>
      </c>
      <c r="L65" s="57" t="str">
        <f>IF('All Solo Standards Source'!K66&lt;1/24,TEXT('All Solo Standards Source'!K66,"M:SS"),TEXT('All Solo Standards Source'!K66,"H:MM:SS"))</f>
        <v>1:23:56</v>
      </c>
      <c r="M65" s="57" t="str">
        <f>IF('All Solo Standards Source'!O66&lt;1/24,TEXT('All Solo Standards Source'!O66,"M:SS"),TEXT('All Solo Standards Source'!O66,"H:MM:SS"))</f>
        <v>1:41:12</v>
      </c>
      <c r="N65" s="57" t="str">
        <f>IF('All Solo Standards Source'!S66&lt;1/24,TEXT('All Solo Standards Source'!S66,"M:SS"),TEXT('All Solo Standards Source'!S66,"H:MM:SS"))</f>
        <v>2:51:56</v>
      </c>
      <c r="O65" s="57" t="str">
        <f>IF('All Solo Standards Source'!W66&lt;1/24,TEXT('All Solo Standards Source'!W66,"M:SS"),TEXT('All Solo Standards Source'!W66,"H:MM:SS"))</f>
        <v>6:01:42</v>
      </c>
      <c r="P65" s="57" t="str">
        <f>TEXT('All Solo Standards Source'!AA66,"0.00")</f>
        <v>142.12</v>
      </c>
      <c r="Q65" s="57" t="str">
        <f>TEXT('All Solo Standards Source'!AE66,"0.00")</f>
        <v>227.39</v>
      </c>
      <c r="R65" s="50" t="str">
        <f>IF('All Solo Standards Source'!D66&lt;1/24,TEXT('All Solo Standards Source'!D66,"M:SS"),TEXT('All Solo Standards Source'!D66,"H:MM:SS"))</f>
        <v>32:21</v>
      </c>
      <c r="S65" s="50" t="str">
        <f>IF('All Solo Standards Source'!H66&lt;1/24,TEXT('All Solo Standards Source'!H66,"M:SS"),TEXT('All Solo Standards Source'!H66,"H:MM:SS"))</f>
        <v>48:46</v>
      </c>
      <c r="T65" s="50" t="str">
        <f>IF('All Solo Standards Source'!L66&lt;1/24,TEXT('All Solo Standards Source'!L66,"M:SS"),TEXT('All Solo Standards Source'!L66,"H:MM:SS"))</f>
        <v>1:22:02</v>
      </c>
      <c r="U65" s="50" t="str">
        <f>IF('All Solo Standards Source'!P66&lt;1/24,TEXT('All Solo Standards Source'!P66,"M:SS"),TEXT('All Solo Standards Source'!P66,"H:MM:SS"))</f>
        <v>1:38:54</v>
      </c>
      <c r="V65" s="50" t="str">
        <f>IF('All Solo Standards Source'!T66&lt;1/24,TEXT('All Solo Standards Source'!T66,"M:SS"),TEXT('All Solo Standards Source'!T66,"H:MM:SS"))</f>
        <v>2:48:02</v>
      </c>
      <c r="W65" s="50" t="str">
        <f>IF('All Solo Standards Source'!X66&lt;1/24,TEXT('All Solo Standards Source'!X66,"M:SS"),TEXT('All Solo Standards Source'!X66,"H:MM:SS"))</f>
        <v>5:53:28</v>
      </c>
      <c r="X65" s="50" t="str">
        <f>TEXT('All Solo Standards Source'!AB66,"0.00")</f>
        <v>146.83</v>
      </c>
      <c r="Y65" s="50" t="str">
        <f>TEXT('All Solo Standards Source'!AF66,"0.00")</f>
        <v>233.34</v>
      </c>
      <c r="Z65" s="55" t="str">
        <f>IF('All Solo Standards Source'!E66&lt;1/24,TEXT('All Solo Standards Source'!E66,"M:SS"),TEXT('All Solo Standards Source'!E66,"H:MM:SS"))</f>
        <v>35:40</v>
      </c>
      <c r="AA65" s="55" t="str">
        <f>IF('All Solo Standards Source'!I66&lt;1/24,TEXT('All Solo Standards Source'!I66,"M:SS"),TEXT('All Solo Standards Source'!I66,"H:MM:SS"))</f>
        <v>53:45</v>
      </c>
      <c r="AB65" s="55" t="str">
        <f>IF('All Solo Standards Source'!M66&lt;1/24,TEXT('All Solo Standards Source'!M66,"M:SS"),TEXT('All Solo Standards Source'!M66,"H:MM:SS"))</f>
        <v>1:30:25</v>
      </c>
      <c r="AC65" s="55" t="str">
        <f>IF('All Solo Standards Source'!Q66&lt;1/24,TEXT('All Solo Standards Source'!Q66,"M:SS"),TEXT('All Solo Standards Source'!Q66,"H:MM:SS"))</f>
        <v>1:49:02</v>
      </c>
      <c r="AD65" s="55" t="str">
        <f>IF('All Solo Standards Source'!U66&lt;1/24,TEXT('All Solo Standards Source'!U66,"M:SS"),TEXT('All Solo Standards Source'!U66,"H:MM:SS"))</f>
        <v>3:05:16</v>
      </c>
      <c r="AE65" s="55" t="str">
        <f>IF('All Solo Standards Source'!Y66&lt;1/24,TEXT('All Solo Standards Source'!Y66,"M:SS"),TEXT('All Solo Standards Source'!Y66,"H:MM:SS"))</f>
        <v>6:29:49</v>
      </c>
      <c r="AF65" s="55" t="str">
        <f>TEXT('All Solo Standards Source'!AC66,"0.00")</f>
        <v>127.45</v>
      </c>
      <c r="AG65" s="55" t="str">
        <f>TEXT('All Solo Standards Source'!AG66,"0.00")</f>
        <v>208.46</v>
      </c>
    </row>
    <row r="66" spans="1:33" x14ac:dyDescent="0.25">
      <c r="A66" s="25">
        <v>73</v>
      </c>
      <c r="B66" s="53" t="str">
        <f>IF('All Solo Standards Source'!B67&lt;1/24,TEXT('All Solo Standards Source'!B67,"M:SS"),TEXT('All Solo Standards Source'!B67,"H:MM:SS"))</f>
        <v>30:19</v>
      </c>
      <c r="C66" s="53" t="str">
        <f>IF('All Solo Standards Source'!F67&lt;1/24,TEXT('All Solo Standards Source'!F67,"M:SS"),TEXT('All Solo Standards Source'!F67,"H:MM:SS"))</f>
        <v>45:41</v>
      </c>
      <c r="D66" s="53" t="str">
        <f>IF('All Solo Standards Source'!J67&lt;1/24,TEXT('All Solo Standards Source'!J67,"M:SS"),TEXT('All Solo Standards Source'!J67,"H:MM:SS"))</f>
        <v>1:16:52</v>
      </c>
      <c r="E66" s="53" t="str">
        <f>IF('All Solo Standards Source'!N67&lt;1/24,TEXT('All Solo Standards Source'!N67,"M:SS"),TEXT('All Solo Standards Source'!N67,"H:MM:SS"))</f>
        <v>1:32:41</v>
      </c>
      <c r="F66" s="53" t="str">
        <f>IF('All Solo Standards Source'!R67&lt;1/24,TEXT('All Solo Standards Source'!R67,"M:SS"),TEXT('All Solo Standards Source'!R67,"H:MM:SS"))</f>
        <v>2:37:31</v>
      </c>
      <c r="G66" s="53" t="str">
        <f>IF('All Solo Standards Source'!V67&lt;1/24,TEXT('All Solo Standards Source'!V67,"M:SS"),TEXT('All Solo Standards Source'!V67,"H:MM:SS"))</f>
        <v>5:31:35</v>
      </c>
      <c r="H66" s="53" t="str">
        <f>TEXT('All Solo Standards Source'!Z67,"0.00")</f>
        <v>159.61</v>
      </c>
      <c r="I66" s="53" t="str">
        <f>TEXT('All Solo Standards Source'!AD67,"0.00")</f>
        <v>247.12</v>
      </c>
      <c r="J66" s="57" t="str">
        <f>IF('All Solo Standards Source'!C67&lt;1/24,TEXT('All Solo Standards Source'!C67,"M:SS"),TEXT('All Solo Standards Source'!C67,"H:MM:SS"))</f>
        <v>33:22</v>
      </c>
      <c r="K66" s="57" t="str">
        <f>IF('All Solo Standards Source'!G67&lt;1/24,TEXT('All Solo Standards Source'!G67,"M:SS"),TEXT('All Solo Standards Source'!G67,"H:MM:SS"))</f>
        <v>50:17</v>
      </c>
      <c r="L66" s="57" t="str">
        <f>IF('All Solo Standards Source'!K67&lt;1/24,TEXT('All Solo Standards Source'!K67,"M:SS"),TEXT('All Solo Standards Source'!K67,"H:MM:SS"))</f>
        <v>1:24:37</v>
      </c>
      <c r="M66" s="57" t="str">
        <f>IF('All Solo Standards Source'!O67&lt;1/24,TEXT('All Solo Standards Source'!O67,"M:SS"),TEXT('All Solo Standards Source'!O67,"H:MM:SS"))</f>
        <v>1:42:01</v>
      </c>
      <c r="N66" s="57" t="str">
        <f>IF('All Solo Standards Source'!S67&lt;1/24,TEXT('All Solo Standards Source'!S67,"M:SS"),TEXT('All Solo Standards Source'!S67,"H:MM:SS"))</f>
        <v>2:53:24</v>
      </c>
      <c r="O66" s="57" t="str">
        <f>IF('All Solo Standards Source'!W67&lt;1/24,TEXT('All Solo Standards Source'!W67,"M:SS"),TEXT('All Solo Standards Source'!W67,"H:MM:SS"))</f>
        <v>6:05:09</v>
      </c>
      <c r="P66" s="57" t="str">
        <f>TEXT('All Solo Standards Source'!AA67,"0.00")</f>
        <v>139.60</v>
      </c>
      <c r="Q66" s="57" t="str">
        <f>TEXT('All Solo Standards Source'!AE67,"0.00")</f>
        <v>222.53</v>
      </c>
      <c r="R66" s="50" t="str">
        <f>IF('All Solo Standards Source'!D67&lt;1/24,TEXT('All Solo Standards Source'!D67,"M:SS"),TEXT('All Solo Standards Source'!D67,"H:MM:SS"))</f>
        <v>32:36</v>
      </c>
      <c r="S66" s="50" t="str">
        <f>IF('All Solo Standards Source'!H67&lt;1/24,TEXT('All Solo Standards Source'!H67,"M:SS"),TEXT('All Solo Standards Source'!H67,"H:MM:SS"))</f>
        <v>49:09</v>
      </c>
      <c r="T66" s="50" t="str">
        <f>IF('All Solo Standards Source'!L67&lt;1/24,TEXT('All Solo Standards Source'!L67,"M:SS"),TEXT('All Solo Standards Source'!L67,"H:MM:SS"))</f>
        <v>1:22:41</v>
      </c>
      <c r="U66" s="50" t="str">
        <f>IF('All Solo Standards Source'!P67&lt;1/24,TEXT('All Solo Standards Source'!P67,"M:SS"),TEXT('All Solo Standards Source'!P67,"H:MM:SS"))</f>
        <v>1:39:42</v>
      </c>
      <c r="V66" s="50" t="str">
        <f>IF('All Solo Standards Source'!T67&lt;1/24,TEXT('All Solo Standards Source'!T67,"M:SS"),TEXT('All Solo Standards Source'!T67,"H:MM:SS"))</f>
        <v>2:49:28</v>
      </c>
      <c r="W66" s="50" t="str">
        <f>IF('All Solo Standards Source'!X67&lt;1/24,TEXT('All Solo Standards Source'!X67,"M:SS"),TEXT('All Solo Standards Source'!X67,"H:MM:SS"))</f>
        <v>5:56:49</v>
      </c>
      <c r="X66" s="50" t="str">
        <f>TEXT('All Solo Standards Source'!AB67,"0.00")</f>
        <v>144.24</v>
      </c>
      <c r="Y66" s="50" t="str">
        <f>TEXT('All Solo Standards Source'!AF67,"0.00")</f>
        <v>228.35</v>
      </c>
      <c r="Z66" s="55" t="str">
        <f>IF('All Solo Standards Source'!E67&lt;1/24,TEXT('All Solo Standards Source'!E67,"M:SS"),TEXT('All Solo Standards Source'!E67,"H:MM:SS"))</f>
        <v>35:57</v>
      </c>
      <c r="AA66" s="55" t="str">
        <f>IF('All Solo Standards Source'!I67&lt;1/24,TEXT('All Solo Standards Source'!I67,"M:SS"),TEXT('All Solo Standards Source'!I67,"H:MM:SS"))</f>
        <v>54:11</v>
      </c>
      <c r="AB66" s="55" t="str">
        <f>IF('All Solo Standards Source'!M67&lt;1/24,TEXT('All Solo Standards Source'!M67,"M:SS"),TEXT('All Solo Standards Source'!M67,"H:MM:SS"))</f>
        <v>1:31:10</v>
      </c>
      <c r="AC66" s="55" t="str">
        <f>IF('All Solo Standards Source'!Q67&lt;1/24,TEXT('All Solo Standards Source'!Q67,"M:SS"),TEXT('All Solo Standards Source'!Q67,"H:MM:SS"))</f>
        <v>1:49:56</v>
      </c>
      <c r="AD66" s="55" t="str">
        <f>IF('All Solo Standards Source'!U67&lt;1/24,TEXT('All Solo Standards Source'!U67,"M:SS"),TEXT('All Solo Standards Source'!U67,"H:MM:SS"))</f>
        <v>3:06:52</v>
      </c>
      <c r="AE66" s="55" t="str">
        <f>IF('All Solo Standards Source'!Y67&lt;1/24,TEXT('All Solo Standards Source'!Y67,"M:SS"),TEXT('All Solo Standards Source'!Y67,"H:MM:SS"))</f>
        <v>6:33:36</v>
      </c>
      <c r="AF66" s="55" t="str">
        <f>TEXT('All Solo Standards Source'!AC67,"0.00")</f>
        <v>125.15</v>
      </c>
      <c r="AG66" s="55" t="str">
        <f>TEXT('All Solo Standards Source'!AG67,"0.00")</f>
        <v>203.98</v>
      </c>
    </row>
    <row r="67" spans="1:33" x14ac:dyDescent="0.25">
      <c r="A67" s="25">
        <v>74</v>
      </c>
      <c r="B67" s="53" t="str">
        <f>IF('All Solo Standards Source'!B68&lt;1/24,TEXT('All Solo Standards Source'!B68,"M:SS"),TEXT('All Solo Standards Source'!B68,"H:MM:SS"))</f>
        <v>30:33</v>
      </c>
      <c r="C67" s="53" t="str">
        <f>IF('All Solo Standards Source'!F68&lt;1/24,TEXT('All Solo Standards Source'!F68,"M:SS"),TEXT('All Solo Standards Source'!F68,"H:MM:SS"))</f>
        <v>46:03</v>
      </c>
      <c r="D67" s="53" t="str">
        <f>IF('All Solo Standards Source'!J68&lt;1/24,TEXT('All Solo Standards Source'!J68,"M:SS"),TEXT('All Solo Standards Source'!J68,"H:MM:SS"))</f>
        <v>1:17:30</v>
      </c>
      <c r="E67" s="53" t="str">
        <f>IF('All Solo Standards Source'!N68&lt;1/24,TEXT('All Solo Standards Source'!N68,"M:SS"),TEXT('All Solo Standards Source'!N68,"H:MM:SS"))</f>
        <v>1:33:27</v>
      </c>
      <c r="F67" s="53" t="str">
        <f>IF('All Solo Standards Source'!R68&lt;1/24,TEXT('All Solo Standards Source'!R68,"M:SS"),TEXT('All Solo Standards Source'!R68,"H:MM:SS"))</f>
        <v>2:38:52</v>
      </c>
      <c r="G67" s="53" t="str">
        <f>IF('All Solo Standards Source'!V68&lt;1/24,TEXT('All Solo Standards Source'!V68,"M:SS"),TEXT('All Solo Standards Source'!V68,"H:MM:SS"))</f>
        <v>5:34:47</v>
      </c>
      <c r="H67" s="53" t="str">
        <f>TEXT('All Solo Standards Source'!Z68,"0.00")</f>
        <v>156.72</v>
      </c>
      <c r="I67" s="53" t="str">
        <f>TEXT('All Solo Standards Source'!AD68,"0.00")</f>
        <v>241.61</v>
      </c>
      <c r="J67" s="57" t="str">
        <f>IF('All Solo Standards Source'!C68&lt;1/24,TEXT('All Solo Standards Source'!C68,"M:SS"),TEXT('All Solo Standards Source'!C68,"H:MM:SS"))</f>
        <v>33:38</v>
      </c>
      <c r="K67" s="57" t="str">
        <f>IF('All Solo Standards Source'!G68&lt;1/24,TEXT('All Solo Standards Source'!G68,"M:SS"),TEXT('All Solo Standards Source'!G68,"H:MM:SS"))</f>
        <v>50:42</v>
      </c>
      <c r="L67" s="57" t="str">
        <f>IF('All Solo Standards Source'!K68&lt;1/24,TEXT('All Solo Standards Source'!K68,"M:SS"),TEXT('All Solo Standards Source'!K68,"H:MM:SS"))</f>
        <v>1:25:19</v>
      </c>
      <c r="M67" s="57" t="str">
        <f>IF('All Solo Standards Source'!O68&lt;1/24,TEXT('All Solo Standards Source'!O68,"M:SS"),TEXT('All Solo Standards Source'!O68,"H:MM:SS"))</f>
        <v>1:42:53</v>
      </c>
      <c r="N67" s="57" t="str">
        <f>IF('All Solo Standards Source'!S68&lt;1/24,TEXT('All Solo Standards Source'!S68,"M:SS"),TEXT('All Solo Standards Source'!S68,"H:MM:SS"))</f>
        <v>2:54:56</v>
      </c>
      <c r="O67" s="57" t="str">
        <f>IF('All Solo Standards Source'!W68&lt;1/24,TEXT('All Solo Standards Source'!W68,"M:SS"),TEXT('All Solo Standards Source'!W68,"H:MM:SS"))</f>
        <v>6:08:46</v>
      </c>
      <c r="P67" s="57" t="str">
        <f>TEXT('All Solo Standards Source'!AA68,"0.00")</f>
        <v>137.03</v>
      </c>
      <c r="Q67" s="57" t="str">
        <f>TEXT('All Solo Standards Source'!AE68,"0.00")</f>
        <v>217.58</v>
      </c>
      <c r="R67" s="50" t="str">
        <f>IF('All Solo Standards Source'!D68&lt;1/24,TEXT('All Solo Standards Source'!D68,"M:SS"),TEXT('All Solo Standards Source'!D68,"H:MM:SS"))</f>
        <v>32:52</v>
      </c>
      <c r="S67" s="50" t="str">
        <f>IF('All Solo Standards Source'!H68&lt;1/24,TEXT('All Solo Standards Source'!H68,"M:SS"),TEXT('All Solo Standards Source'!H68,"H:MM:SS"))</f>
        <v>49:33</v>
      </c>
      <c r="T67" s="50" t="str">
        <f>IF('All Solo Standards Source'!L68&lt;1/24,TEXT('All Solo Standards Source'!L68,"M:SS"),TEXT('All Solo Standards Source'!L68,"H:MM:SS"))</f>
        <v>1:23:23</v>
      </c>
      <c r="U67" s="50" t="str">
        <f>IF('All Solo Standards Source'!P68&lt;1/24,TEXT('All Solo Standards Source'!P68,"M:SS"),TEXT('All Solo Standards Source'!P68,"H:MM:SS"))</f>
        <v>1:40:33</v>
      </c>
      <c r="V67" s="50" t="str">
        <f>IF('All Solo Standards Source'!T68&lt;1/24,TEXT('All Solo Standards Source'!T68,"M:SS"),TEXT('All Solo Standards Source'!T68,"H:MM:SS"))</f>
        <v>2:50:57</v>
      </c>
      <c r="W67" s="50" t="str">
        <f>IF('All Solo Standards Source'!X68&lt;1/24,TEXT('All Solo Standards Source'!X68,"M:SS"),TEXT('All Solo Standards Source'!X68,"H:MM:SS"))</f>
        <v>6:00:20</v>
      </c>
      <c r="X67" s="50" t="str">
        <f>TEXT('All Solo Standards Source'!AB68,"0.00")</f>
        <v>141.60</v>
      </c>
      <c r="Y67" s="50" t="str">
        <f>TEXT('All Solo Standards Source'!AF68,"0.00")</f>
        <v>223.27</v>
      </c>
      <c r="Z67" s="55" t="str">
        <f>IF('All Solo Standards Source'!E68&lt;1/24,TEXT('All Solo Standards Source'!E68,"M:SS"),TEXT('All Solo Standards Source'!E68,"H:MM:SS"))</f>
        <v>36:15</v>
      </c>
      <c r="AA67" s="55" t="str">
        <f>IF('All Solo Standards Source'!I68&lt;1/24,TEXT('All Solo Standards Source'!I68,"M:SS"),TEXT('All Solo Standards Source'!I68,"H:MM:SS"))</f>
        <v>54:38</v>
      </c>
      <c r="AB67" s="55" t="str">
        <f>IF('All Solo Standards Source'!M68&lt;1/24,TEXT('All Solo Standards Source'!M68,"M:SS"),TEXT('All Solo Standards Source'!M68,"H:MM:SS"))</f>
        <v>1:31:56</v>
      </c>
      <c r="AC67" s="55" t="str">
        <f>IF('All Solo Standards Source'!Q68&lt;1/24,TEXT('All Solo Standards Source'!Q68,"M:SS"),TEXT('All Solo Standards Source'!Q68,"H:MM:SS"))</f>
        <v>1:50:53</v>
      </c>
      <c r="AD67" s="55" t="str">
        <f>IF('All Solo Standards Source'!U68&lt;1/24,TEXT('All Solo Standards Source'!U68,"M:SS"),TEXT('All Solo Standards Source'!U68,"H:MM:SS"))</f>
        <v>3:08:32</v>
      </c>
      <c r="AE67" s="55" t="str">
        <f>IF('All Solo Standards Source'!Y68&lt;1/24,TEXT('All Solo Standards Source'!Y68,"M:SS"),TEXT('All Solo Standards Source'!Y68,"H:MM:SS"))</f>
        <v>6:37:34</v>
      </c>
      <c r="AF67" s="55" t="str">
        <f>TEXT('All Solo Standards Source'!AC68,"0.00")</f>
        <v>122.80</v>
      </c>
      <c r="AG67" s="55" t="str">
        <f>TEXT('All Solo Standards Source'!AG68,"0.00")</f>
        <v>199.43</v>
      </c>
    </row>
    <row r="68" spans="1:33" x14ac:dyDescent="0.25">
      <c r="A68" s="25">
        <v>75</v>
      </c>
      <c r="B68" s="53" t="str">
        <f>IF('All Solo Standards Source'!B69&lt;1/24,TEXT('All Solo Standards Source'!B69,"M:SS"),TEXT('All Solo Standards Source'!B69,"H:MM:SS"))</f>
        <v>30:48</v>
      </c>
      <c r="C68" s="53" t="str">
        <f>IF('All Solo Standards Source'!F69&lt;1/24,TEXT('All Solo Standards Source'!F69,"M:SS"),TEXT('All Solo Standards Source'!F69,"H:MM:SS"))</f>
        <v>46:26</v>
      </c>
      <c r="D68" s="53" t="str">
        <f>IF('All Solo Standards Source'!J69&lt;1/24,TEXT('All Solo Standards Source'!J69,"M:SS"),TEXT('All Solo Standards Source'!J69,"H:MM:SS"))</f>
        <v>1:18:09</v>
      </c>
      <c r="E68" s="53" t="str">
        <f>IF('All Solo Standards Source'!N69&lt;1/24,TEXT('All Solo Standards Source'!N69,"M:SS"),TEXT('All Solo Standards Source'!N69,"H:MM:SS"))</f>
        <v>1:34:15</v>
      </c>
      <c r="F68" s="53" t="str">
        <f>IF('All Solo Standards Source'!R69&lt;1/24,TEXT('All Solo Standards Source'!R69,"M:SS"),TEXT('All Solo Standards Source'!R69,"H:MM:SS"))</f>
        <v>2:40:17</v>
      </c>
      <c r="G68" s="53" t="str">
        <f>IF('All Solo Standards Source'!V69&lt;1/24,TEXT('All Solo Standards Source'!V69,"M:SS"),TEXT('All Solo Standards Source'!V69,"H:MM:SS"))</f>
        <v>5:38:09</v>
      </c>
      <c r="H68" s="53" t="str">
        <f>TEXT('All Solo Standards Source'!Z69,"0.00")</f>
        <v>153.79</v>
      </c>
      <c r="I68" s="53" t="str">
        <f>TEXT('All Solo Standards Source'!AD69,"0.00")</f>
        <v>236.01</v>
      </c>
      <c r="J68" s="57" t="str">
        <f>IF('All Solo Standards Source'!C69&lt;1/24,TEXT('All Solo Standards Source'!C69,"M:SS"),TEXT('All Solo Standards Source'!C69,"H:MM:SS"))</f>
        <v>33:55</v>
      </c>
      <c r="K68" s="57" t="str">
        <f>IF('All Solo Standards Source'!G69&lt;1/24,TEXT('All Solo Standards Source'!G69,"M:SS"),TEXT('All Solo Standards Source'!G69,"H:MM:SS"))</f>
        <v>51:07</v>
      </c>
      <c r="L68" s="57" t="str">
        <f>IF('All Solo Standards Source'!K69&lt;1/24,TEXT('All Solo Standards Source'!K69,"M:SS"),TEXT('All Solo Standards Source'!K69,"H:MM:SS"))</f>
        <v>1:26:03</v>
      </c>
      <c r="M68" s="57" t="str">
        <f>IF('All Solo Standards Source'!O69&lt;1/24,TEXT('All Solo Standards Source'!O69,"M:SS"),TEXT('All Solo Standards Source'!O69,"H:MM:SS"))</f>
        <v>1:43:47</v>
      </c>
      <c r="N68" s="57" t="str">
        <f>IF('All Solo Standards Source'!S69&lt;1/24,TEXT('All Solo Standards Source'!S69,"M:SS"),TEXT('All Solo Standards Source'!S69,"H:MM:SS"))</f>
        <v>2:56:32</v>
      </c>
      <c r="O68" s="57" t="str">
        <f>IF('All Solo Standards Source'!W69&lt;1/24,TEXT('All Solo Standards Source'!W69,"M:SS"),TEXT('All Solo Standards Source'!W69,"H:MM:SS"))</f>
        <v>6:12:33</v>
      </c>
      <c r="P68" s="57" t="str">
        <f>TEXT('All Solo Standards Source'!AA69,"0.00")</f>
        <v>134.42</v>
      </c>
      <c r="Q68" s="57" t="str">
        <f>TEXT('All Solo Standards Source'!AE69,"0.00")</f>
        <v>212.55</v>
      </c>
      <c r="R68" s="50" t="str">
        <f>IF('All Solo Standards Source'!D69&lt;1/24,TEXT('All Solo Standards Source'!D69,"M:SS"),TEXT('All Solo Standards Source'!D69,"H:MM:SS"))</f>
        <v>33:09</v>
      </c>
      <c r="S68" s="50" t="str">
        <f>IF('All Solo Standards Source'!H69&lt;1/24,TEXT('All Solo Standards Source'!H69,"M:SS"),TEXT('All Solo Standards Source'!H69,"H:MM:SS"))</f>
        <v>49:57</v>
      </c>
      <c r="T68" s="50" t="str">
        <f>IF('All Solo Standards Source'!L69&lt;1/24,TEXT('All Solo Standards Source'!L69,"M:SS"),TEXT('All Solo Standards Source'!L69,"H:MM:SS"))</f>
        <v>1:24:05</v>
      </c>
      <c r="U68" s="50" t="str">
        <f>IF('All Solo Standards Source'!P69&lt;1/24,TEXT('All Solo Standards Source'!P69,"M:SS"),TEXT('All Solo Standards Source'!P69,"H:MM:SS"))</f>
        <v>1:41:25</v>
      </c>
      <c r="V68" s="50" t="str">
        <f>IF('All Solo Standards Source'!T69&lt;1/24,TEXT('All Solo Standards Source'!T69,"M:SS"),TEXT('All Solo Standards Source'!T69,"H:MM:SS"))</f>
        <v>2:52:30</v>
      </c>
      <c r="W68" s="50" t="str">
        <f>IF('All Solo Standards Source'!X69&lt;1/24,TEXT('All Solo Standards Source'!X69,"M:SS"),TEXT('All Solo Standards Source'!X69,"H:MM:SS"))</f>
        <v>6:04:01</v>
      </c>
      <c r="X68" s="50" t="str">
        <f>TEXT('All Solo Standards Source'!AB69,"0.00")</f>
        <v>138.91</v>
      </c>
      <c r="Y68" s="50" t="str">
        <f>TEXT('All Solo Standards Source'!AF69,"0.00")</f>
        <v>218.11</v>
      </c>
      <c r="Z68" s="55" t="str">
        <f>IF('All Solo Standards Source'!E69&lt;1/24,TEXT('All Solo Standards Source'!E69,"M:SS"),TEXT('All Solo Standards Source'!E69,"H:MM:SS"))</f>
        <v>36:33</v>
      </c>
      <c r="AA68" s="55" t="str">
        <f>IF('All Solo Standards Source'!I69&lt;1/24,TEXT('All Solo Standards Source'!I69,"M:SS"),TEXT('All Solo Standards Source'!I69,"H:MM:SS"))</f>
        <v>55:06</v>
      </c>
      <c r="AB68" s="55" t="str">
        <f>IF('All Solo Standards Source'!M69&lt;1/24,TEXT('All Solo Standards Source'!M69,"M:SS"),TEXT('All Solo Standards Source'!M69,"H:MM:SS"))</f>
        <v>1:32:45</v>
      </c>
      <c r="AC68" s="55" t="str">
        <f>IF('All Solo Standards Source'!Q69&lt;1/24,TEXT('All Solo Standards Source'!Q69,"M:SS"),TEXT('All Solo Standards Source'!Q69,"H:MM:SS"))</f>
        <v>1:51:51</v>
      </c>
      <c r="AD68" s="55" t="str">
        <f>IF('All Solo Standards Source'!U69&lt;1/24,TEXT('All Solo Standards Source'!U69,"M:SS"),TEXT('All Solo Standards Source'!U69,"H:MM:SS"))</f>
        <v>3:10:17</v>
      </c>
      <c r="AE68" s="55" t="str">
        <f>IF('All Solo Standards Source'!Y69&lt;1/24,TEXT('All Solo Standards Source'!Y69,"M:SS"),TEXT('All Solo Standards Source'!Y69,"H:MM:SS"))</f>
        <v>6:41:42</v>
      </c>
      <c r="AF68" s="55" t="str">
        <f>TEXT('All Solo Standards Source'!AC69,"0.00")</f>
        <v>120.40</v>
      </c>
      <c r="AG68" s="55" t="str">
        <f>TEXT('All Solo Standards Source'!AG69,"0.00")</f>
        <v>194.79</v>
      </c>
    </row>
    <row r="69" spans="1:33" x14ac:dyDescent="0.25">
      <c r="A69" s="25">
        <v>76</v>
      </c>
      <c r="B69" s="53" t="str">
        <f>IF('All Solo Standards Source'!B70&lt;1/24,TEXT('All Solo Standards Source'!B70,"M:SS"),TEXT('All Solo Standards Source'!B70,"H:MM:SS"))</f>
        <v>31:04</v>
      </c>
      <c r="C69" s="53" t="str">
        <f>IF('All Solo Standards Source'!F70&lt;1/24,TEXT('All Solo Standards Source'!F70,"M:SS"),TEXT('All Solo Standards Source'!F70,"H:MM:SS"))</f>
        <v>46:50</v>
      </c>
      <c r="D69" s="53" t="str">
        <f>IF('All Solo Standards Source'!J70&lt;1/24,TEXT('All Solo Standards Source'!J70,"M:SS"),TEXT('All Solo Standards Source'!J70,"H:MM:SS"))</f>
        <v>1:18:50</v>
      </c>
      <c r="E69" s="53" t="str">
        <f>IF('All Solo Standards Source'!N70&lt;1/24,TEXT('All Solo Standards Source'!N70,"M:SS"),TEXT('All Solo Standards Source'!N70,"H:MM:SS"))</f>
        <v>1:35:05</v>
      </c>
      <c r="F69" s="53" t="str">
        <f>IF('All Solo Standards Source'!R70&lt;1/24,TEXT('All Solo Standards Source'!R70,"M:SS"),TEXT('All Solo Standards Source'!R70,"H:MM:SS"))</f>
        <v>2:41:46</v>
      </c>
      <c r="G69" s="53" t="str">
        <f>IF('All Solo Standards Source'!V70&lt;1/24,TEXT('All Solo Standards Source'!V70,"M:SS"),TEXT('All Solo Standards Source'!V70,"H:MM:SS"))</f>
        <v>5:41:40</v>
      </c>
      <c r="H69" s="53" t="str">
        <f>TEXT('All Solo Standards Source'!Z70,"0.00")</f>
        <v>150.79</v>
      </c>
      <c r="I69" s="53" t="str">
        <f>TEXT('All Solo Standards Source'!AD70,"0.00")</f>
        <v>230.33</v>
      </c>
      <c r="J69" s="57" t="str">
        <f>IF('All Solo Standards Source'!C70&lt;1/24,TEXT('All Solo Standards Source'!C70,"M:SS"),TEXT('All Solo Standards Source'!C70,"H:MM:SS"))</f>
        <v>34:12</v>
      </c>
      <c r="K69" s="57" t="str">
        <f>IF('All Solo Standards Source'!G70&lt;1/24,TEXT('All Solo Standards Source'!G70,"M:SS"),TEXT('All Solo Standards Source'!G70,"H:MM:SS"))</f>
        <v>51:34</v>
      </c>
      <c r="L69" s="57" t="str">
        <f>IF('All Solo Standards Source'!K70&lt;1/24,TEXT('All Solo Standards Source'!K70,"M:SS"),TEXT('All Solo Standards Source'!K70,"H:MM:SS"))</f>
        <v>1:26:49</v>
      </c>
      <c r="M69" s="57" t="str">
        <f>IF('All Solo Standards Source'!O70&lt;1/24,TEXT('All Solo Standards Source'!O70,"M:SS"),TEXT('All Solo Standards Source'!O70,"H:MM:SS"))</f>
        <v>1:44:43</v>
      </c>
      <c r="N69" s="57" t="str">
        <f>IF('All Solo Standards Source'!S70&lt;1/24,TEXT('All Solo Standards Source'!S70,"M:SS"),TEXT('All Solo Standards Source'!S70,"H:MM:SS"))</f>
        <v>2:58:12</v>
      </c>
      <c r="O69" s="57" t="str">
        <f>IF('All Solo Standards Source'!W70&lt;1/24,TEXT('All Solo Standards Source'!W70,"M:SS"),TEXT('All Solo Standards Source'!W70,"H:MM:SS"))</f>
        <v>6:16:32</v>
      </c>
      <c r="P69" s="57" t="str">
        <f>TEXT('All Solo Standards Source'!AA70,"0.00")</f>
        <v>131.75</v>
      </c>
      <c r="Q69" s="57" t="str">
        <f>TEXT('All Solo Standards Source'!AE70,"0.00")</f>
        <v>207.43</v>
      </c>
      <c r="R69" s="50" t="str">
        <f>IF('All Solo Standards Source'!D70&lt;1/24,TEXT('All Solo Standards Source'!D70,"M:SS"),TEXT('All Solo Standards Source'!D70,"H:MM:SS"))</f>
        <v>33:26</v>
      </c>
      <c r="S69" s="50" t="str">
        <f>IF('All Solo Standards Source'!H70&lt;1/24,TEXT('All Solo Standards Source'!H70,"M:SS"),TEXT('All Solo Standards Source'!H70,"H:MM:SS"))</f>
        <v>50:23</v>
      </c>
      <c r="T69" s="50" t="str">
        <f>IF('All Solo Standards Source'!L70&lt;1/24,TEXT('All Solo Standards Source'!L70,"M:SS"),TEXT('All Solo Standards Source'!L70,"H:MM:SS"))</f>
        <v>1:24:50</v>
      </c>
      <c r="U69" s="50" t="str">
        <f>IF('All Solo Standards Source'!P70&lt;1/24,TEXT('All Solo Standards Source'!P70,"M:SS"),TEXT('All Solo Standards Source'!P70,"H:MM:SS"))</f>
        <v>1:42:19</v>
      </c>
      <c r="V69" s="50" t="str">
        <f>IF('All Solo Standards Source'!T70&lt;1/24,TEXT('All Solo Standards Source'!T70,"M:SS"),TEXT('All Solo Standards Source'!T70,"H:MM:SS"))</f>
        <v>2:54:07</v>
      </c>
      <c r="W69" s="50" t="str">
        <f>IF('All Solo Standards Source'!X70&lt;1/24,TEXT('All Solo Standards Source'!X70,"M:SS"),TEXT('All Solo Standards Source'!X70,"H:MM:SS"))</f>
        <v>6:07:52</v>
      </c>
      <c r="X69" s="50" t="str">
        <f>TEXT('All Solo Standards Source'!AB70,"0.00")</f>
        <v>136.17</v>
      </c>
      <c r="Y69" s="50" t="str">
        <f>TEXT('All Solo Standards Source'!AF70,"0.00")</f>
        <v>212.86</v>
      </c>
      <c r="Z69" s="55" t="str">
        <f>IF('All Solo Standards Source'!E70&lt;1/24,TEXT('All Solo Standards Source'!E70,"M:SS"),TEXT('All Solo Standards Source'!E70,"H:MM:SS"))</f>
        <v>36:52</v>
      </c>
      <c r="AA69" s="55" t="str">
        <f>IF('All Solo Standards Source'!I70&lt;1/24,TEXT('All Solo Standards Source'!I70,"M:SS"),TEXT('All Solo Standards Source'!I70,"H:MM:SS"))</f>
        <v>55:35</v>
      </c>
      <c r="AB69" s="55" t="str">
        <f>IF('All Solo Standards Source'!M70&lt;1/24,TEXT('All Solo Standards Source'!M70,"M:SS"),TEXT('All Solo Standards Source'!M70,"H:MM:SS"))</f>
        <v>1:33:35</v>
      </c>
      <c r="AC69" s="55" t="str">
        <f>IF('All Solo Standards Source'!Q70&lt;1/24,TEXT('All Solo Standards Source'!Q70,"M:SS"),TEXT('All Solo Standards Source'!Q70,"H:MM:SS"))</f>
        <v>1:52:53</v>
      </c>
      <c r="AD69" s="55" t="str">
        <f>IF('All Solo Standards Source'!U70&lt;1/24,TEXT('All Solo Standards Source'!U70,"M:SS"),TEXT('All Solo Standards Source'!U70,"H:MM:SS"))</f>
        <v>3:12:07</v>
      </c>
      <c r="AE69" s="55" t="str">
        <f>IF('All Solo Standards Source'!Y70&lt;1/24,TEXT('All Solo Standards Source'!Y70,"M:SS"),TEXT('All Solo Standards Source'!Y70,"H:MM:SS"))</f>
        <v>6:46:03</v>
      </c>
      <c r="AF69" s="55" t="str">
        <f>TEXT('All Solo Standards Source'!AC70,"0.00")</f>
        <v>117.97</v>
      </c>
      <c r="AG69" s="55" t="str">
        <f>TEXT('All Solo Standards Source'!AG70,"0.00")</f>
        <v>190.08</v>
      </c>
    </row>
    <row r="70" spans="1:33" x14ac:dyDescent="0.25">
      <c r="A70" s="25">
        <v>77</v>
      </c>
      <c r="B70" s="53" t="str">
        <f>IF('All Solo Standards Source'!B71&lt;1/24,TEXT('All Solo Standards Source'!B71,"M:SS"),TEXT('All Solo Standards Source'!B71,"H:MM:SS"))</f>
        <v>31:20</v>
      </c>
      <c r="C70" s="53" t="str">
        <f>IF('All Solo Standards Source'!F71&lt;1/24,TEXT('All Solo Standards Source'!F71,"M:SS"),TEXT('All Solo Standards Source'!F71,"H:MM:SS"))</f>
        <v>47:14</v>
      </c>
      <c r="D70" s="53" t="str">
        <f>IF('All Solo Standards Source'!J71&lt;1/24,TEXT('All Solo Standards Source'!J71,"M:SS"),TEXT('All Solo Standards Source'!J71,"H:MM:SS"))</f>
        <v>1:19:32</v>
      </c>
      <c r="E70" s="53" t="str">
        <f>IF('All Solo Standards Source'!N71&lt;1/24,TEXT('All Solo Standards Source'!N71,"M:SS"),TEXT('All Solo Standards Source'!N71,"H:MM:SS"))</f>
        <v>1:35:57</v>
      </c>
      <c r="F70" s="53" t="str">
        <f>IF('All Solo Standards Source'!R71&lt;1/24,TEXT('All Solo Standards Source'!R71,"M:SS"),TEXT('All Solo Standards Source'!R71,"H:MM:SS"))</f>
        <v>2:43:19</v>
      </c>
      <c r="G70" s="53" t="str">
        <f>IF('All Solo Standards Source'!V71&lt;1/24,TEXT('All Solo Standards Source'!V71,"M:SS"),TEXT('All Solo Standards Source'!V71,"H:MM:SS"))</f>
        <v>5:45:22</v>
      </c>
      <c r="H70" s="53" t="str">
        <f>TEXT('All Solo Standards Source'!Z71,"0.00")</f>
        <v>147.75</v>
      </c>
      <c r="I70" s="53" t="str">
        <f>TEXT('All Solo Standards Source'!AD71,"0.00")</f>
        <v>224.55</v>
      </c>
      <c r="J70" s="57" t="str">
        <f>IF('All Solo Standards Source'!C71&lt;1/24,TEXT('All Solo Standards Source'!C71,"M:SS"),TEXT('All Solo Standards Source'!C71,"H:MM:SS"))</f>
        <v>34:31</v>
      </c>
      <c r="K70" s="57" t="str">
        <f>IF('All Solo Standards Source'!G71&lt;1/24,TEXT('All Solo Standards Source'!G71,"M:SS"),TEXT('All Solo Standards Source'!G71,"H:MM:SS"))</f>
        <v>52:02</v>
      </c>
      <c r="L70" s="57" t="str">
        <f>IF('All Solo Standards Source'!K71&lt;1/24,TEXT('All Solo Standards Source'!K71,"M:SS"),TEXT('All Solo Standards Source'!K71,"H:MM:SS"))</f>
        <v>1:27:37</v>
      </c>
      <c r="M70" s="57" t="str">
        <f>IF('All Solo Standards Source'!O71&lt;1/24,TEXT('All Solo Standards Source'!O71,"M:SS"),TEXT('All Solo Standards Source'!O71,"H:MM:SS"))</f>
        <v>1:45:41</v>
      </c>
      <c r="N70" s="57" t="str">
        <f>IF('All Solo Standards Source'!S71&lt;1/24,TEXT('All Solo Standards Source'!S71,"M:SS"),TEXT('All Solo Standards Source'!S71,"H:MM:SS"))</f>
        <v>2:59:56</v>
      </c>
      <c r="O70" s="57" t="str">
        <f>IF('All Solo Standards Source'!W71&lt;1/24,TEXT('All Solo Standards Source'!W71,"M:SS"),TEXT('All Solo Standards Source'!W71,"H:MM:SS"))</f>
        <v>6:20:41</v>
      </c>
      <c r="P70" s="57" t="str">
        <f>TEXT('All Solo Standards Source'!AA71,"0.00")</f>
        <v>129.03</v>
      </c>
      <c r="Q70" s="57" t="str">
        <f>TEXT('All Solo Standards Source'!AE71,"0.00")</f>
        <v>202.23</v>
      </c>
      <c r="R70" s="50" t="str">
        <f>IF('All Solo Standards Source'!D71&lt;1/24,TEXT('All Solo Standards Source'!D71,"M:SS"),TEXT('All Solo Standards Source'!D71,"H:MM:SS"))</f>
        <v>33:43</v>
      </c>
      <c r="S70" s="50" t="str">
        <f>IF('All Solo Standards Source'!H71&lt;1/24,TEXT('All Solo Standards Source'!H71,"M:SS"),TEXT('All Solo Standards Source'!H71,"H:MM:SS"))</f>
        <v>50:51</v>
      </c>
      <c r="T70" s="50" t="str">
        <f>IF('All Solo Standards Source'!L71&lt;1/24,TEXT('All Solo Standards Source'!L71,"M:SS"),TEXT('All Solo Standards Source'!L71,"H:MM:SS"))</f>
        <v>1:25:37</v>
      </c>
      <c r="U70" s="50" t="str">
        <f>IF('All Solo Standards Source'!P71&lt;1/24,TEXT('All Solo Standards Source'!P71,"M:SS"),TEXT('All Solo Standards Source'!P71,"H:MM:SS"))</f>
        <v>1:43:16</v>
      </c>
      <c r="V70" s="50" t="str">
        <f>IF('All Solo Standards Source'!T71&lt;1/24,TEXT('All Solo Standards Source'!T71,"M:SS"),TEXT('All Solo Standards Source'!T71,"H:MM:SS"))</f>
        <v>2:55:48</v>
      </c>
      <c r="W70" s="50" t="str">
        <f>IF('All Solo Standards Source'!X71&lt;1/24,TEXT('All Solo Standards Source'!X71,"M:SS"),TEXT('All Solo Standards Source'!X71,"H:MM:SS"))</f>
        <v>6:11:55</v>
      </c>
      <c r="X70" s="50" t="str">
        <f>TEXT('All Solo Standards Source'!AB71,"0.00")</f>
        <v>133.38</v>
      </c>
      <c r="Y70" s="50" t="str">
        <f>TEXT('All Solo Standards Source'!AF71,"0.00")</f>
        <v>207.52</v>
      </c>
      <c r="Z70" s="55" t="str">
        <f>IF('All Solo Standards Source'!E71&lt;1/24,TEXT('All Solo Standards Source'!E71,"M:SS"),TEXT('All Solo Standards Source'!E71,"H:MM:SS"))</f>
        <v>37:12</v>
      </c>
      <c r="AA70" s="55" t="str">
        <f>IF('All Solo Standards Source'!I71&lt;1/24,TEXT('All Solo Standards Source'!I71,"M:SS"),TEXT('All Solo Standards Source'!I71,"H:MM:SS"))</f>
        <v>56:06</v>
      </c>
      <c r="AB70" s="55" t="str">
        <f>IF('All Solo Standards Source'!M71&lt;1/24,TEXT('All Solo Standards Source'!M71,"M:SS"),TEXT('All Solo Standards Source'!M71,"H:MM:SS"))</f>
        <v>1:34:28</v>
      </c>
      <c r="AC70" s="55" t="str">
        <f>IF('All Solo Standards Source'!Q71&lt;1/24,TEXT('All Solo Standards Source'!Q71,"M:SS"),TEXT('All Solo Standards Source'!Q71,"H:MM:SS"))</f>
        <v>1:53:57</v>
      </c>
      <c r="AD70" s="55" t="str">
        <f>IF('All Solo Standards Source'!U71&lt;1/24,TEXT('All Solo Standards Source'!U71,"M:SS"),TEXT('All Solo Standards Source'!U71,"H:MM:SS"))</f>
        <v>3:14:01</v>
      </c>
      <c r="AE70" s="55" t="str">
        <f>IF('All Solo Standards Source'!Y71&lt;1/24,TEXT('All Solo Standards Source'!Y71,"M:SS"),TEXT('All Solo Standards Source'!Y71,"H:MM:SS"))</f>
        <v>6:50:37</v>
      </c>
      <c r="AF70" s="55" t="str">
        <f>TEXT('All Solo Standards Source'!AC71,"0.00")</f>
        <v>115.48</v>
      </c>
      <c r="AG70" s="55" t="str">
        <f>TEXT('All Solo Standards Source'!AG71,"0.00")</f>
        <v>185.29</v>
      </c>
    </row>
    <row r="71" spans="1:33" x14ac:dyDescent="0.25">
      <c r="A71" s="25">
        <v>78</v>
      </c>
      <c r="B71" s="53" t="str">
        <f>IF('All Solo Standards Source'!B72&lt;1/24,TEXT('All Solo Standards Source'!B72,"M:SS"),TEXT('All Solo Standards Source'!B72,"H:MM:SS"))</f>
        <v>31:37</v>
      </c>
      <c r="C71" s="53" t="str">
        <f>IF('All Solo Standards Source'!F72&lt;1/24,TEXT('All Solo Standards Source'!F72,"M:SS"),TEXT('All Solo Standards Source'!F72,"H:MM:SS"))</f>
        <v>47:40</v>
      </c>
      <c r="D71" s="53" t="str">
        <f>IF('All Solo Standards Source'!J72&lt;1/24,TEXT('All Solo Standards Source'!J72,"M:SS"),TEXT('All Solo Standards Source'!J72,"H:MM:SS"))</f>
        <v>1:20:17</v>
      </c>
      <c r="E71" s="53" t="str">
        <f>IF('All Solo Standards Source'!N72&lt;1/24,TEXT('All Solo Standards Source'!N72,"M:SS"),TEXT('All Solo Standards Source'!N72,"H:MM:SS"))</f>
        <v>1:36:51</v>
      </c>
      <c r="F71" s="53" t="str">
        <f>IF('All Solo Standards Source'!R72&lt;1/24,TEXT('All Solo Standards Source'!R72,"M:SS"),TEXT('All Solo Standards Source'!R72,"H:MM:SS"))</f>
        <v>2:44:55</v>
      </c>
      <c r="G71" s="53" t="str">
        <f>IF('All Solo Standards Source'!V72&lt;1/24,TEXT('All Solo Standards Source'!V72,"M:SS"),TEXT('All Solo Standards Source'!V72,"H:MM:SS"))</f>
        <v>5:49:15</v>
      </c>
      <c r="H71" s="53" t="str">
        <f>TEXT('All Solo Standards Source'!Z72,"0.00")</f>
        <v>144.64</v>
      </c>
      <c r="I71" s="53" t="str">
        <f>TEXT('All Solo Standards Source'!AD72,"0.00")</f>
        <v>218.68</v>
      </c>
      <c r="J71" s="57" t="str">
        <f>IF('All Solo Standards Source'!C72&lt;1/24,TEXT('All Solo Standards Source'!C72,"M:SS"),TEXT('All Solo Standards Source'!C72,"H:MM:SS"))</f>
        <v>34:50</v>
      </c>
      <c r="K71" s="57" t="str">
        <f>IF('All Solo Standards Source'!G72&lt;1/24,TEXT('All Solo Standards Source'!G72,"M:SS"),TEXT('All Solo Standards Source'!G72,"H:MM:SS"))</f>
        <v>52:31</v>
      </c>
      <c r="L71" s="57" t="str">
        <f>IF('All Solo Standards Source'!K72&lt;1/24,TEXT('All Solo Standards Source'!K72,"M:SS"),TEXT('All Solo Standards Source'!K72,"H:MM:SS"))</f>
        <v>1:28:27</v>
      </c>
      <c r="M71" s="57" t="str">
        <f>IF('All Solo Standards Source'!O72&lt;1/24,TEXT('All Solo Standards Source'!O72,"M:SS"),TEXT('All Solo Standards Source'!O72,"H:MM:SS"))</f>
        <v>1:46:43</v>
      </c>
      <c r="N71" s="57" t="str">
        <f>IF('All Solo Standards Source'!S72&lt;1/24,TEXT('All Solo Standards Source'!S72,"M:SS"),TEXT('All Solo Standards Source'!S72,"H:MM:SS"))</f>
        <v>3:01:45</v>
      </c>
      <c r="O71" s="57" t="str">
        <f>IF('All Solo Standards Source'!W72&lt;1/24,TEXT('All Solo Standards Source'!W72,"M:SS"),TEXT('All Solo Standards Source'!W72,"H:MM:SS"))</f>
        <v>6:25:04</v>
      </c>
      <c r="P71" s="57" t="str">
        <f>TEXT('All Solo Standards Source'!AA72,"0.00")</f>
        <v>126.27</v>
      </c>
      <c r="Q71" s="57" t="str">
        <f>TEXT('All Solo Standards Source'!AE72,"0.00")</f>
        <v>196.94</v>
      </c>
      <c r="R71" s="50" t="str">
        <f>IF('All Solo Standards Source'!D72&lt;1/24,TEXT('All Solo Standards Source'!D72,"M:SS"),TEXT('All Solo Standards Source'!D72,"H:MM:SS"))</f>
        <v>34:02</v>
      </c>
      <c r="S71" s="50" t="str">
        <f>IF('All Solo Standards Source'!H72&lt;1/24,TEXT('All Solo Standards Source'!H72,"M:SS"),TEXT('All Solo Standards Source'!H72,"H:MM:SS"))</f>
        <v>51:19</v>
      </c>
      <c r="T71" s="50" t="str">
        <f>IF('All Solo Standards Source'!L72&lt;1/24,TEXT('All Solo Standards Source'!L72,"M:SS"),TEXT('All Solo Standards Source'!L72,"H:MM:SS"))</f>
        <v>1:26:25</v>
      </c>
      <c r="U71" s="50" t="str">
        <f>IF('All Solo Standards Source'!P72&lt;1/24,TEXT('All Solo Standards Source'!P72,"M:SS"),TEXT('All Solo Standards Source'!P72,"H:MM:SS"))</f>
        <v>1:44:16</v>
      </c>
      <c r="V71" s="50" t="str">
        <f>IF('All Solo Standards Source'!T72&lt;1/24,TEXT('All Solo Standards Source'!T72,"M:SS"),TEXT('All Solo Standards Source'!T72,"H:MM:SS"))</f>
        <v>2:57:34</v>
      </c>
      <c r="W71" s="50" t="str">
        <f>IF('All Solo Standards Source'!X72&lt;1/24,TEXT('All Solo Standards Source'!X72,"M:SS"),TEXT('All Solo Standards Source'!X72,"H:MM:SS"))</f>
        <v>6:16:10</v>
      </c>
      <c r="X71" s="50" t="str">
        <f>TEXT('All Solo Standards Source'!AB72,"0.00")</f>
        <v>130.54</v>
      </c>
      <c r="Y71" s="50" t="str">
        <f>TEXT('All Solo Standards Source'!AF72,"0.00")</f>
        <v>202.10</v>
      </c>
      <c r="Z71" s="55" t="str">
        <f>IF('All Solo Standards Source'!E72&lt;1/24,TEXT('All Solo Standards Source'!E72,"M:SS"),TEXT('All Solo Standards Source'!E72,"H:MM:SS"))</f>
        <v>37:33</v>
      </c>
      <c r="AA71" s="55" t="str">
        <f>IF('All Solo Standards Source'!I72&lt;1/24,TEXT('All Solo Standards Source'!I72,"M:SS"),TEXT('All Solo Standards Source'!I72,"H:MM:SS"))</f>
        <v>56:37</v>
      </c>
      <c r="AB71" s="55" t="str">
        <f>IF('All Solo Standards Source'!M72&lt;1/24,TEXT('All Solo Standards Source'!M72,"M:SS"),TEXT('All Solo Standards Source'!M72,"H:MM:SS"))</f>
        <v>1:35:23</v>
      </c>
      <c r="AC71" s="55" t="str">
        <f>IF('All Solo Standards Source'!Q72&lt;1/24,TEXT('All Solo Standards Source'!Q72,"M:SS"),TEXT('All Solo Standards Source'!Q72,"H:MM:SS"))</f>
        <v>1:55:04</v>
      </c>
      <c r="AD71" s="55" t="str">
        <f>IF('All Solo Standards Source'!U72&lt;1/24,TEXT('All Solo Standards Source'!U72,"M:SS"),TEXT('All Solo Standards Source'!U72,"H:MM:SS"))</f>
        <v>3:16:01</v>
      </c>
      <c r="AE71" s="55" t="str">
        <f>IF('All Solo Standards Source'!Y72&lt;1/24,TEXT('All Solo Standards Source'!Y72,"M:SS"),TEXT('All Solo Standards Source'!Y72,"H:MM:SS"))</f>
        <v>6:55:25</v>
      </c>
      <c r="AF71" s="55" t="str">
        <f>TEXT('All Solo Standards Source'!AC72,"0.00")</f>
        <v>112.95</v>
      </c>
      <c r="AG71" s="55" t="str">
        <f>TEXT('All Solo Standards Source'!AG72,"0.00")</f>
        <v>180.42</v>
      </c>
    </row>
    <row r="72" spans="1:33" x14ac:dyDescent="0.25">
      <c r="A72" s="25">
        <v>79</v>
      </c>
      <c r="B72" s="53" t="str">
        <f>IF('All Solo Standards Source'!B73&lt;1/24,TEXT('All Solo Standards Source'!B73,"M:SS"),TEXT('All Solo Standards Source'!B73,"H:MM:SS"))</f>
        <v>31:55</v>
      </c>
      <c r="C72" s="53" t="str">
        <f>IF('All Solo Standards Source'!F73&lt;1/24,TEXT('All Solo Standards Source'!F73,"M:SS"),TEXT('All Solo Standards Source'!F73,"H:MM:SS"))</f>
        <v>48:07</v>
      </c>
      <c r="D72" s="53" t="str">
        <f>IF('All Solo Standards Source'!J73&lt;1/24,TEXT('All Solo Standards Source'!J73,"M:SS"),TEXT('All Solo Standards Source'!J73,"H:MM:SS"))</f>
        <v>1:21:03</v>
      </c>
      <c r="E72" s="53" t="str">
        <f>IF('All Solo Standards Source'!N73&lt;1/24,TEXT('All Solo Standards Source'!N73,"M:SS"),TEXT('All Solo Standards Source'!N73,"H:MM:SS"))</f>
        <v>1:37:47</v>
      </c>
      <c r="F72" s="53" t="str">
        <f>IF('All Solo Standards Source'!R73&lt;1/24,TEXT('All Solo Standards Source'!R73,"M:SS"),TEXT('All Solo Standards Source'!R73,"H:MM:SS"))</f>
        <v>2:46:37</v>
      </c>
      <c r="G72" s="53" t="str">
        <f>IF('All Solo Standards Source'!V73&lt;1/24,TEXT('All Solo Standards Source'!V73,"M:SS"),TEXT('All Solo Standards Source'!V73,"H:MM:SS"))</f>
        <v>5:53:19</v>
      </c>
      <c r="H72" s="53" t="str">
        <f>TEXT('All Solo Standards Source'!Z73,"0.00")</f>
        <v>141.48</v>
      </c>
      <c r="I72" s="53" t="str">
        <f>TEXT('All Solo Standards Source'!AD73,"0.00")</f>
        <v>212.73</v>
      </c>
      <c r="J72" s="57" t="str">
        <f>IF('All Solo Standards Source'!C73&lt;1/24,TEXT('All Solo Standards Source'!C73,"M:SS"),TEXT('All Solo Standards Source'!C73,"H:MM:SS"))</f>
        <v>35:10</v>
      </c>
      <c r="K72" s="57" t="str">
        <f>IF('All Solo Standards Source'!G73&lt;1/24,TEXT('All Solo Standards Source'!G73,"M:SS"),TEXT('All Solo Standards Source'!G73,"H:MM:SS"))</f>
        <v>53:01</v>
      </c>
      <c r="L72" s="57" t="str">
        <f>IF('All Solo Standards Source'!K73&lt;1/24,TEXT('All Solo Standards Source'!K73,"M:SS"),TEXT('All Solo Standards Source'!K73,"H:MM:SS"))</f>
        <v>1:29:19</v>
      </c>
      <c r="M72" s="57" t="str">
        <f>IF('All Solo Standards Source'!O73&lt;1/24,TEXT('All Solo Standards Source'!O73,"M:SS"),TEXT('All Solo Standards Source'!O73,"H:MM:SS"))</f>
        <v>1:47:46</v>
      </c>
      <c r="N72" s="57" t="str">
        <f>IF('All Solo Standards Source'!S73&lt;1/24,TEXT('All Solo Standards Source'!S73,"M:SS"),TEXT('All Solo Standards Source'!S73,"H:MM:SS"))</f>
        <v>3:03:39</v>
      </c>
      <c r="O72" s="57" t="str">
        <f>IF('All Solo Standards Source'!W73&lt;1/24,TEXT('All Solo Standards Source'!W73,"M:SS"),TEXT('All Solo Standards Source'!W73,"H:MM:SS"))</f>
        <v>6:29:40</v>
      </c>
      <c r="P72" s="57" t="str">
        <f>TEXT('All Solo Standards Source'!AA73,"0.00")</f>
        <v>123.45</v>
      </c>
      <c r="Q72" s="57" t="str">
        <f>TEXT('All Solo Standards Source'!AE73,"0.00")</f>
        <v>191.57</v>
      </c>
      <c r="R72" s="50" t="str">
        <f>IF('All Solo Standards Source'!D73&lt;1/24,TEXT('All Solo Standards Source'!D73,"M:SS"),TEXT('All Solo Standards Source'!D73,"H:MM:SS"))</f>
        <v>34:21</v>
      </c>
      <c r="S72" s="50" t="str">
        <f>IF('All Solo Standards Source'!H73&lt;1/24,TEXT('All Solo Standards Source'!H73,"M:SS"),TEXT('All Solo Standards Source'!H73,"H:MM:SS"))</f>
        <v>51:48</v>
      </c>
      <c r="T72" s="50" t="str">
        <f>IF('All Solo Standards Source'!L73&lt;1/24,TEXT('All Solo Standards Source'!L73,"M:SS"),TEXT('All Solo Standards Source'!L73,"H:MM:SS"))</f>
        <v>1:27:16</v>
      </c>
      <c r="U72" s="50" t="str">
        <f>IF('All Solo Standards Source'!P73&lt;1/24,TEXT('All Solo Standards Source'!P73,"M:SS"),TEXT('All Solo Standards Source'!P73,"H:MM:SS"))</f>
        <v>1:45:18</v>
      </c>
      <c r="V72" s="50" t="str">
        <f>IF('All Solo Standards Source'!T73&lt;1/24,TEXT('All Solo Standards Source'!T73,"M:SS"),TEXT('All Solo Standards Source'!T73,"H:MM:SS"))</f>
        <v>2:59:25</v>
      </c>
      <c r="W72" s="50" t="str">
        <f>IF('All Solo Standards Source'!X73&lt;1/24,TEXT('All Solo Standards Source'!X73,"M:SS"),TEXT('All Solo Standards Source'!X73,"H:MM:SS"))</f>
        <v>6:20:38</v>
      </c>
      <c r="X72" s="50" t="str">
        <f>TEXT('All Solo Standards Source'!AB73,"0.00")</f>
        <v>127.65</v>
      </c>
      <c r="Y72" s="50" t="str">
        <f>TEXT('All Solo Standards Source'!AF73,"0.00")</f>
        <v>196.60</v>
      </c>
      <c r="Z72" s="55" t="str">
        <f>IF('All Solo Standards Source'!E73&lt;1/24,TEXT('All Solo Standards Source'!E73,"M:SS"),TEXT('All Solo Standards Source'!E73,"H:MM:SS"))</f>
        <v>37:55</v>
      </c>
      <c r="AA72" s="55" t="str">
        <f>IF('All Solo Standards Source'!I73&lt;1/24,TEXT('All Solo Standards Source'!I73,"M:SS"),TEXT('All Solo Standards Source'!I73,"H:MM:SS"))</f>
        <v>57:11</v>
      </c>
      <c r="AB72" s="55" t="str">
        <f>IF('All Solo Standards Source'!M73&lt;1/24,TEXT('All Solo Standards Source'!M73,"M:SS"),TEXT('All Solo Standards Source'!M73,"H:MM:SS"))</f>
        <v>1:36:20</v>
      </c>
      <c r="AC72" s="55" t="str">
        <f>IF('All Solo Standards Source'!Q73&lt;1/24,TEXT('All Solo Standards Source'!Q73,"M:SS"),TEXT('All Solo Standards Source'!Q73,"H:MM:SS"))</f>
        <v>1:56:14</v>
      </c>
      <c r="AD72" s="55" t="str">
        <f>IF('All Solo Standards Source'!U73&lt;1/24,TEXT('All Solo Standards Source'!U73,"M:SS"),TEXT('All Solo Standards Source'!U73,"H:MM:SS"))</f>
        <v>3:18:06</v>
      </c>
      <c r="AE72" s="55" t="str">
        <f>IF('All Solo Standards Source'!Y73&lt;1/24,TEXT('All Solo Standards Source'!Y73,"M:SS"),TEXT('All Solo Standards Source'!Y73,"H:MM:SS"))</f>
        <v>7:00:27</v>
      </c>
      <c r="AF72" s="55" t="str">
        <f>TEXT('All Solo Standards Source'!AC73,"0.00")</f>
        <v>110.37</v>
      </c>
      <c r="AG72" s="55" t="str">
        <f>TEXT('All Solo Standards Source'!AG73,"0.00")</f>
        <v>175.47</v>
      </c>
    </row>
    <row r="73" spans="1:33" x14ac:dyDescent="0.25">
      <c r="A73" s="25">
        <v>80</v>
      </c>
      <c r="B73" s="53" t="str">
        <f>IF('All Solo Standards Source'!B74&lt;1/24,TEXT('All Solo Standards Source'!B74,"M:SS"),TEXT('All Solo Standards Source'!B74,"H:MM:SS"))</f>
        <v>32:13</v>
      </c>
      <c r="C73" s="53" t="str">
        <f>IF('All Solo Standards Source'!F74&lt;1/24,TEXT('All Solo Standards Source'!F74,"M:SS"),TEXT('All Solo Standards Source'!F74,"H:MM:SS"))</f>
        <v>48:35</v>
      </c>
      <c r="D73" s="53" t="str">
        <f>IF('All Solo Standards Source'!J74&lt;1/24,TEXT('All Solo Standards Source'!J74,"M:SS"),TEXT('All Solo Standards Source'!J74,"H:MM:SS"))</f>
        <v>1:21:52</v>
      </c>
      <c r="E73" s="53" t="str">
        <f>IF('All Solo Standards Source'!N74&lt;1/24,TEXT('All Solo Standards Source'!N74,"M:SS"),TEXT('All Solo Standards Source'!N74,"H:MM:SS"))</f>
        <v>1:38:47</v>
      </c>
      <c r="F73" s="53" t="str">
        <f>IF('All Solo Standards Source'!R74&lt;1/24,TEXT('All Solo Standards Source'!R74,"M:SS"),TEXT('All Solo Standards Source'!R74,"H:MM:SS"))</f>
        <v>2:48:23</v>
      </c>
      <c r="G73" s="53" t="str">
        <f>IF('All Solo Standards Source'!V74&lt;1/24,TEXT('All Solo Standards Source'!V74,"M:SS"),TEXT('All Solo Standards Source'!V74,"H:MM:SS"))</f>
        <v>5:57:37</v>
      </c>
      <c r="H73" s="53" t="str">
        <f>TEXT('All Solo Standards Source'!Z74,"0.00")</f>
        <v>138.27</v>
      </c>
      <c r="I73" s="53" t="str">
        <f>TEXT('All Solo Standards Source'!AD74,"0.00")</f>
        <v>206.68</v>
      </c>
      <c r="J73" s="57" t="str">
        <f>IF('All Solo Standards Source'!C74&lt;1/24,TEXT('All Solo Standards Source'!C74,"M:SS"),TEXT('All Solo Standards Source'!C74,"H:MM:SS"))</f>
        <v>35:30</v>
      </c>
      <c r="K73" s="57" t="str">
        <f>IF('All Solo Standards Source'!G74&lt;1/24,TEXT('All Solo Standards Source'!G74,"M:SS"),TEXT('All Solo Standards Source'!G74,"H:MM:SS"))</f>
        <v>53:33</v>
      </c>
      <c r="L73" s="57" t="str">
        <f>IF('All Solo Standards Source'!K74&lt;1/24,TEXT('All Solo Standards Source'!K74,"M:SS"),TEXT('All Solo Standards Source'!K74,"H:MM:SS"))</f>
        <v>1:30:14</v>
      </c>
      <c r="M73" s="57" t="str">
        <f>IF('All Solo Standards Source'!O74&lt;1/24,TEXT('All Solo Standards Source'!O74,"M:SS"),TEXT('All Solo Standards Source'!O74,"H:MM:SS"))</f>
        <v>1:48:53</v>
      </c>
      <c r="N73" s="57" t="str">
        <f>IF('All Solo Standards Source'!S74&lt;1/24,TEXT('All Solo Standards Source'!S74,"M:SS"),TEXT('All Solo Standards Source'!S74,"H:MM:SS"))</f>
        <v>3:05:39</v>
      </c>
      <c r="O73" s="57" t="str">
        <f>IF('All Solo Standards Source'!W74&lt;1/24,TEXT('All Solo Standards Source'!W74,"M:SS"),TEXT('All Solo Standards Source'!W74,"H:MM:SS"))</f>
        <v>6:34:30</v>
      </c>
      <c r="P73" s="57" t="str">
        <f>TEXT('All Solo Standards Source'!AA74,"0.00")</f>
        <v>120.59</v>
      </c>
      <c r="Q73" s="57" t="str">
        <f>TEXT('All Solo Standards Source'!AE74,"0.00")</f>
        <v>186.12</v>
      </c>
      <c r="R73" s="50" t="str">
        <f>IF('All Solo Standards Source'!D74&lt;1/24,TEXT('All Solo Standards Source'!D74,"M:SS"),TEXT('All Solo Standards Source'!D74,"H:MM:SS"))</f>
        <v>34:41</v>
      </c>
      <c r="S73" s="50" t="str">
        <f>IF('All Solo Standards Source'!H74&lt;1/24,TEXT('All Solo Standards Source'!H74,"M:SS"),TEXT('All Solo Standards Source'!H74,"H:MM:SS"))</f>
        <v>52:19</v>
      </c>
      <c r="T73" s="50" t="str">
        <f>IF('All Solo Standards Source'!L74&lt;1/24,TEXT('All Solo Standards Source'!L74,"M:SS"),TEXT('All Solo Standards Source'!L74,"H:MM:SS"))</f>
        <v>1:28:09</v>
      </c>
      <c r="U73" s="50" t="str">
        <f>IF('All Solo Standards Source'!P74&lt;1/24,TEXT('All Solo Standards Source'!P74,"M:SS"),TEXT('All Solo Standards Source'!P74,"H:MM:SS"))</f>
        <v>1:46:22</v>
      </c>
      <c r="V73" s="50" t="str">
        <f>IF('All Solo Standards Source'!T74&lt;1/24,TEXT('All Solo Standards Source'!T74,"M:SS"),TEXT('All Solo Standards Source'!T74,"H:MM:SS"))</f>
        <v>3:01:22</v>
      </c>
      <c r="W73" s="50" t="str">
        <f>IF('All Solo Standards Source'!X74&lt;1/24,TEXT('All Solo Standards Source'!X74,"M:SS"),TEXT('All Solo Standards Source'!X74,"H:MM:SS"))</f>
        <v>6:25:21</v>
      </c>
      <c r="X73" s="50" t="str">
        <f>TEXT('All Solo Standards Source'!AB74,"0.00")</f>
        <v>124.70</v>
      </c>
      <c r="Y73" s="50" t="str">
        <f>TEXT('All Solo Standards Source'!AF74,"0.00")</f>
        <v>191.01</v>
      </c>
      <c r="Z73" s="55" t="str">
        <f>IF('All Solo Standards Source'!E74&lt;1/24,TEXT('All Solo Standards Source'!E74,"M:SS"),TEXT('All Solo Standards Source'!E74,"H:MM:SS"))</f>
        <v>38:18</v>
      </c>
      <c r="AA73" s="55" t="str">
        <f>IF('All Solo Standards Source'!I74&lt;1/24,TEXT('All Solo Standards Source'!I74,"M:SS"),TEXT('All Solo Standards Source'!I74,"H:MM:SS"))</f>
        <v>57:45</v>
      </c>
      <c r="AB73" s="55" t="str">
        <f>IF('All Solo Standards Source'!M74&lt;1/24,TEXT('All Solo Standards Source'!M74,"M:SS"),TEXT('All Solo Standards Source'!M74,"H:MM:SS"))</f>
        <v>1:37:20</v>
      </c>
      <c r="AC73" s="55" t="str">
        <f>IF('All Solo Standards Source'!Q74&lt;1/24,TEXT('All Solo Standards Source'!Q74,"M:SS"),TEXT('All Solo Standards Source'!Q74,"H:MM:SS"))</f>
        <v>1:57:27</v>
      </c>
      <c r="AD73" s="55" t="str">
        <f>IF('All Solo Standards Source'!U74&lt;1/24,TEXT('All Solo Standards Source'!U74,"M:SS"),TEXT('All Solo Standards Source'!U74,"H:MM:SS"))</f>
        <v>3:20:17</v>
      </c>
      <c r="AE73" s="55" t="str">
        <f>IF('All Solo Standards Source'!Y74&lt;1/24,TEXT('All Solo Standards Source'!Y74,"M:SS"),TEXT('All Solo Standards Source'!Y74,"H:MM:SS"))</f>
        <v>7:05:45</v>
      </c>
      <c r="AF73" s="55" t="str">
        <f>TEXT('All Solo Standards Source'!AC74,"0.00")</f>
        <v>107.75</v>
      </c>
      <c r="AG73" s="55" t="str">
        <f>TEXT('All Solo Standards Source'!AG74,"0.00")</f>
        <v>170.43</v>
      </c>
    </row>
    <row r="74" spans="1:33" x14ac:dyDescent="0.25">
      <c r="A74" s="25">
        <v>81</v>
      </c>
      <c r="B74" s="53" t="str">
        <f>IF('All Solo Standards Source'!B75&lt;1/24,TEXT('All Solo Standards Source'!B75,"M:SS"),TEXT('All Solo Standards Source'!B75,"H:MM:SS"))</f>
        <v>32:32</v>
      </c>
      <c r="C74" s="53" t="str">
        <f>IF('All Solo Standards Source'!F75&lt;1/24,TEXT('All Solo Standards Source'!F75,"M:SS"),TEXT('All Solo Standards Source'!F75,"H:MM:SS"))</f>
        <v>49:04</v>
      </c>
      <c r="D74" s="53" t="str">
        <f>IF('All Solo Standards Source'!J75&lt;1/24,TEXT('All Solo Standards Source'!J75,"M:SS"),TEXT('All Solo Standards Source'!J75,"H:MM:SS"))</f>
        <v>1:22:42</v>
      </c>
      <c r="E74" s="53" t="str">
        <f>IF('All Solo Standards Source'!N75&lt;1/24,TEXT('All Solo Standards Source'!N75,"M:SS"),TEXT('All Solo Standards Source'!N75,"H:MM:SS"))</f>
        <v>1:39:48</v>
      </c>
      <c r="F74" s="53" t="str">
        <f>IF('All Solo Standards Source'!R75&lt;1/24,TEXT('All Solo Standards Source'!R75,"M:SS"),TEXT('All Solo Standards Source'!R75,"H:MM:SS"))</f>
        <v>2:50:14</v>
      </c>
      <c r="G74" s="53" t="str">
        <f>IF('All Solo Standards Source'!V75&lt;1/24,TEXT('All Solo Standards Source'!V75,"M:SS"),TEXT('All Solo Standards Source'!V75,"H:MM:SS"))</f>
        <v>6:02:09</v>
      </c>
      <c r="H74" s="53" t="str">
        <f>TEXT('All Solo Standards Source'!Z75,"0.00")</f>
        <v>135.00</v>
      </c>
      <c r="I74" s="53" t="str">
        <f>TEXT('All Solo Standards Source'!AD75,"0.00")</f>
        <v>200.54</v>
      </c>
      <c r="J74" s="57" t="str">
        <f>IF('All Solo Standards Source'!C75&lt;1/24,TEXT('All Solo Standards Source'!C75,"M:SS"),TEXT('All Solo Standards Source'!C75,"H:MM:SS"))</f>
        <v>35:52</v>
      </c>
      <c r="K74" s="57" t="str">
        <f>IF('All Solo Standards Source'!G75&lt;1/24,TEXT('All Solo Standards Source'!G75,"M:SS"),TEXT('All Solo Standards Source'!G75,"H:MM:SS"))</f>
        <v>54:06</v>
      </c>
      <c r="L74" s="57" t="str">
        <f>IF('All Solo Standards Source'!K75&lt;1/24,TEXT('All Solo Standards Source'!K75,"M:SS"),TEXT('All Solo Standards Source'!K75,"H:MM:SS"))</f>
        <v>1:31:11</v>
      </c>
      <c r="M74" s="57" t="str">
        <f>IF('All Solo Standards Source'!O75&lt;1/24,TEXT('All Solo Standards Source'!O75,"M:SS"),TEXT('All Solo Standards Source'!O75,"H:MM:SS"))</f>
        <v>1:50:03</v>
      </c>
      <c r="N74" s="57" t="str">
        <f>IF('All Solo Standards Source'!S75&lt;1/24,TEXT('All Solo Standards Source'!S75,"M:SS"),TEXT('All Solo Standards Source'!S75,"H:MM:SS"))</f>
        <v>3:07:44</v>
      </c>
      <c r="O74" s="57" t="str">
        <f>IF('All Solo Standards Source'!W75&lt;1/24,TEXT('All Solo Standards Source'!W75,"M:SS"),TEXT('All Solo Standards Source'!W75,"H:MM:SS"))</f>
        <v>6:39:36</v>
      </c>
      <c r="P74" s="57" t="str">
        <f>TEXT('All Solo Standards Source'!AA75,"0.00")</f>
        <v>117.67</v>
      </c>
      <c r="Q74" s="57" t="str">
        <f>TEXT('All Solo Standards Source'!AE75,"0.00")</f>
        <v>180.58</v>
      </c>
      <c r="R74" s="50" t="str">
        <f>IF('All Solo Standards Source'!D75&lt;1/24,TEXT('All Solo Standards Source'!D75,"M:SS"),TEXT('All Solo Standards Source'!D75,"H:MM:SS"))</f>
        <v>35:02</v>
      </c>
      <c r="S74" s="50" t="str">
        <f>IF('All Solo Standards Source'!H75&lt;1/24,TEXT('All Solo Standards Source'!H75,"M:SS"),TEXT('All Solo Standards Source'!H75,"H:MM:SS"))</f>
        <v>52:51</v>
      </c>
      <c r="T74" s="50" t="str">
        <f>IF('All Solo Standards Source'!L75&lt;1/24,TEXT('All Solo Standards Source'!L75,"M:SS"),TEXT('All Solo Standards Source'!L75,"H:MM:SS"))</f>
        <v>1:29:05</v>
      </c>
      <c r="U74" s="50" t="str">
        <f>IF('All Solo Standards Source'!P75&lt;1/24,TEXT('All Solo Standards Source'!P75,"M:SS"),TEXT('All Solo Standards Source'!P75,"H:MM:SS"))</f>
        <v>1:47:30</v>
      </c>
      <c r="V74" s="50" t="str">
        <f>IF('All Solo Standards Source'!T75&lt;1/24,TEXT('All Solo Standards Source'!T75,"M:SS"),TEXT('All Solo Standards Source'!T75,"H:MM:SS"))</f>
        <v>3:03:23</v>
      </c>
      <c r="W74" s="50" t="str">
        <f>IF('All Solo Standards Source'!X75&lt;1/24,TEXT('All Solo Standards Source'!X75,"M:SS"),TEXT('All Solo Standards Source'!X75,"H:MM:SS"))</f>
        <v>6:30:18</v>
      </c>
      <c r="X74" s="50" t="str">
        <f>TEXT('All Solo Standards Source'!AB75,"0.00")</f>
        <v>121.70</v>
      </c>
      <c r="Y74" s="50" t="str">
        <f>TEXT('All Solo Standards Source'!AF75,"0.00")</f>
        <v>185.33</v>
      </c>
      <c r="Z74" s="55" t="str">
        <f>IF('All Solo Standards Source'!E75&lt;1/24,TEXT('All Solo Standards Source'!E75,"M:SS"),TEXT('All Solo Standards Source'!E75,"H:MM:SS"))</f>
        <v>38:41</v>
      </c>
      <c r="AA74" s="55" t="str">
        <f>IF('All Solo Standards Source'!I75&lt;1/24,TEXT('All Solo Standards Source'!I75,"M:SS"),TEXT('All Solo Standards Source'!I75,"H:MM:SS"))</f>
        <v>58:21</v>
      </c>
      <c r="AB74" s="55" t="str">
        <f>IF('All Solo Standards Source'!M75&lt;1/24,TEXT('All Solo Standards Source'!M75,"M:SS"),TEXT('All Solo Standards Source'!M75,"H:MM:SS"))</f>
        <v>1:38:22</v>
      </c>
      <c r="AC74" s="55" t="str">
        <f>IF('All Solo Standards Source'!Q75&lt;1/24,TEXT('All Solo Standards Source'!Q75,"M:SS"),TEXT('All Solo Standards Source'!Q75,"H:MM:SS"))</f>
        <v>1:58:43</v>
      </c>
      <c r="AD74" s="55" t="str">
        <f>IF('All Solo Standards Source'!U75&lt;1/24,TEXT('All Solo Standards Source'!U75,"M:SS"),TEXT('All Solo Standards Source'!U75,"H:MM:SS"))</f>
        <v>3:22:34</v>
      </c>
      <c r="AE74" s="55" t="str">
        <f>IF('All Solo Standards Source'!Y75&lt;1/24,TEXT('All Solo Standards Source'!Y75,"M:SS"),TEXT('All Solo Standards Source'!Y75,"H:MM:SS"))</f>
        <v>7:11:20</v>
      </c>
      <c r="AF74" s="55" t="str">
        <f>TEXT('All Solo Standards Source'!AC75,"0.00")</f>
        <v>105.08</v>
      </c>
      <c r="AG74" s="55" t="str">
        <f>TEXT('All Solo Standards Source'!AG75,"0.00")</f>
        <v>165.32</v>
      </c>
    </row>
    <row r="75" spans="1:33" x14ac:dyDescent="0.25">
      <c r="A75" s="25">
        <v>82</v>
      </c>
      <c r="B75" s="53" t="str">
        <f>IF('All Solo Standards Source'!B76&lt;1/24,TEXT('All Solo Standards Source'!B76,"M:SS"),TEXT('All Solo Standards Source'!B76,"H:MM:SS"))</f>
        <v>32:52</v>
      </c>
      <c r="C75" s="53" t="str">
        <f>IF('All Solo Standards Source'!F76&lt;1/24,TEXT('All Solo Standards Source'!F76,"M:SS"),TEXT('All Solo Standards Source'!F76,"H:MM:SS"))</f>
        <v>49:35</v>
      </c>
      <c r="D75" s="53" t="str">
        <f>IF('All Solo Standards Source'!J76&lt;1/24,TEXT('All Solo Standards Source'!J76,"M:SS"),TEXT('All Solo Standards Source'!J76,"H:MM:SS"))</f>
        <v>1:23:35</v>
      </c>
      <c r="E75" s="53" t="str">
        <f>IF('All Solo Standards Source'!N76&lt;1/24,TEXT('All Solo Standards Source'!N76,"M:SS"),TEXT('All Solo Standards Source'!N76,"H:MM:SS"))</f>
        <v>1:40:53</v>
      </c>
      <c r="F75" s="53" t="str">
        <f>IF('All Solo Standards Source'!R76&lt;1/24,TEXT('All Solo Standards Source'!R76,"M:SS"),TEXT('All Solo Standards Source'!R76,"H:MM:SS"))</f>
        <v>2:52:11</v>
      </c>
      <c r="G75" s="53" t="str">
        <f>IF('All Solo Standards Source'!V76&lt;1/24,TEXT('All Solo Standards Source'!V76,"M:SS"),TEXT('All Solo Standards Source'!V76,"H:MM:SS"))</f>
        <v>6:06:56</v>
      </c>
      <c r="H75" s="53" t="str">
        <f>TEXT('All Solo Standards Source'!Z76,"0.00")</f>
        <v>131.66</v>
      </c>
      <c r="I75" s="53" t="str">
        <f>TEXT('All Solo Standards Source'!AD76,"0.00")</f>
        <v>194.32</v>
      </c>
      <c r="J75" s="57" t="str">
        <f>IF('All Solo Standards Source'!C76&lt;1/24,TEXT('All Solo Standards Source'!C76,"M:SS"),TEXT('All Solo Standards Source'!C76,"H:MM:SS"))</f>
        <v>36:15</v>
      </c>
      <c r="K75" s="57" t="str">
        <f>IF('All Solo Standards Source'!G76&lt;1/24,TEXT('All Solo Standards Source'!G76,"M:SS"),TEXT('All Solo Standards Source'!G76,"H:MM:SS"))</f>
        <v>54:40</v>
      </c>
      <c r="L75" s="57" t="str">
        <f>IF('All Solo Standards Source'!K76&lt;1/24,TEXT('All Solo Standards Source'!K76,"M:SS"),TEXT('All Solo Standards Source'!K76,"H:MM:SS"))</f>
        <v>1:32:11</v>
      </c>
      <c r="M75" s="57" t="str">
        <f>IF('All Solo Standards Source'!O76&lt;1/24,TEXT('All Solo Standards Source'!O76,"M:SS"),TEXT('All Solo Standards Source'!O76,"H:MM:SS"))</f>
        <v>1:51:16</v>
      </c>
      <c r="N75" s="57" t="str">
        <f>IF('All Solo Standards Source'!S76&lt;1/24,TEXT('All Solo Standards Source'!S76,"M:SS"),TEXT('All Solo Standards Source'!S76,"H:MM:SS"))</f>
        <v>3:09:56</v>
      </c>
      <c r="O75" s="57" t="str">
        <f>IF('All Solo Standards Source'!W76&lt;1/24,TEXT('All Solo Standards Source'!W76,"M:SS"),TEXT('All Solo Standards Source'!W76,"H:MM:SS"))</f>
        <v>6:45:00</v>
      </c>
      <c r="P75" s="57" t="str">
        <f>TEXT('All Solo Standards Source'!AA76,"0.00")</f>
        <v>114.70</v>
      </c>
      <c r="Q75" s="57" t="str">
        <f>TEXT('All Solo Standards Source'!AE76,"0.00")</f>
        <v>174.95</v>
      </c>
      <c r="R75" s="50" t="str">
        <f>IF('All Solo Standards Source'!D76&lt;1/24,TEXT('All Solo Standards Source'!D76,"M:SS"),TEXT('All Solo Standards Source'!D76,"H:MM:SS"))</f>
        <v>35:24</v>
      </c>
      <c r="S75" s="50" t="str">
        <f>IF('All Solo Standards Source'!H76&lt;1/24,TEXT('All Solo Standards Source'!H76,"M:SS"),TEXT('All Solo Standards Source'!H76,"H:MM:SS"))</f>
        <v>53:25</v>
      </c>
      <c r="T75" s="50" t="str">
        <f>IF('All Solo Standards Source'!L76&lt;1/24,TEXT('All Solo Standards Source'!L76,"M:SS"),TEXT('All Solo Standards Source'!L76,"H:MM:SS"))</f>
        <v>1:30:03</v>
      </c>
      <c r="U75" s="50" t="str">
        <f>IF('All Solo Standards Source'!P76&lt;1/24,TEXT('All Solo Standards Source'!P76,"M:SS"),TEXT('All Solo Standards Source'!P76,"H:MM:SS"))</f>
        <v>1:48:41</v>
      </c>
      <c r="V75" s="50" t="str">
        <f>IF('All Solo Standards Source'!T76&lt;1/24,TEXT('All Solo Standards Source'!T76,"M:SS"),TEXT('All Solo Standards Source'!T76,"H:MM:SS"))</f>
        <v>3:05:31</v>
      </c>
      <c r="W75" s="50" t="str">
        <f>IF('All Solo Standards Source'!X76&lt;1/24,TEXT('All Solo Standards Source'!X76,"M:SS"),TEXT('All Solo Standards Source'!X76,"H:MM:SS"))</f>
        <v>6:35:32</v>
      </c>
      <c r="X75" s="50" t="str">
        <f>TEXT('All Solo Standards Source'!AB76,"0.00")</f>
        <v>118.65</v>
      </c>
      <c r="Y75" s="50" t="str">
        <f>TEXT('All Solo Standards Source'!AF76,"0.00")</f>
        <v>179.56</v>
      </c>
      <c r="Z75" s="55" t="str">
        <f>IF('All Solo Standards Source'!E76&lt;1/24,TEXT('All Solo Standards Source'!E76,"M:SS"),TEXT('All Solo Standards Source'!E76,"H:MM:SS"))</f>
        <v>39:06</v>
      </c>
      <c r="AA75" s="55" t="str">
        <f>IF('All Solo Standards Source'!I76&lt;1/24,TEXT('All Solo Standards Source'!I76,"M:SS"),TEXT('All Solo Standards Source'!I76,"H:MM:SS"))</f>
        <v>58:59</v>
      </c>
      <c r="AB75" s="55" t="str">
        <f>IF('All Solo Standards Source'!M76&lt;1/24,TEXT('All Solo Standards Source'!M76,"M:SS"),TEXT('All Solo Standards Source'!M76,"H:MM:SS"))</f>
        <v>1:39:28</v>
      </c>
      <c r="AC75" s="55" t="str">
        <f>IF('All Solo Standards Source'!Q76&lt;1/24,TEXT('All Solo Standards Source'!Q76,"M:SS"),TEXT('All Solo Standards Source'!Q76,"H:MM:SS"))</f>
        <v>2:00:03</v>
      </c>
      <c r="AD75" s="55" t="str">
        <f>IF('All Solo Standards Source'!U76&lt;1/24,TEXT('All Solo Standards Source'!U76,"M:SS"),TEXT('All Solo Standards Source'!U76,"H:MM:SS"))</f>
        <v>3:24:58</v>
      </c>
      <c r="AE75" s="55" t="str">
        <f>IF('All Solo Standards Source'!Y76&lt;1/24,TEXT('All Solo Standards Source'!Y76,"M:SS"),TEXT('All Solo Standards Source'!Y76,"H:MM:SS"))</f>
        <v>7:17:15</v>
      </c>
      <c r="AF75" s="55" t="str">
        <f>TEXT('All Solo Standards Source'!AC76,"0.00")</f>
        <v>102.36</v>
      </c>
      <c r="AG75" s="55" t="str">
        <f>TEXT('All Solo Standards Source'!AG76,"0.00")</f>
        <v>160.12</v>
      </c>
    </row>
    <row r="76" spans="1:33" x14ac:dyDescent="0.25">
      <c r="A76" s="25">
        <v>83</v>
      </c>
      <c r="B76" s="53" t="str">
        <f>IF('All Solo Standards Source'!B77&lt;1/24,TEXT('All Solo Standards Source'!B77,"M:SS"),TEXT('All Solo Standards Source'!B77,"H:MM:SS"))</f>
        <v>33:13</v>
      </c>
      <c r="C76" s="53" t="str">
        <f>IF('All Solo Standards Source'!F77&lt;1/24,TEXT('All Solo Standards Source'!F77,"M:SS"),TEXT('All Solo Standards Source'!F77,"H:MM:SS"))</f>
        <v>50:07</v>
      </c>
      <c r="D76" s="53" t="str">
        <f>IF('All Solo Standards Source'!J77&lt;1/24,TEXT('All Solo Standards Source'!J77,"M:SS"),TEXT('All Solo Standards Source'!J77,"H:MM:SS"))</f>
        <v>1:24:31</v>
      </c>
      <c r="E76" s="53" t="str">
        <f>IF('All Solo Standards Source'!N77&lt;1/24,TEXT('All Solo Standards Source'!N77,"M:SS"),TEXT('All Solo Standards Source'!N77,"H:MM:SS"))</f>
        <v>1:42:01</v>
      </c>
      <c r="F76" s="53" t="str">
        <f>IF('All Solo Standards Source'!R77&lt;1/24,TEXT('All Solo Standards Source'!R77,"M:SS"),TEXT('All Solo Standards Source'!R77,"H:MM:SS"))</f>
        <v>2:54:13</v>
      </c>
      <c r="G76" s="53" t="str">
        <f>IF('All Solo Standards Source'!V77&lt;1/24,TEXT('All Solo Standards Source'!V77,"M:SS"),TEXT('All Solo Standards Source'!V77,"H:MM:SS"))</f>
        <v>6:11:59</v>
      </c>
      <c r="H76" s="53" t="str">
        <f>TEXT('All Solo Standards Source'!Z77,"0.00")</f>
        <v>128.27</v>
      </c>
      <c r="I76" s="53" t="str">
        <f>TEXT('All Solo Standards Source'!AD77,"0.00")</f>
        <v>188.00</v>
      </c>
      <c r="J76" s="57" t="str">
        <f>IF('All Solo Standards Source'!C77&lt;1/24,TEXT('All Solo Standards Source'!C77,"M:SS"),TEXT('All Solo Standards Source'!C77,"H:MM:SS"))</f>
        <v>36:38</v>
      </c>
      <c r="K76" s="57" t="str">
        <f>IF('All Solo Standards Source'!G77&lt;1/24,TEXT('All Solo Standards Source'!G77,"M:SS"),TEXT('All Solo Standards Source'!G77,"H:MM:SS"))</f>
        <v>55:17</v>
      </c>
      <c r="L76" s="57" t="str">
        <f>IF('All Solo Standards Source'!K77&lt;1/24,TEXT('All Solo Standards Source'!K77,"M:SS"),TEXT('All Solo Standards Source'!K77,"H:MM:SS"))</f>
        <v>1:33:13</v>
      </c>
      <c r="M76" s="57" t="str">
        <f>IF('All Solo Standards Source'!O77&lt;1/24,TEXT('All Solo Standards Source'!O77,"M:SS"),TEXT('All Solo Standards Source'!O77,"H:MM:SS"))</f>
        <v>1:52:32</v>
      </c>
      <c r="N76" s="57" t="str">
        <f>IF('All Solo Standards Source'!S77&lt;1/24,TEXT('All Solo Standards Source'!S77,"M:SS"),TEXT('All Solo Standards Source'!S77,"H:MM:SS"))</f>
        <v>3:12:14</v>
      </c>
      <c r="O76" s="57" t="str">
        <f>IF('All Solo Standards Source'!W77&lt;1/24,TEXT('All Solo Standards Source'!W77,"M:SS"),TEXT('All Solo Standards Source'!W77,"H:MM:SS"))</f>
        <v>6:50:41</v>
      </c>
      <c r="P76" s="57" t="str">
        <f>TEXT('All Solo Standards Source'!AA77,"0.00")</f>
        <v>111.67</v>
      </c>
      <c r="Q76" s="57" t="str">
        <f>TEXT('All Solo Standards Source'!AE77,"0.00")</f>
        <v>169.24</v>
      </c>
      <c r="R76" s="50" t="str">
        <f>IF('All Solo Standards Source'!D77&lt;1/24,TEXT('All Solo Standards Source'!D77,"M:SS"),TEXT('All Solo Standards Source'!D77,"H:MM:SS"))</f>
        <v>35:47</v>
      </c>
      <c r="S76" s="50" t="str">
        <f>IF('All Solo Standards Source'!H77&lt;1/24,TEXT('All Solo Standards Source'!H77,"M:SS"),TEXT('All Solo Standards Source'!H77,"H:MM:SS"))</f>
        <v>54:00</v>
      </c>
      <c r="T76" s="50" t="str">
        <f>IF('All Solo Standards Source'!L77&lt;1/24,TEXT('All Solo Standards Source'!L77,"M:SS"),TEXT('All Solo Standards Source'!L77,"H:MM:SS"))</f>
        <v>1:31:04</v>
      </c>
      <c r="U76" s="50" t="str">
        <f>IF('All Solo Standards Source'!P77&lt;1/24,TEXT('All Solo Standards Source'!P77,"M:SS"),TEXT('All Solo Standards Source'!P77,"H:MM:SS"))</f>
        <v>1:49:56</v>
      </c>
      <c r="V76" s="50" t="str">
        <f>IF('All Solo Standards Source'!T77&lt;1/24,TEXT('All Solo Standards Source'!T77,"M:SS"),TEXT('All Solo Standards Source'!T77,"H:MM:SS"))</f>
        <v>3:07:46</v>
      </c>
      <c r="W76" s="50" t="str">
        <f>IF('All Solo Standards Source'!X77&lt;1/24,TEXT('All Solo Standards Source'!X77,"M:SS"),TEXT('All Solo Standards Source'!X77,"H:MM:SS"))</f>
        <v>6:41:05</v>
      </c>
      <c r="X76" s="50" t="str">
        <f>TEXT('All Solo Standards Source'!AB77,"0.00")</f>
        <v>115.54</v>
      </c>
      <c r="Y76" s="50" t="str">
        <f>TEXT('All Solo Standards Source'!AF77,"0.00")</f>
        <v>173.71</v>
      </c>
      <c r="Z76" s="55" t="str">
        <f>IF('All Solo Standards Source'!E77&lt;1/24,TEXT('All Solo Standards Source'!E77,"M:SS"),TEXT('All Solo Standards Source'!E77,"H:MM:SS"))</f>
        <v>39:32</v>
      </c>
      <c r="AA76" s="55" t="str">
        <f>IF('All Solo Standards Source'!I77&lt;1/24,TEXT('All Solo Standards Source'!I77,"M:SS"),TEXT('All Solo Standards Source'!I77,"H:MM:SS"))</f>
        <v>59:39</v>
      </c>
      <c r="AB76" s="55" t="str">
        <f>IF('All Solo Standards Source'!M77&lt;1/24,TEXT('All Solo Standards Source'!M77,"M:SS"),TEXT('All Solo Standards Source'!M77,"H:MM:SS"))</f>
        <v>1:40:36</v>
      </c>
      <c r="AC76" s="55" t="str">
        <f>IF('All Solo Standards Source'!Q77&lt;1/24,TEXT('All Solo Standards Source'!Q77,"M:SS"),TEXT('All Solo Standards Source'!Q77,"H:MM:SS"))</f>
        <v>2:01:27</v>
      </c>
      <c r="AD76" s="55" t="str">
        <f>IF('All Solo Standards Source'!U77&lt;1/24,TEXT('All Solo Standards Source'!U77,"M:SS"),TEXT('All Solo Standards Source'!U77,"H:MM:SS"))</f>
        <v>3:27:29</v>
      </c>
      <c r="AE76" s="55" t="str">
        <f>IF('All Solo Standards Source'!Y77&lt;1/24,TEXT('All Solo Standards Source'!Y77,"M:SS"),TEXT('All Solo Standards Source'!Y77,"H:MM:SS"))</f>
        <v>7:23:29</v>
      </c>
      <c r="AF76" s="55" t="str">
        <f>TEXT('All Solo Standards Source'!AC77,"0.00")</f>
        <v>99.58</v>
      </c>
      <c r="AG76" s="55" t="str">
        <f>TEXT('All Solo Standards Source'!AG77,"0.00")</f>
        <v>154.84</v>
      </c>
    </row>
    <row r="77" spans="1:33" x14ac:dyDescent="0.25">
      <c r="A77" s="25">
        <v>84</v>
      </c>
      <c r="B77" s="53" t="str">
        <f>IF('All Solo Standards Source'!B78&lt;1/24,TEXT('All Solo Standards Source'!B78,"M:SS"),TEXT('All Solo Standards Source'!B78,"H:MM:SS"))</f>
        <v>33:35</v>
      </c>
      <c r="C77" s="53" t="str">
        <f>IF('All Solo Standards Source'!F78&lt;1/24,TEXT('All Solo Standards Source'!F78,"M:SS"),TEXT('All Solo Standards Source'!F78,"H:MM:SS"))</f>
        <v>50:41</v>
      </c>
      <c r="D77" s="53" t="str">
        <f>IF('All Solo Standards Source'!J78&lt;1/24,TEXT('All Solo Standards Source'!J78,"M:SS"),TEXT('All Solo Standards Source'!J78,"H:MM:SS"))</f>
        <v>1:25:29</v>
      </c>
      <c r="E77" s="53" t="str">
        <f>IF('All Solo Standards Source'!N78&lt;1/24,TEXT('All Solo Standards Source'!N78,"M:SS"),TEXT('All Solo Standards Source'!N78,"H:MM:SS"))</f>
        <v>1:43:13</v>
      </c>
      <c r="F77" s="53" t="str">
        <f>IF('All Solo Standards Source'!R78&lt;1/24,TEXT('All Solo Standards Source'!R78,"M:SS"),TEXT('All Solo Standards Source'!R78,"H:MM:SS"))</f>
        <v>2:56:22</v>
      </c>
      <c r="G77" s="53" t="str">
        <f>IF('All Solo Standards Source'!V78&lt;1/24,TEXT('All Solo Standards Source'!V78,"M:SS"),TEXT('All Solo Standards Source'!V78,"H:MM:SS"))</f>
        <v>6:17:20</v>
      </c>
      <c r="H77" s="53" t="str">
        <f>TEXT('All Solo Standards Source'!Z78,"0.00")</f>
        <v>124.82</v>
      </c>
      <c r="I77" s="53" t="str">
        <f>TEXT('All Solo Standards Source'!AD78,"0.00")</f>
        <v>181.59</v>
      </c>
      <c r="J77" s="57" t="str">
        <f>IF('All Solo Standards Source'!C78&lt;1/24,TEXT('All Solo Standards Source'!C78,"M:SS"),TEXT('All Solo Standards Source'!C78,"H:MM:SS"))</f>
        <v>37:03</v>
      </c>
      <c r="K77" s="57" t="str">
        <f>IF('All Solo Standards Source'!G78&lt;1/24,TEXT('All Solo Standards Source'!G78,"M:SS"),TEXT('All Solo Standards Source'!G78,"H:MM:SS"))</f>
        <v>55:55</v>
      </c>
      <c r="L77" s="57" t="str">
        <f>IF('All Solo Standards Source'!K78&lt;1/24,TEXT('All Solo Standards Source'!K78,"M:SS"),TEXT('All Solo Standards Source'!K78,"H:MM:SS"))</f>
        <v>1:34:19</v>
      </c>
      <c r="M77" s="57" t="str">
        <f>IF('All Solo Standards Source'!O78&lt;1/24,TEXT('All Solo Standards Source'!O78,"M:SS"),TEXT('All Solo Standards Source'!O78,"H:MM:SS"))</f>
        <v>1:53:53</v>
      </c>
      <c r="N77" s="57" t="str">
        <f>IF('All Solo Standards Source'!S78&lt;1/24,TEXT('All Solo Standards Source'!S78,"M:SS"),TEXT('All Solo Standards Source'!S78,"H:MM:SS"))</f>
        <v>3:14:39</v>
      </c>
      <c r="O77" s="57" t="str">
        <f>IF('All Solo Standards Source'!W78&lt;1/24,TEXT('All Solo Standards Source'!W78,"M:SS"),TEXT('All Solo Standards Source'!W78,"H:MM:SS"))</f>
        <v>6:56:43</v>
      </c>
      <c r="P77" s="57" t="str">
        <f>TEXT('All Solo Standards Source'!AA78,"0.00")</f>
        <v>108.59</v>
      </c>
      <c r="Q77" s="57" t="str">
        <f>TEXT('All Solo Standards Source'!AE78,"0.00")</f>
        <v>163.44</v>
      </c>
      <c r="R77" s="50" t="str">
        <f>IF('All Solo Standards Source'!D78&lt;1/24,TEXT('All Solo Standards Source'!D78,"M:SS"),TEXT('All Solo Standards Source'!D78,"H:MM:SS"))</f>
        <v>36:11</v>
      </c>
      <c r="S77" s="50" t="str">
        <f>IF('All Solo Standards Source'!H78&lt;1/24,TEXT('All Solo Standards Source'!H78,"M:SS"),TEXT('All Solo Standards Source'!H78,"H:MM:SS"))</f>
        <v>54:37</v>
      </c>
      <c r="T77" s="50" t="str">
        <f>IF('All Solo Standards Source'!L78&lt;1/24,TEXT('All Solo Standards Source'!L78,"M:SS"),TEXT('All Solo Standards Source'!L78,"H:MM:SS"))</f>
        <v>1:32:07</v>
      </c>
      <c r="U77" s="50" t="str">
        <f>IF('All Solo Standards Source'!P78&lt;1/24,TEXT('All Solo Standards Source'!P78,"M:SS"),TEXT('All Solo Standards Source'!P78,"H:MM:SS"))</f>
        <v>1:51:14</v>
      </c>
      <c r="V77" s="50" t="str">
        <f>IF('All Solo Standards Source'!T78&lt;1/24,TEXT('All Solo Standards Source'!T78,"M:SS"),TEXT('All Solo Standards Source'!T78,"H:MM:SS"))</f>
        <v>3:10:07</v>
      </c>
      <c r="W77" s="50" t="str">
        <f>IF('All Solo Standards Source'!X78&lt;1/24,TEXT('All Solo Standards Source'!X78,"M:SS"),TEXT('All Solo Standards Source'!X78,"H:MM:SS"))</f>
        <v>6:46:56</v>
      </c>
      <c r="X77" s="50" t="str">
        <f>TEXT('All Solo Standards Source'!AB78,"0.00")</f>
        <v>112.37</v>
      </c>
      <c r="Y77" s="50" t="str">
        <f>TEXT('All Solo Standards Source'!AF78,"0.00")</f>
        <v>167.77</v>
      </c>
      <c r="Z77" s="55" t="str">
        <f>IF('All Solo Standards Source'!E78&lt;1/24,TEXT('All Solo Standards Source'!E78,"M:SS"),TEXT('All Solo Standards Source'!E78,"H:MM:SS"))</f>
        <v>39:59</v>
      </c>
      <c r="AA77" s="55" t="str">
        <f>IF('All Solo Standards Source'!I78&lt;1/24,TEXT('All Solo Standards Source'!I78,"M:SS"),TEXT('All Solo Standards Source'!I78,"H:MM:SS"))</f>
        <v>1:00:20</v>
      </c>
      <c r="AB77" s="55" t="str">
        <f>IF('All Solo Standards Source'!M78&lt;1/24,TEXT('All Solo Standards Source'!M78,"M:SS"),TEXT('All Solo Standards Source'!M78,"H:MM:SS"))</f>
        <v>1:41:48</v>
      </c>
      <c r="AC77" s="55" t="str">
        <f>IF('All Solo Standards Source'!Q78&lt;1/24,TEXT('All Solo Standards Source'!Q78,"M:SS"),TEXT('All Solo Standards Source'!Q78,"H:MM:SS"))</f>
        <v>2:02:55</v>
      </c>
      <c r="AD77" s="55" t="str">
        <f>IF('All Solo Standards Source'!U78&lt;1/24,TEXT('All Solo Standards Source'!U78,"M:SS"),TEXT('All Solo Standards Source'!U78,"H:MM:SS"))</f>
        <v>3:30:08</v>
      </c>
      <c r="AE77" s="55" t="str">
        <f>IF('All Solo Standards Source'!Y78&lt;1/24,TEXT('All Solo Standards Source'!Y78,"M:SS"),TEXT('All Solo Standards Source'!Y78,"H:MM:SS"))</f>
        <v>7:30:05</v>
      </c>
      <c r="AF77" s="55" t="str">
        <f>TEXT('All Solo Standards Source'!AC78,"0.00")</f>
        <v>96.76</v>
      </c>
      <c r="AG77" s="55" t="str">
        <f>TEXT('All Solo Standards Source'!AG78,"0.00")</f>
        <v>149.48</v>
      </c>
    </row>
    <row r="78" spans="1:33" x14ac:dyDescent="0.25">
      <c r="A78" s="25">
        <v>85</v>
      </c>
      <c r="B78" s="53" t="str">
        <f>IF('All Solo Standards Source'!B79&lt;1/24,TEXT('All Solo Standards Source'!B79,"M:SS"),TEXT('All Solo Standards Source'!B79,"H:MM:SS"))</f>
        <v>33:58</v>
      </c>
      <c r="C78" s="53" t="str">
        <f>IF('All Solo Standards Source'!F79&lt;1/24,TEXT('All Solo Standards Source'!F79,"M:SS"),TEXT('All Solo Standards Source'!F79,"H:MM:SS"))</f>
        <v>51:16</v>
      </c>
      <c r="D78" s="53" t="str">
        <f>IF('All Solo Standards Source'!J79&lt;1/24,TEXT('All Solo Standards Source'!J79,"M:SS"),TEXT('All Solo Standards Source'!J79,"H:MM:SS"))</f>
        <v>1:26:30</v>
      </c>
      <c r="E78" s="53" t="str">
        <f>IF('All Solo Standards Source'!N79&lt;1/24,TEXT('All Solo Standards Source'!N79,"M:SS"),TEXT('All Solo Standards Source'!N79,"H:MM:SS"))</f>
        <v>1:44:27</v>
      </c>
      <c r="F78" s="53" t="str">
        <f>IF('All Solo Standards Source'!R79&lt;1/24,TEXT('All Solo Standards Source'!R79,"M:SS"),TEXT('All Solo Standards Source'!R79,"H:MM:SS"))</f>
        <v>2:58:38</v>
      </c>
      <c r="G78" s="53" t="str">
        <f>IF('All Solo Standards Source'!V79&lt;1/24,TEXT('All Solo Standards Source'!V79,"M:SS"),TEXT('All Solo Standards Source'!V79,"H:MM:SS"))</f>
        <v>6:23:01</v>
      </c>
      <c r="H78" s="53" t="str">
        <f>TEXT('All Solo Standards Source'!Z79,"0.00")</f>
        <v>121.31</v>
      </c>
      <c r="I78" s="53" t="str">
        <f>TEXT('All Solo Standards Source'!AD79,"0.00")</f>
        <v>175.09</v>
      </c>
      <c r="J78" s="57" t="str">
        <f>IF('All Solo Standards Source'!C79&lt;1/24,TEXT('All Solo Standards Source'!C79,"M:SS"),TEXT('All Solo Standards Source'!C79,"H:MM:SS"))</f>
        <v>37:29</v>
      </c>
      <c r="K78" s="57" t="str">
        <f>IF('All Solo Standards Source'!G79&lt;1/24,TEXT('All Solo Standards Source'!G79,"M:SS"),TEXT('All Solo Standards Source'!G79,"H:MM:SS"))</f>
        <v>56:34</v>
      </c>
      <c r="L78" s="57" t="str">
        <f>IF('All Solo Standards Source'!K79&lt;1/24,TEXT('All Solo Standards Source'!K79,"M:SS"),TEXT('All Solo Standards Source'!K79,"H:MM:SS"))</f>
        <v>1:35:28</v>
      </c>
      <c r="M78" s="57" t="str">
        <f>IF('All Solo Standards Source'!O79&lt;1/24,TEXT('All Solo Standards Source'!O79,"M:SS"),TEXT('All Solo Standards Source'!O79,"H:MM:SS"))</f>
        <v>1:55:17</v>
      </c>
      <c r="N78" s="57" t="str">
        <f>IF('All Solo Standards Source'!S79&lt;1/24,TEXT('All Solo Standards Source'!S79,"M:SS"),TEXT('All Solo Standards Source'!S79,"H:MM:SS"))</f>
        <v>3:17:12</v>
      </c>
      <c r="O78" s="57" t="str">
        <f>IF('All Solo Standards Source'!W79&lt;1/24,TEXT('All Solo Standards Source'!W79,"M:SS"),TEXT('All Solo Standards Source'!W79,"H:MM:SS"))</f>
        <v>7:03:07</v>
      </c>
      <c r="P78" s="57" t="str">
        <f>TEXT('All Solo Standards Source'!AA79,"0.00")</f>
        <v>105.45</v>
      </c>
      <c r="Q78" s="57" t="str">
        <f>TEXT('All Solo Standards Source'!AE79,"0.00")</f>
        <v>157.54</v>
      </c>
      <c r="R78" s="50" t="str">
        <f>IF('All Solo Standards Source'!D79&lt;1/24,TEXT('All Solo Standards Source'!D79,"M:SS"),TEXT('All Solo Standards Source'!D79,"H:MM:SS"))</f>
        <v>36:37</v>
      </c>
      <c r="S78" s="50" t="str">
        <f>IF('All Solo Standards Source'!H79&lt;1/24,TEXT('All Solo Standards Source'!H79,"M:SS"),TEXT('All Solo Standards Source'!H79,"H:MM:SS"))</f>
        <v>55:15</v>
      </c>
      <c r="T78" s="50" t="str">
        <f>IF('All Solo Standards Source'!L79&lt;1/24,TEXT('All Solo Standards Source'!L79,"M:SS"),TEXT('All Solo Standards Source'!L79,"H:MM:SS"))</f>
        <v>1:33:14</v>
      </c>
      <c r="U78" s="50" t="str">
        <f>IF('All Solo Standards Source'!P79&lt;1/24,TEXT('All Solo Standards Source'!P79,"M:SS"),TEXT('All Solo Standards Source'!P79,"H:MM:SS"))</f>
        <v>1:52:36</v>
      </c>
      <c r="V78" s="50" t="str">
        <f>IF('All Solo Standards Source'!T79&lt;1/24,TEXT('All Solo Standards Source'!T79,"M:SS"),TEXT('All Solo Standards Source'!T79,"H:MM:SS"))</f>
        <v>3:12:35</v>
      </c>
      <c r="W78" s="50" t="str">
        <f>IF('All Solo Standards Source'!X79&lt;1/24,TEXT('All Solo Standards Source'!X79,"M:SS"),TEXT('All Solo Standards Source'!X79,"H:MM:SS"))</f>
        <v>6:53:10</v>
      </c>
      <c r="X78" s="50" t="str">
        <f>TEXT('All Solo Standards Source'!AB79,"0.00")</f>
        <v>109.15</v>
      </c>
      <c r="Y78" s="50" t="str">
        <f>TEXT('All Solo Standards Source'!AF79,"0.00")</f>
        <v>161.73</v>
      </c>
      <c r="Z78" s="55" t="str">
        <f>IF('All Solo Standards Source'!E79&lt;1/24,TEXT('All Solo Standards Source'!E79,"M:SS"),TEXT('All Solo Standards Source'!E79,"H:MM:SS"))</f>
        <v>40:28</v>
      </c>
      <c r="AA78" s="55" t="str">
        <f>IF('All Solo Standards Source'!I79&lt;1/24,TEXT('All Solo Standards Source'!I79,"M:SS"),TEXT('All Solo Standards Source'!I79,"H:MM:SS"))</f>
        <v>1:01:04</v>
      </c>
      <c r="AB78" s="55" t="str">
        <f>IF('All Solo Standards Source'!M79&lt;1/24,TEXT('All Solo Standards Source'!M79,"M:SS"),TEXT('All Solo Standards Source'!M79,"H:MM:SS"))</f>
        <v>1:43:04</v>
      </c>
      <c r="AC78" s="55" t="str">
        <f>IF('All Solo Standards Source'!Q79&lt;1/24,TEXT('All Solo Standards Source'!Q79,"M:SS"),TEXT('All Solo Standards Source'!Q79,"H:MM:SS"))</f>
        <v>2:04:28</v>
      </c>
      <c r="AD78" s="55" t="str">
        <f>IF('All Solo Standards Source'!U79&lt;1/24,TEXT('All Solo Standards Source'!U79,"M:SS"),TEXT('All Solo Standards Source'!U79,"H:MM:SS"))</f>
        <v>3:32:56</v>
      </c>
      <c r="AE78" s="55" t="str">
        <f>IF('All Solo Standards Source'!Y79&lt;1/24,TEXT('All Solo Standards Source'!Y79,"M:SS"),TEXT('All Solo Standards Source'!Y79,"H:MM:SS"))</f>
        <v>7:37:06</v>
      </c>
      <c r="AF78" s="55" t="str">
        <f>TEXT('All Solo Standards Source'!AC79,"0.00")</f>
        <v>93.89</v>
      </c>
      <c r="AG78" s="55" t="str">
        <f>TEXT('All Solo Standards Source'!AG79,"0.00")</f>
        <v>144.03</v>
      </c>
    </row>
    <row r="79" spans="1:33" x14ac:dyDescent="0.25">
      <c r="A79" s="25">
        <v>86</v>
      </c>
      <c r="B79" s="53" t="str">
        <f>IF('All Solo Standards Source'!B80&lt;1/24,TEXT('All Solo Standards Source'!B80,"M:SS"),TEXT('All Solo Standards Source'!B80,"H:MM:SS"))</f>
        <v>34:22</v>
      </c>
      <c r="C79" s="53" t="str">
        <f>IF('All Solo Standards Source'!F80&lt;1/24,TEXT('All Solo Standards Source'!F80,"M:SS"),TEXT('All Solo Standards Source'!F80,"H:MM:SS"))</f>
        <v>51:53</v>
      </c>
      <c r="D79" s="53" t="str">
        <f>IF('All Solo Standards Source'!J80&lt;1/24,TEXT('All Solo Standards Source'!J80,"M:SS"),TEXT('All Solo Standards Source'!J80,"H:MM:SS"))</f>
        <v>1:27:35</v>
      </c>
      <c r="E79" s="53" t="str">
        <f>IF('All Solo Standards Source'!N80&lt;1/24,TEXT('All Solo Standards Source'!N80,"M:SS"),TEXT('All Solo Standards Source'!N80,"H:MM:SS"))</f>
        <v>1:45:46</v>
      </c>
      <c r="F79" s="53" t="str">
        <f>IF('All Solo Standards Source'!R80&lt;1/24,TEXT('All Solo Standards Source'!R80,"M:SS"),TEXT('All Solo Standards Source'!R80,"H:MM:SS"))</f>
        <v>3:01:01</v>
      </c>
      <c r="G79" s="53" t="str">
        <f>IF('All Solo Standards Source'!V80&lt;1/24,TEXT('All Solo Standards Source'!V80,"M:SS"),TEXT('All Solo Standards Source'!V80,"H:MM:SS"))</f>
        <v>6:29:03</v>
      </c>
      <c r="H79" s="53" t="str">
        <f>TEXT('All Solo Standards Source'!Z80,"0.00")</f>
        <v>117.73</v>
      </c>
      <c r="I79" s="53" t="str">
        <f>TEXT('All Solo Standards Source'!AD80,"0.00")</f>
        <v>168.49</v>
      </c>
      <c r="J79" s="57" t="str">
        <f>IF('All Solo Standards Source'!C80&lt;1/24,TEXT('All Solo Standards Source'!C80,"M:SS"),TEXT('All Solo Standards Source'!C80,"H:MM:SS"))</f>
        <v>37:56</v>
      </c>
      <c r="K79" s="57" t="str">
        <f>IF('All Solo Standards Source'!G80&lt;1/24,TEXT('All Solo Standards Source'!G80,"M:SS"),TEXT('All Solo Standards Source'!G80,"H:MM:SS"))</f>
        <v>57:16</v>
      </c>
      <c r="L79" s="57" t="str">
        <f>IF('All Solo Standards Source'!K80&lt;1/24,TEXT('All Solo Standards Source'!K80,"M:SS"),TEXT('All Solo Standards Source'!K80,"H:MM:SS"))</f>
        <v>1:36:41</v>
      </c>
      <c r="M79" s="57" t="str">
        <f>IF('All Solo Standards Source'!O80&lt;1/24,TEXT('All Solo Standards Source'!O80,"M:SS"),TEXT('All Solo Standards Source'!O80,"H:MM:SS"))</f>
        <v>1:56:46</v>
      </c>
      <c r="N79" s="57" t="str">
        <f>IF('All Solo Standards Source'!S80&lt;1/24,TEXT('All Solo Standards Source'!S80,"M:SS"),TEXT('All Solo Standards Source'!S80,"H:MM:SS"))</f>
        <v>3:19:54</v>
      </c>
      <c r="O79" s="57" t="str">
        <f>IF('All Solo Standards Source'!W80&lt;1/24,TEXT('All Solo Standards Source'!W80,"M:SS"),TEXT('All Solo Standards Source'!W80,"H:MM:SS"))</f>
        <v>7:09:55</v>
      </c>
      <c r="P79" s="57" t="str">
        <f>TEXT('All Solo Standards Source'!AA80,"0.00")</f>
        <v>102.26</v>
      </c>
      <c r="Q79" s="57" t="str">
        <f>TEXT('All Solo Standards Source'!AE80,"0.00")</f>
        <v>151.56</v>
      </c>
      <c r="R79" s="50" t="str">
        <f>IF('All Solo Standards Source'!D80&lt;1/24,TEXT('All Solo Standards Source'!D80,"M:SS"),TEXT('All Solo Standards Source'!D80,"H:MM:SS"))</f>
        <v>37:03</v>
      </c>
      <c r="S79" s="50" t="str">
        <f>IF('All Solo Standards Source'!H80&lt;1/24,TEXT('All Solo Standards Source'!H80,"M:SS"),TEXT('All Solo Standards Source'!H80,"H:MM:SS"))</f>
        <v>55:56</v>
      </c>
      <c r="T79" s="50" t="str">
        <f>IF('All Solo Standards Source'!L80&lt;1/24,TEXT('All Solo Standards Source'!L80,"M:SS"),TEXT('All Solo Standards Source'!L80,"H:MM:SS"))</f>
        <v>1:34:25</v>
      </c>
      <c r="U79" s="50" t="str">
        <f>IF('All Solo Standards Source'!P80&lt;1/24,TEXT('All Solo Standards Source'!P80,"M:SS"),TEXT('All Solo Standards Source'!P80,"H:MM:SS"))</f>
        <v>1:54:02</v>
      </c>
      <c r="V79" s="50" t="str">
        <f>IF('All Solo Standards Source'!T80&lt;1/24,TEXT('All Solo Standards Source'!T80,"M:SS"),TEXT('All Solo Standards Source'!T80,"H:MM:SS"))</f>
        <v>3:15:12</v>
      </c>
      <c r="W79" s="50" t="str">
        <f>IF('All Solo Standards Source'!X80&lt;1/24,TEXT('All Solo Standards Source'!X80,"M:SS"),TEXT('All Solo Standards Source'!X80,"H:MM:SS"))</f>
        <v>6:59:46</v>
      </c>
      <c r="X79" s="50" t="str">
        <f>TEXT('All Solo Standards Source'!AB80,"0.00")</f>
        <v>105.87</v>
      </c>
      <c r="Y79" s="50" t="str">
        <f>TEXT('All Solo Standards Source'!AF80,"0.00")</f>
        <v>155.61</v>
      </c>
      <c r="Z79" s="55" t="str">
        <f>IF('All Solo Standards Source'!E80&lt;1/24,TEXT('All Solo Standards Source'!E80,"M:SS"),TEXT('All Solo Standards Source'!E80,"H:MM:SS"))</f>
        <v>40:57</v>
      </c>
      <c r="AA79" s="55" t="str">
        <f>IF('All Solo Standards Source'!I80&lt;1/24,TEXT('All Solo Standards Source'!I80,"M:SS"),TEXT('All Solo Standards Source'!I80,"H:MM:SS"))</f>
        <v>1:01:50</v>
      </c>
      <c r="AB79" s="55" t="str">
        <f>IF('All Solo Standards Source'!M80&lt;1/24,TEXT('All Solo Standards Source'!M80,"M:SS"),TEXT('All Solo Standards Source'!M80,"H:MM:SS"))</f>
        <v>1:44:23</v>
      </c>
      <c r="AC79" s="55" t="str">
        <f>IF('All Solo Standards Source'!Q80&lt;1/24,TEXT('All Solo Standards Source'!Q80,"M:SS"),TEXT('All Solo Standards Source'!Q80,"H:MM:SS"))</f>
        <v>2:06:05</v>
      </c>
      <c r="AD79" s="55" t="str">
        <f>IF('All Solo Standards Source'!U80&lt;1/24,TEXT('All Solo Standards Source'!U80,"M:SS"),TEXT('All Solo Standards Source'!U80,"H:MM:SS"))</f>
        <v>3:35:53</v>
      </c>
      <c r="AE79" s="55" t="str">
        <f>IF('All Solo Standards Source'!Y80&lt;1/24,TEXT('All Solo Standards Source'!Y80,"M:SS"),TEXT('All Solo Standards Source'!Y80,"H:MM:SS"))</f>
        <v>7:44:33</v>
      </c>
      <c r="AF79" s="55" t="str">
        <f>TEXT('All Solo Standards Source'!AC80,"0.00")</f>
        <v>90.96</v>
      </c>
      <c r="AG79" s="55" t="str">
        <f>TEXT('All Solo Standards Source'!AG80,"0.00")</f>
        <v>138.49</v>
      </c>
    </row>
    <row r="80" spans="1:33" x14ac:dyDescent="0.25">
      <c r="A80" s="25">
        <v>87</v>
      </c>
      <c r="B80" s="53" t="str">
        <f>IF('All Solo Standards Source'!B81&lt;1/24,TEXT('All Solo Standards Source'!B81,"M:SS"),TEXT('All Solo Standards Source'!B81,"H:MM:SS"))</f>
        <v>34:48</v>
      </c>
      <c r="C80" s="53" t="str">
        <f>IF('All Solo Standards Source'!F81&lt;1/24,TEXT('All Solo Standards Source'!F81,"M:SS"),TEXT('All Solo Standards Source'!F81,"H:MM:SS"))</f>
        <v>52:32</v>
      </c>
      <c r="D80" s="53" t="str">
        <f>IF('All Solo Standards Source'!J81&lt;1/24,TEXT('All Solo Standards Source'!J81,"M:SS"),TEXT('All Solo Standards Source'!J81,"H:MM:SS"))</f>
        <v>1:28:42</v>
      </c>
      <c r="E80" s="53" t="str">
        <f>IF('All Solo Standards Source'!N81&lt;1/24,TEXT('All Solo Standards Source'!N81,"M:SS"),TEXT('All Solo Standards Source'!N81,"H:MM:SS"))</f>
        <v>1:47:09</v>
      </c>
      <c r="F80" s="53" t="str">
        <f>IF('All Solo Standards Source'!R81&lt;1/24,TEXT('All Solo Standards Source'!R81,"M:SS"),TEXT('All Solo Standards Source'!R81,"H:MM:SS"))</f>
        <v>3:03:32</v>
      </c>
      <c r="G80" s="53" t="str">
        <f>IF('All Solo Standards Source'!V81&lt;1/24,TEXT('All Solo Standards Source'!V81,"M:SS"),TEXT('All Solo Standards Source'!V81,"H:MM:SS"))</f>
        <v>6:35:29</v>
      </c>
      <c r="H80" s="53" t="str">
        <f>TEXT('All Solo Standards Source'!Z81,"0.00")</f>
        <v>114.08</v>
      </c>
      <c r="I80" s="53" t="str">
        <f>TEXT('All Solo Standards Source'!AD81,"0.00")</f>
        <v>161.81</v>
      </c>
      <c r="J80" s="57" t="str">
        <f>IF('All Solo Standards Source'!C81&lt;1/24,TEXT('All Solo Standards Source'!C81,"M:SS"),TEXT('All Solo Standards Source'!C81,"H:MM:SS"))</f>
        <v>38:25</v>
      </c>
      <c r="K80" s="57" t="str">
        <f>IF('All Solo Standards Source'!G81&lt;1/24,TEXT('All Solo Standards Source'!G81,"M:SS"),TEXT('All Solo Standards Source'!G81,"H:MM:SS"))</f>
        <v>58:00</v>
      </c>
      <c r="L80" s="57" t="str">
        <f>IF('All Solo Standards Source'!K81&lt;1/24,TEXT('All Solo Standards Source'!K81,"M:SS"),TEXT('All Solo Standards Source'!K81,"H:MM:SS"))</f>
        <v>1:37:57</v>
      </c>
      <c r="M80" s="57" t="str">
        <f>IF('All Solo Standards Source'!O81&lt;1/24,TEXT('All Solo Standards Source'!O81,"M:SS"),TEXT('All Solo Standards Source'!O81,"H:MM:SS"))</f>
        <v>1:58:20</v>
      </c>
      <c r="N80" s="57" t="str">
        <f>IF('All Solo Standards Source'!S81&lt;1/24,TEXT('All Solo Standards Source'!S81,"M:SS"),TEXT('All Solo Standards Source'!S81,"H:MM:SS"))</f>
        <v>3:22:44</v>
      </c>
      <c r="O80" s="57" t="str">
        <f>IF('All Solo Standards Source'!W81&lt;1/24,TEXT('All Solo Standards Source'!W81,"M:SS"),TEXT('All Solo Standards Source'!W81,"H:MM:SS"))</f>
        <v>7:17:10</v>
      </c>
      <c r="P80" s="57" t="str">
        <f>TEXT('All Solo Standards Source'!AA81,"0.00")</f>
        <v>99.00</v>
      </c>
      <c r="Q80" s="57" t="str">
        <f>TEXT('All Solo Standards Source'!AE81,"0.00")</f>
        <v>145.49</v>
      </c>
      <c r="R80" s="50" t="str">
        <f>IF('All Solo Standards Source'!D81&lt;1/24,TEXT('All Solo Standards Source'!D81,"M:SS"),TEXT('All Solo Standards Source'!D81,"H:MM:SS"))</f>
        <v>37:31</v>
      </c>
      <c r="S80" s="50" t="str">
        <f>IF('All Solo Standards Source'!H81&lt;1/24,TEXT('All Solo Standards Source'!H81,"M:SS"),TEXT('All Solo Standards Source'!H81,"H:MM:SS"))</f>
        <v>56:38</v>
      </c>
      <c r="T80" s="50" t="str">
        <f>IF('All Solo Standards Source'!L81&lt;1/24,TEXT('All Solo Standards Source'!L81,"M:SS"),TEXT('All Solo Standards Source'!L81,"H:MM:SS"))</f>
        <v>1:35:39</v>
      </c>
      <c r="U80" s="50" t="str">
        <f>IF('All Solo Standards Source'!P81&lt;1/24,TEXT('All Solo Standards Source'!P81,"M:SS"),TEXT('All Solo Standards Source'!P81,"H:MM:SS"))</f>
        <v>1:55:33</v>
      </c>
      <c r="V80" s="50" t="str">
        <f>IF('All Solo Standards Source'!T81&lt;1/24,TEXT('All Solo Standards Source'!T81,"M:SS"),TEXT('All Solo Standards Source'!T81,"H:MM:SS"))</f>
        <v>3:17:58</v>
      </c>
      <c r="W80" s="50" t="str">
        <f>IF('All Solo Standards Source'!X81&lt;1/24,TEXT('All Solo Standards Source'!X81,"M:SS"),TEXT('All Solo Standards Source'!X81,"H:MM:SS"))</f>
        <v>7:06:49</v>
      </c>
      <c r="X80" s="50" t="str">
        <f>TEXT('All Solo Standards Source'!AB81,"0.00")</f>
        <v>102.52</v>
      </c>
      <c r="Y80" s="50" t="str">
        <f>TEXT('All Solo Standards Source'!AF81,"0.00")</f>
        <v>149.40</v>
      </c>
      <c r="Z80" s="55" t="str">
        <f>IF('All Solo Standards Source'!E81&lt;1/24,TEXT('All Solo Standards Source'!E81,"M:SS"),TEXT('All Solo Standards Source'!E81,"H:MM:SS"))</f>
        <v>41:29</v>
      </c>
      <c r="AA80" s="55" t="str">
        <f>IF('All Solo Standards Source'!I81&lt;1/24,TEXT('All Solo Standards Source'!I81,"M:SS"),TEXT('All Solo Standards Source'!I81,"H:MM:SS"))</f>
        <v>1:02:38</v>
      </c>
      <c r="AB80" s="55" t="str">
        <f>IF('All Solo Standards Source'!M81&lt;1/24,TEXT('All Solo Standards Source'!M81,"M:SS"),TEXT('All Solo Standards Source'!M81,"H:MM:SS"))</f>
        <v>1:45:47</v>
      </c>
      <c r="AC80" s="55" t="str">
        <f>IF('All Solo Standards Source'!Q81&lt;1/24,TEXT('All Solo Standards Source'!Q81,"M:SS"),TEXT('All Solo Standards Source'!Q81,"H:MM:SS"))</f>
        <v>2:07:48</v>
      </c>
      <c r="AD80" s="55" t="str">
        <f>IF('All Solo Standards Source'!U81&lt;1/24,TEXT('All Solo Standards Source'!U81,"M:SS"),TEXT('All Solo Standards Source'!U81,"H:MM:SS"))</f>
        <v>3:39:00</v>
      </c>
      <c r="AE80" s="55" t="str">
        <f>IF('All Solo Standards Source'!Y81&lt;1/24,TEXT('All Solo Standards Source'!Y81,"M:SS"),TEXT('All Solo Standards Source'!Y81,"H:MM:SS"))</f>
        <v>7:52:30</v>
      </c>
      <c r="AF80" s="55" t="str">
        <f>TEXT('All Solo Standards Source'!AC81,"0.00")</f>
        <v>87.98</v>
      </c>
      <c r="AG80" s="55" t="str">
        <f>TEXT('All Solo Standards Source'!AG81,"0.00")</f>
        <v>132.87</v>
      </c>
    </row>
    <row r="81" spans="1:33" x14ac:dyDescent="0.25">
      <c r="A81" s="25">
        <v>88</v>
      </c>
      <c r="B81" s="53" t="str">
        <f>IF('All Solo Standards Source'!B82&lt;1/24,TEXT('All Solo Standards Source'!B82,"M:SS"),TEXT('All Solo Standards Source'!B82,"H:MM:SS"))</f>
        <v>35:15</v>
      </c>
      <c r="C81" s="53" t="str">
        <f>IF('All Solo Standards Source'!F82&lt;1/24,TEXT('All Solo Standards Source'!F82,"M:SS"),TEXT('All Solo Standards Source'!F82,"H:MM:SS"))</f>
        <v>53:13</v>
      </c>
      <c r="D81" s="53" t="str">
        <f>IF('All Solo Standards Source'!J82&lt;1/24,TEXT('All Solo Standards Source'!J82,"M:SS"),TEXT('All Solo Standards Source'!J82,"H:MM:SS"))</f>
        <v>1:29:54</v>
      </c>
      <c r="E81" s="53" t="str">
        <f>IF('All Solo Standards Source'!N82&lt;1/24,TEXT('All Solo Standards Source'!N82,"M:SS"),TEXT('All Solo Standards Source'!N82,"H:MM:SS"))</f>
        <v>1:48:37</v>
      </c>
      <c r="F81" s="53" t="str">
        <f>IF('All Solo Standards Source'!R82&lt;1/24,TEXT('All Solo Standards Source'!R82,"M:SS"),TEXT('All Solo Standards Source'!R82,"H:MM:SS"))</f>
        <v>3:06:13</v>
      </c>
      <c r="G81" s="53" t="str">
        <f>IF('All Solo Standards Source'!V82&lt;1/24,TEXT('All Solo Standards Source'!V82,"M:SS"),TEXT('All Solo Standards Source'!V82,"H:MM:SS"))</f>
        <v>6:42:21</v>
      </c>
      <c r="H81" s="53" t="str">
        <f>TEXT('All Solo Standards Source'!Z82,"0.00")</f>
        <v>110.37</v>
      </c>
      <c r="I81" s="53" t="str">
        <f>TEXT('All Solo Standards Source'!AD82,"0.00")</f>
        <v>155.02</v>
      </c>
      <c r="J81" s="57" t="str">
        <f>IF('All Solo Standards Source'!C82&lt;1/24,TEXT('All Solo Standards Source'!C82,"M:SS"),TEXT('All Solo Standards Source'!C82,"H:MM:SS"))</f>
        <v>38:55</v>
      </c>
      <c r="K81" s="57" t="str">
        <f>IF('All Solo Standards Source'!G82&lt;1/24,TEXT('All Solo Standards Source'!G82,"M:SS"),TEXT('All Solo Standards Source'!G82,"H:MM:SS"))</f>
        <v>58:46</v>
      </c>
      <c r="L81" s="57" t="str">
        <f>IF('All Solo Standards Source'!K82&lt;1/24,TEXT('All Solo Standards Source'!K82,"M:SS"),TEXT('All Solo Standards Source'!K82,"H:MM:SS"))</f>
        <v>1:39:17</v>
      </c>
      <c r="M81" s="57" t="str">
        <f>IF('All Solo Standards Source'!O82&lt;1/24,TEXT('All Solo Standards Source'!O82,"M:SS"),TEXT('All Solo Standards Source'!O82,"H:MM:SS"))</f>
        <v>1:59:58</v>
      </c>
      <c r="N81" s="57" t="str">
        <f>IF('All Solo Standards Source'!S82&lt;1/24,TEXT('All Solo Standards Source'!S82,"M:SS"),TEXT('All Solo Standards Source'!S82,"H:MM:SS"))</f>
        <v>3:25:45</v>
      </c>
      <c r="O81" s="57" t="str">
        <f>IF('All Solo Standards Source'!W82&lt;1/24,TEXT('All Solo Standards Source'!W82,"M:SS"),TEXT('All Solo Standards Source'!W82,"H:MM:SS"))</f>
        <v>7:24:55</v>
      </c>
      <c r="P81" s="57" t="str">
        <f>TEXT('All Solo Standards Source'!AA82,"0.00")</f>
        <v>95.69</v>
      </c>
      <c r="Q81" s="57" t="str">
        <f>TEXT('All Solo Standards Source'!AE82,"0.00")</f>
        <v>139.33</v>
      </c>
      <c r="R81" s="50" t="str">
        <f>IF('All Solo Standards Source'!D82&lt;1/24,TEXT('All Solo Standards Source'!D82,"M:SS"),TEXT('All Solo Standards Source'!D82,"H:MM:SS"))</f>
        <v>38:00</v>
      </c>
      <c r="S81" s="50" t="str">
        <f>IF('All Solo Standards Source'!H82&lt;1/24,TEXT('All Solo Standards Source'!H82,"M:SS"),TEXT('All Solo Standards Source'!H82,"H:MM:SS"))</f>
        <v>57:23</v>
      </c>
      <c r="T81" s="50" t="str">
        <f>IF('All Solo Standards Source'!L82&lt;1/24,TEXT('All Solo Standards Source'!L82,"M:SS"),TEXT('All Solo Standards Source'!L82,"H:MM:SS"))</f>
        <v>1:36:57</v>
      </c>
      <c r="U81" s="50" t="str">
        <f>IF('All Solo Standards Source'!P82&lt;1/24,TEXT('All Solo Standards Source'!P82,"M:SS"),TEXT('All Solo Standards Source'!P82,"H:MM:SS"))</f>
        <v>1:57:09</v>
      </c>
      <c r="V81" s="50" t="str">
        <f>IF('All Solo Standards Source'!T82&lt;1/24,TEXT('All Solo Standards Source'!T82,"M:SS"),TEXT('All Solo Standards Source'!T82,"H:MM:SS"))</f>
        <v>3:20:54</v>
      </c>
      <c r="W81" s="50" t="str">
        <f>IF('All Solo Standards Source'!X82&lt;1/24,TEXT('All Solo Standards Source'!X82,"M:SS"),TEXT('All Solo Standards Source'!X82,"H:MM:SS"))</f>
        <v>7:14:21</v>
      </c>
      <c r="X81" s="50" t="str">
        <f>TEXT('All Solo Standards Source'!AB82,"0.00")</f>
        <v>99.12</v>
      </c>
      <c r="Y81" s="50" t="str">
        <f>TEXT('All Solo Standards Source'!AF82,"0.00")</f>
        <v>143.09</v>
      </c>
      <c r="Z81" s="55" t="str">
        <f>IF('All Solo Standards Source'!E82&lt;1/24,TEXT('All Solo Standards Source'!E82,"M:SS"),TEXT('All Solo Standards Source'!E82,"H:MM:SS"))</f>
        <v>42:02</v>
      </c>
      <c r="AA81" s="55" t="str">
        <f>IF('All Solo Standards Source'!I82&lt;1/24,TEXT('All Solo Standards Source'!I82,"M:SS"),TEXT('All Solo Standards Source'!I82,"H:MM:SS"))</f>
        <v>1:03:28</v>
      </c>
      <c r="AB81" s="55" t="str">
        <f>IF('All Solo Standards Source'!M82&lt;1/24,TEXT('All Solo Standards Source'!M82,"M:SS"),TEXT('All Solo Standards Source'!M82,"H:MM:SS"))</f>
        <v>1:47:15</v>
      </c>
      <c r="AC81" s="55" t="str">
        <f>IF('All Solo Standards Source'!Q82&lt;1/24,TEXT('All Solo Standards Source'!Q82,"M:SS"),TEXT('All Solo Standards Source'!Q82,"H:MM:SS"))</f>
        <v>2:09:36</v>
      </c>
      <c r="AD81" s="55" t="str">
        <f>IF('All Solo Standards Source'!U82&lt;1/24,TEXT('All Solo Standards Source'!U82,"M:SS"),TEXT('All Solo Standards Source'!U82,"H:MM:SS"))</f>
        <v>3:42:17</v>
      </c>
      <c r="AE81" s="55" t="str">
        <f>IF('All Solo Standards Source'!Y82&lt;1/24,TEXT('All Solo Standards Source'!Y82,"M:SS"),TEXT('All Solo Standards Source'!Y82,"H:MM:SS"))</f>
        <v>8:00:59</v>
      </c>
      <c r="AF81" s="55" t="str">
        <f>TEXT('All Solo Standards Source'!AC82,"0.00")</f>
        <v>84.94</v>
      </c>
      <c r="AG81" s="55" t="str">
        <f>TEXT('All Solo Standards Source'!AG82,"0.00")</f>
        <v>127.15</v>
      </c>
    </row>
    <row r="82" spans="1:33" x14ac:dyDescent="0.25">
      <c r="A82" s="25">
        <v>89</v>
      </c>
      <c r="B82" s="53" t="str">
        <f>IF('All Solo Standards Source'!B83&lt;1/24,TEXT('All Solo Standards Source'!B83,"M:SS"),TEXT('All Solo Standards Source'!B83,"H:MM:SS"))</f>
        <v>35:43</v>
      </c>
      <c r="C82" s="53" t="str">
        <f>IF('All Solo Standards Source'!F83&lt;1/24,TEXT('All Solo Standards Source'!F83,"M:SS"),TEXT('All Solo Standards Source'!F83,"H:MM:SS"))</f>
        <v>53:56</v>
      </c>
      <c r="D82" s="53" t="str">
        <f>IF('All Solo Standards Source'!J83&lt;1/24,TEXT('All Solo Standards Source'!J83,"M:SS"),TEXT('All Solo Standards Source'!J83,"H:MM:SS"))</f>
        <v>1:31:09</v>
      </c>
      <c r="E82" s="53" t="str">
        <f>IF('All Solo Standards Source'!N83&lt;1/24,TEXT('All Solo Standards Source'!N83,"M:SS"),TEXT('All Solo Standards Source'!N83,"H:MM:SS"))</f>
        <v>1:50:09</v>
      </c>
      <c r="F82" s="53" t="str">
        <f>IF('All Solo Standards Source'!R83&lt;1/24,TEXT('All Solo Standards Source'!R83,"M:SS"),TEXT('All Solo Standards Source'!R83,"H:MM:SS"))</f>
        <v>3:09:02</v>
      </c>
      <c r="G82" s="53" t="str">
        <f>IF('All Solo Standards Source'!V83&lt;1/24,TEXT('All Solo Standards Source'!V83,"M:SS"),TEXT('All Solo Standards Source'!V83,"H:MM:SS"))</f>
        <v>6:49:43</v>
      </c>
      <c r="H82" s="53" t="str">
        <f>TEXT('All Solo Standards Source'!Z83,"0.00")</f>
        <v>106.59</v>
      </c>
      <c r="I82" s="53" t="str">
        <f>TEXT('All Solo Standards Source'!AD83,"0.00")</f>
        <v>148.14</v>
      </c>
      <c r="J82" s="57" t="str">
        <f>IF('All Solo Standards Source'!C83&lt;1/24,TEXT('All Solo Standards Source'!C83,"M:SS"),TEXT('All Solo Standards Source'!C83,"H:MM:SS"))</f>
        <v>39:27</v>
      </c>
      <c r="K82" s="57" t="str">
        <f>IF('All Solo Standards Source'!G83&lt;1/24,TEXT('All Solo Standards Source'!G83,"M:SS"),TEXT('All Solo Standards Source'!G83,"H:MM:SS"))</f>
        <v>59:35</v>
      </c>
      <c r="L82" s="57" t="str">
        <f>IF('All Solo Standards Source'!K83&lt;1/24,TEXT('All Solo Standards Source'!K83,"M:SS"),TEXT('All Solo Standards Source'!K83,"H:MM:SS"))</f>
        <v>1:40:42</v>
      </c>
      <c r="M82" s="57" t="str">
        <f>IF('All Solo Standards Source'!O83&lt;1/24,TEXT('All Solo Standards Source'!O83,"M:SS"),TEXT('All Solo Standards Source'!O83,"H:MM:SS"))</f>
        <v>2:01:43</v>
      </c>
      <c r="N82" s="57" t="str">
        <f>IF('All Solo Standards Source'!S83&lt;1/24,TEXT('All Solo Standards Source'!S83,"M:SS"),TEXT('All Solo Standards Source'!S83,"H:MM:SS"))</f>
        <v>3:28:56</v>
      </c>
      <c r="O82" s="57" t="str">
        <f>IF('All Solo Standards Source'!W83&lt;1/24,TEXT('All Solo Standards Source'!W83,"M:SS"),TEXT('All Solo Standards Source'!W83,"H:MM:SS"))</f>
        <v>7:33:13</v>
      </c>
      <c r="P82" s="57" t="str">
        <f>TEXT('All Solo Standards Source'!AA83,"0.00")</f>
        <v>92.31</v>
      </c>
      <c r="Q82" s="57" t="str">
        <f>TEXT('All Solo Standards Source'!AE83,"0.00")</f>
        <v>133.07</v>
      </c>
      <c r="R82" s="50" t="str">
        <f>IF('All Solo Standards Source'!D83&lt;1/24,TEXT('All Solo Standards Source'!D83,"M:SS"),TEXT('All Solo Standards Source'!D83,"H:MM:SS"))</f>
        <v>38:31</v>
      </c>
      <c r="S82" s="50" t="str">
        <f>IF('All Solo Standards Source'!H83&lt;1/24,TEXT('All Solo Standards Source'!H83,"M:SS"),TEXT('All Solo Standards Source'!H83,"H:MM:SS"))</f>
        <v>58:11</v>
      </c>
      <c r="T82" s="50" t="str">
        <f>IF('All Solo Standards Source'!L83&lt;1/24,TEXT('All Solo Standards Source'!L83,"M:SS"),TEXT('All Solo Standards Source'!L83,"H:MM:SS"))</f>
        <v>1:38:20</v>
      </c>
      <c r="U82" s="50" t="str">
        <f>IF('All Solo Standards Source'!P83&lt;1/24,TEXT('All Solo Standards Source'!P83,"M:SS"),TEXT('All Solo Standards Source'!P83,"H:MM:SS"))</f>
        <v>1:58:51</v>
      </c>
      <c r="V82" s="50" t="str">
        <f>IF('All Solo Standards Source'!T83&lt;1/24,TEXT('All Solo Standards Source'!T83,"M:SS"),TEXT('All Solo Standards Source'!T83,"H:MM:SS"))</f>
        <v>3:24:00</v>
      </c>
      <c r="W82" s="50" t="str">
        <f>IF('All Solo Standards Source'!X83&lt;1/24,TEXT('All Solo Standards Source'!X83,"M:SS"),TEXT('All Solo Standards Source'!X83,"H:MM:SS"))</f>
        <v>7:22:25</v>
      </c>
      <c r="X82" s="50" t="str">
        <f>TEXT('All Solo Standards Source'!AB83,"0.00")</f>
        <v>95.65</v>
      </c>
      <c r="Y82" s="50" t="str">
        <f>TEXT('All Solo Standards Source'!AF83,"0.00")</f>
        <v>136.68</v>
      </c>
      <c r="Z82" s="55" t="str">
        <f>IF('All Solo Standards Source'!E83&lt;1/24,TEXT('All Solo Standards Source'!E83,"M:SS"),TEXT('All Solo Standards Source'!E83,"H:MM:SS"))</f>
        <v>42:37</v>
      </c>
      <c r="AA82" s="55" t="str">
        <f>IF('All Solo Standards Source'!I83&lt;1/24,TEXT('All Solo Standards Source'!I83,"M:SS"),TEXT('All Solo Standards Source'!I83,"H:MM:SS"))</f>
        <v>1:04:22</v>
      </c>
      <c r="AB82" s="55" t="str">
        <f>IF('All Solo Standards Source'!M83&lt;1/24,TEXT('All Solo Standards Source'!M83,"M:SS"),TEXT('All Solo Standards Source'!M83,"H:MM:SS"))</f>
        <v>1:48:48</v>
      </c>
      <c r="AC82" s="55" t="str">
        <f>IF('All Solo Standards Source'!Q83&lt;1/24,TEXT('All Solo Standards Source'!Q83,"M:SS"),TEXT('All Solo Standards Source'!Q83,"H:MM:SS"))</f>
        <v>2:11:30</v>
      </c>
      <c r="AD82" s="55" t="str">
        <f>IF('All Solo Standards Source'!U83&lt;1/24,TEXT('All Solo Standards Source'!U83,"M:SS"),TEXT('All Solo Standards Source'!U83,"H:MM:SS"))</f>
        <v>3:45:47</v>
      </c>
      <c r="AE82" s="55" t="str">
        <f>IF('All Solo Standards Source'!Y83&lt;1/24,TEXT('All Solo Standards Source'!Y83,"M:SS"),TEXT('All Solo Standards Source'!Y83,"H:MM:SS"))</f>
        <v>8:10:04</v>
      </c>
      <c r="AF82" s="55" t="str">
        <f>TEXT('All Solo Standards Source'!AC83,"0.00")</f>
        <v>81.84</v>
      </c>
      <c r="AG82" s="55" t="str">
        <f>TEXT('All Solo Standards Source'!AG83,"0.00")</f>
        <v>121.35</v>
      </c>
    </row>
    <row r="83" spans="1:33" x14ac:dyDescent="0.25">
      <c r="A83" s="25">
        <v>90</v>
      </c>
      <c r="B83" s="53" t="str">
        <f>IF('All Solo Standards Source'!B84&lt;1/24,TEXT('All Solo Standards Source'!B84,"M:SS"),TEXT('All Solo Standards Source'!B84,"H:MM:SS"))</f>
        <v>36:12</v>
      </c>
      <c r="C83" s="53" t="str">
        <f>IF('All Solo Standards Source'!F84&lt;1/24,TEXT('All Solo Standards Source'!F84,"M:SS"),TEXT('All Solo Standards Source'!F84,"H:MM:SS"))</f>
        <v>54:42</v>
      </c>
      <c r="D83" s="53" t="str">
        <f>IF('All Solo Standards Source'!J84&lt;1/24,TEXT('All Solo Standards Source'!J84,"M:SS"),TEXT('All Solo Standards Source'!J84,"H:MM:SS"))</f>
        <v>1:32:29</v>
      </c>
      <c r="E83" s="53" t="str">
        <f>IF('All Solo Standards Source'!N84&lt;1/24,TEXT('All Solo Standards Source'!N84,"M:SS"),TEXT('All Solo Standards Source'!N84,"H:MM:SS"))</f>
        <v>1:51:47</v>
      </c>
      <c r="F83" s="53" t="str">
        <f>IF('All Solo Standards Source'!R84&lt;1/24,TEXT('All Solo Standards Source'!R84,"M:SS"),TEXT('All Solo Standards Source'!R84,"H:MM:SS"))</f>
        <v>3:12:03</v>
      </c>
      <c r="G83" s="53" t="str">
        <f>IF('All Solo Standards Source'!V84&lt;1/24,TEXT('All Solo Standards Source'!V84,"M:SS"),TEXT('All Solo Standards Source'!V84,"H:MM:SS"))</f>
        <v>6:57:37</v>
      </c>
      <c r="H83" s="53" t="str">
        <f>TEXT('All Solo Standards Source'!Z84,"0.00")</f>
        <v>102.74</v>
      </c>
      <c r="I83" s="53" t="str">
        <f>TEXT('All Solo Standards Source'!AD84,"0.00")</f>
        <v>141.16</v>
      </c>
      <c r="J83" s="57" t="str">
        <f>IF('All Solo Standards Source'!C84&lt;1/24,TEXT('All Solo Standards Source'!C84,"M:SS"),TEXT('All Solo Standards Source'!C84,"H:MM:SS"))</f>
        <v>40:00</v>
      </c>
      <c r="K83" s="57" t="str">
        <f>IF('All Solo Standards Source'!G84&lt;1/24,TEXT('All Solo Standards Source'!G84,"M:SS"),TEXT('All Solo Standards Source'!G84,"H:MM:SS"))</f>
        <v>1:00:26</v>
      </c>
      <c r="L83" s="57" t="str">
        <f>IF('All Solo Standards Source'!K84&lt;1/24,TEXT('All Solo Standards Source'!K84,"M:SS"),TEXT('All Solo Standards Source'!K84,"H:MM:SS"))</f>
        <v>1:42:12</v>
      </c>
      <c r="M83" s="57" t="str">
        <f>IF('All Solo Standards Source'!O84&lt;1/24,TEXT('All Solo Standards Source'!O84,"M:SS"),TEXT('All Solo Standards Source'!O84,"H:MM:SS"))</f>
        <v>2:03:33</v>
      </c>
      <c r="N83" s="57" t="str">
        <f>IF('All Solo Standards Source'!S84&lt;1/24,TEXT('All Solo Standards Source'!S84,"M:SS"),TEXT('All Solo Standards Source'!S84,"H:MM:SS"))</f>
        <v>3:32:19</v>
      </c>
      <c r="O83" s="57" t="str">
        <f>IF('All Solo Standards Source'!W84&lt;1/24,TEXT('All Solo Standards Source'!W84,"M:SS"),TEXT('All Solo Standards Source'!W84,"H:MM:SS"))</f>
        <v>7:42:07</v>
      </c>
      <c r="P83" s="57" t="str">
        <f>TEXT('All Solo Standards Source'!AA84,"0.00")</f>
        <v>88.87</v>
      </c>
      <c r="Q83" s="57" t="str">
        <f>TEXT('All Solo Standards Source'!AE84,"0.00")</f>
        <v>126.71</v>
      </c>
      <c r="R83" s="50" t="str">
        <f>IF('All Solo Standards Source'!D84&lt;1/24,TEXT('All Solo Standards Source'!D84,"M:SS"),TEXT('All Solo Standards Source'!D84,"H:MM:SS"))</f>
        <v>39:04</v>
      </c>
      <c r="S83" s="50" t="str">
        <f>IF('All Solo Standards Source'!H84&lt;1/24,TEXT('All Solo Standards Source'!H84,"M:SS"),TEXT('All Solo Standards Source'!H84,"H:MM:SS"))</f>
        <v>59:01</v>
      </c>
      <c r="T83" s="50" t="str">
        <f>IF('All Solo Standards Source'!L84&lt;1/24,TEXT('All Solo Standards Source'!L84,"M:SS"),TEXT('All Solo Standards Source'!L84,"H:MM:SS"))</f>
        <v>1:39:47</v>
      </c>
      <c r="U83" s="50" t="str">
        <f>IF('All Solo Standards Source'!P84&lt;1/24,TEXT('All Solo Standards Source'!P84,"M:SS"),TEXT('All Solo Standards Source'!P84,"H:MM:SS"))</f>
        <v>2:00:38</v>
      </c>
      <c r="V83" s="50" t="str">
        <f>IF('All Solo Standards Source'!T84&lt;1/24,TEXT('All Solo Standards Source'!T84,"M:SS"),TEXT('All Solo Standards Source'!T84,"H:MM:SS"))</f>
        <v>3:27:17</v>
      </c>
      <c r="W83" s="50" t="str">
        <f>IF('All Solo Standards Source'!X84&lt;1/24,TEXT('All Solo Standards Source'!X84,"M:SS"),TEXT('All Solo Standards Source'!X84,"H:MM:SS"))</f>
        <v>7:31:04</v>
      </c>
      <c r="X83" s="50" t="str">
        <f>TEXT('All Solo Standards Source'!AB84,"0.00")</f>
        <v>92.11</v>
      </c>
      <c r="Y83" s="50" t="str">
        <f>TEXT('All Solo Standards Source'!AF84,"0.00")</f>
        <v>130.18</v>
      </c>
      <c r="Z83" s="55" t="str">
        <f>IF('All Solo Standards Source'!E84&lt;1/24,TEXT('All Solo Standards Source'!E84,"M:SS"),TEXT('All Solo Standards Source'!E84,"H:MM:SS"))</f>
        <v>43:13</v>
      </c>
      <c r="AA83" s="55" t="str">
        <f>IF('All Solo Standards Source'!I84&lt;1/24,TEXT('All Solo Standards Source'!I84,"M:SS"),TEXT('All Solo Standards Source'!I84,"H:MM:SS"))</f>
        <v>1:05:18</v>
      </c>
      <c r="AB83" s="55" t="str">
        <f>IF('All Solo Standards Source'!M84&lt;1/24,TEXT('All Solo Standards Source'!M84,"M:SS"),TEXT('All Solo Standards Source'!M84,"H:MM:SS"))</f>
        <v>1:50:26</v>
      </c>
      <c r="AC83" s="55" t="str">
        <f>IF('All Solo Standards Source'!Q84&lt;1/24,TEXT('All Solo Standards Source'!Q84,"M:SS"),TEXT('All Solo Standards Source'!Q84,"H:MM:SS"))</f>
        <v>2:13:31</v>
      </c>
      <c r="AD83" s="55" t="str">
        <f>IF('All Solo Standards Source'!U84&lt;1/24,TEXT('All Solo Standards Source'!U84,"M:SS"),TEXT('All Solo Standards Source'!U84,"H:MM:SS"))</f>
        <v>3:49:30</v>
      </c>
      <c r="AE83" s="55" t="str">
        <f>IF('All Solo Standards Source'!Y84&lt;1/24,TEXT('All Solo Standards Source'!Y84,"M:SS"),TEXT('All Solo Standards Source'!Y84,"H:MM:SS"))</f>
        <v>8:19:49</v>
      </c>
      <c r="AF83" s="55" t="str">
        <f>TEXT('All Solo Standards Source'!AC84,"0.00")</f>
        <v>78.68</v>
      </c>
      <c r="AG83" s="55" t="str">
        <f>TEXT('All Solo Standards Source'!AG84,"0.00")</f>
        <v>115.45</v>
      </c>
    </row>
    <row r="84" spans="1:33" x14ac:dyDescent="0.25">
      <c r="A84" s="25">
        <v>91</v>
      </c>
      <c r="B84" s="53" t="str">
        <f>IF('All Solo Standards Source'!B85&lt;1/24,TEXT('All Solo Standards Source'!B85,"M:SS"),TEXT('All Solo Standards Source'!B85,"H:MM:SS"))</f>
        <v>36:44</v>
      </c>
      <c r="C84" s="53" t="str">
        <f>IF('All Solo Standards Source'!F85&lt;1/24,TEXT('All Solo Standards Source'!F85,"M:SS"),TEXT('All Solo Standards Source'!F85,"H:MM:SS"))</f>
        <v>55:30</v>
      </c>
      <c r="D84" s="53" t="str">
        <f>IF('All Solo Standards Source'!J85&lt;1/24,TEXT('All Solo Standards Source'!J85,"M:SS"),TEXT('All Solo Standards Source'!J85,"H:MM:SS"))</f>
        <v>1:33:53</v>
      </c>
      <c r="E84" s="53" t="str">
        <f>IF('All Solo Standards Source'!N85&lt;1/24,TEXT('All Solo Standards Source'!N85,"M:SS"),TEXT('All Solo Standards Source'!N85,"H:MM:SS"))</f>
        <v>1:53:31</v>
      </c>
      <c r="F84" s="53" t="str">
        <f>IF('All Solo Standards Source'!R85&lt;1/24,TEXT('All Solo Standards Source'!R85,"M:SS"),TEXT('All Solo Standards Source'!R85,"H:MM:SS"))</f>
        <v>3:15:15</v>
      </c>
      <c r="G84" s="53" t="str">
        <f>IF('All Solo Standards Source'!V85&lt;1/24,TEXT('All Solo Standards Source'!V85,"M:SS"),TEXT('All Solo Standards Source'!V85,"H:MM:SS"))</f>
        <v>7:06:08</v>
      </c>
      <c r="H84" s="53" t="str">
        <f>TEXT('All Solo Standards Source'!Z85,"0.00")</f>
        <v>98.82</v>
      </c>
      <c r="I84" s="53" t="str">
        <f>TEXT('All Solo Standards Source'!AD85,"0.00")</f>
        <v>134.09</v>
      </c>
      <c r="J84" s="57" t="str">
        <f>IF('All Solo Standards Source'!C85&lt;1/24,TEXT('All Solo Standards Source'!C85,"M:SS"),TEXT('All Solo Standards Source'!C85,"H:MM:SS"))</f>
        <v>40:36</v>
      </c>
      <c r="K84" s="57" t="str">
        <f>IF('All Solo Standards Source'!G85&lt;1/24,TEXT('All Solo Standards Source'!G85,"M:SS"),TEXT('All Solo Standards Source'!G85,"H:MM:SS"))</f>
        <v>1:01:21</v>
      </c>
      <c r="L84" s="57" t="str">
        <f>IF('All Solo Standards Source'!K85&lt;1/24,TEXT('All Solo Standards Source'!K85,"M:SS"),TEXT('All Solo Standards Source'!K85,"H:MM:SS"))</f>
        <v>1:43:47</v>
      </c>
      <c r="M84" s="57" t="str">
        <f>IF('All Solo Standards Source'!O85&lt;1/24,TEXT('All Solo Standards Source'!O85,"M:SS"),TEXT('All Solo Standards Source'!O85,"H:MM:SS"))</f>
        <v>2:05:30</v>
      </c>
      <c r="N84" s="57" t="str">
        <f>IF('All Solo Standards Source'!S85&lt;1/24,TEXT('All Solo Standards Source'!S85,"M:SS"),TEXT('All Solo Standards Source'!S85,"H:MM:SS"))</f>
        <v>3:35:56</v>
      </c>
      <c r="O84" s="57" t="str">
        <f>IF('All Solo Standards Source'!W85&lt;1/24,TEXT('All Solo Standards Source'!W85,"M:SS"),TEXT('All Solo Standards Source'!W85,"H:MM:SS"))</f>
        <v>7:51:43</v>
      </c>
      <c r="P84" s="57" t="str">
        <f>TEXT('All Solo Standards Source'!AA85,"0.00")</f>
        <v>85.36</v>
      </c>
      <c r="Q84" s="57" t="str">
        <f>TEXT('All Solo Standards Source'!AE85,"0.00")</f>
        <v>120.26</v>
      </c>
      <c r="R84" s="50" t="str">
        <f>IF('All Solo Standards Source'!D85&lt;1/24,TEXT('All Solo Standards Source'!D85,"M:SS"),TEXT('All Solo Standards Source'!D85,"H:MM:SS"))</f>
        <v>39:38</v>
      </c>
      <c r="S84" s="50" t="str">
        <f>IF('All Solo Standards Source'!H85&lt;1/24,TEXT('All Solo Standards Source'!H85,"M:SS"),TEXT('All Solo Standards Source'!H85,"H:MM:SS"))</f>
        <v>59:54</v>
      </c>
      <c r="T84" s="50" t="str">
        <f>IF('All Solo Standards Source'!L85&lt;1/24,TEXT('All Solo Standards Source'!L85,"M:SS"),TEXT('All Solo Standards Source'!L85,"H:MM:SS"))</f>
        <v>1:41:20</v>
      </c>
      <c r="U84" s="50" t="str">
        <f>IF('All Solo Standards Source'!P85&lt;1/24,TEXT('All Solo Standards Source'!P85,"M:SS"),TEXT('All Solo Standards Source'!P85,"H:MM:SS"))</f>
        <v>2:02:32</v>
      </c>
      <c r="V84" s="50" t="str">
        <f>IF('All Solo Standards Source'!T85&lt;1/24,TEXT('All Solo Standards Source'!T85,"M:SS"),TEXT('All Solo Standards Source'!T85,"H:MM:SS"))</f>
        <v>3:30:47</v>
      </c>
      <c r="W84" s="50" t="str">
        <f>IF('All Solo Standards Source'!X85&lt;1/24,TEXT('All Solo Standards Source'!X85,"M:SS"),TEXT('All Solo Standards Source'!X85,"H:MM:SS"))</f>
        <v>7:40:24</v>
      </c>
      <c r="X84" s="50" t="str">
        <f>TEXT('All Solo Standards Source'!AB85,"0.00")</f>
        <v>88.51</v>
      </c>
      <c r="Y84" s="50" t="str">
        <f>TEXT('All Solo Standards Source'!AF85,"0.00")</f>
        <v>123.58</v>
      </c>
      <c r="Z84" s="55" t="str">
        <f>IF('All Solo Standards Source'!E85&lt;1/24,TEXT('All Solo Standards Source'!E85,"M:SS"),TEXT('All Solo Standards Source'!E85,"H:MM:SS"))</f>
        <v>43:52</v>
      </c>
      <c r="AA84" s="55" t="str">
        <f>IF('All Solo Standards Source'!I85&lt;1/24,TEXT('All Solo Standards Source'!I85,"M:SS"),TEXT('All Solo Standards Source'!I85,"H:MM:SS"))</f>
        <v>1:06:18</v>
      </c>
      <c r="AB84" s="55" t="str">
        <f>IF('All Solo Standards Source'!M85&lt;1/24,TEXT('All Solo Standards Source'!M85,"M:SS"),TEXT('All Solo Standards Source'!M85,"H:MM:SS"))</f>
        <v>1:52:11</v>
      </c>
      <c r="AC84" s="55" t="str">
        <f>IF('All Solo Standards Source'!Q85&lt;1/24,TEXT('All Solo Standards Source'!Q85,"M:SS"),TEXT('All Solo Standards Source'!Q85,"H:MM:SS"))</f>
        <v>2:15:39</v>
      </c>
      <c r="AD84" s="55" t="str">
        <f>IF('All Solo Standards Source'!U85&lt;1/24,TEXT('All Solo Standards Source'!U85,"M:SS"),TEXT('All Solo Standards Source'!U85,"H:MM:SS"))</f>
        <v>3:53:27</v>
      </c>
      <c r="AE84" s="55" t="str">
        <f>IF('All Solo Standards Source'!Y85&lt;1/24,TEXT('All Solo Standards Source'!Y85,"M:SS"),TEXT('All Solo Standards Source'!Y85,"H:MM:SS"))</f>
        <v>8:30:20</v>
      </c>
      <c r="AF84" s="55" t="str">
        <f>TEXT('All Solo Standards Source'!AC85,"0.00")</f>
        <v>75.46</v>
      </c>
      <c r="AG84" s="55" t="str">
        <f>TEXT('All Solo Standards Source'!AG85,"0.00")</f>
        <v>109.45</v>
      </c>
    </row>
    <row r="85" spans="1:33" x14ac:dyDescent="0.25">
      <c r="A85" s="25">
        <v>92</v>
      </c>
      <c r="B85" s="53" t="str">
        <f>IF('All Solo Standards Source'!B86&lt;1/24,TEXT('All Solo Standards Source'!B86,"M:SS"),TEXT('All Solo Standards Source'!B86,"H:MM:SS"))</f>
        <v>37:17</v>
      </c>
      <c r="C85" s="53" t="str">
        <f>IF('All Solo Standards Source'!F86&lt;1/24,TEXT('All Solo Standards Source'!F86,"M:SS"),TEXT('All Solo Standards Source'!F86,"H:MM:SS"))</f>
        <v>56:21</v>
      </c>
      <c r="D85" s="53" t="str">
        <f>IF('All Solo Standards Source'!J86&lt;1/24,TEXT('All Solo Standards Source'!J86,"M:SS"),TEXT('All Solo Standards Source'!J86,"H:MM:SS"))</f>
        <v>1:35:23</v>
      </c>
      <c r="E85" s="53" t="str">
        <f>IF('All Solo Standards Source'!N86&lt;1/24,TEXT('All Solo Standards Source'!N86,"M:SS"),TEXT('All Solo Standards Source'!N86,"H:MM:SS"))</f>
        <v>1:55:22</v>
      </c>
      <c r="F85" s="53" t="str">
        <f>IF('All Solo Standards Source'!R86&lt;1/24,TEXT('All Solo Standards Source'!R86,"M:SS"),TEXT('All Solo Standards Source'!R86,"H:MM:SS"))</f>
        <v>3:18:40</v>
      </c>
      <c r="G85" s="53" t="str">
        <f>IF('All Solo Standards Source'!V86&lt;1/24,TEXT('All Solo Standards Source'!V86,"M:SS"),TEXT('All Solo Standards Source'!V86,"H:MM:SS"))</f>
        <v>7:15:21</v>
      </c>
      <c r="H85" s="53" t="str">
        <f>TEXT('All Solo Standards Source'!Z86,"0.00")</f>
        <v>94.82</v>
      </c>
      <c r="I85" s="53" t="str">
        <f>TEXT('All Solo Standards Source'!AD86,"0.00")</f>
        <v>126.91</v>
      </c>
      <c r="J85" s="57" t="str">
        <f>IF('All Solo Standards Source'!C86&lt;1/24,TEXT('All Solo Standards Source'!C86,"M:SS"),TEXT('All Solo Standards Source'!C86,"H:MM:SS"))</f>
        <v>41:13</v>
      </c>
      <c r="K85" s="57" t="str">
        <f>IF('All Solo Standards Source'!G86&lt;1/24,TEXT('All Solo Standards Source'!G86,"M:SS"),TEXT('All Solo Standards Source'!G86,"H:MM:SS"))</f>
        <v>1:02:18</v>
      </c>
      <c r="L85" s="57" t="str">
        <f>IF('All Solo Standards Source'!K86&lt;1/24,TEXT('All Solo Standards Source'!K86,"M:SS"),TEXT('All Solo Standards Source'!K86,"H:MM:SS"))</f>
        <v>1:45:29</v>
      </c>
      <c r="M85" s="57" t="str">
        <f>IF('All Solo Standards Source'!O86&lt;1/24,TEXT('All Solo Standards Source'!O86,"M:SS"),TEXT('All Solo Standards Source'!O86,"H:MM:SS"))</f>
        <v>2:07:35</v>
      </c>
      <c r="N85" s="57" t="str">
        <f>IF('All Solo Standards Source'!S86&lt;1/24,TEXT('All Solo Standards Source'!S86,"M:SS"),TEXT('All Solo Standards Source'!S86,"H:MM:SS"))</f>
        <v>3:39:47</v>
      </c>
      <c r="O85" s="57" t="str">
        <f>IF('All Solo Standards Source'!W86&lt;1/24,TEXT('All Solo Standards Source'!W86,"M:SS"),TEXT('All Solo Standards Source'!W86,"H:MM:SS"))</f>
        <v>8:02:06</v>
      </c>
      <c r="P85" s="57" t="str">
        <f>TEXT('All Solo Standards Source'!AA86,"0.00")</f>
        <v>81.78</v>
      </c>
      <c r="Q85" s="57" t="str">
        <f>TEXT('All Solo Standards Source'!AE86,"0.00")</f>
        <v>113.71</v>
      </c>
      <c r="R85" s="50" t="str">
        <f>IF('All Solo Standards Source'!D86&lt;1/24,TEXT('All Solo Standards Source'!D86,"M:SS"),TEXT('All Solo Standards Source'!D86,"H:MM:SS"))</f>
        <v>40:15</v>
      </c>
      <c r="S85" s="50" t="str">
        <f>IF('All Solo Standards Source'!H86&lt;1/24,TEXT('All Solo Standards Source'!H86,"M:SS"),TEXT('All Solo Standards Source'!H86,"H:MM:SS"))</f>
        <v>1:00:50</v>
      </c>
      <c r="T85" s="50" t="str">
        <f>IF('All Solo Standards Source'!L86&lt;1/24,TEXT('All Solo Standards Source'!L86,"M:SS"),TEXT('All Solo Standards Source'!L86,"H:MM:SS"))</f>
        <v>1:42:58</v>
      </c>
      <c r="U85" s="50" t="str">
        <f>IF('All Solo Standards Source'!P86&lt;1/24,TEXT('All Solo Standards Source'!P86,"M:SS"),TEXT('All Solo Standards Source'!P86,"H:MM:SS"))</f>
        <v>2:04:33</v>
      </c>
      <c r="V85" s="50" t="str">
        <f>IF('All Solo Standards Source'!T86&lt;1/24,TEXT('All Solo Standards Source'!T86,"M:SS"),TEXT('All Solo Standards Source'!T86,"H:MM:SS"))</f>
        <v>3:34:32</v>
      </c>
      <c r="W85" s="50" t="str">
        <f>IF('All Solo Standards Source'!X86&lt;1/24,TEXT('All Solo Standards Source'!X86,"M:SS"),TEXT('All Solo Standards Source'!X86,"H:MM:SS"))</f>
        <v>7:50:29</v>
      </c>
      <c r="X85" s="50" t="str">
        <f>TEXT('All Solo Standards Source'!AB86,"0.00")</f>
        <v>84.83</v>
      </c>
      <c r="Y85" s="50" t="str">
        <f>TEXT('All Solo Standards Source'!AF86,"0.00")</f>
        <v>116.88</v>
      </c>
      <c r="Z85" s="55" t="str">
        <f>IF('All Solo Standards Source'!E86&lt;1/24,TEXT('All Solo Standards Source'!E86,"M:SS"),TEXT('All Solo Standards Source'!E86,"H:MM:SS"))</f>
        <v>44:33</v>
      </c>
      <c r="AA85" s="55" t="str">
        <f>IF('All Solo Standards Source'!I86&lt;1/24,TEXT('All Solo Standards Source'!I86,"M:SS"),TEXT('All Solo Standards Source'!I86,"H:MM:SS"))</f>
        <v>1:07:21</v>
      </c>
      <c r="AB85" s="55" t="str">
        <f>IF('All Solo Standards Source'!M86&lt;1/24,TEXT('All Solo Standards Source'!M86,"M:SS"),TEXT('All Solo Standards Source'!M86,"H:MM:SS"))</f>
        <v>1:54:01</v>
      </c>
      <c r="AC85" s="55" t="str">
        <f>IF('All Solo Standards Source'!Q86&lt;1/24,TEXT('All Solo Standards Source'!Q86,"M:SS"),TEXT('All Solo Standards Source'!Q86,"H:MM:SS"))</f>
        <v>2:17:56</v>
      </c>
      <c r="AD85" s="55" t="str">
        <f>IF('All Solo Standards Source'!U86&lt;1/24,TEXT('All Solo Standards Source'!U86,"M:SS"),TEXT('All Solo Standards Source'!U86,"H:MM:SS"))</f>
        <v>3:57:40</v>
      </c>
      <c r="AE85" s="55" t="str">
        <f>IF('All Solo Standards Source'!Y86&lt;1/24,TEXT('All Solo Standards Source'!Y86,"M:SS"),TEXT('All Solo Standards Source'!Y86,"H:MM:SS"))</f>
        <v>8:41:43</v>
      </c>
      <c r="AF85" s="55" t="str">
        <f>TEXT('All Solo Standards Source'!AC86,"0.00")</f>
        <v>72.17</v>
      </c>
      <c r="AG85" s="55" t="str">
        <f>TEXT('All Solo Standards Source'!AG86,"0.00")</f>
        <v>103.36</v>
      </c>
    </row>
    <row r="86" spans="1:33" x14ac:dyDescent="0.25">
      <c r="A86" s="25">
        <v>93</v>
      </c>
      <c r="B86" s="53" t="str">
        <f>IF('All Solo Standards Source'!B87&lt;1/24,TEXT('All Solo Standards Source'!B87,"M:SS"),TEXT('All Solo Standards Source'!B87,"H:MM:SS"))</f>
        <v>37:53</v>
      </c>
      <c r="C86" s="53" t="str">
        <f>IF('All Solo Standards Source'!F87&lt;1/24,TEXT('All Solo Standards Source'!F87,"M:SS"),TEXT('All Solo Standards Source'!F87,"H:MM:SS"))</f>
        <v>57:16</v>
      </c>
      <c r="D86" s="53" t="str">
        <f>IF('All Solo Standards Source'!J87&lt;1/24,TEXT('All Solo Standards Source'!J87,"M:SS"),TEXT('All Solo Standards Source'!J87,"H:MM:SS"))</f>
        <v>1:36:59</v>
      </c>
      <c r="E86" s="53" t="str">
        <f>IF('All Solo Standards Source'!N87&lt;1/24,TEXT('All Solo Standards Source'!N87,"M:SS"),TEXT('All Solo Standards Source'!N87,"H:MM:SS"))</f>
        <v>1:57:20</v>
      </c>
      <c r="F86" s="53" t="str">
        <f>IF('All Solo Standards Source'!R87&lt;1/24,TEXT('All Solo Standards Source'!R87,"M:SS"),TEXT('All Solo Standards Source'!R87,"H:MM:SS"))</f>
        <v>3:22:19</v>
      </c>
      <c r="G86" s="53" t="str">
        <f>IF('All Solo Standards Source'!V87&lt;1/24,TEXT('All Solo Standards Source'!V87,"M:SS"),TEXT('All Solo Standards Source'!V87,"H:MM:SS"))</f>
        <v>7:25:21</v>
      </c>
      <c r="H86" s="53" t="str">
        <f>TEXT('All Solo Standards Source'!Z87,"0.00")</f>
        <v>90.74</v>
      </c>
      <c r="I86" s="53" t="str">
        <f>TEXT('All Solo Standards Source'!AD87,"0.00")</f>
        <v>119.63</v>
      </c>
      <c r="J86" s="57" t="str">
        <f>IF('All Solo Standards Source'!C87&lt;1/24,TEXT('All Solo Standards Source'!C87,"M:SS"),TEXT('All Solo Standards Source'!C87,"H:MM:SS"))</f>
        <v>41:53</v>
      </c>
      <c r="K86" s="57" t="str">
        <f>IF('All Solo Standards Source'!G87&lt;1/24,TEXT('All Solo Standards Source'!G87,"M:SS"),TEXT('All Solo Standards Source'!G87,"H:MM:SS"))</f>
        <v>1:03:20</v>
      </c>
      <c r="L86" s="57" t="str">
        <f>IF('All Solo Standards Source'!K87&lt;1/24,TEXT('All Solo Standards Source'!K87,"M:SS"),TEXT('All Solo Standards Source'!K87,"H:MM:SS"))</f>
        <v>1:47:16</v>
      </c>
      <c r="M86" s="57" t="str">
        <f>IF('All Solo Standards Source'!O87&lt;1/24,TEXT('All Solo Standards Source'!O87,"M:SS"),TEXT('All Solo Standards Source'!O87,"H:MM:SS"))</f>
        <v>2:09:48</v>
      </c>
      <c r="N86" s="57" t="str">
        <f>IF('All Solo Standards Source'!S87&lt;1/24,TEXT('All Solo Standards Source'!S87,"M:SS"),TEXT('All Solo Standards Source'!S87,"H:MM:SS"))</f>
        <v>3:43:54</v>
      </c>
      <c r="O86" s="57" t="str">
        <f>IF('All Solo Standards Source'!W87&lt;1/24,TEXT('All Solo Standards Source'!W87,"M:SS"),TEXT('All Solo Standards Source'!W87,"H:MM:SS"))</f>
        <v>8:13:22</v>
      </c>
      <c r="P86" s="57" t="str">
        <f>TEXT('All Solo Standards Source'!AA87,"0.00")</f>
        <v>78.13</v>
      </c>
      <c r="Q86" s="57" t="str">
        <f>TEXT('All Solo Standards Source'!AE87,"0.00")</f>
        <v>107.05</v>
      </c>
      <c r="R86" s="50" t="str">
        <f>IF('All Solo Standards Source'!D87&lt;1/24,TEXT('All Solo Standards Source'!D87,"M:SS"),TEXT('All Solo Standards Source'!D87,"H:MM:SS"))</f>
        <v>40:53</v>
      </c>
      <c r="S86" s="50" t="str">
        <f>IF('All Solo Standards Source'!H87&lt;1/24,TEXT('All Solo Standards Source'!H87,"M:SS"),TEXT('All Solo Standards Source'!H87,"H:MM:SS"))</f>
        <v>1:01:49</v>
      </c>
      <c r="T86" s="50" t="str">
        <f>IF('All Solo Standards Source'!L87&lt;1/24,TEXT('All Solo Standards Source'!L87,"M:SS"),TEXT('All Solo Standards Source'!L87,"H:MM:SS"))</f>
        <v>1:44:43</v>
      </c>
      <c r="U86" s="50" t="str">
        <f>IF('All Solo Standards Source'!P87&lt;1/24,TEXT('All Solo Standards Source'!P87,"M:SS"),TEXT('All Solo Standards Source'!P87,"H:MM:SS"))</f>
        <v>2:06:42</v>
      </c>
      <c r="V86" s="50" t="str">
        <f>IF('All Solo Standards Source'!T87&lt;1/24,TEXT('All Solo Standards Source'!T87,"M:SS"),TEXT('All Solo Standards Source'!T87,"H:MM:SS"))</f>
        <v>3:38:32</v>
      </c>
      <c r="W86" s="50" t="str">
        <f>IF('All Solo Standards Source'!X87&lt;1/24,TEXT('All Solo Standards Source'!X87,"M:SS"),TEXT('All Solo Standards Source'!X87,"H:MM:SS"))</f>
        <v>8:01:27</v>
      </c>
      <c r="X86" s="50" t="str">
        <f>TEXT('All Solo Standards Source'!AB87,"0.00")</f>
        <v>81.08</v>
      </c>
      <c r="Y86" s="50" t="str">
        <f>TEXT('All Solo Standards Source'!AF87,"0.00")</f>
        <v>110.08</v>
      </c>
      <c r="Z86" s="55" t="str">
        <f>IF('All Solo Standards Source'!E87&lt;1/24,TEXT('All Solo Standards Source'!E87,"M:SS"),TEXT('All Solo Standards Source'!E87,"H:MM:SS"))</f>
        <v>45:17</v>
      </c>
      <c r="AA86" s="55" t="str">
        <f>IF('All Solo Standards Source'!I87&lt;1/24,TEXT('All Solo Standards Source'!I87,"M:SS"),TEXT('All Solo Standards Source'!I87,"H:MM:SS"))</f>
        <v>1:08:28</v>
      </c>
      <c r="AB86" s="55" t="str">
        <f>IF('All Solo Standards Source'!M87&lt;1/24,TEXT('All Solo Standards Source'!M87,"M:SS"),TEXT('All Solo Standards Source'!M87,"H:MM:SS"))</f>
        <v>1:55:59</v>
      </c>
      <c r="AC86" s="55" t="str">
        <f>IF('All Solo Standards Source'!Q87&lt;1/24,TEXT('All Solo Standards Source'!Q87,"M:SS"),TEXT('All Solo Standards Source'!Q87,"H:MM:SS"))</f>
        <v>2:20:21</v>
      </c>
      <c r="AD86" s="55" t="str">
        <f>IF('All Solo Standards Source'!U87&lt;1/24,TEXT('All Solo Standards Source'!U87,"M:SS"),TEXT('All Solo Standards Source'!U87,"H:MM:SS"))</f>
        <v>4:02:11</v>
      </c>
      <c r="AE86" s="55" t="str">
        <f>IF('All Solo Standards Source'!Y87&lt;1/24,TEXT('All Solo Standards Source'!Y87,"M:SS"),TEXT('All Solo Standards Source'!Y87,"H:MM:SS"))</f>
        <v>8:54:04</v>
      </c>
      <c r="AF86" s="55" t="str">
        <f>TEXT('All Solo Standards Source'!AC87,"0.00")</f>
        <v>68.82</v>
      </c>
      <c r="AG86" s="55" t="str">
        <f>TEXT('All Solo Standards Source'!AG87,"0.00")</f>
        <v>97.17</v>
      </c>
    </row>
    <row r="87" spans="1:33" x14ac:dyDescent="0.25">
      <c r="A87" s="25">
        <v>94</v>
      </c>
      <c r="B87" s="53" t="str">
        <f>IF('All Solo Standards Source'!B88&lt;1/24,TEXT('All Solo Standards Source'!B88,"M:SS"),TEXT('All Solo Standards Source'!B88,"H:MM:SS"))</f>
        <v>38:30</v>
      </c>
      <c r="C87" s="53" t="str">
        <f>IF('All Solo Standards Source'!F88&lt;1/24,TEXT('All Solo Standards Source'!F88,"M:SS"),TEXT('All Solo Standards Source'!F88,"H:MM:SS"))</f>
        <v>58:14</v>
      </c>
      <c r="D87" s="53" t="str">
        <f>IF('All Solo Standards Source'!J88&lt;1/24,TEXT('All Solo Standards Source'!J88,"M:SS"),TEXT('All Solo Standards Source'!J88,"H:MM:SS"))</f>
        <v>1:38:40</v>
      </c>
      <c r="E87" s="53" t="str">
        <f>IF('All Solo Standards Source'!N88&lt;1/24,TEXT('All Solo Standards Source'!N88,"M:SS"),TEXT('All Solo Standards Source'!N88,"H:MM:SS"))</f>
        <v>1:59:25</v>
      </c>
      <c r="F87" s="53" t="str">
        <f>IF('All Solo Standards Source'!R88&lt;1/24,TEXT('All Solo Standards Source'!R88,"M:SS"),TEXT('All Solo Standards Source'!R88,"H:MM:SS"))</f>
        <v>3:26:15</v>
      </c>
      <c r="G87" s="53" t="str">
        <f>IF('All Solo Standards Source'!V88&lt;1/24,TEXT('All Solo Standards Source'!V88,"M:SS"),TEXT('All Solo Standards Source'!V88,"H:MM:SS"))</f>
        <v>7:36:15</v>
      </c>
      <c r="H87" s="53" t="str">
        <f>TEXT('All Solo Standards Source'!Z88,"0.00")</f>
        <v>86.58</v>
      </c>
      <c r="I87" s="53" t="str">
        <f>TEXT('All Solo Standards Source'!AD88,"0.00")</f>
        <v>112.24</v>
      </c>
      <c r="J87" s="57" t="str">
        <f>IF('All Solo Standards Source'!C88&lt;1/24,TEXT('All Solo Standards Source'!C88,"M:SS"),TEXT('All Solo Standards Source'!C88,"H:MM:SS"))</f>
        <v>42:35</v>
      </c>
      <c r="K87" s="57" t="str">
        <f>IF('All Solo Standards Source'!G88&lt;1/24,TEXT('All Solo Standards Source'!G88,"M:SS"),TEXT('All Solo Standards Source'!G88,"H:MM:SS"))</f>
        <v>1:04:25</v>
      </c>
      <c r="L87" s="57" t="str">
        <f>IF('All Solo Standards Source'!K88&lt;1/24,TEXT('All Solo Standards Source'!K88,"M:SS"),TEXT('All Solo Standards Source'!K88,"H:MM:SS"))</f>
        <v>1:49:11</v>
      </c>
      <c r="M87" s="57" t="str">
        <f>IF('All Solo Standards Source'!O88&lt;1/24,TEXT('All Solo Standards Source'!O88,"M:SS"),TEXT('All Solo Standards Source'!O88,"H:MM:SS"))</f>
        <v>2:12:09</v>
      </c>
      <c r="N87" s="57" t="str">
        <f>IF('All Solo Standards Source'!S88&lt;1/24,TEXT('All Solo Standards Source'!S88,"M:SS"),TEXT('All Solo Standards Source'!S88,"H:MM:SS"))</f>
        <v>3:48:19</v>
      </c>
      <c r="O87" s="57" t="str">
        <f>IF('All Solo Standards Source'!W88&lt;1/24,TEXT('All Solo Standards Source'!W88,"M:SS"),TEXT('All Solo Standards Source'!W88,"H:MM:SS"))</f>
        <v>8:25:40</v>
      </c>
      <c r="P87" s="57" t="str">
        <f>TEXT('All Solo Standards Source'!AA88,"0.00")</f>
        <v>74.40</v>
      </c>
      <c r="Q87" s="57" t="str">
        <f>TEXT('All Solo Standards Source'!AE88,"0.00")</f>
        <v>100.29</v>
      </c>
      <c r="R87" s="50" t="str">
        <f>IF('All Solo Standards Source'!D88&lt;1/24,TEXT('All Solo Standards Source'!D88,"M:SS"),TEXT('All Solo Standards Source'!D88,"H:MM:SS"))</f>
        <v>41:35</v>
      </c>
      <c r="S87" s="50" t="str">
        <f>IF('All Solo Standards Source'!H88&lt;1/24,TEXT('All Solo Standards Source'!H88,"M:SS"),TEXT('All Solo Standards Source'!H88,"H:MM:SS"))</f>
        <v>1:02:53</v>
      </c>
      <c r="T87" s="50" t="str">
        <f>IF('All Solo Standards Source'!L88&lt;1/24,TEXT('All Solo Standards Source'!L88,"M:SS"),TEXT('All Solo Standards Source'!L88,"H:MM:SS"))</f>
        <v>1:46:34</v>
      </c>
      <c r="U87" s="50" t="str">
        <f>IF('All Solo Standards Source'!P88&lt;1/24,TEXT('All Solo Standards Source'!P88,"M:SS"),TEXT('All Solo Standards Source'!P88,"H:MM:SS"))</f>
        <v>2:09:00</v>
      </c>
      <c r="V87" s="50" t="str">
        <f>IF('All Solo Standards Source'!T88&lt;1/24,TEXT('All Solo Standards Source'!T88,"M:SS"),TEXT('All Solo Standards Source'!T88,"H:MM:SS"))</f>
        <v>3:42:50</v>
      </c>
      <c r="W87" s="50" t="str">
        <f>IF('All Solo Standards Source'!X88&lt;1/24,TEXT('All Solo Standards Source'!X88,"M:SS"),TEXT('All Solo Standards Source'!X88,"H:MM:SS"))</f>
        <v>8:13:24</v>
      </c>
      <c r="X87" s="50" t="str">
        <f>TEXT('All Solo Standards Source'!AB88,"0.00")</f>
        <v>77.25</v>
      </c>
      <c r="Y87" s="50" t="str">
        <f>TEXT('All Solo Standards Source'!AF88,"0.00")</f>
        <v>103.18</v>
      </c>
      <c r="Z87" s="55" t="str">
        <f>IF('All Solo Standards Source'!E88&lt;1/24,TEXT('All Solo Standards Source'!E88,"M:SS"),TEXT('All Solo Standards Source'!E88,"H:MM:SS"))</f>
        <v>46:03</v>
      </c>
      <c r="AA87" s="55" t="str">
        <f>IF('All Solo Standards Source'!I88&lt;1/24,TEXT('All Solo Standards Source'!I88,"M:SS"),TEXT('All Solo Standards Source'!I88,"H:MM:SS"))</f>
        <v>1:09:40</v>
      </c>
      <c r="AB87" s="55" t="str">
        <f>IF('All Solo Standards Source'!M88&lt;1/24,TEXT('All Solo Standards Source'!M88,"M:SS"),TEXT('All Solo Standards Source'!M88,"H:MM:SS"))</f>
        <v>1:58:05</v>
      </c>
      <c r="AC87" s="55" t="str">
        <f>IF('All Solo Standards Source'!Q88&lt;1/24,TEXT('All Solo Standards Source'!Q88,"M:SS"),TEXT('All Solo Standards Source'!Q88,"H:MM:SS"))</f>
        <v>2:22:57</v>
      </c>
      <c r="AD87" s="55" t="str">
        <f>IF('All Solo Standards Source'!U88&lt;1/24,TEXT('All Solo Standards Source'!U88,"M:SS"),TEXT('All Solo Standards Source'!U88,"H:MM:SS"))</f>
        <v>4:07:01</v>
      </c>
      <c r="AE87" s="55" t="str">
        <f>IF('All Solo Standards Source'!Y88&lt;1/24,TEXT('All Solo Standards Source'!Y88,"M:SS"),TEXT('All Solo Standards Source'!Y88,"H:MM:SS"))</f>
        <v>9:07:32</v>
      </c>
      <c r="AF87" s="55" t="str">
        <f>TEXT('All Solo Standards Source'!AC88,"0.00")</f>
        <v>65.40</v>
      </c>
      <c r="AG87" s="55" t="str">
        <f>TEXT('All Solo Standards Source'!AG88,"0.00")</f>
        <v>90.87</v>
      </c>
    </row>
    <row r="88" spans="1:33" x14ac:dyDescent="0.25">
      <c r="A88" s="25">
        <v>95</v>
      </c>
      <c r="B88" s="53" t="str">
        <f>IF('All Solo Standards Source'!B89&lt;1/24,TEXT('All Solo Standards Source'!B89,"M:SS"),TEXT('All Solo Standards Source'!B89,"H:MM:SS"))</f>
        <v>39:10</v>
      </c>
      <c r="C88" s="53" t="str">
        <f>IF('All Solo Standards Source'!F89&lt;1/24,TEXT('All Solo Standards Source'!F89,"M:SS"),TEXT('All Solo Standards Source'!F89,"H:MM:SS"))</f>
        <v>59:15</v>
      </c>
      <c r="D88" s="53" t="str">
        <f>IF('All Solo Standards Source'!J89&lt;1/24,TEXT('All Solo Standards Source'!J89,"M:SS"),TEXT('All Solo Standards Source'!J89,"H:MM:SS"))</f>
        <v>1:40:29</v>
      </c>
      <c r="E88" s="53" t="str">
        <f>IF('All Solo Standards Source'!N89&lt;1/24,TEXT('All Solo Standards Source'!N89,"M:SS"),TEXT('All Solo Standards Source'!N89,"H:MM:SS"))</f>
        <v>2:01:40</v>
      </c>
      <c r="F88" s="53" t="str">
        <f>IF('All Solo Standards Source'!R89&lt;1/24,TEXT('All Solo Standards Source'!R89,"M:SS"),TEXT('All Solo Standards Source'!R89,"H:MM:SS"))</f>
        <v>3:30:28</v>
      </c>
      <c r="G88" s="53" t="str">
        <f>IF('All Solo Standards Source'!V89&lt;1/24,TEXT('All Solo Standards Source'!V89,"M:SS"),TEXT('All Solo Standards Source'!V89,"H:MM:SS"))</f>
        <v>7:48:12</v>
      </c>
      <c r="H88" s="53" t="str">
        <f>TEXT('All Solo Standards Source'!Z89,"0.00")</f>
        <v>82.33</v>
      </c>
      <c r="I88" s="53" t="str">
        <f>TEXT('All Solo Standards Source'!AD89,"0.00")</f>
        <v>104.75</v>
      </c>
      <c r="J88" s="57" t="str">
        <f>IF('All Solo Standards Source'!C89&lt;1/24,TEXT('All Solo Standards Source'!C89,"M:SS"),TEXT('All Solo Standards Source'!C89,"H:MM:SS"))</f>
        <v>43:21</v>
      </c>
      <c r="K88" s="57" t="str">
        <f>IF('All Solo Standards Source'!G89&lt;1/24,TEXT('All Solo Standards Source'!G89,"M:SS"),TEXT('All Solo Standards Source'!G89,"H:MM:SS"))</f>
        <v>1:05:35</v>
      </c>
      <c r="L88" s="57" t="str">
        <f>IF('All Solo Standards Source'!K89&lt;1/24,TEXT('All Solo Standards Source'!K89,"M:SS"),TEXT('All Solo Standards Source'!K89,"H:MM:SS"))</f>
        <v>1:51:14</v>
      </c>
      <c r="M88" s="57" t="str">
        <f>IF('All Solo Standards Source'!O89&lt;1/24,TEXT('All Solo Standards Source'!O89,"M:SS"),TEXT('All Solo Standards Source'!O89,"H:MM:SS"))</f>
        <v>2:14:41</v>
      </c>
      <c r="N88" s="57" t="str">
        <f>IF('All Solo Standards Source'!S89&lt;1/24,TEXT('All Solo Standards Source'!S89,"M:SS"),TEXT('All Solo Standards Source'!S89,"H:MM:SS"))</f>
        <v>3:53:05</v>
      </c>
      <c r="O88" s="57" t="str">
        <f>IF('All Solo Standards Source'!W89&lt;1/24,TEXT('All Solo Standards Source'!W89,"M:SS"),TEXT('All Solo Standards Source'!W89,"H:MM:SS"))</f>
        <v>8:39:08</v>
      </c>
      <c r="P88" s="57" t="str">
        <f>TEXT('All Solo Standards Source'!AA89,"0.00")</f>
        <v>70.59</v>
      </c>
      <c r="Q88" s="57" t="str">
        <f>TEXT('All Solo Standards Source'!AE89,"0.00")</f>
        <v>93.43</v>
      </c>
      <c r="R88" s="50" t="str">
        <f>IF('All Solo Standards Source'!D89&lt;1/24,TEXT('All Solo Standards Source'!D89,"M:SS"),TEXT('All Solo Standards Source'!D89,"H:MM:SS"))</f>
        <v>42:18</v>
      </c>
      <c r="S88" s="50" t="str">
        <f>IF('All Solo Standards Source'!H89&lt;1/24,TEXT('All Solo Standards Source'!H89,"M:SS"),TEXT('All Solo Standards Source'!H89,"H:MM:SS"))</f>
        <v>1:04:00</v>
      </c>
      <c r="T88" s="50" t="str">
        <f>IF('All Solo Standards Source'!L89&lt;1/24,TEXT('All Solo Standards Source'!L89,"M:SS"),TEXT('All Solo Standards Source'!L89,"H:MM:SS"))</f>
        <v>1:48:34</v>
      </c>
      <c r="U88" s="50" t="str">
        <f>IF('All Solo Standards Source'!P89&lt;1/24,TEXT('All Solo Standards Source'!P89,"M:SS"),TEXT('All Solo Standards Source'!P89,"H:MM:SS"))</f>
        <v>2:11:27</v>
      </c>
      <c r="V88" s="50" t="str">
        <f>IF('All Solo Standards Source'!T89&lt;1/24,TEXT('All Solo Standards Source'!T89,"M:SS"),TEXT('All Solo Standards Source'!T89,"H:MM:SS"))</f>
        <v>3:47:28</v>
      </c>
      <c r="W88" s="50" t="str">
        <f>IF('All Solo Standards Source'!X89&lt;1/24,TEXT('All Solo Standards Source'!X89,"M:SS"),TEXT('All Solo Standards Source'!X89,"H:MM:SS"))</f>
        <v>8:26:30</v>
      </c>
      <c r="X88" s="50" t="str">
        <f>TEXT('All Solo Standards Source'!AB89,"0.00")</f>
        <v>73.35</v>
      </c>
      <c r="Y88" s="50" t="str">
        <f>TEXT('All Solo Standards Source'!AF89,"0.00")</f>
        <v>96.16</v>
      </c>
      <c r="Z88" s="55" t="str">
        <f>IF('All Solo Standards Source'!E89&lt;1/24,TEXT('All Solo Standards Source'!E89,"M:SS"),TEXT('All Solo Standards Source'!E89,"H:MM:SS"))</f>
        <v>46:53</v>
      </c>
      <c r="AA88" s="55" t="str">
        <f>IF('All Solo Standards Source'!I89&lt;1/24,TEXT('All Solo Standards Source'!I89,"M:SS"),TEXT('All Solo Standards Source'!I89,"H:MM:SS"))</f>
        <v>1:10:56</v>
      </c>
      <c r="AB88" s="55" t="str">
        <f>IF('All Solo Standards Source'!M89&lt;1/24,TEXT('All Solo Standards Source'!M89,"M:SS"),TEXT('All Solo Standards Source'!M89,"H:MM:SS"))</f>
        <v>2:00:20</v>
      </c>
      <c r="AC88" s="55" t="str">
        <f>IF('All Solo Standards Source'!Q89&lt;1/24,TEXT('All Solo Standards Source'!Q89,"M:SS"),TEXT('All Solo Standards Source'!Q89,"H:MM:SS"))</f>
        <v>2:25:43</v>
      </c>
      <c r="AD88" s="55" t="str">
        <f>IF('All Solo Standards Source'!U89&lt;1/24,TEXT('All Solo Standards Source'!U89,"M:SS"),TEXT('All Solo Standards Source'!U89,"H:MM:SS"))</f>
        <v>4:12:14</v>
      </c>
      <c r="AE88" s="55" t="str">
        <f>IF('All Solo Standards Source'!Y89&lt;1/24,TEXT('All Solo Standards Source'!Y89,"M:SS"),TEXT('All Solo Standards Source'!Y89,"H:MM:SS"))</f>
        <v>9:22:17</v>
      </c>
      <c r="AF88" s="55" t="str">
        <f>TEXT('All Solo Standards Source'!AC89,"0.00")</f>
        <v>61.90</v>
      </c>
      <c r="AG88" s="55" t="str">
        <f>TEXT('All Solo Standards Source'!AG89,"0.00")</f>
        <v>84.47</v>
      </c>
    </row>
    <row r="89" spans="1:33" x14ac:dyDescent="0.25">
      <c r="A89" s="25">
        <v>96</v>
      </c>
      <c r="B89" s="53" t="str">
        <f>IF('All Solo Standards Source'!B90&lt;1/24,TEXT('All Solo Standards Source'!B90,"M:SS"),TEXT('All Solo Standards Source'!B90,"H:MM:SS"))</f>
        <v>39:53</v>
      </c>
      <c r="C89" s="53" t="str">
        <f>IF('All Solo Standards Source'!F90&lt;1/24,TEXT('All Solo Standards Source'!F90,"M:SS"),TEXT('All Solo Standards Source'!F90,"H:MM:SS"))</f>
        <v>1:00:21</v>
      </c>
      <c r="D89" s="53" t="str">
        <f>IF('All Solo Standards Source'!J90&lt;1/24,TEXT('All Solo Standards Source'!J90,"M:SS"),TEXT('All Solo Standards Source'!J90,"H:MM:SS"))</f>
        <v>1:42:26</v>
      </c>
      <c r="E89" s="53" t="str">
        <f>IF('All Solo Standards Source'!N90&lt;1/24,TEXT('All Solo Standards Source'!N90,"M:SS"),TEXT('All Solo Standards Source'!N90,"H:MM:SS"))</f>
        <v>2:04:05</v>
      </c>
      <c r="F89" s="53" t="str">
        <f>IF('All Solo Standards Source'!R90&lt;1/24,TEXT('All Solo Standards Source'!R90,"M:SS"),TEXT('All Solo Standards Source'!R90,"H:MM:SS"))</f>
        <v>3:35:02</v>
      </c>
      <c r="G89" s="53" t="str">
        <f>IF('All Solo Standards Source'!V90&lt;1/24,TEXT('All Solo Standards Source'!V90,"M:SS"),TEXT('All Solo Standards Source'!V90,"H:MM:SS"))</f>
        <v>8:01:23</v>
      </c>
      <c r="H89" s="53" t="str">
        <f>TEXT('All Solo Standards Source'!Z90,"0.00")</f>
        <v>78.00</v>
      </c>
      <c r="I89" s="53" t="str">
        <f>TEXT('All Solo Standards Source'!AD90,"0.00")</f>
        <v>97.15</v>
      </c>
      <c r="J89" s="57" t="str">
        <f>IF('All Solo Standards Source'!C90&lt;1/24,TEXT('All Solo Standards Source'!C90,"M:SS"),TEXT('All Solo Standards Source'!C90,"H:MM:SS"))</f>
        <v>44:09</v>
      </c>
      <c r="K89" s="57" t="str">
        <f>IF('All Solo Standards Source'!G90&lt;1/24,TEXT('All Solo Standards Source'!G90,"M:SS"),TEXT('All Solo Standards Source'!G90,"H:MM:SS"))</f>
        <v>1:06:49</v>
      </c>
      <c r="L89" s="57" t="str">
        <f>IF('All Solo Standards Source'!K90&lt;1/24,TEXT('All Solo Standards Source'!K90,"M:SS"),TEXT('All Solo Standards Source'!K90,"H:MM:SS"))</f>
        <v>1:53:26</v>
      </c>
      <c r="M89" s="57" t="str">
        <f>IF('All Solo Standards Source'!O90&lt;1/24,TEXT('All Solo Standards Source'!O90,"M:SS"),TEXT('All Solo Standards Source'!O90,"H:MM:SS"))</f>
        <v>2:17:24</v>
      </c>
      <c r="N89" s="57" t="str">
        <f>IF('All Solo Standards Source'!S90&lt;1/24,TEXT('All Solo Standards Source'!S90,"M:SS"),TEXT('All Solo Standards Source'!S90,"H:MM:SS"))</f>
        <v>3:58:14</v>
      </c>
      <c r="O89" s="57" t="str">
        <f>IF('All Solo Standards Source'!W90&lt;1/24,TEXT('All Solo Standards Source'!W90,"M:SS"),TEXT('All Solo Standards Source'!W90,"H:MM:SS"))</f>
        <v>8:53:59</v>
      </c>
      <c r="P89" s="57" t="str">
        <f>TEXT('All Solo Standards Source'!AA90,"0.00")</f>
        <v>66.70</v>
      </c>
      <c r="Q89" s="57" t="str">
        <f>TEXT('All Solo Standards Source'!AE90,"0.00")</f>
        <v>86.45</v>
      </c>
      <c r="R89" s="50" t="str">
        <f>IF('All Solo Standards Source'!D90&lt;1/24,TEXT('All Solo Standards Source'!D90,"M:SS"),TEXT('All Solo Standards Source'!D90,"H:MM:SS"))</f>
        <v>43:05</v>
      </c>
      <c r="S89" s="50" t="str">
        <f>IF('All Solo Standards Source'!H90&lt;1/24,TEXT('All Solo Standards Source'!H90,"M:SS"),TEXT('All Solo Standards Source'!H90,"H:MM:SS"))</f>
        <v>1:05:13</v>
      </c>
      <c r="T89" s="50" t="str">
        <f>IF('All Solo Standards Source'!L90&lt;1/24,TEXT('All Solo Standards Source'!L90,"M:SS"),TEXT('All Solo Standards Source'!L90,"H:MM:SS"))</f>
        <v>1:50:42</v>
      </c>
      <c r="U89" s="50" t="str">
        <f>IF('All Solo Standards Source'!P90&lt;1/24,TEXT('All Solo Standards Source'!P90,"M:SS"),TEXT('All Solo Standards Source'!P90,"H:MM:SS"))</f>
        <v>2:14:06</v>
      </c>
      <c r="V89" s="50" t="str">
        <f>IF('All Solo Standards Source'!T90&lt;1/24,TEXT('All Solo Standards Source'!T90,"M:SS"),TEXT('All Solo Standards Source'!T90,"H:MM:SS"))</f>
        <v>3:52:28</v>
      </c>
      <c r="W89" s="50" t="str">
        <f>IF('All Solo Standards Source'!X90&lt;1/24,TEXT('All Solo Standards Source'!X90,"M:SS"),TEXT('All Solo Standards Source'!X90,"H:MM:SS"))</f>
        <v>8:40:56</v>
      </c>
      <c r="X89" s="50" t="str">
        <f>TEXT('All Solo Standards Source'!AB90,"0.00")</f>
        <v>69.36</v>
      </c>
      <c r="Y89" s="50" t="str">
        <f>TEXT('All Solo Standards Source'!AF90,"0.00")</f>
        <v>89.04</v>
      </c>
      <c r="Z89" s="55" t="str">
        <f>IF('All Solo Standards Source'!E90&lt;1/24,TEXT('All Solo Standards Source'!E90,"M:SS"),TEXT('All Solo Standards Source'!E90,"H:MM:SS"))</f>
        <v>47:46</v>
      </c>
      <c r="AA89" s="55" t="str">
        <f>IF('All Solo Standards Source'!I90&lt;1/24,TEXT('All Solo Standards Source'!I90,"M:SS"),TEXT('All Solo Standards Source'!I90,"H:MM:SS"))</f>
        <v>1:12:17</v>
      </c>
      <c r="AB89" s="55" t="str">
        <f>IF('All Solo Standards Source'!M90&lt;1/24,TEXT('All Solo Standards Source'!M90,"M:SS"),TEXT('All Solo Standards Source'!M90,"H:MM:SS"))</f>
        <v>2:02:44</v>
      </c>
      <c r="AC89" s="55" t="str">
        <f>IF('All Solo Standards Source'!Q90&lt;1/24,TEXT('All Solo Standards Source'!Q90,"M:SS"),TEXT('All Solo Standards Source'!Q90,"H:MM:SS"))</f>
        <v>2:28:41</v>
      </c>
      <c r="AD89" s="55" t="str">
        <f>IF('All Solo Standards Source'!U90&lt;1/24,TEXT('All Solo Standards Source'!U90,"M:SS"),TEXT('All Solo Standards Source'!U90,"H:MM:SS"))</f>
        <v>4:17:53</v>
      </c>
      <c r="AE89" s="55" t="str">
        <f>IF('All Solo Standards Source'!Y90&lt;1/24,TEXT('All Solo Standards Source'!Y90,"M:SS"),TEXT('All Solo Standards Source'!Y90,"H:MM:SS"))</f>
        <v>9:38:33</v>
      </c>
      <c r="AF89" s="55" t="str">
        <f>TEXT('All Solo Standards Source'!AC90,"0.00")</f>
        <v>58.33</v>
      </c>
      <c r="AG89" s="55" t="str">
        <f>TEXT('All Solo Standards Source'!AG90,"0.00")</f>
        <v>77.96</v>
      </c>
    </row>
    <row r="90" spans="1:33" x14ac:dyDescent="0.25">
      <c r="A90" s="25">
        <v>97</v>
      </c>
      <c r="B90" s="53" t="str">
        <f>IF('All Solo Standards Source'!B91&lt;1/24,TEXT('All Solo Standards Source'!B91,"M:SS"),TEXT('All Solo Standards Source'!B91,"H:MM:SS"))</f>
        <v>40:39</v>
      </c>
      <c r="C90" s="53" t="str">
        <f>IF('All Solo Standards Source'!F91&lt;1/24,TEXT('All Solo Standards Source'!F91,"M:SS"),TEXT('All Solo Standards Source'!F91,"H:MM:SS"))</f>
        <v>1:01:32</v>
      </c>
      <c r="D90" s="53" t="str">
        <f>IF('All Solo Standards Source'!J91&lt;1/24,TEXT('All Solo Standards Source'!J91,"M:SS"),TEXT('All Solo Standards Source'!J91,"H:MM:SS"))</f>
        <v>1:44:32</v>
      </c>
      <c r="E90" s="53" t="str">
        <f>IF('All Solo Standards Source'!N91&lt;1/24,TEXT('All Solo Standards Source'!N91,"M:SS"),TEXT('All Solo Standards Source'!N91,"H:MM:SS"))</f>
        <v>2:06:41</v>
      </c>
      <c r="F90" s="53" t="str">
        <f>IF('All Solo Standards Source'!R91&lt;1/24,TEXT('All Solo Standards Source'!R91,"M:SS"),TEXT('All Solo Standards Source'!R91,"H:MM:SS"))</f>
        <v>3:39:59</v>
      </c>
      <c r="G90" s="53" t="str">
        <f>IF('All Solo Standards Source'!V91&lt;1/24,TEXT('All Solo Standards Source'!V91,"M:SS"),TEXT('All Solo Standards Source'!V91,"H:MM:SS"))</f>
        <v>8:16:00</v>
      </c>
      <c r="H90" s="53" t="str">
        <f>TEXT('All Solo Standards Source'!Z91,"0.00")</f>
        <v>73.57</v>
      </c>
      <c r="I90" s="53" t="str">
        <f>TEXT('All Solo Standards Source'!AD91,"0.00")</f>
        <v>89.44</v>
      </c>
      <c r="J90" s="57" t="str">
        <f>IF('All Solo Standards Source'!C91&lt;1/24,TEXT('All Solo Standards Source'!C91,"M:SS"),TEXT('All Solo Standards Source'!C91,"H:MM:SS"))</f>
        <v>45:01</v>
      </c>
      <c r="K90" s="57" t="str">
        <f>IF('All Solo Standards Source'!G91&lt;1/24,TEXT('All Solo Standards Source'!G91,"M:SS"),TEXT('All Solo Standards Source'!G91,"H:MM:SS"))</f>
        <v>1:08:09</v>
      </c>
      <c r="L90" s="57" t="str">
        <f>IF('All Solo Standards Source'!K91&lt;1/24,TEXT('All Solo Standards Source'!K91,"M:SS"),TEXT('All Solo Standards Source'!K91,"H:MM:SS"))</f>
        <v>1:55:48</v>
      </c>
      <c r="M90" s="57" t="str">
        <f>IF('All Solo Standards Source'!O91&lt;1/24,TEXT('All Solo Standards Source'!O91,"M:SS"),TEXT('All Solo Standards Source'!O91,"H:MM:SS"))</f>
        <v>2:20:20</v>
      </c>
      <c r="N90" s="57" t="str">
        <f>IF('All Solo Standards Source'!S91&lt;1/24,TEXT('All Solo Standards Source'!S91,"M:SS"),TEXT('All Solo Standards Source'!S91,"H:MM:SS"))</f>
        <v>4:03:49</v>
      </c>
      <c r="O90" s="57" t="str">
        <f>IF('All Solo Standards Source'!W91&lt;1/24,TEXT('All Solo Standards Source'!W91,"M:SS"),TEXT('All Solo Standards Source'!W91,"H:MM:SS"))</f>
        <v>9:10:28</v>
      </c>
      <c r="P90" s="57" t="str">
        <f>TEXT('All Solo Standards Source'!AA91,"0.00")</f>
        <v>62.73</v>
      </c>
      <c r="Q90" s="57" t="str">
        <f>TEXT('All Solo Standards Source'!AE91,"0.00")</f>
        <v>79.36</v>
      </c>
      <c r="R90" s="50" t="str">
        <f>IF('All Solo Standards Source'!D91&lt;1/24,TEXT('All Solo Standards Source'!D91,"M:SS"),TEXT('All Solo Standards Source'!D91,"H:MM:SS"))</f>
        <v>43:56</v>
      </c>
      <c r="S90" s="50" t="str">
        <f>IF('All Solo Standards Source'!H91&lt;1/24,TEXT('All Solo Standards Source'!H91,"M:SS"),TEXT('All Solo Standards Source'!H91,"H:MM:SS"))</f>
        <v>1:06:31</v>
      </c>
      <c r="T90" s="50" t="str">
        <f>IF('All Solo Standards Source'!L91&lt;1/24,TEXT('All Solo Standards Source'!L91,"M:SS"),TEXT('All Solo Standards Source'!L91,"H:MM:SS"))</f>
        <v>1:53:00</v>
      </c>
      <c r="U90" s="50" t="str">
        <f>IF('All Solo Standards Source'!P91&lt;1/24,TEXT('All Solo Standards Source'!P91,"M:SS"),TEXT('All Solo Standards Source'!P91,"H:MM:SS"))</f>
        <v>2:16:57</v>
      </c>
      <c r="V90" s="50" t="str">
        <f>IF('All Solo Standards Source'!T91&lt;1/24,TEXT('All Solo Standards Source'!T91,"M:SS"),TEXT('All Solo Standards Source'!T91,"H:MM:SS"))</f>
        <v>3:57:54</v>
      </c>
      <c r="W90" s="50" t="str">
        <f>IF('All Solo Standards Source'!X91&lt;1/24,TEXT('All Solo Standards Source'!X91,"M:SS"),TEXT('All Solo Standards Source'!X91,"H:MM:SS"))</f>
        <v>8:56:57</v>
      </c>
      <c r="X90" s="50" t="str">
        <f>TEXT('All Solo Standards Source'!AB91,"0.00")</f>
        <v>65.28</v>
      </c>
      <c r="Y90" s="50" t="str">
        <f>TEXT('All Solo Standards Source'!AF91,"0.00")</f>
        <v>81.80</v>
      </c>
      <c r="Z90" s="55" t="str">
        <f>IF('All Solo Standards Source'!E91&lt;1/24,TEXT('All Solo Standards Source'!E91,"M:SS"),TEXT('All Solo Standards Source'!E91,"H:MM:SS"))</f>
        <v>48:42</v>
      </c>
      <c r="AA90" s="55" t="str">
        <f>IF('All Solo Standards Source'!I91&lt;1/24,TEXT('All Solo Standards Source'!I91,"M:SS"),TEXT('All Solo Standards Source'!I91,"H:MM:SS"))</f>
        <v>1:13:45</v>
      </c>
      <c r="AB90" s="55" t="str">
        <f>IF('All Solo Standards Source'!M91&lt;1/24,TEXT('All Solo Standards Source'!M91,"M:SS"),TEXT('All Solo Standards Source'!M91,"H:MM:SS"))</f>
        <v>2:05:20</v>
      </c>
      <c r="AC90" s="55" t="str">
        <f>IF('All Solo Standards Source'!Q91&lt;1/24,TEXT('All Solo Standards Source'!Q91,"M:SS"),TEXT('All Solo Standards Source'!Q91,"H:MM:SS"))</f>
        <v>2:31:54</v>
      </c>
      <c r="AD90" s="55" t="str">
        <f>IF('All Solo Standards Source'!U91&lt;1/24,TEXT('All Solo Standards Source'!U91,"M:SS"),TEXT('All Solo Standards Source'!U91,"H:MM:SS"))</f>
        <v>4:24:00</v>
      </c>
      <c r="AE90" s="55" t="str">
        <f>IF('All Solo Standards Source'!Y91&lt;1/24,TEXT('All Solo Standards Source'!Y91,"M:SS"),TEXT('All Solo Standards Source'!Y91,"H:MM:SS"))</f>
        <v>9:56:36</v>
      </c>
      <c r="AF90" s="55" t="str">
        <f>TEXT('All Solo Standards Source'!AC91,"0.00")</f>
        <v>54.67</v>
      </c>
      <c r="AG90" s="55" t="str">
        <f>TEXT('All Solo Standards Source'!AG91,"0.00")</f>
        <v>71.34</v>
      </c>
    </row>
    <row r="91" spans="1:33" x14ac:dyDescent="0.25">
      <c r="A91" s="25">
        <v>98</v>
      </c>
      <c r="B91" s="53" t="str">
        <f>IF('All Solo Standards Source'!B92&lt;1/24,TEXT('All Solo Standards Source'!B92,"M:SS"),TEXT('All Solo Standards Source'!B92,"H:MM:SS"))</f>
        <v>41:28</v>
      </c>
      <c r="C91" s="53" t="str">
        <f>IF('All Solo Standards Source'!F92&lt;1/24,TEXT('All Solo Standards Source'!F92,"M:SS"),TEXT('All Solo Standards Source'!F92,"H:MM:SS"))</f>
        <v>1:02:49</v>
      </c>
      <c r="D91" s="53" t="str">
        <f>IF('All Solo Standards Source'!J92&lt;1/24,TEXT('All Solo Standards Source'!J92,"M:SS"),TEXT('All Solo Standards Source'!J92,"H:MM:SS"))</f>
        <v>1:46:48</v>
      </c>
      <c r="E91" s="53" t="str">
        <f>IF('All Solo Standards Source'!N92&lt;1/24,TEXT('All Solo Standards Source'!N92,"M:SS"),TEXT('All Solo Standards Source'!N92,"H:MM:SS"))</f>
        <v>2:09:30</v>
      </c>
      <c r="F91" s="53" t="str">
        <f>IF('All Solo Standards Source'!R92&lt;1/24,TEXT('All Solo Standards Source'!R92,"M:SS"),TEXT('All Solo Standards Source'!R92,"H:MM:SS"))</f>
        <v>3:45:23</v>
      </c>
      <c r="G91" s="53" t="str">
        <f>IF('All Solo Standards Source'!V92&lt;1/24,TEXT('All Solo Standards Source'!V92,"M:SS"),TEXT('All Solo Standards Source'!V92,"H:MM:SS"))</f>
        <v>8:32:21</v>
      </c>
      <c r="H91" s="53" t="str">
        <f>TEXT('All Solo Standards Source'!Z92,"0.00")</f>
        <v>69.05</v>
      </c>
      <c r="I91" s="53" t="str">
        <f>TEXT('All Solo Standards Source'!AD92,"0.00")</f>
        <v>81.61</v>
      </c>
      <c r="J91" s="57" t="str">
        <f>IF('All Solo Standards Source'!C92&lt;1/24,TEXT('All Solo Standards Source'!C92,"M:SS"),TEXT('All Solo Standards Source'!C92,"H:MM:SS"))</f>
        <v>45:56</v>
      </c>
      <c r="K91" s="57" t="str">
        <f>IF('All Solo Standards Source'!G92&lt;1/24,TEXT('All Solo Standards Source'!G92,"M:SS"),TEXT('All Solo Standards Source'!G92,"H:MM:SS"))</f>
        <v>1:09:35</v>
      </c>
      <c r="L91" s="57" t="str">
        <f>IF('All Solo Standards Source'!K92&lt;1/24,TEXT('All Solo Standards Source'!K92,"M:SS"),TEXT('All Solo Standards Source'!K92,"H:MM:SS"))</f>
        <v>1:58:21</v>
      </c>
      <c r="M91" s="57" t="str">
        <f>IF('All Solo Standards Source'!O92&lt;1/24,TEXT('All Solo Standards Source'!O92,"M:SS"),TEXT('All Solo Standards Source'!O92,"H:MM:SS"))</f>
        <v>2:23:30</v>
      </c>
      <c r="N91" s="57" t="str">
        <f>IF('All Solo Standards Source'!S92&lt;1/24,TEXT('All Solo Standards Source'!S92,"M:SS"),TEXT('All Solo Standards Source'!S92,"H:MM:SS"))</f>
        <v>4:09:54</v>
      </c>
      <c r="O91" s="57" t="str">
        <f>IF('All Solo Standards Source'!W92&lt;1/24,TEXT('All Solo Standards Source'!W92,"M:SS"),TEXT('All Solo Standards Source'!W92,"H:MM:SS"))</f>
        <v>9:28:53</v>
      </c>
      <c r="P91" s="57" t="str">
        <f>TEXT('All Solo Standards Source'!AA92,"0.00")</f>
        <v>58.67</v>
      </c>
      <c r="Q91" s="57" t="str">
        <f>TEXT('All Solo Standards Source'!AE92,"0.00")</f>
        <v>72.15</v>
      </c>
      <c r="R91" s="50" t="str">
        <f>IF('All Solo Standards Source'!D92&lt;1/24,TEXT('All Solo Standards Source'!D92,"M:SS"),TEXT('All Solo Standards Source'!D92,"H:MM:SS"))</f>
        <v>44:50</v>
      </c>
      <c r="S91" s="50" t="str">
        <f>IF('All Solo Standards Source'!H92&lt;1/24,TEXT('All Solo Standards Source'!H92,"M:SS"),TEXT('All Solo Standards Source'!H92,"H:MM:SS"))</f>
        <v>1:07:54</v>
      </c>
      <c r="T91" s="50" t="str">
        <f>IF('All Solo Standards Source'!L92&lt;1/24,TEXT('All Solo Standards Source'!L92,"M:SS"),TEXT('All Solo Standards Source'!L92,"H:MM:SS"))</f>
        <v>1:55:29</v>
      </c>
      <c r="U91" s="50" t="str">
        <f>IF('All Solo Standards Source'!P92&lt;1/24,TEXT('All Solo Standards Source'!P92,"M:SS"),TEXT('All Solo Standards Source'!P92,"H:MM:SS"))</f>
        <v>2:20:01</v>
      </c>
      <c r="V91" s="50" t="str">
        <f>IF('All Solo Standards Source'!T92&lt;1/24,TEXT('All Solo Standards Source'!T92,"M:SS"),TEXT('All Solo Standards Source'!T92,"H:MM:SS"))</f>
        <v>4:03:49</v>
      </c>
      <c r="W91" s="50" t="str">
        <f>IF('All Solo Standards Source'!X92&lt;1/24,TEXT('All Solo Standards Source'!X92,"M:SS"),TEXT('All Solo Standards Source'!X92,"H:MM:SS"))</f>
        <v>9:14:51</v>
      </c>
      <c r="X91" s="50" t="str">
        <f>TEXT('All Solo Standards Source'!AB92,"0.00")</f>
        <v>61.11</v>
      </c>
      <c r="Y91" s="50" t="str">
        <f>TEXT('All Solo Standards Source'!AF92,"0.00")</f>
        <v>74.45</v>
      </c>
      <c r="Z91" s="55" t="str">
        <f>IF('All Solo Standards Source'!E92&lt;1/24,TEXT('All Solo Standards Source'!E92,"M:SS"),TEXT('All Solo Standards Source'!E92,"H:MM:SS"))</f>
        <v>49:43</v>
      </c>
      <c r="AA91" s="55" t="str">
        <f>IF('All Solo Standards Source'!I92&lt;1/24,TEXT('All Solo Standards Source'!I92,"M:SS"),TEXT('All Solo Standards Source'!I92,"H:MM:SS"))</f>
        <v>1:15:19</v>
      </c>
      <c r="AB91" s="55" t="str">
        <f>IF('All Solo Standards Source'!M92&lt;1/24,TEXT('All Solo Standards Source'!M92,"M:SS"),TEXT('All Solo Standards Source'!M92,"H:MM:SS"))</f>
        <v>2:08:07</v>
      </c>
      <c r="AC91" s="55" t="str">
        <f>IF('All Solo Standards Source'!Q92&lt;1/24,TEXT('All Solo Standards Source'!Q92,"M:SS"),TEXT('All Solo Standards Source'!Q92,"H:MM:SS"))</f>
        <v>2:35:22</v>
      </c>
      <c r="AD91" s="55" t="str">
        <f>IF('All Solo Standards Source'!U92&lt;1/24,TEXT('All Solo Standards Source'!U92,"M:SS"),TEXT('All Solo Standards Source'!U92,"H:MM:SS"))</f>
        <v>4:30:39</v>
      </c>
      <c r="AE91" s="55" t="str">
        <f>IF('All Solo Standards Source'!Y92&lt;1/24,TEXT('All Solo Standards Source'!Y92,"M:SS"),TEXT('All Solo Standards Source'!Y92,"H:MM:SS"))</f>
        <v>10:16:47</v>
      </c>
      <c r="AF91" s="55" t="str">
        <f>TEXT('All Solo Standards Source'!AC92,"0.00")</f>
        <v>50.93</v>
      </c>
      <c r="AG91" s="55" t="str">
        <f>TEXT('All Solo Standards Source'!AG92,"0.00")</f>
        <v>64.59</v>
      </c>
    </row>
    <row r="92" spans="1:33" x14ac:dyDescent="0.25">
      <c r="A92" s="25">
        <v>99</v>
      </c>
      <c r="B92" s="53" t="str">
        <f>IF('All Solo Standards Source'!B93&lt;1/24,TEXT('All Solo Standards Source'!B93,"M:SS"),TEXT('All Solo Standards Source'!B93,"H:MM:SS"))</f>
        <v>42:21</v>
      </c>
      <c r="C92" s="53" t="str">
        <f>IF('All Solo Standards Source'!F93&lt;1/24,TEXT('All Solo Standards Source'!F93,"M:SS"),TEXT('All Solo Standards Source'!F93,"H:MM:SS"))</f>
        <v>1:04:11</v>
      </c>
      <c r="D92" s="53" t="str">
        <f>IF('All Solo Standards Source'!J93&lt;1/24,TEXT('All Solo Standards Source'!J93,"M:SS"),TEXT('All Solo Standards Source'!J93,"H:MM:SS"))</f>
        <v>1:49:16</v>
      </c>
      <c r="E92" s="53" t="str">
        <f>IF('All Solo Standards Source'!N93&lt;1/24,TEXT('All Solo Standards Source'!N93,"M:SS"),TEXT('All Solo Standards Source'!N93,"H:MM:SS"))</f>
        <v>2:12:33</v>
      </c>
      <c r="F92" s="53" t="str">
        <f>IF('All Solo Standards Source'!R93&lt;1/24,TEXT('All Solo Standards Source'!R93,"M:SS"),TEXT('All Solo Standards Source'!R93,"H:MM:SS"))</f>
        <v>3:51:18</v>
      </c>
      <c r="G92" s="53" t="str">
        <f>IF('All Solo Standards Source'!V93&lt;1/24,TEXT('All Solo Standards Source'!V93,"M:SS"),TEXT('All Solo Standards Source'!V93,"H:MM:SS"))</f>
        <v>8:50:46</v>
      </c>
      <c r="H92" s="53" t="str">
        <f>TEXT('All Solo Standards Source'!Z93,"0.00")</f>
        <v>64.42</v>
      </c>
      <c r="I92" s="53" t="str">
        <f>TEXT('All Solo Standards Source'!AD93,"0.00")</f>
        <v>73.67</v>
      </c>
      <c r="J92" s="57" t="str">
        <f>IF('All Solo Standards Source'!C93&lt;1/24,TEXT('All Solo Standards Source'!C93,"M:SS"),TEXT('All Solo Standards Source'!C93,"H:MM:SS"))</f>
        <v>46:56</v>
      </c>
      <c r="K92" s="57" t="str">
        <f>IF('All Solo Standards Source'!G93&lt;1/24,TEXT('All Solo Standards Source'!G93,"M:SS"),TEXT('All Solo Standards Source'!G93,"H:MM:SS"))</f>
        <v>1:11:08</v>
      </c>
      <c r="L92" s="57" t="str">
        <f>IF('All Solo Standards Source'!K93&lt;1/24,TEXT('All Solo Standards Source'!K93,"M:SS"),TEXT('All Solo Standards Source'!K93,"H:MM:SS"))</f>
        <v>2:01:07</v>
      </c>
      <c r="M92" s="57" t="str">
        <f>IF('All Solo Standards Source'!O93&lt;1/24,TEXT('All Solo Standards Source'!O93,"M:SS"),TEXT('All Solo Standards Source'!O93,"H:MM:SS"))</f>
        <v>2:26:57</v>
      </c>
      <c r="N92" s="57" t="str">
        <f>IF('All Solo Standards Source'!S93&lt;1/24,TEXT('All Solo Standards Source'!S93,"M:SS"),TEXT('All Solo Standards Source'!S93,"H:MM:SS"))</f>
        <v>4:16:33</v>
      </c>
      <c r="O92" s="57" t="str">
        <f>IF('All Solo Standards Source'!W93&lt;1/24,TEXT('All Solo Standards Source'!W93,"M:SS"),TEXT('All Solo Standards Source'!W93,"H:MM:SS"))</f>
        <v>9:49:39</v>
      </c>
      <c r="P92" s="57" t="str">
        <f>TEXT('All Solo Standards Source'!AA93,"0.00")</f>
        <v>54.51</v>
      </c>
      <c r="Q92" s="57" t="str">
        <f>TEXT('All Solo Standards Source'!AE93,"0.00")</f>
        <v>64.83</v>
      </c>
      <c r="R92" s="50" t="str">
        <f>IF('All Solo Standards Source'!D93&lt;1/24,TEXT('All Solo Standards Source'!D93,"M:SS"),TEXT('All Solo Standards Source'!D93,"H:MM:SS"))</f>
        <v>45:48</v>
      </c>
      <c r="S92" s="50" t="str">
        <f>IF('All Solo Standards Source'!H93&lt;1/24,TEXT('All Solo Standards Source'!H93,"M:SS"),TEXT('All Solo Standards Source'!H93,"H:MM:SS"))</f>
        <v>1:09:25</v>
      </c>
      <c r="T92" s="50" t="str">
        <f>IF('All Solo Standards Source'!L93&lt;1/24,TEXT('All Solo Standards Source'!L93,"M:SS"),TEXT('All Solo Standards Source'!L93,"H:MM:SS"))</f>
        <v>1:58:10</v>
      </c>
      <c r="U92" s="50" t="str">
        <f>IF('All Solo Standards Source'!P93&lt;1/24,TEXT('All Solo Standards Source'!P93,"M:SS"),TEXT('All Solo Standards Source'!P93,"H:MM:SS"))</f>
        <v>2:23:22</v>
      </c>
      <c r="V92" s="50" t="str">
        <f>IF('All Solo Standards Source'!T93&lt;1/24,TEXT('All Solo Standards Source'!T93,"M:SS"),TEXT('All Solo Standards Source'!T93,"H:MM:SS"))</f>
        <v>4:10:17</v>
      </c>
      <c r="W92" s="50" t="str">
        <f>IF('All Solo Standards Source'!X93&lt;1/24,TEXT('All Solo Standards Source'!X93,"M:SS"),TEXT('All Solo Standards Source'!X93,"H:MM:SS"))</f>
        <v>9:35:02</v>
      </c>
      <c r="X92" s="50" t="str">
        <f>TEXT('All Solo Standards Source'!AB93,"0.00")</f>
        <v>56.84</v>
      </c>
      <c r="Y92" s="50" t="str">
        <f>TEXT('All Solo Standards Source'!AF93,"0.00")</f>
        <v>66.98</v>
      </c>
      <c r="Z92" s="55" t="str">
        <f>IF('All Solo Standards Source'!E93&lt;1/24,TEXT('All Solo Standards Source'!E93,"M:SS"),TEXT('All Solo Standards Source'!E93,"H:MM:SS"))</f>
        <v>50:49</v>
      </c>
      <c r="AA92" s="55" t="str">
        <f>IF('All Solo Standards Source'!I93&lt;1/24,TEXT('All Solo Standards Source'!I93,"M:SS"),TEXT('All Solo Standards Source'!I93,"H:MM:SS"))</f>
        <v>1:17:01</v>
      </c>
      <c r="AB92" s="55" t="str">
        <f>IF('All Solo Standards Source'!M93&lt;1/24,TEXT('All Solo Standards Source'!M93,"M:SS"),TEXT('All Solo Standards Source'!M93,"H:MM:SS"))</f>
        <v>2:11:09</v>
      </c>
      <c r="AC92" s="55" t="str">
        <f>IF('All Solo Standards Source'!Q93&lt;1/24,TEXT('All Solo Standards Source'!Q93,"M:SS"),TEXT('All Solo Standards Source'!Q93,"H:MM:SS"))</f>
        <v>2:39:09</v>
      </c>
      <c r="AD92" s="55" t="str">
        <f>IF('All Solo Standards Source'!U93&lt;1/24,TEXT('All Solo Standards Source'!U93,"M:SS"),TEXT('All Solo Standards Source'!U93,"H:MM:SS"))</f>
        <v>4:37:57</v>
      </c>
      <c r="AE92" s="55" t="str">
        <f>IF('All Solo Standards Source'!Y93&lt;1/24,TEXT('All Solo Standards Source'!Y93,"M:SS"),TEXT('All Solo Standards Source'!Y93,"H:MM:SS"))</f>
        <v>10:39:32</v>
      </c>
      <c r="AF92" s="55" t="str">
        <f>TEXT('All Solo Standards Source'!AC93,"0.00")</f>
        <v>47.11</v>
      </c>
      <c r="AG92" s="55" t="str">
        <f>TEXT('All Solo Standards Source'!AG93,"0.00")</f>
        <v>57.73</v>
      </c>
    </row>
  </sheetData>
  <sheetProtection sheet="1" objects="1" scenarios="1"/>
  <mergeCells count="4">
    <mergeCell ref="B1:I1"/>
    <mergeCell ref="J1:Q1"/>
    <mergeCell ref="R1:Y1"/>
    <mergeCell ref="Z1:AG1"/>
  </mergeCells>
  <pageMargins left="0.70866141732283472" right="0.70866141732283472" top="0.74803149606299213" bottom="0.74803149606299213" header="0.31496062992125984" footer="0.31496062992125984"/>
  <pageSetup paperSize="9" scale="44" orientation="landscape" r:id="rId1"/>
  <headerFooter>
    <oddHeader>&amp;C&amp;A</oddHeader>
    <oddFooter>&amp;L&amp;F&amp;CPage &amp;P of &amp;N&amp;R&amp;D</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C259A-642A-45B8-BBB0-9744C6F83C7B}">
  <sheetPr codeName="Sheet15">
    <pageSetUpPr fitToPage="1"/>
  </sheetPr>
  <dimension ref="A1:AG92"/>
  <sheetViews>
    <sheetView zoomScale="66" zoomScaleNormal="66" workbookViewId="0">
      <pane xSplit="1" ySplit="3" topLeftCell="B18" activePane="bottomRight" state="frozen"/>
      <selection activeCell="A4" sqref="A4:XFD32"/>
      <selection pane="topRight" activeCell="A4" sqref="A4:XFD32"/>
      <selection pane="bottomLeft" activeCell="A4" sqref="A4:XFD32"/>
      <selection pane="bottomRight" activeCell="A4" sqref="A4:XFD32"/>
    </sheetView>
  </sheetViews>
  <sheetFormatPr defaultRowHeight="15" x14ac:dyDescent="0.25"/>
  <cols>
    <col min="1" max="1" width="13.28515625" customWidth="1"/>
    <col min="2" max="33" width="8.7109375" customWidth="1"/>
  </cols>
  <sheetData>
    <row r="1" spans="1:33" x14ac:dyDescent="0.25">
      <c r="A1" s="13"/>
      <c r="B1" s="72" t="s">
        <v>62</v>
      </c>
      <c r="C1" s="72"/>
      <c r="D1" s="72"/>
      <c r="E1" s="72"/>
      <c r="F1" s="72"/>
      <c r="G1" s="72"/>
      <c r="H1" s="72"/>
      <c r="I1" s="72"/>
      <c r="J1" s="74" t="s">
        <v>63</v>
      </c>
      <c r="K1" s="74"/>
      <c r="L1" s="74"/>
      <c r="M1" s="74"/>
      <c r="N1" s="74"/>
      <c r="O1" s="74"/>
      <c r="P1" s="74"/>
      <c r="Q1" s="74"/>
      <c r="R1" s="75" t="s">
        <v>64</v>
      </c>
      <c r="S1" s="76"/>
      <c r="T1" s="76"/>
      <c r="U1" s="76"/>
      <c r="V1" s="76"/>
      <c r="W1" s="76"/>
      <c r="X1" s="76"/>
      <c r="Y1" s="76"/>
      <c r="Z1" s="78" t="s">
        <v>65</v>
      </c>
      <c r="AA1" s="78"/>
      <c r="AB1" s="78"/>
      <c r="AC1" s="78"/>
      <c r="AD1" s="78"/>
      <c r="AE1" s="78"/>
      <c r="AF1" s="78"/>
      <c r="AG1" s="78"/>
    </row>
    <row r="2" spans="1:33" ht="15.6" customHeight="1" x14ac:dyDescent="0.25">
      <c r="A2" s="13" t="s">
        <v>34</v>
      </c>
      <c r="B2" s="14">
        <v>10</v>
      </c>
      <c r="C2" s="14">
        <v>15</v>
      </c>
      <c r="D2" s="14">
        <v>25</v>
      </c>
      <c r="E2" s="14">
        <v>30</v>
      </c>
      <c r="F2" s="14">
        <v>50</v>
      </c>
      <c r="G2" s="14">
        <v>100</v>
      </c>
      <c r="H2" s="14">
        <v>12</v>
      </c>
      <c r="I2" s="15">
        <v>24</v>
      </c>
      <c r="J2" s="14">
        <v>10</v>
      </c>
      <c r="K2" s="14">
        <v>15</v>
      </c>
      <c r="L2" s="14">
        <v>25</v>
      </c>
      <c r="M2" s="14">
        <v>30</v>
      </c>
      <c r="N2" s="14">
        <v>50</v>
      </c>
      <c r="O2" s="14">
        <v>100</v>
      </c>
      <c r="P2" s="14">
        <v>12</v>
      </c>
      <c r="Q2" s="14">
        <v>24</v>
      </c>
      <c r="R2" s="14">
        <v>10</v>
      </c>
      <c r="S2" s="14">
        <v>15</v>
      </c>
      <c r="T2" s="14">
        <v>25</v>
      </c>
      <c r="U2" s="14">
        <v>30</v>
      </c>
      <c r="V2" s="14">
        <v>50</v>
      </c>
      <c r="W2" s="14">
        <v>100</v>
      </c>
      <c r="X2" s="14">
        <v>12</v>
      </c>
      <c r="Y2" s="14">
        <v>24</v>
      </c>
      <c r="Z2" s="14">
        <v>10</v>
      </c>
      <c r="AA2" s="14">
        <v>15</v>
      </c>
      <c r="AB2" s="14">
        <v>25</v>
      </c>
      <c r="AC2" s="14">
        <v>30</v>
      </c>
      <c r="AD2" s="14">
        <v>50</v>
      </c>
      <c r="AE2" s="14">
        <v>100</v>
      </c>
      <c r="AF2" s="14">
        <v>12</v>
      </c>
      <c r="AG2" s="14">
        <v>24</v>
      </c>
    </row>
    <row r="3" spans="1:33" x14ac:dyDescent="0.25">
      <c r="A3" s="13" t="s">
        <v>8</v>
      </c>
      <c r="B3" s="16" t="s">
        <v>7</v>
      </c>
      <c r="C3" s="16" t="s">
        <v>7</v>
      </c>
      <c r="D3" s="16" t="s">
        <v>7</v>
      </c>
      <c r="E3" s="16" t="s">
        <v>7</v>
      </c>
      <c r="F3" s="16" t="s">
        <v>7</v>
      </c>
      <c r="G3" s="16" t="s">
        <v>7</v>
      </c>
      <c r="H3" s="14" t="s">
        <v>12</v>
      </c>
      <c r="I3" s="14" t="s">
        <v>12</v>
      </c>
      <c r="J3" s="16" t="s">
        <v>7</v>
      </c>
      <c r="K3" s="16" t="s">
        <v>7</v>
      </c>
      <c r="L3" s="16" t="s">
        <v>7</v>
      </c>
      <c r="M3" s="16" t="s">
        <v>7</v>
      </c>
      <c r="N3" s="16" t="s">
        <v>7</v>
      </c>
      <c r="O3" s="16" t="s">
        <v>7</v>
      </c>
      <c r="P3" s="14" t="s">
        <v>12</v>
      </c>
      <c r="Q3" s="14" t="s">
        <v>12</v>
      </c>
      <c r="R3" s="16" t="s">
        <v>7</v>
      </c>
      <c r="S3" s="16" t="s">
        <v>7</v>
      </c>
      <c r="T3" s="16" t="s">
        <v>7</v>
      </c>
      <c r="U3" s="16" t="s">
        <v>7</v>
      </c>
      <c r="V3" s="16" t="s">
        <v>7</v>
      </c>
      <c r="W3" s="16" t="s">
        <v>7</v>
      </c>
      <c r="X3" s="14" t="s">
        <v>12</v>
      </c>
      <c r="Y3" s="14" t="s">
        <v>12</v>
      </c>
      <c r="Z3" s="16" t="s">
        <v>7</v>
      </c>
      <c r="AA3" s="16" t="s">
        <v>7</v>
      </c>
      <c r="AB3" s="16" t="s">
        <v>7</v>
      </c>
      <c r="AC3" s="16" t="s">
        <v>7</v>
      </c>
      <c r="AD3" s="16" t="s">
        <v>7</v>
      </c>
      <c r="AE3" s="16" t="s">
        <v>7</v>
      </c>
      <c r="AF3" s="14" t="s">
        <v>12</v>
      </c>
      <c r="AG3" s="14" t="s">
        <v>12</v>
      </c>
    </row>
    <row r="4" spans="1:33" hidden="1" x14ac:dyDescent="0.25">
      <c r="A4" s="17">
        <f>'All Tandem Adjustments Source'!A5</f>
        <v>11</v>
      </c>
      <c r="B4" s="53" t="str">
        <f>IF('All Tandem Adjustments Source'!B5&lt;1/24,TEXT('All Tandem Adjustments Source'!B5,"M:SS"),TEXT('All Tandem Adjustments Source'!B5,"H:MM:SS"))</f>
        <v>5:18</v>
      </c>
      <c r="C4" s="53"/>
      <c r="D4" s="53"/>
      <c r="E4" s="53"/>
      <c r="F4" s="53"/>
      <c r="G4" s="53"/>
      <c r="H4" s="54"/>
      <c r="I4" s="54"/>
      <c r="J4" s="57" t="str">
        <f>IF('All Tandem Adjustments Source'!C5&lt;1/24,TEXT('All Tandem Adjustments Source'!C5,"M:SS"),TEXT('All Tandem Adjustments Source'!C5,"H:MM:SS"))</f>
        <v>7:05</v>
      </c>
      <c r="K4" s="57"/>
      <c r="L4" s="57"/>
      <c r="M4" s="57"/>
      <c r="N4" s="57"/>
      <c r="O4" s="57"/>
      <c r="P4" s="58"/>
      <c r="Q4" s="58"/>
      <c r="R4" s="50" t="str">
        <f>IF('All Tandem Adjustments Source'!D5&lt;1/24,TEXT('All Tandem Adjustments Source'!D5,"M:SS"),TEXT('All Tandem Adjustments Source'!D5,"H:MM:SS"))</f>
        <v>6:43</v>
      </c>
      <c r="S4" s="50"/>
      <c r="T4" s="50"/>
      <c r="U4" s="50"/>
      <c r="V4" s="50"/>
      <c r="W4" s="50"/>
      <c r="X4" s="51"/>
      <c r="Y4" s="51"/>
      <c r="Z4" s="55" t="str">
        <f>IF('All Tandem Adjustments Source'!E5&lt;1/24,TEXT('All Tandem Adjustments Source'!E5,"M:SS"),TEXT('All Tandem Adjustments Source'!E5,"H:MM:SS"))</f>
        <v>8:41</v>
      </c>
      <c r="AA4" s="55"/>
      <c r="AB4" s="55"/>
      <c r="AC4" s="55"/>
      <c r="AD4" s="55"/>
      <c r="AE4" s="55"/>
      <c r="AF4" s="56"/>
      <c r="AG4" s="56"/>
    </row>
    <row r="5" spans="1:33" hidden="1" x14ac:dyDescent="0.25">
      <c r="A5" s="17">
        <f>'All Tandem Adjustments Source'!A6</f>
        <v>12</v>
      </c>
      <c r="B5" s="53" t="str">
        <f>IF('All Tandem Adjustments Source'!B6&lt;1/24,TEXT('All Tandem Adjustments Source'!B6,"M:SS"),TEXT('All Tandem Adjustments Source'!B6,"H:MM:SS"))</f>
        <v>3:00</v>
      </c>
      <c r="C5" s="53" t="str">
        <f>IF('All Tandem Adjustments Source'!F6&lt;1/24,TEXT('All Tandem Adjustments Source'!F6,"M:SS"),TEXT('All Tandem Adjustments Source'!F6,"H:MM:SS"))</f>
        <v>4:43</v>
      </c>
      <c r="D5" s="53" t="str">
        <f>IF('All Tandem Adjustments Source'!J6&lt;1/24,TEXT('All Tandem Adjustments Source'!J6,"M:SS"),TEXT('All Tandem Adjustments Source'!J6,"H:MM:SS"))</f>
        <v>8:37</v>
      </c>
      <c r="E5" s="53" t="str">
        <f>IF('All Tandem Adjustments Source'!N6&lt;1/24,TEXT('All Tandem Adjustments Source'!N6,"M:SS"),TEXT('All Tandem Adjustments Source'!N6,"H:MM:SS"))</f>
        <v>10:51</v>
      </c>
      <c r="F5" s="53" t="str">
        <f>IF('All Tandem Adjustments Source'!R6&lt;1/24,TEXT('All Tandem Adjustments Source'!R6,"M:SS"),TEXT('All Tandem Adjustments Source'!R6,"H:MM:SS"))</f>
        <v>22:17</v>
      </c>
      <c r="G5" s="53" t="str">
        <f>IF('All Tandem Adjustments Source'!V6&lt;1/24,TEXT('All Tandem Adjustments Source'!V6,"M:SS"),TEXT('All Tandem Adjustments Source'!V6,"H:MM:SS"))</f>
        <v>1:32:59</v>
      </c>
      <c r="H5" s="54">
        <f>'All Tandem Adjustments Source'!Z6</f>
        <v>35.599201388888886</v>
      </c>
      <c r="I5" s="54">
        <f>'All Tandem Adjustments Source'!AD6</f>
        <v>47.397997685185182</v>
      </c>
      <c r="J5" s="57" t="str">
        <f>IF('All Tandem Adjustments Source'!C6&lt;1/24,TEXT('All Tandem Adjustments Source'!C6,"M:SS"),TEXT('All Tandem Adjustments Source'!C6,"H:MM:SS"))</f>
        <v>4:33</v>
      </c>
      <c r="K5" s="57" t="str">
        <f>IF('All Tandem Adjustments Source'!G6&lt;1/24,TEXT('All Tandem Adjustments Source'!G6,"M:SS"),TEXT('All Tandem Adjustments Source'!G6,"H:MM:SS"))</f>
        <v>7:04</v>
      </c>
      <c r="L5" s="57" t="str">
        <f>IF('All Tandem Adjustments Source'!K6&lt;1/24,TEXT('All Tandem Adjustments Source'!K6,"M:SS"),TEXT('All Tandem Adjustments Source'!K6,"H:MM:SS"))</f>
        <v>12:38</v>
      </c>
      <c r="M5" s="57" t="str">
        <f>IF('All Tandem Adjustments Source'!O6&lt;1/24,TEXT('All Tandem Adjustments Source'!O6,"M:SS"),TEXT('All Tandem Adjustments Source'!O6,"H:MM:SS"))</f>
        <v>15:44</v>
      </c>
      <c r="N5" s="57" t="str">
        <f>IF('All Tandem Adjustments Source'!S6&lt;1/24,TEXT('All Tandem Adjustments Source'!S6,"M:SS"),TEXT('All Tandem Adjustments Source'!S6,"H:MM:SS"))</f>
        <v>30:59</v>
      </c>
      <c r="O5" s="57" t="str">
        <f>IF('All Tandem Adjustments Source'!W6&lt;1/24,TEXT('All Tandem Adjustments Source'!W6,"M:SS"),TEXT('All Tandem Adjustments Source'!W6,"H:MM:SS"))</f>
        <v>1:56:12</v>
      </c>
      <c r="P5" s="58">
        <f>'All Tandem Adjustments Source'!AA6</f>
        <v>47.403194444444445</v>
      </c>
      <c r="Q5" s="58">
        <f>'All Tandem Adjustments Source'!AE6</f>
        <v>65.556400462962969</v>
      </c>
      <c r="R5" s="50" t="str">
        <f>IF('All Tandem Adjustments Source'!D6&lt;1/24,TEXT('All Tandem Adjustments Source'!D6,"M:SS"),TEXT('All Tandem Adjustments Source'!D6,"H:MM:SS"))</f>
        <v>4:12</v>
      </c>
      <c r="S5" s="50" t="str">
        <f>IF('All Tandem Adjustments Source'!H6&lt;1/24,TEXT('All Tandem Adjustments Source'!H6,"M:SS"),TEXT('All Tandem Adjustments Source'!H6,"H:MM:SS"))</f>
        <v>6:33</v>
      </c>
      <c r="T5" s="50" t="str">
        <f>IF('All Tandem Adjustments Source'!L6&lt;1/24,TEXT('All Tandem Adjustments Source'!L6,"M:SS"),TEXT('All Tandem Adjustments Source'!L6,"H:MM:SS"))</f>
        <v>11:44</v>
      </c>
      <c r="U5" s="50" t="str">
        <f>IF('All Tandem Adjustments Source'!P6&lt;1/24,TEXT('All Tandem Adjustments Source'!P6,"M:SS"),TEXT('All Tandem Adjustments Source'!P6,"H:MM:SS"))</f>
        <v>14:39</v>
      </c>
      <c r="V5" s="50" t="str">
        <f>IF('All Tandem Adjustments Source'!T6&lt;1/24,TEXT('All Tandem Adjustments Source'!T6,"M:SS"),TEXT('All Tandem Adjustments Source'!T6,"H:MM:SS"))</f>
        <v>29:05</v>
      </c>
      <c r="W5" s="50" t="str">
        <f>IF('All Tandem Adjustments Source'!X6&lt;1/24,TEXT('All Tandem Adjustments Source'!X6,"M:SS"),TEXT('All Tandem Adjustments Source'!X6,"H:MM:SS"))</f>
        <v>1:51:32</v>
      </c>
      <c r="X5" s="51">
        <f>'All Tandem Adjustments Source'!AB6</f>
        <v>44.470405092592593</v>
      </c>
      <c r="Y5" s="51">
        <f>'All Tandem Adjustments Source'!AF6</f>
        <v>61.183194444444446</v>
      </c>
      <c r="Z5" s="55" t="str">
        <f>IF('All Tandem Adjustments Source'!E6&lt;1/24,TEXT('All Tandem Adjustments Source'!E6,"M:SS"),TEXT('All Tandem Adjustments Source'!E6,"H:MM:SS"))</f>
        <v>5:54</v>
      </c>
      <c r="AA5" s="55" t="str">
        <f>IF('All Tandem Adjustments Source'!I6&lt;1/24,TEXT('All Tandem Adjustments Source'!I6,"M:SS"),TEXT('All Tandem Adjustments Source'!I6,"H:MM:SS"))</f>
        <v>9:06</v>
      </c>
      <c r="AB5" s="55" t="str">
        <f>IF('All Tandem Adjustments Source'!M6&lt;1/24,TEXT('All Tandem Adjustments Source'!M6,"M:SS"),TEXT('All Tandem Adjustments Source'!M6,"H:MM:SS"))</f>
        <v>16:08</v>
      </c>
      <c r="AC5" s="55" t="str">
        <f>IF('All Tandem Adjustments Source'!Q6&lt;1/24,TEXT('All Tandem Adjustments Source'!Q6,"M:SS"),TEXT('All Tandem Adjustments Source'!Q6,"H:MM:SS"))</f>
        <v>20:00</v>
      </c>
      <c r="AD5" s="55" t="str">
        <f>IF('All Tandem Adjustments Source'!U6&lt;1/24,TEXT('All Tandem Adjustments Source'!U6,"M:SS"),TEXT('All Tandem Adjustments Source'!U6,"H:MM:SS"))</f>
        <v>38:36</v>
      </c>
      <c r="AE5" s="55" t="str">
        <f>IF('All Tandem Adjustments Source'!Y6&lt;1/24,TEXT('All Tandem Adjustments Source'!Y6,"M:SS"),TEXT('All Tandem Adjustments Source'!Y6,"H:MM:SS"))</f>
        <v>2:16:59</v>
      </c>
      <c r="AF5" s="56">
        <f>'All Tandem Adjustments Source'!AC6</f>
        <v>55.473599537037039</v>
      </c>
      <c r="AG5" s="56">
        <f>'All Tandem Adjustments Source'!AG6</f>
        <v>78.577199074074073</v>
      </c>
    </row>
    <row r="6" spans="1:33" hidden="1" x14ac:dyDescent="0.25">
      <c r="A6" s="17">
        <f>'All Tandem Adjustments Source'!A7</f>
        <v>13</v>
      </c>
      <c r="B6" s="53" t="str">
        <f>IF('All Tandem Adjustments Source'!B7&lt;1/24,TEXT('All Tandem Adjustments Source'!B7,"M:SS"),TEXT('All Tandem Adjustments Source'!B7,"H:MM:SS"))</f>
        <v>1:48</v>
      </c>
      <c r="C6" s="53" t="str">
        <f>IF('All Tandem Adjustments Source'!F7&lt;1/24,TEXT('All Tandem Adjustments Source'!F7,"M:SS"),TEXT('All Tandem Adjustments Source'!F7,"H:MM:SS"))</f>
        <v>2:49</v>
      </c>
      <c r="D6" s="53" t="str">
        <f>IF('All Tandem Adjustments Source'!J7&lt;1/24,TEXT('All Tandem Adjustments Source'!J7,"M:SS"),TEXT('All Tandem Adjustments Source'!J7,"H:MM:SS"))</f>
        <v>5:05</v>
      </c>
      <c r="E6" s="53" t="str">
        <f>IF('All Tandem Adjustments Source'!N7&lt;1/24,TEXT('All Tandem Adjustments Source'!N7,"M:SS"),TEXT('All Tandem Adjustments Source'!N7,"H:MM:SS"))</f>
        <v>6:22</v>
      </c>
      <c r="F6" s="53" t="str">
        <f>IF('All Tandem Adjustments Source'!R7&lt;1/24,TEXT('All Tandem Adjustments Source'!R7,"M:SS"),TEXT('All Tandem Adjustments Source'!R7,"H:MM:SS"))</f>
        <v>12:41</v>
      </c>
      <c r="G6" s="53" t="str">
        <f>IF('All Tandem Adjustments Source'!V7&lt;1/24,TEXT('All Tandem Adjustments Source'!V7,"M:SS"),TEXT('All Tandem Adjustments Source'!V7,"H:MM:SS"))</f>
        <v>45:15</v>
      </c>
      <c r="H6" s="54">
        <f>'All Tandem Adjustments Source'!Z7</f>
        <v>24.237199074074073</v>
      </c>
      <c r="I6" s="54">
        <f>'All Tandem Adjustments Source'!AD7</f>
        <v>32.734004629629631</v>
      </c>
      <c r="J6" s="57" t="str">
        <f>IF('All Tandem Adjustments Source'!C7&lt;1/24,TEXT('All Tandem Adjustments Source'!C7,"M:SS"),TEXT('All Tandem Adjustments Source'!C7,"H:MM:SS"))</f>
        <v>3:13</v>
      </c>
      <c r="K6" s="57" t="str">
        <f>IF('All Tandem Adjustments Source'!G7&lt;1/24,TEXT('All Tandem Adjustments Source'!G7,"M:SS"),TEXT('All Tandem Adjustments Source'!G7,"H:MM:SS"))</f>
        <v>4:57</v>
      </c>
      <c r="L6" s="57" t="str">
        <f>IF('All Tandem Adjustments Source'!K7&lt;1/24,TEXT('All Tandem Adjustments Source'!K7,"M:SS"),TEXT('All Tandem Adjustments Source'!K7,"H:MM:SS"))</f>
        <v>8:42</v>
      </c>
      <c r="M6" s="57" t="str">
        <f>IF('All Tandem Adjustments Source'!O7&lt;1/24,TEXT('All Tandem Adjustments Source'!O7,"M:SS"),TEXT('All Tandem Adjustments Source'!O7,"H:MM:SS"))</f>
        <v>10:45</v>
      </c>
      <c r="N6" s="57" t="str">
        <f>IF('All Tandem Adjustments Source'!S7&lt;1/24,TEXT('All Tandem Adjustments Source'!S7,"M:SS"),TEXT('All Tandem Adjustments Source'!S7,"H:MM:SS"))</f>
        <v>20:19</v>
      </c>
      <c r="O6" s="57" t="str">
        <f>IF('All Tandem Adjustments Source'!W7&lt;1/24,TEXT('All Tandem Adjustments Source'!W7,"M:SS"),TEXT('All Tandem Adjustments Source'!W7,"H:MM:SS"))</f>
        <v>1:03:10</v>
      </c>
      <c r="P6" s="58">
        <f>'All Tandem Adjustments Source'!AA7</f>
        <v>36.685995370370371</v>
      </c>
      <c r="Q6" s="58">
        <f>'All Tandem Adjustments Source'!AE7</f>
        <v>51.256400462962965</v>
      </c>
      <c r="R6" s="50" t="str">
        <f>IF('All Tandem Adjustments Source'!D7&lt;1/24,TEXT('All Tandem Adjustments Source'!D7,"M:SS"),TEXT('All Tandem Adjustments Source'!D7,"H:MM:SS"))</f>
        <v>2:53</v>
      </c>
      <c r="S6" s="50" t="str">
        <f>IF('All Tandem Adjustments Source'!H7&lt;1/24,TEXT('All Tandem Adjustments Source'!H7,"M:SS"),TEXT('All Tandem Adjustments Source'!H7,"H:MM:SS"))</f>
        <v>4:27</v>
      </c>
      <c r="T6" s="50" t="str">
        <f>IF('All Tandem Adjustments Source'!L7&lt;1/24,TEXT('All Tandem Adjustments Source'!L7,"M:SS"),TEXT('All Tandem Adjustments Source'!L7,"H:MM:SS"))</f>
        <v>7:52</v>
      </c>
      <c r="U6" s="50" t="str">
        <f>IF('All Tandem Adjustments Source'!P7&lt;1/24,TEXT('All Tandem Adjustments Source'!P7,"M:SS"),TEXT('All Tandem Adjustments Source'!P7,"H:MM:SS"))</f>
        <v>9:45</v>
      </c>
      <c r="V6" s="50" t="str">
        <f>IF('All Tandem Adjustments Source'!T7&lt;1/24,TEXT('All Tandem Adjustments Source'!T7,"M:SS"),TEXT('All Tandem Adjustments Source'!T7,"H:MM:SS"))</f>
        <v>18:35</v>
      </c>
      <c r="W6" s="50" t="str">
        <f>IF('All Tandem Adjustments Source'!X7&lt;1/24,TEXT('All Tandem Adjustments Source'!X7,"M:SS"),TEXT('All Tandem Adjustments Source'!X7,"H:MM:SS"))</f>
        <v>59:15</v>
      </c>
      <c r="X6" s="51">
        <f>'All Tandem Adjustments Source'!AB7</f>
        <v>33.67</v>
      </c>
      <c r="Y6" s="51">
        <f>'All Tandem Adjustments Source'!AF7</f>
        <v>46.836400462962963</v>
      </c>
      <c r="Z6" s="55" t="str">
        <f>IF('All Tandem Adjustments Source'!E7&lt;1/24,TEXT('All Tandem Adjustments Source'!E7,"M:SS"),TEXT('All Tandem Adjustments Source'!E7,"H:MM:SS"))</f>
        <v>4:26</v>
      </c>
      <c r="AA6" s="55" t="str">
        <f>IF('All Tandem Adjustments Source'!I7&lt;1/24,TEXT('All Tandem Adjustments Source'!I7,"M:SS"),TEXT('All Tandem Adjustments Source'!I7,"H:MM:SS"))</f>
        <v>6:48</v>
      </c>
      <c r="AB6" s="55" t="str">
        <f>IF('All Tandem Adjustments Source'!M7&lt;1/24,TEXT('All Tandem Adjustments Source'!M7,"M:SS"),TEXT('All Tandem Adjustments Source'!M7,"H:MM:SS"))</f>
        <v>11:50</v>
      </c>
      <c r="AC6" s="55" t="str">
        <f>IF('All Tandem Adjustments Source'!Q7&lt;1/24,TEXT('All Tandem Adjustments Source'!Q7,"M:SS"),TEXT('All Tandem Adjustments Source'!Q7,"H:MM:SS"))</f>
        <v>14:32</v>
      </c>
      <c r="AD6" s="55" t="str">
        <f>IF('All Tandem Adjustments Source'!U7&lt;1/24,TEXT('All Tandem Adjustments Source'!U7,"M:SS"),TEXT('All Tandem Adjustments Source'!U7,"H:MM:SS"))</f>
        <v>26:56</v>
      </c>
      <c r="AE6" s="55" t="str">
        <f>IF('All Tandem Adjustments Source'!Y7&lt;1/24,TEXT('All Tandem Adjustments Source'!Y7,"M:SS"),TEXT('All Tandem Adjustments Source'!Y7,"H:MM:SS"))</f>
        <v>1:18:53</v>
      </c>
      <c r="AF6" s="56">
        <f>'All Tandem Adjustments Source'!AC7</f>
        <v>45.333599537037038</v>
      </c>
      <c r="AG6" s="56">
        <f>'All Tandem Adjustments Source'!AG7</f>
        <v>64.641203703703709</v>
      </c>
    </row>
    <row r="7" spans="1:33" hidden="1" x14ac:dyDescent="0.25">
      <c r="A7" s="17">
        <f>'All Tandem Adjustments Source'!A8</f>
        <v>14</v>
      </c>
      <c r="B7" s="53" t="str">
        <f>IF('All Tandem Adjustments Source'!B8&lt;1/24,TEXT('All Tandem Adjustments Source'!B8,"M:SS"),TEXT('All Tandem Adjustments Source'!B8,"H:MM:SS"))</f>
        <v>1:04</v>
      </c>
      <c r="C7" s="53" t="str">
        <f>IF('All Tandem Adjustments Source'!F8&lt;1/24,TEXT('All Tandem Adjustments Source'!F8,"M:SS"),TEXT('All Tandem Adjustments Source'!F8,"H:MM:SS"))</f>
        <v>1:40</v>
      </c>
      <c r="D7" s="53" t="str">
        <f>IF('All Tandem Adjustments Source'!J8&lt;1/24,TEXT('All Tandem Adjustments Source'!J8,"M:SS"),TEXT('All Tandem Adjustments Source'!J8,"H:MM:SS"))</f>
        <v>3:00</v>
      </c>
      <c r="E7" s="53" t="str">
        <f>IF('All Tandem Adjustments Source'!N8&lt;1/24,TEXT('All Tandem Adjustments Source'!N8,"M:SS"),TEXT('All Tandem Adjustments Source'!N8,"H:MM:SS"))</f>
        <v>3:45</v>
      </c>
      <c r="F7" s="53" t="str">
        <f>IF('All Tandem Adjustments Source'!R8&lt;1/24,TEXT('All Tandem Adjustments Source'!R8,"M:SS"),TEXT('All Tandem Adjustments Source'!R8,"H:MM:SS"))</f>
        <v>7:22</v>
      </c>
      <c r="G7" s="53" t="str">
        <f>IF('All Tandem Adjustments Source'!V8&lt;1/24,TEXT('All Tandem Adjustments Source'!V8,"M:SS"),TEXT('All Tandem Adjustments Source'!V8,"H:MM:SS"))</f>
        <v>24:31</v>
      </c>
      <c r="H7" s="54">
        <f>'All Tandem Adjustments Source'!Z8</f>
        <v>15.719594907407407</v>
      </c>
      <c r="I7" s="54">
        <f>'All Tandem Adjustments Source'!AD8</f>
        <v>21.45</v>
      </c>
      <c r="J7" s="57" t="str">
        <f>IF('All Tandem Adjustments Source'!C8&lt;1/24,TEXT('All Tandem Adjustments Source'!C8,"M:SS"),TEXT('All Tandem Adjustments Source'!C8,"H:MM:SS"))</f>
        <v>2:24</v>
      </c>
      <c r="K7" s="57" t="str">
        <f>IF('All Tandem Adjustments Source'!G8&lt;1/24,TEXT('All Tandem Adjustments Source'!G8,"M:SS"),TEXT('All Tandem Adjustments Source'!G8,"H:MM:SS"))</f>
        <v>3:41</v>
      </c>
      <c r="L7" s="57" t="str">
        <f>IF('All Tandem Adjustments Source'!K8&lt;1/24,TEXT('All Tandem Adjustments Source'!K8,"M:SS"),TEXT('All Tandem Adjustments Source'!K8,"H:MM:SS"))</f>
        <v>6:24</v>
      </c>
      <c r="M7" s="57" t="str">
        <f>IF('All Tandem Adjustments Source'!O8&lt;1/24,TEXT('All Tandem Adjustments Source'!O8,"M:SS"),TEXT('All Tandem Adjustments Source'!O8,"H:MM:SS"))</f>
        <v>7:51</v>
      </c>
      <c r="N7" s="57" t="str">
        <f>IF('All Tandem Adjustments Source'!S8&lt;1/24,TEXT('All Tandem Adjustments Source'!S8,"M:SS"),TEXT('All Tandem Adjustments Source'!S8,"H:MM:SS"))</f>
        <v>14:24</v>
      </c>
      <c r="O7" s="57" t="str">
        <f>IF('All Tandem Adjustments Source'!W8&lt;1/24,TEXT('All Tandem Adjustments Source'!W8,"M:SS"),TEXT('All Tandem Adjustments Source'!W8,"H:MM:SS"))</f>
        <v>40:08</v>
      </c>
      <c r="P7" s="58">
        <f>'All Tandem Adjustments Source'!AA8</f>
        <v>28.693599537037038</v>
      </c>
      <c r="Q7" s="58">
        <f>'All Tandem Adjustments Source'!AE8</f>
        <v>40.294803240740741</v>
      </c>
      <c r="R7" s="50" t="str">
        <f>IF('All Tandem Adjustments Source'!D8&lt;1/24,TEXT('All Tandem Adjustments Source'!D8,"M:SS"),TEXT('All Tandem Adjustments Source'!D8,"H:MM:SS"))</f>
        <v>2:05</v>
      </c>
      <c r="S7" s="50" t="str">
        <f>IF('All Tandem Adjustments Source'!H8&lt;1/24,TEXT('All Tandem Adjustments Source'!H8,"M:SS"),TEXT('All Tandem Adjustments Source'!H8,"H:MM:SS"))</f>
        <v>3:12</v>
      </c>
      <c r="T7" s="50" t="str">
        <f>IF('All Tandem Adjustments Source'!L8&lt;1/24,TEXT('All Tandem Adjustments Source'!L8,"M:SS"),TEXT('All Tandem Adjustments Source'!L8,"H:MM:SS"))</f>
        <v>5:36</v>
      </c>
      <c r="U7" s="50" t="str">
        <f>IF('All Tandem Adjustments Source'!P8&lt;1/24,TEXT('All Tandem Adjustments Source'!P8,"M:SS"),TEXT('All Tandem Adjustments Source'!P8,"H:MM:SS"))</f>
        <v>6:53</v>
      </c>
      <c r="V7" s="50" t="str">
        <f>IF('All Tandem Adjustments Source'!T8&lt;1/24,TEXT('All Tandem Adjustments Source'!T8,"M:SS"),TEXT('All Tandem Adjustments Source'!T8,"H:MM:SS"))</f>
        <v>12:44</v>
      </c>
      <c r="W7" s="50" t="str">
        <f>IF('All Tandem Adjustments Source'!X8&lt;1/24,TEXT('All Tandem Adjustments Source'!X8,"M:SS"),TEXT('All Tandem Adjustments Source'!X8,"H:MM:SS"))</f>
        <v>36:32</v>
      </c>
      <c r="X7" s="51">
        <f>'All Tandem Adjustments Source'!AB8</f>
        <v>25.599594907407408</v>
      </c>
      <c r="Y7" s="51">
        <f>'All Tandem Adjustments Source'!AF8</f>
        <v>35.827997685185188</v>
      </c>
      <c r="Z7" s="55" t="str">
        <f>IF('All Tandem Adjustments Source'!E8&lt;1/24,TEXT('All Tandem Adjustments Source'!E8,"M:SS"),TEXT('All Tandem Adjustments Source'!E8,"H:MM:SS"))</f>
        <v>3:33</v>
      </c>
      <c r="AA7" s="55" t="str">
        <f>IF('All Tandem Adjustments Source'!I8&lt;1/24,TEXT('All Tandem Adjustments Source'!I8,"M:SS"),TEXT('All Tandem Adjustments Source'!I8,"H:MM:SS"))</f>
        <v>5:24</v>
      </c>
      <c r="AB7" s="55" t="str">
        <f>IF('All Tandem Adjustments Source'!M8&lt;1/24,TEXT('All Tandem Adjustments Source'!M8,"M:SS"),TEXT('All Tandem Adjustments Source'!M8,"H:MM:SS"))</f>
        <v>9:18</v>
      </c>
      <c r="AC7" s="55" t="str">
        <f>IF('All Tandem Adjustments Source'!Q8&lt;1/24,TEXT('All Tandem Adjustments Source'!Q8,"M:SS"),TEXT('All Tandem Adjustments Source'!Q8,"H:MM:SS"))</f>
        <v>11:22</v>
      </c>
      <c r="AD7" s="55" t="str">
        <f>IF('All Tandem Adjustments Source'!U8&lt;1/24,TEXT('All Tandem Adjustments Source'!U8,"M:SS"),TEXT('All Tandem Adjustments Source'!U8,"H:MM:SS"))</f>
        <v>20:27</v>
      </c>
      <c r="AE7" s="55" t="str">
        <f>IF('All Tandem Adjustments Source'!Y8&lt;1/24,TEXT('All Tandem Adjustments Source'!Y8,"M:SS"),TEXT('All Tandem Adjustments Source'!Y8,"H:MM:SS"))</f>
        <v>53:38</v>
      </c>
      <c r="AF7" s="56">
        <f>'All Tandem Adjustments Source'!AC8</f>
        <v>37.798796296296295</v>
      </c>
      <c r="AG7" s="56">
        <f>'All Tandem Adjustments Source'!AG8</f>
        <v>53.986400462962962</v>
      </c>
    </row>
    <row r="8" spans="1:33" hidden="1" x14ac:dyDescent="0.25">
      <c r="A8" s="17">
        <f>'All Tandem Adjustments Source'!A9</f>
        <v>15</v>
      </c>
      <c r="B8" s="53" t="str">
        <f>IF('All Tandem Adjustments Source'!B9&lt;1/24,TEXT('All Tandem Adjustments Source'!B9,"M:SS"),TEXT('All Tandem Adjustments Source'!B9,"H:MM:SS"))</f>
        <v>0:36</v>
      </c>
      <c r="C8" s="53" t="str">
        <f>IF('All Tandem Adjustments Source'!F9&lt;1/24,TEXT('All Tandem Adjustments Source'!F9,"M:SS"),TEXT('All Tandem Adjustments Source'!F9,"H:MM:SS"))</f>
        <v>0:57</v>
      </c>
      <c r="D8" s="53" t="str">
        <f>IF('All Tandem Adjustments Source'!J9&lt;1/24,TEXT('All Tandem Adjustments Source'!J9,"M:SS"),TEXT('All Tandem Adjustments Source'!J9,"H:MM:SS"))</f>
        <v>1:42</v>
      </c>
      <c r="E8" s="53" t="str">
        <f>IF('All Tandem Adjustments Source'!N9&lt;1/24,TEXT('All Tandem Adjustments Source'!N9,"M:SS"),TEXT('All Tandem Adjustments Source'!N9,"H:MM:SS"))</f>
        <v>2:07</v>
      </c>
      <c r="F8" s="53" t="str">
        <f>IF('All Tandem Adjustments Source'!R9&lt;1/24,TEXT('All Tandem Adjustments Source'!R9,"M:SS"),TEXT('All Tandem Adjustments Source'!R9,"H:MM:SS"))</f>
        <v>4:07</v>
      </c>
      <c r="G8" s="53" t="str">
        <f>IF('All Tandem Adjustments Source'!V9&lt;1/24,TEXT('All Tandem Adjustments Source'!V9,"M:SS"),TEXT('All Tandem Adjustments Source'!V9,"H:MM:SS"))</f>
        <v>13:12</v>
      </c>
      <c r="H8" s="54">
        <f>'All Tandem Adjustments Source'!Z9</f>
        <v>9.443194444444444</v>
      </c>
      <c r="I8" s="54">
        <f>'All Tandem Adjustments Source'!AD9</f>
        <v>12.984398148148149</v>
      </c>
      <c r="J8" s="57" t="str">
        <f>IF('All Tandem Adjustments Source'!C9&lt;1/24,TEXT('All Tandem Adjustments Source'!C9,"M:SS"),TEXT('All Tandem Adjustments Source'!C9,"H:MM:SS"))</f>
        <v>1:53</v>
      </c>
      <c r="K8" s="57" t="str">
        <f>IF('All Tandem Adjustments Source'!G9&lt;1/24,TEXT('All Tandem Adjustments Source'!G9,"M:SS"),TEXT('All Tandem Adjustments Source'!G9,"H:MM:SS"))</f>
        <v>2:52</v>
      </c>
      <c r="L8" s="57" t="str">
        <f>IF('All Tandem Adjustments Source'!K9&lt;1/24,TEXT('All Tandem Adjustments Source'!K9,"M:SS"),TEXT('All Tandem Adjustments Source'!K9,"H:MM:SS"))</f>
        <v>4:57</v>
      </c>
      <c r="M8" s="57" t="str">
        <f>IF('All Tandem Adjustments Source'!O9&lt;1/24,TEXT('All Tandem Adjustments Source'!O9,"M:SS"),TEXT('All Tandem Adjustments Source'!O9,"H:MM:SS"))</f>
        <v>6:02</v>
      </c>
      <c r="N8" s="57" t="str">
        <f>IF('All Tandem Adjustments Source'!S9&lt;1/24,TEXT('All Tandem Adjustments Source'!S9,"M:SS"),TEXT('All Tandem Adjustments Source'!S9,"H:MM:SS"))</f>
        <v>10:47</v>
      </c>
      <c r="O8" s="57" t="str">
        <f>IF('All Tandem Adjustments Source'!W9&lt;1/24,TEXT('All Tandem Adjustments Source'!W9,"M:SS"),TEXT('All Tandem Adjustments Source'!W9,"H:MM:SS"))</f>
        <v>27:33</v>
      </c>
      <c r="P8" s="58">
        <f>'All Tandem Adjustments Source'!AA9</f>
        <v>22.817604166666666</v>
      </c>
      <c r="Q8" s="58">
        <f>'All Tandem Adjustments Source'!AE9</f>
        <v>32.089201388888888</v>
      </c>
      <c r="R8" s="50" t="str">
        <f>IF('All Tandem Adjustments Source'!D9&lt;1/24,TEXT('All Tandem Adjustments Source'!D9,"M:SS"),TEXT('All Tandem Adjustments Source'!D9,"H:MM:SS"))</f>
        <v>1:35</v>
      </c>
      <c r="S8" s="50" t="str">
        <f>IF('All Tandem Adjustments Source'!H9&lt;1/24,TEXT('All Tandem Adjustments Source'!H9,"M:SS"),TEXT('All Tandem Adjustments Source'!H9,"H:MM:SS"))</f>
        <v>2:25</v>
      </c>
      <c r="T8" s="50" t="str">
        <f>IF('All Tandem Adjustments Source'!L9&lt;1/24,TEXT('All Tandem Adjustments Source'!L9,"M:SS"),TEXT('All Tandem Adjustments Source'!L9,"H:MM:SS"))</f>
        <v>4:10</v>
      </c>
      <c r="U8" s="50" t="str">
        <f>IF('All Tandem Adjustments Source'!P9&lt;1/24,TEXT('All Tandem Adjustments Source'!P9,"M:SS"),TEXT('All Tandem Adjustments Source'!P9,"H:MM:SS"))</f>
        <v>5:05</v>
      </c>
      <c r="V8" s="50" t="str">
        <f>IF('All Tandem Adjustments Source'!T9&lt;1/24,TEXT('All Tandem Adjustments Source'!T9,"M:SS"),TEXT('All Tandem Adjustments Source'!T9,"H:MM:SS"))</f>
        <v>9:11</v>
      </c>
      <c r="W8" s="50" t="str">
        <f>IF('All Tandem Adjustments Source'!X9&lt;1/24,TEXT('All Tandem Adjustments Source'!X9,"M:SS"),TEXT('All Tandem Adjustments Source'!X9,"H:MM:SS"))</f>
        <v>24:08</v>
      </c>
      <c r="X8" s="51">
        <f>'All Tandem Adjustments Source'!AB9</f>
        <v>19.671597222222221</v>
      </c>
      <c r="Y8" s="51">
        <f>'All Tandem Adjustments Source'!AF9</f>
        <v>27.58079861111111</v>
      </c>
      <c r="Z8" s="55" t="str">
        <f>IF('All Tandem Adjustments Source'!E9&lt;1/24,TEXT('All Tandem Adjustments Source'!E9,"M:SS"),TEXT('All Tandem Adjustments Source'!E9,"H:MM:SS"))</f>
        <v>2:59</v>
      </c>
      <c r="AA8" s="55" t="str">
        <f>IF('All Tandem Adjustments Source'!I9&lt;1/24,TEXT('All Tandem Adjustments Source'!I9,"M:SS"),TEXT('All Tandem Adjustments Source'!I9,"H:MM:SS"))</f>
        <v>4:31</v>
      </c>
      <c r="AB8" s="55" t="str">
        <f>IF('All Tandem Adjustments Source'!M9&lt;1/24,TEXT('All Tandem Adjustments Source'!M9,"M:SS"),TEXT('All Tandem Adjustments Source'!M9,"H:MM:SS"))</f>
        <v>7:43</v>
      </c>
      <c r="AC8" s="55" t="str">
        <f>IF('All Tandem Adjustments Source'!Q9&lt;1/24,TEXT('All Tandem Adjustments Source'!Q9,"M:SS"),TEXT('All Tandem Adjustments Source'!Q9,"H:MM:SS"))</f>
        <v>9:22</v>
      </c>
      <c r="AD8" s="55" t="str">
        <f>IF('All Tandem Adjustments Source'!U9&lt;1/24,TEXT('All Tandem Adjustments Source'!U9,"M:SS"),TEXT('All Tandem Adjustments Source'!U9,"H:MM:SS"))</f>
        <v>16:29</v>
      </c>
      <c r="AE8" s="55" t="str">
        <f>IF('All Tandem Adjustments Source'!Y9&lt;1/24,TEXT('All Tandem Adjustments Source'!Y9,"M:SS"),TEXT('All Tandem Adjustments Source'!Y9,"H:MM:SS"))</f>
        <v>39:51</v>
      </c>
      <c r="AF8" s="56">
        <f>'All Tandem Adjustments Source'!AC9</f>
        <v>32.271203703703705</v>
      </c>
      <c r="AG8" s="56">
        <f>'All Tandem Adjustments Source'!AG9</f>
        <v>46.025196759259259</v>
      </c>
    </row>
    <row r="9" spans="1:33" hidden="1" x14ac:dyDescent="0.25">
      <c r="A9" s="17">
        <f>'All Tandem Adjustments Source'!A10</f>
        <v>16</v>
      </c>
      <c r="B9" s="53" t="str">
        <f>IF('All Tandem Adjustments Source'!B10&lt;1/24,TEXT('All Tandem Adjustments Source'!B10,"M:SS"),TEXT('All Tandem Adjustments Source'!B10,"H:MM:SS"))</f>
        <v>0:19</v>
      </c>
      <c r="C9" s="53" t="str">
        <f>IF('All Tandem Adjustments Source'!F10&lt;1/24,TEXT('All Tandem Adjustments Source'!F10,"M:SS"),TEXT('All Tandem Adjustments Source'!F10,"H:MM:SS"))</f>
        <v>0:29</v>
      </c>
      <c r="D9" s="53" t="str">
        <f>IF('All Tandem Adjustments Source'!J10&lt;1/24,TEXT('All Tandem Adjustments Source'!J10,"M:SS"),TEXT('All Tandem Adjustments Source'!J10,"H:MM:SS"))</f>
        <v>0:52</v>
      </c>
      <c r="E9" s="53" t="str">
        <f>IF('All Tandem Adjustments Source'!N10&lt;1/24,TEXT('All Tandem Adjustments Source'!N10,"M:SS"),TEXT('All Tandem Adjustments Source'!N10,"H:MM:SS"))</f>
        <v>1:04</v>
      </c>
      <c r="F9" s="53" t="str">
        <f>IF('All Tandem Adjustments Source'!R10&lt;1/24,TEXT('All Tandem Adjustments Source'!R10,"M:SS"),TEXT('All Tandem Adjustments Source'!R10,"H:MM:SS"))</f>
        <v>2:04</v>
      </c>
      <c r="G9" s="53" t="str">
        <f>IF('All Tandem Adjustments Source'!V10&lt;1/24,TEXT('All Tandem Adjustments Source'!V10,"M:SS"),TEXT('All Tandem Adjustments Source'!V10,"H:MM:SS"))</f>
        <v>6:31</v>
      </c>
      <c r="H9" s="54">
        <f>'All Tandem Adjustments Source'!Z10</f>
        <v>4.9971990740740742</v>
      </c>
      <c r="I9" s="54">
        <f>'All Tandem Adjustments Source'!AD10</f>
        <v>6.9004050925925924</v>
      </c>
      <c r="J9" s="57" t="str">
        <f>IF('All Tandem Adjustments Source'!C10&lt;1/24,TEXT('All Tandem Adjustments Source'!C10,"M:SS"),TEXT('All Tandem Adjustments Source'!C10,"H:MM:SS"))</f>
        <v>1:33</v>
      </c>
      <c r="K9" s="57" t="str">
        <f>IF('All Tandem Adjustments Source'!G10&lt;1/24,TEXT('All Tandem Adjustments Source'!G10,"M:SS"),TEXT('All Tandem Adjustments Source'!G10,"H:MM:SS"))</f>
        <v>2:21</v>
      </c>
      <c r="L9" s="57" t="str">
        <f>IF('All Tandem Adjustments Source'!K10&lt;1/24,TEXT('All Tandem Adjustments Source'!K10,"M:SS"),TEXT('All Tandem Adjustments Source'!K10,"H:MM:SS"))</f>
        <v>4:00</v>
      </c>
      <c r="M9" s="57" t="str">
        <f>IF('All Tandem Adjustments Source'!O10&lt;1/24,TEXT('All Tandem Adjustments Source'!O10,"M:SS"),TEXT('All Tandem Adjustments Source'!O10,"H:MM:SS"))</f>
        <v>4:52</v>
      </c>
      <c r="N9" s="57" t="str">
        <f>IF('All Tandem Adjustments Source'!S10&lt;1/24,TEXT('All Tandem Adjustments Source'!S10,"M:SS"),TEXT('All Tandem Adjustments Source'!S10,"H:MM:SS"))</f>
        <v>8:31</v>
      </c>
      <c r="O9" s="57" t="str">
        <f>IF('All Tandem Adjustments Source'!W10&lt;1/24,TEXT('All Tandem Adjustments Source'!W10,"M:SS"),TEXT('All Tandem Adjustments Source'!W10,"H:MM:SS"))</f>
        <v>20:07</v>
      </c>
      <c r="P9" s="58">
        <f>'All Tandem Adjustments Source'!AA10</f>
        <v>18.662800925925925</v>
      </c>
      <c r="Q9" s="58">
        <f>'All Tandem Adjustments Source'!AE10</f>
        <v>26.202800925925924</v>
      </c>
      <c r="R9" s="50" t="str">
        <f>IF('All Tandem Adjustments Source'!D10&lt;1/24,TEXT('All Tandem Adjustments Source'!D10,"M:SS"),TEXT('All Tandem Adjustments Source'!D10,"H:MM:SS"))</f>
        <v>1:15</v>
      </c>
      <c r="S9" s="50" t="str">
        <f>IF('All Tandem Adjustments Source'!H10&lt;1/24,TEXT('All Tandem Adjustments Source'!H10,"M:SS"),TEXT('All Tandem Adjustments Source'!H10,"H:MM:SS"))</f>
        <v>1:54</v>
      </c>
      <c r="T9" s="50" t="str">
        <f>IF('All Tandem Adjustments Source'!L10&lt;1/24,TEXT('All Tandem Adjustments Source'!L10,"M:SS"),TEXT('All Tandem Adjustments Source'!L10,"H:MM:SS"))</f>
        <v>3:14</v>
      </c>
      <c r="U9" s="50" t="str">
        <f>IF('All Tandem Adjustments Source'!P10&lt;1/24,TEXT('All Tandem Adjustments Source'!P10,"M:SS"),TEXT('All Tandem Adjustments Source'!P10,"H:MM:SS"))</f>
        <v>3:57</v>
      </c>
      <c r="V9" s="50" t="str">
        <f>IF('All Tandem Adjustments Source'!T10&lt;1/24,TEXT('All Tandem Adjustments Source'!T10,"M:SS"),TEXT('All Tandem Adjustments Source'!T10,"H:MM:SS"))</f>
        <v>6:57</v>
      </c>
      <c r="W9" s="50" t="str">
        <f>IF('All Tandem Adjustments Source'!X10&lt;1/24,TEXT('All Tandem Adjustments Source'!X10,"M:SS"),TEXT('All Tandem Adjustments Source'!X10,"H:MM:SS"))</f>
        <v>16:48</v>
      </c>
      <c r="X9" s="51">
        <f>'All Tandem Adjustments Source'!AB10</f>
        <v>15.475196759259259</v>
      </c>
      <c r="Y9" s="51">
        <f>'All Tandem Adjustments Source'!AF10</f>
        <v>21.668402777777779</v>
      </c>
      <c r="Z9" s="55" t="str">
        <f>IF('All Tandem Adjustments Source'!E10&lt;1/24,TEXT('All Tandem Adjustments Source'!E10,"M:SS"),TEXT('All Tandem Adjustments Source'!E10,"H:MM:SS"))</f>
        <v>2:36</v>
      </c>
      <c r="AA9" s="55" t="str">
        <f>IF('All Tandem Adjustments Source'!I10&lt;1/24,TEXT('All Tandem Adjustments Source'!I10,"M:SS"),TEXT('All Tandem Adjustments Source'!I10,"H:MM:SS"))</f>
        <v>3:57</v>
      </c>
      <c r="AB9" s="55" t="str">
        <f>IF('All Tandem Adjustments Source'!M10&lt;1/24,TEXT('All Tandem Adjustments Source'!M10,"M:SS"),TEXT('All Tandem Adjustments Source'!M10,"H:MM:SS"))</f>
        <v>6:41</v>
      </c>
      <c r="AC9" s="55" t="str">
        <f>IF('All Tandem Adjustments Source'!Q10&lt;1/24,TEXT('All Tandem Adjustments Source'!Q10,"M:SS"),TEXT('All Tandem Adjustments Source'!Q10,"H:MM:SS"))</f>
        <v>8:06</v>
      </c>
      <c r="AD9" s="55" t="str">
        <f>IF('All Tandem Adjustments Source'!U10&lt;1/24,TEXT('All Tandem Adjustments Source'!U10,"M:SS"),TEXT('All Tandem Adjustments Source'!U10,"H:MM:SS"))</f>
        <v>14:00</v>
      </c>
      <c r="AE9" s="55" t="str">
        <f>IF('All Tandem Adjustments Source'!Y10&lt;1/24,TEXT('All Tandem Adjustments Source'!Y10,"M:SS"),TEXT('All Tandem Adjustments Source'!Y10,"H:MM:SS"))</f>
        <v>31:43</v>
      </c>
      <c r="AF9" s="56">
        <f>'All Tandem Adjustments Source'!AC10</f>
        <v>28.365995370370371</v>
      </c>
      <c r="AG9" s="56">
        <f>'All Tandem Adjustments Source'!AG10</f>
        <v>40.325995370370372</v>
      </c>
    </row>
    <row r="10" spans="1:33" hidden="1" x14ac:dyDescent="0.25">
      <c r="A10" s="17">
        <f>'All Tandem Adjustments Source'!A11</f>
        <v>17</v>
      </c>
      <c r="B10" s="53" t="str">
        <f>IF('All Tandem Adjustments Source'!B11&lt;1/24,TEXT('All Tandem Adjustments Source'!B11,"M:SS"),TEXT('All Tandem Adjustments Source'!B11,"H:MM:SS"))</f>
        <v>0:07</v>
      </c>
      <c r="C10" s="53" t="str">
        <f>IF('All Tandem Adjustments Source'!F11&lt;1/24,TEXT('All Tandem Adjustments Source'!F11,"M:SS"),TEXT('All Tandem Adjustments Source'!F11,"H:MM:SS"))</f>
        <v>0:12</v>
      </c>
      <c r="D10" s="53" t="str">
        <f>IF('All Tandem Adjustments Source'!J11&lt;1/24,TEXT('All Tandem Adjustments Source'!J11,"M:SS"),TEXT('All Tandem Adjustments Source'!J11,"H:MM:SS"))</f>
        <v>0:21</v>
      </c>
      <c r="E10" s="53" t="str">
        <f>IF('All Tandem Adjustments Source'!N11&lt;1/24,TEXT('All Tandem Adjustments Source'!N11,"M:SS"),TEXT('All Tandem Adjustments Source'!N11,"H:MM:SS"))</f>
        <v>0:26</v>
      </c>
      <c r="F10" s="53" t="str">
        <f>IF('All Tandem Adjustments Source'!R11&lt;1/24,TEXT('All Tandem Adjustments Source'!R11,"M:SS"),TEXT('All Tandem Adjustments Source'!R11,"H:MM:SS"))</f>
        <v>0:50</v>
      </c>
      <c r="G10" s="53" t="str">
        <f>IF('All Tandem Adjustments Source'!V11&lt;1/24,TEXT('All Tandem Adjustments Source'!V11,"M:SS"),TEXT('All Tandem Adjustments Source'!V11,"H:MM:SS"))</f>
        <v>2:36</v>
      </c>
      <c r="H10" s="54">
        <f>'All Tandem Adjustments Source'!Z11</f>
        <v>2.0748032407407409</v>
      </c>
      <c r="I10" s="54">
        <f>'All Tandem Adjustments Source'!AD11</f>
        <v>2.8704050925925926</v>
      </c>
      <c r="J10" s="57" t="str">
        <f>IF('All Tandem Adjustments Source'!C11&lt;1/24,TEXT('All Tandem Adjustments Source'!C11,"M:SS"),TEXT('All Tandem Adjustments Source'!C11,"H:MM:SS"))</f>
        <v>1:21</v>
      </c>
      <c r="K10" s="57" t="str">
        <f>IF('All Tandem Adjustments Source'!G11&lt;1/24,TEXT('All Tandem Adjustments Source'!G11,"M:SS"),TEXT('All Tandem Adjustments Source'!G11,"H:MM:SS"))</f>
        <v>2:02</v>
      </c>
      <c r="L10" s="57" t="str">
        <f>IF('All Tandem Adjustments Source'!K11&lt;1/24,TEXT('All Tandem Adjustments Source'!K11,"M:SS"),TEXT('All Tandem Adjustments Source'!K11,"H:MM:SS"))</f>
        <v>3:26</v>
      </c>
      <c r="M10" s="57" t="str">
        <f>IF('All Tandem Adjustments Source'!O11&lt;1/24,TEXT('All Tandem Adjustments Source'!O11,"M:SS"),TEXT('All Tandem Adjustments Source'!O11,"H:MM:SS"))</f>
        <v>4:10</v>
      </c>
      <c r="N10" s="57" t="str">
        <f>IF('All Tandem Adjustments Source'!S11&lt;1/24,TEXT('All Tandem Adjustments Source'!S11,"M:SS"),TEXT('All Tandem Adjustments Source'!S11,"H:MM:SS"))</f>
        <v>7:09</v>
      </c>
      <c r="O10" s="57" t="str">
        <f>IF('All Tandem Adjustments Source'!W11&lt;1/24,TEXT('All Tandem Adjustments Source'!W11,"M:SS"),TEXT('All Tandem Adjustments Source'!W11,"H:MM:SS"))</f>
        <v>15:46</v>
      </c>
      <c r="P10" s="58">
        <f>'All Tandem Adjustments Source'!AA11</f>
        <v>15.932800925925926</v>
      </c>
      <c r="Q10" s="58">
        <f>'All Tandem Adjustments Source'!AE11</f>
        <v>22.307997685185185</v>
      </c>
      <c r="R10" s="50" t="str">
        <f>IF('All Tandem Adjustments Source'!D11&lt;1/24,TEXT('All Tandem Adjustments Source'!D11,"M:SS"),TEXT('All Tandem Adjustments Source'!D11,"H:MM:SS"))</f>
        <v>1:03</v>
      </c>
      <c r="S10" s="50" t="str">
        <f>IF('All Tandem Adjustments Source'!H11&lt;1/24,TEXT('All Tandem Adjustments Source'!H11,"M:SS"),TEXT('All Tandem Adjustments Source'!H11,"H:MM:SS"))</f>
        <v>1:35</v>
      </c>
      <c r="T10" s="50" t="str">
        <f>IF('All Tandem Adjustments Source'!L11&lt;1/24,TEXT('All Tandem Adjustments Source'!L11,"M:SS"),TEXT('All Tandem Adjustments Source'!L11,"H:MM:SS"))</f>
        <v>2:41</v>
      </c>
      <c r="U10" s="50" t="str">
        <f>IF('All Tandem Adjustments Source'!P11&lt;1/24,TEXT('All Tandem Adjustments Source'!P11,"M:SS"),TEXT('All Tandem Adjustments Source'!P11,"H:MM:SS"))</f>
        <v>3:15</v>
      </c>
      <c r="V10" s="50" t="str">
        <f>IF('All Tandem Adjustments Source'!T11&lt;1/24,TEXT('All Tandem Adjustments Source'!T11,"M:SS"),TEXT('All Tandem Adjustments Source'!T11,"H:MM:SS"))</f>
        <v>5:35</v>
      </c>
      <c r="W10" s="50" t="str">
        <f>IF('All Tandem Adjustments Source'!X11&lt;1/24,TEXT('All Tandem Adjustments Source'!X11,"M:SS"),TEXT('All Tandem Adjustments Source'!X11,"H:MM:SS"))</f>
        <v>12:31</v>
      </c>
      <c r="X10" s="51">
        <f>'All Tandem Adjustments Source'!AB11</f>
        <v>12.724398148148149</v>
      </c>
      <c r="Y10" s="51">
        <f>'All Tandem Adjustments Source'!AF11</f>
        <v>17.752800925925925</v>
      </c>
      <c r="Z10" s="55" t="str">
        <f>IF('All Tandem Adjustments Source'!E11&lt;1/24,TEXT('All Tandem Adjustments Source'!E11,"M:SS"),TEXT('All Tandem Adjustments Source'!E11,"H:MM:SS"))</f>
        <v>2:23</v>
      </c>
      <c r="AA10" s="55" t="str">
        <f>IF('All Tandem Adjustments Source'!I11&lt;1/24,TEXT('All Tandem Adjustments Source'!I11,"M:SS"),TEXT('All Tandem Adjustments Source'!I11,"H:MM:SS"))</f>
        <v>3:36</v>
      </c>
      <c r="AB10" s="55" t="str">
        <f>IF('All Tandem Adjustments Source'!M11&lt;1/24,TEXT('All Tandem Adjustments Source'!M11,"M:SS"),TEXT('All Tandem Adjustments Source'!M11,"H:MM:SS"))</f>
        <v>6:04</v>
      </c>
      <c r="AC10" s="55" t="str">
        <f>IF('All Tandem Adjustments Source'!Q11&lt;1/24,TEXT('All Tandem Adjustments Source'!Q11,"M:SS"),TEXT('All Tandem Adjustments Source'!Q11,"H:MM:SS"))</f>
        <v>7:19</v>
      </c>
      <c r="AD10" s="55" t="str">
        <f>IF('All Tandem Adjustments Source'!U11&lt;1/24,TEXT('All Tandem Adjustments Source'!U11,"M:SS"),TEXT('All Tandem Adjustments Source'!U11,"H:MM:SS"))</f>
        <v>12:30</v>
      </c>
      <c r="AE10" s="55" t="str">
        <f>IF('All Tandem Adjustments Source'!Y11&lt;1/24,TEXT('All Tandem Adjustments Source'!Y11,"M:SS"),TEXT('All Tandem Adjustments Source'!Y11,"H:MM:SS"))</f>
        <v>26:57</v>
      </c>
      <c r="AF10" s="56">
        <f>'All Tandem Adjustments Source'!AC11</f>
        <v>25.807604166666668</v>
      </c>
      <c r="AG10" s="56">
        <f>'All Tandem Adjustments Source'!AG11</f>
        <v>36.561203703703704</v>
      </c>
    </row>
    <row r="11" spans="1:33" hidden="1" x14ac:dyDescent="0.25">
      <c r="A11" s="17">
        <f>'All Tandem Adjustments Source'!A12</f>
        <v>18</v>
      </c>
      <c r="B11" s="53" t="str">
        <f>IF('All Tandem Adjustments Source'!B12&lt;1/24,TEXT('All Tandem Adjustments Source'!B12,"M:SS"),TEXT('All Tandem Adjustments Source'!B12,"H:MM:SS"))</f>
        <v>0:01</v>
      </c>
      <c r="C11" s="53" t="str">
        <f>IF('All Tandem Adjustments Source'!F12&lt;1/24,TEXT('All Tandem Adjustments Source'!F12,"M:SS"),TEXT('All Tandem Adjustments Source'!F12,"H:MM:SS"))</f>
        <v>0:02</v>
      </c>
      <c r="D11" s="53" t="str">
        <f>IF('All Tandem Adjustments Source'!J12&lt;1/24,TEXT('All Tandem Adjustments Source'!J12,"M:SS"),TEXT('All Tandem Adjustments Source'!J12,"H:MM:SS"))</f>
        <v>0:05</v>
      </c>
      <c r="E11" s="53" t="str">
        <f>IF('All Tandem Adjustments Source'!N12&lt;1/24,TEXT('All Tandem Adjustments Source'!N12,"M:SS"),TEXT('All Tandem Adjustments Source'!N12,"H:MM:SS"))</f>
        <v>0:06</v>
      </c>
      <c r="F11" s="53" t="str">
        <f>IF('All Tandem Adjustments Source'!R12&lt;1/24,TEXT('All Tandem Adjustments Source'!R12,"M:SS"),TEXT('All Tandem Adjustments Source'!R12,"H:MM:SS"))</f>
        <v>0:11</v>
      </c>
      <c r="G11" s="53" t="str">
        <f>IF('All Tandem Adjustments Source'!V12&lt;1/24,TEXT('All Tandem Adjustments Source'!V12,"M:SS"),TEXT('All Tandem Adjustments Source'!V12,"H:MM:SS"))</f>
        <v>0:34</v>
      </c>
      <c r="H11" s="54">
        <f>'All Tandem Adjustments Source'!Z12</f>
        <v>0.46280092592592592</v>
      </c>
      <c r="I11" s="54">
        <f>'All Tandem Adjustments Source'!AD12</f>
        <v>0.63959490740740743</v>
      </c>
      <c r="J11" s="57" t="str">
        <f>IF('All Tandem Adjustments Source'!C12&lt;1/24,TEXT('All Tandem Adjustments Source'!C12,"M:SS"),TEXT('All Tandem Adjustments Source'!C12,"H:MM:SS"))</f>
        <v>1:14</v>
      </c>
      <c r="K11" s="57" t="str">
        <f>IF('All Tandem Adjustments Source'!G12&lt;1/24,TEXT('All Tandem Adjustments Source'!G12,"M:SS"),TEXT('All Tandem Adjustments Source'!G12,"H:MM:SS"))</f>
        <v>1:52</v>
      </c>
      <c r="L11" s="57" t="str">
        <f>IF('All Tandem Adjustments Source'!K12&lt;1/24,TEXT('All Tandem Adjustments Source'!K12,"M:SS"),TEXT('All Tandem Adjustments Source'!K12,"H:MM:SS"))</f>
        <v>3:08</v>
      </c>
      <c r="M11" s="57" t="str">
        <f>IF('All Tandem Adjustments Source'!O12&lt;1/24,TEXT('All Tandem Adjustments Source'!O12,"M:SS"),TEXT('All Tandem Adjustments Source'!O12,"H:MM:SS"))</f>
        <v>3:47</v>
      </c>
      <c r="N11" s="57" t="str">
        <f>IF('All Tandem Adjustments Source'!S12&lt;1/24,TEXT('All Tandem Adjustments Source'!S12,"M:SS"),TEXT('All Tandem Adjustments Source'!S12,"H:MM:SS"))</f>
        <v>6:25</v>
      </c>
      <c r="O11" s="57" t="str">
        <f>IF('All Tandem Adjustments Source'!W12&lt;1/24,TEXT('All Tandem Adjustments Source'!W12,"M:SS"),TEXT('All Tandem Adjustments Source'!W12,"H:MM:SS"))</f>
        <v>13:31</v>
      </c>
      <c r="P11" s="58">
        <f>'All Tandem Adjustments Source'!AA12</f>
        <v>14.435196759259259</v>
      </c>
      <c r="Q11" s="58">
        <f>'All Tandem Adjustments Source'!AE12</f>
        <v>20.149999999999999</v>
      </c>
      <c r="R11" s="50" t="str">
        <f>IF('All Tandem Adjustments Source'!D12&lt;1/24,TEXT('All Tandem Adjustments Source'!D12,"M:SS"),TEXT('All Tandem Adjustments Source'!D12,"H:MM:SS"))</f>
        <v>0:56</v>
      </c>
      <c r="S11" s="50" t="str">
        <f>IF('All Tandem Adjustments Source'!H12&lt;1/24,TEXT('All Tandem Adjustments Source'!H12,"M:SS"),TEXT('All Tandem Adjustments Source'!H12,"H:MM:SS"))</f>
        <v>1:25</v>
      </c>
      <c r="T11" s="50" t="str">
        <f>IF('All Tandem Adjustments Source'!L12&lt;1/24,TEXT('All Tandem Adjustments Source'!L12,"M:SS"),TEXT('All Tandem Adjustments Source'!L12,"H:MM:SS"))</f>
        <v>2:23</v>
      </c>
      <c r="U11" s="50" t="str">
        <f>IF('All Tandem Adjustments Source'!P12&lt;1/24,TEXT('All Tandem Adjustments Source'!P12,"M:SS"),TEXT('All Tandem Adjustments Source'!P12,"H:MM:SS"))</f>
        <v>2:52</v>
      </c>
      <c r="V11" s="50" t="str">
        <f>IF('All Tandem Adjustments Source'!T12&lt;1/24,TEXT('All Tandem Adjustments Source'!T12,"M:SS"),TEXT('All Tandem Adjustments Source'!T12,"H:MM:SS"))</f>
        <v>4:52</v>
      </c>
      <c r="W11" s="50" t="str">
        <f>IF('All Tandem Adjustments Source'!X12&lt;1/24,TEXT('All Tandem Adjustments Source'!X12,"M:SS"),TEXT('All Tandem Adjustments Source'!X12,"H:MM:SS"))</f>
        <v>10:18</v>
      </c>
      <c r="X11" s="51">
        <f>'All Tandem Adjustments Source'!AB12</f>
        <v>11.205995370370371</v>
      </c>
      <c r="Y11" s="51">
        <f>'All Tandem Adjustments Source'!AF12</f>
        <v>15.589594907407408</v>
      </c>
      <c r="Z11" s="55" t="str">
        <f>IF('All Tandem Adjustments Source'!E12&lt;1/24,TEXT('All Tandem Adjustments Source'!E12,"M:SS"),TEXT('All Tandem Adjustments Source'!E12,"H:MM:SS"))</f>
        <v>2:16</v>
      </c>
      <c r="AA11" s="55" t="str">
        <f>IF('All Tandem Adjustments Source'!I12&lt;1/24,TEXT('All Tandem Adjustments Source'!I12,"M:SS"),TEXT('All Tandem Adjustments Source'!I12,"H:MM:SS"))</f>
        <v>3:25</v>
      </c>
      <c r="AB11" s="55" t="str">
        <f>IF('All Tandem Adjustments Source'!M12&lt;1/24,TEXT('All Tandem Adjustments Source'!M12,"M:SS"),TEXT('All Tandem Adjustments Source'!M12,"H:MM:SS"))</f>
        <v>5:44</v>
      </c>
      <c r="AC11" s="55" t="str">
        <f>IF('All Tandem Adjustments Source'!Q12&lt;1/24,TEXT('All Tandem Adjustments Source'!Q12,"M:SS"),TEXT('All Tandem Adjustments Source'!Q12,"H:MM:SS"))</f>
        <v>6:54</v>
      </c>
      <c r="AD11" s="55" t="str">
        <f>IF('All Tandem Adjustments Source'!U12&lt;1/24,TEXT('All Tandem Adjustments Source'!U12,"M:SS"),TEXT('All Tandem Adjustments Source'!U12,"H:MM:SS"))</f>
        <v>11:42</v>
      </c>
      <c r="AE11" s="55" t="str">
        <f>IF('All Tandem Adjustments Source'!Y12&lt;1/24,TEXT('All Tandem Adjustments Source'!Y12,"M:SS"),TEXT('All Tandem Adjustments Source'!Y12,"H:MM:SS"))</f>
        <v>24:29</v>
      </c>
      <c r="AF11" s="56">
        <f>'All Tandem Adjustments Source'!AC12</f>
        <v>24.398402777777779</v>
      </c>
      <c r="AG11" s="56">
        <f>'All Tandem Adjustments Source'!AG12</f>
        <v>34.47599537037037</v>
      </c>
    </row>
    <row r="12" spans="1:33" hidden="1" x14ac:dyDescent="0.25">
      <c r="A12" s="17">
        <f>'All Tandem Adjustments Source'!A13</f>
        <v>19</v>
      </c>
      <c r="B12" s="53" t="str">
        <f>IF('All Tandem Adjustments Source'!B13&lt;1/24,TEXT('All Tandem Adjustments Source'!B13,"M:SS"),TEXT('All Tandem Adjustments Source'!B13,"H:MM:SS"))</f>
        <v>0:00</v>
      </c>
      <c r="C12" s="53" t="str">
        <f>IF('All Tandem Adjustments Source'!F13&lt;1/24,TEXT('All Tandem Adjustments Source'!F13,"M:SS"),TEXT('All Tandem Adjustments Source'!F13,"H:MM:SS"))</f>
        <v>0:00</v>
      </c>
      <c r="D12" s="53" t="str">
        <f>IF('All Tandem Adjustments Source'!J13&lt;1/24,TEXT('All Tandem Adjustments Source'!J13,"M:SS"),TEXT('All Tandem Adjustments Source'!J13,"H:MM:SS"))</f>
        <v>0:00</v>
      </c>
      <c r="E12" s="53" t="str">
        <f>IF('All Tandem Adjustments Source'!N13&lt;1/24,TEXT('All Tandem Adjustments Source'!N13,"M:SS"),TEXT('All Tandem Adjustments Source'!N13,"H:MM:SS"))</f>
        <v>0:00</v>
      </c>
      <c r="F12" s="53" t="str">
        <f>IF('All Tandem Adjustments Source'!R13&lt;1/24,TEXT('All Tandem Adjustments Source'!R13,"M:SS"),TEXT('All Tandem Adjustments Source'!R13,"H:MM:SS"))</f>
        <v>0:00</v>
      </c>
      <c r="G12" s="53" t="str">
        <f>IF('All Tandem Adjustments Source'!V13&lt;1/24,TEXT('All Tandem Adjustments Source'!V13,"M:SS"),TEXT('All Tandem Adjustments Source'!V13,"H:MM:SS"))</f>
        <v>0:00</v>
      </c>
      <c r="H12" s="54">
        <f>'All Tandem Adjustments Source'!Z13</f>
        <v>0</v>
      </c>
      <c r="I12" s="54">
        <f>'All Tandem Adjustments Source'!AD13</f>
        <v>0</v>
      </c>
      <c r="J12" s="57" t="str">
        <f>IF('All Tandem Adjustments Source'!C13&lt;1/24,TEXT('All Tandem Adjustments Source'!C13,"M:SS"),TEXT('All Tandem Adjustments Source'!C13,"H:MM:SS"))</f>
        <v>1:12</v>
      </c>
      <c r="K12" s="57" t="str">
        <f>IF('All Tandem Adjustments Source'!G13&lt;1/24,TEXT('All Tandem Adjustments Source'!G13,"M:SS"),TEXT('All Tandem Adjustments Source'!G13,"H:MM:SS"))</f>
        <v>1:49</v>
      </c>
      <c r="L12" s="57" t="str">
        <f>IF('All Tandem Adjustments Source'!K13&lt;1/24,TEXT('All Tandem Adjustments Source'!K13,"M:SS"),TEXT('All Tandem Adjustments Source'!K13,"H:MM:SS"))</f>
        <v>3:03</v>
      </c>
      <c r="M12" s="57" t="str">
        <f>IF('All Tandem Adjustments Source'!O13&lt;1/24,TEXT('All Tandem Adjustments Source'!O13,"M:SS"),TEXT('All Tandem Adjustments Source'!O13,"H:MM:SS"))</f>
        <v>3:41</v>
      </c>
      <c r="N12" s="57" t="str">
        <f>IF('All Tandem Adjustments Source'!S13&lt;1/24,TEXT('All Tandem Adjustments Source'!S13,"M:SS"),TEXT('All Tandem Adjustments Source'!S13,"H:MM:SS"))</f>
        <v>6:13</v>
      </c>
      <c r="O12" s="57" t="str">
        <f>IF('All Tandem Adjustments Source'!W13&lt;1/24,TEXT('All Tandem Adjustments Source'!W13,"M:SS"),TEXT('All Tandem Adjustments Source'!W13,"H:MM:SS"))</f>
        <v>12:53</v>
      </c>
      <c r="P12" s="58">
        <f>'All Tandem Adjustments Source'!AA13</f>
        <v>14.003599537037037</v>
      </c>
      <c r="Q12" s="58">
        <f>'All Tandem Adjustments Source'!AE13</f>
        <v>19.531203703703703</v>
      </c>
      <c r="R12" s="50" t="str">
        <f>IF('All Tandem Adjustments Source'!D13&lt;1/24,TEXT('All Tandem Adjustments Source'!D13,"M:SS"),TEXT('All Tandem Adjustments Source'!D13,"H:MM:SS"))</f>
        <v>0:54</v>
      </c>
      <c r="S12" s="50" t="str">
        <f>IF('All Tandem Adjustments Source'!H13&lt;1/24,TEXT('All Tandem Adjustments Source'!H13,"M:SS"),TEXT('All Tandem Adjustments Source'!H13,"H:MM:SS"))</f>
        <v>1:22</v>
      </c>
      <c r="T12" s="50" t="str">
        <f>IF('All Tandem Adjustments Source'!L13&lt;1/24,TEXT('All Tandem Adjustments Source'!L13,"M:SS"),TEXT('All Tandem Adjustments Source'!L13,"H:MM:SS"))</f>
        <v>2:18</v>
      </c>
      <c r="U12" s="50" t="str">
        <f>IF('All Tandem Adjustments Source'!P13&lt;1/24,TEXT('All Tandem Adjustments Source'!P13,"M:SS"),TEXT('All Tandem Adjustments Source'!P13,"H:MM:SS"))</f>
        <v>2:46</v>
      </c>
      <c r="V12" s="50" t="str">
        <f>IF('All Tandem Adjustments Source'!T13&lt;1/24,TEXT('All Tandem Adjustments Source'!T13,"M:SS"),TEXT('All Tandem Adjustments Source'!T13,"H:MM:SS"))</f>
        <v>4:40</v>
      </c>
      <c r="W12" s="50" t="str">
        <f>IF('All Tandem Adjustments Source'!X13&lt;1/24,TEXT('All Tandem Adjustments Source'!X13,"M:SS"),TEXT('All Tandem Adjustments Source'!X13,"H:MM:SS"))</f>
        <v>9:41</v>
      </c>
      <c r="X12" s="51">
        <f>'All Tandem Adjustments Source'!AB13</f>
        <v>10.774398148148148</v>
      </c>
      <c r="Y12" s="51">
        <f>'All Tandem Adjustments Source'!AF13</f>
        <v>14.965601851851853</v>
      </c>
      <c r="Z12" s="55" t="str">
        <f>IF('All Tandem Adjustments Source'!E13&lt;1/24,TEXT('All Tandem Adjustments Source'!E13,"M:SS"),TEXT('All Tandem Adjustments Source'!E13,"H:MM:SS"))</f>
        <v>2:14</v>
      </c>
      <c r="AA12" s="55" t="str">
        <f>IF('All Tandem Adjustments Source'!I13&lt;1/24,TEXT('All Tandem Adjustments Source'!I13,"M:SS"),TEXT('All Tandem Adjustments Source'!I13,"H:MM:SS"))</f>
        <v>3:22</v>
      </c>
      <c r="AB12" s="55" t="str">
        <f>IF('All Tandem Adjustments Source'!M13&lt;1/24,TEXT('All Tandem Adjustments Source'!M13,"M:SS"),TEXT('All Tandem Adjustments Source'!M13,"H:MM:SS"))</f>
        <v>5:38</v>
      </c>
      <c r="AC12" s="55" t="str">
        <f>IF('All Tandem Adjustments Source'!Q13&lt;1/24,TEXT('All Tandem Adjustments Source'!Q13,"M:SS"),TEXT('All Tandem Adjustments Source'!Q13,"H:MM:SS"))</f>
        <v>6:48</v>
      </c>
      <c r="AD12" s="55" t="str">
        <f>IF('All Tandem Adjustments Source'!U13&lt;1/24,TEXT('All Tandem Adjustments Source'!U13,"M:SS"),TEXT('All Tandem Adjustments Source'!U13,"H:MM:SS"))</f>
        <v>11:29</v>
      </c>
      <c r="AE12" s="55" t="str">
        <f>IF('All Tandem Adjustments Source'!Y13&lt;1/24,TEXT('All Tandem Adjustments Source'!Y13,"M:SS"),TEXT('All Tandem Adjustments Source'!Y13,"H:MM:SS"))</f>
        <v>23:48</v>
      </c>
      <c r="AF12" s="56">
        <f>'All Tandem Adjustments Source'!AC13</f>
        <v>23.997997685185187</v>
      </c>
      <c r="AG12" s="56">
        <f>'All Tandem Adjustments Source'!AG13</f>
        <v>33.877997685185186</v>
      </c>
    </row>
    <row r="13" spans="1:33" hidden="1" x14ac:dyDescent="0.25">
      <c r="A13" s="17">
        <f>'All Tandem Adjustments Source'!A14</f>
        <v>20</v>
      </c>
      <c r="B13" s="53" t="str">
        <f>IF('All Tandem Adjustments Source'!B14&lt;1/24,TEXT('All Tandem Adjustments Source'!B14,"M:SS"),TEXT('All Tandem Adjustments Source'!B14,"H:MM:SS"))</f>
        <v>0:00</v>
      </c>
      <c r="C13" s="53" t="str">
        <f>IF('All Tandem Adjustments Source'!F14&lt;1/24,TEXT('All Tandem Adjustments Source'!F14,"M:SS"),TEXT('All Tandem Adjustments Source'!F14,"H:MM:SS"))</f>
        <v>0:00</v>
      </c>
      <c r="D13" s="53" t="str">
        <f>IF('All Tandem Adjustments Source'!J14&lt;1/24,TEXT('All Tandem Adjustments Source'!J14,"M:SS"),TEXT('All Tandem Adjustments Source'!J14,"H:MM:SS"))</f>
        <v>0:00</v>
      </c>
      <c r="E13" s="53" t="str">
        <f>IF('All Tandem Adjustments Source'!N14&lt;1/24,TEXT('All Tandem Adjustments Source'!N14,"M:SS"),TEXT('All Tandem Adjustments Source'!N14,"H:MM:SS"))</f>
        <v>0:00</v>
      </c>
      <c r="F13" s="53" t="str">
        <f>IF('All Tandem Adjustments Source'!R14&lt;1/24,TEXT('All Tandem Adjustments Source'!R14,"M:SS"),TEXT('All Tandem Adjustments Source'!R14,"H:MM:SS"))</f>
        <v>0:00</v>
      </c>
      <c r="G13" s="53" t="str">
        <f>IF('All Tandem Adjustments Source'!V14&lt;1/24,TEXT('All Tandem Adjustments Source'!V14,"M:SS"),TEXT('All Tandem Adjustments Source'!V14,"H:MM:SS"))</f>
        <v>0:00</v>
      </c>
      <c r="H13" s="54">
        <f>'All Tandem Adjustments Source'!Z14</f>
        <v>0</v>
      </c>
      <c r="I13" s="54">
        <f>'All Tandem Adjustments Source'!AD14</f>
        <v>0</v>
      </c>
      <c r="J13" s="57" t="str">
        <f>IF('All Tandem Adjustments Source'!C14&lt;1/24,TEXT('All Tandem Adjustments Source'!C14,"M:SS"),TEXT('All Tandem Adjustments Source'!C14,"H:MM:SS"))</f>
        <v>1:12</v>
      </c>
      <c r="K13" s="57" t="str">
        <f>IF('All Tandem Adjustments Source'!G14&lt;1/24,TEXT('All Tandem Adjustments Source'!G14,"M:SS"),TEXT('All Tandem Adjustments Source'!G14,"H:MM:SS"))</f>
        <v>1:49</v>
      </c>
      <c r="L13" s="57" t="str">
        <f>IF('All Tandem Adjustments Source'!K14&lt;1/24,TEXT('All Tandem Adjustments Source'!K14,"M:SS"),TEXT('All Tandem Adjustments Source'!K14,"H:MM:SS"))</f>
        <v>3:03</v>
      </c>
      <c r="M13" s="57" t="str">
        <f>IF('All Tandem Adjustments Source'!O14&lt;1/24,TEXT('All Tandem Adjustments Source'!O14,"M:SS"),TEXT('All Tandem Adjustments Source'!O14,"H:MM:SS"))</f>
        <v>3:41</v>
      </c>
      <c r="N13" s="57" t="str">
        <f>IF('All Tandem Adjustments Source'!S14&lt;1/24,TEXT('All Tandem Adjustments Source'!S14,"M:SS"),TEXT('All Tandem Adjustments Source'!S14,"H:MM:SS"))</f>
        <v>6:13</v>
      </c>
      <c r="O13" s="57" t="str">
        <f>IF('All Tandem Adjustments Source'!W14&lt;1/24,TEXT('All Tandem Adjustments Source'!W14,"M:SS"),TEXT('All Tandem Adjustments Source'!W14,"H:MM:SS"))</f>
        <v>12:53</v>
      </c>
      <c r="P13" s="58">
        <f>'All Tandem Adjustments Source'!AA14</f>
        <v>14.003599537037037</v>
      </c>
      <c r="Q13" s="58">
        <f>'All Tandem Adjustments Source'!AE14</f>
        <v>19.531203703703703</v>
      </c>
      <c r="R13" s="50" t="str">
        <f>IF('All Tandem Adjustments Source'!D14&lt;1/24,TEXT('All Tandem Adjustments Source'!D14,"M:SS"),TEXT('All Tandem Adjustments Source'!D14,"H:MM:SS"))</f>
        <v>0:54</v>
      </c>
      <c r="S13" s="50" t="str">
        <f>IF('All Tandem Adjustments Source'!H14&lt;1/24,TEXT('All Tandem Adjustments Source'!H14,"M:SS"),TEXT('All Tandem Adjustments Source'!H14,"H:MM:SS"))</f>
        <v>1:22</v>
      </c>
      <c r="T13" s="50" t="str">
        <f>IF('All Tandem Adjustments Source'!L14&lt;1/24,TEXT('All Tandem Adjustments Source'!L14,"M:SS"),TEXT('All Tandem Adjustments Source'!L14,"H:MM:SS"))</f>
        <v>2:18</v>
      </c>
      <c r="U13" s="50" t="str">
        <f>IF('All Tandem Adjustments Source'!P14&lt;1/24,TEXT('All Tandem Adjustments Source'!P14,"M:SS"),TEXT('All Tandem Adjustments Source'!P14,"H:MM:SS"))</f>
        <v>2:46</v>
      </c>
      <c r="V13" s="50" t="str">
        <f>IF('All Tandem Adjustments Source'!T14&lt;1/24,TEXT('All Tandem Adjustments Source'!T14,"M:SS"),TEXT('All Tandem Adjustments Source'!T14,"H:MM:SS"))</f>
        <v>4:40</v>
      </c>
      <c r="W13" s="50" t="str">
        <f>IF('All Tandem Adjustments Source'!X14&lt;1/24,TEXT('All Tandem Adjustments Source'!X14,"M:SS"),TEXT('All Tandem Adjustments Source'!X14,"H:MM:SS"))</f>
        <v>9:41</v>
      </c>
      <c r="X13" s="51">
        <f>'All Tandem Adjustments Source'!AB14</f>
        <v>10.774398148148148</v>
      </c>
      <c r="Y13" s="51">
        <f>'All Tandem Adjustments Source'!AF14</f>
        <v>14.965601851851853</v>
      </c>
      <c r="Z13" s="55" t="str">
        <f>IF('All Tandem Adjustments Source'!E14&lt;1/24,TEXT('All Tandem Adjustments Source'!E14,"M:SS"),TEXT('All Tandem Adjustments Source'!E14,"H:MM:SS"))</f>
        <v>2:14</v>
      </c>
      <c r="AA13" s="55" t="str">
        <f>IF('All Tandem Adjustments Source'!I14&lt;1/24,TEXT('All Tandem Adjustments Source'!I14,"M:SS"),TEXT('All Tandem Adjustments Source'!I14,"H:MM:SS"))</f>
        <v>3:22</v>
      </c>
      <c r="AB13" s="55" t="str">
        <f>IF('All Tandem Adjustments Source'!M14&lt;1/24,TEXT('All Tandem Adjustments Source'!M14,"M:SS"),TEXT('All Tandem Adjustments Source'!M14,"H:MM:SS"))</f>
        <v>5:38</v>
      </c>
      <c r="AC13" s="55" t="str">
        <f>IF('All Tandem Adjustments Source'!Q14&lt;1/24,TEXT('All Tandem Adjustments Source'!Q14,"M:SS"),TEXT('All Tandem Adjustments Source'!Q14,"H:MM:SS"))</f>
        <v>6:48</v>
      </c>
      <c r="AD13" s="55" t="str">
        <f>IF('All Tandem Adjustments Source'!U14&lt;1/24,TEXT('All Tandem Adjustments Source'!U14,"M:SS"),TEXT('All Tandem Adjustments Source'!U14,"H:MM:SS"))</f>
        <v>11:29</v>
      </c>
      <c r="AE13" s="55" t="str">
        <f>IF('All Tandem Adjustments Source'!Y14&lt;1/24,TEXT('All Tandem Adjustments Source'!Y14,"M:SS"),TEXT('All Tandem Adjustments Source'!Y14,"H:MM:SS"))</f>
        <v>23:48</v>
      </c>
      <c r="AF13" s="56">
        <f>'All Tandem Adjustments Source'!AC14</f>
        <v>23.997997685185187</v>
      </c>
      <c r="AG13" s="56">
        <f>'All Tandem Adjustments Source'!AG14</f>
        <v>33.877997685185186</v>
      </c>
    </row>
    <row r="14" spans="1:33" hidden="1" x14ac:dyDescent="0.25">
      <c r="A14" s="17">
        <f>'All Tandem Adjustments Source'!A15</f>
        <v>21</v>
      </c>
      <c r="B14" s="53" t="str">
        <f>IF('All Tandem Adjustments Source'!B15&lt;1/24,TEXT('All Tandem Adjustments Source'!B15,"M:SS"),TEXT('All Tandem Adjustments Source'!B15,"H:MM:SS"))</f>
        <v>0:00</v>
      </c>
      <c r="C14" s="53" t="str">
        <f>IF('All Tandem Adjustments Source'!F15&lt;1/24,TEXT('All Tandem Adjustments Source'!F15,"M:SS"),TEXT('All Tandem Adjustments Source'!F15,"H:MM:SS"))</f>
        <v>0:00</v>
      </c>
      <c r="D14" s="53" t="str">
        <f>IF('All Tandem Adjustments Source'!J15&lt;1/24,TEXT('All Tandem Adjustments Source'!J15,"M:SS"),TEXT('All Tandem Adjustments Source'!J15,"H:MM:SS"))</f>
        <v>0:00</v>
      </c>
      <c r="E14" s="53" t="str">
        <f>IF('All Tandem Adjustments Source'!N15&lt;1/24,TEXT('All Tandem Adjustments Source'!N15,"M:SS"),TEXT('All Tandem Adjustments Source'!N15,"H:MM:SS"))</f>
        <v>0:00</v>
      </c>
      <c r="F14" s="53" t="str">
        <f>IF('All Tandem Adjustments Source'!R15&lt;1/24,TEXT('All Tandem Adjustments Source'!R15,"M:SS"),TEXT('All Tandem Adjustments Source'!R15,"H:MM:SS"))</f>
        <v>0:00</v>
      </c>
      <c r="G14" s="53" t="str">
        <f>IF('All Tandem Adjustments Source'!V15&lt;1/24,TEXT('All Tandem Adjustments Source'!V15,"M:SS"),TEXT('All Tandem Adjustments Source'!V15,"H:MM:SS"))</f>
        <v>0:00</v>
      </c>
      <c r="H14" s="54">
        <f>'All Tandem Adjustments Source'!Z15</f>
        <v>0</v>
      </c>
      <c r="I14" s="54">
        <f>'All Tandem Adjustments Source'!AD15</f>
        <v>0</v>
      </c>
      <c r="J14" s="57" t="str">
        <f>IF('All Tandem Adjustments Source'!C15&lt;1/24,TEXT('All Tandem Adjustments Source'!C15,"M:SS"),TEXT('All Tandem Adjustments Source'!C15,"H:MM:SS"))</f>
        <v>1:12</v>
      </c>
      <c r="K14" s="57" t="str">
        <f>IF('All Tandem Adjustments Source'!G15&lt;1/24,TEXT('All Tandem Adjustments Source'!G15,"M:SS"),TEXT('All Tandem Adjustments Source'!G15,"H:MM:SS"))</f>
        <v>1:49</v>
      </c>
      <c r="L14" s="57" t="str">
        <f>IF('All Tandem Adjustments Source'!K15&lt;1/24,TEXT('All Tandem Adjustments Source'!K15,"M:SS"),TEXT('All Tandem Adjustments Source'!K15,"H:MM:SS"))</f>
        <v>3:03</v>
      </c>
      <c r="M14" s="57" t="str">
        <f>IF('All Tandem Adjustments Source'!O15&lt;1/24,TEXT('All Tandem Adjustments Source'!O15,"M:SS"),TEXT('All Tandem Adjustments Source'!O15,"H:MM:SS"))</f>
        <v>3:41</v>
      </c>
      <c r="N14" s="57" t="str">
        <f>IF('All Tandem Adjustments Source'!S15&lt;1/24,TEXT('All Tandem Adjustments Source'!S15,"M:SS"),TEXT('All Tandem Adjustments Source'!S15,"H:MM:SS"))</f>
        <v>6:13</v>
      </c>
      <c r="O14" s="57" t="str">
        <f>IF('All Tandem Adjustments Source'!W15&lt;1/24,TEXT('All Tandem Adjustments Source'!W15,"M:SS"),TEXT('All Tandem Adjustments Source'!W15,"H:MM:SS"))</f>
        <v>12:53</v>
      </c>
      <c r="P14" s="58">
        <f>'All Tandem Adjustments Source'!AA15</f>
        <v>14.003599537037037</v>
      </c>
      <c r="Q14" s="58">
        <f>'All Tandem Adjustments Source'!AE15</f>
        <v>19.531203703703703</v>
      </c>
      <c r="R14" s="50" t="str">
        <f>IF('All Tandem Adjustments Source'!D15&lt;1/24,TEXT('All Tandem Adjustments Source'!D15,"M:SS"),TEXT('All Tandem Adjustments Source'!D15,"H:MM:SS"))</f>
        <v>0:54</v>
      </c>
      <c r="S14" s="50" t="str">
        <f>IF('All Tandem Adjustments Source'!H15&lt;1/24,TEXT('All Tandem Adjustments Source'!H15,"M:SS"),TEXT('All Tandem Adjustments Source'!H15,"H:MM:SS"))</f>
        <v>1:22</v>
      </c>
      <c r="T14" s="50" t="str">
        <f>IF('All Tandem Adjustments Source'!L15&lt;1/24,TEXT('All Tandem Adjustments Source'!L15,"M:SS"),TEXT('All Tandem Adjustments Source'!L15,"H:MM:SS"))</f>
        <v>2:18</v>
      </c>
      <c r="U14" s="50" t="str">
        <f>IF('All Tandem Adjustments Source'!P15&lt;1/24,TEXT('All Tandem Adjustments Source'!P15,"M:SS"),TEXT('All Tandem Adjustments Source'!P15,"H:MM:SS"))</f>
        <v>2:46</v>
      </c>
      <c r="V14" s="50" t="str">
        <f>IF('All Tandem Adjustments Source'!T15&lt;1/24,TEXT('All Tandem Adjustments Source'!T15,"M:SS"),TEXT('All Tandem Adjustments Source'!T15,"H:MM:SS"))</f>
        <v>4:40</v>
      </c>
      <c r="W14" s="50" t="str">
        <f>IF('All Tandem Adjustments Source'!X15&lt;1/24,TEXT('All Tandem Adjustments Source'!X15,"M:SS"),TEXT('All Tandem Adjustments Source'!X15,"H:MM:SS"))</f>
        <v>9:41</v>
      </c>
      <c r="X14" s="51">
        <f>'All Tandem Adjustments Source'!AB15</f>
        <v>10.774398148148148</v>
      </c>
      <c r="Y14" s="51">
        <f>'All Tandem Adjustments Source'!AF15</f>
        <v>14.965601851851853</v>
      </c>
      <c r="Z14" s="55" t="str">
        <f>IF('All Tandem Adjustments Source'!E15&lt;1/24,TEXT('All Tandem Adjustments Source'!E15,"M:SS"),TEXT('All Tandem Adjustments Source'!E15,"H:MM:SS"))</f>
        <v>2:14</v>
      </c>
      <c r="AA14" s="55" t="str">
        <f>IF('All Tandem Adjustments Source'!I15&lt;1/24,TEXT('All Tandem Adjustments Source'!I15,"M:SS"),TEXT('All Tandem Adjustments Source'!I15,"H:MM:SS"))</f>
        <v>3:22</v>
      </c>
      <c r="AB14" s="55" t="str">
        <f>IF('All Tandem Adjustments Source'!M15&lt;1/24,TEXT('All Tandem Adjustments Source'!M15,"M:SS"),TEXT('All Tandem Adjustments Source'!M15,"H:MM:SS"))</f>
        <v>5:38</v>
      </c>
      <c r="AC14" s="55" t="str">
        <f>IF('All Tandem Adjustments Source'!Q15&lt;1/24,TEXT('All Tandem Adjustments Source'!Q15,"M:SS"),TEXT('All Tandem Adjustments Source'!Q15,"H:MM:SS"))</f>
        <v>6:48</v>
      </c>
      <c r="AD14" s="55" t="str">
        <f>IF('All Tandem Adjustments Source'!U15&lt;1/24,TEXT('All Tandem Adjustments Source'!U15,"M:SS"),TEXT('All Tandem Adjustments Source'!U15,"H:MM:SS"))</f>
        <v>11:29</v>
      </c>
      <c r="AE14" s="55" t="str">
        <f>IF('All Tandem Adjustments Source'!Y15&lt;1/24,TEXT('All Tandem Adjustments Source'!Y15,"M:SS"),TEXT('All Tandem Adjustments Source'!Y15,"H:MM:SS"))</f>
        <v>23:48</v>
      </c>
      <c r="AF14" s="56">
        <f>'All Tandem Adjustments Source'!AC15</f>
        <v>23.997997685185187</v>
      </c>
      <c r="AG14" s="56">
        <f>'All Tandem Adjustments Source'!AG15</f>
        <v>33.877997685185186</v>
      </c>
    </row>
    <row r="15" spans="1:33" hidden="1" x14ac:dyDescent="0.25">
      <c r="A15" s="17">
        <f>'All Tandem Adjustments Source'!A16</f>
        <v>22</v>
      </c>
      <c r="B15" s="53" t="str">
        <f>IF('All Tandem Adjustments Source'!B16&lt;1/24,TEXT('All Tandem Adjustments Source'!B16,"M:SS"),TEXT('All Tandem Adjustments Source'!B16,"H:MM:SS"))</f>
        <v>0:00</v>
      </c>
      <c r="C15" s="53" t="str">
        <f>IF('All Tandem Adjustments Source'!F16&lt;1/24,TEXT('All Tandem Adjustments Source'!F16,"M:SS"),TEXT('All Tandem Adjustments Source'!F16,"H:MM:SS"))</f>
        <v>0:00</v>
      </c>
      <c r="D15" s="53" t="str">
        <f>IF('All Tandem Adjustments Source'!J16&lt;1/24,TEXT('All Tandem Adjustments Source'!J16,"M:SS"),TEXT('All Tandem Adjustments Source'!J16,"H:MM:SS"))</f>
        <v>0:00</v>
      </c>
      <c r="E15" s="53" t="str">
        <f>IF('All Tandem Adjustments Source'!N16&lt;1/24,TEXT('All Tandem Adjustments Source'!N16,"M:SS"),TEXT('All Tandem Adjustments Source'!N16,"H:MM:SS"))</f>
        <v>0:00</v>
      </c>
      <c r="F15" s="53" t="str">
        <f>IF('All Tandem Adjustments Source'!R16&lt;1/24,TEXT('All Tandem Adjustments Source'!R16,"M:SS"),TEXT('All Tandem Adjustments Source'!R16,"H:MM:SS"))</f>
        <v>0:00</v>
      </c>
      <c r="G15" s="53" t="str">
        <f>IF('All Tandem Adjustments Source'!V16&lt;1/24,TEXT('All Tandem Adjustments Source'!V16,"M:SS"),TEXT('All Tandem Adjustments Source'!V16,"H:MM:SS"))</f>
        <v>0:00</v>
      </c>
      <c r="H15" s="54">
        <f>'All Tandem Adjustments Source'!Z16</f>
        <v>0</v>
      </c>
      <c r="I15" s="54">
        <f>'All Tandem Adjustments Source'!AD16</f>
        <v>0</v>
      </c>
      <c r="J15" s="57" t="str">
        <f>IF('All Tandem Adjustments Source'!C16&lt;1/24,TEXT('All Tandem Adjustments Source'!C16,"M:SS"),TEXT('All Tandem Adjustments Source'!C16,"H:MM:SS"))</f>
        <v>1:12</v>
      </c>
      <c r="K15" s="57" t="str">
        <f>IF('All Tandem Adjustments Source'!G16&lt;1/24,TEXT('All Tandem Adjustments Source'!G16,"M:SS"),TEXT('All Tandem Adjustments Source'!G16,"H:MM:SS"))</f>
        <v>1:49</v>
      </c>
      <c r="L15" s="57" t="str">
        <f>IF('All Tandem Adjustments Source'!K16&lt;1/24,TEXT('All Tandem Adjustments Source'!K16,"M:SS"),TEXT('All Tandem Adjustments Source'!K16,"H:MM:SS"))</f>
        <v>3:03</v>
      </c>
      <c r="M15" s="57" t="str">
        <f>IF('All Tandem Adjustments Source'!O16&lt;1/24,TEXT('All Tandem Adjustments Source'!O16,"M:SS"),TEXT('All Tandem Adjustments Source'!O16,"H:MM:SS"))</f>
        <v>3:41</v>
      </c>
      <c r="N15" s="57" t="str">
        <f>IF('All Tandem Adjustments Source'!S16&lt;1/24,TEXT('All Tandem Adjustments Source'!S16,"M:SS"),TEXT('All Tandem Adjustments Source'!S16,"H:MM:SS"))</f>
        <v>6:13</v>
      </c>
      <c r="O15" s="57" t="str">
        <f>IF('All Tandem Adjustments Source'!W16&lt;1/24,TEXT('All Tandem Adjustments Source'!W16,"M:SS"),TEXT('All Tandem Adjustments Source'!W16,"H:MM:SS"))</f>
        <v>12:53</v>
      </c>
      <c r="P15" s="58">
        <f>'All Tandem Adjustments Source'!AA16</f>
        <v>14.003599537037037</v>
      </c>
      <c r="Q15" s="58">
        <f>'All Tandem Adjustments Source'!AE16</f>
        <v>19.531203703703703</v>
      </c>
      <c r="R15" s="50" t="str">
        <f>IF('All Tandem Adjustments Source'!D16&lt;1/24,TEXT('All Tandem Adjustments Source'!D16,"M:SS"),TEXT('All Tandem Adjustments Source'!D16,"H:MM:SS"))</f>
        <v>0:54</v>
      </c>
      <c r="S15" s="50" t="str">
        <f>IF('All Tandem Adjustments Source'!H16&lt;1/24,TEXT('All Tandem Adjustments Source'!H16,"M:SS"),TEXT('All Tandem Adjustments Source'!H16,"H:MM:SS"))</f>
        <v>1:22</v>
      </c>
      <c r="T15" s="50" t="str">
        <f>IF('All Tandem Adjustments Source'!L16&lt;1/24,TEXT('All Tandem Adjustments Source'!L16,"M:SS"),TEXT('All Tandem Adjustments Source'!L16,"H:MM:SS"))</f>
        <v>2:18</v>
      </c>
      <c r="U15" s="50" t="str">
        <f>IF('All Tandem Adjustments Source'!P16&lt;1/24,TEXT('All Tandem Adjustments Source'!P16,"M:SS"),TEXT('All Tandem Adjustments Source'!P16,"H:MM:SS"))</f>
        <v>2:46</v>
      </c>
      <c r="V15" s="50" t="str">
        <f>IF('All Tandem Adjustments Source'!T16&lt;1/24,TEXT('All Tandem Adjustments Source'!T16,"M:SS"),TEXT('All Tandem Adjustments Source'!T16,"H:MM:SS"))</f>
        <v>4:40</v>
      </c>
      <c r="W15" s="50" t="str">
        <f>IF('All Tandem Adjustments Source'!X16&lt;1/24,TEXT('All Tandem Adjustments Source'!X16,"M:SS"),TEXT('All Tandem Adjustments Source'!X16,"H:MM:SS"))</f>
        <v>9:41</v>
      </c>
      <c r="X15" s="51">
        <f>'All Tandem Adjustments Source'!AB16</f>
        <v>10.774398148148148</v>
      </c>
      <c r="Y15" s="51">
        <f>'All Tandem Adjustments Source'!AF16</f>
        <v>14.965601851851853</v>
      </c>
      <c r="Z15" s="55" t="str">
        <f>IF('All Tandem Adjustments Source'!E16&lt;1/24,TEXT('All Tandem Adjustments Source'!E16,"M:SS"),TEXT('All Tandem Adjustments Source'!E16,"H:MM:SS"))</f>
        <v>2:14</v>
      </c>
      <c r="AA15" s="55" t="str">
        <f>IF('All Tandem Adjustments Source'!I16&lt;1/24,TEXT('All Tandem Adjustments Source'!I16,"M:SS"),TEXT('All Tandem Adjustments Source'!I16,"H:MM:SS"))</f>
        <v>3:22</v>
      </c>
      <c r="AB15" s="55" t="str">
        <f>IF('All Tandem Adjustments Source'!M16&lt;1/24,TEXT('All Tandem Adjustments Source'!M16,"M:SS"),TEXT('All Tandem Adjustments Source'!M16,"H:MM:SS"))</f>
        <v>5:38</v>
      </c>
      <c r="AC15" s="55" t="str">
        <f>IF('All Tandem Adjustments Source'!Q16&lt;1/24,TEXT('All Tandem Adjustments Source'!Q16,"M:SS"),TEXT('All Tandem Adjustments Source'!Q16,"H:MM:SS"))</f>
        <v>6:48</v>
      </c>
      <c r="AD15" s="55" t="str">
        <f>IF('All Tandem Adjustments Source'!U16&lt;1/24,TEXT('All Tandem Adjustments Source'!U16,"M:SS"),TEXT('All Tandem Adjustments Source'!U16,"H:MM:SS"))</f>
        <v>11:29</v>
      </c>
      <c r="AE15" s="55" t="str">
        <f>IF('All Tandem Adjustments Source'!Y16&lt;1/24,TEXT('All Tandem Adjustments Source'!Y16,"M:SS"),TEXT('All Tandem Adjustments Source'!Y16,"H:MM:SS"))</f>
        <v>23:48</v>
      </c>
      <c r="AF15" s="56">
        <f>'All Tandem Adjustments Source'!AC16</f>
        <v>23.997997685185187</v>
      </c>
      <c r="AG15" s="56">
        <f>'All Tandem Adjustments Source'!AG16</f>
        <v>33.877997685185186</v>
      </c>
    </row>
    <row r="16" spans="1:33" hidden="1" x14ac:dyDescent="0.25">
      <c r="A16" s="17">
        <f>'All Tandem Adjustments Source'!A17</f>
        <v>23</v>
      </c>
      <c r="B16" s="53" t="str">
        <f>IF('All Tandem Adjustments Source'!B17&lt;1/24,TEXT('All Tandem Adjustments Source'!B17,"M:SS"),TEXT('All Tandem Adjustments Source'!B17,"H:MM:SS"))</f>
        <v>0:00</v>
      </c>
      <c r="C16" s="53" t="str">
        <f>IF('All Tandem Adjustments Source'!F17&lt;1/24,TEXT('All Tandem Adjustments Source'!F17,"M:SS"),TEXT('All Tandem Adjustments Source'!F17,"H:MM:SS"))</f>
        <v>0:00</v>
      </c>
      <c r="D16" s="53" t="str">
        <f>IF('All Tandem Adjustments Source'!J17&lt;1/24,TEXT('All Tandem Adjustments Source'!J17,"M:SS"),TEXT('All Tandem Adjustments Source'!J17,"H:MM:SS"))</f>
        <v>0:00</v>
      </c>
      <c r="E16" s="53" t="str">
        <f>IF('All Tandem Adjustments Source'!N17&lt;1/24,TEXT('All Tandem Adjustments Source'!N17,"M:SS"),TEXT('All Tandem Adjustments Source'!N17,"H:MM:SS"))</f>
        <v>0:00</v>
      </c>
      <c r="F16" s="53" t="str">
        <f>IF('All Tandem Adjustments Source'!R17&lt;1/24,TEXT('All Tandem Adjustments Source'!R17,"M:SS"),TEXT('All Tandem Adjustments Source'!R17,"H:MM:SS"))</f>
        <v>0:00</v>
      </c>
      <c r="G16" s="53" t="str">
        <f>IF('All Tandem Adjustments Source'!V17&lt;1/24,TEXT('All Tandem Adjustments Source'!V17,"M:SS"),TEXT('All Tandem Adjustments Source'!V17,"H:MM:SS"))</f>
        <v>0:00</v>
      </c>
      <c r="H16" s="54">
        <f>'All Tandem Adjustments Source'!Z17</f>
        <v>0</v>
      </c>
      <c r="I16" s="54">
        <f>'All Tandem Adjustments Source'!AD17</f>
        <v>0</v>
      </c>
      <c r="J16" s="57" t="str">
        <f>IF('All Tandem Adjustments Source'!C17&lt;1/24,TEXT('All Tandem Adjustments Source'!C17,"M:SS"),TEXT('All Tandem Adjustments Source'!C17,"H:MM:SS"))</f>
        <v>1:12</v>
      </c>
      <c r="K16" s="57" t="str">
        <f>IF('All Tandem Adjustments Source'!G17&lt;1/24,TEXT('All Tandem Adjustments Source'!G17,"M:SS"),TEXT('All Tandem Adjustments Source'!G17,"H:MM:SS"))</f>
        <v>1:49</v>
      </c>
      <c r="L16" s="57" t="str">
        <f>IF('All Tandem Adjustments Source'!K17&lt;1/24,TEXT('All Tandem Adjustments Source'!K17,"M:SS"),TEXT('All Tandem Adjustments Source'!K17,"H:MM:SS"))</f>
        <v>3:03</v>
      </c>
      <c r="M16" s="57" t="str">
        <f>IF('All Tandem Adjustments Source'!O17&lt;1/24,TEXT('All Tandem Adjustments Source'!O17,"M:SS"),TEXT('All Tandem Adjustments Source'!O17,"H:MM:SS"))</f>
        <v>3:41</v>
      </c>
      <c r="N16" s="57" t="str">
        <f>IF('All Tandem Adjustments Source'!S17&lt;1/24,TEXT('All Tandem Adjustments Source'!S17,"M:SS"),TEXT('All Tandem Adjustments Source'!S17,"H:MM:SS"))</f>
        <v>6:13</v>
      </c>
      <c r="O16" s="57" t="str">
        <f>IF('All Tandem Adjustments Source'!W17&lt;1/24,TEXT('All Tandem Adjustments Source'!W17,"M:SS"),TEXT('All Tandem Adjustments Source'!W17,"H:MM:SS"))</f>
        <v>12:53</v>
      </c>
      <c r="P16" s="58">
        <f>'All Tandem Adjustments Source'!AA17</f>
        <v>14.003599537037037</v>
      </c>
      <c r="Q16" s="58">
        <f>'All Tandem Adjustments Source'!AE17</f>
        <v>19.531203703703703</v>
      </c>
      <c r="R16" s="50" t="str">
        <f>IF('All Tandem Adjustments Source'!D17&lt;1/24,TEXT('All Tandem Adjustments Source'!D17,"M:SS"),TEXT('All Tandem Adjustments Source'!D17,"H:MM:SS"))</f>
        <v>0:54</v>
      </c>
      <c r="S16" s="50" t="str">
        <f>IF('All Tandem Adjustments Source'!H17&lt;1/24,TEXT('All Tandem Adjustments Source'!H17,"M:SS"),TEXT('All Tandem Adjustments Source'!H17,"H:MM:SS"))</f>
        <v>1:22</v>
      </c>
      <c r="T16" s="50" t="str">
        <f>IF('All Tandem Adjustments Source'!L17&lt;1/24,TEXT('All Tandem Adjustments Source'!L17,"M:SS"),TEXT('All Tandem Adjustments Source'!L17,"H:MM:SS"))</f>
        <v>2:18</v>
      </c>
      <c r="U16" s="50" t="str">
        <f>IF('All Tandem Adjustments Source'!P17&lt;1/24,TEXT('All Tandem Adjustments Source'!P17,"M:SS"),TEXT('All Tandem Adjustments Source'!P17,"H:MM:SS"))</f>
        <v>2:46</v>
      </c>
      <c r="V16" s="50" t="str">
        <f>IF('All Tandem Adjustments Source'!T17&lt;1/24,TEXT('All Tandem Adjustments Source'!T17,"M:SS"),TEXT('All Tandem Adjustments Source'!T17,"H:MM:SS"))</f>
        <v>4:40</v>
      </c>
      <c r="W16" s="50" t="str">
        <f>IF('All Tandem Adjustments Source'!X17&lt;1/24,TEXT('All Tandem Adjustments Source'!X17,"M:SS"),TEXT('All Tandem Adjustments Source'!X17,"H:MM:SS"))</f>
        <v>9:41</v>
      </c>
      <c r="X16" s="51">
        <f>'All Tandem Adjustments Source'!AB17</f>
        <v>10.774398148148148</v>
      </c>
      <c r="Y16" s="51">
        <f>'All Tandem Adjustments Source'!AF17</f>
        <v>14.965601851851853</v>
      </c>
      <c r="Z16" s="55" t="str">
        <f>IF('All Tandem Adjustments Source'!E17&lt;1/24,TEXT('All Tandem Adjustments Source'!E17,"M:SS"),TEXT('All Tandem Adjustments Source'!E17,"H:MM:SS"))</f>
        <v>2:14</v>
      </c>
      <c r="AA16" s="55" t="str">
        <f>IF('All Tandem Adjustments Source'!I17&lt;1/24,TEXT('All Tandem Adjustments Source'!I17,"M:SS"),TEXT('All Tandem Adjustments Source'!I17,"H:MM:SS"))</f>
        <v>3:22</v>
      </c>
      <c r="AB16" s="55" t="str">
        <f>IF('All Tandem Adjustments Source'!M17&lt;1/24,TEXT('All Tandem Adjustments Source'!M17,"M:SS"),TEXT('All Tandem Adjustments Source'!M17,"H:MM:SS"))</f>
        <v>5:38</v>
      </c>
      <c r="AC16" s="55" t="str">
        <f>IF('All Tandem Adjustments Source'!Q17&lt;1/24,TEXT('All Tandem Adjustments Source'!Q17,"M:SS"),TEXT('All Tandem Adjustments Source'!Q17,"H:MM:SS"))</f>
        <v>6:48</v>
      </c>
      <c r="AD16" s="55" t="str">
        <f>IF('All Tandem Adjustments Source'!U17&lt;1/24,TEXT('All Tandem Adjustments Source'!U17,"M:SS"),TEXT('All Tandem Adjustments Source'!U17,"H:MM:SS"))</f>
        <v>11:29</v>
      </c>
      <c r="AE16" s="55" t="str">
        <f>IF('All Tandem Adjustments Source'!Y17&lt;1/24,TEXT('All Tandem Adjustments Source'!Y17,"M:SS"),TEXT('All Tandem Adjustments Source'!Y17,"H:MM:SS"))</f>
        <v>23:48</v>
      </c>
      <c r="AF16" s="56">
        <f>'All Tandem Adjustments Source'!AC17</f>
        <v>23.997997685185187</v>
      </c>
      <c r="AG16" s="56">
        <f>'All Tandem Adjustments Source'!AG17</f>
        <v>33.877997685185186</v>
      </c>
    </row>
    <row r="17" spans="1:33" hidden="1" x14ac:dyDescent="0.25">
      <c r="A17" s="17">
        <f>'All Tandem Adjustments Source'!A18</f>
        <v>24</v>
      </c>
      <c r="B17" s="53" t="str">
        <f>IF('All Tandem Adjustments Source'!B18&lt;1/24,TEXT('All Tandem Adjustments Source'!B18,"M:SS"),TEXT('All Tandem Adjustments Source'!B18,"H:MM:SS"))</f>
        <v>0:00</v>
      </c>
      <c r="C17" s="53" t="str">
        <f>IF('All Tandem Adjustments Source'!F18&lt;1/24,TEXT('All Tandem Adjustments Source'!F18,"M:SS"),TEXT('All Tandem Adjustments Source'!F18,"H:MM:SS"))</f>
        <v>0:00</v>
      </c>
      <c r="D17" s="53" t="str">
        <f>IF('All Tandem Adjustments Source'!J18&lt;1/24,TEXT('All Tandem Adjustments Source'!J18,"M:SS"),TEXT('All Tandem Adjustments Source'!J18,"H:MM:SS"))</f>
        <v>0:00</v>
      </c>
      <c r="E17" s="53" t="str">
        <f>IF('All Tandem Adjustments Source'!N18&lt;1/24,TEXT('All Tandem Adjustments Source'!N18,"M:SS"),TEXT('All Tandem Adjustments Source'!N18,"H:MM:SS"))</f>
        <v>0:00</v>
      </c>
      <c r="F17" s="53" t="str">
        <f>IF('All Tandem Adjustments Source'!R18&lt;1/24,TEXT('All Tandem Adjustments Source'!R18,"M:SS"),TEXT('All Tandem Adjustments Source'!R18,"H:MM:SS"))</f>
        <v>0:00</v>
      </c>
      <c r="G17" s="53" t="str">
        <f>IF('All Tandem Adjustments Source'!V18&lt;1/24,TEXT('All Tandem Adjustments Source'!V18,"M:SS"),TEXT('All Tandem Adjustments Source'!V18,"H:MM:SS"))</f>
        <v>0:00</v>
      </c>
      <c r="H17" s="54">
        <f>'All Tandem Adjustments Source'!Z18</f>
        <v>0</v>
      </c>
      <c r="I17" s="54">
        <f>'All Tandem Adjustments Source'!AD18</f>
        <v>0</v>
      </c>
      <c r="J17" s="57" t="str">
        <f>IF('All Tandem Adjustments Source'!C18&lt;1/24,TEXT('All Tandem Adjustments Source'!C18,"M:SS"),TEXT('All Tandem Adjustments Source'!C18,"H:MM:SS"))</f>
        <v>1:12</v>
      </c>
      <c r="K17" s="57" t="str">
        <f>IF('All Tandem Adjustments Source'!G18&lt;1/24,TEXT('All Tandem Adjustments Source'!G18,"M:SS"),TEXT('All Tandem Adjustments Source'!G18,"H:MM:SS"))</f>
        <v>1:49</v>
      </c>
      <c r="L17" s="57" t="str">
        <f>IF('All Tandem Adjustments Source'!K18&lt;1/24,TEXT('All Tandem Adjustments Source'!K18,"M:SS"),TEXT('All Tandem Adjustments Source'!K18,"H:MM:SS"))</f>
        <v>3:03</v>
      </c>
      <c r="M17" s="57" t="str">
        <f>IF('All Tandem Adjustments Source'!O18&lt;1/24,TEXT('All Tandem Adjustments Source'!O18,"M:SS"),TEXT('All Tandem Adjustments Source'!O18,"H:MM:SS"))</f>
        <v>3:41</v>
      </c>
      <c r="N17" s="57" t="str">
        <f>IF('All Tandem Adjustments Source'!S18&lt;1/24,TEXT('All Tandem Adjustments Source'!S18,"M:SS"),TEXT('All Tandem Adjustments Source'!S18,"H:MM:SS"))</f>
        <v>6:13</v>
      </c>
      <c r="O17" s="57" t="str">
        <f>IF('All Tandem Adjustments Source'!W18&lt;1/24,TEXT('All Tandem Adjustments Source'!W18,"M:SS"),TEXT('All Tandem Adjustments Source'!W18,"H:MM:SS"))</f>
        <v>12:53</v>
      </c>
      <c r="P17" s="58">
        <f>'All Tandem Adjustments Source'!AA18</f>
        <v>14.003599537037037</v>
      </c>
      <c r="Q17" s="58">
        <f>'All Tandem Adjustments Source'!AE18</f>
        <v>19.531203703703703</v>
      </c>
      <c r="R17" s="50" t="str">
        <f>IF('All Tandem Adjustments Source'!D18&lt;1/24,TEXT('All Tandem Adjustments Source'!D18,"M:SS"),TEXT('All Tandem Adjustments Source'!D18,"H:MM:SS"))</f>
        <v>0:54</v>
      </c>
      <c r="S17" s="50" t="str">
        <f>IF('All Tandem Adjustments Source'!H18&lt;1/24,TEXT('All Tandem Adjustments Source'!H18,"M:SS"),TEXT('All Tandem Adjustments Source'!H18,"H:MM:SS"))</f>
        <v>1:22</v>
      </c>
      <c r="T17" s="50" t="str">
        <f>IF('All Tandem Adjustments Source'!L18&lt;1/24,TEXT('All Tandem Adjustments Source'!L18,"M:SS"),TEXT('All Tandem Adjustments Source'!L18,"H:MM:SS"))</f>
        <v>2:18</v>
      </c>
      <c r="U17" s="50" t="str">
        <f>IF('All Tandem Adjustments Source'!P18&lt;1/24,TEXT('All Tandem Adjustments Source'!P18,"M:SS"),TEXT('All Tandem Adjustments Source'!P18,"H:MM:SS"))</f>
        <v>2:46</v>
      </c>
      <c r="V17" s="50" t="str">
        <f>IF('All Tandem Adjustments Source'!T18&lt;1/24,TEXT('All Tandem Adjustments Source'!T18,"M:SS"),TEXT('All Tandem Adjustments Source'!T18,"H:MM:SS"))</f>
        <v>4:40</v>
      </c>
      <c r="W17" s="50" t="str">
        <f>IF('All Tandem Adjustments Source'!X18&lt;1/24,TEXT('All Tandem Adjustments Source'!X18,"M:SS"),TEXT('All Tandem Adjustments Source'!X18,"H:MM:SS"))</f>
        <v>9:41</v>
      </c>
      <c r="X17" s="51">
        <f>'All Tandem Adjustments Source'!AB18</f>
        <v>10.774398148148148</v>
      </c>
      <c r="Y17" s="51">
        <f>'All Tandem Adjustments Source'!AF18</f>
        <v>14.965601851851853</v>
      </c>
      <c r="Z17" s="55" t="str">
        <f>IF('All Tandem Adjustments Source'!E18&lt;1/24,TEXT('All Tandem Adjustments Source'!E18,"M:SS"),TEXT('All Tandem Adjustments Source'!E18,"H:MM:SS"))</f>
        <v>2:14</v>
      </c>
      <c r="AA17" s="55" t="str">
        <f>IF('All Tandem Adjustments Source'!I18&lt;1/24,TEXT('All Tandem Adjustments Source'!I18,"M:SS"),TEXT('All Tandem Adjustments Source'!I18,"H:MM:SS"))</f>
        <v>3:22</v>
      </c>
      <c r="AB17" s="55" t="str">
        <f>IF('All Tandem Adjustments Source'!M18&lt;1/24,TEXT('All Tandem Adjustments Source'!M18,"M:SS"),TEXT('All Tandem Adjustments Source'!M18,"H:MM:SS"))</f>
        <v>5:38</v>
      </c>
      <c r="AC17" s="55" t="str">
        <f>IF('All Tandem Adjustments Source'!Q18&lt;1/24,TEXT('All Tandem Adjustments Source'!Q18,"M:SS"),TEXT('All Tandem Adjustments Source'!Q18,"H:MM:SS"))</f>
        <v>6:48</v>
      </c>
      <c r="AD17" s="55" t="str">
        <f>IF('All Tandem Adjustments Source'!U18&lt;1/24,TEXT('All Tandem Adjustments Source'!U18,"M:SS"),TEXT('All Tandem Adjustments Source'!U18,"H:MM:SS"))</f>
        <v>11:29</v>
      </c>
      <c r="AE17" s="55" t="str">
        <f>IF('All Tandem Adjustments Source'!Y18&lt;1/24,TEXT('All Tandem Adjustments Source'!Y18,"M:SS"),TEXT('All Tandem Adjustments Source'!Y18,"H:MM:SS"))</f>
        <v>23:48</v>
      </c>
      <c r="AF17" s="56">
        <f>'All Tandem Adjustments Source'!AC18</f>
        <v>23.997997685185187</v>
      </c>
      <c r="AG17" s="56">
        <f>'All Tandem Adjustments Source'!AG18</f>
        <v>33.877997685185186</v>
      </c>
    </row>
    <row r="18" spans="1:33" hidden="1" x14ac:dyDescent="0.25">
      <c r="A18" s="17">
        <f>'All Tandem Adjustments Source'!A19</f>
        <v>25</v>
      </c>
      <c r="B18" s="53" t="str">
        <f>IF('All Tandem Adjustments Source'!B19&lt;1/24,TEXT('All Tandem Adjustments Source'!B19,"M:SS"),TEXT('All Tandem Adjustments Source'!B19,"H:MM:SS"))</f>
        <v>0:00</v>
      </c>
      <c r="C18" s="53" t="str">
        <f>IF('All Tandem Adjustments Source'!F19&lt;1/24,TEXT('All Tandem Adjustments Source'!F19,"M:SS"),TEXT('All Tandem Adjustments Source'!F19,"H:MM:SS"))</f>
        <v>0:00</v>
      </c>
      <c r="D18" s="53" t="str">
        <f>IF('All Tandem Adjustments Source'!J19&lt;1/24,TEXT('All Tandem Adjustments Source'!J19,"M:SS"),TEXT('All Tandem Adjustments Source'!J19,"H:MM:SS"))</f>
        <v>0:00</v>
      </c>
      <c r="E18" s="53" t="str">
        <f>IF('All Tandem Adjustments Source'!N19&lt;1/24,TEXT('All Tandem Adjustments Source'!N19,"M:SS"),TEXT('All Tandem Adjustments Source'!N19,"H:MM:SS"))</f>
        <v>0:00</v>
      </c>
      <c r="F18" s="53" t="str">
        <f>IF('All Tandem Adjustments Source'!R19&lt;1/24,TEXT('All Tandem Adjustments Source'!R19,"M:SS"),TEXT('All Tandem Adjustments Source'!R19,"H:MM:SS"))</f>
        <v>0:00</v>
      </c>
      <c r="G18" s="53" t="str">
        <f>IF('All Tandem Adjustments Source'!V19&lt;1/24,TEXT('All Tandem Adjustments Source'!V19,"M:SS"),TEXT('All Tandem Adjustments Source'!V19,"H:MM:SS"))</f>
        <v>0:00</v>
      </c>
      <c r="H18" s="54">
        <f>'All Tandem Adjustments Source'!Z19</f>
        <v>0</v>
      </c>
      <c r="I18" s="54">
        <f>'All Tandem Adjustments Source'!AD19</f>
        <v>0</v>
      </c>
      <c r="J18" s="57" t="str">
        <f>IF('All Tandem Adjustments Source'!C19&lt;1/24,TEXT('All Tandem Adjustments Source'!C19,"M:SS"),TEXT('All Tandem Adjustments Source'!C19,"H:MM:SS"))</f>
        <v>1:12</v>
      </c>
      <c r="K18" s="57" t="str">
        <f>IF('All Tandem Adjustments Source'!G19&lt;1/24,TEXT('All Tandem Adjustments Source'!G19,"M:SS"),TEXT('All Tandem Adjustments Source'!G19,"H:MM:SS"))</f>
        <v>1:49</v>
      </c>
      <c r="L18" s="57" t="str">
        <f>IF('All Tandem Adjustments Source'!K19&lt;1/24,TEXT('All Tandem Adjustments Source'!K19,"M:SS"),TEXT('All Tandem Adjustments Source'!K19,"H:MM:SS"))</f>
        <v>3:03</v>
      </c>
      <c r="M18" s="57" t="str">
        <f>IF('All Tandem Adjustments Source'!O19&lt;1/24,TEXT('All Tandem Adjustments Source'!O19,"M:SS"),TEXT('All Tandem Adjustments Source'!O19,"H:MM:SS"))</f>
        <v>3:41</v>
      </c>
      <c r="N18" s="57" t="str">
        <f>IF('All Tandem Adjustments Source'!S19&lt;1/24,TEXT('All Tandem Adjustments Source'!S19,"M:SS"),TEXT('All Tandem Adjustments Source'!S19,"H:MM:SS"))</f>
        <v>6:13</v>
      </c>
      <c r="O18" s="57" t="str">
        <f>IF('All Tandem Adjustments Source'!W19&lt;1/24,TEXT('All Tandem Adjustments Source'!W19,"M:SS"),TEXT('All Tandem Adjustments Source'!W19,"H:MM:SS"))</f>
        <v>12:53</v>
      </c>
      <c r="P18" s="58">
        <f>'All Tandem Adjustments Source'!AA19</f>
        <v>14.003599537037037</v>
      </c>
      <c r="Q18" s="58">
        <f>'All Tandem Adjustments Source'!AE19</f>
        <v>19.531203703703703</v>
      </c>
      <c r="R18" s="50" t="str">
        <f>IF('All Tandem Adjustments Source'!D19&lt;1/24,TEXT('All Tandem Adjustments Source'!D19,"M:SS"),TEXT('All Tandem Adjustments Source'!D19,"H:MM:SS"))</f>
        <v>0:54</v>
      </c>
      <c r="S18" s="50" t="str">
        <f>IF('All Tandem Adjustments Source'!H19&lt;1/24,TEXT('All Tandem Adjustments Source'!H19,"M:SS"),TEXT('All Tandem Adjustments Source'!H19,"H:MM:SS"))</f>
        <v>1:22</v>
      </c>
      <c r="T18" s="50" t="str">
        <f>IF('All Tandem Adjustments Source'!L19&lt;1/24,TEXT('All Tandem Adjustments Source'!L19,"M:SS"),TEXT('All Tandem Adjustments Source'!L19,"H:MM:SS"))</f>
        <v>2:18</v>
      </c>
      <c r="U18" s="50" t="str">
        <f>IF('All Tandem Adjustments Source'!P19&lt;1/24,TEXT('All Tandem Adjustments Source'!P19,"M:SS"),TEXT('All Tandem Adjustments Source'!P19,"H:MM:SS"))</f>
        <v>2:46</v>
      </c>
      <c r="V18" s="50" t="str">
        <f>IF('All Tandem Adjustments Source'!T19&lt;1/24,TEXT('All Tandem Adjustments Source'!T19,"M:SS"),TEXT('All Tandem Adjustments Source'!T19,"H:MM:SS"))</f>
        <v>4:40</v>
      </c>
      <c r="W18" s="50" t="str">
        <f>IF('All Tandem Adjustments Source'!X19&lt;1/24,TEXT('All Tandem Adjustments Source'!X19,"M:SS"),TEXT('All Tandem Adjustments Source'!X19,"H:MM:SS"))</f>
        <v>9:41</v>
      </c>
      <c r="X18" s="51">
        <f>'All Tandem Adjustments Source'!AB19</f>
        <v>10.774398148148148</v>
      </c>
      <c r="Y18" s="51">
        <f>'All Tandem Adjustments Source'!AF19</f>
        <v>14.965601851851853</v>
      </c>
      <c r="Z18" s="55" t="str">
        <f>IF('All Tandem Adjustments Source'!E19&lt;1/24,TEXT('All Tandem Adjustments Source'!E19,"M:SS"),TEXT('All Tandem Adjustments Source'!E19,"H:MM:SS"))</f>
        <v>2:14</v>
      </c>
      <c r="AA18" s="55" t="str">
        <f>IF('All Tandem Adjustments Source'!I19&lt;1/24,TEXT('All Tandem Adjustments Source'!I19,"M:SS"),TEXT('All Tandem Adjustments Source'!I19,"H:MM:SS"))</f>
        <v>3:22</v>
      </c>
      <c r="AB18" s="55" t="str">
        <f>IF('All Tandem Adjustments Source'!M19&lt;1/24,TEXT('All Tandem Adjustments Source'!M19,"M:SS"),TEXT('All Tandem Adjustments Source'!M19,"H:MM:SS"))</f>
        <v>5:38</v>
      </c>
      <c r="AC18" s="55" t="str">
        <f>IF('All Tandem Adjustments Source'!Q19&lt;1/24,TEXT('All Tandem Adjustments Source'!Q19,"M:SS"),TEXT('All Tandem Adjustments Source'!Q19,"H:MM:SS"))</f>
        <v>6:48</v>
      </c>
      <c r="AD18" s="55" t="str">
        <f>IF('All Tandem Adjustments Source'!U19&lt;1/24,TEXT('All Tandem Adjustments Source'!U19,"M:SS"),TEXT('All Tandem Adjustments Source'!U19,"H:MM:SS"))</f>
        <v>11:29</v>
      </c>
      <c r="AE18" s="55" t="str">
        <f>IF('All Tandem Adjustments Source'!Y19&lt;1/24,TEXT('All Tandem Adjustments Source'!Y19,"M:SS"),TEXT('All Tandem Adjustments Source'!Y19,"H:MM:SS"))</f>
        <v>23:48</v>
      </c>
      <c r="AF18" s="56">
        <f>'All Tandem Adjustments Source'!AC19</f>
        <v>23.997997685185187</v>
      </c>
      <c r="AG18" s="56">
        <f>'All Tandem Adjustments Source'!AG19</f>
        <v>33.877997685185186</v>
      </c>
    </row>
    <row r="19" spans="1:33" hidden="1" x14ac:dyDescent="0.25">
      <c r="A19" s="17">
        <f>'All Tandem Adjustments Source'!A20</f>
        <v>26</v>
      </c>
      <c r="B19" s="53" t="str">
        <f>IF('All Tandem Adjustments Source'!B20&lt;1/24,TEXT('All Tandem Adjustments Source'!B20,"M:SS"),TEXT('All Tandem Adjustments Source'!B20,"H:MM:SS"))</f>
        <v>0:00</v>
      </c>
      <c r="C19" s="53" t="str">
        <f>IF('All Tandem Adjustments Source'!F20&lt;1/24,TEXT('All Tandem Adjustments Source'!F20,"M:SS"),TEXT('All Tandem Adjustments Source'!F20,"H:MM:SS"))</f>
        <v>0:00</v>
      </c>
      <c r="D19" s="53" t="str">
        <f>IF('All Tandem Adjustments Source'!J20&lt;1/24,TEXT('All Tandem Adjustments Source'!J20,"M:SS"),TEXT('All Tandem Adjustments Source'!J20,"H:MM:SS"))</f>
        <v>0:00</v>
      </c>
      <c r="E19" s="53" t="str">
        <f>IF('All Tandem Adjustments Source'!N20&lt;1/24,TEXT('All Tandem Adjustments Source'!N20,"M:SS"),TEXT('All Tandem Adjustments Source'!N20,"H:MM:SS"))</f>
        <v>0:00</v>
      </c>
      <c r="F19" s="53" t="str">
        <f>IF('All Tandem Adjustments Source'!R20&lt;1/24,TEXT('All Tandem Adjustments Source'!R20,"M:SS"),TEXT('All Tandem Adjustments Source'!R20,"H:MM:SS"))</f>
        <v>0:00</v>
      </c>
      <c r="G19" s="53" t="str">
        <f>IF('All Tandem Adjustments Source'!V20&lt;1/24,TEXT('All Tandem Adjustments Source'!V20,"M:SS"),TEXT('All Tandem Adjustments Source'!V20,"H:MM:SS"))</f>
        <v>0:00</v>
      </c>
      <c r="H19" s="54">
        <f>'All Tandem Adjustments Source'!Z20</f>
        <v>0</v>
      </c>
      <c r="I19" s="54">
        <f>'All Tandem Adjustments Source'!AD20</f>
        <v>0</v>
      </c>
      <c r="J19" s="57" t="str">
        <f>IF('All Tandem Adjustments Source'!C20&lt;1/24,TEXT('All Tandem Adjustments Source'!C20,"M:SS"),TEXT('All Tandem Adjustments Source'!C20,"H:MM:SS"))</f>
        <v>1:12</v>
      </c>
      <c r="K19" s="57" t="str">
        <f>IF('All Tandem Adjustments Source'!G20&lt;1/24,TEXT('All Tandem Adjustments Source'!G20,"M:SS"),TEXT('All Tandem Adjustments Source'!G20,"H:MM:SS"))</f>
        <v>1:49</v>
      </c>
      <c r="L19" s="57" t="str">
        <f>IF('All Tandem Adjustments Source'!K20&lt;1/24,TEXT('All Tandem Adjustments Source'!K20,"M:SS"),TEXT('All Tandem Adjustments Source'!K20,"H:MM:SS"))</f>
        <v>3:03</v>
      </c>
      <c r="M19" s="57" t="str">
        <f>IF('All Tandem Adjustments Source'!O20&lt;1/24,TEXT('All Tandem Adjustments Source'!O20,"M:SS"),TEXT('All Tandem Adjustments Source'!O20,"H:MM:SS"))</f>
        <v>3:41</v>
      </c>
      <c r="N19" s="57" t="str">
        <f>IF('All Tandem Adjustments Source'!S20&lt;1/24,TEXT('All Tandem Adjustments Source'!S20,"M:SS"),TEXT('All Tandem Adjustments Source'!S20,"H:MM:SS"))</f>
        <v>6:13</v>
      </c>
      <c r="O19" s="57" t="str">
        <f>IF('All Tandem Adjustments Source'!W20&lt;1/24,TEXT('All Tandem Adjustments Source'!W20,"M:SS"),TEXT('All Tandem Adjustments Source'!W20,"H:MM:SS"))</f>
        <v>12:53</v>
      </c>
      <c r="P19" s="58">
        <f>'All Tandem Adjustments Source'!AA20</f>
        <v>14.003599537037037</v>
      </c>
      <c r="Q19" s="58">
        <f>'All Tandem Adjustments Source'!AE20</f>
        <v>19.531203703703703</v>
      </c>
      <c r="R19" s="50" t="str">
        <f>IF('All Tandem Adjustments Source'!D20&lt;1/24,TEXT('All Tandem Adjustments Source'!D20,"M:SS"),TEXT('All Tandem Adjustments Source'!D20,"H:MM:SS"))</f>
        <v>0:54</v>
      </c>
      <c r="S19" s="50" t="str">
        <f>IF('All Tandem Adjustments Source'!H20&lt;1/24,TEXT('All Tandem Adjustments Source'!H20,"M:SS"),TEXT('All Tandem Adjustments Source'!H20,"H:MM:SS"))</f>
        <v>1:22</v>
      </c>
      <c r="T19" s="50" t="str">
        <f>IF('All Tandem Adjustments Source'!L20&lt;1/24,TEXT('All Tandem Adjustments Source'!L20,"M:SS"),TEXT('All Tandem Adjustments Source'!L20,"H:MM:SS"))</f>
        <v>2:18</v>
      </c>
      <c r="U19" s="50" t="str">
        <f>IF('All Tandem Adjustments Source'!P20&lt;1/24,TEXT('All Tandem Adjustments Source'!P20,"M:SS"),TEXT('All Tandem Adjustments Source'!P20,"H:MM:SS"))</f>
        <v>2:46</v>
      </c>
      <c r="V19" s="50" t="str">
        <f>IF('All Tandem Adjustments Source'!T20&lt;1/24,TEXT('All Tandem Adjustments Source'!T20,"M:SS"),TEXT('All Tandem Adjustments Source'!T20,"H:MM:SS"))</f>
        <v>4:40</v>
      </c>
      <c r="W19" s="50" t="str">
        <f>IF('All Tandem Adjustments Source'!X20&lt;1/24,TEXT('All Tandem Adjustments Source'!X20,"M:SS"),TEXT('All Tandem Adjustments Source'!X20,"H:MM:SS"))</f>
        <v>9:41</v>
      </c>
      <c r="X19" s="51">
        <f>'All Tandem Adjustments Source'!AB20</f>
        <v>10.774398148148148</v>
      </c>
      <c r="Y19" s="51">
        <f>'All Tandem Adjustments Source'!AF20</f>
        <v>14.965601851851853</v>
      </c>
      <c r="Z19" s="55" t="str">
        <f>IF('All Tandem Adjustments Source'!E20&lt;1/24,TEXT('All Tandem Adjustments Source'!E20,"M:SS"),TEXT('All Tandem Adjustments Source'!E20,"H:MM:SS"))</f>
        <v>2:14</v>
      </c>
      <c r="AA19" s="55" t="str">
        <f>IF('All Tandem Adjustments Source'!I20&lt;1/24,TEXT('All Tandem Adjustments Source'!I20,"M:SS"),TEXT('All Tandem Adjustments Source'!I20,"H:MM:SS"))</f>
        <v>3:22</v>
      </c>
      <c r="AB19" s="55" t="str">
        <f>IF('All Tandem Adjustments Source'!M20&lt;1/24,TEXT('All Tandem Adjustments Source'!M20,"M:SS"),TEXT('All Tandem Adjustments Source'!M20,"H:MM:SS"))</f>
        <v>5:38</v>
      </c>
      <c r="AC19" s="55" t="str">
        <f>IF('All Tandem Adjustments Source'!Q20&lt;1/24,TEXT('All Tandem Adjustments Source'!Q20,"M:SS"),TEXT('All Tandem Adjustments Source'!Q20,"H:MM:SS"))</f>
        <v>6:48</v>
      </c>
      <c r="AD19" s="55" t="str">
        <f>IF('All Tandem Adjustments Source'!U20&lt;1/24,TEXT('All Tandem Adjustments Source'!U20,"M:SS"),TEXT('All Tandem Adjustments Source'!U20,"H:MM:SS"))</f>
        <v>11:29</v>
      </c>
      <c r="AE19" s="55" t="str">
        <f>IF('All Tandem Adjustments Source'!Y20&lt;1/24,TEXT('All Tandem Adjustments Source'!Y20,"M:SS"),TEXT('All Tandem Adjustments Source'!Y20,"H:MM:SS"))</f>
        <v>23:48</v>
      </c>
      <c r="AF19" s="56">
        <f>'All Tandem Adjustments Source'!AC20</f>
        <v>23.997997685185187</v>
      </c>
      <c r="AG19" s="56">
        <f>'All Tandem Adjustments Source'!AG20</f>
        <v>33.877997685185186</v>
      </c>
    </row>
    <row r="20" spans="1:33" hidden="1" x14ac:dyDescent="0.25">
      <c r="A20" s="17">
        <f>'All Tandem Adjustments Source'!A21</f>
        <v>27</v>
      </c>
      <c r="B20" s="53" t="str">
        <f>IF('All Tandem Adjustments Source'!B21&lt;1/24,TEXT('All Tandem Adjustments Source'!B21,"M:SS"),TEXT('All Tandem Adjustments Source'!B21,"H:MM:SS"))</f>
        <v>0:00</v>
      </c>
      <c r="C20" s="53" t="str">
        <f>IF('All Tandem Adjustments Source'!F21&lt;1/24,TEXT('All Tandem Adjustments Source'!F21,"M:SS"),TEXT('All Tandem Adjustments Source'!F21,"H:MM:SS"))</f>
        <v>0:00</v>
      </c>
      <c r="D20" s="53" t="str">
        <f>IF('All Tandem Adjustments Source'!J21&lt;1/24,TEXT('All Tandem Adjustments Source'!J21,"M:SS"),TEXT('All Tandem Adjustments Source'!J21,"H:MM:SS"))</f>
        <v>0:00</v>
      </c>
      <c r="E20" s="53" t="str">
        <f>IF('All Tandem Adjustments Source'!N21&lt;1/24,TEXT('All Tandem Adjustments Source'!N21,"M:SS"),TEXT('All Tandem Adjustments Source'!N21,"H:MM:SS"))</f>
        <v>0:00</v>
      </c>
      <c r="F20" s="53" t="str">
        <f>IF('All Tandem Adjustments Source'!R21&lt;1/24,TEXT('All Tandem Adjustments Source'!R21,"M:SS"),TEXT('All Tandem Adjustments Source'!R21,"H:MM:SS"))</f>
        <v>0:00</v>
      </c>
      <c r="G20" s="53" t="str">
        <f>IF('All Tandem Adjustments Source'!V21&lt;1/24,TEXT('All Tandem Adjustments Source'!V21,"M:SS"),TEXT('All Tandem Adjustments Source'!V21,"H:MM:SS"))</f>
        <v>0:00</v>
      </c>
      <c r="H20" s="54">
        <f>'All Tandem Adjustments Source'!Z21</f>
        <v>0</v>
      </c>
      <c r="I20" s="54">
        <f>'All Tandem Adjustments Source'!AD21</f>
        <v>0</v>
      </c>
      <c r="J20" s="57" t="str">
        <f>IF('All Tandem Adjustments Source'!C21&lt;1/24,TEXT('All Tandem Adjustments Source'!C21,"M:SS"),TEXT('All Tandem Adjustments Source'!C21,"H:MM:SS"))</f>
        <v>1:12</v>
      </c>
      <c r="K20" s="57" t="str">
        <f>IF('All Tandem Adjustments Source'!G21&lt;1/24,TEXT('All Tandem Adjustments Source'!G21,"M:SS"),TEXT('All Tandem Adjustments Source'!G21,"H:MM:SS"))</f>
        <v>1:49</v>
      </c>
      <c r="L20" s="57" t="str">
        <f>IF('All Tandem Adjustments Source'!K21&lt;1/24,TEXT('All Tandem Adjustments Source'!K21,"M:SS"),TEXT('All Tandem Adjustments Source'!K21,"H:MM:SS"))</f>
        <v>3:03</v>
      </c>
      <c r="M20" s="57" t="str">
        <f>IF('All Tandem Adjustments Source'!O21&lt;1/24,TEXT('All Tandem Adjustments Source'!O21,"M:SS"),TEXT('All Tandem Adjustments Source'!O21,"H:MM:SS"))</f>
        <v>3:41</v>
      </c>
      <c r="N20" s="57" t="str">
        <f>IF('All Tandem Adjustments Source'!S21&lt;1/24,TEXT('All Tandem Adjustments Source'!S21,"M:SS"),TEXT('All Tandem Adjustments Source'!S21,"H:MM:SS"))</f>
        <v>6:13</v>
      </c>
      <c r="O20" s="57" t="str">
        <f>IF('All Tandem Adjustments Source'!W21&lt;1/24,TEXT('All Tandem Adjustments Source'!W21,"M:SS"),TEXT('All Tandem Adjustments Source'!W21,"H:MM:SS"))</f>
        <v>12:53</v>
      </c>
      <c r="P20" s="58">
        <f>'All Tandem Adjustments Source'!AA21</f>
        <v>14.003599537037037</v>
      </c>
      <c r="Q20" s="58">
        <f>'All Tandem Adjustments Source'!AE21</f>
        <v>19.531203703703703</v>
      </c>
      <c r="R20" s="50" t="str">
        <f>IF('All Tandem Adjustments Source'!D21&lt;1/24,TEXT('All Tandem Adjustments Source'!D21,"M:SS"),TEXT('All Tandem Adjustments Source'!D21,"H:MM:SS"))</f>
        <v>0:54</v>
      </c>
      <c r="S20" s="50" t="str">
        <f>IF('All Tandem Adjustments Source'!H21&lt;1/24,TEXT('All Tandem Adjustments Source'!H21,"M:SS"),TEXT('All Tandem Adjustments Source'!H21,"H:MM:SS"))</f>
        <v>1:22</v>
      </c>
      <c r="T20" s="50" t="str">
        <f>IF('All Tandem Adjustments Source'!L21&lt;1/24,TEXT('All Tandem Adjustments Source'!L21,"M:SS"),TEXT('All Tandem Adjustments Source'!L21,"H:MM:SS"))</f>
        <v>2:18</v>
      </c>
      <c r="U20" s="50" t="str">
        <f>IF('All Tandem Adjustments Source'!P21&lt;1/24,TEXT('All Tandem Adjustments Source'!P21,"M:SS"),TEXT('All Tandem Adjustments Source'!P21,"H:MM:SS"))</f>
        <v>2:46</v>
      </c>
      <c r="V20" s="50" t="str">
        <f>IF('All Tandem Adjustments Source'!T21&lt;1/24,TEXT('All Tandem Adjustments Source'!T21,"M:SS"),TEXT('All Tandem Adjustments Source'!T21,"H:MM:SS"))</f>
        <v>4:40</v>
      </c>
      <c r="W20" s="50" t="str">
        <f>IF('All Tandem Adjustments Source'!X21&lt;1/24,TEXT('All Tandem Adjustments Source'!X21,"M:SS"),TEXT('All Tandem Adjustments Source'!X21,"H:MM:SS"))</f>
        <v>9:41</v>
      </c>
      <c r="X20" s="51">
        <f>'All Tandem Adjustments Source'!AB21</f>
        <v>10.774398148148148</v>
      </c>
      <c r="Y20" s="51">
        <f>'All Tandem Adjustments Source'!AF21</f>
        <v>14.965601851851853</v>
      </c>
      <c r="Z20" s="55" t="str">
        <f>IF('All Tandem Adjustments Source'!E21&lt;1/24,TEXT('All Tandem Adjustments Source'!E21,"M:SS"),TEXT('All Tandem Adjustments Source'!E21,"H:MM:SS"))</f>
        <v>2:14</v>
      </c>
      <c r="AA20" s="55" t="str">
        <f>IF('All Tandem Adjustments Source'!I21&lt;1/24,TEXT('All Tandem Adjustments Source'!I21,"M:SS"),TEXT('All Tandem Adjustments Source'!I21,"H:MM:SS"))</f>
        <v>3:22</v>
      </c>
      <c r="AB20" s="55" t="str">
        <f>IF('All Tandem Adjustments Source'!M21&lt;1/24,TEXT('All Tandem Adjustments Source'!M21,"M:SS"),TEXT('All Tandem Adjustments Source'!M21,"H:MM:SS"))</f>
        <v>5:38</v>
      </c>
      <c r="AC20" s="55" t="str">
        <f>IF('All Tandem Adjustments Source'!Q21&lt;1/24,TEXT('All Tandem Adjustments Source'!Q21,"M:SS"),TEXT('All Tandem Adjustments Source'!Q21,"H:MM:SS"))</f>
        <v>6:48</v>
      </c>
      <c r="AD20" s="55" t="str">
        <f>IF('All Tandem Adjustments Source'!U21&lt;1/24,TEXT('All Tandem Adjustments Source'!U21,"M:SS"),TEXT('All Tandem Adjustments Source'!U21,"H:MM:SS"))</f>
        <v>11:29</v>
      </c>
      <c r="AE20" s="55" t="str">
        <f>IF('All Tandem Adjustments Source'!Y21&lt;1/24,TEXT('All Tandem Adjustments Source'!Y21,"M:SS"),TEXT('All Tandem Adjustments Source'!Y21,"H:MM:SS"))</f>
        <v>23:48</v>
      </c>
      <c r="AF20" s="56">
        <f>'All Tandem Adjustments Source'!AC21</f>
        <v>23.997997685185187</v>
      </c>
      <c r="AG20" s="56">
        <f>'All Tandem Adjustments Source'!AG21</f>
        <v>33.877997685185186</v>
      </c>
    </row>
    <row r="21" spans="1:33" hidden="1" x14ac:dyDescent="0.25">
      <c r="A21" s="17">
        <f>'All Tandem Adjustments Source'!A22</f>
        <v>28</v>
      </c>
      <c r="B21" s="53" t="str">
        <f>IF('All Tandem Adjustments Source'!B22&lt;1/24,TEXT('All Tandem Adjustments Source'!B22,"M:SS"),TEXT('All Tandem Adjustments Source'!B22,"H:MM:SS"))</f>
        <v>0:00</v>
      </c>
      <c r="C21" s="53" t="str">
        <f>IF('All Tandem Adjustments Source'!F22&lt;1/24,TEXT('All Tandem Adjustments Source'!F22,"M:SS"),TEXT('All Tandem Adjustments Source'!F22,"H:MM:SS"))</f>
        <v>0:00</v>
      </c>
      <c r="D21" s="53" t="str">
        <f>IF('All Tandem Adjustments Source'!J22&lt;1/24,TEXT('All Tandem Adjustments Source'!J22,"M:SS"),TEXT('All Tandem Adjustments Source'!J22,"H:MM:SS"))</f>
        <v>0:00</v>
      </c>
      <c r="E21" s="53" t="str">
        <f>IF('All Tandem Adjustments Source'!N22&lt;1/24,TEXT('All Tandem Adjustments Source'!N22,"M:SS"),TEXT('All Tandem Adjustments Source'!N22,"H:MM:SS"))</f>
        <v>0:00</v>
      </c>
      <c r="F21" s="53" t="str">
        <f>IF('All Tandem Adjustments Source'!R22&lt;1/24,TEXT('All Tandem Adjustments Source'!R22,"M:SS"),TEXT('All Tandem Adjustments Source'!R22,"H:MM:SS"))</f>
        <v>0:00</v>
      </c>
      <c r="G21" s="53" t="str">
        <f>IF('All Tandem Adjustments Source'!V22&lt;1/24,TEXT('All Tandem Adjustments Source'!V22,"M:SS"),TEXT('All Tandem Adjustments Source'!V22,"H:MM:SS"))</f>
        <v>0:00</v>
      </c>
      <c r="H21" s="54">
        <f>'All Tandem Adjustments Source'!Z22</f>
        <v>0</v>
      </c>
      <c r="I21" s="54">
        <f>'All Tandem Adjustments Source'!AD22</f>
        <v>0</v>
      </c>
      <c r="J21" s="57" t="str">
        <f>IF('All Tandem Adjustments Source'!C22&lt;1/24,TEXT('All Tandem Adjustments Source'!C22,"M:SS"),TEXT('All Tandem Adjustments Source'!C22,"H:MM:SS"))</f>
        <v>1:12</v>
      </c>
      <c r="K21" s="57" t="str">
        <f>IF('All Tandem Adjustments Source'!G22&lt;1/24,TEXT('All Tandem Adjustments Source'!G22,"M:SS"),TEXT('All Tandem Adjustments Source'!G22,"H:MM:SS"))</f>
        <v>1:49</v>
      </c>
      <c r="L21" s="57" t="str">
        <f>IF('All Tandem Adjustments Source'!K22&lt;1/24,TEXT('All Tandem Adjustments Source'!K22,"M:SS"),TEXT('All Tandem Adjustments Source'!K22,"H:MM:SS"))</f>
        <v>3:03</v>
      </c>
      <c r="M21" s="57" t="str">
        <f>IF('All Tandem Adjustments Source'!O22&lt;1/24,TEXT('All Tandem Adjustments Source'!O22,"M:SS"),TEXT('All Tandem Adjustments Source'!O22,"H:MM:SS"))</f>
        <v>3:41</v>
      </c>
      <c r="N21" s="57" t="str">
        <f>IF('All Tandem Adjustments Source'!S22&lt;1/24,TEXT('All Tandem Adjustments Source'!S22,"M:SS"),TEXT('All Tandem Adjustments Source'!S22,"H:MM:SS"))</f>
        <v>6:13</v>
      </c>
      <c r="O21" s="57" t="str">
        <f>IF('All Tandem Adjustments Source'!W22&lt;1/24,TEXT('All Tandem Adjustments Source'!W22,"M:SS"),TEXT('All Tandem Adjustments Source'!W22,"H:MM:SS"))</f>
        <v>12:53</v>
      </c>
      <c r="P21" s="58">
        <f>'All Tandem Adjustments Source'!AA22</f>
        <v>14.003599537037037</v>
      </c>
      <c r="Q21" s="58">
        <f>'All Tandem Adjustments Source'!AE22</f>
        <v>19.531203703703703</v>
      </c>
      <c r="R21" s="50" t="str">
        <f>IF('All Tandem Adjustments Source'!D22&lt;1/24,TEXT('All Tandem Adjustments Source'!D22,"M:SS"),TEXT('All Tandem Adjustments Source'!D22,"H:MM:SS"))</f>
        <v>0:54</v>
      </c>
      <c r="S21" s="50" t="str">
        <f>IF('All Tandem Adjustments Source'!H22&lt;1/24,TEXT('All Tandem Adjustments Source'!H22,"M:SS"),TEXT('All Tandem Adjustments Source'!H22,"H:MM:SS"))</f>
        <v>1:22</v>
      </c>
      <c r="T21" s="50" t="str">
        <f>IF('All Tandem Adjustments Source'!L22&lt;1/24,TEXT('All Tandem Adjustments Source'!L22,"M:SS"),TEXT('All Tandem Adjustments Source'!L22,"H:MM:SS"))</f>
        <v>2:18</v>
      </c>
      <c r="U21" s="50" t="str">
        <f>IF('All Tandem Adjustments Source'!P22&lt;1/24,TEXT('All Tandem Adjustments Source'!P22,"M:SS"),TEXT('All Tandem Adjustments Source'!P22,"H:MM:SS"))</f>
        <v>2:46</v>
      </c>
      <c r="V21" s="50" t="str">
        <f>IF('All Tandem Adjustments Source'!T22&lt;1/24,TEXT('All Tandem Adjustments Source'!T22,"M:SS"),TEXT('All Tandem Adjustments Source'!T22,"H:MM:SS"))</f>
        <v>4:40</v>
      </c>
      <c r="W21" s="50" t="str">
        <f>IF('All Tandem Adjustments Source'!X22&lt;1/24,TEXT('All Tandem Adjustments Source'!X22,"M:SS"),TEXT('All Tandem Adjustments Source'!X22,"H:MM:SS"))</f>
        <v>9:41</v>
      </c>
      <c r="X21" s="51">
        <f>'All Tandem Adjustments Source'!AB22</f>
        <v>10.774398148148148</v>
      </c>
      <c r="Y21" s="51">
        <f>'All Tandem Adjustments Source'!AF22</f>
        <v>14.965601851851853</v>
      </c>
      <c r="Z21" s="55" t="str">
        <f>IF('All Tandem Adjustments Source'!E22&lt;1/24,TEXT('All Tandem Adjustments Source'!E22,"M:SS"),TEXT('All Tandem Adjustments Source'!E22,"H:MM:SS"))</f>
        <v>2:14</v>
      </c>
      <c r="AA21" s="55" t="str">
        <f>IF('All Tandem Adjustments Source'!I22&lt;1/24,TEXT('All Tandem Adjustments Source'!I22,"M:SS"),TEXT('All Tandem Adjustments Source'!I22,"H:MM:SS"))</f>
        <v>3:22</v>
      </c>
      <c r="AB21" s="55" t="str">
        <f>IF('All Tandem Adjustments Source'!M22&lt;1/24,TEXT('All Tandem Adjustments Source'!M22,"M:SS"),TEXT('All Tandem Adjustments Source'!M22,"H:MM:SS"))</f>
        <v>5:38</v>
      </c>
      <c r="AC21" s="55" t="str">
        <f>IF('All Tandem Adjustments Source'!Q22&lt;1/24,TEXT('All Tandem Adjustments Source'!Q22,"M:SS"),TEXT('All Tandem Adjustments Source'!Q22,"H:MM:SS"))</f>
        <v>6:48</v>
      </c>
      <c r="AD21" s="55" t="str">
        <f>IF('All Tandem Adjustments Source'!U22&lt;1/24,TEXT('All Tandem Adjustments Source'!U22,"M:SS"),TEXT('All Tandem Adjustments Source'!U22,"H:MM:SS"))</f>
        <v>11:29</v>
      </c>
      <c r="AE21" s="55" t="str">
        <f>IF('All Tandem Adjustments Source'!Y22&lt;1/24,TEXT('All Tandem Adjustments Source'!Y22,"M:SS"),TEXT('All Tandem Adjustments Source'!Y22,"H:MM:SS"))</f>
        <v>23:48</v>
      </c>
      <c r="AF21" s="56">
        <f>'All Tandem Adjustments Source'!AC22</f>
        <v>23.997997685185187</v>
      </c>
      <c r="AG21" s="56">
        <f>'All Tandem Adjustments Source'!AG22</f>
        <v>33.877997685185186</v>
      </c>
    </row>
    <row r="22" spans="1:33" hidden="1" x14ac:dyDescent="0.25">
      <c r="A22" s="17">
        <f>'All Tandem Adjustments Source'!A23</f>
        <v>29</v>
      </c>
      <c r="B22" s="53" t="str">
        <f>IF('All Tandem Adjustments Source'!B23&lt;1/24,TEXT('All Tandem Adjustments Source'!B23,"M:SS"),TEXT('All Tandem Adjustments Source'!B23,"H:MM:SS"))</f>
        <v>0:00</v>
      </c>
      <c r="C22" s="53" t="str">
        <f>IF('All Tandem Adjustments Source'!F23&lt;1/24,TEXT('All Tandem Adjustments Source'!F23,"M:SS"),TEXT('All Tandem Adjustments Source'!F23,"H:MM:SS"))</f>
        <v>0:00</v>
      </c>
      <c r="D22" s="53" t="str">
        <f>IF('All Tandem Adjustments Source'!J23&lt;1/24,TEXT('All Tandem Adjustments Source'!J23,"M:SS"),TEXT('All Tandem Adjustments Source'!J23,"H:MM:SS"))</f>
        <v>0:00</v>
      </c>
      <c r="E22" s="53" t="str">
        <f>IF('All Tandem Adjustments Source'!N23&lt;1/24,TEXT('All Tandem Adjustments Source'!N23,"M:SS"),TEXT('All Tandem Adjustments Source'!N23,"H:MM:SS"))</f>
        <v>0:00</v>
      </c>
      <c r="F22" s="53" t="str">
        <f>IF('All Tandem Adjustments Source'!R23&lt;1/24,TEXT('All Tandem Adjustments Source'!R23,"M:SS"),TEXT('All Tandem Adjustments Source'!R23,"H:MM:SS"))</f>
        <v>0:00</v>
      </c>
      <c r="G22" s="53" t="str">
        <f>IF('All Tandem Adjustments Source'!V23&lt;1/24,TEXT('All Tandem Adjustments Source'!V23,"M:SS"),TEXT('All Tandem Adjustments Source'!V23,"H:MM:SS"))</f>
        <v>0:00</v>
      </c>
      <c r="H22" s="54">
        <f>'All Tandem Adjustments Source'!Z23</f>
        <v>0</v>
      </c>
      <c r="I22" s="54">
        <f>'All Tandem Adjustments Source'!AD23</f>
        <v>0</v>
      </c>
      <c r="J22" s="57" t="str">
        <f>IF('All Tandem Adjustments Source'!C23&lt;1/24,TEXT('All Tandem Adjustments Source'!C23,"M:SS"),TEXT('All Tandem Adjustments Source'!C23,"H:MM:SS"))</f>
        <v>1:12</v>
      </c>
      <c r="K22" s="57" t="str">
        <f>IF('All Tandem Adjustments Source'!G23&lt;1/24,TEXT('All Tandem Adjustments Source'!G23,"M:SS"),TEXT('All Tandem Adjustments Source'!G23,"H:MM:SS"))</f>
        <v>1:49</v>
      </c>
      <c r="L22" s="57" t="str">
        <f>IF('All Tandem Adjustments Source'!K23&lt;1/24,TEXT('All Tandem Adjustments Source'!K23,"M:SS"),TEXT('All Tandem Adjustments Source'!K23,"H:MM:SS"))</f>
        <v>3:03</v>
      </c>
      <c r="M22" s="57" t="str">
        <f>IF('All Tandem Adjustments Source'!O23&lt;1/24,TEXT('All Tandem Adjustments Source'!O23,"M:SS"),TEXT('All Tandem Adjustments Source'!O23,"H:MM:SS"))</f>
        <v>3:41</v>
      </c>
      <c r="N22" s="57" t="str">
        <f>IF('All Tandem Adjustments Source'!S23&lt;1/24,TEXT('All Tandem Adjustments Source'!S23,"M:SS"),TEXT('All Tandem Adjustments Source'!S23,"H:MM:SS"))</f>
        <v>6:13</v>
      </c>
      <c r="O22" s="57" t="str">
        <f>IF('All Tandem Adjustments Source'!W23&lt;1/24,TEXT('All Tandem Adjustments Source'!W23,"M:SS"),TEXT('All Tandem Adjustments Source'!W23,"H:MM:SS"))</f>
        <v>12:53</v>
      </c>
      <c r="P22" s="58">
        <f>'All Tandem Adjustments Source'!AA23</f>
        <v>14.003599537037037</v>
      </c>
      <c r="Q22" s="58">
        <f>'All Tandem Adjustments Source'!AE23</f>
        <v>19.531203703703703</v>
      </c>
      <c r="R22" s="50" t="str">
        <f>IF('All Tandem Adjustments Source'!D23&lt;1/24,TEXT('All Tandem Adjustments Source'!D23,"M:SS"),TEXT('All Tandem Adjustments Source'!D23,"H:MM:SS"))</f>
        <v>0:54</v>
      </c>
      <c r="S22" s="50" t="str">
        <f>IF('All Tandem Adjustments Source'!H23&lt;1/24,TEXT('All Tandem Adjustments Source'!H23,"M:SS"),TEXT('All Tandem Adjustments Source'!H23,"H:MM:SS"))</f>
        <v>1:22</v>
      </c>
      <c r="T22" s="50" t="str">
        <f>IF('All Tandem Adjustments Source'!L23&lt;1/24,TEXT('All Tandem Adjustments Source'!L23,"M:SS"),TEXT('All Tandem Adjustments Source'!L23,"H:MM:SS"))</f>
        <v>2:18</v>
      </c>
      <c r="U22" s="50" t="str">
        <f>IF('All Tandem Adjustments Source'!P23&lt;1/24,TEXT('All Tandem Adjustments Source'!P23,"M:SS"),TEXT('All Tandem Adjustments Source'!P23,"H:MM:SS"))</f>
        <v>2:46</v>
      </c>
      <c r="V22" s="50" t="str">
        <f>IF('All Tandem Adjustments Source'!T23&lt;1/24,TEXT('All Tandem Adjustments Source'!T23,"M:SS"),TEXT('All Tandem Adjustments Source'!T23,"H:MM:SS"))</f>
        <v>4:40</v>
      </c>
      <c r="W22" s="50" t="str">
        <f>IF('All Tandem Adjustments Source'!X23&lt;1/24,TEXT('All Tandem Adjustments Source'!X23,"M:SS"),TEXT('All Tandem Adjustments Source'!X23,"H:MM:SS"))</f>
        <v>9:41</v>
      </c>
      <c r="X22" s="51">
        <f>'All Tandem Adjustments Source'!AB23</f>
        <v>10.774398148148148</v>
      </c>
      <c r="Y22" s="51">
        <f>'All Tandem Adjustments Source'!AF23</f>
        <v>14.965601851851853</v>
      </c>
      <c r="Z22" s="55" t="str">
        <f>IF('All Tandem Adjustments Source'!E23&lt;1/24,TEXT('All Tandem Adjustments Source'!E23,"M:SS"),TEXT('All Tandem Adjustments Source'!E23,"H:MM:SS"))</f>
        <v>2:14</v>
      </c>
      <c r="AA22" s="55" t="str">
        <f>IF('All Tandem Adjustments Source'!I23&lt;1/24,TEXT('All Tandem Adjustments Source'!I23,"M:SS"),TEXT('All Tandem Adjustments Source'!I23,"H:MM:SS"))</f>
        <v>3:22</v>
      </c>
      <c r="AB22" s="55" t="str">
        <f>IF('All Tandem Adjustments Source'!M23&lt;1/24,TEXT('All Tandem Adjustments Source'!M23,"M:SS"),TEXT('All Tandem Adjustments Source'!M23,"H:MM:SS"))</f>
        <v>5:38</v>
      </c>
      <c r="AC22" s="55" t="str">
        <f>IF('All Tandem Adjustments Source'!Q23&lt;1/24,TEXT('All Tandem Adjustments Source'!Q23,"M:SS"),TEXT('All Tandem Adjustments Source'!Q23,"H:MM:SS"))</f>
        <v>6:48</v>
      </c>
      <c r="AD22" s="55" t="str">
        <f>IF('All Tandem Adjustments Source'!U23&lt;1/24,TEXT('All Tandem Adjustments Source'!U23,"M:SS"),TEXT('All Tandem Adjustments Source'!U23,"H:MM:SS"))</f>
        <v>11:29</v>
      </c>
      <c r="AE22" s="55" t="str">
        <f>IF('All Tandem Adjustments Source'!Y23&lt;1/24,TEXT('All Tandem Adjustments Source'!Y23,"M:SS"),TEXT('All Tandem Adjustments Source'!Y23,"H:MM:SS"))</f>
        <v>23:48</v>
      </c>
      <c r="AF22" s="56">
        <f>'All Tandem Adjustments Source'!AC23</f>
        <v>23.997997685185187</v>
      </c>
      <c r="AG22" s="56">
        <f>'All Tandem Adjustments Source'!AG23</f>
        <v>33.877997685185186</v>
      </c>
    </row>
    <row r="23" spans="1:33" hidden="1" x14ac:dyDescent="0.25">
      <c r="A23" s="17">
        <f>'All Tandem Adjustments Source'!A24</f>
        <v>30</v>
      </c>
      <c r="B23" s="53" t="str">
        <f>IF('All Tandem Adjustments Source'!B24&lt;1/24,TEXT('All Tandem Adjustments Source'!B24,"M:SS"),TEXT('All Tandem Adjustments Source'!B24,"H:MM:SS"))</f>
        <v>0:00</v>
      </c>
      <c r="C23" s="53" t="str">
        <f>IF('All Tandem Adjustments Source'!F24&lt;1/24,TEXT('All Tandem Adjustments Source'!F24,"M:SS"),TEXT('All Tandem Adjustments Source'!F24,"H:MM:SS"))</f>
        <v>0:00</v>
      </c>
      <c r="D23" s="53" t="str">
        <f>IF('All Tandem Adjustments Source'!J24&lt;1/24,TEXT('All Tandem Adjustments Source'!J24,"M:SS"),TEXT('All Tandem Adjustments Source'!J24,"H:MM:SS"))</f>
        <v>0:00</v>
      </c>
      <c r="E23" s="53" t="str">
        <f>IF('All Tandem Adjustments Source'!N24&lt;1/24,TEXT('All Tandem Adjustments Source'!N24,"M:SS"),TEXT('All Tandem Adjustments Source'!N24,"H:MM:SS"))</f>
        <v>0:00</v>
      </c>
      <c r="F23" s="53" t="str">
        <f>IF('All Tandem Adjustments Source'!R24&lt;1/24,TEXT('All Tandem Adjustments Source'!R24,"M:SS"),TEXT('All Tandem Adjustments Source'!R24,"H:MM:SS"))</f>
        <v>0:00</v>
      </c>
      <c r="G23" s="53" t="str">
        <f>IF('All Tandem Adjustments Source'!V24&lt;1/24,TEXT('All Tandem Adjustments Source'!V24,"M:SS"),TEXT('All Tandem Adjustments Source'!V24,"H:MM:SS"))</f>
        <v>0:00</v>
      </c>
      <c r="H23" s="54">
        <f>'All Tandem Adjustments Source'!Z24</f>
        <v>0</v>
      </c>
      <c r="I23" s="54">
        <f>'All Tandem Adjustments Source'!AD24</f>
        <v>0</v>
      </c>
      <c r="J23" s="57" t="str">
        <f>IF('All Tandem Adjustments Source'!C24&lt;1/24,TEXT('All Tandem Adjustments Source'!C24,"M:SS"),TEXT('All Tandem Adjustments Source'!C24,"H:MM:SS"))</f>
        <v>1:12</v>
      </c>
      <c r="K23" s="57" t="str">
        <f>IF('All Tandem Adjustments Source'!G24&lt;1/24,TEXT('All Tandem Adjustments Source'!G24,"M:SS"),TEXT('All Tandem Adjustments Source'!G24,"H:MM:SS"))</f>
        <v>1:49</v>
      </c>
      <c r="L23" s="57" t="str">
        <f>IF('All Tandem Adjustments Source'!K24&lt;1/24,TEXT('All Tandem Adjustments Source'!K24,"M:SS"),TEXT('All Tandem Adjustments Source'!K24,"H:MM:SS"))</f>
        <v>3:03</v>
      </c>
      <c r="M23" s="57" t="str">
        <f>IF('All Tandem Adjustments Source'!O24&lt;1/24,TEXT('All Tandem Adjustments Source'!O24,"M:SS"),TEXT('All Tandem Adjustments Source'!O24,"H:MM:SS"))</f>
        <v>3:41</v>
      </c>
      <c r="N23" s="57" t="str">
        <f>IF('All Tandem Adjustments Source'!S24&lt;1/24,TEXT('All Tandem Adjustments Source'!S24,"M:SS"),TEXT('All Tandem Adjustments Source'!S24,"H:MM:SS"))</f>
        <v>6:13</v>
      </c>
      <c r="O23" s="57" t="str">
        <f>IF('All Tandem Adjustments Source'!W24&lt;1/24,TEXT('All Tandem Adjustments Source'!W24,"M:SS"),TEXT('All Tandem Adjustments Source'!W24,"H:MM:SS"))</f>
        <v>12:53</v>
      </c>
      <c r="P23" s="58">
        <f>'All Tandem Adjustments Source'!AA24</f>
        <v>14.003599537037037</v>
      </c>
      <c r="Q23" s="58">
        <f>'All Tandem Adjustments Source'!AE24</f>
        <v>19.531203703703703</v>
      </c>
      <c r="R23" s="50" t="str">
        <f>IF('All Tandem Adjustments Source'!D24&lt;1/24,TEXT('All Tandem Adjustments Source'!D24,"M:SS"),TEXT('All Tandem Adjustments Source'!D24,"H:MM:SS"))</f>
        <v>0:54</v>
      </c>
      <c r="S23" s="50" t="str">
        <f>IF('All Tandem Adjustments Source'!H24&lt;1/24,TEXT('All Tandem Adjustments Source'!H24,"M:SS"),TEXT('All Tandem Adjustments Source'!H24,"H:MM:SS"))</f>
        <v>1:22</v>
      </c>
      <c r="T23" s="50" t="str">
        <f>IF('All Tandem Adjustments Source'!L24&lt;1/24,TEXT('All Tandem Adjustments Source'!L24,"M:SS"),TEXT('All Tandem Adjustments Source'!L24,"H:MM:SS"))</f>
        <v>2:18</v>
      </c>
      <c r="U23" s="50" t="str">
        <f>IF('All Tandem Adjustments Source'!P24&lt;1/24,TEXT('All Tandem Adjustments Source'!P24,"M:SS"),TEXT('All Tandem Adjustments Source'!P24,"H:MM:SS"))</f>
        <v>2:46</v>
      </c>
      <c r="V23" s="50" t="str">
        <f>IF('All Tandem Adjustments Source'!T24&lt;1/24,TEXT('All Tandem Adjustments Source'!T24,"M:SS"),TEXT('All Tandem Adjustments Source'!T24,"H:MM:SS"))</f>
        <v>4:40</v>
      </c>
      <c r="W23" s="50" t="str">
        <f>IF('All Tandem Adjustments Source'!X24&lt;1/24,TEXT('All Tandem Adjustments Source'!X24,"M:SS"),TEXT('All Tandem Adjustments Source'!X24,"H:MM:SS"))</f>
        <v>9:41</v>
      </c>
      <c r="X23" s="51">
        <f>'All Tandem Adjustments Source'!AB24</f>
        <v>10.774398148148148</v>
      </c>
      <c r="Y23" s="51">
        <f>'All Tandem Adjustments Source'!AF24</f>
        <v>14.965601851851853</v>
      </c>
      <c r="Z23" s="55" t="str">
        <f>IF('All Tandem Adjustments Source'!E24&lt;1/24,TEXT('All Tandem Adjustments Source'!E24,"M:SS"),TEXT('All Tandem Adjustments Source'!E24,"H:MM:SS"))</f>
        <v>2:14</v>
      </c>
      <c r="AA23" s="55" t="str">
        <f>IF('All Tandem Adjustments Source'!I24&lt;1/24,TEXT('All Tandem Adjustments Source'!I24,"M:SS"),TEXT('All Tandem Adjustments Source'!I24,"H:MM:SS"))</f>
        <v>3:22</v>
      </c>
      <c r="AB23" s="55" t="str">
        <f>IF('All Tandem Adjustments Source'!M24&lt;1/24,TEXT('All Tandem Adjustments Source'!M24,"M:SS"),TEXT('All Tandem Adjustments Source'!M24,"H:MM:SS"))</f>
        <v>5:38</v>
      </c>
      <c r="AC23" s="55" t="str">
        <f>IF('All Tandem Adjustments Source'!Q24&lt;1/24,TEXT('All Tandem Adjustments Source'!Q24,"M:SS"),TEXT('All Tandem Adjustments Source'!Q24,"H:MM:SS"))</f>
        <v>6:48</v>
      </c>
      <c r="AD23" s="55" t="str">
        <f>IF('All Tandem Adjustments Source'!U24&lt;1/24,TEXT('All Tandem Adjustments Source'!U24,"M:SS"),TEXT('All Tandem Adjustments Source'!U24,"H:MM:SS"))</f>
        <v>11:29</v>
      </c>
      <c r="AE23" s="55" t="str">
        <f>IF('All Tandem Adjustments Source'!Y24&lt;1/24,TEXT('All Tandem Adjustments Source'!Y24,"M:SS"),TEXT('All Tandem Adjustments Source'!Y24,"H:MM:SS"))</f>
        <v>23:48</v>
      </c>
      <c r="AF23" s="56">
        <f>'All Tandem Adjustments Source'!AC24</f>
        <v>23.997997685185187</v>
      </c>
      <c r="AG23" s="56">
        <f>'All Tandem Adjustments Source'!AG24</f>
        <v>33.877997685185186</v>
      </c>
    </row>
    <row r="24" spans="1:33" hidden="1" x14ac:dyDescent="0.25">
      <c r="A24" s="17">
        <f>'All Tandem Adjustments Source'!A25</f>
        <v>31</v>
      </c>
      <c r="B24" s="53" t="str">
        <f>IF('All Tandem Adjustments Source'!B25&lt;1/24,TEXT('All Tandem Adjustments Source'!B25,"M:SS"),TEXT('All Tandem Adjustments Source'!B25,"H:MM:SS"))</f>
        <v>0:00</v>
      </c>
      <c r="C24" s="53" t="str">
        <f>IF('All Tandem Adjustments Source'!F25&lt;1/24,TEXT('All Tandem Adjustments Source'!F25,"M:SS"),TEXT('All Tandem Adjustments Source'!F25,"H:MM:SS"))</f>
        <v>0:00</v>
      </c>
      <c r="D24" s="53" t="str">
        <f>IF('All Tandem Adjustments Source'!J25&lt;1/24,TEXT('All Tandem Adjustments Source'!J25,"M:SS"),TEXT('All Tandem Adjustments Source'!J25,"H:MM:SS"))</f>
        <v>0:00</v>
      </c>
      <c r="E24" s="53" t="str">
        <f>IF('All Tandem Adjustments Source'!N25&lt;1/24,TEXT('All Tandem Adjustments Source'!N25,"M:SS"),TEXT('All Tandem Adjustments Source'!N25,"H:MM:SS"))</f>
        <v>0:00</v>
      </c>
      <c r="F24" s="53" t="str">
        <f>IF('All Tandem Adjustments Source'!R25&lt;1/24,TEXT('All Tandem Adjustments Source'!R25,"M:SS"),TEXT('All Tandem Adjustments Source'!R25,"H:MM:SS"))</f>
        <v>0:00</v>
      </c>
      <c r="G24" s="53" t="str">
        <f>IF('All Tandem Adjustments Source'!V25&lt;1/24,TEXT('All Tandem Adjustments Source'!V25,"M:SS"),TEXT('All Tandem Adjustments Source'!V25,"H:MM:SS"))</f>
        <v>0:00</v>
      </c>
      <c r="H24" s="54">
        <f>'All Tandem Adjustments Source'!Z25</f>
        <v>0</v>
      </c>
      <c r="I24" s="54">
        <f>'All Tandem Adjustments Source'!AD25</f>
        <v>0</v>
      </c>
      <c r="J24" s="57" t="str">
        <f>IF('All Tandem Adjustments Source'!C25&lt;1/24,TEXT('All Tandem Adjustments Source'!C25,"M:SS"),TEXT('All Tandem Adjustments Source'!C25,"H:MM:SS"))</f>
        <v>1:12</v>
      </c>
      <c r="K24" s="57" t="str">
        <f>IF('All Tandem Adjustments Source'!G25&lt;1/24,TEXT('All Tandem Adjustments Source'!G25,"M:SS"),TEXT('All Tandem Adjustments Source'!G25,"H:MM:SS"))</f>
        <v>1:49</v>
      </c>
      <c r="L24" s="57" t="str">
        <f>IF('All Tandem Adjustments Source'!K25&lt;1/24,TEXT('All Tandem Adjustments Source'!K25,"M:SS"),TEXT('All Tandem Adjustments Source'!K25,"H:MM:SS"))</f>
        <v>3:03</v>
      </c>
      <c r="M24" s="57" t="str">
        <f>IF('All Tandem Adjustments Source'!O25&lt;1/24,TEXT('All Tandem Adjustments Source'!O25,"M:SS"),TEXT('All Tandem Adjustments Source'!O25,"H:MM:SS"))</f>
        <v>3:41</v>
      </c>
      <c r="N24" s="57" t="str">
        <f>IF('All Tandem Adjustments Source'!S25&lt;1/24,TEXT('All Tandem Adjustments Source'!S25,"M:SS"),TEXT('All Tandem Adjustments Source'!S25,"H:MM:SS"))</f>
        <v>6:13</v>
      </c>
      <c r="O24" s="57" t="str">
        <f>IF('All Tandem Adjustments Source'!W25&lt;1/24,TEXT('All Tandem Adjustments Source'!W25,"M:SS"),TEXT('All Tandem Adjustments Source'!W25,"H:MM:SS"))</f>
        <v>12:53</v>
      </c>
      <c r="P24" s="58">
        <f>'All Tandem Adjustments Source'!AA25</f>
        <v>14.003599537037037</v>
      </c>
      <c r="Q24" s="58">
        <f>'All Tandem Adjustments Source'!AE25</f>
        <v>19.531203703703703</v>
      </c>
      <c r="R24" s="50" t="str">
        <f>IF('All Tandem Adjustments Source'!D25&lt;1/24,TEXT('All Tandem Adjustments Source'!D25,"M:SS"),TEXT('All Tandem Adjustments Source'!D25,"H:MM:SS"))</f>
        <v>0:54</v>
      </c>
      <c r="S24" s="50" t="str">
        <f>IF('All Tandem Adjustments Source'!H25&lt;1/24,TEXT('All Tandem Adjustments Source'!H25,"M:SS"),TEXT('All Tandem Adjustments Source'!H25,"H:MM:SS"))</f>
        <v>1:22</v>
      </c>
      <c r="T24" s="50" t="str">
        <f>IF('All Tandem Adjustments Source'!L25&lt;1/24,TEXT('All Tandem Adjustments Source'!L25,"M:SS"),TEXT('All Tandem Adjustments Source'!L25,"H:MM:SS"))</f>
        <v>2:18</v>
      </c>
      <c r="U24" s="50" t="str">
        <f>IF('All Tandem Adjustments Source'!P25&lt;1/24,TEXT('All Tandem Adjustments Source'!P25,"M:SS"),TEXT('All Tandem Adjustments Source'!P25,"H:MM:SS"))</f>
        <v>2:46</v>
      </c>
      <c r="V24" s="50" t="str">
        <f>IF('All Tandem Adjustments Source'!T25&lt;1/24,TEXT('All Tandem Adjustments Source'!T25,"M:SS"),TEXT('All Tandem Adjustments Source'!T25,"H:MM:SS"))</f>
        <v>4:40</v>
      </c>
      <c r="W24" s="50" t="str">
        <f>IF('All Tandem Adjustments Source'!X25&lt;1/24,TEXT('All Tandem Adjustments Source'!X25,"M:SS"),TEXT('All Tandem Adjustments Source'!X25,"H:MM:SS"))</f>
        <v>9:41</v>
      </c>
      <c r="X24" s="51">
        <f>'All Tandem Adjustments Source'!AB25</f>
        <v>10.774398148148148</v>
      </c>
      <c r="Y24" s="51">
        <f>'All Tandem Adjustments Source'!AF25</f>
        <v>14.965601851851853</v>
      </c>
      <c r="Z24" s="55" t="str">
        <f>IF('All Tandem Adjustments Source'!E25&lt;1/24,TEXT('All Tandem Adjustments Source'!E25,"M:SS"),TEXT('All Tandem Adjustments Source'!E25,"H:MM:SS"))</f>
        <v>2:14</v>
      </c>
      <c r="AA24" s="55" t="str">
        <f>IF('All Tandem Adjustments Source'!I25&lt;1/24,TEXT('All Tandem Adjustments Source'!I25,"M:SS"),TEXT('All Tandem Adjustments Source'!I25,"H:MM:SS"))</f>
        <v>3:22</v>
      </c>
      <c r="AB24" s="55" t="str">
        <f>IF('All Tandem Adjustments Source'!M25&lt;1/24,TEXT('All Tandem Adjustments Source'!M25,"M:SS"),TEXT('All Tandem Adjustments Source'!M25,"H:MM:SS"))</f>
        <v>5:38</v>
      </c>
      <c r="AC24" s="55" t="str">
        <f>IF('All Tandem Adjustments Source'!Q25&lt;1/24,TEXT('All Tandem Adjustments Source'!Q25,"M:SS"),TEXT('All Tandem Adjustments Source'!Q25,"H:MM:SS"))</f>
        <v>6:48</v>
      </c>
      <c r="AD24" s="55" t="str">
        <f>IF('All Tandem Adjustments Source'!U25&lt;1/24,TEXT('All Tandem Adjustments Source'!U25,"M:SS"),TEXT('All Tandem Adjustments Source'!U25,"H:MM:SS"))</f>
        <v>11:29</v>
      </c>
      <c r="AE24" s="55" t="str">
        <f>IF('All Tandem Adjustments Source'!Y25&lt;1/24,TEXT('All Tandem Adjustments Source'!Y25,"M:SS"),TEXT('All Tandem Adjustments Source'!Y25,"H:MM:SS"))</f>
        <v>23:48</v>
      </c>
      <c r="AF24" s="56">
        <f>'All Tandem Adjustments Source'!AC25</f>
        <v>23.997997685185187</v>
      </c>
      <c r="AG24" s="56">
        <f>'All Tandem Adjustments Source'!AG25</f>
        <v>33.877997685185186</v>
      </c>
    </row>
    <row r="25" spans="1:33" hidden="1" x14ac:dyDescent="0.25">
      <c r="A25" s="17">
        <f>'All Tandem Adjustments Source'!A26</f>
        <v>32</v>
      </c>
      <c r="B25" s="53" t="str">
        <f>IF('All Tandem Adjustments Source'!B26&lt;1/24,TEXT('All Tandem Adjustments Source'!B26,"M:SS"),TEXT('All Tandem Adjustments Source'!B26,"H:MM:SS"))</f>
        <v>0:00</v>
      </c>
      <c r="C25" s="53" t="str">
        <f>IF('All Tandem Adjustments Source'!F26&lt;1/24,TEXT('All Tandem Adjustments Source'!F26,"M:SS"),TEXT('All Tandem Adjustments Source'!F26,"H:MM:SS"))</f>
        <v>0:00</v>
      </c>
      <c r="D25" s="53" t="str">
        <f>IF('All Tandem Adjustments Source'!J26&lt;1/24,TEXT('All Tandem Adjustments Source'!J26,"M:SS"),TEXT('All Tandem Adjustments Source'!J26,"H:MM:SS"))</f>
        <v>0:00</v>
      </c>
      <c r="E25" s="53" t="str">
        <f>IF('All Tandem Adjustments Source'!N26&lt;1/24,TEXT('All Tandem Adjustments Source'!N26,"M:SS"),TEXT('All Tandem Adjustments Source'!N26,"H:MM:SS"))</f>
        <v>0:00</v>
      </c>
      <c r="F25" s="53" t="str">
        <f>IF('All Tandem Adjustments Source'!R26&lt;1/24,TEXT('All Tandem Adjustments Source'!R26,"M:SS"),TEXT('All Tandem Adjustments Source'!R26,"H:MM:SS"))</f>
        <v>0:00</v>
      </c>
      <c r="G25" s="53" t="str">
        <f>IF('All Tandem Adjustments Source'!V26&lt;1/24,TEXT('All Tandem Adjustments Source'!V26,"M:SS"),TEXT('All Tandem Adjustments Source'!V26,"H:MM:SS"))</f>
        <v>0:00</v>
      </c>
      <c r="H25" s="54">
        <f>'All Tandem Adjustments Source'!Z26</f>
        <v>0</v>
      </c>
      <c r="I25" s="54">
        <f>'All Tandem Adjustments Source'!AD26</f>
        <v>0</v>
      </c>
      <c r="J25" s="57" t="str">
        <f>IF('All Tandem Adjustments Source'!C26&lt;1/24,TEXT('All Tandem Adjustments Source'!C26,"M:SS"),TEXT('All Tandem Adjustments Source'!C26,"H:MM:SS"))</f>
        <v>1:12</v>
      </c>
      <c r="K25" s="57" t="str">
        <f>IF('All Tandem Adjustments Source'!G26&lt;1/24,TEXT('All Tandem Adjustments Source'!G26,"M:SS"),TEXT('All Tandem Adjustments Source'!G26,"H:MM:SS"))</f>
        <v>1:49</v>
      </c>
      <c r="L25" s="57" t="str">
        <f>IF('All Tandem Adjustments Source'!K26&lt;1/24,TEXT('All Tandem Adjustments Source'!K26,"M:SS"),TEXT('All Tandem Adjustments Source'!K26,"H:MM:SS"))</f>
        <v>3:03</v>
      </c>
      <c r="M25" s="57" t="str">
        <f>IF('All Tandem Adjustments Source'!O26&lt;1/24,TEXT('All Tandem Adjustments Source'!O26,"M:SS"),TEXT('All Tandem Adjustments Source'!O26,"H:MM:SS"))</f>
        <v>3:41</v>
      </c>
      <c r="N25" s="57" t="str">
        <f>IF('All Tandem Adjustments Source'!S26&lt;1/24,TEXT('All Tandem Adjustments Source'!S26,"M:SS"),TEXT('All Tandem Adjustments Source'!S26,"H:MM:SS"))</f>
        <v>6:13</v>
      </c>
      <c r="O25" s="57" t="str">
        <f>IF('All Tandem Adjustments Source'!W26&lt;1/24,TEXT('All Tandem Adjustments Source'!W26,"M:SS"),TEXT('All Tandem Adjustments Source'!W26,"H:MM:SS"))</f>
        <v>12:53</v>
      </c>
      <c r="P25" s="58">
        <f>'All Tandem Adjustments Source'!AA26</f>
        <v>14.003599537037037</v>
      </c>
      <c r="Q25" s="58">
        <f>'All Tandem Adjustments Source'!AE26</f>
        <v>19.531203703703703</v>
      </c>
      <c r="R25" s="50" t="str">
        <f>IF('All Tandem Adjustments Source'!D26&lt;1/24,TEXT('All Tandem Adjustments Source'!D26,"M:SS"),TEXT('All Tandem Adjustments Source'!D26,"H:MM:SS"))</f>
        <v>0:54</v>
      </c>
      <c r="S25" s="50" t="str">
        <f>IF('All Tandem Adjustments Source'!H26&lt;1/24,TEXT('All Tandem Adjustments Source'!H26,"M:SS"),TEXT('All Tandem Adjustments Source'!H26,"H:MM:SS"))</f>
        <v>1:22</v>
      </c>
      <c r="T25" s="50" t="str">
        <f>IF('All Tandem Adjustments Source'!L26&lt;1/24,TEXT('All Tandem Adjustments Source'!L26,"M:SS"),TEXT('All Tandem Adjustments Source'!L26,"H:MM:SS"))</f>
        <v>2:18</v>
      </c>
      <c r="U25" s="50" t="str">
        <f>IF('All Tandem Adjustments Source'!P26&lt;1/24,TEXT('All Tandem Adjustments Source'!P26,"M:SS"),TEXT('All Tandem Adjustments Source'!P26,"H:MM:SS"))</f>
        <v>2:46</v>
      </c>
      <c r="V25" s="50" t="str">
        <f>IF('All Tandem Adjustments Source'!T26&lt;1/24,TEXT('All Tandem Adjustments Source'!T26,"M:SS"),TEXT('All Tandem Adjustments Source'!T26,"H:MM:SS"))</f>
        <v>4:40</v>
      </c>
      <c r="W25" s="50" t="str">
        <f>IF('All Tandem Adjustments Source'!X26&lt;1/24,TEXT('All Tandem Adjustments Source'!X26,"M:SS"),TEXT('All Tandem Adjustments Source'!X26,"H:MM:SS"))</f>
        <v>9:41</v>
      </c>
      <c r="X25" s="51">
        <f>'All Tandem Adjustments Source'!AB26</f>
        <v>10.774398148148148</v>
      </c>
      <c r="Y25" s="51">
        <f>'All Tandem Adjustments Source'!AF26</f>
        <v>14.965601851851853</v>
      </c>
      <c r="Z25" s="55" t="str">
        <f>IF('All Tandem Adjustments Source'!E26&lt;1/24,TEXT('All Tandem Adjustments Source'!E26,"M:SS"),TEXT('All Tandem Adjustments Source'!E26,"H:MM:SS"))</f>
        <v>2:14</v>
      </c>
      <c r="AA25" s="55" t="str">
        <f>IF('All Tandem Adjustments Source'!I26&lt;1/24,TEXT('All Tandem Adjustments Source'!I26,"M:SS"),TEXT('All Tandem Adjustments Source'!I26,"H:MM:SS"))</f>
        <v>3:22</v>
      </c>
      <c r="AB25" s="55" t="str">
        <f>IF('All Tandem Adjustments Source'!M26&lt;1/24,TEXT('All Tandem Adjustments Source'!M26,"M:SS"),TEXT('All Tandem Adjustments Source'!M26,"H:MM:SS"))</f>
        <v>5:38</v>
      </c>
      <c r="AC25" s="55" t="str">
        <f>IF('All Tandem Adjustments Source'!Q26&lt;1/24,TEXT('All Tandem Adjustments Source'!Q26,"M:SS"),TEXT('All Tandem Adjustments Source'!Q26,"H:MM:SS"))</f>
        <v>6:48</v>
      </c>
      <c r="AD25" s="55" t="str">
        <f>IF('All Tandem Adjustments Source'!U26&lt;1/24,TEXT('All Tandem Adjustments Source'!U26,"M:SS"),TEXT('All Tandem Adjustments Source'!U26,"H:MM:SS"))</f>
        <v>11:29</v>
      </c>
      <c r="AE25" s="55" t="str">
        <f>IF('All Tandem Adjustments Source'!Y26&lt;1/24,TEXT('All Tandem Adjustments Source'!Y26,"M:SS"),TEXT('All Tandem Adjustments Source'!Y26,"H:MM:SS"))</f>
        <v>23:48</v>
      </c>
      <c r="AF25" s="56">
        <f>'All Tandem Adjustments Source'!AC26</f>
        <v>23.997997685185187</v>
      </c>
      <c r="AG25" s="56">
        <f>'All Tandem Adjustments Source'!AG26</f>
        <v>33.877997685185186</v>
      </c>
    </row>
    <row r="26" spans="1:33" hidden="1" x14ac:dyDescent="0.25">
      <c r="A26" s="17">
        <f>'All Tandem Adjustments Source'!A27</f>
        <v>33</v>
      </c>
      <c r="B26" s="53" t="str">
        <f>IF('All Tandem Adjustments Source'!B27&lt;1/24,TEXT('All Tandem Adjustments Source'!B27,"M:SS"),TEXT('All Tandem Adjustments Source'!B27,"H:MM:SS"))</f>
        <v>0:00</v>
      </c>
      <c r="C26" s="53" t="str">
        <f>IF('All Tandem Adjustments Source'!F27&lt;1/24,TEXT('All Tandem Adjustments Source'!F27,"M:SS"),TEXT('All Tandem Adjustments Source'!F27,"H:MM:SS"))</f>
        <v>0:00</v>
      </c>
      <c r="D26" s="53" t="str">
        <f>IF('All Tandem Adjustments Source'!J27&lt;1/24,TEXT('All Tandem Adjustments Source'!J27,"M:SS"),TEXT('All Tandem Adjustments Source'!J27,"H:MM:SS"))</f>
        <v>0:00</v>
      </c>
      <c r="E26" s="53" t="str">
        <f>IF('All Tandem Adjustments Source'!N27&lt;1/24,TEXT('All Tandem Adjustments Source'!N27,"M:SS"),TEXT('All Tandem Adjustments Source'!N27,"H:MM:SS"))</f>
        <v>0:00</v>
      </c>
      <c r="F26" s="53" t="str">
        <f>IF('All Tandem Adjustments Source'!R27&lt;1/24,TEXT('All Tandem Adjustments Source'!R27,"M:SS"),TEXT('All Tandem Adjustments Source'!R27,"H:MM:SS"))</f>
        <v>0:00</v>
      </c>
      <c r="G26" s="53" t="str">
        <f>IF('All Tandem Adjustments Source'!V27&lt;1/24,TEXT('All Tandem Adjustments Source'!V27,"M:SS"),TEXT('All Tandem Adjustments Source'!V27,"H:MM:SS"))</f>
        <v>0:00</v>
      </c>
      <c r="H26" s="54">
        <f>'All Tandem Adjustments Source'!Z27</f>
        <v>0</v>
      </c>
      <c r="I26" s="54">
        <f>'All Tandem Adjustments Source'!AD27</f>
        <v>0</v>
      </c>
      <c r="J26" s="57" t="str">
        <f>IF('All Tandem Adjustments Source'!C27&lt;1/24,TEXT('All Tandem Adjustments Source'!C27,"M:SS"),TEXT('All Tandem Adjustments Source'!C27,"H:MM:SS"))</f>
        <v>1:12</v>
      </c>
      <c r="K26" s="57" t="str">
        <f>IF('All Tandem Adjustments Source'!G27&lt;1/24,TEXT('All Tandem Adjustments Source'!G27,"M:SS"),TEXT('All Tandem Adjustments Source'!G27,"H:MM:SS"))</f>
        <v>1:49</v>
      </c>
      <c r="L26" s="57" t="str">
        <f>IF('All Tandem Adjustments Source'!K27&lt;1/24,TEXT('All Tandem Adjustments Source'!K27,"M:SS"),TEXT('All Tandem Adjustments Source'!K27,"H:MM:SS"))</f>
        <v>3:03</v>
      </c>
      <c r="M26" s="57" t="str">
        <f>IF('All Tandem Adjustments Source'!O27&lt;1/24,TEXT('All Tandem Adjustments Source'!O27,"M:SS"),TEXT('All Tandem Adjustments Source'!O27,"H:MM:SS"))</f>
        <v>3:41</v>
      </c>
      <c r="N26" s="57" t="str">
        <f>IF('All Tandem Adjustments Source'!S27&lt;1/24,TEXT('All Tandem Adjustments Source'!S27,"M:SS"),TEXT('All Tandem Adjustments Source'!S27,"H:MM:SS"))</f>
        <v>6:13</v>
      </c>
      <c r="O26" s="57" t="str">
        <f>IF('All Tandem Adjustments Source'!W27&lt;1/24,TEXT('All Tandem Adjustments Source'!W27,"M:SS"),TEXT('All Tandem Adjustments Source'!W27,"H:MM:SS"))</f>
        <v>12:53</v>
      </c>
      <c r="P26" s="58">
        <f>'All Tandem Adjustments Source'!AA27</f>
        <v>14.003599537037037</v>
      </c>
      <c r="Q26" s="58">
        <f>'All Tandem Adjustments Source'!AE27</f>
        <v>19.531203703703703</v>
      </c>
      <c r="R26" s="50" t="str">
        <f>IF('All Tandem Adjustments Source'!D27&lt;1/24,TEXT('All Tandem Adjustments Source'!D27,"M:SS"),TEXT('All Tandem Adjustments Source'!D27,"H:MM:SS"))</f>
        <v>0:54</v>
      </c>
      <c r="S26" s="50" t="str">
        <f>IF('All Tandem Adjustments Source'!H27&lt;1/24,TEXT('All Tandem Adjustments Source'!H27,"M:SS"),TEXT('All Tandem Adjustments Source'!H27,"H:MM:SS"))</f>
        <v>1:22</v>
      </c>
      <c r="T26" s="50" t="str">
        <f>IF('All Tandem Adjustments Source'!L27&lt;1/24,TEXT('All Tandem Adjustments Source'!L27,"M:SS"),TEXT('All Tandem Adjustments Source'!L27,"H:MM:SS"))</f>
        <v>2:18</v>
      </c>
      <c r="U26" s="50" t="str">
        <f>IF('All Tandem Adjustments Source'!P27&lt;1/24,TEXT('All Tandem Adjustments Source'!P27,"M:SS"),TEXT('All Tandem Adjustments Source'!P27,"H:MM:SS"))</f>
        <v>2:46</v>
      </c>
      <c r="V26" s="50" t="str">
        <f>IF('All Tandem Adjustments Source'!T27&lt;1/24,TEXT('All Tandem Adjustments Source'!T27,"M:SS"),TEXT('All Tandem Adjustments Source'!T27,"H:MM:SS"))</f>
        <v>4:40</v>
      </c>
      <c r="W26" s="50" t="str">
        <f>IF('All Tandem Adjustments Source'!X27&lt;1/24,TEXT('All Tandem Adjustments Source'!X27,"M:SS"),TEXT('All Tandem Adjustments Source'!X27,"H:MM:SS"))</f>
        <v>9:41</v>
      </c>
      <c r="X26" s="51">
        <f>'All Tandem Adjustments Source'!AB27</f>
        <v>10.774398148148148</v>
      </c>
      <c r="Y26" s="51">
        <f>'All Tandem Adjustments Source'!AF27</f>
        <v>14.965601851851853</v>
      </c>
      <c r="Z26" s="55" t="str">
        <f>IF('All Tandem Adjustments Source'!E27&lt;1/24,TEXT('All Tandem Adjustments Source'!E27,"M:SS"),TEXT('All Tandem Adjustments Source'!E27,"H:MM:SS"))</f>
        <v>2:14</v>
      </c>
      <c r="AA26" s="55" t="str">
        <f>IF('All Tandem Adjustments Source'!I27&lt;1/24,TEXT('All Tandem Adjustments Source'!I27,"M:SS"),TEXT('All Tandem Adjustments Source'!I27,"H:MM:SS"))</f>
        <v>3:22</v>
      </c>
      <c r="AB26" s="55" t="str">
        <f>IF('All Tandem Adjustments Source'!M27&lt;1/24,TEXT('All Tandem Adjustments Source'!M27,"M:SS"),TEXT('All Tandem Adjustments Source'!M27,"H:MM:SS"))</f>
        <v>5:38</v>
      </c>
      <c r="AC26" s="55" t="str">
        <f>IF('All Tandem Adjustments Source'!Q27&lt;1/24,TEXT('All Tandem Adjustments Source'!Q27,"M:SS"),TEXT('All Tandem Adjustments Source'!Q27,"H:MM:SS"))</f>
        <v>6:48</v>
      </c>
      <c r="AD26" s="55" t="str">
        <f>IF('All Tandem Adjustments Source'!U27&lt;1/24,TEXT('All Tandem Adjustments Source'!U27,"M:SS"),TEXT('All Tandem Adjustments Source'!U27,"H:MM:SS"))</f>
        <v>11:29</v>
      </c>
      <c r="AE26" s="55" t="str">
        <f>IF('All Tandem Adjustments Source'!Y27&lt;1/24,TEXT('All Tandem Adjustments Source'!Y27,"M:SS"),TEXT('All Tandem Adjustments Source'!Y27,"H:MM:SS"))</f>
        <v>23:48</v>
      </c>
      <c r="AF26" s="56">
        <f>'All Tandem Adjustments Source'!AC27</f>
        <v>23.997997685185187</v>
      </c>
      <c r="AG26" s="56">
        <f>'All Tandem Adjustments Source'!AG27</f>
        <v>33.877997685185186</v>
      </c>
    </row>
    <row r="27" spans="1:33" hidden="1" x14ac:dyDescent="0.25">
      <c r="A27" s="17">
        <f>'All Tandem Adjustments Source'!A28</f>
        <v>34</v>
      </c>
      <c r="B27" s="53" t="str">
        <f>IF('All Tandem Adjustments Source'!B28&lt;1/24,TEXT('All Tandem Adjustments Source'!B28,"M:SS"),TEXT('All Tandem Adjustments Source'!B28,"H:MM:SS"))</f>
        <v>0:00</v>
      </c>
      <c r="C27" s="53" t="str">
        <f>IF('All Tandem Adjustments Source'!F28&lt;1/24,TEXT('All Tandem Adjustments Source'!F28,"M:SS"),TEXT('All Tandem Adjustments Source'!F28,"H:MM:SS"))</f>
        <v>0:00</v>
      </c>
      <c r="D27" s="53" t="str">
        <f>IF('All Tandem Adjustments Source'!J28&lt;1/24,TEXT('All Tandem Adjustments Source'!J28,"M:SS"),TEXT('All Tandem Adjustments Source'!J28,"H:MM:SS"))</f>
        <v>0:00</v>
      </c>
      <c r="E27" s="53" t="str">
        <f>IF('All Tandem Adjustments Source'!N28&lt;1/24,TEXT('All Tandem Adjustments Source'!N28,"M:SS"),TEXT('All Tandem Adjustments Source'!N28,"H:MM:SS"))</f>
        <v>0:00</v>
      </c>
      <c r="F27" s="53" t="str">
        <f>IF('All Tandem Adjustments Source'!R28&lt;1/24,TEXT('All Tandem Adjustments Source'!R28,"M:SS"),TEXT('All Tandem Adjustments Source'!R28,"H:MM:SS"))</f>
        <v>0:00</v>
      </c>
      <c r="G27" s="53" t="str">
        <f>IF('All Tandem Adjustments Source'!V28&lt;1/24,TEXT('All Tandem Adjustments Source'!V28,"M:SS"),TEXT('All Tandem Adjustments Source'!V28,"H:MM:SS"))</f>
        <v>0:00</v>
      </c>
      <c r="H27" s="54">
        <f>'All Tandem Adjustments Source'!Z28</f>
        <v>0</v>
      </c>
      <c r="I27" s="54">
        <f>'All Tandem Adjustments Source'!AD28</f>
        <v>0</v>
      </c>
      <c r="J27" s="57" t="str">
        <f>IF('All Tandem Adjustments Source'!C28&lt;1/24,TEXT('All Tandem Adjustments Source'!C28,"M:SS"),TEXT('All Tandem Adjustments Source'!C28,"H:MM:SS"))</f>
        <v>1:12</v>
      </c>
      <c r="K27" s="57" t="str">
        <f>IF('All Tandem Adjustments Source'!G28&lt;1/24,TEXT('All Tandem Adjustments Source'!G28,"M:SS"),TEXT('All Tandem Adjustments Source'!G28,"H:MM:SS"))</f>
        <v>1:49</v>
      </c>
      <c r="L27" s="57" t="str">
        <f>IF('All Tandem Adjustments Source'!K28&lt;1/24,TEXT('All Tandem Adjustments Source'!K28,"M:SS"),TEXT('All Tandem Adjustments Source'!K28,"H:MM:SS"))</f>
        <v>3:03</v>
      </c>
      <c r="M27" s="57" t="str">
        <f>IF('All Tandem Adjustments Source'!O28&lt;1/24,TEXT('All Tandem Adjustments Source'!O28,"M:SS"),TEXT('All Tandem Adjustments Source'!O28,"H:MM:SS"))</f>
        <v>3:41</v>
      </c>
      <c r="N27" s="57" t="str">
        <f>IF('All Tandem Adjustments Source'!S28&lt;1/24,TEXT('All Tandem Adjustments Source'!S28,"M:SS"),TEXT('All Tandem Adjustments Source'!S28,"H:MM:SS"))</f>
        <v>6:13</v>
      </c>
      <c r="O27" s="57" t="str">
        <f>IF('All Tandem Adjustments Source'!W28&lt;1/24,TEXT('All Tandem Adjustments Source'!W28,"M:SS"),TEXT('All Tandem Adjustments Source'!W28,"H:MM:SS"))</f>
        <v>12:53</v>
      </c>
      <c r="P27" s="58">
        <f>'All Tandem Adjustments Source'!AA28</f>
        <v>14.003599537037037</v>
      </c>
      <c r="Q27" s="58">
        <f>'All Tandem Adjustments Source'!AE28</f>
        <v>19.531203703703703</v>
      </c>
      <c r="R27" s="50" t="str">
        <f>IF('All Tandem Adjustments Source'!D28&lt;1/24,TEXT('All Tandem Adjustments Source'!D28,"M:SS"),TEXT('All Tandem Adjustments Source'!D28,"H:MM:SS"))</f>
        <v>0:54</v>
      </c>
      <c r="S27" s="50" t="str">
        <f>IF('All Tandem Adjustments Source'!H28&lt;1/24,TEXT('All Tandem Adjustments Source'!H28,"M:SS"),TEXT('All Tandem Adjustments Source'!H28,"H:MM:SS"))</f>
        <v>1:22</v>
      </c>
      <c r="T27" s="50" t="str">
        <f>IF('All Tandem Adjustments Source'!L28&lt;1/24,TEXT('All Tandem Adjustments Source'!L28,"M:SS"),TEXT('All Tandem Adjustments Source'!L28,"H:MM:SS"))</f>
        <v>2:18</v>
      </c>
      <c r="U27" s="50" t="str">
        <f>IF('All Tandem Adjustments Source'!P28&lt;1/24,TEXT('All Tandem Adjustments Source'!P28,"M:SS"),TEXT('All Tandem Adjustments Source'!P28,"H:MM:SS"))</f>
        <v>2:46</v>
      </c>
      <c r="V27" s="50" t="str">
        <f>IF('All Tandem Adjustments Source'!T28&lt;1/24,TEXT('All Tandem Adjustments Source'!T28,"M:SS"),TEXT('All Tandem Adjustments Source'!T28,"H:MM:SS"))</f>
        <v>4:40</v>
      </c>
      <c r="W27" s="50" t="str">
        <f>IF('All Tandem Adjustments Source'!X28&lt;1/24,TEXT('All Tandem Adjustments Source'!X28,"M:SS"),TEXT('All Tandem Adjustments Source'!X28,"H:MM:SS"))</f>
        <v>9:41</v>
      </c>
      <c r="X27" s="51">
        <f>'All Tandem Adjustments Source'!AB28</f>
        <v>10.774398148148148</v>
      </c>
      <c r="Y27" s="51">
        <f>'All Tandem Adjustments Source'!AF28</f>
        <v>14.965601851851853</v>
      </c>
      <c r="Z27" s="55" t="str">
        <f>IF('All Tandem Adjustments Source'!E28&lt;1/24,TEXT('All Tandem Adjustments Source'!E28,"M:SS"),TEXT('All Tandem Adjustments Source'!E28,"H:MM:SS"))</f>
        <v>2:14</v>
      </c>
      <c r="AA27" s="55" t="str">
        <f>IF('All Tandem Adjustments Source'!I28&lt;1/24,TEXT('All Tandem Adjustments Source'!I28,"M:SS"),TEXT('All Tandem Adjustments Source'!I28,"H:MM:SS"))</f>
        <v>3:22</v>
      </c>
      <c r="AB27" s="55" t="str">
        <f>IF('All Tandem Adjustments Source'!M28&lt;1/24,TEXT('All Tandem Adjustments Source'!M28,"M:SS"),TEXT('All Tandem Adjustments Source'!M28,"H:MM:SS"))</f>
        <v>5:38</v>
      </c>
      <c r="AC27" s="55" t="str">
        <f>IF('All Tandem Adjustments Source'!Q28&lt;1/24,TEXT('All Tandem Adjustments Source'!Q28,"M:SS"),TEXT('All Tandem Adjustments Source'!Q28,"H:MM:SS"))</f>
        <v>6:48</v>
      </c>
      <c r="AD27" s="55" t="str">
        <f>IF('All Tandem Adjustments Source'!U28&lt;1/24,TEXT('All Tandem Adjustments Source'!U28,"M:SS"),TEXT('All Tandem Adjustments Source'!U28,"H:MM:SS"))</f>
        <v>11:29</v>
      </c>
      <c r="AE27" s="55" t="str">
        <f>IF('All Tandem Adjustments Source'!Y28&lt;1/24,TEXT('All Tandem Adjustments Source'!Y28,"M:SS"),TEXT('All Tandem Adjustments Source'!Y28,"H:MM:SS"))</f>
        <v>23:48</v>
      </c>
      <c r="AF27" s="56">
        <f>'All Tandem Adjustments Source'!AC28</f>
        <v>23.997997685185187</v>
      </c>
      <c r="AG27" s="56">
        <f>'All Tandem Adjustments Source'!AG28</f>
        <v>33.877997685185186</v>
      </c>
    </row>
    <row r="28" spans="1:33" hidden="1" x14ac:dyDescent="0.25">
      <c r="A28" s="17">
        <f>'All Tandem Adjustments Source'!A29</f>
        <v>35</v>
      </c>
      <c r="B28" s="53" t="str">
        <f>IF('All Tandem Adjustments Source'!B29&lt;1/24,TEXT('All Tandem Adjustments Source'!B29,"M:SS"),TEXT('All Tandem Adjustments Source'!B29,"H:MM:SS"))</f>
        <v>0:00</v>
      </c>
      <c r="C28" s="53" t="str">
        <f>IF('All Tandem Adjustments Source'!F29&lt;1/24,TEXT('All Tandem Adjustments Source'!F29,"M:SS"),TEXT('All Tandem Adjustments Source'!F29,"H:MM:SS"))</f>
        <v>0:00</v>
      </c>
      <c r="D28" s="53" t="str">
        <f>IF('All Tandem Adjustments Source'!J29&lt;1/24,TEXT('All Tandem Adjustments Source'!J29,"M:SS"),TEXT('All Tandem Adjustments Source'!J29,"H:MM:SS"))</f>
        <v>0:00</v>
      </c>
      <c r="E28" s="53" t="str">
        <f>IF('All Tandem Adjustments Source'!N29&lt;1/24,TEXT('All Tandem Adjustments Source'!N29,"M:SS"),TEXT('All Tandem Adjustments Source'!N29,"H:MM:SS"))</f>
        <v>0:00</v>
      </c>
      <c r="F28" s="53" t="str">
        <f>IF('All Tandem Adjustments Source'!R29&lt;1/24,TEXT('All Tandem Adjustments Source'!R29,"M:SS"),TEXT('All Tandem Adjustments Source'!R29,"H:MM:SS"))</f>
        <v>0:00</v>
      </c>
      <c r="G28" s="53" t="str">
        <f>IF('All Tandem Adjustments Source'!V29&lt;1/24,TEXT('All Tandem Adjustments Source'!V29,"M:SS"),TEXT('All Tandem Adjustments Source'!V29,"H:MM:SS"))</f>
        <v>0:00</v>
      </c>
      <c r="H28" s="54">
        <f>'All Tandem Adjustments Source'!Z29</f>
        <v>0</v>
      </c>
      <c r="I28" s="54">
        <f>'All Tandem Adjustments Source'!AD29</f>
        <v>0</v>
      </c>
      <c r="J28" s="57" t="str">
        <f>IF('All Tandem Adjustments Source'!C29&lt;1/24,TEXT('All Tandem Adjustments Source'!C29,"M:SS"),TEXT('All Tandem Adjustments Source'!C29,"H:MM:SS"))</f>
        <v>1:12</v>
      </c>
      <c r="K28" s="57" t="str">
        <f>IF('All Tandem Adjustments Source'!G29&lt;1/24,TEXT('All Tandem Adjustments Source'!G29,"M:SS"),TEXT('All Tandem Adjustments Source'!G29,"H:MM:SS"))</f>
        <v>1:49</v>
      </c>
      <c r="L28" s="57" t="str">
        <f>IF('All Tandem Adjustments Source'!K29&lt;1/24,TEXT('All Tandem Adjustments Source'!K29,"M:SS"),TEXT('All Tandem Adjustments Source'!K29,"H:MM:SS"))</f>
        <v>3:03</v>
      </c>
      <c r="M28" s="57" t="str">
        <f>IF('All Tandem Adjustments Source'!O29&lt;1/24,TEXT('All Tandem Adjustments Source'!O29,"M:SS"),TEXT('All Tandem Adjustments Source'!O29,"H:MM:SS"))</f>
        <v>3:41</v>
      </c>
      <c r="N28" s="57" t="str">
        <f>IF('All Tandem Adjustments Source'!S29&lt;1/24,TEXT('All Tandem Adjustments Source'!S29,"M:SS"),TEXT('All Tandem Adjustments Source'!S29,"H:MM:SS"))</f>
        <v>6:13</v>
      </c>
      <c r="O28" s="57" t="str">
        <f>IF('All Tandem Adjustments Source'!W29&lt;1/24,TEXT('All Tandem Adjustments Source'!W29,"M:SS"),TEXT('All Tandem Adjustments Source'!W29,"H:MM:SS"))</f>
        <v>12:53</v>
      </c>
      <c r="P28" s="58">
        <f>'All Tandem Adjustments Source'!AA29</f>
        <v>14.003599537037037</v>
      </c>
      <c r="Q28" s="58">
        <f>'All Tandem Adjustments Source'!AE29</f>
        <v>19.531203703703703</v>
      </c>
      <c r="R28" s="50" t="str">
        <f>IF('All Tandem Adjustments Source'!D29&lt;1/24,TEXT('All Tandem Adjustments Source'!D29,"M:SS"),TEXT('All Tandem Adjustments Source'!D29,"H:MM:SS"))</f>
        <v>0:54</v>
      </c>
      <c r="S28" s="50" t="str">
        <f>IF('All Tandem Adjustments Source'!H29&lt;1/24,TEXT('All Tandem Adjustments Source'!H29,"M:SS"),TEXT('All Tandem Adjustments Source'!H29,"H:MM:SS"))</f>
        <v>1:22</v>
      </c>
      <c r="T28" s="50" t="str">
        <f>IF('All Tandem Adjustments Source'!L29&lt;1/24,TEXT('All Tandem Adjustments Source'!L29,"M:SS"),TEXT('All Tandem Adjustments Source'!L29,"H:MM:SS"))</f>
        <v>2:18</v>
      </c>
      <c r="U28" s="50" t="str">
        <f>IF('All Tandem Adjustments Source'!P29&lt;1/24,TEXT('All Tandem Adjustments Source'!P29,"M:SS"),TEXT('All Tandem Adjustments Source'!P29,"H:MM:SS"))</f>
        <v>2:46</v>
      </c>
      <c r="V28" s="50" t="str">
        <f>IF('All Tandem Adjustments Source'!T29&lt;1/24,TEXT('All Tandem Adjustments Source'!T29,"M:SS"),TEXT('All Tandem Adjustments Source'!T29,"H:MM:SS"))</f>
        <v>4:40</v>
      </c>
      <c r="W28" s="50" t="str">
        <f>IF('All Tandem Adjustments Source'!X29&lt;1/24,TEXT('All Tandem Adjustments Source'!X29,"M:SS"),TEXT('All Tandem Adjustments Source'!X29,"H:MM:SS"))</f>
        <v>9:41</v>
      </c>
      <c r="X28" s="51">
        <f>'All Tandem Adjustments Source'!AB29</f>
        <v>10.774398148148148</v>
      </c>
      <c r="Y28" s="51">
        <f>'All Tandem Adjustments Source'!AF29</f>
        <v>14.965601851851853</v>
      </c>
      <c r="Z28" s="55" t="str">
        <f>IF('All Tandem Adjustments Source'!E29&lt;1/24,TEXT('All Tandem Adjustments Source'!E29,"M:SS"),TEXT('All Tandem Adjustments Source'!E29,"H:MM:SS"))</f>
        <v>2:14</v>
      </c>
      <c r="AA28" s="55" t="str">
        <f>IF('All Tandem Adjustments Source'!I29&lt;1/24,TEXT('All Tandem Adjustments Source'!I29,"M:SS"),TEXT('All Tandem Adjustments Source'!I29,"H:MM:SS"))</f>
        <v>3:22</v>
      </c>
      <c r="AB28" s="55" t="str">
        <f>IF('All Tandem Adjustments Source'!M29&lt;1/24,TEXT('All Tandem Adjustments Source'!M29,"M:SS"),TEXT('All Tandem Adjustments Source'!M29,"H:MM:SS"))</f>
        <v>5:38</v>
      </c>
      <c r="AC28" s="55" t="str">
        <f>IF('All Tandem Adjustments Source'!Q29&lt;1/24,TEXT('All Tandem Adjustments Source'!Q29,"M:SS"),TEXT('All Tandem Adjustments Source'!Q29,"H:MM:SS"))</f>
        <v>6:48</v>
      </c>
      <c r="AD28" s="55" t="str">
        <f>IF('All Tandem Adjustments Source'!U29&lt;1/24,TEXT('All Tandem Adjustments Source'!U29,"M:SS"),TEXT('All Tandem Adjustments Source'!U29,"H:MM:SS"))</f>
        <v>11:29</v>
      </c>
      <c r="AE28" s="55" t="str">
        <f>IF('All Tandem Adjustments Source'!Y29&lt;1/24,TEXT('All Tandem Adjustments Source'!Y29,"M:SS"),TEXT('All Tandem Adjustments Source'!Y29,"H:MM:SS"))</f>
        <v>23:48</v>
      </c>
      <c r="AF28" s="56">
        <f>'All Tandem Adjustments Source'!AC29</f>
        <v>23.997997685185187</v>
      </c>
      <c r="AG28" s="56">
        <f>'All Tandem Adjustments Source'!AG29</f>
        <v>33.877997685185186</v>
      </c>
    </row>
    <row r="29" spans="1:33" hidden="1" x14ac:dyDescent="0.25">
      <c r="A29" s="17">
        <f>'All Tandem Adjustments Source'!A30</f>
        <v>36</v>
      </c>
      <c r="B29" s="53" t="str">
        <f>IF('All Tandem Adjustments Source'!B30&lt;1/24,TEXT('All Tandem Adjustments Source'!B30,"M:SS"),TEXT('All Tandem Adjustments Source'!B30,"H:MM:SS"))</f>
        <v>0:00</v>
      </c>
      <c r="C29" s="53" t="str">
        <f>IF('All Tandem Adjustments Source'!F30&lt;1/24,TEXT('All Tandem Adjustments Source'!F30,"M:SS"),TEXT('All Tandem Adjustments Source'!F30,"H:MM:SS"))</f>
        <v>0:00</v>
      </c>
      <c r="D29" s="53" t="str">
        <f>IF('All Tandem Adjustments Source'!J30&lt;1/24,TEXT('All Tandem Adjustments Source'!J30,"M:SS"),TEXT('All Tandem Adjustments Source'!J30,"H:MM:SS"))</f>
        <v>0:00</v>
      </c>
      <c r="E29" s="53" t="str">
        <f>IF('All Tandem Adjustments Source'!N30&lt;1/24,TEXT('All Tandem Adjustments Source'!N30,"M:SS"),TEXT('All Tandem Adjustments Source'!N30,"H:MM:SS"))</f>
        <v>0:00</v>
      </c>
      <c r="F29" s="53" t="str">
        <f>IF('All Tandem Adjustments Source'!R30&lt;1/24,TEXT('All Tandem Adjustments Source'!R30,"M:SS"),TEXT('All Tandem Adjustments Source'!R30,"H:MM:SS"))</f>
        <v>0:00</v>
      </c>
      <c r="G29" s="53" t="str">
        <f>IF('All Tandem Adjustments Source'!V30&lt;1/24,TEXT('All Tandem Adjustments Source'!V30,"M:SS"),TEXT('All Tandem Adjustments Source'!V30,"H:MM:SS"))</f>
        <v>0:00</v>
      </c>
      <c r="H29" s="54">
        <f>'All Tandem Adjustments Source'!Z30</f>
        <v>0</v>
      </c>
      <c r="I29" s="54">
        <f>'All Tandem Adjustments Source'!AD30</f>
        <v>0</v>
      </c>
      <c r="J29" s="57" t="str">
        <f>IF('All Tandem Adjustments Source'!C30&lt;1/24,TEXT('All Tandem Adjustments Source'!C30,"M:SS"),TEXT('All Tandem Adjustments Source'!C30,"H:MM:SS"))</f>
        <v>1:12</v>
      </c>
      <c r="K29" s="57" t="str">
        <f>IF('All Tandem Adjustments Source'!G30&lt;1/24,TEXT('All Tandem Adjustments Source'!G30,"M:SS"),TEXT('All Tandem Adjustments Source'!G30,"H:MM:SS"))</f>
        <v>1:49</v>
      </c>
      <c r="L29" s="57" t="str">
        <f>IF('All Tandem Adjustments Source'!K30&lt;1/24,TEXT('All Tandem Adjustments Source'!K30,"M:SS"),TEXT('All Tandem Adjustments Source'!K30,"H:MM:SS"))</f>
        <v>3:03</v>
      </c>
      <c r="M29" s="57" t="str">
        <f>IF('All Tandem Adjustments Source'!O30&lt;1/24,TEXT('All Tandem Adjustments Source'!O30,"M:SS"),TEXT('All Tandem Adjustments Source'!O30,"H:MM:SS"))</f>
        <v>3:41</v>
      </c>
      <c r="N29" s="57" t="str">
        <f>IF('All Tandem Adjustments Source'!S30&lt;1/24,TEXT('All Tandem Adjustments Source'!S30,"M:SS"),TEXT('All Tandem Adjustments Source'!S30,"H:MM:SS"))</f>
        <v>6:13</v>
      </c>
      <c r="O29" s="57" t="str">
        <f>IF('All Tandem Adjustments Source'!W30&lt;1/24,TEXT('All Tandem Adjustments Source'!W30,"M:SS"),TEXT('All Tandem Adjustments Source'!W30,"H:MM:SS"))</f>
        <v>12:53</v>
      </c>
      <c r="P29" s="58">
        <f>'All Tandem Adjustments Source'!AA30</f>
        <v>14.003599537037037</v>
      </c>
      <c r="Q29" s="58">
        <f>'All Tandem Adjustments Source'!AE30</f>
        <v>19.531203703703703</v>
      </c>
      <c r="R29" s="50" t="str">
        <f>IF('All Tandem Adjustments Source'!D30&lt;1/24,TEXT('All Tandem Adjustments Source'!D30,"M:SS"),TEXT('All Tandem Adjustments Source'!D30,"H:MM:SS"))</f>
        <v>0:54</v>
      </c>
      <c r="S29" s="50" t="str">
        <f>IF('All Tandem Adjustments Source'!H30&lt;1/24,TEXT('All Tandem Adjustments Source'!H30,"M:SS"),TEXT('All Tandem Adjustments Source'!H30,"H:MM:SS"))</f>
        <v>1:22</v>
      </c>
      <c r="T29" s="50" t="str">
        <f>IF('All Tandem Adjustments Source'!L30&lt;1/24,TEXT('All Tandem Adjustments Source'!L30,"M:SS"),TEXT('All Tandem Adjustments Source'!L30,"H:MM:SS"))</f>
        <v>2:18</v>
      </c>
      <c r="U29" s="50" t="str">
        <f>IF('All Tandem Adjustments Source'!P30&lt;1/24,TEXT('All Tandem Adjustments Source'!P30,"M:SS"),TEXT('All Tandem Adjustments Source'!P30,"H:MM:SS"))</f>
        <v>2:46</v>
      </c>
      <c r="V29" s="50" t="str">
        <f>IF('All Tandem Adjustments Source'!T30&lt;1/24,TEXT('All Tandem Adjustments Source'!T30,"M:SS"),TEXT('All Tandem Adjustments Source'!T30,"H:MM:SS"))</f>
        <v>4:40</v>
      </c>
      <c r="W29" s="50" t="str">
        <f>IF('All Tandem Adjustments Source'!X30&lt;1/24,TEXT('All Tandem Adjustments Source'!X30,"M:SS"),TEXT('All Tandem Adjustments Source'!X30,"H:MM:SS"))</f>
        <v>9:41</v>
      </c>
      <c r="X29" s="51">
        <f>'All Tandem Adjustments Source'!AB30</f>
        <v>10.774398148148148</v>
      </c>
      <c r="Y29" s="51">
        <f>'All Tandem Adjustments Source'!AF30</f>
        <v>14.965601851851853</v>
      </c>
      <c r="Z29" s="55" t="str">
        <f>IF('All Tandem Adjustments Source'!E30&lt;1/24,TEXT('All Tandem Adjustments Source'!E30,"M:SS"),TEXT('All Tandem Adjustments Source'!E30,"H:MM:SS"))</f>
        <v>2:14</v>
      </c>
      <c r="AA29" s="55" t="str">
        <f>IF('All Tandem Adjustments Source'!I30&lt;1/24,TEXT('All Tandem Adjustments Source'!I30,"M:SS"),TEXT('All Tandem Adjustments Source'!I30,"H:MM:SS"))</f>
        <v>3:22</v>
      </c>
      <c r="AB29" s="55" t="str">
        <f>IF('All Tandem Adjustments Source'!M30&lt;1/24,TEXT('All Tandem Adjustments Source'!M30,"M:SS"),TEXT('All Tandem Adjustments Source'!M30,"H:MM:SS"))</f>
        <v>5:38</v>
      </c>
      <c r="AC29" s="55" t="str">
        <f>IF('All Tandem Adjustments Source'!Q30&lt;1/24,TEXT('All Tandem Adjustments Source'!Q30,"M:SS"),TEXT('All Tandem Adjustments Source'!Q30,"H:MM:SS"))</f>
        <v>6:48</v>
      </c>
      <c r="AD29" s="55" t="str">
        <f>IF('All Tandem Adjustments Source'!U30&lt;1/24,TEXT('All Tandem Adjustments Source'!U30,"M:SS"),TEXT('All Tandem Adjustments Source'!U30,"H:MM:SS"))</f>
        <v>11:29</v>
      </c>
      <c r="AE29" s="55" t="str">
        <f>IF('All Tandem Adjustments Source'!Y30&lt;1/24,TEXT('All Tandem Adjustments Source'!Y30,"M:SS"),TEXT('All Tandem Adjustments Source'!Y30,"H:MM:SS"))</f>
        <v>23:48</v>
      </c>
      <c r="AF29" s="56">
        <f>'All Tandem Adjustments Source'!AC30</f>
        <v>23.997997685185187</v>
      </c>
      <c r="AG29" s="56">
        <f>'All Tandem Adjustments Source'!AG30</f>
        <v>33.877997685185186</v>
      </c>
    </row>
    <row r="30" spans="1:33" hidden="1" x14ac:dyDescent="0.25">
      <c r="A30" s="17">
        <f>'All Tandem Adjustments Source'!A31</f>
        <v>37</v>
      </c>
      <c r="B30" s="53" t="str">
        <f>IF('All Tandem Adjustments Source'!B31&lt;1/24,TEXT('All Tandem Adjustments Source'!B31,"M:SS"),TEXT('All Tandem Adjustments Source'!B31,"H:MM:SS"))</f>
        <v>0:00</v>
      </c>
      <c r="C30" s="53" t="str">
        <f>IF('All Tandem Adjustments Source'!F31&lt;1/24,TEXT('All Tandem Adjustments Source'!F31,"M:SS"),TEXT('All Tandem Adjustments Source'!F31,"H:MM:SS"))</f>
        <v>0:00</v>
      </c>
      <c r="D30" s="53" t="str">
        <f>IF('All Tandem Adjustments Source'!J31&lt;1/24,TEXT('All Tandem Adjustments Source'!J31,"M:SS"),TEXT('All Tandem Adjustments Source'!J31,"H:MM:SS"))</f>
        <v>0:00</v>
      </c>
      <c r="E30" s="53" t="str">
        <f>IF('All Tandem Adjustments Source'!N31&lt;1/24,TEXT('All Tandem Adjustments Source'!N31,"M:SS"),TEXT('All Tandem Adjustments Source'!N31,"H:MM:SS"))</f>
        <v>0:00</v>
      </c>
      <c r="F30" s="53" t="str">
        <f>IF('All Tandem Adjustments Source'!R31&lt;1/24,TEXT('All Tandem Adjustments Source'!R31,"M:SS"),TEXT('All Tandem Adjustments Source'!R31,"H:MM:SS"))</f>
        <v>0:00</v>
      </c>
      <c r="G30" s="53" t="str">
        <f>IF('All Tandem Adjustments Source'!V31&lt;1/24,TEXT('All Tandem Adjustments Source'!V31,"M:SS"),TEXT('All Tandem Adjustments Source'!V31,"H:MM:SS"))</f>
        <v>0:00</v>
      </c>
      <c r="H30" s="54">
        <f>'All Tandem Adjustments Source'!Z31</f>
        <v>0</v>
      </c>
      <c r="I30" s="54">
        <f>'All Tandem Adjustments Source'!AD31</f>
        <v>0</v>
      </c>
      <c r="J30" s="57" t="str">
        <f>IF('All Tandem Adjustments Source'!C31&lt;1/24,TEXT('All Tandem Adjustments Source'!C31,"M:SS"),TEXT('All Tandem Adjustments Source'!C31,"H:MM:SS"))</f>
        <v>1:12</v>
      </c>
      <c r="K30" s="57" t="str">
        <f>IF('All Tandem Adjustments Source'!G31&lt;1/24,TEXT('All Tandem Adjustments Source'!G31,"M:SS"),TEXT('All Tandem Adjustments Source'!G31,"H:MM:SS"))</f>
        <v>1:49</v>
      </c>
      <c r="L30" s="57" t="str">
        <f>IF('All Tandem Adjustments Source'!K31&lt;1/24,TEXT('All Tandem Adjustments Source'!K31,"M:SS"),TEXT('All Tandem Adjustments Source'!K31,"H:MM:SS"))</f>
        <v>3:03</v>
      </c>
      <c r="M30" s="57" t="str">
        <f>IF('All Tandem Adjustments Source'!O31&lt;1/24,TEXT('All Tandem Adjustments Source'!O31,"M:SS"),TEXT('All Tandem Adjustments Source'!O31,"H:MM:SS"))</f>
        <v>3:41</v>
      </c>
      <c r="N30" s="57" t="str">
        <f>IF('All Tandem Adjustments Source'!S31&lt;1/24,TEXT('All Tandem Adjustments Source'!S31,"M:SS"),TEXT('All Tandem Adjustments Source'!S31,"H:MM:SS"))</f>
        <v>6:13</v>
      </c>
      <c r="O30" s="57" t="str">
        <f>IF('All Tandem Adjustments Source'!W31&lt;1/24,TEXT('All Tandem Adjustments Source'!W31,"M:SS"),TEXT('All Tandem Adjustments Source'!W31,"H:MM:SS"))</f>
        <v>12:53</v>
      </c>
      <c r="P30" s="58">
        <f>'All Tandem Adjustments Source'!AA31</f>
        <v>14.003599537037037</v>
      </c>
      <c r="Q30" s="58">
        <f>'All Tandem Adjustments Source'!AE31</f>
        <v>19.531203703703703</v>
      </c>
      <c r="R30" s="50" t="str">
        <f>IF('All Tandem Adjustments Source'!D31&lt;1/24,TEXT('All Tandem Adjustments Source'!D31,"M:SS"),TEXT('All Tandem Adjustments Source'!D31,"H:MM:SS"))</f>
        <v>0:54</v>
      </c>
      <c r="S30" s="50" t="str">
        <f>IF('All Tandem Adjustments Source'!H31&lt;1/24,TEXT('All Tandem Adjustments Source'!H31,"M:SS"),TEXT('All Tandem Adjustments Source'!H31,"H:MM:SS"))</f>
        <v>1:22</v>
      </c>
      <c r="T30" s="50" t="str">
        <f>IF('All Tandem Adjustments Source'!L31&lt;1/24,TEXT('All Tandem Adjustments Source'!L31,"M:SS"),TEXT('All Tandem Adjustments Source'!L31,"H:MM:SS"))</f>
        <v>2:18</v>
      </c>
      <c r="U30" s="50" t="str">
        <f>IF('All Tandem Adjustments Source'!P31&lt;1/24,TEXT('All Tandem Adjustments Source'!P31,"M:SS"),TEXT('All Tandem Adjustments Source'!P31,"H:MM:SS"))</f>
        <v>2:46</v>
      </c>
      <c r="V30" s="50" t="str">
        <f>IF('All Tandem Adjustments Source'!T31&lt;1/24,TEXT('All Tandem Adjustments Source'!T31,"M:SS"),TEXT('All Tandem Adjustments Source'!T31,"H:MM:SS"))</f>
        <v>4:40</v>
      </c>
      <c r="W30" s="50" t="str">
        <f>IF('All Tandem Adjustments Source'!X31&lt;1/24,TEXT('All Tandem Adjustments Source'!X31,"M:SS"),TEXT('All Tandem Adjustments Source'!X31,"H:MM:SS"))</f>
        <v>9:41</v>
      </c>
      <c r="X30" s="51">
        <f>'All Tandem Adjustments Source'!AB31</f>
        <v>10.774398148148148</v>
      </c>
      <c r="Y30" s="51">
        <f>'All Tandem Adjustments Source'!AF31</f>
        <v>14.965601851851853</v>
      </c>
      <c r="Z30" s="55" t="str">
        <f>IF('All Tandem Adjustments Source'!E31&lt;1/24,TEXT('All Tandem Adjustments Source'!E31,"M:SS"),TEXT('All Tandem Adjustments Source'!E31,"H:MM:SS"))</f>
        <v>2:14</v>
      </c>
      <c r="AA30" s="55" t="str">
        <f>IF('All Tandem Adjustments Source'!I31&lt;1/24,TEXT('All Tandem Adjustments Source'!I31,"M:SS"),TEXT('All Tandem Adjustments Source'!I31,"H:MM:SS"))</f>
        <v>3:22</v>
      </c>
      <c r="AB30" s="55" t="str">
        <f>IF('All Tandem Adjustments Source'!M31&lt;1/24,TEXT('All Tandem Adjustments Source'!M31,"M:SS"),TEXT('All Tandem Adjustments Source'!M31,"H:MM:SS"))</f>
        <v>5:38</v>
      </c>
      <c r="AC30" s="55" t="str">
        <f>IF('All Tandem Adjustments Source'!Q31&lt;1/24,TEXT('All Tandem Adjustments Source'!Q31,"M:SS"),TEXT('All Tandem Adjustments Source'!Q31,"H:MM:SS"))</f>
        <v>6:48</v>
      </c>
      <c r="AD30" s="55" t="str">
        <f>IF('All Tandem Adjustments Source'!U31&lt;1/24,TEXT('All Tandem Adjustments Source'!U31,"M:SS"),TEXT('All Tandem Adjustments Source'!U31,"H:MM:SS"))</f>
        <v>11:29</v>
      </c>
      <c r="AE30" s="55" t="str">
        <f>IF('All Tandem Adjustments Source'!Y31&lt;1/24,TEXT('All Tandem Adjustments Source'!Y31,"M:SS"),TEXT('All Tandem Adjustments Source'!Y31,"H:MM:SS"))</f>
        <v>23:48</v>
      </c>
      <c r="AF30" s="56">
        <f>'All Tandem Adjustments Source'!AC31</f>
        <v>23.997997685185187</v>
      </c>
      <c r="AG30" s="56">
        <f>'All Tandem Adjustments Source'!AG31</f>
        <v>33.877997685185186</v>
      </c>
    </row>
    <row r="31" spans="1:33" hidden="1" x14ac:dyDescent="0.25">
      <c r="A31" s="17">
        <f>'All Tandem Adjustments Source'!A32</f>
        <v>38</v>
      </c>
      <c r="B31" s="53" t="str">
        <f>IF('All Tandem Adjustments Source'!B32&lt;1/24,TEXT('All Tandem Adjustments Source'!B32,"M:SS"),TEXT('All Tandem Adjustments Source'!B32,"H:MM:SS"))</f>
        <v>0:00</v>
      </c>
      <c r="C31" s="53" t="str">
        <f>IF('All Tandem Adjustments Source'!F32&lt;1/24,TEXT('All Tandem Adjustments Source'!F32,"M:SS"),TEXT('All Tandem Adjustments Source'!F32,"H:MM:SS"))</f>
        <v>0:00</v>
      </c>
      <c r="D31" s="53" t="str">
        <f>IF('All Tandem Adjustments Source'!J32&lt;1/24,TEXT('All Tandem Adjustments Source'!J32,"M:SS"),TEXT('All Tandem Adjustments Source'!J32,"H:MM:SS"))</f>
        <v>0:00</v>
      </c>
      <c r="E31" s="53" t="str">
        <f>IF('All Tandem Adjustments Source'!N32&lt;1/24,TEXT('All Tandem Adjustments Source'!N32,"M:SS"),TEXT('All Tandem Adjustments Source'!N32,"H:MM:SS"))</f>
        <v>0:00</v>
      </c>
      <c r="F31" s="53" t="str">
        <f>IF('All Tandem Adjustments Source'!R32&lt;1/24,TEXT('All Tandem Adjustments Source'!R32,"M:SS"),TEXT('All Tandem Adjustments Source'!R32,"H:MM:SS"))</f>
        <v>0:00</v>
      </c>
      <c r="G31" s="53" t="str">
        <f>IF('All Tandem Adjustments Source'!V32&lt;1/24,TEXT('All Tandem Adjustments Source'!V32,"M:SS"),TEXT('All Tandem Adjustments Source'!V32,"H:MM:SS"))</f>
        <v>0:00</v>
      </c>
      <c r="H31" s="54">
        <f>'All Tandem Adjustments Source'!Z32</f>
        <v>0</v>
      </c>
      <c r="I31" s="54">
        <f>'All Tandem Adjustments Source'!AD32</f>
        <v>0</v>
      </c>
      <c r="J31" s="57" t="str">
        <f>IF('All Tandem Adjustments Source'!C32&lt;1/24,TEXT('All Tandem Adjustments Source'!C32,"M:SS"),TEXT('All Tandem Adjustments Source'!C32,"H:MM:SS"))</f>
        <v>1:12</v>
      </c>
      <c r="K31" s="57" t="str">
        <f>IF('All Tandem Adjustments Source'!G32&lt;1/24,TEXT('All Tandem Adjustments Source'!G32,"M:SS"),TEXT('All Tandem Adjustments Source'!G32,"H:MM:SS"))</f>
        <v>1:49</v>
      </c>
      <c r="L31" s="57" t="str">
        <f>IF('All Tandem Adjustments Source'!K32&lt;1/24,TEXT('All Tandem Adjustments Source'!K32,"M:SS"),TEXT('All Tandem Adjustments Source'!K32,"H:MM:SS"))</f>
        <v>3:03</v>
      </c>
      <c r="M31" s="57" t="str">
        <f>IF('All Tandem Adjustments Source'!O32&lt;1/24,TEXT('All Tandem Adjustments Source'!O32,"M:SS"),TEXT('All Tandem Adjustments Source'!O32,"H:MM:SS"))</f>
        <v>3:41</v>
      </c>
      <c r="N31" s="57" t="str">
        <f>IF('All Tandem Adjustments Source'!S32&lt;1/24,TEXT('All Tandem Adjustments Source'!S32,"M:SS"),TEXT('All Tandem Adjustments Source'!S32,"H:MM:SS"))</f>
        <v>6:13</v>
      </c>
      <c r="O31" s="57" t="str">
        <f>IF('All Tandem Adjustments Source'!W32&lt;1/24,TEXT('All Tandem Adjustments Source'!W32,"M:SS"),TEXT('All Tandem Adjustments Source'!W32,"H:MM:SS"))</f>
        <v>12:53</v>
      </c>
      <c r="P31" s="58">
        <f>'All Tandem Adjustments Source'!AA32</f>
        <v>14.003599537037037</v>
      </c>
      <c r="Q31" s="58">
        <f>'All Tandem Adjustments Source'!AE32</f>
        <v>19.531203703703703</v>
      </c>
      <c r="R31" s="50" t="str">
        <f>IF('All Tandem Adjustments Source'!D32&lt;1/24,TEXT('All Tandem Adjustments Source'!D32,"M:SS"),TEXT('All Tandem Adjustments Source'!D32,"H:MM:SS"))</f>
        <v>0:54</v>
      </c>
      <c r="S31" s="50" t="str">
        <f>IF('All Tandem Adjustments Source'!H32&lt;1/24,TEXT('All Tandem Adjustments Source'!H32,"M:SS"),TEXT('All Tandem Adjustments Source'!H32,"H:MM:SS"))</f>
        <v>1:22</v>
      </c>
      <c r="T31" s="50" t="str">
        <f>IF('All Tandem Adjustments Source'!L32&lt;1/24,TEXT('All Tandem Adjustments Source'!L32,"M:SS"),TEXT('All Tandem Adjustments Source'!L32,"H:MM:SS"))</f>
        <v>2:18</v>
      </c>
      <c r="U31" s="50" t="str">
        <f>IF('All Tandem Adjustments Source'!P32&lt;1/24,TEXT('All Tandem Adjustments Source'!P32,"M:SS"),TEXT('All Tandem Adjustments Source'!P32,"H:MM:SS"))</f>
        <v>2:46</v>
      </c>
      <c r="V31" s="50" t="str">
        <f>IF('All Tandem Adjustments Source'!T32&lt;1/24,TEXT('All Tandem Adjustments Source'!T32,"M:SS"),TEXT('All Tandem Adjustments Source'!T32,"H:MM:SS"))</f>
        <v>4:40</v>
      </c>
      <c r="W31" s="50" t="str">
        <f>IF('All Tandem Adjustments Source'!X32&lt;1/24,TEXT('All Tandem Adjustments Source'!X32,"M:SS"),TEXT('All Tandem Adjustments Source'!X32,"H:MM:SS"))</f>
        <v>9:41</v>
      </c>
      <c r="X31" s="51">
        <f>'All Tandem Adjustments Source'!AB32</f>
        <v>10.774398148148148</v>
      </c>
      <c r="Y31" s="51">
        <f>'All Tandem Adjustments Source'!AF32</f>
        <v>14.965601851851853</v>
      </c>
      <c r="Z31" s="55" t="str">
        <f>IF('All Tandem Adjustments Source'!E32&lt;1/24,TEXT('All Tandem Adjustments Source'!E32,"M:SS"),TEXT('All Tandem Adjustments Source'!E32,"H:MM:SS"))</f>
        <v>2:14</v>
      </c>
      <c r="AA31" s="55" t="str">
        <f>IF('All Tandem Adjustments Source'!I32&lt;1/24,TEXT('All Tandem Adjustments Source'!I32,"M:SS"),TEXT('All Tandem Adjustments Source'!I32,"H:MM:SS"))</f>
        <v>3:22</v>
      </c>
      <c r="AB31" s="55" t="str">
        <f>IF('All Tandem Adjustments Source'!M32&lt;1/24,TEXT('All Tandem Adjustments Source'!M32,"M:SS"),TEXT('All Tandem Adjustments Source'!M32,"H:MM:SS"))</f>
        <v>5:38</v>
      </c>
      <c r="AC31" s="55" t="str">
        <f>IF('All Tandem Adjustments Source'!Q32&lt;1/24,TEXT('All Tandem Adjustments Source'!Q32,"M:SS"),TEXT('All Tandem Adjustments Source'!Q32,"H:MM:SS"))</f>
        <v>6:48</v>
      </c>
      <c r="AD31" s="55" t="str">
        <f>IF('All Tandem Adjustments Source'!U32&lt;1/24,TEXT('All Tandem Adjustments Source'!U32,"M:SS"),TEXT('All Tandem Adjustments Source'!U32,"H:MM:SS"))</f>
        <v>11:29</v>
      </c>
      <c r="AE31" s="55" t="str">
        <f>IF('All Tandem Adjustments Source'!Y32&lt;1/24,TEXT('All Tandem Adjustments Source'!Y32,"M:SS"),TEXT('All Tandem Adjustments Source'!Y32,"H:MM:SS"))</f>
        <v>23:48</v>
      </c>
      <c r="AF31" s="56">
        <f>'All Tandem Adjustments Source'!AC32</f>
        <v>23.997997685185187</v>
      </c>
      <c r="AG31" s="56">
        <f>'All Tandem Adjustments Source'!AG32</f>
        <v>33.877997685185186</v>
      </c>
    </row>
    <row r="32" spans="1:33" hidden="1" x14ac:dyDescent="0.25">
      <c r="A32" s="17">
        <f>'All Tandem Adjustments Source'!A33</f>
        <v>39</v>
      </c>
      <c r="B32" s="53" t="str">
        <f>IF('All Tandem Adjustments Source'!B33&lt;1/24,TEXT('All Tandem Adjustments Source'!B33,"M:SS"),TEXT('All Tandem Adjustments Source'!B33,"H:MM:SS"))</f>
        <v>0:00</v>
      </c>
      <c r="C32" s="53" t="str">
        <f>IF('All Tandem Adjustments Source'!F33&lt;1/24,TEXT('All Tandem Adjustments Source'!F33,"M:SS"),TEXT('All Tandem Adjustments Source'!F33,"H:MM:SS"))</f>
        <v>0:00</v>
      </c>
      <c r="D32" s="53" t="str">
        <f>IF('All Tandem Adjustments Source'!J33&lt;1/24,TEXT('All Tandem Adjustments Source'!J33,"M:SS"),TEXT('All Tandem Adjustments Source'!J33,"H:MM:SS"))</f>
        <v>0:00</v>
      </c>
      <c r="E32" s="53" t="str">
        <f>IF('All Tandem Adjustments Source'!N33&lt;1/24,TEXT('All Tandem Adjustments Source'!N33,"M:SS"),TEXT('All Tandem Adjustments Source'!N33,"H:MM:SS"))</f>
        <v>0:00</v>
      </c>
      <c r="F32" s="53" t="str">
        <f>IF('All Tandem Adjustments Source'!R33&lt;1/24,TEXT('All Tandem Adjustments Source'!R33,"M:SS"),TEXT('All Tandem Adjustments Source'!R33,"H:MM:SS"))</f>
        <v>0:00</v>
      </c>
      <c r="G32" s="53" t="str">
        <f>IF('All Tandem Adjustments Source'!V33&lt;1/24,TEXT('All Tandem Adjustments Source'!V33,"M:SS"),TEXT('All Tandem Adjustments Source'!V33,"H:MM:SS"))</f>
        <v>0:00</v>
      </c>
      <c r="H32" s="54">
        <f>'All Tandem Adjustments Source'!Z33</f>
        <v>0</v>
      </c>
      <c r="I32" s="54">
        <f>'All Tandem Adjustments Source'!AD33</f>
        <v>0</v>
      </c>
      <c r="J32" s="57" t="str">
        <f>IF('All Tandem Adjustments Source'!C33&lt;1/24,TEXT('All Tandem Adjustments Source'!C33,"M:SS"),TEXT('All Tandem Adjustments Source'!C33,"H:MM:SS"))</f>
        <v>1:12</v>
      </c>
      <c r="K32" s="57" t="str">
        <f>IF('All Tandem Adjustments Source'!G33&lt;1/24,TEXT('All Tandem Adjustments Source'!G33,"M:SS"),TEXT('All Tandem Adjustments Source'!G33,"H:MM:SS"))</f>
        <v>1:49</v>
      </c>
      <c r="L32" s="57" t="str">
        <f>IF('All Tandem Adjustments Source'!K33&lt;1/24,TEXT('All Tandem Adjustments Source'!K33,"M:SS"),TEXT('All Tandem Adjustments Source'!K33,"H:MM:SS"))</f>
        <v>3:03</v>
      </c>
      <c r="M32" s="57" t="str">
        <f>IF('All Tandem Adjustments Source'!O33&lt;1/24,TEXT('All Tandem Adjustments Source'!O33,"M:SS"),TEXT('All Tandem Adjustments Source'!O33,"H:MM:SS"))</f>
        <v>3:41</v>
      </c>
      <c r="N32" s="57" t="str">
        <f>IF('All Tandem Adjustments Source'!S33&lt;1/24,TEXT('All Tandem Adjustments Source'!S33,"M:SS"),TEXT('All Tandem Adjustments Source'!S33,"H:MM:SS"))</f>
        <v>6:13</v>
      </c>
      <c r="O32" s="57" t="str">
        <f>IF('All Tandem Adjustments Source'!W33&lt;1/24,TEXT('All Tandem Adjustments Source'!W33,"M:SS"),TEXT('All Tandem Adjustments Source'!W33,"H:MM:SS"))</f>
        <v>12:53</v>
      </c>
      <c r="P32" s="58">
        <f>'All Tandem Adjustments Source'!AA33</f>
        <v>14.003599537037037</v>
      </c>
      <c r="Q32" s="58">
        <f>'All Tandem Adjustments Source'!AE33</f>
        <v>19.531203703703703</v>
      </c>
      <c r="R32" s="50" t="str">
        <f>IF('All Tandem Adjustments Source'!D33&lt;1/24,TEXT('All Tandem Adjustments Source'!D33,"M:SS"),TEXT('All Tandem Adjustments Source'!D33,"H:MM:SS"))</f>
        <v>0:54</v>
      </c>
      <c r="S32" s="50" t="str">
        <f>IF('All Tandem Adjustments Source'!H33&lt;1/24,TEXT('All Tandem Adjustments Source'!H33,"M:SS"),TEXT('All Tandem Adjustments Source'!H33,"H:MM:SS"))</f>
        <v>1:22</v>
      </c>
      <c r="T32" s="50" t="str">
        <f>IF('All Tandem Adjustments Source'!L33&lt;1/24,TEXT('All Tandem Adjustments Source'!L33,"M:SS"),TEXT('All Tandem Adjustments Source'!L33,"H:MM:SS"))</f>
        <v>2:18</v>
      </c>
      <c r="U32" s="50" t="str">
        <f>IF('All Tandem Adjustments Source'!P33&lt;1/24,TEXT('All Tandem Adjustments Source'!P33,"M:SS"),TEXT('All Tandem Adjustments Source'!P33,"H:MM:SS"))</f>
        <v>2:46</v>
      </c>
      <c r="V32" s="50" t="str">
        <f>IF('All Tandem Adjustments Source'!T33&lt;1/24,TEXT('All Tandem Adjustments Source'!T33,"M:SS"),TEXT('All Tandem Adjustments Source'!T33,"H:MM:SS"))</f>
        <v>4:40</v>
      </c>
      <c r="W32" s="50" t="str">
        <f>IF('All Tandem Adjustments Source'!X33&lt;1/24,TEXT('All Tandem Adjustments Source'!X33,"M:SS"),TEXT('All Tandem Adjustments Source'!X33,"H:MM:SS"))</f>
        <v>9:41</v>
      </c>
      <c r="X32" s="51">
        <f>'All Tandem Adjustments Source'!AB33</f>
        <v>10.774398148148148</v>
      </c>
      <c r="Y32" s="51">
        <f>'All Tandem Adjustments Source'!AF33</f>
        <v>14.965601851851853</v>
      </c>
      <c r="Z32" s="55" t="str">
        <f>IF('All Tandem Adjustments Source'!E33&lt;1/24,TEXT('All Tandem Adjustments Source'!E33,"M:SS"),TEXT('All Tandem Adjustments Source'!E33,"H:MM:SS"))</f>
        <v>2:14</v>
      </c>
      <c r="AA32" s="55" t="str">
        <f>IF('All Tandem Adjustments Source'!I33&lt;1/24,TEXT('All Tandem Adjustments Source'!I33,"M:SS"),TEXT('All Tandem Adjustments Source'!I33,"H:MM:SS"))</f>
        <v>3:22</v>
      </c>
      <c r="AB32" s="55" t="str">
        <f>IF('All Tandem Adjustments Source'!M33&lt;1/24,TEXT('All Tandem Adjustments Source'!M33,"M:SS"),TEXT('All Tandem Adjustments Source'!M33,"H:MM:SS"))</f>
        <v>5:38</v>
      </c>
      <c r="AC32" s="55" t="str">
        <f>IF('All Tandem Adjustments Source'!Q33&lt;1/24,TEXT('All Tandem Adjustments Source'!Q33,"M:SS"),TEXT('All Tandem Adjustments Source'!Q33,"H:MM:SS"))</f>
        <v>6:48</v>
      </c>
      <c r="AD32" s="55" t="str">
        <f>IF('All Tandem Adjustments Source'!U33&lt;1/24,TEXT('All Tandem Adjustments Source'!U33,"M:SS"),TEXT('All Tandem Adjustments Source'!U33,"H:MM:SS"))</f>
        <v>11:29</v>
      </c>
      <c r="AE32" s="55" t="str">
        <f>IF('All Tandem Adjustments Source'!Y33&lt;1/24,TEXT('All Tandem Adjustments Source'!Y33,"M:SS"),TEXT('All Tandem Adjustments Source'!Y33,"H:MM:SS"))</f>
        <v>23:48</v>
      </c>
      <c r="AF32" s="56">
        <f>'All Tandem Adjustments Source'!AC33</f>
        <v>23.997997685185187</v>
      </c>
      <c r="AG32" s="56">
        <f>'All Tandem Adjustments Source'!AG33</f>
        <v>33.877997685185186</v>
      </c>
    </row>
    <row r="33" spans="1:33" x14ac:dyDescent="0.25">
      <c r="A33" s="17">
        <f>'All Tandem Adjustments Source'!A34</f>
        <v>40</v>
      </c>
      <c r="B33" s="53" t="str">
        <f>IF('All Tandem Adjustments Source'!B34&lt;1/24,TEXT('All Tandem Adjustments Source'!B34,"M:SS"),TEXT('All Tandem Adjustments Source'!B34,"H:MM:SS"))</f>
        <v>0:00</v>
      </c>
      <c r="C33" s="53" t="str">
        <f>IF('All Tandem Adjustments Source'!F34&lt;1/24,TEXT('All Tandem Adjustments Source'!F34,"M:SS"),TEXT('All Tandem Adjustments Source'!F34,"H:MM:SS"))</f>
        <v>0:00</v>
      </c>
      <c r="D33" s="53" t="str">
        <f>IF('All Tandem Adjustments Source'!J34&lt;1/24,TEXT('All Tandem Adjustments Source'!J34,"M:SS"),TEXT('All Tandem Adjustments Source'!J34,"H:MM:SS"))</f>
        <v>0:00</v>
      </c>
      <c r="E33" s="53" t="str">
        <f>IF('All Tandem Adjustments Source'!N34&lt;1/24,TEXT('All Tandem Adjustments Source'!N34,"M:SS"),TEXT('All Tandem Adjustments Source'!N34,"H:MM:SS"))</f>
        <v>0:00</v>
      </c>
      <c r="F33" s="53" t="str">
        <f>IF('All Tandem Adjustments Source'!R34&lt;1/24,TEXT('All Tandem Adjustments Source'!R34,"M:SS"),TEXT('All Tandem Adjustments Source'!R34,"H:MM:SS"))</f>
        <v>0:00</v>
      </c>
      <c r="G33" s="53" t="str">
        <f>IF('All Tandem Adjustments Source'!V34&lt;1/24,TEXT('All Tandem Adjustments Source'!V34,"M:SS"),TEXT('All Tandem Adjustments Source'!V34,"H:MM:SS"))</f>
        <v>0:00</v>
      </c>
      <c r="H33" s="54">
        <f>'All Tandem Adjustments Source'!Z34</f>
        <v>0</v>
      </c>
      <c r="I33" s="54">
        <f>'All Tandem Adjustments Source'!AD34</f>
        <v>0</v>
      </c>
      <c r="J33" s="57" t="str">
        <f>IF('All Tandem Adjustments Source'!C34&lt;1/24,TEXT('All Tandem Adjustments Source'!C34,"M:SS"),TEXT('All Tandem Adjustments Source'!C34,"H:MM:SS"))</f>
        <v>1:12</v>
      </c>
      <c r="K33" s="57" t="str">
        <f>IF('All Tandem Adjustments Source'!G34&lt;1/24,TEXT('All Tandem Adjustments Source'!G34,"M:SS"),TEXT('All Tandem Adjustments Source'!G34,"H:MM:SS"))</f>
        <v>1:49</v>
      </c>
      <c r="L33" s="57" t="str">
        <f>IF('All Tandem Adjustments Source'!K34&lt;1/24,TEXT('All Tandem Adjustments Source'!K34,"M:SS"),TEXT('All Tandem Adjustments Source'!K34,"H:MM:SS"))</f>
        <v>3:03</v>
      </c>
      <c r="M33" s="57" t="str">
        <f>IF('All Tandem Adjustments Source'!O34&lt;1/24,TEXT('All Tandem Adjustments Source'!O34,"M:SS"),TEXT('All Tandem Adjustments Source'!O34,"H:MM:SS"))</f>
        <v>3:41</v>
      </c>
      <c r="N33" s="57" t="str">
        <f>IF('All Tandem Adjustments Source'!S34&lt;1/24,TEXT('All Tandem Adjustments Source'!S34,"M:SS"),TEXT('All Tandem Adjustments Source'!S34,"H:MM:SS"))</f>
        <v>6:13</v>
      </c>
      <c r="O33" s="57" t="str">
        <f>IF('All Tandem Adjustments Source'!W34&lt;1/24,TEXT('All Tandem Adjustments Source'!W34,"M:SS"),TEXT('All Tandem Adjustments Source'!W34,"H:MM:SS"))</f>
        <v>12:53</v>
      </c>
      <c r="P33" s="58">
        <f>'All Tandem Adjustments Source'!AA34</f>
        <v>14.003599537037037</v>
      </c>
      <c r="Q33" s="58">
        <f>'All Tandem Adjustments Source'!AE34</f>
        <v>19.531203703703703</v>
      </c>
      <c r="R33" s="50" t="str">
        <f>IF('All Tandem Adjustments Source'!D34&lt;1/24,TEXT('All Tandem Adjustments Source'!D34,"M:SS"),TEXT('All Tandem Adjustments Source'!D34,"H:MM:SS"))</f>
        <v>0:54</v>
      </c>
      <c r="S33" s="50" t="str">
        <f>IF('All Tandem Adjustments Source'!H34&lt;1/24,TEXT('All Tandem Adjustments Source'!H34,"M:SS"),TEXT('All Tandem Adjustments Source'!H34,"H:MM:SS"))</f>
        <v>1:22</v>
      </c>
      <c r="T33" s="50" t="str">
        <f>IF('All Tandem Adjustments Source'!L34&lt;1/24,TEXT('All Tandem Adjustments Source'!L34,"M:SS"),TEXT('All Tandem Adjustments Source'!L34,"H:MM:SS"))</f>
        <v>2:18</v>
      </c>
      <c r="U33" s="50" t="str">
        <f>IF('All Tandem Adjustments Source'!P34&lt;1/24,TEXT('All Tandem Adjustments Source'!P34,"M:SS"),TEXT('All Tandem Adjustments Source'!P34,"H:MM:SS"))</f>
        <v>2:46</v>
      </c>
      <c r="V33" s="50" t="str">
        <f>IF('All Tandem Adjustments Source'!T34&lt;1/24,TEXT('All Tandem Adjustments Source'!T34,"M:SS"),TEXT('All Tandem Adjustments Source'!T34,"H:MM:SS"))</f>
        <v>4:40</v>
      </c>
      <c r="W33" s="50" t="str">
        <f>IF('All Tandem Adjustments Source'!X34&lt;1/24,TEXT('All Tandem Adjustments Source'!X34,"M:SS"),TEXT('All Tandem Adjustments Source'!X34,"H:MM:SS"))</f>
        <v>9:41</v>
      </c>
      <c r="X33" s="51">
        <f>'All Tandem Adjustments Source'!AB34</f>
        <v>10.774398148148148</v>
      </c>
      <c r="Y33" s="51">
        <f>'All Tandem Adjustments Source'!AF34</f>
        <v>14.965601851851853</v>
      </c>
      <c r="Z33" s="55" t="str">
        <f>IF('All Tandem Adjustments Source'!E34&lt;1/24,TEXT('All Tandem Adjustments Source'!E34,"M:SS"),TEXT('All Tandem Adjustments Source'!E34,"H:MM:SS"))</f>
        <v>2:14</v>
      </c>
      <c r="AA33" s="55" t="str">
        <f>IF('All Tandem Adjustments Source'!I34&lt;1/24,TEXT('All Tandem Adjustments Source'!I34,"M:SS"),TEXT('All Tandem Adjustments Source'!I34,"H:MM:SS"))</f>
        <v>3:22</v>
      </c>
      <c r="AB33" s="55" t="str">
        <f>IF('All Tandem Adjustments Source'!M34&lt;1/24,TEXT('All Tandem Adjustments Source'!M34,"M:SS"),TEXT('All Tandem Adjustments Source'!M34,"H:MM:SS"))</f>
        <v>5:38</v>
      </c>
      <c r="AC33" s="55" t="str">
        <f>IF('All Tandem Adjustments Source'!Q34&lt;1/24,TEXT('All Tandem Adjustments Source'!Q34,"M:SS"),TEXT('All Tandem Adjustments Source'!Q34,"H:MM:SS"))</f>
        <v>6:48</v>
      </c>
      <c r="AD33" s="55" t="str">
        <f>IF('All Tandem Adjustments Source'!U34&lt;1/24,TEXT('All Tandem Adjustments Source'!U34,"M:SS"),TEXT('All Tandem Adjustments Source'!U34,"H:MM:SS"))</f>
        <v>11:29</v>
      </c>
      <c r="AE33" s="55" t="str">
        <f>IF('All Tandem Adjustments Source'!Y34&lt;1/24,TEXT('All Tandem Adjustments Source'!Y34,"M:SS"),TEXT('All Tandem Adjustments Source'!Y34,"H:MM:SS"))</f>
        <v>23:48</v>
      </c>
      <c r="AF33" s="56">
        <f>'All Tandem Adjustments Source'!AC34</f>
        <v>23.997997685185187</v>
      </c>
      <c r="AG33" s="56">
        <f>'All Tandem Adjustments Source'!AG34</f>
        <v>33.877997685185186</v>
      </c>
    </row>
    <row r="34" spans="1:33" x14ac:dyDescent="0.25">
      <c r="A34" s="17">
        <f>'All Tandem Adjustments Source'!A35</f>
        <v>41</v>
      </c>
      <c r="B34" s="53" t="str">
        <f>IF('All Tandem Adjustments Source'!B35&lt;1/24,TEXT('All Tandem Adjustments Source'!B35,"M:SS"),TEXT('All Tandem Adjustments Source'!B35,"H:MM:SS"))</f>
        <v>0:01</v>
      </c>
      <c r="C34" s="53" t="str">
        <f>IF('All Tandem Adjustments Source'!F35&lt;1/24,TEXT('All Tandem Adjustments Source'!F35,"M:SS"),TEXT('All Tandem Adjustments Source'!F35,"H:MM:SS"))</f>
        <v>0:01</v>
      </c>
      <c r="D34" s="53" t="str">
        <f>IF('All Tandem Adjustments Source'!J35&lt;1/24,TEXT('All Tandem Adjustments Source'!J35,"M:SS"),TEXT('All Tandem Adjustments Source'!J35,"H:MM:SS"))</f>
        <v>0:03</v>
      </c>
      <c r="E34" s="53" t="str">
        <f>IF('All Tandem Adjustments Source'!N35&lt;1/24,TEXT('All Tandem Adjustments Source'!N35,"M:SS"),TEXT('All Tandem Adjustments Source'!N35,"H:MM:SS"))</f>
        <v>0:04</v>
      </c>
      <c r="F34" s="53" t="str">
        <f>IF('All Tandem Adjustments Source'!R35&lt;1/24,TEXT('All Tandem Adjustments Source'!R35,"M:SS"),TEXT('All Tandem Adjustments Source'!R35,"H:MM:SS"))</f>
        <v>0:06</v>
      </c>
      <c r="G34" s="53" t="str">
        <f>IF('All Tandem Adjustments Source'!V35&lt;1/24,TEXT('All Tandem Adjustments Source'!V35,"M:SS"),TEXT('All Tandem Adjustments Source'!V35,"H:MM:SS"))</f>
        <v>0:14</v>
      </c>
      <c r="H34" s="54">
        <f>'All Tandem Adjustments Source'!Z35</f>
        <v>0.36920138888888887</v>
      </c>
      <c r="I34" s="54">
        <f>'All Tandem Adjustments Source'!AD35</f>
        <v>0.73319444444444448</v>
      </c>
      <c r="J34" s="57" t="str">
        <f>IF('All Tandem Adjustments Source'!C35&lt;1/24,TEXT('All Tandem Adjustments Source'!C35,"M:SS"),TEXT('All Tandem Adjustments Source'!C35,"H:MM:SS"))</f>
        <v>1:13</v>
      </c>
      <c r="K34" s="57" t="str">
        <f>IF('All Tandem Adjustments Source'!G35&lt;1/24,TEXT('All Tandem Adjustments Source'!G35,"M:SS"),TEXT('All Tandem Adjustments Source'!G35,"H:MM:SS"))</f>
        <v>1:50</v>
      </c>
      <c r="L34" s="57" t="str">
        <f>IF('All Tandem Adjustments Source'!K35&lt;1/24,TEXT('All Tandem Adjustments Source'!K35,"M:SS"),TEXT('All Tandem Adjustments Source'!K35,"H:MM:SS"))</f>
        <v>3:05</v>
      </c>
      <c r="M34" s="57" t="str">
        <f>IF('All Tandem Adjustments Source'!O35&lt;1/24,TEXT('All Tandem Adjustments Source'!O35,"M:SS"),TEXT('All Tandem Adjustments Source'!O35,"H:MM:SS"))</f>
        <v>3:43</v>
      </c>
      <c r="N34" s="57" t="str">
        <f>IF('All Tandem Adjustments Source'!S35&lt;1/24,TEXT('All Tandem Adjustments Source'!S35,"M:SS"),TEXT('All Tandem Adjustments Source'!S35,"H:MM:SS"))</f>
        <v>6:16</v>
      </c>
      <c r="O34" s="57" t="str">
        <f>IF('All Tandem Adjustments Source'!W35&lt;1/24,TEXT('All Tandem Adjustments Source'!W35,"M:SS"),TEXT('All Tandem Adjustments Source'!W35,"H:MM:SS"))</f>
        <v>13:01</v>
      </c>
      <c r="P34" s="58">
        <f>'All Tandem Adjustments Source'!AA35</f>
        <v>14.211597222222222</v>
      </c>
      <c r="Q34" s="58">
        <f>'All Tandem Adjustments Source'!AE35</f>
        <v>20.009594907407408</v>
      </c>
      <c r="R34" s="50" t="str">
        <f>IF('All Tandem Adjustments Source'!D35&lt;1/24,TEXT('All Tandem Adjustments Source'!D35,"M:SS"),TEXT('All Tandem Adjustments Source'!D35,"H:MM:SS"))</f>
        <v>0:56</v>
      </c>
      <c r="S34" s="50" t="str">
        <f>IF('All Tandem Adjustments Source'!H35&lt;1/24,TEXT('All Tandem Adjustments Source'!H35,"M:SS"),TEXT('All Tandem Adjustments Source'!H35,"H:MM:SS"))</f>
        <v>1:24</v>
      </c>
      <c r="T34" s="50" t="str">
        <f>IF('All Tandem Adjustments Source'!L35&lt;1/24,TEXT('All Tandem Adjustments Source'!L35,"M:SS"),TEXT('All Tandem Adjustments Source'!L35,"H:MM:SS"))</f>
        <v>2:21</v>
      </c>
      <c r="U34" s="50" t="str">
        <f>IF('All Tandem Adjustments Source'!P35&lt;1/24,TEXT('All Tandem Adjustments Source'!P35,"M:SS"),TEXT('All Tandem Adjustments Source'!P35,"H:MM:SS"))</f>
        <v>2:50</v>
      </c>
      <c r="V34" s="50" t="str">
        <f>IF('All Tandem Adjustments Source'!T35&lt;1/24,TEXT('All Tandem Adjustments Source'!T35,"M:SS"),TEXT('All Tandem Adjustments Source'!T35,"H:MM:SS"))</f>
        <v>4:47</v>
      </c>
      <c r="W34" s="50" t="str">
        <f>IF('All Tandem Adjustments Source'!X35&lt;1/24,TEXT('All Tandem Adjustments Source'!X35,"M:SS"),TEXT('All Tandem Adjustments Source'!X35,"H:MM:SS"))</f>
        <v>9:56</v>
      </c>
      <c r="X34" s="51">
        <f>'All Tandem Adjustments Source'!AB35</f>
        <v>11.107199074074074</v>
      </c>
      <c r="Y34" s="51">
        <f>'All Tandem Adjustments Source'!AF35</f>
        <v>15.631203703703704</v>
      </c>
      <c r="Z34" s="55" t="str">
        <f>IF('All Tandem Adjustments Source'!E35&lt;1/24,TEXT('All Tandem Adjustments Source'!E35,"M:SS"),TEXT('All Tandem Adjustments Source'!E35,"H:MM:SS"))</f>
        <v>2:14</v>
      </c>
      <c r="AA34" s="55" t="str">
        <f>IF('All Tandem Adjustments Source'!I35&lt;1/24,TEXT('All Tandem Adjustments Source'!I35,"M:SS"),TEXT('All Tandem Adjustments Source'!I35,"H:MM:SS"))</f>
        <v>3:23</v>
      </c>
      <c r="AB34" s="55" t="str">
        <f>IF('All Tandem Adjustments Source'!M35&lt;1/24,TEXT('All Tandem Adjustments Source'!M35,"M:SS"),TEXT('All Tandem Adjustments Source'!M35,"H:MM:SS"))</f>
        <v>5:40</v>
      </c>
      <c r="AC34" s="55" t="str">
        <f>IF('All Tandem Adjustments Source'!Q35&lt;1/24,TEXT('All Tandem Adjustments Source'!Q35,"M:SS"),TEXT('All Tandem Adjustments Source'!Q35,"H:MM:SS"))</f>
        <v>6:49</v>
      </c>
      <c r="AD34" s="55" t="str">
        <f>IF('All Tandem Adjustments Source'!U35&lt;1/24,TEXT('All Tandem Adjustments Source'!U35,"M:SS"),TEXT('All Tandem Adjustments Source'!U35,"H:MM:SS"))</f>
        <v>11:32</v>
      </c>
      <c r="AE34" s="55" t="str">
        <f>IF('All Tandem Adjustments Source'!Y35&lt;1/24,TEXT('All Tandem Adjustments Source'!Y35,"M:SS"),TEXT('All Tandem Adjustments Source'!Y35,"H:MM:SS"))</f>
        <v>23:56</v>
      </c>
      <c r="AF34" s="56">
        <f>'All Tandem Adjustments Source'!AC35</f>
        <v>24.185196759259259</v>
      </c>
      <c r="AG34" s="56">
        <f>'All Tandem Adjustments Source'!AG35</f>
        <v>34.309594907407408</v>
      </c>
    </row>
    <row r="35" spans="1:33" x14ac:dyDescent="0.25">
      <c r="A35" s="17">
        <f>'All Tandem Adjustments Source'!A36</f>
        <v>42</v>
      </c>
      <c r="B35" s="53" t="str">
        <f>IF('All Tandem Adjustments Source'!B36&lt;1/24,TEXT('All Tandem Adjustments Source'!B36,"M:SS"),TEXT('All Tandem Adjustments Source'!B36,"H:MM:SS"))</f>
        <v>0:02</v>
      </c>
      <c r="C35" s="53" t="str">
        <f>IF('All Tandem Adjustments Source'!F36&lt;1/24,TEXT('All Tandem Adjustments Source'!F36,"M:SS"),TEXT('All Tandem Adjustments Source'!F36,"H:MM:SS"))</f>
        <v>0:03</v>
      </c>
      <c r="D35" s="53" t="str">
        <f>IF('All Tandem Adjustments Source'!J36&lt;1/24,TEXT('All Tandem Adjustments Source'!J36,"M:SS"),TEXT('All Tandem Adjustments Source'!J36,"H:MM:SS"))</f>
        <v>0:06</v>
      </c>
      <c r="E35" s="53" t="str">
        <f>IF('All Tandem Adjustments Source'!N36&lt;1/24,TEXT('All Tandem Adjustments Source'!N36,"M:SS"),TEXT('All Tandem Adjustments Source'!N36,"H:MM:SS"))</f>
        <v>0:08</v>
      </c>
      <c r="F35" s="53" t="str">
        <f>IF('All Tandem Adjustments Source'!R36&lt;1/24,TEXT('All Tandem Adjustments Source'!R36,"M:SS"),TEXT('All Tandem Adjustments Source'!R36,"H:MM:SS"))</f>
        <v>0:13</v>
      </c>
      <c r="G35" s="53" t="str">
        <f>IF('All Tandem Adjustments Source'!V36&lt;1/24,TEXT('All Tandem Adjustments Source'!V36,"M:SS"),TEXT('All Tandem Adjustments Source'!V36,"H:MM:SS"))</f>
        <v>0:29</v>
      </c>
      <c r="H35" s="54">
        <f>'All Tandem Adjustments Source'!Z36</f>
        <v>0.79040509259259262</v>
      </c>
      <c r="I35" s="54">
        <f>'All Tandem Adjustments Source'!AD36</f>
        <v>1.5704050925925925</v>
      </c>
      <c r="J35" s="57" t="str">
        <f>IF('All Tandem Adjustments Source'!C36&lt;1/24,TEXT('All Tandem Adjustments Source'!C36,"M:SS"),TEXT('All Tandem Adjustments Source'!C36,"H:MM:SS"))</f>
        <v>1:13</v>
      </c>
      <c r="K35" s="57" t="str">
        <f>IF('All Tandem Adjustments Source'!G36&lt;1/24,TEXT('All Tandem Adjustments Source'!G36,"M:SS"),TEXT('All Tandem Adjustments Source'!G36,"H:MM:SS"))</f>
        <v>1:51</v>
      </c>
      <c r="L35" s="57" t="str">
        <f>IF('All Tandem Adjustments Source'!K36&lt;1/24,TEXT('All Tandem Adjustments Source'!K36,"M:SS"),TEXT('All Tandem Adjustments Source'!K36,"H:MM:SS"))</f>
        <v>3:06</v>
      </c>
      <c r="M35" s="57" t="str">
        <f>IF('All Tandem Adjustments Source'!O36&lt;1/24,TEXT('All Tandem Adjustments Source'!O36,"M:SS"),TEXT('All Tandem Adjustments Source'!O36,"H:MM:SS"))</f>
        <v>3:45</v>
      </c>
      <c r="N35" s="57" t="str">
        <f>IF('All Tandem Adjustments Source'!S36&lt;1/24,TEXT('All Tandem Adjustments Source'!S36,"M:SS"),TEXT('All Tandem Adjustments Source'!S36,"H:MM:SS"))</f>
        <v>6:20</v>
      </c>
      <c r="O35" s="57" t="str">
        <f>IF('All Tandem Adjustments Source'!W36&lt;1/24,TEXT('All Tandem Adjustments Source'!W36,"M:SS"),TEXT('All Tandem Adjustments Source'!W36,"H:MM:SS"))</f>
        <v>13:10</v>
      </c>
      <c r="P35" s="58">
        <f>'All Tandem Adjustments Source'!AA36</f>
        <v>14.435196759259259</v>
      </c>
      <c r="Q35" s="58">
        <f>'All Tandem Adjustments Source'!AE36</f>
        <v>20.545196759259259</v>
      </c>
      <c r="R35" s="50" t="str">
        <f>IF('All Tandem Adjustments Source'!D36&lt;1/24,TEXT('All Tandem Adjustments Source'!D36,"M:SS"),TEXT('All Tandem Adjustments Source'!D36,"H:MM:SS"))</f>
        <v>0:57</v>
      </c>
      <c r="S35" s="50" t="str">
        <f>IF('All Tandem Adjustments Source'!H36&lt;1/24,TEXT('All Tandem Adjustments Source'!H36,"M:SS"),TEXT('All Tandem Adjustments Source'!H36,"H:MM:SS"))</f>
        <v>1:26</v>
      </c>
      <c r="T35" s="50" t="str">
        <f>IF('All Tandem Adjustments Source'!L36&lt;1/24,TEXT('All Tandem Adjustments Source'!L36,"M:SS"),TEXT('All Tandem Adjustments Source'!L36,"H:MM:SS"))</f>
        <v>2:24</v>
      </c>
      <c r="U35" s="50" t="str">
        <f>IF('All Tandem Adjustments Source'!P36&lt;1/24,TEXT('All Tandem Adjustments Source'!P36,"M:SS"),TEXT('All Tandem Adjustments Source'!P36,"H:MM:SS"))</f>
        <v>2:54</v>
      </c>
      <c r="V35" s="50" t="str">
        <f>IF('All Tandem Adjustments Source'!T36&lt;1/24,TEXT('All Tandem Adjustments Source'!T36,"M:SS"),TEXT('All Tandem Adjustments Source'!T36,"H:MM:SS"))</f>
        <v>4:55</v>
      </c>
      <c r="W35" s="50" t="str">
        <f>IF('All Tandem Adjustments Source'!X36&lt;1/24,TEXT('All Tandem Adjustments Source'!X36,"M:SS"),TEXT('All Tandem Adjustments Source'!X36,"H:MM:SS"))</f>
        <v>10:13</v>
      </c>
      <c r="X35" s="51">
        <f>'All Tandem Adjustments Source'!AB36</f>
        <v>11.492002314814815</v>
      </c>
      <c r="Y35" s="51">
        <f>'All Tandem Adjustments Source'!AF36</f>
        <v>16.39560185185185</v>
      </c>
      <c r="Z35" s="55" t="str">
        <f>IF('All Tandem Adjustments Source'!E36&lt;1/24,TEXT('All Tandem Adjustments Source'!E36,"M:SS"),TEXT('All Tandem Adjustments Source'!E36,"H:MM:SS"))</f>
        <v>2:15</v>
      </c>
      <c r="AA35" s="55" t="str">
        <f>IF('All Tandem Adjustments Source'!I36&lt;1/24,TEXT('All Tandem Adjustments Source'!I36,"M:SS"),TEXT('All Tandem Adjustments Source'!I36,"H:MM:SS"))</f>
        <v>3:24</v>
      </c>
      <c r="AB35" s="55" t="str">
        <f>IF('All Tandem Adjustments Source'!M36&lt;1/24,TEXT('All Tandem Adjustments Source'!M36,"M:SS"),TEXT('All Tandem Adjustments Source'!M36,"H:MM:SS"))</f>
        <v>5:42</v>
      </c>
      <c r="AC35" s="55" t="str">
        <f>IF('All Tandem Adjustments Source'!Q36&lt;1/24,TEXT('All Tandem Adjustments Source'!Q36,"M:SS"),TEXT('All Tandem Adjustments Source'!Q36,"H:MM:SS"))</f>
        <v>6:52</v>
      </c>
      <c r="AD35" s="55" t="str">
        <f>IF('All Tandem Adjustments Source'!U36&lt;1/24,TEXT('All Tandem Adjustments Source'!U36,"M:SS"),TEXT('All Tandem Adjustments Source'!U36,"H:MM:SS"))</f>
        <v>11:36</v>
      </c>
      <c r="AE35" s="55" t="str">
        <f>IF('All Tandem Adjustments Source'!Y36&lt;1/24,TEXT('All Tandem Adjustments Source'!Y36,"M:SS"),TEXT('All Tandem Adjustments Source'!Y36,"H:MM:SS"))</f>
        <v>24:06</v>
      </c>
      <c r="AF35" s="56">
        <f>'All Tandem Adjustments Source'!AC36</f>
        <v>24.387997685185184</v>
      </c>
      <c r="AG35" s="56">
        <f>'All Tandem Adjustments Source'!AG36</f>
        <v>34.782800925925926</v>
      </c>
    </row>
    <row r="36" spans="1:33" x14ac:dyDescent="0.25">
      <c r="A36" s="17">
        <f>'All Tandem Adjustments Source'!A37</f>
        <v>43</v>
      </c>
      <c r="B36" s="53" t="str">
        <f>IF('All Tandem Adjustments Source'!B37&lt;1/24,TEXT('All Tandem Adjustments Source'!B37,"M:SS"),TEXT('All Tandem Adjustments Source'!B37,"H:MM:SS"))</f>
        <v>0:04</v>
      </c>
      <c r="C36" s="53" t="str">
        <f>IF('All Tandem Adjustments Source'!F37&lt;1/24,TEXT('All Tandem Adjustments Source'!F37,"M:SS"),TEXT('All Tandem Adjustments Source'!F37,"H:MM:SS"))</f>
        <v>0:06</v>
      </c>
      <c r="D36" s="53" t="str">
        <f>IF('All Tandem Adjustments Source'!J37&lt;1/24,TEXT('All Tandem Adjustments Source'!J37,"M:SS"),TEXT('All Tandem Adjustments Source'!J37,"H:MM:SS"))</f>
        <v>0:10</v>
      </c>
      <c r="E36" s="53" t="str">
        <f>IF('All Tandem Adjustments Source'!N37&lt;1/24,TEXT('All Tandem Adjustments Source'!N37,"M:SS"),TEXT('All Tandem Adjustments Source'!N37,"H:MM:SS"))</f>
        <v>0:12</v>
      </c>
      <c r="F36" s="53" t="str">
        <f>IF('All Tandem Adjustments Source'!R37&lt;1/24,TEXT('All Tandem Adjustments Source'!R37,"M:SS"),TEXT('All Tandem Adjustments Source'!R37,"H:MM:SS"))</f>
        <v>0:21</v>
      </c>
      <c r="G36" s="53" t="str">
        <f>IF('All Tandem Adjustments Source'!V37&lt;1/24,TEXT('All Tandem Adjustments Source'!V37,"M:SS"),TEXT('All Tandem Adjustments Source'!V37,"H:MM:SS"))</f>
        <v>0:47</v>
      </c>
      <c r="H36" s="54">
        <f>'All Tandem Adjustments Source'!Z37</f>
        <v>1.263599537037037</v>
      </c>
      <c r="I36" s="54">
        <f>'All Tandem Adjustments Source'!AD37</f>
        <v>2.5064004629629628</v>
      </c>
      <c r="J36" s="57" t="str">
        <f>IF('All Tandem Adjustments Source'!C37&lt;1/24,TEXT('All Tandem Adjustments Source'!C37,"M:SS"),TEXT('All Tandem Adjustments Source'!C37,"H:MM:SS"))</f>
        <v>1:14</v>
      </c>
      <c r="K36" s="57" t="str">
        <f>IF('All Tandem Adjustments Source'!G37&lt;1/24,TEXT('All Tandem Adjustments Source'!G37,"M:SS"),TEXT('All Tandem Adjustments Source'!G37,"H:MM:SS"))</f>
        <v>1:52</v>
      </c>
      <c r="L36" s="57" t="str">
        <f>IF('All Tandem Adjustments Source'!K37&lt;1/24,TEXT('All Tandem Adjustments Source'!K37,"M:SS"),TEXT('All Tandem Adjustments Source'!K37,"H:MM:SS"))</f>
        <v>3:08</v>
      </c>
      <c r="M36" s="57" t="str">
        <f>IF('All Tandem Adjustments Source'!O37&lt;1/24,TEXT('All Tandem Adjustments Source'!O37,"M:SS"),TEXT('All Tandem Adjustments Source'!O37,"H:MM:SS"))</f>
        <v>3:47</v>
      </c>
      <c r="N36" s="57" t="str">
        <f>IF('All Tandem Adjustments Source'!S37&lt;1/24,TEXT('All Tandem Adjustments Source'!S37,"M:SS"),TEXT('All Tandem Adjustments Source'!S37,"H:MM:SS"))</f>
        <v>6:24</v>
      </c>
      <c r="O36" s="57" t="str">
        <f>IF('All Tandem Adjustments Source'!W37&lt;1/24,TEXT('All Tandem Adjustments Source'!W37,"M:SS"),TEXT('All Tandem Adjustments Source'!W37,"H:MM:SS"))</f>
        <v>13:18</v>
      </c>
      <c r="P36" s="58">
        <f>'All Tandem Adjustments Source'!AA37</f>
        <v>14.679594907407408</v>
      </c>
      <c r="Q36" s="58">
        <f>'All Tandem Adjustments Source'!AE37</f>
        <v>21.127604166666668</v>
      </c>
      <c r="R36" s="50" t="str">
        <f>IF('All Tandem Adjustments Source'!D37&lt;1/24,TEXT('All Tandem Adjustments Source'!D37,"M:SS"),TEXT('All Tandem Adjustments Source'!D37,"H:MM:SS"))</f>
        <v>0:59</v>
      </c>
      <c r="S36" s="50" t="str">
        <f>IF('All Tandem Adjustments Source'!H37&lt;1/24,TEXT('All Tandem Adjustments Source'!H37,"M:SS"),TEXT('All Tandem Adjustments Source'!H37,"H:MM:SS"))</f>
        <v>1:28</v>
      </c>
      <c r="T36" s="50" t="str">
        <f>IF('All Tandem Adjustments Source'!L37&lt;1/24,TEXT('All Tandem Adjustments Source'!L37,"M:SS"),TEXT('All Tandem Adjustments Source'!L37,"H:MM:SS"))</f>
        <v>2:29</v>
      </c>
      <c r="U36" s="50" t="str">
        <f>IF('All Tandem Adjustments Source'!P37&lt;1/24,TEXT('All Tandem Adjustments Source'!P37,"M:SS"),TEXT('All Tandem Adjustments Source'!P37,"H:MM:SS"))</f>
        <v>2:59</v>
      </c>
      <c r="V36" s="50" t="str">
        <f>IF('All Tandem Adjustments Source'!T37&lt;1/24,TEXT('All Tandem Adjustments Source'!T37,"M:SS"),TEXT('All Tandem Adjustments Source'!T37,"H:MM:SS"))</f>
        <v>5:03</v>
      </c>
      <c r="W36" s="50" t="str">
        <f>IF('All Tandem Adjustments Source'!X37&lt;1/24,TEXT('All Tandem Adjustments Source'!X37,"M:SS"),TEXT('All Tandem Adjustments Source'!X37,"H:MM:SS"))</f>
        <v>10:33</v>
      </c>
      <c r="X36" s="51">
        <f>'All Tandem Adjustments Source'!AB37</f>
        <v>11.923599537037036</v>
      </c>
      <c r="Y36" s="51">
        <f>'All Tandem Adjustments Source'!AF37</f>
        <v>17.253599537037037</v>
      </c>
      <c r="Z36" s="55" t="str">
        <f>IF('All Tandem Adjustments Source'!E37&lt;1/24,TEXT('All Tandem Adjustments Source'!E37,"M:SS"),TEXT('All Tandem Adjustments Source'!E37,"H:MM:SS"))</f>
        <v>2:16</v>
      </c>
      <c r="AA36" s="55" t="str">
        <f>IF('All Tandem Adjustments Source'!I37&lt;1/24,TEXT('All Tandem Adjustments Source'!I37,"M:SS"),TEXT('All Tandem Adjustments Source'!I37,"H:MM:SS"))</f>
        <v>3:24</v>
      </c>
      <c r="AB36" s="55" t="str">
        <f>IF('All Tandem Adjustments Source'!M37&lt;1/24,TEXT('All Tandem Adjustments Source'!M37,"M:SS"),TEXT('All Tandem Adjustments Source'!M37,"H:MM:SS"))</f>
        <v>5:44</v>
      </c>
      <c r="AC36" s="55" t="str">
        <f>IF('All Tandem Adjustments Source'!Q37&lt;1/24,TEXT('All Tandem Adjustments Source'!Q37,"M:SS"),TEXT('All Tandem Adjustments Source'!Q37,"H:MM:SS"))</f>
        <v>6:54</v>
      </c>
      <c r="AD36" s="55" t="str">
        <f>IF('All Tandem Adjustments Source'!U37&lt;1/24,TEXT('All Tandem Adjustments Source'!U37,"M:SS"),TEXT('All Tandem Adjustments Source'!U37,"H:MM:SS"))</f>
        <v>11:40</v>
      </c>
      <c r="AE36" s="55" t="str">
        <f>IF('All Tandem Adjustments Source'!Y37&lt;1/24,TEXT('All Tandem Adjustments Source'!Y37,"M:SS"),TEXT('All Tandem Adjustments Source'!Y37,"H:MM:SS"))</f>
        <v>24:15</v>
      </c>
      <c r="AF36" s="56">
        <f>'All Tandem Adjustments Source'!AC37</f>
        <v>24.601203703703703</v>
      </c>
      <c r="AG36" s="56">
        <f>'All Tandem Adjustments Source'!AG37</f>
        <v>35.307997685185185</v>
      </c>
    </row>
    <row r="37" spans="1:33" x14ac:dyDescent="0.25">
      <c r="A37" s="17">
        <f>'All Tandem Adjustments Source'!A38</f>
        <v>44</v>
      </c>
      <c r="B37" s="53" t="str">
        <f>IF('All Tandem Adjustments Source'!B38&lt;1/24,TEXT('All Tandem Adjustments Source'!B38,"M:SS"),TEXT('All Tandem Adjustments Source'!B38,"H:MM:SS"))</f>
        <v>0:05</v>
      </c>
      <c r="C37" s="53" t="str">
        <f>IF('All Tandem Adjustments Source'!F38&lt;1/24,TEXT('All Tandem Adjustments Source'!F38,"M:SS"),TEXT('All Tandem Adjustments Source'!F38,"H:MM:SS"))</f>
        <v>0:08</v>
      </c>
      <c r="D37" s="53" t="str">
        <f>IF('All Tandem Adjustments Source'!J38&lt;1/24,TEXT('All Tandem Adjustments Source'!J38,"M:SS"),TEXT('All Tandem Adjustments Source'!J38,"H:MM:SS"))</f>
        <v>0:14</v>
      </c>
      <c r="E37" s="53" t="str">
        <f>IF('All Tandem Adjustments Source'!N38&lt;1/24,TEXT('All Tandem Adjustments Source'!N38,"M:SS"),TEXT('All Tandem Adjustments Source'!N38,"H:MM:SS"))</f>
        <v>0:17</v>
      </c>
      <c r="F37" s="53" t="str">
        <f>IF('All Tandem Adjustments Source'!R38&lt;1/24,TEXT('All Tandem Adjustments Source'!R38,"M:SS"),TEXT('All Tandem Adjustments Source'!R38,"H:MM:SS"))</f>
        <v>0:30</v>
      </c>
      <c r="G37" s="53" t="str">
        <f>IF('All Tandem Adjustments Source'!V38&lt;1/24,TEXT('All Tandem Adjustments Source'!V38,"M:SS"),TEXT('All Tandem Adjustments Source'!V38,"H:MM:SS"))</f>
        <v>1:07</v>
      </c>
      <c r="H37" s="54">
        <f>'All Tandem Adjustments Source'!Z38</f>
        <v>1.783599537037037</v>
      </c>
      <c r="I37" s="54">
        <f>'All Tandem Adjustments Source'!AD38</f>
        <v>3.5359953703703701</v>
      </c>
      <c r="J37" s="57" t="str">
        <f>IF('All Tandem Adjustments Source'!C38&lt;1/24,TEXT('All Tandem Adjustments Source'!C38,"M:SS"),TEXT('All Tandem Adjustments Source'!C38,"H:MM:SS"))</f>
        <v>1:15</v>
      </c>
      <c r="K37" s="57" t="str">
        <f>IF('All Tandem Adjustments Source'!G38&lt;1/24,TEXT('All Tandem Adjustments Source'!G38,"M:SS"),TEXT('All Tandem Adjustments Source'!G38,"H:MM:SS"))</f>
        <v>1:53</v>
      </c>
      <c r="L37" s="57" t="str">
        <f>IF('All Tandem Adjustments Source'!K38&lt;1/24,TEXT('All Tandem Adjustments Source'!K38,"M:SS"),TEXT('All Tandem Adjustments Source'!K38,"H:MM:SS"))</f>
        <v>3:10</v>
      </c>
      <c r="M37" s="57" t="str">
        <f>IF('All Tandem Adjustments Source'!O38&lt;1/24,TEXT('All Tandem Adjustments Source'!O38,"M:SS"),TEXT('All Tandem Adjustments Source'!O38,"H:MM:SS"))</f>
        <v>3:49</v>
      </c>
      <c r="N37" s="57" t="str">
        <f>IF('All Tandem Adjustments Source'!S38&lt;1/24,TEXT('All Tandem Adjustments Source'!S38,"M:SS"),TEXT('All Tandem Adjustments Source'!S38,"H:MM:SS"))</f>
        <v>6:27</v>
      </c>
      <c r="O37" s="57" t="str">
        <f>IF('All Tandem Adjustments Source'!W38&lt;1/24,TEXT('All Tandem Adjustments Source'!W38,"M:SS"),TEXT('All Tandem Adjustments Source'!W38,"H:MM:SS"))</f>
        <v>13:28</v>
      </c>
      <c r="P37" s="58">
        <f>'All Tandem Adjustments Source'!AA38</f>
        <v>14.944803240740741</v>
      </c>
      <c r="Q37" s="58">
        <f>'All Tandem Adjustments Source'!AE38</f>
        <v>21.772395833333334</v>
      </c>
      <c r="R37" s="50" t="str">
        <f>IF('All Tandem Adjustments Source'!D38&lt;1/24,TEXT('All Tandem Adjustments Source'!D38,"M:SS"),TEXT('All Tandem Adjustments Source'!D38,"H:MM:SS"))</f>
        <v>1:00</v>
      </c>
      <c r="S37" s="50" t="str">
        <f>IF('All Tandem Adjustments Source'!H38&lt;1/24,TEXT('All Tandem Adjustments Source'!H38,"M:SS"),TEXT('All Tandem Adjustments Source'!H38,"H:MM:SS"))</f>
        <v>1:31</v>
      </c>
      <c r="T37" s="50" t="str">
        <f>IF('All Tandem Adjustments Source'!L38&lt;1/24,TEXT('All Tandem Adjustments Source'!L38,"M:SS"),TEXT('All Tandem Adjustments Source'!L38,"H:MM:SS"))</f>
        <v>2:33</v>
      </c>
      <c r="U37" s="50" t="str">
        <f>IF('All Tandem Adjustments Source'!P38&lt;1/24,TEXT('All Tandem Adjustments Source'!P38,"M:SS"),TEXT('All Tandem Adjustments Source'!P38,"H:MM:SS"))</f>
        <v>3:05</v>
      </c>
      <c r="V37" s="50" t="str">
        <f>IF('All Tandem Adjustments Source'!T38&lt;1/24,TEXT('All Tandem Adjustments Source'!T38,"M:SS"),TEXT('All Tandem Adjustments Source'!T38,"H:MM:SS"))</f>
        <v>5:13</v>
      </c>
      <c r="W37" s="50" t="str">
        <f>IF('All Tandem Adjustments Source'!X38&lt;1/24,TEXT('All Tandem Adjustments Source'!X38,"M:SS"),TEXT('All Tandem Adjustments Source'!X38,"H:MM:SS"))</f>
        <v>10:54</v>
      </c>
      <c r="X37" s="51">
        <f>'All Tandem Adjustments Source'!AB38</f>
        <v>12.396805555555556</v>
      </c>
      <c r="Y37" s="51">
        <f>'All Tandem Adjustments Source'!AF38</f>
        <v>18.19480324074074</v>
      </c>
      <c r="Z37" s="55" t="str">
        <f>IF('All Tandem Adjustments Source'!E38&lt;1/24,TEXT('All Tandem Adjustments Source'!E38,"M:SS"),TEXT('All Tandem Adjustments Source'!E38,"H:MM:SS"))</f>
        <v>2:16</v>
      </c>
      <c r="AA37" s="55" t="str">
        <f>IF('All Tandem Adjustments Source'!I38&lt;1/24,TEXT('All Tandem Adjustments Source'!I38,"M:SS"),TEXT('All Tandem Adjustments Source'!I38,"H:MM:SS"))</f>
        <v>3:25</v>
      </c>
      <c r="AB37" s="55" t="str">
        <f>IF('All Tandem Adjustments Source'!M38&lt;1/24,TEXT('All Tandem Adjustments Source'!M38,"M:SS"),TEXT('All Tandem Adjustments Source'!M38,"H:MM:SS"))</f>
        <v>5:46</v>
      </c>
      <c r="AC37" s="55" t="str">
        <f>IF('All Tandem Adjustments Source'!Q38&lt;1/24,TEXT('All Tandem Adjustments Source'!Q38,"M:SS"),TEXT('All Tandem Adjustments Source'!Q38,"H:MM:SS"))</f>
        <v>6:56</v>
      </c>
      <c r="AD37" s="55" t="str">
        <f>IF('All Tandem Adjustments Source'!U38&lt;1/24,TEXT('All Tandem Adjustments Source'!U38,"M:SS"),TEXT('All Tandem Adjustments Source'!U38,"H:MM:SS"))</f>
        <v>11:45</v>
      </c>
      <c r="AE37" s="55" t="str">
        <f>IF('All Tandem Adjustments Source'!Y38&lt;1/24,TEXT('All Tandem Adjustments Source'!Y38,"M:SS"),TEXT('All Tandem Adjustments Source'!Y38,"H:MM:SS"))</f>
        <v>24:26</v>
      </c>
      <c r="AF37" s="56">
        <f>'All Tandem Adjustments Source'!AC38</f>
        <v>24.840405092592594</v>
      </c>
      <c r="AG37" s="56">
        <f>'All Tandem Adjustments Source'!AG38</f>
        <v>35.880000000000003</v>
      </c>
    </row>
    <row r="38" spans="1:33" x14ac:dyDescent="0.25">
      <c r="A38" s="17">
        <f>'All Tandem Adjustments Source'!A39</f>
        <v>45</v>
      </c>
      <c r="B38" s="53" t="str">
        <f>IF('All Tandem Adjustments Source'!B39&lt;1/24,TEXT('All Tandem Adjustments Source'!B39,"M:SS"),TEXT('All Tandem Adjustments Source'!B39,"H:MM:SS"))</f>
        <v>0:07</v>
      </c>
      <c r="C38" s="53" t="str">
        <f>IF('All Tandem Adjustments Source'!F39&lt;1/24,TEXT('All Tandem Adjustments Source'!F39,"M:SS"),TEXT('All Tandem Adjustments Source'!F39,"H:MM:SS"))</f>
        <v>0:11</v>
      </c>
      <c r="D38" s="53" t="str">
        <f>IF('All Tandem Adjustments Source'!J39&lt;1/24,TEXT('All Tandem Adjustments Source'!J39,"M:SS"),TEXT('All Tandem Adjustments Source'!J39,"H:MM:SS"))</f>
        <v>0:19</v>
      </c>
      <c r="E38" s="53" t="str">
        <f>IF('All Tandem Adjustments Source'!N39&lt;1/24,TEXT('All Tandem Adjustments Source'!N39,"M:SS"),TEXT('All Tandem Adjustments Source'!N39,"H:MM:SS"))</f>
        <v>0:23</v>
      </c>
      <c r="F38" s="53" t="str">
        <f>IF('All Tandem Adjustments Source'!R39&lt;1/24,TEXT('All Tandem Adjustments Source'!R39,"M:SS"),TEXT('All Tandem Adjustments Source'!R39,"H:MM:SS"))</f>
        <v>0:39</v>
      </c>
      <c r="G38" s="53" t="str">
        <f>IF('All Tandem Adjustments Source'!V39&lt;1/24,TEXT('All Tandem Adjustments Source'!V39,"M:SS"),TEXT('All Tandem Adjustments Source'!V39,"H:MM:SS"))</f>
        <v>1:28</v>
      </c>
      <c r="H38" s="54">
        <f>'All Tandem Adjustments Source'!Z39</f>
        <v>2.3504050925925926</v>
      </c>
      <c r="I38" s="54">
        <f>'All Tandem Adjustments Source'!AD39</f>
        <v>4.6592013888888886</v>
      </c>
      <c r="J38" s="57" t="str">
        <f>IF('All Tandem Adjustments Source'!C39&lt;1/24,TEXT('All Tandem Adjustments Source'!C39,"M:SS"),TEXT('All Tandem Adjustments Source'!C39,"H:MM:SS"))</f>
        <v>1:15</v>
      </c>
      <c r="K38" s="57" t="str">
        <f>IF('All Tandem Adjustments Source'!G39&lt;1/24,TEXT('All Tandem Adjustments Source'!G39,"M:SS"),TEXT('All Tandem Adjustments Source'!G39,"H:MM:SS"))</f>
        <v>1:54</v>
      </c>
      <c r="L38" s="57" t="str">
        <f>IF('All Tandem Adjustments Source'!K39&lt;1/24,TEXT('All Tandem Adjustments Source'!K39,"M:SS"),TEXT('All Tandem Adjustments Source'!K39,"H:MM:SS"))</f>
        <v>3:12</v>
      </c>
      <c r="M38" s="57" t="str">
        <f>IF('All Tandem Adjustments Source'!O39&lt;1/24,TEXT('All Tandem Adjustments Source'!O39,"M:SS"),TEXT('All Tandem Adjustments Source'!O39,"H:MM:SS"))</f>
        <v>3:51</v>
      </c>
      <c r="N38" s="57" t="str">
        <f>IF('All Tandem Adjustments Source'!S39&lt;1/24,TEXT('All Tandem Adjustments Source'!S39,"M:SS"),TEXT('All Tandem Adjustments Source'!S39,"H:MM:SS"))</f>
        <v>6:32</v>
      </c>
      <c r="O38" s="57" t="str">
        <f>IF('All Tandem Adjustments Source'!W39&lt;1/24,TEXT('All Tandem Adjustments Source'!W39,"M:SS"),TEXT('All Tandem Adjustments Source'!W39,"H:MM:SS"))</f>
        <v>13:39</v>
      </c>
      <c r="P38" s="58">
        <f>'All Tandem Adjustments Source'!AA39</f>
        <v>15.23599537037037</v>
      </c>
      <c r="Q38" s="58">
        <f>'All Tandem Adjustments Source'!AE39</f>
        <v>22.474398148148147</v>
      </c>
      <c r="R38" s="50" t="str">
        <f>IF('All Tandem Adjustments Source'!D39&lt;1/24,TEXT('All Tandem Adjustments Source'!D39,"M:SS"),TEXT('All Tandem Adjustments Source'!D39,"H:MM:SS"))</f>
        <v>1:02</v>
      </c>
      <c r="S38" s="50" t="str">
        <f>IF('All Tandem Adjustments Source'!H39&lt;1/24,TEXT('All Tandem Adjustments Source'!H39,"M:SS"),TEXT('All Tandem Adjustments Source'!H39,"H:MM:SS"))</f>
        <v>1:34</v>
      </c>
      <c r="T38" s="50" t="str">
        <f>IF('All Tandem Adjustments Source'!L39&lt;1/24,TEXT('All Tandem Adjustments Source'!L39,"M:SS"),TEXT('All Tandem Adjustments Source'!L39,"H:MM:SS"))</f>
        <v>2:38</v>
      </c>
      <c r="U38" s="50" t="str">
        <f>IF('All Tandem Adjustments Source'!P39&lt;1/24,TEXT('All Tandem Adjustments Source'!P39,"M:SS"),TEXT('All Tandem Adjustments Source'!P39,"H:MM:SS"))</f>
        <v>3:11</v>
      </c>
      <c r="V38" s="50" t="str">
        <f>IF('All Tandem Adjustments Source'!T39&lt;1/24,TEXT('All Tandem Adjustments Source'!T39,"M:SS"),TEXT('All Tandem Adjustments Source'!T39,"H:MM:SS"))</f>
        <v>5:24</v>
      </c>
      <c r="W38" s="50" t="str">
        <f>IF('All Tandem Adjustments Source'!X39&lt;1/24,TEXT('All Tandem Adjustments Source'!X39,"M:SS"),TEXT('All Tandem Adjustments Source'!X39,"H:MM:SS"))</f>
        <v>11:17</v>
      </c>
      <c r="X38" s="51">
        <f>'All Tandem Adjustments Source'!AB39</f>
        <v>12.916805555555555</v>
      </c>
      <c r="Y38" s="51">
        <f>'All Tandem Adjustments Source'!AF39</f>
        <v>19.224398148148147</v>
      </c>
      <c r="Z38" s="55" t="str">
        <f>IF('All Tandem Adjustments Source'!E39&lt;1/24,TEXT('All Tandem Adjustments Source'!E39,"M:SS"),TEXT('All Tandem Adjustments Source'!E39,"H:MM:SS"))</f>
        <v>2:17</v>
      </c>
      <c r="AA38" s="55" t="str">
        <f>IF('All Tandem Adjustments Source'!I39&lt;1/24,TEXT('All Tandem Adjustments Source'!I39,"M:SS"),TEXT('All Tandem Adjustments Source'!I39,"H:MM:SS"))</f>
        <v>3:27</v>
      </c>
      <c r="AB38" s="55" t="str">
        <f>IF('All Tandem Adjustments Source'!M39&lt;1/24,TEXT('All Tandem Adjustments Source'!M39,"M:SS"),TEXT('All Tandem Adjustments Source'!M39,"H:MM:SS"))</f>
        <v>5:48</v>
      </c>
      <c r="AC38" s="55" t="str">
        <f>IF('All Tandem Adjustments Source'!Q39&lt;1/24,TEXT('All Tandem Adjustments Source'!Q39,"M:SS"),TEXT('All Tandem Adjustments Source'!Q39,"H:MM:SS"))</f>
        <v>6:59</v>
      </c>
      <c r="AD38" s="55" t="str">
        <f>IF('All Tandem Adjustments Source'!U39&lt;1/24,TEXT('All Tandem Adjustments Source'!U39,"M:SS"),TEXT('All Tandem Adjustments Source'!U39,"H:MM:SS"))</f>
        <v>11:49</v>
      </c>
      <c r="AE38" s="55" t="str">
        <f>IF('All Tandem Adjustments Source'!Y39&lt;1/24,TEXT('All Tandem Adjustments Source'!Y39,"M:SS"),TEXT('All Tandem Adjustments Source'!Y39,"H:MM:SS"))</f>
        <v>24:38</v>
      </c>
      <c r="AF38" s="56">
        <f>'All Tandem Adjustments Source'!AC39</f>
        <v>25.100405092592592</v>
      </c>
      <c r="AG38" s="56">
        <f>'All Tandem Adjustments Source'!AG39</f>
        <v>36.50920138888889</v>
      </c>
    </row>
    <row r="39" spans="1:33" x14ac:dyDescent="0.25">
      <c r="A39" s="17">
        <f>'All Tandem Adjustments Source'!A40</f>
        <v>46</v>
      </c>
      <c r="B39" s="53" t="str">
        <f>IF('All Tandem Adjustments Source'!B40&lt;1/24,TEXT('All Tandem Adjustments Source'!B40,"M:SS"),TEXT('All Tandem Adjustments Source'!B40,"H:MM:SS"))</f>
        <v>0:09</v>
      </c>
      <c r="C39" s="53" t="str">
        <f>IF('All Tandem Adjustments Source'!F40&lt;1/24,TEXT('All Tandem Adjustments Source'!F40,"M:SS"),TEXT('All Tandem Adjustments Source'!F40,"H:MM:SS"))</f>
        <v>0:14</v>
      </c>
      <c r="D39" s="53" t="str">
        <f>IF('All Tandem Adjustments Source'!J40&lt;1/24,TEXT('All Tandem Adjustments Source'!J40,"M:SS"),TEXT('All Tandem Adjustments Source'!J40,"H:MM:SS"))</f>
        <v>0:24</v>
      </c>
      <c r="E39" s="53" t="str">
        <f>IF('All Tandem Adjustments Source'!N40&lt;1/24,TEXT('All Tandem Adjustments Source'!N40,"M:SS"),TEXT('All Tandem Adjustments Source'!N40,"H:MM:SS"))</f>
        <v>0:29</v>
      </c>
      <c r="F39" s="53" t="str">
        <f>IF('All Tandem Adjustments Source'!R40&lt;1/24,TEXT('All Tandem Adjustments Source'!R40,"M:SS"),TEXT('All Tandem Adjustments Source'!R40,"H:MM:SS"))</f>
        <v>0:50</v>
      </c>
      <c r="G39" s="53" t="str">
        <f>IF('All Tandem Adjustments Source'!V40&lt;1/24,TEXT('All Tandem Adjustments Source'!V40,"M:SS"),TEXT('All Tandem Adjustments Source'!V40,"H:MM:SS"))</f>
        <v>1:51</v>
      </c>
      <c r="H39" s="54">
        <f>'All Tandem Adjustments Source'!Z40</f>
        <v>2.9587962962962964</v>
      </c>
      <c r="I39" s="54">
        <f>'All Tandem Adjustments Source'!AD40</f>
        <v>5.865601851851852</v>
      </c>
      <c r="J39" s="57" t="str">
        <f>IF('All Tandem Adjustments Source'!C40&lt;1/24,TEXT('All Tandem Adjustments Source'!C40,"M:SS"),TEXT('All Tandem Adjustments Source'!C40,"H:MM:SS"))</f>
        <v>1:16</v>
      </c>
      <c r="K39" s="57" t="str">
        <f>IF('All Tandem Adjustments Source'!G40&lt;1/24,TEXT('All Tandem Adjustments Source'!G40,"M:SS"),TEXT('All Tandem Adjustments Source'!G40,"H:MM:SS"))</f>
        <v>1:55</v>
      </c>
      <c r="L39" s="57" t="str">
        <f>IF('All Tandem Adjustments Source'!K40&lt;1/24,TEXT('All Tandem Adjustments Source'!K40,"M:SS"),TEXT('All Tandem Adjustments Source'!K40,"H:MM:SS"))</f>
        <v>3:14</v>
      </c>
      <c r="M39" s="57" t="str">
        <f>IF('All Tandem Adjustments Source'!O40&lt;1/24,TEXT('All Tandem Adjustments Source'!O40,"M:SS"),TEXT('All Tandem Adjustments Source'!O40,"H:MM:SS"))</f>
        <v>3:54</v>
      </c>
      <c r="N39" s="57" t="str">
        <f>IF('All Tandem Adjustments Source'!S40&lt;1/24,TEXT('All Tandem Adjustments Source'!S40,"M:SS"),TEXT('All Tandem Adjustments Source'!S40,"H:MM:SS"))</f>
        <v>6:36</v>
      </c>
      <c r="O39" s="57" t="str">
        <f>IF('All Tandem Adjustments Source'!W40&lt;1/24,TEXT('All Tandem Adjustments Source'!W40,"M:SS"),TEXT('All Tandem Adjustments Source'!W40,"H:MM:SS"))</f>
        <v>13:51</v>
      </c>
      <c r="P39" s="58">
        <f>'All Tandem Adjustments Source'!AA40</f>
        <v>15.558402777777777</v>
      </c>
      <c r="Q39" s="58">
        <f>'All Tandem Adjustments Source'!AE40</f>
        <v>23.244004629629629</v>
      </c>
      <c r="R39" s="50" t="str">
        <f>IF('All Tandem Adjustments Source'!D40&lt;1/24,TEXT('All Tandem Adjustments Source'!D40,"M:SS"),TEXT('All Tandem Adjustments Source'!D40,"H:MM:SS"))</f>
        <v>1:04</v>
      </c>
      <c r="S39" s="50" t="str">
        <f>IF('All Tandem Adjustments Source'!H40&lt;1/24,TEXT('All Tandem Adjustments Source'!H40,"M:SS"),TEXT('All Tandem Adjustments Source'!H40,"H:MM:SS"))</f>
        <v>1:37</v>
      </c>
      <c r="T39" s="50" t="str">
        <f>IF('All Tandem Adjustments Source'!L40&lt;1/24,TEXT('All Tandem Adjustments Source'!L40,"M:SS"),TEXT('All Tandem Adjustments Source'!L40,"H:MM:SS"))</f>
        <v>2:44</v>
      </c>
      <c r="U39" s="50" t="str">
        <f>IF('All Tandem Adjustments Source'!P40&lt;1/24,TEXT('All Tandem Adjustments Source'!P40,"M:SS"),TEXT('All Tandem Adjustments Source'!P40,"H:MM:SS"))</f>
        <v>3:17</v>
      </c>
      <c r="V39" s="50" t="str">
        <f>IF('All Tandem Adjustments Source'!T40&lt;1/24,TEXT('All Tandem Adjustments Source'!T40,"M:SS"),TEXT('All Tandem Adjustments Source'!T40,"H:MM:SS"))</f>
        <v>5:35</v>
      </c>
      <c r="W39" s="50" t="str">
        <f>IF('All Tandem Adjustments Source'!X40&lt;1/24,TEXT('All Tandem Adjustments Source'!X40,"M:SS"),TEXT('All Tandem Adjustments Source'!X40,"H:MM:SS"))</f>
        <v>11:43</v>
      </c>
      <c r="X39" s="51">
        <f>'All Tandem Adjustments Source'!AB40</f>
        <v>13.473194444444445</v>
      </c>
      <c r="Y39" s="51">
        <f>'All Tandem Adjustments Source'!AF40</f>
        <v>20.332002314814815</v>
      </c>
      <c r="Z39" s="55" t="str">
        <f>IF('All Tandem Adjustments Source'!E40&lt;1/24,TEXT('All Tandem Adjustments Source'!E40,"M:SS"),TEXT('All Tandem Adjustments Source'!E40,"H:MM:SS"))</f>
        <v>2:18</v>
      </c>
      <c r="AA39" s="55" t="str">
        <f>IF('All Tandem Adjustments Source'!I40&lt;1/24,TEXT('All Tandem Adjustments Source'!I40,"M:SS"),TEXT('All Tandem Adjustments Source'!I40,"H:MM:SS"))</f>
        <v>3:28</v>
      </c>
      <c r="AB39" s="55" t="str">
        <f>IF('All Tandem Adjustments Source'!M40&lt;1/24,TEXT('All Tandem Adjustments Source'!M40,"M:SS"),TEXT('All Tandem Adjustments Source'!M40,"H:MM:SS"))</f>
        <v>5:50</v>
      </c>
      <c r="AC39" s="55" t="str">
        <f>IF('All Tandem Adjustments Source'!Q40&lt;1/24,TEXT('All Tandem Adjustments Source'!Q40,"M:SS"),TEXT('All Tandem Adjustments Source'!Q40,"H:MM:SS"))</f>
        <v>7:02</v>
      </c>
      <c r="AD39" s="55" t="str">
        <f>IF('All Tandem Adjustments Source'!U40&lt;1/24,TEXT('All Tandem Adjustments Source'!U40,"M:SS"),TEXT('All Tandem Adjustments Source'!U40,"H:MM:SS"))</f>
        <v>11:55</v>
      </c>
      <c r="AE39" s="55" t="str">
        <f>IF('All Tandem Adjustments Source'!Y40&lt;1/24,TEXT('All Tandem Adjustments Source'!Y40,"M:SS"),TEXT('All Tandem Adjustments Source'!Y40,"H:MM:SS"))</f>
        <v>24:51</v>
      </c>
      <c r="AF39" s="56">
        <f>'All Tandem Adjustments Source'!AC40</f>
        <v>25.386400462962964</v>
      </c>
      <c r="AG39" s="56">
        <f>'All Tandem Adjustments Source'!AG40</f>
        <v>37.195601851851855</v>
      </c>
    </row>
    <row r="40" spans="1:33" x14ac:dyDescent="0.25">
      <c r="A40" s="17">
        <f>'All Tandem Adjustments Source'!A41</f>
        <v>47</v>
      </c>
      <c r="B40" s="53" t="str">
        <f>IF('All Tandem Adjustments Source'!B41&lt;1/24,TEXT('All Tandem Adjustments Source'!B41,"M:SS"),TEXT('All Tandem Adjustments Source'!B41,"H:MM:SS"))</f>
        <v>0:11</v>
      </c>
      <c r="C40" s="53" t="str">
        <f>IF('All Tandem Adjustments Source'!F41&lt;1/24,TEXT('All Tandem Adjustments Source'!F41,"M:SS"),TEXT('All Tandem Adjustments Source'!F41,"H:MM:SS"))</f>
        <v>0:17</v>
      </c>
      <c r="D40" s="53" t="str">
        <f>IF('All Tandem Adjustments Source'!J41&lt;1/24,TEXT('All Tandem Adjustments Source'!J41,"M:SS"),TEXT('All Tandem Adjustments Source'!J41,"H:MM:SS"))</f>
        <v>0:29</v>
      </c>
      <c r="E40" s="53" t="str">
        <f>IF('All Tandem Adjustments Source'!N41&lt;1/24,TEXT('All Tandem Adjustments Source'!N41,"M:SS"),TEXT('All Tandem Adjustments Source'!N41,"H:MM:SS"))</f>
        <v>0:36</v>
      </c>
      <c r="F40" s="53" t="str">
        <f>IF('All Tandem Adjustments Source'!R41&lt;1/24,TEXT('All Tandem Adjustments Source'!R41,"M:SS"),TEXT('All Tandem Adjustments Source'!R41,"H:MM:SS"))</f>
        <v>1:01</v>
      </c>
      <c r="G40" s="53" t="str">
        <f>IF('All Tandem Adjustments Source'!V41&lt;1/24,TEXT('All Tandem Adjustments Source'!V41,"M:SS"),TEXT('All Tandem Adjustments Source'!V41,"H:MM:SS"))</f>
        <v>2:17</v>
      </c>
      <c r="H40" s="54">
        <f>'All Tandem Adjustments Source'!Z41</f>
        <v>3.6140046296296298</v>
      </c>
      <c r="I40" s="54">
        <f>'All Tandem Adjustments Source'!AD41</f>
        <v>7.1604050925925922</v>
      </c>
      <c r="J40" s="57" t="str">
        <f>IF('All Tandem Adjustments Source'!C41&lt;1/24,TEXT('All Tandem Adjustments Source'!C41,"M:SS"),TEXT('All Tandem Adjustments Source'!C41,"H:MM:SS"))</f>
        <v>1:17</v>
      </c>
      <c r="K40" s="57" t="str">
        <f>IF('All Tandem Adjustments Source'!G41&lt;1/24,TEXT('All Tandem Adjustments Source'!G41,"M:SS"),TEXT('All Tandem Adjustments Source'!G41,"H:MM:SS"))</f>
        <v>1:57</v>
      </c>
      <c r="L40" s="57" t="str">
        <f>IF('All Tandem Adjustments Source'!K41&lt;1/24,TEXT('All Tandem Adjustments Source'!K41,"M:SS"),TEXT('All Tandem Adjustments Source'!K41,"H:MM:SS"))</f>
        <v>3:16</v>
      </c>
      <c r="M40" s="57" t="str">
        <f>IF('All Tandem Adjustments Source'!O41&lt;1/24,TEXT('All Tandem Adjustments Source'!O41,"M:SS"),TEXT('All Tandem Adjustments Source'!O41,"H:MM:SS"))</f>
        <v>3:57</v>
      </c>
      <c r="N40" s="57" t="str">
        <f>IF('All Tandem Adjustments Source'!S41&lt;1/24,TEXT('All Tandem Adjustments Source'!S41,"M:SS"),TEXT('All Tandem Adjustments Source'!S41,"H:MM:SS"))</f>
        <v>6:42</v>
      </c>
      <c r="O40" s="57" t="str">
        <f>IF('All Tandem Adjustments Source'!W41&lt;1/24,TEXT('All Tandem Adjustments Source'!W41,"M:SS"),TEXT('All Tandem Adjustments Source'!W41,"H:MM:SS"))</f>
        <v>14:05</v>
      </c>
      <c r="P40" s="58">
        <f>'All Tandem Adjustments Source'!AA41</f>
        <v>15.917199074074073</v>
      </c>
      <c r="Q40" s="58">
        <f>'All Tandem Adjustments Source'!AE41</f>
        <v>24.086400462962963</v>
      </c>
      <c r="R40" s="50" t="str">
        <f>IF('All Tandem Adjustments Source'!D41&lt;1/24,TEXT('All Tandem Adjustments Source'!D41,"M:SS"),TEXT('All Tandem Adjustments Source'!D41,"H:MM:SS"))</f>
        <v>1:07</v>
      </c>
      <c r="S40" s="50" t="str">
        <f>IF('All Tandem Adjustments Source'!H41&lt;1/24,TEXT('All Tandem Adjustments Source'!H41,"M:SS"),TEXT('All Tandem Adjustments Source'!H41,"H:MM:SS"))</f>
        <v>1:40</v>
      </c>
      <c r="T40" s="50" t="str">
        <f>IF('All Tandem Adjustments Source'!L41&lt;1/24,TEXT('All Tandem Adjustments Source'!L41,"M:SS"),TEXT('All Tandem Adjustments Source'!L41,"H:MM:SS"))</f>
        <v>2:49</v>
      </c>
      <c r="U40" s="50" t="str">
        <f>IF('All Tandem Adjustments Source'!P41&lt;1/24,TEXT('All Tandem Adjustments Source'!P41,"M:SS"),TEXT('All Tandem Adjustments Source'!P41,"H:MM:SS"))</f>
        <v>3:24</v>
      </c>
      <c r="V40" s="50" t="str">
        <f>IF('All Tandem Adjustments Source'!T41&lt;1/24,TEXT('All Tandem Adjustments Source'!T41,"M:SS"),TEXT('All Tandem Adjustments Source'!T41,"H:MM:SS"))</f>
        <v>5:48</v>
      </c>
      <c r="W40" s="50" t="str">
        <f>IF('All Tandem Adjustments Source'!X41&lt;1/24,TEXT('All Tandem Adjustments Source'!X41,"M:SS"),TEXT('All Tandem Adjustments Source'!X41,"H:MM:SS"))</f>
        <v>12:11</v>
      </c>
      <c r="X40" s="51">
        <f>'All Tandem Adjustments Source'!AB41</f>
        <v>14.071203703703704</v>
      </c>
      <c r="Y40" s="51">
        <f>'All Tandem Adjustments Source'!AF41</f>
        <v>21.512395833333333</v>
      </c>
      <c r="Z40" s="55" t="str">
        <f>IF('All Tandem Adjustments Source'!E41&lt;1/24,TEXT('All Tandem Adjustments Source'!E41,"M:SS"),TEXT('All Tandem Adjustments Source'!E41,"H:MM:SS"))</f>
        <v>2:19</v>
      </c>
      <c r="AA40" s="55" t="str">
        <f>IF('All Tandem Adjustments Source'!I41&lt;1/24,TEXT('All Tandem Adjustments Source'!I41,"M:SS"),TEXT('All Tandem Adjustments Source'!I41,"H:MM:SS"))</f>
        <v>3:30</v>
      </c>
      <c r="AB40" s="55" t="str">
        <f>IF('All Tandem Adjustments Source'!M41&lt;1/24,TEXT('All Tandem Adjustments Source'!M41,"M:SS"),TEXT('All Tandem Adjustments Source'!M41,"H:MM:SS"))</f>
        <v>5:53</v>
      </c>
      <c r="AC40" s="55" t="str">
        <f>IF('All Tandem Adjustments Source'!Q41&lt;1/24,TEXT('All Tandem Adjustments Source'!Q41,"M:SS"),TEXT('All Tandem Adjustments Source'!Q41,"H:MM:SS"))</f>
        <v>7:05</v>
      </c>
      <c r="AD40" s="55" t="str">
        <f>IF('All Tandem Adjustments Source'!U41&lt;1/24,TEXT('All Tandem Adjustments Source'!U41,"M:SS"),TEXT('All Tandem Adjustments Source'!U41,"H:MM:SS"))</f>
        <v>12:01</v>
      </c>
      <c r="AE40" s="55" t="str">
        <f>IF('All Tandem Adjustments Source'!Y41&lt;1/24,TEXT('All Tandem Adjustments Source'!Y41,"M:SS"),TEXT('All Tandem Adjustments Source'!Y41,"H:MM:SS"))</f>
        <v>25:06</v>
      </c>
      <c r="AF40" s="56">
        <f>'All Tandem Adjustments Source'!AC41</f>
        <v>25.703599537037036</v>
      </c>
      <c r="AG40" s="56">
        <f>'All Tandem Adjustments Source'!AG41</f>
        <v>37.944398148148146</v>
      </c>
    </row>
    <row r="41" spans="1:33" x14ac:dyDescent="0.25">
      <c r="A41" s="17">
        <f>'All Tandem Adjustments Source'!A42</f>
        <v>48</v>
      </c>
      <c r="B41" s="53" t="str">
        <f>IF('All Tandem Adjustments Source'!B42&lt;1/24,TEXT('All Tandem Adjustments Source'!B42,"M:SS"),TEXT('All Tandem Adjustments Source'!B42,"H:MM:SS"))</f>
        <v>0:13</v>
      </c>
      <c r="C41" s="53" t="str">
        <f>IF('All Tandem Adjustments Source'!F42&lt;1/24,TEXT('All Tandem Adjustments Source'!F42,"M:SS"),TEXT('All Tandem Adjustments Source'!F42,"H:MM:SS"))</f>
        <v>0:20</v>
      </c>
      <c r="D41" s="53" t="str">
        <f>IF('All Tandem Adjustments Source'!J42&lt;1/24,TEXT('All Tandem Adjustments Source'!J42,"M:SS"),TEXT('All Tandem Adjustments Source'!J42,"H:MM:SS"))</f>
        <v>0:35</v>
      </c>
      <c r="E41" s="53" t="str">
        <f>IF('All Tandem Adjustments Source'!N42&lt;1/24,TEXT('All Tandem Adjustments Source'!N42,"M:SS"),TEXT('All Tandem Adjustments Source'!N42,"H:MM:SS"))</f>
        <v>0:42</v>
      </c>
      <c r="F41" s="53" t="str">
        <f>IF('All Tandem Adjustments Source'!R42&lt;1/24,TEXT('All Tandem Adjustments Source'!R42,"M:SS"),TEXT('All Tandem Adjustments Source'!R42,"H:MM:SS"))</f>
        <v>1:13</v>
      </c>
      <c r="G41" s="53" t="str">
        <f>IF('All Tandem Adjustments Source'!V42&lt;1/24,TEXT('All Tandem Adjustments Source'!V42,"M:SS"),TEXT('All Tandem Adjustments Source'!V42,"H:MM:SS"))</f>
        <v>2:44</v>
      </c>
      <c r="H41" s="54">
        <f>'All Tandem Adjustments Source'!Z42</f>
        <v>4.3056018518518515</v>
      </c>
      <c r="I41" s="54">
        <f>'All Tandem Adjustments Source'!AD42</f>
        <v>8.5331944444444439</v>
      </c>
      <c r="J41" s="57" t="str">
        <f>IF('All Tandem Adjustments Source'!C42&lt;1/24,TEXT('All Tandem Adjustments Source'!C42,"M:SS"),TEXT('All Tandem Adjustments Source'!C42,"H:MM:SS"))</f>
        <v>1:18</v>
      </c>
      <c r="K41" s="57" t="str">
        <f>IF('All Tandem Adjustments Source'!G42&lt;1/24,TEXT('All Tandem Adjustments Source'!G42,"M:SS"),TEXT('All Tandem Adjustments Source'!G42,"H:MM:SS"))</f>
        <v>1:58</v>
      </c>
      <c r="L41" s="57" t="str">
        <f>IF('All Tandem Adjustments Source'!K42&lt;1/24,TEXT('All Tandem Adjustments Source'!K42,"M:SS"),TEXT('All Tandem Adjustments Source'!K42,"H:MM:SS"))</f>
        <v>3:19</v>
      </c>
      <c r="M41" s="57" t="str">
        <f>IF('All Tandem Adjustments Source'!O42&lt;1/24,TEXT('All Tandem Adjustments Source'!O42,"M:SS"),TEXT('All Tandem Adjustments Source'!O42,"H:MM:SS"))</f>
        <v>4:00</v>
      </c>
      <c r="N41" s="57" t="str">
        <f>IF('All Tandem Adjustments Source'!S42&lt;1/24,TEXT('All Tandem Adjustments Source'!S42,"M:SS"),TEXT('All Tandem Adjustments Source'!S42,"H:MM:SS"))</f>
        <v>6:48</v>
      </c>
      <c r="O41" s="57" t="str">
        <f>IF('All Tandem Adjustments Source'!W42&lt;1/24,TEXT('All Tandem Adjustments Source'!W42,"M:SS"),TEXT('All Tandem Adjustments Source'!W42,"H:MM:SS"))</f>
        <v>14:20</v>
      </c>
      <c r="P41" s="58">
        <f>'All Tandem Adjustments Source'!AA42</f>
        <v>16.307199074074074</v>
      </c>
      <c r="Q41" s="58">
        <f>'All Tandem Adjustments Source'!AE42</f>
        <v>24.996400462962963</v>
      </c>
      <c r="R41" s="50" t="str">
        <f>IF('All Tandem Adjustments Source'!D42&lt;1/24,TEXT('All Tandem Adjustments Source'!D42,"M:SS"),TEXT('All Tandem Adjustments Source'!D42,"H:MM:SS"))</f>
        <v>1:09</v>
      </c>
      <c r="S41" s="50" t="str">
        <f>IF('All Tandem Adjustments Source'!H42&lt;1/24,TEXT('All Tandem Adjustments Source'!H42,"M:SS"),TEXT('All Tandem Adjustments Source'!H42,"H:MM:SS"))</f>
        <v>1:44</v>
      </c>
      <c r="T41" s="50" t="str">
        <f>IF('All Tandem Adjustments Source'!L42&lt;1/24,TEXT('All Tandem Adjustments Source'!L42,"M:SS"),TEXT('All Tandem Adjustments Source'!L42,"H:MM:SS"))</f>
        <v>2:56</v>
      </c>
      <c r="U41" s="50" t="str">
        <f>IF('All Tandem Adjustments Source'!P42&lt;1/24,TEXT('All Tandem Adjustments Source'!P42,"M:SS"),TEXT('All Tandem Adjustments Source'!P42,"H:MM:SS"))</f>
        <v>3:32</v>
      </c>
      <c r="V41" s="50" t="str">
        <f>IF('All Tandem Adjustments Source'!T42&lt;1/24,TEXT('All Tandem Adjustments Source'!T42,"M:SS"),TEXT('All Tandem Adjustments Source'!T42,"H:MM:SS"))</f>
        <v>6:00</v>
      </c>
      <c r="W41" s="50" t="str">
        <f>IF('All Tandem Adjustments Source'!X42&lt;1/24,TEXT('All Tandem Adjustments Source'!X42,"M:SS"),TEXT('All Tandem Adjustments Source'!X42,"H:MM:SS"))</f>
        <v>12:40</v>
      </c>
      <c r="X41" s="51">
        <f>'All Tandem Adjustments Source'!AB42</f>
        <v>14.705601851851851</v>
      </c>
      <c r="Y41" s="51">
        <f>'All Tandem Adjustments Source'!AF42</f>
        <v>22.770798611111111</v>
      </c>
      <c r="Z41" s="55" t="str">
        <f>IF('All Tandem Adjustments Source'!E42&lt;1/24,TEXT('All Tandem Adjustments Source'!E42,"M:SS"),TEXT('All Tandem Adjustments Source'!E42,"H:MM:SS"))</f>
        <v>2:21</v>
      </c>
      <c r="AA41" s="55" t="str">
        <f>IF('All Tandem Adjustments Source'!I42&lt;1/24,TEXT('All Tandem Adjustments Source'!I42,"M:SS"),TEXT('All Tandem Adjustments Source'!I42,"H:MM:SS"))</f>
        <v>3:32</v>
      </c>
      <c r="AB41" s="55" t="str">
        <f>IF('All Tandem Adjustments Source'!M42&lt;1/24,TEXT('All Tandem Adjustments Source'!M42,"M:SS"),TEXT('All Tandem Adjustments Source'!M42,"H:MM:SS"))</f>
        <v>5:56</v>
      </c>
      <c r="AC41" s="55" t="str">
        <f>IF('All Tandem Adjustments Source'!Q42&lt;1/24,TEXT('All Tandem Adjustments Source'!Q42,"M:SS"),TEXT('All Tandem Adjustments Source'!Q42,"H:MM:SS"))</f>
        <v>7:09</v>
      </c>
      <c r="AD41" s="55" t="str">
        <f>IF('All Tandem Adjustments Source'!U42&lt;1/24,TEXT('All Tandem Adjustments Source'!U42,"M:SS"),TEXT('All Tandem Adjustments Source'!U42,"H:MM:SS"))</f>
        <v>12:08</v>
      </c>
      <c r="AE41" s="55" t="str">
        <f>IF('All Tandem Adjustments Source'!Y42&lt;1/24,TEXT('All Tandem Adjustments Source'!Y42,"M:SS"),TEXT('All Tandem Adjustments Source'!Y42,"H:MM:SS"))</f>
        <v>25:23</v>
      </c>
      <c r="AF41" s="56">
        <f>'All Tandem Adjustments Source'!AC42</f>
        <v>26.052002314814814</v>
      </c>
      <c r="AG41" s="56">
        <f>'All Tandem Adjustments Source'!AG42</f>
        <v>38.760798611111113</v>
      </c>
    </row>
    <row r="42" spans="1:33" x14ac:dyDescent="0.25">
      <c r="A42" s="17">
        <f>'All Tandem Adjustments Source'!A43</f>
        <v>49</v>
      </c>
      <c r="B42" s="53" t="str">
        <f>IF('All Tandem Adjustments Source'!B43&lt;1/24,TEXT('All Tandem Adjustments Source'!B43,"M:SS"),TEXT('All Tandem Adjustments Source'!B43,"H:MM:SS"))</f>
        <v>0:16</v>
      </c>
      <c r="C42" s="53" t="str">
        <f>IF('All Tandem Adjustments Source'!F43&lt;1/24,TEXT('All Tandem Adjustments Source'!F43,"M:SS"),TEXT('All Tandem Adjustments Source'!F43,"H:MM:SS"))</f>
        <v>0:24</v>
      </c>
      <c r="D42" s="53" t="str">
        <f>IF('All Tandem Adjustments Source'!J43&lt;1/24,TEXT('All Tandem Adjustments Source'!J43,"M:SS"),TEXT('All Tandem Adjustments Source'!J43,"H:MM:SS"))</f>
        <v>0:41</v>
      </c>
      <c r="E42" s="53" t="str">
        <f>IF('All Tandem Adjustments Source'!N43&lt;1/24,TEXT('All Tandem Adjustments Source'!N43,"M:SS"),TEXT('All Tandem Adjustments Source'!N43,"H:MM:SS"))</f>
        <v>0:50</v>
      </c>
      <c r="F42" s="53" t="str">
        <f>IF('All Tandem Adjustments Source'!R43&lt;1/24,TEXT('All Tandem Adjustments Source'!R43,"M:SS"),TEXT('All Tandem Adjustments Source'!R43,"H:MM:SS"))</f>
        <v>1:26</v>
      </c>
      <c r="G42" s="53" t="str">
        <f>IF('All Tandem Adjustments Source'!V43&lt;1/24,TEXT('All Tandem Adjustments Source'!V43,"M:SS"),TEXT('All Tandem Adjustments Source'!V43,"H:MM:SS"))</f>
        <v>3:12</v>
      </c>
      <c r="H42" s="54">
        <f>'All Tandem Adjustments Source'!Z43</f>
        <v>5.0387962962962964</v>
      </c>
      <c r="I42" s="54">
        <f>'All Tandem Adjustments Source'!AD43</f>
        <v>9.9892013888888886</v>
      </c>
      <c r="J42" s="57" t="str">
        <f>IF('All Tandem Adjustments Source'!C43&lt;1/24,TEXT('All Tandem Adjustments Source'!C43,"M:SS"),TEXT('All Tandem Adjustments Source'!C43,"H:MM:SS"))</f>
        <v>1:20</v>
      </c>
      <c r="K42" s="57" t="str">
        <f>IF('All Tandem Adjustments Source'!G43&lt;1/24,TEXT('All Tandem Adjustments Source'!G43,"M:SS"),TEXT('All Tandem Adjustments Source'!G43,"H:MM:SS"))</f>
        <v>2:00</v>
      </c>
      <c r="L42" s="57" t="str">
        <f>IF('All Tandem Adjustments Source'!K43&lt;1/24,TEXT('All Tandem Adjustments Source'!K43,"M:SS"),TEXT('All Tandem Adjustments Source'!K43,"H:MM:SS"))</f>
        <v>3:23</v>
      </c>
      <c r="M42" s="57" t="str">
        <f>IF('All Tandem Adjustments Source'!O43&lt;1/24,TEXT('All Tandem Adjustments Source'!O43,"M:SS"),TEXT('All Tandem Adjustments Source'!O43,"H:MM:SS"))</f>
        <v>4:05</v>
      </c>
      <c r="N42" s="57" t="str">
        <f>IF('All Tandem Adjustments Source'!S43&lt;1/24,TEXT('All Tandem Adjustments Source'!S43,"M:SS"),TEXT('All Tandem Adjustments Source'!S43,"H:MM:SS"))</f>
        <v>6:56</v>
      </c>
      <c r="O42" s="57" t="str">
        <f>IF('All Tandem Adjustments Source'!W43&lt;1/24,TEXT('All Tandem Adjustments Source'!W43,"M:SS"),TEXT('All Tandem Adjustments Source'!W43,"H:MM:SS"))</f>
        <v>14:37</v>
      </c>
      <c r="P42" s="58">
        <f>'All Tandem Adjustments Source'!AA43</f>
        <v>16.733599537037037</v>
      </c>
      <c r="Q42" s="58">
        <f>'All Tandem Adjustments Source'!AE43</f>
        <v>25.984398148148149</v>
      </c>
      <c r="R42" s="50" t="str">
        <f>IF('All Tandem Adjustments Source'!D43&lt;1/24,TEXT('All Tandem Adjustments Source'!D43,"M:SS"),TEXT('All Tandem Adjustments Source'!D43,"H:MM:SS"))</f>
        <v>1:12</v>
      </c>
      <c r="S42" s="50" t="str">
        <f>IF('All Tandem Adjustments Source'!H43&lt;1/24,TEXT('All Tandem Adjustments Source'!H43,"M:SS"),TEXT('All Tandem Adjustments Source'!H43,"H:MM:SS"))</f>
        <v>1:48</v>
      </c>
      <c r="T42" s="50" t="str">
        <f>IF('All Tandem Adjustments Source'!L43&lt;1/24,TEXT('All Tandem Adjustments Source'!L43,"M:SS"),TEXT('All Tandem Adjustments Source'!L43,"H:MM:SS"))</f>
        <v>3:02</v>
      </c>
      <c r="U42" s="50" t="str">
        <f>IF('All Tandem Adjustments Source'!P43&lt;1/24,TEXT('All Tandem Adjustments Source'!P43,"M:SS"),TEXT('All Tandem Adjustments Source'!P43,"H:MM:SS"))</f>
        <v>3:40</v>
      </c>
      <c r="V42" s="50" t="str">
        <f>IF('All Tandem Adjustments Source'!T43&lt;1/24,TEXT('All Tandem Adjustments Source'!T43,"M:SS"),TEXT('All Tandem Adjustments Source'!T43,"H:MM:SS"))</f>
        <v>6:14</v>
      </c>
      <c r="W42" s="50" t="str">
        <f>IF('All Tandem Adjustments Source'!X43&lt;1/24,TEXT('All Tandem Adjustments Source'!X43,"M:SS"),TEXT('All Tandem Adjustments Source'!X43,"H:MM:SS"))</f>
        <v>13:12</v>
      </c>
      <c r="X42" s="51">
        <f>'All Tandem Adjustments Source'!AB43</f>
        <v>15.376400462962962</v>
      </c>
      <c r="Y42" s="51">
        <f>'All Tandem Adjustments Source'!AF43</f>
        <v>24.096805555555555</v>
      </c>
      <c r="Z42" s="55" t="str">
        <f>IF('All Tandem Adjustments Source'!E43&lt;1/24,TEXT('All Tandem Adjustments Source'!E43,"M:SS"),TEXT('All Tandem Adjustments Source'!E43,"H:MM:SS"))</f>
        <v>2:22</v>
      </c>
      <c r="AA42" s="55" t="str">
        <f>IF('All Tandem Adjustments Source'!I43&lt;1/24,TEXT('All Tandem Adjustments Source'!I43,"M:SS"),TEXT('All Tandem Adjustments Source'!I43,"H:MM:SS"))</f>
        <v>3:34</v>
      </c>
      <c r="AB42" s="55" t="str">
        <f>IF('All Tandem Adjustments Source'!M43&lt;1/24,TEXT('All Tandem Adjustments Source'!M43,"M:SS"),TEXT('All Tandem Adjustments Source'!M43,"H:MM:SS"))</f>
        <v>6:00</v>
      </c>
      <c r="AC42" s="55" t="str">
        <f>IF('All Tandem Adjustments Source'!Q43&lt;1/24,TEXT('All Tandem Adjustments Source'!Q43,"M:SS"),TEXT('All Tandem Adjustments Source'!Q43,"H:MM:SS"))</f>
        <v>7:14</v>
      </c>
      <c r="AD42" s="55" t="str">
        <f>IF('All Tandem Adjustments Source'!U43&lt;1/24,TEXT('All Tandem Adjustments Source'!U43,"M:SS"),TEXT('All Tandem Adjustments Source'!U43,"H:MM:SS"))</f>
        <v>12:16</v>
      </c>
      <c r="AE42" s="55" t="str">
        <f>IF('All Tandem Adjustments Source'!Y43&lt;1/24,TEXT('All Tandem Adjustments Source'!Y43,"M:SS"),TEXT('All Tandem Adjustments Source'!Y43,"H:MM:SS"))</f>
        <v>25:42</v>
      </c>
      <c r="AF42" s="56">
        <f>'All Tandem Adjustments Source'!AC43</f>
        <v>26.442002314814815</v>
      </c>
      <c r="AG42" s="56">
        <f>'All Tandem Adjustments Source'!AG43</f>
        <v>39.65</v>
      </c>
    </row>
    <row r="43" spans="1:33" x14ac:dyDescent="0.25">
      <c r="A43" s="17">
        <f>'All Tandem Adjustments Source'!A44</f>
        <v>50</v>
      </c>
      <c r="B43" s="53" t="str">
        <f>IF('All Tandem Adjustments Source'!B44&lt;1/24,TEXT('All Tandem Adjustments Source'!B44,"M:SS"),TEXT('All Tandem Adjustments Source'!B44,"H:MM:SS"))</f>
        <v>0:18</v>
      </c>
      <c r="C43" s="53" t="str">
        <f>IF('All Tandem Adjustments Source'!F44&lt;1/24,TEXT('All Tandem Adjustments Source'!F44,"M:SS"),TEXT('All Tandem Adjustments Source'!F44,"H:MM:SS"))</f>
        <v>0:28</v>
      </c>
      <c r="D43" s="53" t="str">
        <f>IF('All Tandem Adjustments Source'!J44&lt;1/24,TEXT('All Tandem Adjustments Source'!J44,"M:SS"),TEXT('All Tandem Adjustments Source'!J44,"H:MM:SS"))</f>
        <v>0:47</v>
      </c>
      <c r="E43" s="53" t="str">
        <f>IF('All Tandem Adjustments Source'!N44&lt;1/24,TEXT('All Tandem Adjustments Source'!N44,"M:SS"),TEXT('All Tandem Adjustments Source'!N44,"H:MM:SS"))</f>
        <v>0:58</v>
      </c>
      <c r="F43" s="53" t="str">
        <f>IF('All Tandem Adjustments Source'!R44&lt;1/24,TEXT('All Tandem Adjustments Source'!R44,"M:SS"),TEXT('All Tandem Adjustments Source'!R44,"H:MM:SS"))</f>
        <v>1:40</v>
      </c>
      <c r="G43" s="53" t="str">
        <f>IF('All Tandem Adjustments Source'!V44&lt;1/24,TEXT('All Tandem Adjustments Source'!V44,"M:SS"),TEXT('All Tandem Adjustments Source'!V44,"H:MM:SS"))</f>
        <v>3:43</v>
      </c>
      <c r="H43" s="54">
        <f>'All Tandem Adjustments Source'!Z44</f>
        <v>5.813599537037037</v>
      </c>
      <c r="I43" s="54">
        <f>'All Tandem Adjustments Source'!AD44</f>
        <v>11.512800925925927</v>
      </c>
      <c r="J43" s="57" t="str">
        <f>IF('All Tandem Adjustments Source'!C44&lt;1/24,TEXT('All Tandem Adjustments Source'!C44,"M:SS"),TEXT('All Tandem Adjustments Source'!C44,"H:MM:SS"))</f>
        <v>1:21</v>
      </c>
      <c r="K43" s="57" t="str">
        <f>IF('All Tandem Adjustments Source'!G44&lt;1/24,TEXT('All Tandem Adjustments Source'!G44,"M:SS"),TEXT('All Tandem Adjustments Source'!G44,"H:MM:SS"))</f>
        <v>2:02</v>
      </c>
      <c r="L43" s="57" t="str">
        <f>IF('All Tandem Adjustments Source'!K44&lt;1/24,TEXT('All Tandem Adjustments Source'!K44,"M:SS"),TEXT('All Tandem Adjustments Source'!K44,"H:MM:SS"))</f>
        <v>3:26</v>
      </c>
      <c r="M43" s="57" t="str">
        <f>IF('All Tandem Adjustments Source'!O44&lt;1/24,TEXT('All Tandem Adjustments Source'!O44,"M:SS"),TEXT('All Tandem Adjustments Source'!O44,"H:MM:SS"))</f>
        <v>4:09</v>
      </c>
      <c r="N43" s="57" t="str">
        <f>IF('All Tandem Adjustments Source'!S44&lt;1/24,TEXT('All Tandem Adjustments Source'!S44,"M:SS"),TEXT('All Tandem Adjustments Source'!S44,"H:MM:SS"))</f>
        <v>7:04</v>
      </c>
      <c r="O43" s="57" t="str">
        <f>IF('All Tandem Adjustments Source'!W44&lt;1/24,TEXT('All Tandem Adjustments Source'!W44,"M:SS"),TEXT('All Tandem Adjustments Source'!W44,"H:MM:SS"))</f>
        <v>14:57</v>
      </c>
      <c r="P43" s="58">
        <f>'All Tandem Adjustments Source'!AA44</f>
        <v>17.212002314814814</v>
      </c>
      <c r="Q43" s="58">
        <f>'All Tandem Adjustments Source'!AE44</f>
        <v>27.055601851851851</v>
      </c>
      <c r="R43" s="50" t="str">
        <f>IF('All Tandem Adjustments Source'!D44&lt;1/24,TEXT('All Tandem Adjustments Source'!D44,"M:SS"),TEXT('All Tandem Adjustments Source'!D44,"H:MM:SS"))</f>
        <v>1:14</v>
      </c>
      <c r="S43" s="50" t="str">
        <f>IF('All Tandem Adjustments Source'!H44&lt;1/24,TEXT('All Tandem Adjustments Source'!H44,"M:SS"),TEXT('All Tandem Adjustments Source'!H44,"H:MM:SS"))</f>
        <v>1:52</v>
      </c>
      <c r="T43" s="50" t="str">
        <f>IF('All Tandem Adjustments Source'!L44&lt;1/24,TEXT('All Tandem Adjustments Source'!L44,"M:SS"),TEXT('All Tandem Adjustments Source'!L44,"H:MM:SS"))</f>
        <v>3:10</v>
      </c>
      <c r="U43" s="50" t="str">
        <f>IF('All Tandem Adjustments Source'!P44&lt;1/24,TEXT('All Tandem Adjustments Source'!P44,"M:SS"),TEXT('All Tandem Adjustments Source'!P44,"H:MM:SS"))</f>
        <v>3:49</v>
      </c>
      <c r="V43" s="50" t="str">
        <f>IF('All Tandem Adjustments Source'!T44&lt;1/24,TEXT('All Tandem Adjustments Source'!T44,"M:SS"),TEXT('All Tandem Adjustments Source'!T44,"H:MM:SS"))</f>
        <v>6:30</v>
      </c>
      <c r="W43" s="50" t="str">
        <f>IF('All Tandem Adjustments Source'!X44&lt;1/24,TEXT('All Tandem Adjustments Source'!X44,"M:SS"),TEXT('All Tandem Adjustments Source'!X44,"H:MM:SS"))</f>
        <v>13:46</v>
      </c>
      <c r="X43" s="51">
        <f>'All Tandem Adjustments Source'!AB44</f>
        <v>16.078402777777779</v>
      </c>
      <c r="Y43" s="51">
        <f>'All Tandem Adjustments Source'!AF44</f>
        <v>25.495601851851852</v>
      </c>
      <c r="Z43" s="55" t="str">
        <f>IF('All Tandem Adjustments Source'!E44&lt;1/24,TEXT('All Tandem Adjustments Source'!E44,"M:SS"),TEXT('All Tandem Adjustments Source'!E44,"H:MM:SS"))</f>
        <v>2:24</v>
      </c>
      <c r="AA43" s="55" t="str">
        <f>IF('All Tandem Adjustments Source'!I44&lt;1/24,TEXT('All Tandem Adjustments Source'!I44,"M:SS"),TEXT('All Tandem Adjustments Source'!I44,"H:MM:SS"))</f>
        <v>3:36</v>
      </c>
      <c r="AB43" s="55" t="str">
        <f>IF('All Tandem Adjustments Source'!M44&lt;1/24,TEXT('All Tandem Adjustments Source'!M44,"M:SS"),TEXT('All Tandem Adjustments Source'!M44,"H:MM:SS"))</f>
        <v>6:04</v>
      </c>
      <c r="AC43" s="55" t="str">
        <f>IF('All Tandem Adjustments Source'!Q44&lt;1/24,TEXT('All Tandem Adjustments Source'!Q44,"M:SS"),TEXT('All Tandem Adjustments Source'!Q44,"H:MM:SS"))</f>
        <v>7:19</v>
      </c>
      <c r="AD43" s="55" t="str">
        <f>IF('All Tandem Adjustments Source'!U44&lt;1/24,TEXT('All Tandem Adjustments Source'!U44,"M:SS"),TEXT('All Tandem Adjustments Source'!U44,"H:MM:SS"))</f>
        <v>12:25</v>
      </c>
      <c r="AE43" s="55" t="str">
        <f>IF('All Tandem Adjustments Source'!Y44&lt;1/24,TEXT('All Tandem Adjustments Source'!Y44,"M:SS"),TEXT('All Tandem Adjustments Source'!Y44,"H:MM:SS"))</f>
        <v>26:04</v>
      </c>
      <c r="AF43" s="56">
        <f>'All Tandem Adjustments Source'!AC44</f>
        <v>26.863194444444446</v>
      </c>
      <c r="AG43" s="56">
        <f>'All Tandem Adjustments Source'!AG44</f>
        <v>40.612002314814816</v>
      </c>
    </row>
    <row r="44" spans="1:33" x14ac:dyDescent="0.25">
      <c r="A44" s="17">
        <f>'All Tandem Adjustments Source'!A45</f>
        <v>51</v>
      </c>
      <c r="B44" s="53" t="str">
        <f>IF('All Tandem Adjustments Source'!B45&lt;1/24,TEXT('All Tandem Adjustments Source'!B45,"M:SS"),TEXT('All Tandem Adjustments Source'!B45,"H:MM:SS"))</f>
        <v>0:21</v>
      </c>
      <c r="C44" s="53" t="str">
        <f>IF('All Tandem Adjustments Source'!F45&lt;1/24,TEXT('All Tandem Adjustments Source'!F45,"M:SS"),TEXT('All Tandem Adjustments Source'!F45,"H:MM:SS"))</f>
        <v>0:32</v>
      </c>
      <c r="D44" s="53" t="str">
        <f>IF('All Tandem Adjustments Source'!J45&lt;1/24,TEXT('All Tandem Adjustments Source'!J45,"M:SS"),TEXT('All Tandem Adjustments Source'!J45,"H:MM:SS"))</f>
        <v>0:54</v>
      </c>
      <c r="E44" s="53" t="str">
        <f>IF('All Tandem Adjustments Source'!N45&lt;1/24,TEXT('All Tandem Adjustments Source'!N45,"M:SS"),TEXT('All Tandem Adjustments Source'!N45,"H:MM:SS"))</f>
        <v>1:06</v>
      </c>
      <c r="F44" s="53" t="str">
        <f>IF('All Tandem Adjustments Source'!R45&lt;1/24,TEXT('All Tandem Adjustments Source'!R45,"M:SS"),TEXT('All Tandem Adjustments Source'!R45,"H:MM:SS"))</f>
        <v>1:54</v>
      </c>
      <c r="G44" s="53" t="str">
        <f>IF('All Tandem Adjustments Source'!V45&lt;1/24,TEXT('All Tandem Adjustments Source'!V45,"M:SS"),TEXT('All Tandem Adjustments Source'!V45,"H:MM:SS"))</f>
        <v>4:16</v>
      </c>
      <c r="H44" s="54">
        <f>'All Tandem Adjustments Source'!Z45</f>
        <v>6.6195949074074072</v>
      </c>
      <c r="I44" s="54">
        <f>'All Tandem Adjustments Source'!AD45</f>
        <v>13.10920138888889</v>
      </c>
      <c r="J44" s="57" t="str">
        <f>IF('All Tandem Adjustments Source'!C45&lt;1/24,TEXT('All Tandem Adjustments Source'!C45,"M:SS"),TEXT('All Tandem Adjustments Source'!C45,"H:MM:SS"))</f>
        <v>1:23</v>
      </c>
      <c r="K44" s="57" t="str">
        <f>IF('All Tandem Adjustments Source'!G45&lt;1/24,TEXT('All Tandem Adjustments Source'!G45,"M:SS"),TEXT('All Tandem Adjustments Source'!G45,"H:MM:SS"))</f>
        <v>2:05</v>
      </c>
      <c r="L44" s="57" t="str">
        <f>IF('All Tandem Adjustments Source'!K45&lt;1/24,TEXT('All Tandem Adjustments Source'!K45,"M:SS"),TEXT('All Tandem Adjustments Source'!K45,"H:MM:SS"))</f>
        <v>3:31</v>
      </c>
      <c r="M44" s="57" t="str">
        <f>IF('All Tandem Adjustments Source'!O45&lt;1/24,TEXT('All Tandem Adjustments Source'!O45,"M:SS"),TEXT('All Tandem Adjustments Source'!O45,"H:MM:SS"))</f>
        <v>4:14</v>
      </c>
      <c r="N44" s="57" t="str">
        <f>IF('All Tandem Adjustments Source'!S45&lt;1/24,TEXT('All Tandem Adjustments Source'!S45,"M:SS"),TEXT('All Tandem Adjustments Source'!S45,"H:MM:SS"))</f>
        <v>7:13</v>
      </c>
      <c r="O44" s="57" t="str">
        <f>IF('All Tandem Adjustments Source'!W45&lt;1/24,TEXT('All Tandem Adjustments Source'!W45,"M:SS"),TEXT('All Tandem Adjustments Source'!W45,"H:MM:SS"))</f>
        <v>15:19</v>
      </c>
      <c r="P44" s="58">
        <f>'All Tandem Adjustments Source'!AA45</f>
        <v>17.732002314814814</v>
      </c>
      <c r="Q44" s="58">
        <f>'All Tandem Adjustments Source'!AE45</f>
        <v>28.215196759259261</v>
      </c>
      <c r="R44" s="50" t="str">
        <f>IF('All Tandem Adjustments Source'!D45&lt;1/24,TEXT('All Tandem Adjustments Source'!D45,"M:SS"),TEXT('All Tandem Adjustments Source'!D45,"H:MM:SS"))</f>
        <v>1:17</v>
      </c>
      <c r="S44" s="50" t="str">
        <f>IF('All Tandem Adjustments Source'!H45&lt;1/24,TEXT('All Tandem Adjustments Source'!H45,"M:SS"),TEXT('All Tandem Adjustments Source'!H45,"H:MM:SS"))</f>
        <v>1:57</v>
      </c>
      <c r="T44" s="50" t="str">
        <f>IF('All Tandem Adjustments Source'!L45&lt;1/24,TEXT('All Tandem Adjustments Source'!L45,"M:SS"),TEXT('All Tandem Adjustments Source'!L45,"H:MM:SS"))</f>
        <v>3:17</v>
      </c>
      <c r="U44" s="50" t="str">
        <f>IF('All Tandem Adjustments Source'!P45&lt;1/24,TEXT('All Tandem Adjustments Source'!P45,"M:SS"),TEXT('All Tandem Adjustments Source'!P45,"H:MM:SS"))</f>
        <v>3:58</v>
      </c>
      <c r="V44" s="50" t="str">
        <f>IF('All Tandem Adjustments Source'!T45&lt;1/24,TEXT('All Tandem Adjustments Source'!T45,"M:SS"),TEXT('All Tandem Adjustments Source'!T45,"H:MM:SS"))</f>
        <v>6:46</v>
      </c>
      <c r="W44" s="50" t="str">
        <f>IF('All Tandem Adjustments Source'!X45&lt;1/24,TEXT('All Tandem Adjustments Source'!X45,"M:SS"),TEXT('All Tandem Adjustments Source'!X45,"H:MM:SS"))</f>
        <v>14:21</v>
      </c>
      <c r="X44" s="51">
        <f>'All Tandem Adjustments Source'!AB45</f>
        <v>16.822002314814814</v>
      </c>
      <c r="Y44" s="51">
        <f>'All Tandem Adjustments Source'!AF45</f>
        <v>26.956805555555555</v>
      </c>
      <c r="Z44" s="55" t="str">
        <f>IF('All Tandem Adjustments Source'!E45&lt;1/24,TEXT('All Tandem Adjustments Source'!E45,"M:SS"),TEXT('All Tandem Adjustments Source'!E45,"H:MM:SS"))</f>
        <v>2:25</v>
      </c>
      <c r="AA44" s="55" t="str">
        <f>IF('All Tandem Adjustments Source'!I45&lt;1/24,TEXT('All Tandem Adjustments Source'!I45,"M:SS"),TEXT('All Tandem Adjustments Source'!I45,"H:MM:SS"))</f>
        <v>3:39</v>
      </c>
      <c r="AB44" s="55" t="str">
        <f>IF('All Tandem Adjustments Source'!M45&lt;1/24,TEXT('All Tandem Adjustments Source'!M45,"M:SS"),TEXT('All Tandem Adjustments Source'!M45,"H:MM:SS"))</f>
        <v>6:09</v>
      </c>
      <c r="AC44" s="55" t="str">
        <f>IF('All Tandem Adjustments Source'!Q45&lt;1/24,TEXT('All Tandem Adjustments Source'!Q45,"M:SS"),TEXT('All Tandem Adjustments Source'!Q45,"H:MM:SS"))</f>
        <v>7:24</v>
      </c>
      <c r="AD44" s="55" t="str">
        <f>IF('All Tandem Adjustments Source'!U45&lt;1/24,TEXT('All Tandem Adjustments Source'!U45,"M:SS"),TEXT('All Tandem Adjustments Source'!U45,"H:MM:SS"))</f>
        <v>12:35</v>
      </c>
      <c r="AE44" s="55" t="str">
        <f>IF('All Tandem Adjustments Source'!Y45&lt;1/24,TEXT('All Tandem Adjustments Source'!Y45,"M:SS"),TEXT('All Tandem Adjustments Source'!Y45,"H:MM:SS"))</f>
        <v>26:28</v>
      </c>
      <c r="AF44" s="56">
        <f>'All Tandem Adjustments Source'!AC45</f>
        <v>27.331203703703704</v>
      </c>
      <c r="AG44" s="56">
        <f>'All Tandem Adjustments Source'!AG45</f>
        <v>41.652002314814816</v>
      </c>
    </row>
    <row r="45" spans="1:33" x14ac:dyDescent="0.25">
      <c r="A45" s="17">
        <f>'All Tandem Adjustments Source'!A46</f>
        <v>52</v>
      </c>
      <c r="B45" s="53" t="str">
        <f>IF('All Tandem Adjustments Source'!B46&lt;1/24,TEXT('All Tandem Adjustments Source'!B46,"M:SS"),TEXT('All Tandem Adjustments Source'!B46,"H:MM:SS"))</f>
        <v>0:24</v>
      </c>
      <c r="C45" s="53" t="str">
        <f>IF('All Tandem Adjustments Source'!F46&lt;1/24,TEXT('All Tandem Adjustments Source'!F46,"M:SS"),TEXT('All Tandem Adjustments Source'!F46,"H:MM:SS"))</f>
        <v>0:36</v>
      </c>
      <c r="D45" s="53" t="str">
        <f>IF('All Tandem Adjustments Source'!J46&lt;1/24,TEXT('All Tandem Adjustments Source'!J46,"M:SS"),TEXT('All Tandem Adjustments Source'!J46,"H:MM:SS"))</f>
        <v>1:01</v>
      </c>
      <c r="E45" s="53" t="str">
        <f>IF('All Tandem Adjustments Source'!N46&lt;1/24,TEXT('All Tandem Adjustments Source'!N46,"M:SS"),TEXT('All Tandem Adjustments Source'!N46,"H:MM:SS"))</f>
        <v>1:14</v>
      </c>
      <c r="F45" s="53" t="str">
        <f>IF('All Tandem Adjustments Source'!R46&lt;1/24,TEXT('All Tandem Adjustments Source'!R46,"M:SS"),TEXT('All Tandem Adjustments Source'!R46,"H:MM:SS"))</f>
        <v>2:10</v>
      </c>
      <c r="G45" s="53" t="str">
        <f>IF('All Tandem Adjustments Source'!V46&lt;1/24,TEXT('All Tandem Adjustments Source'!V46,"M:SS"),TEXT('All Tandem Adjustments Source'!V46,"H:MM:SS"))</f>
        <v>4:50</v>
      </c>
      <c r="H45" s="54">
        <f>'All Tandem Adjustments Source'!Z46</f>
        <v>7.4671990740740739</v>
      </c>
      <c r="I45" s="54">
        <f>'All Tandem Adjustments Source'!AD46</f>
        <v>14.778402777777778</v>
      </c>
      <c r="J45" s="57" t="str">
        <f>IF('All Tandem Adjustments Source'!C46&lt;1/24,TEXT('All Tandem Adjustments Source'!C46,"M:SS"),TEXT('All Tandem Adjustments Source'!C46,"H:MM:SS"))</f>
        <v>1:24</v>
      </c>
      <c r="K45" s="57" t="str">
        <f>IF('All Tandem Adjustments Source'!G46&lt;1/24,TEXT('All Tandem Adjustments Source'!G46,"M:SS"),TEXT('All Tandem Adjustments Source'!G46,"H:MM:SS"))</f>
        <v>2:08</v>
      </c>
      <c r="L45" s="57" t="str">
        <f>IF('All Tandem Adjustments Source'!K46&lt;1/24,TEXT('All Tandem Adjustments Source'!K46,"M:SS"),TEXT('All Tandem Adjustments Source'!K46,"H:MM:SS"))</f>
        <v>3:36</v>
      </c>
      <c r="M45" s="57" t="str">
        <f>IF('All Tandem Adjustments Source'!O46&lt;1/24,TEXT('All Tandem Adjustments Source'!O46,"M:SS"),TEXT('All Tandem Adjustments Source'!O46,"H:MM:SS"))</f>
        <v>4:21</v>
      </c>
      <c r="N45" s="57" t="str">
        <f>IF('All Tandem Adjustments Source'!S46&lt;1/24,TEXT('All Tandem Adjustments Source'!S46,"M:SS"),TEXT('All Tandem Adjustments Source'!S46,"H:MM:SS"))</f>
        <v>7:24</v>
      </c>
      <c r="O45" s="57" t="str">
        <f>IF('All Tandem Adjustments Source'!W46&lt;1/24,TEXT('All Tandem Adjustments Source'!W46,"M:SS"),TEXT('All Tandem Adjustments Source'!W46,"H:MM:SS"))</f>
        <v>15:45</v>
      </c>
      <c r="P45" s="58">
        <f>'All Tandem Adjustments Source'!AA46</f>
        <v>18.298796296296295</v>
      </c>
      <c r="Q45" s="58">
        <f>'All Tandem Adjustments Source'!AE46</f>
        <v>29.457997685185184</v>
      </c>
      <c r="R45" s="50" t="str">
        <f>IF('All Tandem Adjustments Source'!D46&lt;1/24,TEXT('All Tandem Adjustments Source'!D46,"M:SS"),TEXT('All Tandem Adjustments Source'!D46,"H:MM:SS"))</f>
        <v>1:21</v>
      </c>
      <c r="S45" s="50" t="str">
        <f>IF('All Tandem Adjustments Source'!H46&lt;1/24,TEXT('All Tandem Adjustments Source'!H46,"M:SS"),TEXT('All Tandem Adjustments Source'!H46,"H:MM:SS"))</f>
        <v>2:01</v>
      </c>
      <c r="T45" s="50" t="str">
        <f>IF('All Tandem Adjustments Source'!L46&lt;1/24,TEXT('All Tandem Adjustments Source'!L46,"M:SS"),TEXT('All Tandem Adjustments Source'!L46,"H:MM:SS"))</f>
        <v>3:25</v>
      </c>
      <c r="U45" s="50" t="str">
        <f>IF('All Tandem Adjustments Source'!P46&lt;1/24,TEXT('All Tandem Adjustments Source'!P46,"M:SS"),TEXT('All Tandem Adjustments Source'!P46,"H:MM:SS"))</f>
        <v>4:08</v>
      </c>
      <c r="V45" s="50" t="str">
        <f>IF('All Tandem Adjustments Source'!T46&lt;1/24,TEXT('All Tandem Adjustments Source'!T46,"M:SS"),TEXT('All Tandem Adjustments Source'!T46,"H:MM:SS"))</f>
        <v>7:02</v>
      </c>
      <c r="W45" s="50" t="str">
        <f>IF('All Tandem Adjustments Source'!X46&lt;1/24,TEXT('All Tandem Adjustments Source'!X46,"M:SS"),TEXT('All Tandem Adjustments Source'!X46,"H:MM:SS"))</f>
        <v>14:59</v>
      </c>
      <c r="X45" s="51">
        <f>'All Tandem Adjustments Source'!AB46</f>
        <v>17.591597222222223</v>
      </c>
      <c r="Y45" s="51">
        <f>'All Tandem Adjustments Source'!AF46</f>
        <v>28.48560185185185</v>
      </c>
      <c r="Z45" s="55" t="str">
        <f>IF('All Tandem Adjustments Source'!E46&lt;1/24,TEXT('All Tandem Adjustments Source'!E46,"M:SS"),TEXT('All Tandem Adjustments Source'!E46,"H:MM:SS"))</f>
        <v>2:27</v>
      </c>
      <c r="AA45" s="55" t="str">
        <f>IF('All Tandem Adjustments Source'!I46&lt;1/24,TEXT('All Tandem Adjustments Source'!I46,"M:SS"),TEXT('All Tandem Adjustments Source'!I46,"H:MM:SS"))</f>
        <v>3:42</v>
      </c>
      <c r="AB45" s="55" t="str">
        <f>IF('All Tandem Adjustments Source'!M46&lt;1/24,TEXT('All Tandem Adjustments Source'!M46,"M:SS"),TEXT('All Tandem Adjustments Source'!M46,"H:MM:SS"))</f>
        <v>6:14</v>
      </c>
      <c r="AC45" s="55" t="str">
        <f>IF('All Tandem Adjustments Source'!Q46&lt;1/24,TEXT('All Tandem Adjustments Source'!Q46,"M:SS"),TEXT('All Tandem Adjustments Source'!Q46,"H:MM:SS"))</f>
        <v>7:31</v>
      </c>
      <c r="AD45" s="55" t="str">
        <f>IF('All Tandem Adjustments Source'!U46&lt;1/24,TEXT('All Tandem Adjustments Source'!U46,"M:SS"),TEXT('All Tandem Adjustments Source'!U46,"H:MM:SS"))</f>
        <v>12:47</v>
      </c>
      <c r="AE45" s="55" t="str">
        <f>IF('All Tandem Adjustments Source'!Y46&lt;1/24,TEXT('All Tandem Adjustments Source'!Y46,"M:SS"),TEXT('All Tandem Adjustments Source'!Y46,"H:MM:SS"))</f>
        <v>26:56</v>
      </c>
      <c r="AF45" s="56">
        <f>'All Tandem Adjustments Source'!AC46</f>
        <v>27.845995370370371</v>
      </c>
      <c r="AG45" s="56">
        <f>'All Tandem Adjustments Source'!AG46</f>
        <v>42.775196759259259</v>
      </c>
    </row>
    <row r="46" spans="1:33" x14ac:dyDescent="0.25">
      <c r="A46" s="17">
        <f>'All Tandem Adjustments Source'!A47</f>
        <v>53</v>
      </c>
      <c r="B46" s="53" t="str">
        <f>IF('All Tandem Adjustments Source'!B47&lt;1/24,TEXT('All Tandem Adjustments Source'!B47,"M:SS"),TEXT('All Tandem Adjustments Source'!B47,"H:MM:SS"))</f>
        <v>0:26</v>
      </c>
      <c r="C46" s="53" t="str">
        <f>IF('All Tandem Adjustments Source'!F47&lt;1/24,TEXT('All Tandem Adjustments Source'!F47,"M:SS"),TEXT('All Tandem Adjustments Source'!F47,"H:MM:SS"))</f>
        <v>0:40</v>
      </c>
      <c r="D46" s="53" t="str">
        <f>IF('All Tandem Adjustments Source'!J47&lt;1/24,TEXT('All Tandem Adjustments Source'!J47,"M:SS"),TEXT('All Tandem Adjustments Source'!J47,"H:MM:SS"))</f>
        <v>1:09</v>
      </c>
      <c r="E46" s="53" t="str">
        <f>IF('All Tandem Adjustments Source'!N47&lt;1/24,TEXT('All Tandem Adjustments Source'!N47,"M:SS"),TEXT('All Tandem Adjustments Source'!N47,"H:MM:SS"))</f>
        <v>1:24</v>
      </c>
      <c r="F46" s="53" t="str">
        <f>IF('All Tandem Adjustments Source'!R47&lt;1/24,TEXT('All Tandem Adjustments Source'!R47,"M:SS"),TEXT('All Tandem Adjustments Source'!R47,"H:MM:SS"))</f>
        <v>2:26</v>
      </c>
      <c r="G46" s="53" t="str">
        <f>IF('All Tandem Adjustments Source'!V47&lt;1/24,TEXT('All Tandem Adjustments Source'!V47,"M:SS"),TEXT('All Tandem Adjustments Source'!V47,"H:MM:SS"))</f>
        <v>5:26</v>
      </c>
      <c r="H46" s="54">
        <f>'All Tandem Adjustments Source'!Z47</f>
        <v>8.3459953703703711</v>
      </c>
      <c r="I46" s="54">
        <f>'All Tandem Adjustments Source'!AD47</f>
        <v>16.515196759259258</v>
      </c>
      <c r="J46" s="57" t="str">
        <f>IF('All Tandem Adjustments Source'!C47&lt;1/24,TEXT('All Tandem Adjustments Source'!C47,"M:SS"),TEXT('All Tandem Adjustments Source'!C47,"H:MM:SS"))</f>
        <v>1:27</v>
      </c>
      <c r="K46" s="57" t="str">
        <f>IF('All Tandem Adjustments Source'!G47&lt;1/24,TEXT('All Tandem Adjustments Source'!G47,"M:SS"),TEXT('All Tandem Adjustments Source'!G47,"H:MM:SS"))</f>
        <v>2:11</v>
      </c>
      <c r="L46" s="57" t="str">
        <f>IF('All Tandem Adjustments Source'!K47&lt;1/24,TEXT('All Tandem Adjustments Source'!K47,"M:SS"),TEXT('All Tandem Adjustments Source'!K47,"H:MM:SS"))</f>
        <v>3:41</v>
      </c>
      <c r="M46" s="57" t="str">
        <f>IF('All Tandem Adjustments Source'!O47&lt;1/24,TEXT('All Tandem Adjustments Source'!O47,"M:SS"),TEXT('All Tandem Adjustments Source'!O47,"H:MM:SS"))</f>
        <v>4:27</v>
      </c>
      <c r="N46" s="57" t="str">
        <f>IF('All Tandem Adjustments Source'!S47&lt;1/24,TEXT('All Tandem Adjustments Source'!S47,"M:SS"),TEXT('All Tandem Adjustments Source'!S47,"H:MM:SS"))</f>
        <v>7:36</v>
      </c>
      <c r="O46" s="57" t="str">
        <f>IF('All Tandem Adjustments Source'!W47&lt;1/24,TEXT('All Tandem Adjustments Source'!W47,"M:SS"),TEXT('All Tandem Adjustments Source'!W47,"H:MM:SS"))</f>
        <v>16:13</v>
      </c>
      <c r="P46" s="58">
        <f>'All Tandem Adjustments Source'!AA47</f>
        <v>18.922800925925927</v>
      </c>
      <c r="Q46" s="58">
        <f>'All Tandem Adjustments Source'!AE47</f>
        <v>30.794398148148147</v>
      </c>
      <c r="R46" s="50" t="str">
        <f>IF('All Tandem Adjustments Source'!D47&lt;1/24,TEXT('All Tandem Adjustments Source'!D47,"M:SS"),TEXT('All Tandem Adjustments Source'!D47,"H:MM:SS"))</f>
        <v>1:24</v>
      </c>
      <c r="S46" s="50" t="str">
        <f>IF('All Tandem Adjustments Source'!H47&lt;1/24,TEXT('All Tandem Adjustments Source'!H47,"M:SS"),TEXT('All Tandem Adjustments Source'!H47,"H:MM:SS"))</f>
        <v>2:06</v>
      </c>
      <c r="T46" s="50" t="str">
        <f>IF('All Tandem Adjustments Source'!L47&lt;1/24,TEXT('All Tandem Adjustments Source'!L47,"M:SS"),TEXT('All Tandem Adjustments Source'!L47,"H:MM:SS"))</f>
        <v>3:33</v>
      </c>
      <c r="U46" s="50" t="str">
        <f>IF('All Tandem Adjustments Source'!P47&lt;1/24,TEXT('All Tandem Adjustments Source'!P47,"M:SS"),TEXT('All Tandem Adjustments Source'!P47,"H:MM:SS"))</f>
        <v>4:18</v>
      </c>
      <c r="V46" s="50" t="str">
        <f>IF('All Tandem Adjustments Source'!T47&lt;1/24,TEXT('All Tandem Adjustments Source'!T47,"M:SS"),TEXT('All Tandem Adjustments Source'!T47,"H:MM:SS"))</f>
        <v>7:20</v>
      </c>
      <c r="W46" s="50" t="str">
        <f>IF('All Tandem Adjustments Source'!X47&lt;1/24,TEXT('All Tandem Adjustments Source'!X47,"M:SS"),TEXT('All Tandem Adjustments Source'!X47,"H:MM:SS"))</f>
        <v>15:38</v>
      </c>
      <c r="X46" s="51">
        <f>'All Tandem Adjustments Source'!AB47</f>
        <v>18.397604166666667</v>
      </c>
      <c r="Y46" s="51">
        <f>'All Tandem Adjustments Source'!AF47</f>
        <v>30.076805555555556</v>
      </c>
      <c r="Z46" s="55" t="str">
        <f>IF('All Tandem Adjustments Source'!E47&lt;1/24,TEXT('All Tandem Adjustments Source'!E47,"M:SS"),TEXT('All Tandem Adjustments Source'!E47,"H:MM:SS"))</f>
        <v>2:30</v>
      </c>
      <c r="AA46" s="55" t="str">
        <f>IF('All Tandem Adjustments Source'!I47&lt;1/24,TEXT('All Tandem Adjustments Source'!I47,"M:SS"),TEXT('All Tandem Adjustments Source'!I47,"H:MM:SS"))</f>
        <v>3:46</v>
      </c>
      <c r="AB46" s="55" t="str">
        <f>IF('All Tandem Adjustments Source'!M47&lt;1/24,TEXT('All Tandem Adjustments Source'!M47,"M:SS"),TEXT('All Tandem Adjustments Source'!M47,"H:MM:SS"))</f>
        <v>6:20</v>
      </c>
      <c r="AC46" s="55" t="str">
        <f>IF('All Tandem Adjustments Source'!Q47&lt;1/24,TEXT('All Tandem Adjustments Source'!Q47,"M:SS"),TEXT('All Tandem Adjustments Source'!Q47,"H:MM:SS"))</f>
        <v>7:39</v>
      </c>
      <c r="AD46" s="55" t="str">
        <f>IF('All Tandem Adjustments Source'!U47&lt;1/24,TEXT('All Tandem Adjustments Source'!U47,"M:SS"),TEXT('All Tandem Adjustments Source'!U47,"H:MM:SS"))</f>
        <v>13:00</v>
      </c>
      <c r="AE46" s="55" t="str">
        <f>IF('All Tandem Adjustments Source'!Y47&lt;1/24,TEXT('All Tandem Adjustments Source'!Y47,"M:SS"),TEXT('All Tandem Adjustments Source'!Y47,"H:MM:SS"))</f>
        <v>27:26</v>
      </c>
      <c r="AF46" s="56">
        <f>'All Tandem Adjustments Source'!AC47</f>
        <v>28.412800925925925</v>
      </c>
      <c r="AG46" s="56">
        <f>'All Tandem Adjustments Source'!AG47</f>
        <v>43.986805555555556</v>
      </c>
    </row>
    <row r="47" spans="1:33" x14ac:dyDescent="0.25">
      <c r="A47" s="17">
        <f>'All Tandem Adjustments Source'!A48</f>
        <v>54</v>
      </c>
      <c r="B47" s="53" t="str">
        <f>IF('All Tandem Adjustments Source'!B48&lt;1/24,TEXT('All Tandem Adjustments Source'!B48,"M:SS"),TEXT('All Tandem Adjustments Source'!B48,"H:MM:SS"))</f>
        <v>0:30</v>
      </c>
      <c r="C47" s="53" t="str">
        <f>IF('All Tandem Adjustments Source'!F48&lt;1/24,TEXT('All Tandem Adjustments Source'!F48,"M:SS"),TEXT('All Tandem Adjustments Source'!F48,"H:MM:SS"))</f>
        <v>0:45</v>
      </c>
      <c r="D47" s="53" t="str">
        <f>IF('All Tandem Adjustments Source'!J48&lt;1/24,TEXT('All Tandem Adjustments Source'!J48,"M:SS"),TEXT('All Tandem Adjustments Source'!J48,"H:MM:SS"))</f>
        <v>1:17</v>
      </c>
      <c r="E47" s="53" t="str">
        <f>IF('All Tandem Adjustments Source'!N48&lt;1/24,TEXT('All Tandem Adjustments Source'!N48,"M:SS"),TEXT('All Tandem Adjustments Source'!N48,"H:MM:SS"))</f>
        <v>1:34</v>
      </c>
      <c r="F47" s="53" t="str">
        <f>IF('All Tandem Adjustments Source'!R48&lt;1/24,TEXT('All Tandem Adjustments Source'!R48,"M:SS"),TEXT('All Tandem Adjustments Source'!R48,"H:MM:SS"))</f>
        <v>2:43</v>
      </c>
      <c r="G47" s="53" t="str">
        <f>IF('All Tandem Adjustments Source'!V48&lt;1/24,TEXT('All Tandem Adjustments Source'!V48,"M:SS"),TEXT('All Tandem Adjustments Source'!V48,"H:MM:SS"))</f>
        <v>6:04</v>
      </c>
      <c r="H47" s="54">
        <f>'All Tandem Adjustments Source'!Z48</f>
        <v>9.2612037037037034</v>
      </c>
      <c r="I47" s="54">
        <f>'All Tandem Adjustments Source'!AD48</f>
        <v>18.319594907407406</v>
      </c>
      <c r="J47" s="57" t="str">
        <f>IF('All Tandem Adjustments Source'!C48&lt;1/24,TEXT('All Tandem Adjustments Source'!C48,"M:SS"),TEXT('All Tandem Adjustments Source'!C48,"H:MM:SS"))</f>
        <v>1:29</v>
      </c>
      <c r="K47" s="57" t="str">
        <f>IF('All Tandem Adjustments Source'!G48&lt;1/24,TEXT('All Tandem Adjustments Source'!G48,"M:SS"),TEXT('All Tandem Adjustments Source'!G48,"H:MM:SS"))</f>
        <v>2:15</v>
      </c>
      <c r="L47" s="57" t="str">
        <f>IF('All Tandem Adjustments Source'!K48&lt;1/24,TEXT('All Tandem Adjustments Source'!K48,"M:SS"),TEXT('All Tandem Adjustments Source'!K48,"H:MM:SS"))</f>
        <v>3:48</v>
      </c>
      <c r="M47" s="57" t="str">
        <f>IF('All Tandem Adjustments Source'!O48&lt;1/24,TEXT('All Tandem Adjustments Source'!O48,"M:SS"),TEXT('All Tandem Adjustments Source'!O48,"H:MM:SS"))</f>
        <v>4:35</v>
      </c>
      <c r="N47" s="57" t="str">
        <f>IF('All Tandem Adjustments Source'!S48&lt;1/24,TEXT('All Tandem Adjustments Source'!S48,"M:SS"),TEXT('All Tandem Adjustments Source'!S48,"H:MM:SS"))</f>
        <v>7:50</v>
      </c>
      <c r="O47" s="57" t="str">
        <f>IF('All Tandem Adjustments Source'!W48&lt;1/24,TEXT('All Tandem Adjustments Source'!W48,"M:SS"),TEXT('All Tandem Adjustments Source'!W48,"H:MM:SS"))</f>
        <v>16:45</v>
      </c>
      <c r="P47" s="58">
        <f>'All Tandem Adjustments Source'!AA48</f>
        <v>19.598796296296296</v>
      </c>
      <c r="Q47" s="58">
        <f>'All Tandem Adjustments Source'!AE48</f>
        <v>32.22959490740741</v>
      </c>
      <c r="R47" s="50" t="str">
        <f>IF('All Tandem Adjustments Source'!D48&lt;1/24,TEXT('All Tandem Adjustments Source'!D48,"M:SS"),TEXT('All Tandem Adjustments Source'!D48,"H:MM:SS"))</f>
        <v>1:27</v>
      </c>
      <c r="S47" s="50" t="str">
        <f>IF('All Tandem Adjustments Source'!H48&lt;1/24,TEXT('All Tandem Adjustments Source'!H48,"M:SS"),TEXT('All Tandem Adjustments Source'!H48,"H:MM:SS"))</f>
        <v>2:12</v>
      </c>
      <c r="T47" s="50" t="str">
        <f>IF('All Tandem Adjustments Source'!L48&lt;1/24,TEXT('All Tandem Adjustments Source'!L48,"M:SS"),TEXT('All Tandem Adjustments Source'!L48,"H:MM:SS"))</f>
        <v>3:42</v>
      </c>
      <c r="U47" s="50" t="str">
        <f>IF('All Tandem Adjustments Source'!P48&lt;1/24,TEXT('All Tandem Adjustments Source'!P48,"M:SS"),TEXT('All Tandem Adjustments Source'!P48,"H:MM:SS"))</f>
        <v>4:28</v>
      </c>
      <c r="V47" s="50" t="str">
        <f>IF('All Tandem Adjustments Source'!T48&lt;1/24,TEXT('All Tandem Adjustments Source'!T48,"M:SS"),TEXT('All Tandem Adjustments Source'!T48,"H:MM:SS"))</f>
        <v>7:38</v>
      </c>
      <c r="W47" s="50" t="str">
        <f>IF('All Tandem Adjustments Source'!X48&lt;1/24,TEXT('All Tandem Adjustments Source'!X48,"M:SS"),TEXT('All Tandem Adjustments Source'!X48,"H:MM:SS"))</f>
        <v>16:20</v>
      </c>
      <c r="X47" s="51">
        <f>'All Tandem Adjustments Source'!AB48</f>
        <v>19.234803240740742</v>
      </c>
      <c r="Y47" s="51">
        <f>'All Tandem Adjustments Source'!AF48</f>
        <v>31.725196759259259</v>
      </c>
      <c r="Z47" s="55" t="str">
        <f>IF('All Tandem Adjustments Source'!E48&lt;1/24,TEXT('All Tandem Adjustments Source'!E48,"M:SS"),TEXT('All Tandem Adjustments Source'!E48,"H:MM:SS"))</f>
        <v>2:32</v>
      </c>
      <c r="AA47" s="55" t="str">
        <f>IF('All Tandem Adjustments Source'!I48&lt;1/24,TEXT('All Tandem Adjustments Source'!I48,"M:SS"),TEXT('All Tandem Adjustments Source'!I48,"H:MM:SS"))</f>
        <v>3:50</v>
      </c>
      <c r="AB47" s="55" t="str">
        <f>IF('All Tandem Adjustments Source'!M48&lt;1/24,TEXT('All Tandem Adjustments Source'!M48,"M:SS"),TEXT('All Tandem Adjustments Source'!M48,"H:MM:SS"))</f>
        <v>6:27</v>
      </c>
      <c r="AC47" s="55" t="str">
        <f>IF('All Tandem Adjustments Source'!Q48&lt;1/24,TEXT('All Tandem Adjustments Source'!Q48,"M:SS"),TEXT('All Tandem Adjustments Source'!Q48,"H:MM:SS"))</f>
        <v>7:47</v>
      </c>
      <c r="AD47" s="55" t="str">
        <f>IF('All Tandem Adjustments Source'!U48&lt;1/24,TEXT('All Tandem Adjustments Source'!U48,"M:SS"),TEXT('All Tandem Adjustments Source'!U48,"H:MM:SS"))</f>
        <v>13:15</v>
      </c>
      <c r="AE47" s="55" t="str">
        <f>IF('All Tandem Adjustments Source'!Y48&lt;1/24,TEXT('All Tandem Adjustments Source'!Y48,"M:SS"),TEXT('All Tandem Adjustments Source'!Y48,"H:MM:SS"))</f>
        <v>28:01</v>
      </c>
      <c r="AF47" s="56">
        <f>'All Tandem Adjustments Source'!AC48</f>
        <v>29.026400462962965</v>
      </c>
      <c r="AG47" s="56">
        <f>'All Tandem Adjustments Source'!AG48</f>
        <v>45.286805555555553</v>
      </c>
    </row>
    <row r="48" spans="1:33" x14ac:dyDescent="0.25">
      <c r="A48" s="17">
        <f>'All Tandem Adjustments Source'!A49</f>
        <v>55</v>
      </c>
      <c r="B48" s="53" t="str">
        <f>IF('All Tandem Adjustments Source'!B49&lt;1/24,TEXT('All Tandem Adjustments Source'!B49,"M:SS"),TEXT('All Tandem Adjustments Source'!B49,"H:MM:SS"))</f>
        <v>0:33</v>
      </c>
      <c r="C48" s="53" t="str">
        <f>IF('All Tandem Adjustments Source'!F49&lt;1/24,TEXT('All Tandem Adjustments Source'!F49,"M:SS"),TEXT('All Tandem Adjustments Source'!F49,"H:MM:SS"))</f>
        <v>0:50</v>
      </c>
      <c r="D48" s="53" t="str">
        <f>IF('All Tandem Adjustments Source'!J49&lt;1/24,TEXT('All Tandem Adjustments Source'!J49,"M:SS"),TEXT('All Tandem Adjustments Source'!J49,"H:MM:SS"))</f>
        <v>1:25</v>
      </c>
      <c r="E48" s="53" t="str">
        <f>IF('All Tandem Adjustments Source'!N49&lt;1/24,TEXT('All Tandem Adjustments Source'!N49,"M:SS"),TEXT('All Tandem Adjustments Source'!N49,"H:MM:SS"))</f>
        <v>1:44</v>
      </c>
      <c r="F48" s="53" t="str">
        <f>IF('All Tandem Adjustments Source'!R49&lt;1/24,TEXT('All Tandem Adjustments Source'!R49,"M:SS"),TEXT('All Tandem Adjustments Source'!R49,"H:MM:SS"))</f>
        <v>3:00</v>
      </c>
      <c r="G48" s="53" t="str">
        <f>IF('All Tandem Adjustments Source'!V49&lt;1/24,TEXT('All Tandem Adjustments Source'!V49,"M:SS"),TEXT('All Tandem Adjustments Source'!V49,"H:MM:SS"))</f>
        <v>6:45</v>
      </c>
      <c r="H48" s="54">
        <f>'All Tandem Adjustments Source'!Z49</f>
        <v>10.212800925925926</v>
      </c>
      <c r="I48" s="54">
        <f>'All Tandem Adjustments Source'!AD49</f>
        <v>20.186400462962961</v>
      </c>
      <c r="J48" s="57" t="str">
        <f>IF('All Tandem Adjustments Source'!C49&lt;1/24,TEXT('All Tandem Adjustments Source'!C49,"M:SS"),TEXT('All Tandem Adjustments Source'!C49,"H:MM:SS"))</f>
        <v>1:32</v>
      </c>
      <c r="K48" s="57" t="str">
        <f>IF('All Tandem Adjustments Source'!G49&lt;1/24,TEXT('All Tandem Adjustments Source'!G49,"M:SS"),TEXT('All Tandem Adjustments Source'!G49,"H:MM:SS"))</f>
        <v>2:19</v>
      </c>
      <c r="L48" s="57" t="str">
        <f>IF('All Tandem Adjustments Source'!K49&lt;1/24,TEXT('All Tandem Adjustments Source'!K49,"M:SS"),TEXT('All Tandem Adjustments Source'!K49,"H:MM:SS"))</f>
        <v>3:55</v>
      </c>
      <c r="M48" s="57" t="str">
        <f>IF('All Tandem Adjustments Source'!O49&lt;1/24,TEXT('All Tandem Adjustments Source'!O49,"M:SS"),TEXT('All Tandem Adjustments Source'!O49,"H:MM:SS"))</f>
        <v>4:44</v>
      </c>
      <c r="N48" s="57" t="str">
        <f>IF('All Tandem Adjustments Source'!S49&lt;1/24,TEXT('All Tandem Adjustments Source'!S49,"M:SS"),TEXT('All Tandem Adjustments Source'!S49,"H:MM:SS"))</f>
        <v>8:06</v>
      </c>
      <c r="O48" s="57" t="str">
        <f>IF('All Tandem Adjustments Source'!W49&lt;1/24,TEXT('All Tandem Adjustments Source'!W49,"M:SS"),TEXT('All Tandem Adjustments Source'!W49,"H:MM:SS"))</f>
        <v>17:20</v>
      </c>
      <c r="P48" s="58">
        <f>'All Tandem Adjustments Source'!AA49</f>
        <v>20.337199074074075</v>
      </c>
      <c r="Q48" s="58">
        <f>'All Tandem Adjustments Source'!AE49</f>
        <v>33.763599537037038</v>
      </c>
      <c r="R48" s="50" t="str">
        <f>IF('All Tandem Adjustments Source'!D49&lt;1/24,TEXT('All Tandem Adjustments Source'!D49,"M:SS"),TEXT('All Tandem Adjustments Source'!D49,"H:MM:SS"))</f>
        <v>1:31</v>
      </c>
      <c r="S48" s="50" t="str">
        <f>IF('All Tandem Adjustments Source'!H49&lt;1/24,TEXT('All Tandem Adjustments Source'!H49,"M:SS"),TEXT('All Tandem Adjustments Source'!H49,"H:MM:SS"))</f>
        <v>2:17</v>
      </c>
      <c r="T48" s="50" t="str">
        <f>IF('All Tandem Adjustments Source'!L49&lt;1/24,TEXT('All Tandem Adjustments Source'!L49,"M:SS"),TEXT('All Tandem Adjustments Source'!L49,"H:MM:SS"))</f>
        <v>3:51</v>
      </c>
      <c r="U48" s="50" t="str">
        <f>IF('All Tandem Adjustments Source'!P49&lt;1/24,TEXT('All Tandem Adjustments Source'!P49,"M:SS"),TEXT('All Tandem Adjustments Source'!P49,"H:MM:SS"))</f>
        <v>4:39</v>
      </c>
      <c r="V48" s="50" t="str">
        <f>IF('All Tandem Adjustments Source'!T49&lt;1/24,TEXT('All Tandem Adjustments Source'!T49,"M:SS"),TEXT('All Tandem Adjustments Source'!T49,"H:MM:SS"))</f>
        <v>7:58</v>
      </c>
      <c r="W48" s="50" t="str">
        <f>IF('All Tandem Adjustments Source'!X49&lt;1/24,TEXT('All Tandem Adjustments Source'!X49,"M:SS"),TEXT('All Tandem Adjustments Source'!X49,"H:MM:SS"))</f>
        <v>17:04</v>
      </c>
      <c r="X48" s="51">
        <f>'All Tandem Adjustments Source'!AB49</f>
        <v>20.097997685185184</v>
      </c>
      <c r="Y48" s="51">
        <f>'All Tandem Adjustments Source'!AF49</f>
        <v>33.435995370370371</v>
      </c>
      <c r="Z48" s="55" t="str">
        <f>IF('All Tandem Adjustments Source'!E49&lt;1/24,TEXT('All Tandem Adjustments Source'!E49,"M:SS"),TEXT('All Tandem Adjustments Source'!E49,"H:MM:SS"))</f>
        <v>2:36</v>
      </c>
      <c r="AA48" s="55" t="str">
        <f>IF('All Tandem Adjustments Source'!I49&lt;1/24,TEXT('All Tandem Adjustments Source'!I49,"M:SS"),TEXT('All Tandem Adjustments Source'!I49,"H:MM:SS"))</f>
        <v>3:54</v>
      </c>
      <c r="AB48" s="55" t="str">
        <f>IF('All Tandem Adjustments Source'!M49&lt;1/24,TEXT('All Tandem Adjustments Source'!M49,"M:SS"),TEXT('All Tandem Adjustments Source'!M49,"H:MM:SS"))</f>
        <v>6:35</v>
      </c>
      <c r="AC48" s="55" t="str">
        <f>IF('All Tandem Adjustments Source'!Q49&lt;1/24,TEXT('All Tandem Adjustments Source'!Q49,"M:SS"),TEXT('All Tandem Adjustments Source'!Q49,"H:MM:SS"))</f>
        <v>7:57</v>
      </c>
      <c r="AD48" s="55" t="str">
        <f>IF('All Tandem Adjustments Source'!U49&lt;1/24,TEXT('All Tandem Adjustments Source'!U49,"M:SS"),TEXT('All Tandem Adjustments Source'!U49,"H:MM:SS"))</f>
        <v>13:32</v>
      </c>
      <c r="AE48" s="55" t="str">
        <f>IF('All Tandem Adjustments Source'!Y49&lt;1/24,TEXT('All Tandem Adjustments Source'!Y49,"M:SS"),TEXT('All Tandem Adjustments Source'!Y49,"H:MM:SS"))</f>
        <v>28:40</v>
      </c>
      <c r="AF48" s="56">
        <f>'All Tandem Adjustments Source'!AC49</f>
        <v>29.697199074074074</v>
      </c>
      <c r="AG48" s="56">
        <f>'All Tandem Adjustments Source'!AG49</f>
        <v>46.680405092592594</v>
      </c>
    </row>
    <row r="49" spans="1:33" x14ac:dyDescent="0.25">
      <c r="A49" s="17">
        <f>'All Tandem Adjustments Source'!A50</f>
        <v>56</v>
      </c>
      <c r="B49" s="53" t="str">
        <f>IF('All Tandem Adjustments Source'!B50&lt;1/24,TEXT('All Tandem Adjustments Source'!B50,"M:SS"),TEXT('All Tandem Adjustments Source'!B50,"H:MM:SS"))</f>
        <v>0:36</v>
      </c>
      <c r="C49" s="53" t="str">
        <f>IF('All Tandem Adjustments Source'!F50&lt;1/24,TEXT('All Tandem Adjustments Source'!F50,"M:SS"),TEXT('All Tandem Adjustments Source'!F50,"H:MM:SS"))</f>
        <v>0:55</v>
      </c>
      <c r="D49" s="53" t="str">
        <f>IF('All Tandem Adjustments Source'!J50&lt;1/24,TEXT('All Tandem Adjustments Source'!J50,"M:SS"),TEXT('All Tandem Adjustments Source'!J50,"H:MM:SS"))</f>
        <v>1:34</v>
      </c>
      <c r="E49" s="53" t="str">
        <f>IF('All Tandem Adjustments Source'!N50&lt;1/24,TEXT('All Tandem Adjustments Source'!N50,"M:SS"),TEXT('All Tandem Adjustments Source'!N50,"H:MM:SS"))</f>
        <v>1:54</v>
      </c>
      <c r="F49" s="53" t="str">
        <f>IF('All Tandem Adjustments Source'!R50&lt;1/24,TEXT('All Tandem Adjustments Source'!R50,"M:SS"),TEXT('All Tandem Adjustments Source'!R50,"H:MM:SS"))</f>
        <v>3:19</v>
      </c>
      <c r="G49" s="53" t="str">
        <f>IF('All Tandem Adjustments Source'!V50&lt;1/24,TEXT('All Tandem Adjustments Source'!V50,"M:SS"),TEXT('All Tandem Adjustments Source'!V50,"H:MM:SS"))</f>
        <v>7:26</v>
      </c>
      <c r="H49" s="54">
        <f>'All Tandem Adjustments Source'!Z50</f>
        <v>11.190405092592593</v>
      </c>
      <c r="I49" s="54">
        <f>'All Tandem Adjustments Source'!AD50</f>
        <v>22.110405092592593</v>
      </c>
      <c r="J49" s="57" t="str">
        <f>IF('All Tandem Adjustments Source'!C50&lt;1/24,TEXT('All Tandem Adjustments Source'!C50,"M:SS"),TEXT('All Tandem Adjustments Source'!C50,"H:MM:SS"))</f>
        <v>1:35</v>
      </c>
      <c r="K49" s="57" t="str">
        <f>IF('All Tandem Adjustments Source'!G50&lt;1/24,TEXT('All Tandem Adjustments Source'!G50,"M:SS"),TEXT('All Tandem Adjustments Source'!G50,"H:MM:SS"))</f>
        <v>2:24</v>
      </c>
      <c r="L49" s="57" t="str">
        <f>IF('All Tandem Adjustments Source'!K50&lt;1/24,TEXT('All Tandem Adjustments Source'!K50,"M:SS"),TEXT('All Tandem Adjustments Source'!K50,"H:MM:SS"))</f>
        <v>4:03</v>
      </c>
      <c r="M49" s="57" t="str">
        <f>IF('All Tandem Adjustments Source'!O50&lt;1/24,TEXT('All Tandem Adjustments Source'!O50,"M:SS"),TEXT('All Tandem Adjustments Source'!O50,"H:MM:SS"))</f>
        <v>4:54</v>
      </c>
      <c r="N49" s="57" t="str">
        <f>IF('All Tandem Adjustments Source'!S50&lt;1/24,TEXT('All Tandem Adjustments Source'!S50,"M:SS"),TEXT('All Tandem Adjustments Source'!S50,"H:MM:SS"))</f>
        <v>8:23</v>
      </c>
      <c r="O49" s="57" t="str">
        <f>IF('All Tandem Adjustments Source'!W50&lt;1/24,TEXT('All Tandem Adjustments Source'!W50,"M:SS"),TEXT('All Tandem Adjustments Source'!W50,"H:MM:SS"))</f>
        <v>18:00</v>
      </c>
      <c r="P49" s="58">
        <f>'All Tandem Adjustments Source'!AA50</f>
        <v>21.137997685185184</v>
      </c>
      <c r="Q49" s="58">
        <f>'All Tandem Adjustments Source'!AE50</f>
        <v>35.396400462962966</v>
      </c>
      <c r="R49" s="50" t="str">
        <f>IF('All Tandem Adjustments Source'!D50&lt;1/24,TEXT('All Tandem Adjustments Source'!D50,"M:SS"),TEXT('All Tandem Adjustments Source'!D50,"H:MM:SS"))</f>
        <v>1:34</v>
      </c>
      <c r="S49" s="50" t="str">
        <f>IF('All Tandem Adjustments Source'!H50&lt;1/24,TEXT('All Tandem Adjustments Source'!H50,"M:SS"),TEXT('All Tandem Adjustments Source'!H50,"H:MM:SS"))</f>
        <v>2:23</v>
      </c>
      <c r="T49" s="50" t="str">
        <f>IF('All Tandem Adjustments Source'!L50&lt;1/24,TEXT('All Tandem Adjustments Source'!L50,"M:SS"),TEXT('All Tandem Adjustments Source'!L50,"H:MM:SS"))</f>
        <v>4:00</v>
      </c>
      <c r="U49" s="50" t="str">
        <f>IF('All Tandem Adjustments Source'!P50&lt;1/24,TEXT('All Tandem Adjustments Source'!P50,"M:SS"),TEXT('All Tandem Adjustments Source'!P50,"H:MM:SS"))</f>
        <v>4:51</v>
      </c>
      <c r="V49" s="50" t="str">
        <f>IF('All Tandem Adjustments Source'!T50&lt;1/24,TEXT('All Tandem Adjustments Source'!T50,"M:SS"),TEXT('All Tandem Adjustments Source'!T50,"H:MM:SS"))</f>
        <v>8:18</v>
      </c>
      <c r="W49" s="50" t="str">
        <f>IF('All Tandem Adjustments Source'!X50&lt;1/24,TEXT('All Tandem Adjustments Source'!X50,"M:SS"),TEXT('All Tandem Adjustments Source'!X50,"H:MM:SS"))</f>
        <v>17:50</v>
      </c>
      <c r="X49" s="51">
        <f>'All Tandem Adjustments Source'!AB50</f>
        <v>20.997604166666665</v>
      </c>
      <c r="Y49" s="51">
        <f>'All Tandem Adjustments Source'!AF50</f>
        <v>35.20400462962963</v>
      </c>
      <c r="Z49" s="55" t="str">
        <f>IF('All Tandem Adjustments Source'!E50&lt;1/24,TEXT('All Tandem Adjustments Source'!E50,"M:SS"),TEXT('All Tandem Adjustments Source'!E50,"H:MM:SS"))</f>
        <v>2:39</v>
      </c>
      <c r="AA49" s="55" t="str">
        <f>IF('All Tandem Adjustments Source'!I50&lt;1/24,TEXT('All Tandem Adjustments Source'!I50,"M:SS"),TEXT('All Tandem Adjustments Source'!I50,"H:MM:SS"))</f>
        <v>4:00</v>
      </c>
      <c r="AB49" s="55" t="str">
        <f>IF('All Tandem Adjustments Source'!M50&lt;1/24,TEXT('All Tandem Adjustments Source'!M50,"M:SS"),TEXT('All Tandem Adjustments Source'!M50,"H:MM:SS"))</f>
        <v>6:44</v>
      </c>
      <c r="AC49" s="55" t="str">
        <f>IF('All Tandem Adjustments Source'!Q50&lt;1/24,TEXT('All Tandem Adjustments Source'!Q50,"M:SS"),TEXT('All Tandem Adjustments Source'!Q50,"H:MM:SS"))</f>
        <v>8:08</v>
      </c>
      <c r="AD49" s="55" t="str">
        <f>IF('All Tandem Adjustments Source'!U50&lt;1/24,TEXT('All Tandem Adjustments Source'!U50,"M:SS"),TEXT('All Tandem Adjustments Source'!U50,"H:MM:SS"))</f>
        <v>13:51</v>
      </c>
      <c r="AE49" s="55" t="str">
        <f>IF('All Tandem Adjustments Source'!Y50&lt;1/24,TEXT('All Tandem Adjustments Source'!Y50,"M:SS"),TEXT('All Tandem Adjustments Source'!Y50,"H:MM:SS"))</f>
        <v>29:24</v>
      </c>
      <c r="AF49" s="56">
        <f>'All Tandem Adjustments Source'!AC50</f>
        <v>30.425196759259258</v>
      </c>
      <c r="AG49" s="56">
        <f>'All Tandem Adjustments Source'!AG50</f>
        <v>48.172800925925927</v>
      </c>
    </row>
    <row r="50" spans="1:33" x14ac:dyDescent="0.25">
      <c r="A50" s="17">
        <f>'All Tandem Adjustments Source'!A51</f>
        <v>57</v>
      </c>
      <c r="B50" s="53" t="str">
        <f>IF('All Tandem Adjustments Source'!B51&lt;1/24,TEXT('All Tandem Adjustments Source'!B51,"M:SS"),TEXT('All Tandem Adjustments Source'!B51,"H:MM:SS"))</f>
        <v>0:40</v>
      </c>
      <c r="C50" s="53" t="str">
        <f>IF('All Tandem Adjustments Source'!F51&lt;1/24,TEXT('All Tandem Adjustments Source'!F51,"M:SS"),TEXT('All Tandem Adjustments Source'!F51,"H:MM:SS"))</f>
        <v>1:00</v>
      </c>
      <c r="D50" s="53" t="str">
        <f>IF('All Tandem Adjustments Source'!J51&lt;1/24,TEXT('All Tandem Adjustments Source'!J51,"M:SS"),TEXT('All Tandem Adjustments Source'!J51,"H:MM:SS"))</f>
        <v>1:43</v>
      </c>
      <c r="E50" s="53" t="str">
        <f>IF('All Tandem Adjustments Source'!N51&lt;1/24,TEXT('All Tandem Adjustments Source'!N51,"M:SS"),TEXT('All Tandem Adjustments Source'!N51,"H:MM:SS"))</f>
        <v>2:05</v>
      </c>
      <c r="F50" s="53" t="str">
        <f>IF('All Tandem Adjustments Source'!R51&lt;1/24,TEXT('All Tandem Adjustments Source'!R51,"M:SS"),TEXT('All Tandem Adjustments Source'!R51,"H:MM:SS"))</f>
        <v>3:38</v>
      </c>
      <c r="G50" s="53" t="str">
        <f>IF('All Tandem Adjustments Source'!V51&lt;1/24,TEXT('All Tandem Adjustments Source'!V51,"M:SS"),TEXT('All Tandem Adjustments Source'!V51,"H:MM:SS"))</f>
        <v>8:11</v>
      </c>
      <c r="H50" s="54">
        <f>'All Tandem Adjustments Source'!Z51</f>
        <v>12.204398148148147</v>
      </c>
      <c r="I50" s="54">
        <f>'All Tandem Adjustments Source'!AD51</f>
        <v>24.102002314814815</v>
      </c>
      <c r="J50" s="57" t="str">
        <f>IF('All Tandem Adjustments Source'!C51&lt;1/24,TEXT('All Tandem Adjustments Source'!C51,"M:SS"),TEXT('All Tandem Adjustments Source'!C51,"H:MM:SS"))</f>
        <v>1:39</v>
      </c>
      <c r="K50" s="57" t="str">
        <f>IF('All Tandem Adjustments Source'!G51&lt;1/24,TEXT('All Tandem Adjustments Source'!G51,"M:SS"),TEXT('All Tandem Adjustments Source'!G51,"H:MM:SS"))</f>
        <v>2:29</v>
      </c>
      <c r="L50" s="57" t="str">
        <f>IF('All Tandem Adjustments Source'!K51&lt;1/24,TEXT('All Tandem Adjustments Source'!K51,"M:SS"),TEXT('All Tandem Adjustments Source'!K51,"H:MM:SS"))</f>
        <v>4:12</v>
      </c>
      <c r="M50" s="57" t="str">
        <f>IF('All Tandem Adjustments Source'!O51&lt;1/24,TEXT('All Tandem Adjustments Source'!O51,"M:SS"),TEXT('All Tandem Adjustments Source'!O51,"H:MM:SS"))</f>
        <v>5:05</v>
      </c>
      <c r="N50" s="57" t="str">
        <f>IF('All Tandem Adjustments Source'!S51&lt;1/24,TEXT('All Tandem Adjustments Source'!S51,"M:SS"),TEXT('All Tandem Adjustments Source'!S51,"H:MM:SS"))</f>
        <v>8:42</v>
      </c>
      <c r="O50" s="57" t="str">
        <f>IF('All Tandem Adjustments Source'!W51&lt;1/24,TEXT('All Tandem Adjustments Source'!W51,"M:SS"),TEXT('All Tandem Adjustments Source'!W51,"H:MM:SS"))</f>
        <v>18:44</v>
      </c>
      <c r="P50" s="58">
        <f>'All Tandem Adjustments Source'!AA51</f>
        <v>22.006400462962961</v>
      </c>
      <c r="Q50" s="58">
        <f>'All Tandem Adjustments Source'!AE51</f>
        <v>37.138402777777777</v>
      </c>
      <c r="R50" s="50" t="str">
        <f>IF('All Tandem Adjustments Source'!D51&lt;1/24,TEXT('All Tandem Adjustments Source'!D51,"M:SS"),TEXT('All Tandem Adjustments Source'!D51,"H:MM:SS"))</f>
        <v>1:38</v>
      </c>
      <c r="S50" s="50" t="str">
        <f>IF('All Tandem Adjustments Source'!H51&lt;1/24,TEXT('All Tandem Adjustments Source'!H51,"M:SS"),TEXT('All Tandem Adjustments Source'!H51,"H:MM:SS"))</f>
        <v>2:28</v>
      </c>
      <c r="T50" s="50" t="str">
        <f>IF('All Tandem Adjustments Source'!L51&lt;1/24,TEXT('All Tandem Adjustments Source'!L51,"M:SS"),TEXT('All Tandem Adjustments Source'!L51,"H:MM:SS"))</f>
        <v>4:11</v>
      </c>
      <c r="U50" s="50" t="str">
        <f>IF('All Tandem Adjustments Source'!P51&lt;1/24,TEXT('All Tandem Adjustments Source'!P51,"M:SS"),TEXT('All Tandem Adjustments Source'!P51,"H:MM:SS"))</f>
        <v>5:03</v>
      </c>
      <c r="V50" s="50" t="str">
        <f>IF('All Tandem Adjustments Source'!T51&lt;1/24,TEXT('All Tandem Adjustments Source'!T51,"M:SS"),TEXT('All Tandem Adjustments Source'!T51,"H:MM:SS"))</f>
        <v>8:39</v>
      </c>
      <c r="W50" s="50" t="str">
        <f>IF('All Tandem Adjustments Source'!X51&lt;1/24,TEXT('All Tandem Adjustments Source'!X51,"M:SS"),TEXT('All Tandem Adjustments Source'!X51,"H:MM:SS"))</f>
        <v>18:38</v>
      </c>
      <c r="X50" s="51">
        <f>'All Tandem Adjustments Source'!AB51</f>
        <v>21.923194444444444</v>
      </c>
      <c r="Y50" s="51">
        <f>'All Tandem Adjustments Source'!AF51</f>
        <v>37.02400462962963</v>
      </c>
      <c r="Z50" s="55" t="str">
        <f>IF('All Tandem Adjustments Source'!E51&lt;1/24,TEXT('All Tandem Adjustments Source'!E51,"M:SS"),TEXT('All Tandem Adjustments Source'!E51,"H:MM:SS"))</f>
        <v>2:43</v>
      </c>
      <c r="AA50" s="55" t="str">
        <f>IF('All Tandem Adjustments Source'!I51&lt;1/24,TEXT('All Tandem Adjustments Source'!I51,"M:SS"),TEXT('All Tandem Adjustments Source'!I51,"H:MM:SS"))</f>
        <v>4:05</v>
      </c>
      <c r="AB50" s="55" t="str">
        <f>IF('All Tandem Adjustments Source'!M51&lt;1/24,TEXT('All Tandem Adjustments Source'!M51,"M:SS"),TEXT('All Tandem Adjustments Source'!M51,"H:MM:SS"))</f>
        <v>6:54</v>
      </c>
      <c r="AC50" s="55" t="str">
        <f>IF('All Tandem Adjustments Source'!Q51&lt;1/24,TEXT('All Tandem Adjustments Source'!Q51,"M:SS"),TEXT('All Tandem Adjustments Source'!Q51,"H:MM:SS"))</f>
        <v>8:20</v>
      </c>
      <c r="AD50" s="55" t="str">
        <f>IF('All Tandem Adjustments Source'!U51&lt;1/24,TEXT('All Tandem Adjustments Source'!U51,"M:SS"),TEXT('All Tandem Adjustments Source'!U51,"H:MM:SS"))</f>
        <v>14:12</v>
      </c>
      <c r="AE50" s="55" t="str">
        <f>IF('All Tandem Adjustments Source'!Y51&lt;1/24,TEXT('All Tandem Adjustments Source'!Y51,"M:SS"),TEXT('All Tandem Adjustments Source'!Y51,"H:MM:SS"))</f>
        <v>30:12</v>
      </c>
      <c r="AF50" s="56">
        <f>'All Tandem Adjustments Source'!AC51</f>
        <v>31.215601851851851</v>
      </c>
      <c r="AG50" s="56">
        <f>'All Tandem Adjustments Source'!AG51</f>
        <v>49.758796296296296</v>
      </c>
    </row>
    <row r="51" spans="1:33" x14ac:dyDescent="0.25">
      <c r="A51" s="17">
        <f>'All Tandem Adjustments Source'!A52</f>
        <v>58</v>
      </c>
      <c r="B51" s="53" t="str">
        <f>IF('All Tandem Adjustments Source'!B52&lt;1/24,TEXT('All Tandem Adjustments Source'!B52,"M:SS"),TEXT('All Tandem Adjustments Source'!B52,"H:MM:SS"))</f>
        <v>0:44</v>
      </c>
      <c r="C51" s="53" t="str">
        <f>IF('All Tandem Adjustments Source'!F52&lt;1/24,TEXT('All Tandem Adjustments Source'!F52,"M:SS"),TEXT('All Tandem Adjustments Source'!F52,"H:MM:SS"))</f>
        <v>1:06</v>
      </c>
      <c r="D51" s="53" t="str">
        <f>IF('All Tandem Adjustments Source'!J52&lt;1/24,TEXT('All Tandem Adjustments Source'!J52,"M:SS"),TEXT('All Tandem Adjustments Source'!J52,"H:MM:SS"))</f>
        <v>1:53</v>
      </c>
      <c r="E51" s="53" t="str">
        <f>IF('All Tandem Adjustments Source'!N52&lt;1/24,TEXT('All Tandem Adjustments Source'!N52,"M:SS"),TEXT('All Tandem Adjustments Source'!N52,"H:MM:SS"))</f>
        <v>2:17</v>
      </c>
      <c r="F51" s="53" t="str">
        <f>IF('All Tandem Adjustments Source'!R52&lt;1/24,TEXT('All Tandem Adjustments Source'!R52,"M:SS"),TEXT('All Tandem Adjustments Source'!R52,"H:MM:SS"))</f>
        <v>3:59</v>
      </c>
      <c r="G51" s="53" t="str">
        <f>IF('All Tandem Adjustments Source'!V52&lt;1/24,TEXT('All Tandem Adjustments Source'!V52,"M:SS"),TEXT('All Tandem Adjustments Source'!V52,"H:MM:SS"))</f>
        <v>8:57</v>
      </c>
      <c r="H51" s="54">
        <f>'All Tandem Adjustments Source'!Z52</f>
        <v>13.249594907407408</v>
      </c>
      <c r="I51" s="54">
        <f>'All Tandem Adjustments Source'!AD52</f>
        <v>26.14560185185185</v>
      </c>
      <c r="J51" s="57" t="str">
        <f>IF('All Tandem Adjustments Source'!C52&lt;1/24,TEXT('All Tandem Adjustments Source'!C52,"M:SS"),TEXT('All Tandem Adjustments Source'!C52,"H:MM:SS"))</f>
        <v>1:43</v>
      </c>
      <c r="K51" s="57" t="str">
        <f>IF('All Tandem Adjustments Source'!G52&lt;1/24,TEXT('All Tandem Adjustments Source'!G52,"M:SS"),TEXT('All Tandem Adjustments Source'!G52,"H:MM:SS"))</f>
        <v>2:35</v>
      </c>
      <c r="L51" s="57" t="str">
        <f>IF('All Tandem Adjustments Source'!K52&lt;1/24,TEXT('All Tandem Adjustments Source'!K52,"M:SS"),TEXT('All Tandem Adjustments Source'!K52,"H:MM:SS"))</f>
        <v>4:22</v>
      </c>
      <c r="M51" s="57" t="str">
        <f>IF('All Tandem Adjustments Source'!O52&lt;1/24,TEXT('All Tandem Adjustments Source'!O52,"M:SS"),TEXT('All Tandem Adjustments Source'!O52,"H:MM:SS"))</f>
        <v>5:17</v>
      </c>
      <c r="N51" s="57" t="str">
        <f>IF('All Tandem Adjustments Source'!S52&lt;1/24,TEXT('All Tandem Adjustments Source'!S52,"M:SS"),TEXT('All Tandem Adjustments Source'!S52,"H:MM:SS"))</f>
        <v>9:04</v>
      </c>
      <c r="O51" s="57" t="str">
        <f>IF('All Tandem Adjustments Source'!W52&lt;1/24,TEXT('All Tandem Adjustments Source'!W52,"M:SS"),TEXT('All Tandem Adjustments Source'!W52,"H:MM:SS"))</f>
        <v>19:33</v>
      </c>
      <c r="P51" s="58">
        <f>'All Tandem Adjustments Source'!AA52</f>
        <v>22.937199074074073</v>
      </c>
      <c r="Q51" s="58">
        <f>'All Tandem Adjustments Source'!AE52</f>
        <v>38.984398148148145</v>
      </c>
      <c r="R51" s="50" t="str">
        <f>IF('All Tandem Adjustments Source'!D52&lt;1/24,TEXT('All Tandem Adjustments Source'!D52,"M:SS"),TEXT('All Tandem Adjustments Source'!D52,"H:MM:SS"))</f>
        <v>1:42</v>
      </c>
      <c r="S51" s="50" t="str">
        <f>IF('All Tandem Adjustments Source'!H52&lt;1/24,TEXT('All Tandem Adjustments Source'!H52,"M:SS"),TEXT('All Tandem Adjustments Source'!H52,"H:MM:SS"))</f>
        <v>2:35</v>
      </c>
      <c r="T51" s="50" t="str">
        <f>IF('All Tandem Adjustments Source'!L52&lt;1/24,TEXT('All Tandem Adjustments Source'!L52,"M:SS"),TEXT('All Tandem Adjustments Source'!L52,"H:MM:SS"))</f>
        <v>4:21</v>
      </c>
      <c r="U51" s="50" t="str">
        <f>IF('All Tandem Adjustments Source'!P52&lt;1/24,TEXT('All Tandem Adjustments Source'!P52,"M:SS"),TEXT('All Tandem Adjustments Source'!P52,"H:MM:SS"))</f>
        <v>5:16</v>
      </c>
      <c r="V51" s="50" t="str">
        <f>IF('All Tandem Adjustments Source'!T52&lt;1/24,TEXT('All Tandem Adjustments Source'!T52,"M:SS"),TEXT('All Tandem Adjustments Source'!T52,"H:MM:SS"))</f>
        <v>9:01</v>
      </c>
      <c r="W51" s="50" t="str">
        <f>IF('All Tandem Adjustments Source'!X52&lt;1/24,TEXT('All Tandem Adjustments Source'!X52,"M:SS"),TEXT('All Tandem Adjustments Source'!X52,"H:MM:SS"))</f>
        <v>19:28</v>
      </c>
      <c r="X51" s="51">
        <f>'All Tandem Adjustments Source'!AB52</f>
        <v>22.874803240740739</v>
      </c>
      <c r="Y51" s="51">
        <f>'All Tandem Adjustments Source'!AF52</f>
        <v>38.9012037037037</v>
      </c>
      <c r="Z51" s="55" t="str">
        <f>IF('All Tandem Adjustments Source'!E52&lt;1/24,TEXT('All Tandem Adjustments Source'!E52,"M:SS"),TEXT('All Tandem Adjustments Source'!E52,"H:MM:SS"))</f>
        <v>2:47</v>
      </c>
      <c r="AA51" s="55" t="str">
        <f>IF('All Tandem Adjustments Source'!I52&lt;1/24,TEXT('All Tandem Adjustments Source'!I52,"M:SS"),TEXT('All Tandem Adjustments Source'!I52,"H:MM:SS"))</f>
        <v>4:12</v>
      </c>
      <c r="AB51" s="55" t="str">
        <f>IF('All Tandem Adjustments Source'!M52&lt;1/24,TEXT('All Tandem Adjustments Source'!M52,"M:SS"),TEXT('All Tandem Adjustments Source'!M52,"H:MM:SS"))</f>
        <v>7:05</v>
      </c>
      <c r="AC51" s="55" t="str">
        <f>IF('All Tandem Adjustments Source'!Q52&lt;1/24,TEXT('All Tandem Adjustments Source'!Q52,"M:SS"),TEXT('All Tandem Adjustments Source'!Q52,"H:MM:SS"))</f>
        <v>8:33</v>
      </c>
      <c r="AD51" s="55" t="str">
        <f>IF('All Tandem Adjustments Source'!U52&lt;1/24,TEXT('All Tandem Adjustments Source'!U52,"M:SS"),TEXT('All Tandem Adjustments Source'!U52,"H:MM:SS"))</f>
        <v>14:36</v>
      </c>
      <c r="AE51" s="55" t="str">
        <f>IF('All Tandem Adjustments Source'!Y52&lt;1/24,TEXT('All Tandem Adjustments Source'!Y52,"M:SS"),TEXT('All Tandem Adjustments Source'!Y52,"H:MM:SS"))</f>
        <v>31:06</v>
      </c>
      <c r="AF51" s="56">
        <f>'All Tandem Adjustments Source'!AC52</f>
        <v>32.063194444444441</v>
      </c>
      <c r="AG51" s="56">
        <f>'All Tandem Adjustments Source'!AG52</f>
        <v>51.45400462962963</v>
      </c>
    </row>
    <row r="52" spans="1:33" x14ac:dyDescent="0.25">
      <c r="A52" s="17">
        <f>'All Tandem Adjustments Source'!A53</f>
        <v>59</v>
      </c>
      <c r="B52" s="53" t="str">
        <f>IF('All Tandem Adjustments Source'!B53&lt;1/24,TEXT('All Tandem Adjustments Source'!B53,"M:SS"),TEXT('All Tandem Adjustments Source'!B53,"H:MM:SS"))</f>
        <v>0:48</v>
      </c>
      <c r="C52" s="53" t="str">
        <f>IF('All Tandem Adjustments Source'!F53&lt;1/24,TEXT('All Tandem Adjustments Source'!F53,"M:SS"),TEXT('All Tandem Adjustments Source'!F53,"H:MM:SS"))</f>
        <v>1:12</v>
      </c>
      <c r="D52" s="53" t="str">
        <f>IF('All Tandem Adjustments Source'!J53&lt;1/24,TEXT('All Tandem Adjustments Source'!J53,"M:SS"),TEXT('All Tandem Adjustments Source'!J53,"H:MM:SS"))</f>
        <v>2:03</v>
      </c>
      <c r="E52" s="53" t="str">
        <f>IF('All Tandem Adjustments Source'!N53&lt;1/24,TEXT('All Tandem Adjustments Source'!N53,"M:SS"),TEXT('All Tandem Adjustments Source'!N53,"H:MM:SS"))</f>
        <v>2:29</v>
      </c>
      <c r="F52" s="53" t="str">
        <f>IF('All Tandem Adjustments Source'!R53&lt;1/24,TEXT('All Tandem Adjustments Source'!R53,"M:SS"),TEXT('All Tandem Adjustments Source'!R53,"H:MM:SS"))</f>
        <v>4:20</v>
      </c>
      <c r="G52" s="53" t="str">
        <f>IF('All Tandem Adjustments Source'!V53&lt;1/24,TEXT('All Tandem Adjustments Source'!V53,"M:SS"),TEXT('All Tandem Adjustments Source'!V53,"H:MM:SS"))</f>
        <v>9:45</v>
      </c>
      <c r="H52" s="54">
        <f>'All Tandem Adjustments Source'!Z53</f>
        <v>14.32599537037037</v>
      </c>
      <c r="I52" s="54">
        <f>'All Tandem Adjustments Source'!AD53</f>
        <v>28.251597222222223</v>
      </c>
      <c r="J52" s="57" t="str">
        <f>IF('All Tandem Adjustments Source'!C53&lt;1/24,TEXT('All Tandem Adjustments Source'!C53,"M:SS"),TEXT('All Tandem Adjustments Source'!C53,"H:MM:SS"))</f>
        <v>1:47</v>
      </c>
      <c r="K52" s="57" t="str">
        <f>IF('All Tandem Adjustments Source'!G53&lt;1/24,TEXT('All Tandem Adjustments Source'!G53,"M:SS"),TEXT('All Tandem Adjustments Source'!G53,"H:MM:SS"))</f>
        <v>2:42</v>
      </c>
      <c r="L52" s="57" t="str">
        <f>IF('All Tandem Adjustments Source'!K53&lt;1/24,TEXT('All Tandem Adjustments Source'!K53,"M:SS"),TEXT('All Tandem Adjustments Source'!K53,"H:MM:SS"))</f>
        <v>4:34</v>
      </c>
      <c r="M52" s="57" t="str">
        <f>IF('All Tandem Adjustments Source'!O53&lt;1/24,TEXT('All Tandem Adjustments Source'!O53,"M:SS"),TEXT('All Tandem Adjustments Source'!O53,"H:MM:SS"))</f>
        <v>5:31</v>
      </c>
      <c r="N52" s="57" t="str">
        <f>IF('All Tandem Adjustments Source'!S53&lt;1/24,TEXT('All Tandem Adjustments Source'!S53,"M:SS"),TEXT('All Tandem Adjustments Source'!S53,"H:MM:SS"))</f>
        <v>9:28</v>
      </c>
      <c r="O52" s="57" t="str">
        <f>IF('All Tandem Adjustments Source'!W53&lt;1/24,TEXT('All Tandem Adjustments Source'!W53,"M:SS"),TEXT('All Tandem Adjustments Source'!W53,"H:MM:SS"))</f>
        <v>20:27</v>
      </c>
      <c r="P52" s="58">
        <f>'All Tandem Adjustments Source'!AA53</f>
        <v>23.940798611111113</v>
      </c>
      <c r="Q52" s="58">
        <f>'All Tandem Adjustments Source'!AE53</f>
        <v>40.94480324074074</v>
      </c>
      <c r="R52" s="50" t="str">
        <f>IF('All Tandem Adjustments Source'!D53&lt;1/24,TEXT('All Tandem Adjustments Source'!D53,"M:SS"),TEXT('All Tandem Adjustments Source'!D53,"H:MM:SS"))</f>
        <v>1:47</v>
      </c>
      <c r="S52" s="50" t="str">
        <f>IF('All Tandem Adjustments Source'!H53&lt;1/24,TEXT('All Tandem Adjustments Source'!H53,"M:SS"),TEXT('All Tandem Adjustments Source'!H53,"H:MM:SS"))</f>
        <v>2:41</v>
      </c>
      <c r="T52" s="50" t="str">
        <f>IF('All Tandem Adjustments Source'!L53&lt;1/24,TEXT('All Tandem Adjustments Source'!L53,"M:SS"),TEXT('All Tandem Adjustments Source'!L53,"H:MM:SS"))</f>
        <v>4:32</v>
      </c>
      <c r="U52" s="50" t="str">
        <f>IF('All Tandem Adjustments Source'!P53&lt;1/24,TEXT('All Tandem Adjustments Source'!P53,"M:SS"),TEXT('All Tandem Adjustments Source'!P53,"H:MM:SS"))</f>
        <v>5:29</v>
      </c>
      <c r="V52" s="50" t="str">
        <f>IF('All Tandem Adjustments Source'!T53&lt;1/24,TEXT('All Tandem Adjustments Source'!T53,"M:SS"),TEXT('All Tandem Adjustments Source'!T53,"H:MM:SS"))</f>
        <v>9:25</v>
      </c>
      <c r="W52" s="50" t="str">
        <f>IF('All Tandem Adjustments Source'!X53&lt;1/24,TEXT('All Tandem Adjustments Source'!X53,"M:SS"),TEXT('All Tandem Adjustments Source'!X53,"H:MM:SS"))</f>
        <v>20:21</v>
      </c>
      <c r="X52" s="51">
        <f>'All Tandem Adjustments Source'!AB53</f>
        <v>23.857604166666668</v>
      </c>
      <c r="Y52" s="51">
        <f>'All Tandem Adjustments Source'!AF53</f>
        <v>40.830405092592592</v>
      </c>
      <c r="Z52" s="55" t="str">
        <f>IF('All Tandem Adjustments Source'!E53&lt;1/24,TEXT('All Tandem Adjustments Source'!E53,"M:SS"),TEXT('All Tandem Adjustments Source'!E53,"H:MM:SS"))</f>
        <v>2:52</v>
      </c>
      <c r="AA52" s="55" t="str">
        <f>IF('All Tandem Adjustments Source'!I53&lt;1/24,TEXT('All Tandem Adjustments Source'!I53,"M:SS"),TEXT('All Tandem Adjustments Source'!I53,"H:MM:SS"))</f>
        <v>4:19</v>
      </c>
      <c r="AB52" s="55" t="str">
        <f>IF('All Tandem Adjustments Source'!M53&lt;1/24,TEXT('All Tandem Adjustments Source'!M53,"M:SS"),TEXT('All Tandem Adjustments Source'!M53,"H:MM:SS"))</f>
        <v>7:17</v>
      </c>
      <c r="AC52" s="55" t="str">
        <f>IF('All Tandem Adjustments Source'!Q53&lt;1/24,TEXT('All Tandem Adjustments Source'!Q53,"M:SS"),TEXT('All Tandem Adjustments Source'!Q53,"H:MM:SS"))</f>
        <v>8:48</v>
      </c>
      <c r="AD52" s="55" t="str">
        <f>IF('All Tandem Adjustments Source'!U53&lt;1/24,TEXT('All Tandem Adjustments Source'!U53,"M:SS"),TEXT('All Tandem Adjustments Source'!U53,"H:MM:SS"))</f>
        <v>15:02</v>
      </c>
      <c r="AE52" s="55" t="str">
        <f>IF('All Tandem Adjustments Source'!Y53&lt;1/24,TEXT('All Tandem Adjustments Source'!Y53,"M:SS"),TEXT('All Tandem Adjustments Source'!Y53,"H:MM:SS"))</f>
        <v>32:05</v>
      </c>
      <c r="AF52" s="56">
        <f>'All Tandem Adjustments Source'!AC53</f>
        <v>32.983599537037037</v>
      </c>
      <c r="AG52" s="56">
        <f>'All Tandem Adjustments Source'!AG53</f>
        <v>53.247997685185183</v>
      </c>
    </row>
    <row r="53" spans="1:33" x14ac:dyDescent="0.25">
      <c r="A53" s="17">
        <f>'All Tandem Adjustments Source'!A54</f>
        <v>60</v>
      </c>
      <c r="B53" s="53" t="str">
        <f>IF('All Tandem Adjustments Source'!B54&lt;1/24,TEXT('All Tandem Adjustments Source'!B54,"M:SS"),TEXT('All Tandem Adjustments Source'!B54,"H:MM:SS"))</f>
        <v>0:51</v>
      </c>
      <c r="C53" s="53" t="str">
        <f>IF('All Tandem Adjustments Source'!F54&lt;1/24,TEXT('All Tandem Adjustments Source'!F54,"M:SS"),TEXT('All Tandem Adjustments Source'!F54,"H:MM:SS"))</f>
        <v>1:18</v>
      </c>
      <c r="D53" s="53" t="str">
        <f>IF('All Tandem Adjustments Source'!J54&lt;1/24,TEXT('All Tandem Adjustments Source'!J54,"M:SS"),TEXT('All Tandem Adjustments Source'!J54,"H:MM:SS"))</f>
        <v>2:13</v>
      </c>
      <c r="E53" s="53" t="str">
        <f>IF('All Tandem Adjustments Source'!N54&lt;1/24,TEXT('All Tandem Adjustments Source'!N54,"M:SS"),TEXT('All Tandem Adjustments Source'!N54,"H:MM:SS"))</f>
        <v>2:42</v>
      </c>
      <c r="F53" s="53" t="str">
        <f>IF('All Tandem Adjustments Source'!R54&lt;1/24,TEXT('All Tandem Adjustments Source'!R54,"M:SS"),TEXT('All Tandem Adjustments Source'!R54,"H:MM:SS"))</f>
        <v>4:42</v>
      </c>
      <c r="G53" s="53" t="str">
        <f>IF('All Tandem Adjustments Source'!V54&lt;1/24,TEXT('All Tandem Adjustments Source'!V54,"M:SS"),TEXT('All Tandem Adjustments Source'!V54,"H:MM:SS"))</f>
        <v>10:35</v>
      </c>
      <c r="H53" s="54">
        <f>'All Tandem Adjustments Source'!Z54</f>
        <v>15.428402777777778</v>
      </c>
      <c r="I53" s="54">
        <f>'All Tandem Adjustments Source'!AD54</f>
        <v>30.414803240740742</v>
      </c>
      <c r="J53" s="57" t="str">
        <f>IF('All Tandem Adjustments Source'!C54&lt;1/24,TEXT('All Tandem Adjustments Source'!C54,"M:SS"),TEXT('All Tandem Adjustments Source'!C54,"H:MM:SS"))</f>
        <v>1:52</v>
      </c>
      <c r="K53" s="57" t="str">
        <f>IF('All Tandem Adjustments Source'!G54&lt;1/24,TEXT('All Tandem Adjustments Source'!G54,"M:SS"),TEXT('All Tandem Adjustments Source'!G54,"H:MM:SS"))</f>
        <v>2:49</v>
      </c>
      <c r="L53" s="57" t="str">
        <f>IF('All Tandem Adjustments Source'!K54&lt;1/24,TEXT('All Tandem Adjustments Source'!K54,"M:SS"),TEXT('All Tandem Adjustments Source'!K54,"H:MM:SS"))</f>
        <v>4:46</v>
      </c>
      <c r="M53" s="57" t="str">
        <f>IF('All Tandem Adjustments Source'!O54&lt;1/24,TEXT('All Tandem Adjustments Source'!O54,"M:SS"),TEXT('All Tandem Adjustments Source'!O54,"H:MM:SS"))</f>
        <v>5:46</v>
      </c>
      <c r="N53" s="57" t="str">
        <f>IF('All Tandem Adjustments Source'!S54&lt;1/24,TEXT('All Tandem Adjustments Source'!S54,"M:SS"),TEXT('All Tandem Adjustments Source'!S54,"H:MM:SS"))</f>
        <v>9:54</v>
      </c>
      <c r="O53" s="57" t="str">
        <f>IF('All Tandem Adjustments Source'!W54&lt;1/24,TEXT('All Tandem Adjustments Source'!W54,"M:SS"),TEXT('All Tandem Adjustments Source'!W54,"H:MM:SS"))</f>
        <v>21:27</v>
      </c>
      <c r="P53" s="58">
        <f>'All Tandem Adjustments Source'!AA54</f>
        <v>25.017199074074075</v>
      </c>
      <c r="Q53" s="58">
        <f>'All Tandem Adjustments Source'!AE54</f>
        <v>43.014398148148146</v>
      </c>
      <c r="R53" s="50" t="str">
        <f>IF('All Tandem Adjustments Source'!D54&lt;1/24,TEXT('All Tandem Adjustments Source'!D54,"M:SS"),TEXT('All Tandem Adjustments Source'!D54,"H:MM:SS"))</f>
        <v>1:51</v>
      </c>
      <c r="S53" s="50" t="str">
        <f>IF('All Tandem Adjustments Source'!H54&lt;1/24,TEXT('All Tandem Adjustments Source'!H54,"M:SS"),TEXT('All Tandem Adjustments Source'!H54,"H:MM:SS"))</f>
        <v>2:48</v>
      </c>
      <c r="T53" s="50" t="str">
        <f>IF('All Tandem Adjustments Source'!L54&lt;1/24,TEXT('All Tandem Adjustments Source'!L54,"M:SS"),TEXT('All Tandem Adjustments Source'!L54,"H:MM:SS"))</f>
        <v>4:43</v>
      </c>
      <c r="U53" s="50" t="str">
        <f>IF('All Tandem Adjustments Source'!P54&lt;1/24,TEXT('All Tandem Adjustments Source'!P54,"M:SS"),TEXT('All Tandem Adjustments Source'!P54,"H:MM:SS"))</f>
        <v>5:43</v>
      </c>
      <c r="V53" s="50" t="str">
        <f>IF('All Tandem Adjustments Source'!T54&lt;1/24,TEXT('All Tandem Adjustments Source'!T54,"M:SS"),TEXT('All Tandem Adjustments Source'!T54,"H:MM:SS"))</f>
        <v>9:49</v>
      </c>
      <c r="W53" s="50" t="str">
        <f>IF('All Tandem Adjustments Source'!X54&lt;1/24,TEXT('All Tandem Adjustments Source'!X54,"M:SS"),TEXT('All Tandem Adjustments Source'!X54,"H:MM:SS"))</f>
        <v>21:16</v>
      </c>
      <c r="X53" s="51">
        <f>'All Tandem Adjustments Source'!AB54</f>
        <v>24.866400462962964</v>
      </c>
      <c r="Y53" s="51">
        <f>'All Tandem Adjustments Source'!AF54</f>
        <v>42.816805555555554</v>
      </c>
      <c r="Z53" s="55" t="str">
        <f>IF('All Tandem Adjustments Source'!E54&lt;1/24,TEXT('All Tandem Adjustments Source'!E54,"M:SS"),TEXT('All Tandem Adjustments Source'!E54,"H:MM:SS"))</f>
        <v>2:57</v>
      </c>
      <c r="AA53" s="55" t="str">
        <f>IF('All Tandem Adjustments Source'!I54&lt;1/24,TEXT('All Tandem Adjustments Source'!I54,"M:SS"),TEXT('All Tandem Adjustments Source'!I54,"H:MM:SS"))</f>
        <v>4:27</v>
      </c>
      <c r="AB53" s="55" t="str">
        <f>IF('All Tandem Adjustments Source'!M54&lt;1/24,TEXT('All Tandem Adjustments Source'!M54,"M:SS"),TEXT('All Tandem Adjustments Source'!M54,"H:MM:SS"))</f>
        <v>7:31</v>
      </c>
      <c r="AC53" s="55" t="str">
        <f>IF('All Tandem Adjustments Source'!Q54&lt;1/24,TEXT('All Tandem Adjustments Source'!Q54,"M:SS"),TEXT('All Tandem Adjustments Source'!Q54,"H:MM:SS"))</f>
        <v>9:05</v>
      </c>
      <c r="AD53" s="55" t="str">
        <f>IF('All Tandem Adjustments Source'!U54&lt;1/24,TEXT('All Tandem Adjustments Source'!U54,"M:SS"),TEXT('All Tandem Adjustments Source'!U54,"H:MM:SS"))</f>
        <v>15:31</v>
      </c>
      <c r="AE53" s="55" t="str">
        <f>IF('All Tandem Adjustments Source'!Y54&lt;1/24,TEXT('All Tandem Adjustments Source'!Y54,"M:SS"),TEXT('All Tandem Adjustments Source'!Y54,"H:MM:SS"))</f>
        <v>33:11</v>
      </c>
      <c r="AF53" s="56">
        <f>'All Tandem Adjustments Source'!AC54</f>
        <v>33.966400462962966</v>
      </c>
      <c r="AG53" s="56">
        <f>'All Tandem Adjustments Source'!AG54</f>
        <v>55.1512037037037</v>
      </c>
    </row>
    <row r="54" spans="1:33" x14ac:dyDescent="0.25">
      <c r="A54" s="17">
        <f>'All Tandem Adjustments Source'!A55</f>
        <v>61</v>
      </c>
      <c r="B54" s="53" t="str">
        <f>IF('All Tandem Adjustments Source'!B55&lt;1/24,TEXT('All Tandem Adjustments Source'!B55,"M:SS"),TEXT('All Tandem Adjustments Source'!B55,"H:MM:SS"))</f>
        <v>0:56</v>
      </c>
      <c r="C54" s="53" t="str">
        <f>IF('All Tandem Adjustments Source'!F55&lt;1/24,TEXT('All Tandem Adjustments Source'!F55,"M:SS"),TEXT('All Tandem Adjustments Source'!F55,"H:MM:SS"))</f>
        <v>1:24</v>
      </c>
      <c r="D54" s="53" t="str">
        <f>IF('All Tandem Adjustments Source'!J55&lt;1/24,TEXT('All Tandem Adjustments Source'!J55,"M:SS"),TEXT('All Tandem Adjustments Source'!J55,"H:MM:SS"))</f>
        <v>2:24</v>
      </c>
      <c r="E54" s="53" t="str">
        <f>IF('All Tandem Adjustments Source'!N55&lt;1/24,TEXT('All Tandem Adjustments Source'!N55,"M:SS"),TEXT('All Tandem Adjustments Source'!N55,"H:MM:SS"))</f>
        <v>2:55</v>
      </c>
      <c r="F54" s="53" t="str">
        <f>IF('All Tandem Adjustments Source'!R55&lt;1/24,TEXT('All Tandem Adjustments Source'!R55,"M:SS"),TEXT('All Tandem Adjustments Source'!R55,"H:MM:SS"))</f>
        <v>5:05</v>
      </c>
      <c r="G54" s="53" t="str">
        <f>IF('All Tandem Adjustments Source'!V55&lt;1/24,TEXT('All Tandem Adjustments Source'!V55,"M:SS"),TEXT('All Tandem Adjustments Source'!V55,"H:MM:SS"))</f>
        <v>11:27</v>
      </c>
      <c r="H54" s="54">
        <f>'All Tandem Adjustments Source'!Z55</f>
        <v>16.562002314814816</v>
      </c>
      <c r="I54" s="54">
        <f>'All Tandem Adjustments Source'!AD55</f>
        <v>32.630000000000003</v>
      </c>
      <c r="J54" s="57" t="str">
        <f>IF('All Tandem Adjustments Source'!C55&lt;1/24,TEXT('All Tandem Adjustments Source'!C55,"M:SS"),TEXT('All Tandem Adjustments Source'!C55,"H:MM:SS"))</f>
        <v>1:57</v>
      </c>
      <c r="K54" s="57" t="str">
        <f>IF('All Tandem Adjustments Source'!G55&lt;1/24,TEXT('All Tandem Adjustments Source'!G55,"M:SS"),TEXT('All Tandem Adjustments Source'!G55,"H:MM:SS"))</f>
        <v>2:57</v>
      </c>
      <c r="L54" s="57" t="str">
        <f>IF('All Tandem Adjustments Source'!K55&lt;1/24,TEXT('All Tandem Adjustments Source'!K55,"M:SS"),TEXT('All Tandem Adjustments Source'!K55,"H:MM:SS"))</f>
        <v>5:00</v>
      </c>
      <c r="M54" s="57" t="str">
        <f>IF('All Tandem Adjustments Source'!O55&lt;1/24,TEXT('All Tandem Adjustments Source'!O55,"M:SS"),TEXT('All Tandem Adjustments Source'!O55,"H:MM:SS"))</f>
        <v>6:03</v>
      </c>
      <c r="N54" s="57" t="str">
        <f>IF('All Tandem Adjustments Source'!S55&lt;1/24,TEXT('All Tandem Adjustments Source'!S55,"M:SS"),TEXT('All Tandem Adjustments Source'!S55,"H:MM:SS"))</f>
        <v>10:24</v>
      </c>
      <c r="O54" s="57" t="str">
        <f>IF('All Tandem Adjustments Source'!W55&lt;1/24,TEXT('All Tandem Adjustments Source'!W55,"M:SS"),TEXT('All Tandem Adjustments Source'!W55,"H:MM:SS"))</f>
        <v>22:34</v>
      </c>
      <c r="P54" s="58">
        <f>'All Tandem Adjustments Source'!AA55</f>
        <v>26.166400462962962</v>
      </c>
      <c r="Q54" s="58">
        <f>'All Tandem Adjustments Source'!AE55</f>
        <v>45.19840277777778</v>
      </c>
      <c r="R54" s="50" t="str">
        <f>IF('All Tandem Adjustments Source'!D55&lt;1/24,TEXT('All Tandem Adjustments Source'!D55,"M:SS"),TEXT('All Tandem Adjustments Source'!D55,"H:MM:SS"))</f>
        <v>1:55</v>
      </c>
      <c r="S54" s="50" t="str">
        <f>IF('All Tandem Adjustments Source'!H55&lt;1/24,TEXT('All Tandem Adjustments Source'!H55,"M:SS"),TEXT('All Tandem Adjustments Source'!H55,"H:MM:SS"))</f>
        <v>2:54</v>
      </c>
      <c r="T54" s="50" t="str">
        <f>IF('All Tandem Adjustments Source'!L55&lt;1/24,TEXT('All Tandem Adjustments Source'!L55,"M:SS"),TEXT('All Tandem Adjustments Source'!L55,"H:MM:SS"))</f>
        <v>4:55</v>
      </c>
      <c r="U54" s="50" t="str">
        <f>IF('All Tandem Adjustments Source'!P55&lt;1/24,TEXT('All Tandem Adjustments Source'!P55,"M:SS"),TEXT('All Tandem Adjustments Source'!P55,"H:MM:SS"))</f>
        <v>5:57</v>
      </c>
      <c r="V54" s="50" t="str">
        <f>IF('All Tandem Adjustments Source'!T55&lt;1/24,TEXT('All Tandem Adjustments Source'!T55,"M:SS"),TEXT('All Tandem Adjustments Source'!T55,"H:MM:SS"))</f>
        <v>10:14</v>
      </c>
      <c r="W54" s="50" t="str">
        <f>IF('All Tandem Adjustments Source'!X55&lt;1/24,TEXT('All Tandem Adjustments Source'!X55,"M:SS"),TEXT('All Tandem Adjustments Source'!X55,"H:MM:SS"))</f>
        <v>22:14</v>
      </c>
      <c r="X54" s="51">
        <f>'All Tandem Adjustments Source'!AB55</f>
        <v>25.906400462962964</v>
      </c>
      <c r="Y54" s="51">
        <f>'All Tandem Adjustments Source'!AF55</f>
        <v>44.85</v>
      </c>
      <c r="Z54" s="55" t="str">
        <f>IF('All Tandem Adjustments Source'!E55&lt;1/24,TEXT('All Tandem Adjustments Source'!E55,"M:SS"),TEXT('All Tandem Adjustments Source'!E55,"H:MM:SS"))</f>
        <v>3:03</v>
      </c>
      <c r="AA54" s="55" t="str">
        <f>IF('All Tandem Adjustments Source'!I55&lt;1/24,TEXT('All Tandem Adjustments Source'!I55,"M:SS"),TEXT('All Tandem Adjustments Source'!I55,"H:MM:SS"))</f>
        <v>4:36</v>
      </c>
      <c r="AB54" s="55" t="str">
        <f>IF('All Tandem Adjustments Source'!M55&lt;1/24,TEXT('All Tandem Adjustments Source'!M55,"M:SS"),TEXT('All Tandem Adjustments Source'!M55,"H:MM:SS"))</f>
        <v>7:46</v>
      </c>
      <c r="AC54" s="55" t="str">
        <f>IF('All Tandem Adjustments Source'!Q55&lt;1/24,TEXT('All Tandem Adjustments Source'!Q55,"M:SS"),TEXT('All Tandem Adjustments Source'!Q55,"H:MM:SS"))</f>
        <v>9:23</v>
      </c>
      <c r="AD54" s="55" t="str">
        <f>IF('All Tandem Adjustments Source'!U55&lt;1/24,TEXT('All Tandem Adjustments Source'!U55,"M:SS"),TEXT('All Tandem Adjustments Source'!U55,"H:MM:SS"))</f>
        <v>16:03</v>
      </c>
      <c r="AE54" s="55" t="str">
        <f>IF('All Tandem Adjustments Source'!Y55&lt;1/24,TEXT('All Tandem Adjustments Source'!Y55,"M:SS"),TEXT('All Tandem Adjustments Source'!Y55,"H:MM:SS"))</f>
        <v>34:24</v>
      </c>
      <c r="AF54" s="56">
        <f>'All Tandem Adjustments Source'!AC55</f>
        <v>35.022002314814813</v>
      </c>
      <c r="AG54" s="56">
        <f>'All Tandem Adjustments Source'!AG55</f>
        <v>57.158402777777781</v>
      </c>
    </row>
    <row r="55" spans="1:33" x14ac:dyDescent="0.25">
      <c r="A55" s="17">
        <f>'All Tandem Adjustments Source'!A56</f>
        <v>62</v>
      </c>
      <c r="B55" s="53" t="str">
        <f>IF('All Tandem Adjustments Source'!B56&lt;1/24,TEXT('All Tandem Adjustments Source'!B56,"M:SS"),TEXT('All Tandem Adjustments Source'!B56,"H:MM:SS"))</f>
        <v>1:00</v>
      </c>
      <c r="C55" s="53" t="str">
        <f>IF('All Tandem Adjustments Source'!F56&lt;1/24,TEXT('All Tandem Adjustments Source'!F56,"M:SS"),TEXT('All Tandem Adjustments Source'!F56,"H:MM:SS"))</f>
        <v>1:31</v>
      </c>
      <c r="D55" s="53" t="str">
        <f>IF('All Tandem Adjustments Source'!J56&lt;1/24,TEXT('All Tandem Adjustments Source'!J56,"M:SS"),TEXT('All Tandem Adjustments Source'!J56,"H:MM:SS"))</f>
        <v>2:35</v>
      </c>
      <c r="E55" s="53" t="str">
        <f>IF('All Tandem Adjustments Source'!N56&lt;1/24,TEXT('All Tandem Adjustments Source'!N56,"M:SS"),TEXT('All Tandem Adjustments Source'!N56,"H:MM:SS"))</f>
        <v>3:09</v>
      </c>
      <c r="F55" s="53" t="str">
        <f>IF('All Tandem Adjustments Source'!R56&lt;1/24,TEXT('All Tandem Adjustments Source'!R56,"M:SS"),TEXT('All Tandem Adjustments Source'!R56,"H:MM:SS"))</f>
        <v>5:29</v>
      </c>
      <c r="G55" s="53" t="str">
        <f>IF('All Tandem Adjustments Source'!V56&lt;1/24,TEXT('All Tandem Adjustments Source'!V56,"M:SS"),TEXT('All Tandem Adjustments Source'!V56,"H:MM:SS"))</f>
        <v>12:23</v>
      </c>
      <c r="H55" s="54">
        <f>'All Tandem Adjustments Source'!Z56</f>
        <v>17.726805555555554</v>
      </c>
      <c r="I55" s="54">
        <f>'All Tandem Adjustments Source'!AD56</f>
        <v>34.902395833333337</v>
      </c>
      <c r="J55" s="57" t="str">
        <f>IF('All Tandem Adjustments Source'!C56&lt;1/24,TEXT('All Tandem Adjustments Source'!C56,"M:SS"),TEXT('All Tandem Adjustments Source'!C56,"H:MM:SS"))</f>
        <v>2:03</v>
      </c>
      <c r="K55" s="57" t="str">
        <f>IF('All Tandem Adjustments Source'!G56&lt;1/24,TEXT('All Tandem Adjustments Source'!G56,"M:SS"),TEXT('All Tandem Adjustments Source'!G56,"H:MM:SS"))</f>
        <v>3:06</v>
      </c>
      <c r="L55" s="57" t="str">
        <f>IF('All Tandem Adjustments Source'!K56&lt;1/24,TEXT('All Tandem Adjustments Source'!K56,"M:SS"),TEXT('All Tandem Adjustments Source'!K56,"H:MM:SS"))</f>
        <v>5:15</v>
      </c>
      <c r="M55" s="57" t="str">
        <f>IF('All Tandem Adjustments Source'!O56&lt;1/24,TEXT('All Tandem Adjustments Source'!O56,"M:SS"),TEXT('All Tandem Adjustments Source'!O56,"H:MM:SS"))</f>
        <v>6:22</v>
      </c>
      <c r="N55" s="57" t="str">
        <f>IF('All Tandem Adjustments Source'!S56&lt;1/24,TEXT('All Tandem Adjustments Source'!S56,"M:SS"),TEXT('All Tandem Adjustments Source'!S56,"H:MM:SS"))</f>
        <v>10:56</v>
      </c>
      <c r="O55" s="57" t="str">
        <f>IF('All Tandem Adjustments Source'!W56&lt;1/24,TEXT('All Tandem Adjustments Source'!W56,"M:SS"),TEXT('All Tandem Adjustments Source'!W56,"H:MM:SS"))</f>
        <v>23:46</v>
      </c>
      <c r="P55" s="58">
        <f>'All Tandem Adjustments Source'!AA56</f>
        <v>27.393599537037037</v>
      </c>
      <c r="Q55" s="58">
        <f>'All Tandem Adjustments Source'!AE56</f>
        <v>47.491597222222225</v>
      </c>
      <c r="R55" s="50" t="str">
        <f>IF('All Tandem Adjustments Source'!D56&lt;1/24,TEXT('All Tandem Adjustments Source'!D56,"M:SS"),TEXT('All Tandem Adjustments Source'!D56,"H:MM:SS"))</f>
        <v>2:00</v>
      </c>
      <c r="S55" s="50" t="str">
        <f>IF('All Tandem Adjustments Source'!H56&lt;1/24,TEXT('All Tandem Adjustments Source'!H56,"M:SS"),TEXT('All Tandem Adjustments Source'!H56,"H:MM:SS"))</f>
        <v>3:01</v>
      </c>
      <c r="T55" s="50" t="str">
        <f>IF('All Tandem Adjustments Source'!L56&lt;1/24,TEXT('All Tandem Adjustments Source'!L56,"M:SS"),TEXT('All Tandem Adjustments Source'!L56,"H:MM:SS"))</f>
        <v>5:08</v>
      </c>
      <c r="U55" s="50" t="str">
        <f>IF('All Tandem Adjustments Source'!P56&lt;1/24,TEXT('All Tandem Adjustments Source'!P56,"M:SS"),TEXT('All Tandem Adjustments Source'!P56,"H:MM:SS"))</f>
        <v>6:12</v>
      </c>
      <c r="V55" s="50" t="str">
        <f>IF('All Tandem Adjustments Source'!T56&lt;1/24,TEXT('All Tandem Adjustments Source'!T56,"M:SS"),TEXT('All Tandem Adjustments Source'!T56,"H:MM:SS"))</f>
        <v>10:41</v>
      </c>
      <c r="W55" s="50" t="str">
        <f>IF('All Tandem Adjustments Source'!X56&lt;1/24,TEXT('All Tandem Adjustments Source'!X56,"M:SS"),TEXT('All Tandem Adjustments Source'!X56,"H:MM:SS"))</f>
        <v>23:14</v>
      </c>
      <c r="X55" s="51">
        <f>'All Tandem Adjustments Source'!AB56</f>
        <v>26.967199074074074</v>
      </c>
      <c r="Y55" s="51">
        <f>'All Tandem Adjustments Source'!AF56</f>
        <v>46.93</v>
      </c>
      <c r="Z55" s="55" t="str">
        <f>IF('All Tandem Adjustments Source'!E56&lt;1/24,TEXT('All Tandem Adjustments Source'!E56,"M:SS"),TEXT('All Tandem Adjustments Source'!E56,"H:MM:SS"))</f>
        <v>3:09</v>
      </c>
      <c r="AA55" s="55" t="str">
        <f>IF('All Tandem Adjustments Source'!I56&lt;1/24,TEXT('All Tandem Adjustments Source'!I56,"M:SS"),TEXT('All Tandem Adjustments Source'!I56,"H:MM:SS"))</f>
        <v>4:46</v>
      </c>
      <c r="AB55" s="55" t="str">
        <f>IF('All Tandem Adjustments Source'!M56&lt;1/24,TEXT('All Tandem Adjustments Source'!M56,"M:SS"),TEXT('All Tandem Adjustments Source'!M56,"H:MM:SS"))</f>
        <v>8:03</v>
      </c>
      <c r="AC55" s="55" t="str">
        <f>IF('All Tandem Adjustments Source'!Q56&lt;1/24,TEXT('All Tandem Adjustments Source'!Q56,"M:SS"),TEXT('All Tandem Adjustments Source'!Q56,"H:MM:SS"))</f>
        <v>9:44</v>
      </c>
      <c r="AD55" s="55" t="str">
        <f>IF('All Tandem Adjustments Source'!U56&lt;1/24,TEXT('All Tandem Adjustments Source'!U56,"M:SS"),TEXT('All Tandem Adjustments Source'!U56,"H:MM:SS"))</f>
        <v>16:39</v>
      </c>
      <c r="AE55" s="55" t="str">
        <f>IF('All Tandem Adjustments Source'!Y56&lt;1/24,TEXT('All Tandem Adjustments Source'!Y56,"M:SS"),TEXT('All Tandem Adjustments Source'!Y56,"H:MM:SS"))</f>
        <v>35:43</v>
      </c>
      <c r="AF55" s="56">
        <f>'All Tandem Adjustments Source'!AC56</f>
        <v>36.150405092592592</v>
      </c>
      <c r="AG55" s="56">
        <f>'All Tandem Adjustments Source'!AG56</f>
        <v>59.28</v>
      </c>
    </row>
    <row r="56" spans="1:33" x14ac:dyDescent="0.25">
      <c r="A56" s="17">
        <f>'All Tandem Adjustments Source'!A57</f>
        <v>63</v>
      </c>
      <c r="B56" s="53" t="str">
        <f>IF('All Tandem Adjustments Source'!B57&lt;1/24,TEXT('All Tandem Adjustments Source'!B57,"M:SS"),TEXT('All Tandem Adjustments Source'!B57,"H:MM:SS"))</f>
        <v>1:04</v>
      </c>
      <c r="C56" s="53" t="str">
        <f>IF('All Tandem Adjustments Source'!F57&lt;1/24,TEXT('All Tandem Adjustments Source'!F57,"M:SS"),TEXT('All Tandem Adjustments Source'!F57,"H:MM:SS"))</f>
        <v>1:38</v>
      </c>
      <c r="D56" s="53" t="str">
        <f>IF('All Tandem Adjustments Source'!J57&lt;1/24,TEXT('All Tandem Adjustments Source'!J57,"M:SS"),TEXT('All Tandem Adjustments Source'!J57,"H:MM:SS"))</f>
        <v>2:47</v>
      </c>
      <c r="E56" s="53" t="str">
        <f>IF('All Tandem Adjustments Source'!N57&lt;1/24,TEXT('All Tandem Adjustments Source'!N57,"M:SS"),TEXT('All Tandem Adjustments Source'!N57,"H:MM:SS"))</f>
        <v>3:23</v>
      </c>
      <c r="F56" s="53" t="str">
        <f>IF('All Tandem Adjustments Source'!R57&lt;1/24,TEXT('All Tandem Adjustments Source'!R57,"M:SS"),TEXT('All Tandem Adjustments Source'!R57,"H:MM:SS"))</f>
        <v>5:54</v>
      </c>
      <c r="G56" s="53" t="str">
        <f>IF('All Tandem Adjustments Source'!V57&lt;1/24,TEXT('All Tandem Adjustments Source'!V57,"M:SS"),TEXT('All Tandem Adjustments Source'!V57,"H:MM:SS"))</f>
        <v>13:20</v>
      </c>
      <c r="H56" s="54">
        <f>'All Tandem Adjustments Source'!Z57</f>
        <v>18.922800925925927</v>
      </c>
      <c r="I56" s="54">
        <f>'All Tandem Adjustments Source'!AD57</f>
        <v>37.226805555555558</v>
      </c>
      <c r="J56" s="57" t="str">
        <f>IF('All Tandem Adjustments Source'!C57&lt;1/24,TEXT('All Tandem Adjustments Source'!C57,"M:SS"),TEXT('All Tandem Adjustments Source'!C57,"H:MM:SS"))</f>
        <v>2:10</v>
      </c>
      <c r="K56" s="57" t="str">
        <f>IF('All Tandem Adjustments Source'!G57&lt;1/24,TEXT('All Tandem Adjustments Source'!G57,"M:SS"),TEXT('All Tandem Adjustments Source'!G57,"H:MM:SS"))</f>
        <v>3:16</v>
      </c>
      <c r="L56" s="57" t="str">
        <f>IF('All Tandem Adjustments Source'!K57&lt;1/24,TEXT('All Tandem Adjustments Source'!K57,"M:SS"),TEXT('All Tandem Adjustments Source'!K57,"H:MM:SS"))</f>
        <v>5:32</v>
      </c>
      <c r="M56" s="57" t="str">
        <f>IF('All Tandem Adjustments Source'!O57&lt;1/24,TEXT('All Tandem Adjustments Source'!O57,"M:SS"),TEXT('All Tandem Adjustments Source'!O57,"H:MM:SS"))</f>
        <v>6:42</v>
      </c>
      <c r="N56" s="57" t="str">
        <f>IF('All Tandem Adjustments Source'!S57&lt;1/24,TEXT('All Tandem Adjustments Source'!S57,"M:SS"),TEXT('All Tandem Adjustments Source'!S57,"H:MM:SS"))</f>
        <v>11:32</v>
      </c>
      <c r="O56" s="57" t="str">
        <f>IF('All Tandem Adjustments Source'!W57&lt;1/24,TEXT('All Tandem Adjustments Source'!W57,"M:SS"),TEXT('All Tandem Adjustments Source'!W57,"H:MM:SS"))</f>
        <v>25:06</v>
      </c>
      <c r="P56" s="58">
        <f>'All Tandem Adjustments Source'!AA57</f>
        <v>28.698796296296297</v>
      </c>
      <c r="Q56" s="58">
        <f>'All Tandem Adjustments Source'!AE57</f>
        <v>49.90959490740741</v>
      </c>
      <c r="R56" s="50" t="str">
        <f>IF('All Tandem Adjustments Source'!D57&lt;1/24,TEXT('All Tandem Adjustments Source'!D57,"M:SS"),TEXT('All Tandem Adjustments Source'!D57,"H:MM:SS"))</f>
        <v>2:05</v>
      </c>
      <c r="S56" s="50" t="str">
        <f>IF('All Tandem Adjustments Source'!H57&lt;1/24,TEXT('All Tandem Adjustments Source'!H57,"M:SS"),TEXT('All Tandem Adjustments Source'!H57,"H:MM:SS"))</f>
        <v>3:09</v>
      </c>
      <c r="T56" s="50" t="str">
        <f>IF('All Tandem Adjustments Source'!L57&lt;1/24,TEXT('All Tandem Adjustments Source'!L57,"M:SS"),TEXT('All Tandem Adjustments Source'!L57,"H:MM:SS"))</f>
        <v>5:21</v>
      </c>
      <c r="U56" s="50" t="str">
        <f>IF('All Tandem Adjustments Source'!P57&lt;1/24,TEXT('All Tandem Adjustments Source'!P57,"M:SS"),TEXT('All Tandem Adjustments Source'!P57,"H:MM:SS"))</f>
        <v>6:28</v>
      </c>
      <c r="V56" s="50" t="str">
        <f>IF('All Tandem Adjustments Source'!T57&lt;1/24,TEXT('All Tandem Adjustments Source'!T57,"M:SS"),TEXT('All Tandem Adjustments Source'!T57,"H:MM:SS"))</f>
        <v>11:08</v>
      </c>
      <c r="W56" s="50" t="str">
        <f>IF('All Tandem Adjustments Source'!X57&lt;1/24,TEXT('All Tandem Adjustments Source'!X57,"M:SS"),TEXT('All Tandem Adjustments Source'!X57,"H:MM:SS"))</f>
        <v>24:17</v>
      </c>
      <c r="X56" s="51">
        <f>'All Tandem Adjustments Source'!AB57</f>
        <v>28.059201388888887</v>
      </c>
      <c r="Y56" s="51">
        <f>'All Tandem Adjustments Source'!AF57</f>
        <v>49.067199074074075</v>
      </c>
      <c r="Z56" s="55" t="str">
        <f>IF('All Tandem Adjustments Source'!E57&lt;1/24,TEXT('All Tandem Adjustments Source'!E57,"M:SS"),TEXT('All Tandem Adjustments Source'!E57,"H:MM:SS"))</f>
        <v>3:16</v>
      </c>
      <c r="AA56" s="55" t="str">
        <f>IF('All Tandem Adjustments Source'!I57&lt;1/24,TEXT('All Tandem Adjustments Source'!I57,"M:SS"),TEXT('All Tandem Adjustments Source'!I57,"H:MM:SS"))</f>
        <v>4:57</v>
      </c>
      <c r="AB56" s="55" t="str">
        <f>IF('All Tandem Adjustments Source'!M57&lt;1/24,TEXT('All Tandem Adjustments Source'!M57,"M:SS"),TEXT('All Tandem Adjustments Source'!M57,"H:MM:SS"))</f>
        <v>8:22</v>
      </c>
      <c r="AC56" s="55" t="str">
        <f>IF('All Tandem Adjustments Source'!Q57&lt;1/24,TEXT('All Tandem Adjustments Source'!Q57,"M:SS"),TEXT('All Tandem Adjustments Source'!Q57,"H:MM:SS"))</f>
        <v>10:06</v>
      </c>
      <c r="AD56" s="55" t="str">
        <f>IF('All Tandem Adjustments Source'!U57&lt;1/24,TEXT('All Tandem Adjustments Source'!U57,"M:SS"),TEXT('All Tandem Adjustments Source'!U57,"H:MM:SS"))</f>
        <v>17:18</v>
      </c>
      <c r="AE56" s="55" t="str">
        <f>IF('All Tandem Adjustments Source'!Y57&lt;1/24,TEXT('All Tandem Adjustments Source'!Y57,"M:SS"),TEXT('All Tandem Adjustments Source'!Y57,"H:MM:SS"))</f>
        <v>37:11</v>
      </c>
      <c r="AF56" s="56">
        <f>'All Tandem Adjustments Source'!AC57</f>
        <v>37.351597222222225</v>
      </c>
      <c r="AG56" s="56">
        <f>'All Tandem Adjustments Source'!AG57</f>
        <v>61.510798611111113</v>
      </c>
    </row>
    <row r="57" spans="1:33" x14ac:dyDescent="0.25">
      <c r="A57" s="17">
        <f>'All Tandem Adjustments Source'!A58</f>
        <v>64</v>
      </c>
      <c r="B57" s="53" t="str">
        <f>IF('All Tandem Adjustments Source'!B58&lt;1/24,TEXT('All Tandem Adjustments Source'!B58,"M:SS"),TEXT('All Tandem Adjustments Source'!B58,"H:MM:SS"))</f>
        <v>1:09</v>
      </c>
      <c r="C57" s="53" t="str">
        <f>IF('All Tandem Adjustments Source'!F58&lt;1/24,TEXT('All Tandem Adjustments Source'!F58,"M:SS"),TEXT('All Tandem Adjustments Source'!F58,"H:MM:SS"))</f>
        <v>1:45</v>
      </c>
      <c r="D57" s="53" t="str">
        <f>IF('All Tandem Adjustments Source'!J58&lt;1/24,TEXT('All Tandem Adjustments Source'!J58,"M:SS"),TEXT('All Tandem Adjustments Source'!J58,"H:MM:SS"))</f>
        <v>2:59</v>
      </c>
      <c r="E57" s="53" t="str">
        <f>IF('All Tandem Adjustments Source'!N58&lt;1/24,TEXT('All Tandem Adjustments Source'!N58,"M:SS"),TEXT('All Tandem Adjustments Source'!N58,"H:MM:SS"))</f>
        <v>3:37</v>
      </c>
      <c r="F57" s="53" t="str">
        <f>IF('All Tandem Adjustments Source'!R58&lt;1/24,TEXT('All Tandem Adjustments Source'!R58,"M:SS"),TEXT('All Tandem Adjustments Source'!R58,"H:MM:SS"))</f>
        <v>6:20</v>
      </c>
      <c r="G57" s="53" t="str">
        <f>IF('All Tandem Adjustments Source'!V58&lt;1/24,TEXT('All Tandem Adjustments Source'!V58,"M:SS"),TEXT('All Tandem Adjustments Source'!V58,"H:MM:SS"))</f>
        <v>14:19</v>
      </c>
      <c r="H57" s="54">
        <f>'All Tandem Adjustments Source'!Z58</f>
        <v>20.139594907407407</v>
      </c>
      <c r="I57" s="54">
        <f>'All Tandem Adjustments Source'!AD58</f>
        <v>39.597997685185184</v>
      </c>
      <c r="J57" s="57" t="str">
        <f>IF('All Tandem Adjustments Source'!C58&lt;1/24,TEXT('All Tandem Adjustments Source'!C58,"M:SS"),TEXT('All Tandem Adjustments Source'!C58,"H:MM:SS"))</f>
        <v>2:17</v>
      </c>
      <c r="K57" s="57" t="str">
        <f>IF('All Tandem Adjustments Source'!G58&lt;1/24,TEXT('All Tandem Adjustments Source'!G58,"M:SS"),TEXT('All Tandem Adjustments Source'!G58,"H:MM:SS"))</f>
        <v>3:27</v>
      </c>
      <c r="L57" s="57" t="str">
        <f>IF('All Tandem Adjustments Source'!K58&lt;1/24,TEXT('All Tandem Adjustments Source'!K58,"M:SS"),TEXT('All Tandem Adjustments Source'!K58,"H:MM:SS"))</f>
        <v>5:50</v>
      </c>
      <c r="M57" s="57" t="str">
        <f>IF('All Tandem Adjustments Source'!O58&lt;1/24,TEXT('All Tandem Adjustments Source'!O58,"M:SS"),TEXT('All Tandem Adjustments Source'!O58,"H:MM:SS"))</f>
        <v>7:04</v>
      </c>
      <c r="N57" s="57" t="str">
        <f>IF('All Tandem Adjustments Source'!S58&lt;1/24,TEXT('All Tandem Adjustments Source'!S58,"M:SS"),TEXT('All Tandem Adjustments Source'!S58,"H:MM:SS"))</f>
        <v>12:11</v>
      </c>
      <c r="O57" s="57" t="str">
        <f>IF('All Tandem Adjustments Source'!W58&lt;1/24,TEXT('All Tandem Adjustments Source'!W58,"M:SS"),TEXT('All Tandem Adjustments Source'!W58,"H:MM:SS"))</f>
        <v>26:34</v>
      </c>
      <c r="P57" s="58">
        <f>'All Tandem Adjustments Source'!AA58</f>
        <v>30.082002314814815</v>
      </c>
      <c r="Q57" s="58">
        <f>'All Tandem Adjustments Source'!AE58</f>
        <v>52.442002314814815</v>
      </c>
      <c r="R57" s="50" t="str">
        <f>IF('All Tandem Adjustments Source'!D58&lt;1/24,TEXT('All Tandem Adjustments Source'!D58,"M:SS"),TEXT('All Tandem Adjustments Source'!D58,"H:MM:SS"))</f>
        <v>2:10</v>
      </c>
      <c r="S57" s="50" t="str">
        <f>IF('All Tandem Adjustments Source'!H58&lt;1/24,TEXT('All Tandem Adjustments Source'!H58,"M:SS"),TEXT('All Tandem Adjustments Source'!H58,"H:MM:SS"))</f>
        <v>3:17</v>
      </c>
      <c r="T57" s="50" t="str">
        <f>IF('All Tandem Adjustments Source'!L58&lt;1/24,TEXT('All Tandem Adjustments Source'!L58,"M:SS"),TEXT('All Tandem Adjustments Source'!L58,"H:MM:SS"))</f>
        <v>5:34</v>
      </c>
      <c r="U57" s="50" t="str">
        <f>IF('All Tandem Adjustments Source'!P58&lt;1/24,TEXT('All Tandem Adjustments Source'!P58,"M:SS"),TEXT('All Tandem Adjustments Source'!P58,"H:MM:SS"))</f>
        <v>6:44</v>
      </c>
      <c r="V57" s="50" t="str">
        <f>IF('All Tandem Adjustments Source'!T58&lt;1/24,TEXT('All Tandem Adjustments Source'!T58,"M:SS"),TEXT('All Tandem Adjustments Source'!T58,"H:MM:SS"))</f>
        <v>11:36</v>
      </c>
      <c r="W57" s="50" t="str">
        <f>IF('All Tandem Adjustments Source'!X58&lt;1/24,TEXT('All Tandem Adjustments Source'!X58,"M:SS"),TEXT('All Tandem Adjustments Source'!X58,"H:MM:SS"))</f>
        <v>25:22</v>
      </c>
      <c r="X57" s="51">
        <f>'All Tandem Adjustments Source'!AB58</f>
        <v>29.177199074074075</v>
      </c>
      <c r="Y57" s="51">
        <f>'All Tandem Adjustments Source'!AF58</f>
        <v>51.245995370370373</v>
      </c>
      <c r="Z57" s="55" t="str">
        <f>IF('All Tandem Adjustments Source'!E58&lt;1/24,TEXT('All Tandem Adjustments Source'!E58,"M:SS"),TEXT('All Tandem Adjustments Source'!E58,"H:MM:SS"))</f>
        <v>3:24</v>
      </c>
      <c r="AA57" s="55" t="str">
        <f>IF('All Tandem Adjustments Source'!I58&lt;1/24,TEXT('All Tandem Adjustments Source'!I58,"M:SS"),TEXT('All Tandem Adjustments Source'!I58,"H:MM:SS"))</f>
        <v>5:09</v>
      </c>
      <c r="AB57" s="55" t="str">
        <f>IF('All Tandem Adjustments Source'!M58&lt;1/24,TEXT('All Tandem Adjustments Source'!M58,"M:SS"),TEXT('All Tandem Adjustments Source'!M58,"H:MM:SS"))</f>
        <v>8:42</v>
      </c>
      <c r="AC57" s="55" t="str">
        <f>IF('All Tandem Adjustments Source'!Q58&lt;1/24,TEXT('All Tandem Adjustments Source'!Q58,"M:SS"),TEXT('All Tandem Adjustments Source'!Q58,"H:MM:SS"))</f>
        <v>10:31</v>
      </c>
      <c r="AD57" s="55" t="str">
        <f>IF('All Tandem Adjustments Source'!U58&lt;1/24,TEXT('All Tandem Adjustments Source'!U58,"M:SS"),TEXT('All Tandem Adjustments Source'!U58,"H:MM:SS"))</f>
        <v>18:01</v>
      </c>
      <c r="AE57" s="55" t="str">
        <f>IF('All Tandem Adjustments Source'!Y58&lt;1/24,TEXT('All Tandem Adjustments Source'!Y58,"M:SS"),TEXT('All Tandem Adjustments Source'!Y58,"H:MM:SS"))</f>
        <v>38:47</v>
      </c>
      <c r="AF57" s="56">
        <f>'All Tandem Adjustments Source'!AC58</f>
        <v>38.625601851851854</v>
      </c>
      <c r="AG57" s="56">
        <f>'All Tandem Adjustments Source'!AG58</f>
        <v>63.855995370370373</v>
      </c>
    </row>
    <row r="58" spans="1:33" x14ac:dyDescent="0.25">
      <c r="A58" s="17">
        <f>'All Tandem Adjustments Source'!A59</f>
        <v>65</v>
      </c>
      <c r="B58" s="53" t="str">
        <f>IF('All Tandem Adjustments Source'!B59&lt;1/24,TEXT('All Tandem Adjustments Source'!B59,"M:SS"),TEXT('All Tandem Adjustments Source'!B59,"H:MM:SS"))</f>
        <v>1:14</v>
      </c>
      <c r="C58" s="53" t="str">
        <f>IF('All Tandem Adjustments Source'!F59&lt;1/24,TEXT('All Tandem Adjustments Source'!F59,"M:SS"),TEXT('All Tandem Adjustments Source'!F59,"H:MM:SS"))</f>
        <v>1:52</v>
      </c>
      <c r="D58" s="53" t="str">
        <f>IF('All Tandem Adjustments Source'!J59&lt;1/24,TEXT('All Tandem Adjustments Source'!J59,"M:SS"),TEXT('All Tandem Adjustments Source'!J59,"H:MM:SS"))</f>
        <v>3:12</v>
      </c>
      <c r="E58" s="53" t="str">
        <f>IF('All Tandem Adjustments Source'!N59&lt;1/24,TEXT('All Tandem Adjustments Source'!N59,"M:SS"),TEXT('All Tandem Adjustments Source'!N59,"H:MM:SS"))</f>
        <v>3:53</v>
      </c>
      <c r="F58" s="53" t="str">
        <f>IF('All Tandem Adjustments Source'!R59&lt;1/24,TEXT('All Tandem Adjustments Source'!R59,"M:SS"),TEXT('All Tandem Adjustments Source'!R59,"H:MM:SS"))</f>
        <v>6:47</v>
      </c>
      <c r="G58" s="53" t="str">
        <f>IF('All Tandem Adjustments Source'!V59&lt;1/24,TEXT('All Tandem Adjustments Source'!V59,"M:SS"),TEXT('All Tandem Adjustments Source'!V59,"H:MM:SS"))</f>
        <v>15:22</v>
      </c>
      <c r="H58" s="54">
        <f>'All Tandem Adjustments Source'!Z59</f>
        <v>21.392800925925926</v>
      </c>
      <c r="I58" s="54">
        <f>'All Tandem Adjustments Source'!AD59</f>
        <v>42.026400462962961</v>
      </c>
      <c r="J58" s="57" t="str">
        <f>IF('All Tandem Adjustments Source'!C59&lt;1/24,TEXT('All Tandem Adjustments Source'!C59,"M:SS"),TEXT('All Tandem Adjustments Source'!C59,"H:MM:SS"))</f>
        <v>2:24</v>
      </c>
      <c r="K58" s="57" t="str">
        <f>IF('All Tandem Adjustments Source'!G59&lt;1/24,TEXT('All Tandem Adjustments Source'!G59,"M:SS"),TEXT('All Tandem Adjustments Source'!G59,"H:MM:SS"))</f>
        <v>3:39</v>
      </c>
      <c r="L58" s="57" t="str">
        <f>IF('All Tandem Adjustments Source'!K59&lt;1/24,TEXT('All Tandem Adjustments Source'!K59,"M:SS"),TEXT('All Tandem Adjustments Source'!K59,"H:MM:SS"))</f>
        <v>6:11</v>
      </c>
      <c r="M58" s="57" t="str">
        <f>IF('All Tandem Adjustments Source'!O59&lt;1/24,TEXT('All Tandem Adjustments Source'!O59,"M:SS"),TEXT('All Tandem Adjustments Source'!O59,"H:MM:SS"))</f>
        <v>7:29</v>
      </c>
      <c r="N58" s="57" t="str">
        <f>IF('All Tandem Adjustments Source'!S59&lt;1/24,TEXT('All Tandem Adjustments Source'!S59,"M:SS"),TEXT('All Tandem Adjustments Source'!S59,"H:MM:SS"))</f>
        <v>12:54</v>
      </c>
      <c r="O58" s="57" t="str">
        <f>IF('All Tandem Adjustments Source'!W59&lt;1/24,TEXT('All Tandem Adjustments Source'!W59,"M:SS"),TEXT('All Tandem Adjustments Source'!W59,"H:MM:SS"))</f>
        <v>28:11</v>
      </c>
      <c r="P58" s="58">
        <f>'All Tandem Adjustments Source'!AA59</f>
        <v>31.553599537037037</v>
      </c>
      <c r="Q58" s="58">
        <f>'All Tandem Adjustments Source'!AE59</f>
        <v>55.088796296296294</v>
      </c>
      <c r="R58" s="50" t="str">
        <f>IF('All Tandem Adjustments Source'!D59&lt;1/24,TEXT('All Tandem Adjustments Source'!D59,"M:SS"),TEXT('All Tandem Adjustments Source'!D59,"H:MM:SS"))</f>
        <v>2:15</v>
      </c>
      <c r="S58" s="50" t="str">
        <f>IF('All Tandem Adjustments Source'!H59&lt;1/24,TEXT('All Tandem Adjustments Source'!H59,"M:SS"),TEXT('All Tandem Adjustments Source'!H59,"H:MM:SS"))</f>
        <v>3:25</v>
      </c>
      <c r="T58" s="50" t="str">
        <f>IF('All Tandem Adjustments Source'!L59&lt;1/24,TEXT('All Tandem Adjustments Source'!L59,"M:SS"),TEXT('All Tandem Adjustments Source'!L59,"H:MM:SS"))</f>
        <v>5:48</v>
      </c>
      <c r="U58" s="50" t="str">
        <f>IF('All Tandem Adjustments Source'!P59&lt;1/24,TEXT('All Tandem Adjustments Source'!P59,"M:SS"),TEXT('All Tandem Adjustments Source'!P59,"H:MM:SS"))</f>
        <v>7:01</v>
      </c>
      <c r="V58" s="50" t="str">
        <f>IF('All Tandem Adjustments Source'!T59&lt;1/24,TEXT('All Tandem Adjustments Source'!T59,"M:SS"),TEXT('All Tandem Adjustments Source'!T59,"H:MM:SS"))</f>
        <v>12:06</v>
      </c>
      <c r="W58" s="50" t="str">
        <f>IF('All Tandem Adjustments Source'!X59&lt;1/24,TEXT('All Tandem Adjustments Source'!X59,"M:SS"),TEXT('All Tandem Adjustments Source'!X59,"H:MM:SS"))</f>
        <v>26:31</v>
      </c>
      <c r="X58" s="51">
        <f>'All Tandem Adjustments Source'!AB59</f>
        <v>30.321203703703702</v>
      </c>
      <c r="Y58" s="51">
        <f>'All Tandem Adjustments Source'!AF59</f>
        <v>53.476805555555558</v>
      </c>
      <c r="Z58" s="55" t="str">
        <f>IF('All Tandem Adjustments Source'!E59&lt;1/24,TEXT('All Tandem Adjustments Source'!E59,"M:SS"),TEXT('All Tandem Adjustments Source'!E59,"H:MM:SS"))</f>
        <v>3:33</v>
      </c>
      <c r="AA58" s="55" t="str">
        <f>IF('All Tandem Adjustments Source'!I59&lt;1/24,TEXT('All Tandem Adjustments Source'!I59,"M:SS"),TEXT('All Tandem Adjustments Source'!I59,"H:MM:SS"))</f>
        <v>5:22</v>
      </c>
      <c r="AB58" s="55" t="str">
        <f>IF('All Tandem Adjustments Source'!M59&lt;1/24,TEXT('All Tandem Adjustments Source'!M59,"M:SS"),TEXT('All Tandem Adjustments Source'!M59,"H:MM:SS"))</f>
        <v>9:04</v>
      </c>
      <c r="AC58" s="55" t="str">
        <f>IF('All Tandem Adjustments Source'!Q59&lt;1/24,TEXT('All Tandem Adjustments Source'!Q59,"M:SS"),TEXT('All Tandem Adjustments Source'!Q59,"H:MM:SS"))</f>
        <v>10:58</v>
      </c>
      <c r="AD58" s="55" t="str">
        <f>IF('All Tandem Adjustments Source'!U59&lt;1/24,TEXT('All Tandem Adjustments Source'!U59,"M:SS"),TEXT('All Tandem Adjustments Source'!U59,"H:MM:SS"))</f>
        <v>18:48</v>
      </c>
      <c r="AE58" s="55" t="str">
        <f>IF('All Tandem Adjustments Source'!Y59&lt;1/24,TEXT('All Tandem Adjustments Source'!Y59,"M:SS"),TEXT('All Tandem Adjustments Source'!Y59,"H:MM:SS"))</f>
        <v>40:33</v>
      </c>
      <c r="AF58" s="56">
        <f>'All Tandem Adjustments Source'!AC59</f>
        <v>39.977604166666666</v>
      </c>
      <c r="AG58" s="56">
        <f>'All Tandem Adjustments Source'!AG59</f>
        <v>66.315601851851852</v>
      </c>
    </row>
    <row r="59" spans="1:33" x14ac:dyDescent="0.25">
      <c r="A59" s="17">
        <f>'All Tandem Adjustments Source'!A60</f>
        <v>66</v>
      </c>
      <c r="B59" s="53" t="str">
        <f>IF('All Tandem Adjustments Source'!B60&lt;1/24,TEXT('All Tandem Adjustments Source'!B60,"M:SS"),TEXT('All Tandem Adjustments Source'!B60,"H:MM:SS"))</f>
        <v>1:19</v>
      </c>
      <c r="C59" s="53" t="str">
        <f>IF('All Tandem Adjustments Source'!F60&lt;1/24,TEXT('All Tandem Adjustments Source'!F60,"M:SS"),TEXT('All Tandem Adjustments Source'!F60,"H:MM:SS"))</f>
        <v>2:00</v>
      </c>
      <c r="D59" s="53" t="str">
        <f>IF('All Tandem Adjustments Source'!J60&lt;1/24,TEXT('All Tandem Adjustments Source'!J60,"M:SS"),TEXT('All Tandem Adjustments Source'!J60,"H:MM:SS"))</f>
        <v>3:25</v>
      </c>
      <c r="E59" s="53" t="str">
        <f>IF('All Tandem Adjustments Source'!N60&lt;1/24,TEXT('All Tandem Adjustments Source'!N60,"M:SS"),TEXT('All Tandem Adjustments Source'!N60,"H:MM:SS"))</f>
        <v>4:09</v>
      </c>
      <c r="F59" s="53" t="str">
        <f>IF('All Tandem Adjustments Source'!R60&lt;1/24,TEXT('All Tandem Adjustments Source'!R60,"M:SS"),TEXT('All Tandem Adjustments Source'!R60,"H:MM:SS"))</f>
        <v>7:15</v>
      </c>
      <c r="G59" s="53" t="str">
        <f>IF('All Tandem Adjustments Source'!V60&lt;1/24,TEXT('All Tandem Adjustments Source'!V60,"M:SS"),TEXT('All Tandem Adjustments Source'!V60,"H:MM:SS"))</f>
        <v>16:27</v>
      </c>
      <c r="H59" s="54">
        <f>'All Tandem Adjustments Source'!Z60</f>
        <v>22.666805555555555</v>
      </c>
      <c r="I59" s="54">
        <f>'All Tandem Adjustments Source'!AD60</f>
        <v>44.506805555555559</v>
      </c>
      <c r="J59" s="57" t="str">
        <f>IF('All Tandem Adjustments Source'!C60&lt;1/24,TEXT('All Tandem Adjustments Source'!C60,"M:SS"),TEXT('All Tandem Adjustments Source'!C60,"H:MM:SS"))</f>
        <v>2:34</v>
      </c>
      <c r="K59" s="57" t="str">
        <f>IF('All Tandem Adjustments Source'!G60&lt;1/24,TEXT('All Tandem Adjustments Source'!G60,"M:SS"),TEXT('All Tandem Adjustments Source'!G60,"H:MM:SS"))</f>
        <v>3:52</v>
      </c>
      <c r="L59" s="57" t="str">
        <f>IF('All Tandem Adjustments Source'!K60&lt;1/24,TEXT('All Tandem Adjustments Source'!K60,"M:SS"),TEXT('All Tandem Adjustments Source'!K60,"H:MM:SS"))</f>
        <v>6:34</v>
      </c>
      <c r="M59" s="57" t="str">
        <f>IF('All Tandem Adjustments Source'!O60&lt;1/24,TEXT('All Tandem Adjustments Source'!O60,"M:SS"),TEXT('All Tandem Adjustments Source'!O60,"H:MM:SS"))</f>
        <v>7:56</v>
      </c>
      <c r="N59" s="57" t="str">
        <f>IF('All Tandem Adjustments Source'!S60&lt;1/24,TEXT('All Tandem Adjustments Source'!S60,"M:SS"),TEXT('All Tandem Adjustments Source'!S60,"H:MM:SS"))</f>
        <v>13:41</v>
      </c>
      <c r="O59" s="57" t="str">
        <f>IF('All Tandem Adjustments Source'!W60&lt;1/24,TEXT('All Tandem Adjustments Source'!W60,"M:SS"),TEXT('All Tandem Adjustments Source'!W60,"H:MM:SS"))</f>
        <v>29:56</v>
      </c>
      <c r="P59" s="58">
        <f>'All Tandem Adjustments Source'!AA60</f>
        <v>33.103194444444448</v>
      </c>
      <c r="Q59" s="58">
        <f>'All Tandem Adjustments Source'!AE60</f>
        <v>57.860405092592593</v>
      </c>
      <c r="R59" s="50" t="str">
        <f>IF('All Tandem Adjustments Source'!D60&lt;1/24,TEXT('All Tandem Adjustments Source'!D60,"M:SS"),TEXT('All Tandem Adjustments Source'!D60,"H:MM:SS"))</f>
        <v>2:21</v>
      </c>
      <c r="S59" s="50" t="str">
        <f>IF('All Tandem Adjustments Source'!H60&lt;1/24,TEXT('All Tandem Adjustments Source'!H60,"M:SS"),TEXT('All Tandem Adjustments Source'!H60,"H:MM:SS"))</f>
        <v>3:34</v>
      </c>
      <c r="T59" s="50" t="str">
        <f>IF('All Tandem Adjustments Source'!L60&lt;1/24,TEXT('All Tandem Adjustments Source'!L60,"M:SS"),TEXT('All Tandem Adjustments Source'!L60,"H:MM:SS"))</f>
        <v>6:02</v>
      </c>
      <c r="U59" s="50" t="str">
        <f>IF('All Tandem Adjustments Source'!P60&lt;1/24,TEXT('All Tandem Adjustments Source'!P60,"M:SS"),TEXT('All Tandem Adjustments Source'!P60,"H:MM:SS"))</f>
        <v>7:19</v>
      </c>
      <c r="V59" s="50" t="str">
        <f>IF('All Tandem Adjustments Source'!T60&lt;1/24,TEXT('All Tandem Adjustments Source'!T60,"M:SS"),TEXT('All Tandem Adjustments Source'!T60,"H:MM:SS"))</f>
        <v>12:37</v>
      </c>
      <c r="W59" s="50" t="str">
        <f>IF('All Tandem Adjustments Source'!X60&lt;1/24,TEXT('All Tandem Adjustments Source'!X60,"M:SS"),TEXT('All Tandem Adjustments Source'!X60,"H:MM:SS"))</f>
        <v>27:42</v>
      </c>
      <c r="X59" s="51">
        <f>'All Tandem Adjustments Source'!AB60</f>
        <v>31.485995370370372</v>
      </c>
      <c r="Y59" s="51">
        <f>'All Tandem Adjustments Source'!AF60</f>
        <v>55.754398148148148</v>
      </c>
      <c r="Z59" s="55" t="str">
        <f>IF('All Tandem Adjustments Source'!E60&lt;1/24,TEXT('All Tandem Adjustments Source'!E60,"M:SS"),TEXT('All Tandem Adjustments Source'!E60,"H:MM:SS"))</f>
        <v>3:43</v>
      </c>
      <c r="AA59" s="55" t="str">
        <f>IF('All Tandem Adjustments Source'!I60&lt;1/24,TEXT('All Tandem Adjustments Source'!I60,"M:SS"),TEXT('All Tandem Adjustments Source'!I60,"H:MM:SS"))</f>
        <v>5:36</v>
      </c>
      <c r="AB59" s="55" t="str">
        <f>IF('All Tandem Adjustments Source'!M60&lt;1/24,TEXT('All Tandem Adjustments Source'!M60,"M:SS"),TEXT('All Tandem Adjustments Source'!M60,"H:MM:SS"))</f>
        <v>9:29</v>
      </c>
      <c r="AC59" s="55" t="str">
        <f>IF('All Tandem Adjustments Source'!Q60&lt;1/24,TEXT('All Tandem Adjustments Source'!Q60,"M:SS"),TEXT('All Tandem Adjustments Source'!Q60,"H:MM:SS"))</f>
        <v>11:27</v>
      </c>
      <c r="AD59" s="55" t="str">
        <f>IF('All Tandem Adjustments Source'!U60&lt;1/24,TEXT('All Tandem Adjustments Source'!U60,"M:SS"),TEXT('All Tandem Adjustments Source'!U60,"H:MM:SS"))</f>
        <v>19:40</v>
      </c>
      <c r="AE59" s="55" t="str">
        <f>IF('All Tandem Adjustments Source'!Y60&lt;1/24,TEXT('All Tandem Adjustments Source'!Y60,"M:SS"),TEXT('All Tandem Adjustments Source'!Y60,"H:MM:SS"))</f>
        <v>42:28</v>
      </c>
      <c r="AF59" s="56">
        <f>'All Tandem Adjustments Source'!AC60</f>
        <v>41.412800925925929</v>
      </c>
      <c r="AG59" s="56">
        <f>'All Tandem Adjustments Source'!AG60</f>
        <v>68.889594907407414</v>
      </c>
    </row>
    <row r="60" spans="1:33" x14ac:dyDescent="0.25">
      <c r="A60" s="17">
        <f>'All Tandem Adjustments Source'!A61</f>
        <v>67</v>
      </c>
      <c r="B60" s="53" t="str">
        <f>IF('All Tandem Adjustments Source'!B61&lt;1/24,TEXT('All Tandem Adjustments Source'!B61,"M:SS"),TEXT('All Tandem Adjustments Source'!B61,"H:MM:SS"))</f>
        <v>1:24</v>
      </c>
      <c r="C60" s="53" t="str">
        <f>IF('All Tandem Adjustments Source'!F61&lt;1/24,TEXT('All Tandem Adjustments Source'!F61,"M:SS"),TEXT('All Tandem Adjustments Source'!F61,"H:MM:SS"))</f>
        <v>2:08</v>
      </c>
      <c r="D60" s="53" t="str">
        <f>IF('All Tandem Adjustments Source'!J61&lt;1/24,TEXT('All Tandem Adjustments Source'!J61,"M:SS"),TEXT('All Tandem Adjustments Source'!J61,"H:MM:SS"))</f>
        <v>3:38</v>
      </c>
      <c r="E60" s="53" t="str">
        <f>IF('All Tandem Adjustments Source'!N61&lt;1/24,TEXT('All Tandem Adjustments Source'!N61,"M:SS"),TEXT('All Tandem Adjustments Source'!N61,"H:MM:SS"))</f>
        <v>4:26</v>
      </c>
      <c r="F60" s="53" t="str">
        <f>IF('All Tandem Adjustments Source'!R61&lt;1/24,TEXT('All Tandem Adjustments Source'!R61,"M:SS"),TEXT('All Tandem Adjustments Source'!R61,"H:MM:SS"))</f>
        <v>7:45</v>
      </c>
      <c r="G60" s="53" t="str">
        <f>IF('All Tandem Adjustments Source'!V61&lt;1/24,TEXT('All Tandem Adjustments Source'!V61,"M:SS"),TEXT('All Tandem Adjustments Source'!V61,"H:MM:SS"))</f>
        <v>17:35</v>
      </c>
      <c r="H60" s="54">
        <f>'All Tandem Adjustments Source'!Z61</f>
        <v>23.977199074074075</v>
      </c>
      <c r="I60" s="54">
        <f>'All Tandem Adjustments Source'!AD61</f>
        <v>47.034004629629628</v>
      </c>
      <c r="J60" s="57" t="str">
        <f>IF('All Tandem Adjustments Source'!C61&lt;1/24,TEXT('All Tandem Adjustments Source'!C61,"M:SS"),TEXT('All Tandem Adjustments Source'!C61,"H:MM:SS"))</f>
        <v>2:43</v>
      </c>
      <c r="K60" s="57" t="str">
        <f>IF('All Tandem Adjustments Source'!G61&lt;1/24,TEXT('All Tandem Adjustments Source'!G61,"M:SS"),TEXT('All Tandem Adjustments Source'!G61,"H:MM:SS"))</f>
        <v>4:06</v>
      </c>
      <c r="L60" s="57" t="str">
        <f>IF('All Tandem Adjustments Source'!K61&lt;1/24,TEXT('All Tandem Adjustments Source'!K61,"M:SS"),TEXT('All Tandem Adjustments Source'!K61,"H:MM:SS"))</f>
        <v>6:58</v>
      </c>
      <c r="M60" s="57" t="str">
        <f>IF('All Tandem Adjustments Source'!O61&lt;1/24,TEXT('All Tandem Adjustments Source'!O61,"M:SS"),TEXT('All Tandem Adjustments Source'!O61,"H:MM:SS"))</f>
        <v>8:26</v>
      </c>
      <c r="N60" s="57" t="str">
        <f>IF('All Tandem Adjustments Source'!S61&lt;1/24,TEXT('All Tandem Adjustments Source'!S61,"M:SS"),TEXT('All Tandem Adjustments Source'!S61,"H:MM:SS"))</f>
        <v>14:33</v>
      </c>
      <c r="O60" s="57" t="str">
        <f>IF('All Tandem Adjustments Source'!W61&lt;1/24,TEXT('All Tandem Adjustments Source'!W61,"M:SS"),TEXT('All Tandem Adjustments Source'!W61,"H:MM:SS"))</f>
        <v>31:52</v>
      </c>
      <c r="P60" s="58">
        <f>'All Tandem Adjustments Source'!AA61</f>
        <v>34.741203703703704</v>
      </c>
      <c r="Q60" s="58">
        <f>'All Tandem Adjustments Source'!AE61</f>
        <v>60.74640046296296</v>
      </c>
      <c r="R60" s="50" t="str">
        <f>IF('All Tandem Adjustments Source'!D61&lt;1/24,TEXT('All Tandem Adjustments Source'!D61,"M:SS"),TEXT('All Tandem Adjustments Source'!D61,"H:MM:SS"))</f>
        <v>2:27</v>
      </c>
      <c r="S60" s="50" t="str">
        <f>IF('All Tandem Adjustments Source'!H61&lt;1/24,TEXT('All Tandem Adjustments Source'!H61,"M:SS"),TEXT('All Tandem Adjustments Source'!H61,"H:MM:SS"))</f>
        <v>3:42</v>
      </c>
      <c r="T60" s="50" t="str">
        <f>IF('All Tandem Adjustments Source'!L61&lt;1/24,TEXT('All Tandem Adjustments Source'!L61,"M:SS"),TEXT('All Tandem Adjustments Source'!L61,"H:MM:SS"))</f>
        <v>6:17</v>
      </c>
      <c r="U60" s="50" t="str">
        <f>IF('All Tandem Adjustments Source'!P61&lt;1/24,TEXT('All Tandem Adjustments Source'!P61,"M:SS"),TEXT('All Tandem Adjustments Source'!P61,"H:MM:SS"))</f>
        <v>7:37</v>
      </c>
      <c r="V60" s="50" t="str">
        <f>IF('All Tandem Adjustments Source'!T61&lt;1/24,TEXT('All Tandem Adjustments Source'!T61,"M:SS"),TEXT('All Tandem Adjustments Source'!T61,"H:MM:SS"))</f>
        <v>13:09</v>
      </c>
      <c r="W60" s="50" t="str">
        <f>IF('All Tandem Adjustments Source'!X61&lt;1/24,TEXT('All Tandem Adjustments Source'!X61,"M:SS"),TEXT('All Tandem Adjustments Source'!X61,"H:MM:SS"))</f>
        <v>28:56</v>
      </c>
      <c r="X60" s="51">
        <f>'All Tandem Adjustments Source'!AB61</f>
        <v>32.682002314814817</v>
      </c>
      <c r="Y60" s="51">
        <f>'All Tandem Adjustments Source'!AF61</f>
        <v>58.078796296296296</v>
      </c>
      <c r="Z60" s="55" t="str">
        <f>IF('All Tandem Adjustments Source'!E61&lt;1/24,TEXT('All Tandem Adjustments Source'!E61,"M:SS"),TEXT('All Tandem Adjustments Source'!E61,"H:MM:SS"))</f>
        <v>3:53</v>
      </c>
      <c r="AA60" s="55" t="str">
        <f>IF('All Tandem Adjustments Source'!I61&lt;1/24,TEXT('All Tandem Adjustments Source'!I61,"M:SS"),TEXT('All Tandem Adjustments Source'!I61,"H:MM:SS"))</f>
        <v>5:52</v>
      </c>
      <c r="AB60" s="55" t="str">
        <f>IF('All Tandem Adjustments Source'!M61&lt;1/24,TEXT('All Tandem Adjustments Source'!M61,"M:SS"),TEXT('All Tandem Adjustments Source'!M61,"H:MM:SS"))</f>
        <v>9:56</v>
      </c>
      <c r="AC60" s="55" t="str">
        <f>IF('All Tandem Adjustments Source'!Q61&lt;1/24,TEXT('All Tandem Adjustments Source'!Q61,"M:SS"),TEXT('All Tandem Adjustments Source'!Q61,"H:MM:SS"))</f>
        <v>12:00</v>
      </c>
      <c r="AD60" s="55" t="str">
        <f>IF('All Tandem Adjustments Source'!U61&lt;1/24,TEXT('All Tandem Adjustments Source'!U61,"M:SS"),TEXT('All Tandem Adjustments Source'!U61,"H:MM:SS"))</f>
        <v>20:36</v>
      </c>
      <c r="AE60" s="55" t="str">
        <f>IF('All Tandem Adjustments Source'!Y61&lt;1/24,TEXT('All Tandem Adjustments Source'!Y61,"M:SS"),TEXT('All Tandem Adjustments Source'!Y61,"H:MM:SS"))</f>
        <v>44:35</v>
      </c>
      <c r="AF60" s="56">
        <f>'All Tandem Adjustments Source'!AC61</f>
        <v>42.92079861111111</v>
      </c>
      <c r="AG60" s="56">
        <f>'All Tandem Adjustments Source'!AG61</f>
        <v>71.577997685185181</v>
      </c>
    </row>
    <row r="61" spans="1:33" x14ac:dyDescent="0.25">
      <c r="A61" s="17">
        <f>'All Tandem Adjustments Source'!A62</f>
        <v>68</v>
      </c>
      <c r="B61" s="53" t="str">
        <f>IF('All Tandem Adjustments Source'!B62&lt;1/24,TEXT('All Tandem Adjustments Source'!B62,"M:SS"),TEXT('All Tandem Adjustments Source'!B62,"H:MM:SS"))</f>
        <v>1:30</v>
      </c>
      <c r="C61" s="53" t="str">
        <f>IF('All Tandem Adjustments Source'!F62&lt;1/24,TEXT('All Tandem Adjustments Source'!F62,"M:SS"),TEXT('All Tandem Adjustments Source'!F62,"H:MM:SS"))</f>
        <v>2:16</v>
      </c>
      <c r="D61" s="53" t="str">
        <f>IF('All Tandem Adjustments Source'!J62&lt;1/24,TEXT('All Tandem Adjustments Source'!J62,"M:SS"),TEXT('All Tandem Adjustments Source'!J62,"H:MM:SS"))</f>
        <v>3:53</v>
      </c>
      <c r="E61" s="53" t="str">
        <f>IF('All Tandem Adjustments Source'!N62&lt;1/24,TEXT('All Tandem Adjustments Source'!N62,"M:SS"),TEXT('All Tandem Adjustments Source'!N62,"H:MM:SS"))</f>
        <v>4:43</v>
      </c>
      <c r="F61" s="53" t="str">
        <f>IF('All Tandem Adjustments Source'!R62&lt;1/24,TEXT('All Tandem Adjustments Source'!R62,"M:SS"),TEXT('All Tandem Adjustments Source'!R62,"H:MM:SS"))</f>
        <v>8:15</v>
      </c>
      <c r="G61" s="53" t="str">
        <f>IF('All Tandem Adjustments Source'!V62&lt;1/24,TEXT('All Tandem Adjustments Source'!V62,"M:SS"),TEXT('All Tandem Adjustments Source'!V62,"H:MM:SS"))</f>
        <v>18:46</v>
      </c>
      <c r="H61" s="54">
        <f>'All Tandem Adjustments Source'!Z62</f>
        <v>25.308402777777779</v>
      </c>
      <c r="I61" s="54">
        <f>'All Tandem Adjustments Source'!AD62</f>
        <v>49.607997685185182</v>
      </c>
      <c r="J61" s="57" t="str">
        <f>IF('All Tandem Adjustments Source'!C62&lt;1/24,TEXT('All Tandem Adjustments Source'!C62,"M:SS"),TEXT('All Tandem Adjustments Source'!C62,"H:MM:SS"))</f>
        <v>2:53</v>
      </c>
      <c r="K61" s="57" t="str">
        <f>IF('All Tandem Adjustments Source'!G62&lt;1/24,TEXT('All Tandem Adjustments Source'!G62,"M:SS"),TEXT('All Tandem Adjustments Source'!G62,"H:MM:SS"))</f>
        <v>4:22</v>
      </c>
      <c r="L61" s="57" t="str">
        <f>IF('All Tandem Adjustments Source'!K62&lt;1/24,TEXT('All Tandem Adjustments Source'!K62,"M:SS"),TEXT('All Tandem Adjustments Source'!K62,"H:MM:SS"))</f>
        <v>7:25</v>
      </c>
      <c r="M61" s="57" t="str">
        <f>IF('All Tandem Adjustments Source'!O62&lt;1/24,TEXT('All Tandem Adjustments Source'!O62,"M:SS"),TEXT('All Tandem Adjustments Source'!O62,"H:MM:SS"))</f>
        <v>8:59</v>
      </c>
      <c r="N61" s="57" t="str">
        <f>IF('All Tandem Adjustments Source'!S62&lt;1/24,TEXT('All Tandem Adjustments Source'!S62,"M:SS"),TEXT('All Tandem Adjustments Source'!S62,"H:MM:SS"))</f>
        <v>15:30</v>
      </c>
      <c r="O61" s="57" t="str">
        <f>IF('All Tandem Adjustments Source'!W62&lt;1/24,TEXT('All Tandem Adjustments Source'!W62,"M:SS"),TEXT('All Tandem Adjustments Source'!W62,"H:MM:SS"))</f>
        <v>33:59</v>
      </c>
      <c r="P61" s="58">
        <f>'All Tandem Adjustments Source'!AA62</f>
        <v>36.462395833333332</v>
      </c>
      <c r="Q61" s="58">
        <f>'All Tandem Adjustments Source'!AE62</f>
        <v>63.752002314814817</v>
      </c>
      <c r="R61" s="50" t="str">
        <f>IF('All Tandem Adjustments Source'!D62&lt;1/24,TEXT('All Tandem Adjustments Source'!D62,"M:SS"),TEXT('All Tandem Adjustments Source'!D62,"H:MM:SS"))</f>
        <v>2:33</v>
      </c>
      <c r="S61" s="50" t="str">
        <f>IF('All Tandem Adjustments Source'!H62&lt;1/24,TEXT('All Tandem Adjustments Source'!H62,"M:SS"),TEXT('All Tandem Adjustments Source'!H62,"H:MM:SS"))</f>
        <v>3:51</v>
      </c>
      <c r="T61" s="50" t="str">
        <f>IF('All Tandem Adjustments Source'!L62&lt;1/24,TEXT('All Tandem Adjustments Source'!L62,"M:SS"),TEXT('All Tandem Adjustments Source'!L62,"H:MM:SS"))</f>
        <v>6:33</v>
      </c>
      <c r="U61" s="50" t="str">
        <f>IF('All Tandem Adjustments Source'!P62&lt;1/24,TEXT('All Tandem Adjustments Source'!P62,"M:SS"),TEXT('All Tandem Adjustments Source'!P62,"H:MM:SS"))</f>
        <v>7:56</v>
      </c>
      <c r="V61" s="50" t="str">
        <f>IF('All Tandem Adjustments Source'!T62&lt;1/24,TEXT('All Tandem Adjustments Source'!T62,"M:SS"),TEXT('All Tandem Adjustments Source'!T62,"H:MM:SS"))</f>
        <v>13:43</v>
      </c>
      <c r="W61" s="50" t="str">
        <f>IF('All Tandem Adjustments Source'!X62&lt;1/24,TEXT('All Tandem Adjustments Source'!X62,"M:SS"),TEXT('All Tandem Adjustments Source'!X62,"H:MM:SS"))</f>
        <v>30:14</v>
      </c>
      <c r="X61" s="51">
        <f>'All Tandem Adjustments Source'!AB62</f>
        <v>33.898796296296297</v>
      </c>
      <c r="Y61" s="51">
        <f>'All Tandem Adjustments Source'!AF62</f>
        <v>60.45</v>
      </c>
      <c r="Z61" s="55" t="str">
        <f>IF('All Tandem Adjustments Source'!E62&lt;1/24,TEXT('All Tandem Adjustments Source'!E62,"M:SS"),TEXT('All Tandem Adjustments Source'!E62,"H:MM:SS"))</f>
        <v>4:04</v>
      </c>
      <c r="AA61" s="55" t="str">
        <f>IF('All Tandem Adjustments Source'!I62&lt;1/24,TEXT('All Tandem Adjustments Source'!I62,"M:SS"),TEXT('All Tandem Adjustments Source'!I62,"H:MM:SS"))</f>
        <v>6:10</v>
      </c>
      <c r="AB61" s="55" t="str">
        <f>IF('All Tandem Adjustments Source'!M62&lt;1/24,TEXT('All Tandem Adjustments Source'!M62,"M:SS"),TEXT('All Tandem Adjustments Source'!M62,"H:MM:SS"))</f>
        <v>10:25</v>
      </c>
      <c r="AC61" s="55" t="str">
        <f>IF('All Tandem Adjustments Source'!Q62&lt;1/24,TEXT('All Tandem Adjustments Source'!Q62,"M:SS"),TEXT('All Tandem Adjustments Source'!Q62,"H:MM:SS"))</f>
        <v>12:36</v>
      </c>
      <c r="AD61" s="55" t="str">
        <f>IF('All Tandem Adjustments Source'!U62&lt;1/24,TEXT('All Tandem Adjustments Source'!U62,"M:SS"),TEXT('All Tandem Adjustments Source'!U62,"H:MM:SS"))</f>
        <v>21:38</v>
      </c>
      <c r="AE61" s="55" t="str">
        <f>IF('All Tandem Adjustments Source'!Y62&lt;1/24,TEXT('All Tandem Adjustments Source'!Y62,"M:SS"),TEXT('All Tandem Adjustments Source'!Y62,"H:MM:SS"))</f>
        <v>46:54</v>
      </c>
      <c r="AF61" s="56">
        <f>'All Tandem Adjustments Source'!AC62</f>
        <v>44.517199074074071</v>
      </c>
      <c r="AG61" s="56">
        <f>'All Tandem Adjustments Source'!AG62</f>
        <v>74.385995370370367</v>
      </c>
    </row>
    <row r="62" spans="1:33" x14ac:dyDescent="0.25">
      <c r="A62" s="17">
        <f>'All Tandem Adjustments Source'!A63</f>
        <v>69</v>
      </c>
      <c r="B62" s="53" t="str">
        <f>IF('All Tandem Adjustments Source'!B63&lt;1/24,TEXT('All Tandem Adjustments Source'!B63,"M:SS"),TEXT('All Tandem Adjustments Source'!B63,"H:MM:SS"))</f>
        <v>1:36</v>
      </c>
      <c r="C62" s="53" t="str">
        <f>IF('All Tandem Adjustments Source'!F63&lt;1/24,TEXT('All Tandem Adjustments Source'!F63,"M:SS"),TEXT('All Tandem Adjustments Source'!F63,"H:MM:SS"))</f>
        <v>2:25</v>
      </c>
      <c r="D62" s="53" t="str">
        <f>IF('All Tandem Adjustments Source'!J63&lt;1/24,TEXT('All Tandem Adjustments Source'!J63,"M:SS"),TEXT('All Tandem Adjustments Source'!J63,"H:MM:SS"))</f>
        <v>4:08</v>
      </c>
      <c r="E62" s="53" t="str">
        <f>IF('All Tandem Adjustments Source'!N63&lt;1/24,TEXT('All Tandem Adjustments Source'!N63,"M:SS"),TEXT('All Tandem Adjustments Source'!N63,"H:MM:SS"))</f>
        <v>5:01</v>
      </c>
      <c r="F62" s="53" t="str">
        <f>IF('All Tandem Adjustments Source'!R63&lt;1/24,TEXT('All Tandem Adjustments Source'!R63,"M:SS"),TEXT('All Tandem Adjustments Source'!R63,"H:MM:SS"))</f>
        <v>8:47</v>
      </c>
      <c r="G62" s="53" t="str">
        <f>IF('All Tandem Adjustments Source'!V63&lt;1/24,TEXT('All Tandem Adjustments Source'!V63,"M:SS"),TEXT('All Tandem Adjustments Source'!V63,"H:MM:SS"))</f>
        <v>20:00</v>
      </c>
      <c r="H62" s="54">
        <f>'All Tandem Adjustments Source'!Z63</f>
        <v>26.67079861111111</v>
      </c>
      <c r="I62" s="54">
        <f>'All Tandem Adjustments Source'!AD63</f>
        <v>52.234004629629631</v>
      </c>
      <c r="J62" s="57" t="str">
        <f>IF('All Tandem Adjustments Source'!C63&lt;1/24,TEXT('All Tandem Adjustments Source'!C63,"M:SS"),TEXT('All Tandem Adjustments Source'!C63,"H:MM:SS"))</f>
        <v>3:00</v>
      </c>
      <c r="K62" s="57" t="str">
        <f>IF('All Tandem Adjustments Source'!G63&lt;1/24,TEXT('All Tandem Adjustments Source'!G63,"M:SS"),TEXT('All Tandem Adjustments Source'!G63,"H:MM:SS"))</f>
        <v>4:33</v>
      </c>
      <c r="L62" s="57" t="str">
        <f>IF('All Tandem Adjustments Source'!K63&lt;1/24,TEXT('All Tandem Adjustments Source'!K63,"M:SS"),TEXT('All Tandem Adjustments Source'!K63,"H:MM:SS"))</f>
        <v>7:42</v>
      </c>
      <c r="M62" s="57" t="str">
        <f>IF('All Tandem Adjustments Source'!O63&lt;1/24,TEXT('All Tandem Adjustments Source'!O63,"M:SS"),TEXT('All Tandem Adjustments Source'!O63,"H:MM:SS"))</f>
        <v>9:20</v>
      </c>
      <c r="N62" s="57" t="str">
        <f>IF('All Tandem Adjustments Source'!S63&lt;1/24,TEXT('All Tandem Adjustments Source'!S63,"M:SS"),TEXT('All Tandem Adjustments Source'!S63,"H:MM:SS"))</f>
        <v>16:07</v>
      </c>
      <c r="O62" s="57" t="str">
        <f>IF('All Tandem Adjustments Source'!W63&lt;1/24,TEXT('All Tandem Adjustments Source'!W63,"M:SS"),TEXT('All Tandem Adjustments Source'!W63,"H:MM:SS"))</f>
        <v>35:24</v>
      </c>
      <c r="P62" s="58">
        <f>'All Tandem Adjustments Source'!AA63</f>
        <v>37.705196759259259</v>
      </c>
      <c r="Q62" s="58">
        <f>'All Tandem Adjustments Source'!AE63</f>
        <v>66.149201388888883</v>
      </c>
      <c r="R62" s="50" t="str">
        <f>IF('All Tandem Adjustments Source'!D63&lt;1/24,TEXT('All Tandem Adjustments Source'!D63,"M:SS"),TEXT('All Tandem Adjustments Source'!D63,"H:MM:SS"))</f>
        <v>2:39</v>
      </c>
      <c r="S62" s="50" t="str">
        <f>IF('All Tandem Adjustments Source'!H63&lt;1/24,TEXT('All Tandem Adjustments Source'!H63,"M:SS"),TEXT('All Tandem Adjustments Source'!H63,"H:MM:SS"))</f>
        <v>4:01</v>
      </c>
      <c r="T62" s="50" t="str">
        <f>IF('All Tandem Adjustments Source'!L63&lt;1/24,TEXT('All Tandem Adjustments Source'!L63,"M:SS"),TEXT('All Tandem Adjustments Source'!L63,"H:MM:SS"))</f>
        <v>6:49</v>
      </c>
      <c r="U62" s="50" t="str">
        <f>IF('All Tandem Adjustments Source'!P63&lt;1/24,TEXT('All Tandem Adjustments Source'!P63,"M:SS"),TEXT('All Tandem Adjustments Source'!P63,"H:MM:SS"))</f>
        <v>8:15</v>
      </c>
      <c r="V62" s="50" t="str">
        <f>IF('All Tandem Adjustments Source'!T63&lt;1/24,TEXT('All Tandem Adjustments Source'!T63,"M:SS"),TEXT('All Tandem Adjustments Source'!T63,"H:MM:SS"))</f>
        <v>14:18</v>
      </c>
      <c r="W62" s="50" t="str">
        <f>IF('All Tandem Adjustments Source'!X63&lt;1/24,TEXT('All Tandem Adjustments Source'!X63,"M:SS"),TEXT('All Tandem Adjustments Source'!X63,"H:MM:SS"))</f>
        <v>31:35</v>
      </c>
      <c r="X62" s="51">
        <f>'All Tandem Adjustments Source'!AB63</f>
        <v>35.146805555555552</v>
      </c>
      <c r="Y62" s="51">
        <f>'All Tandem Adjustments Source'!AF63</f>
        <v>62.862800925925924</v>
      </c>
      <c r="Z62" s="55" t="str">
        <f>IF('All Tandem Adjustments Source'!E63&lt;1/24,TEXT('All Tandem Adjustments Source'!E63,"M:SS"),TEXT('All Tandem Adjustments Source'!E63,"H:MM:SS"))</f>
        <v>4:12</v>
      </c>
      <c r="AA62" s="55" t="str">
        <f>IF('All Tandem Adjustments Source'!I63&lt;1/24,TEXT('All Tandem Adjustments Source'!I63,"M:SS"),TEXT('All Tandem Adjustments Source'!I63,"H:MM:SS"))</f>
        <v>6:21</v>
      </c>
      <c r="AB62" s="55" t="str">
        <f>IF('All Tandem Adjustments Source'!M63&lt;1/24,TEXT('All Tandem Adjustments Source'!M63,"M:SS"),TEXT('All Tandem Adjustments Source'!M63,"H:MM:SS"))</f>
        <v>10:44</v>
      </c>
      <c r="AC62" s="55" t="str">
        <f>IF('All Tandem Adjustments Source'!Q63&lt;1/24,TEXT('All Tandem Adjustments Source'!Q63,"M:SS"),TEXT('All Tandem Adjustments Source'!Q63,"H:MM:SS"))</f>
        <v>12:59</v>
      </c>
      <c r="AD62" s="55" t="str">
        <f>IF('All Tandem Adjustments Source'!U63&lt;1/24,TEXT('All Tandem Adjustments Source'!U63,"M:SS"),TEXT('All Tandem Adjustments Source'!U63,"H:MM:SS"))</f>
        <v>22:19</v>
      </c>
      <c r="AE62" s="55" t="str">
        <f>IF('All Tandem Adjustments Source'!Y63&lt;1/24,TEXT('All Tandem Adjustments Source'!Y63,"M:SS"),TEXT('All Tandem Adjustments Source'!Y63,"H:MM:SS"))</f>
        <v>48:28</v>
      </c>
      <c r="AF62" s="56">
        <f>'All Tandem Adjustments Source'!AC63</f>
        <v>45.65599537037037</v>
      </c>
      <c r="AG62" s="56">
        <f>'All Tandem Adjustments Source'!AG63</f>
        <v>76.585601851851848</v>
      </c>
    </row>
    <row r="63" spans="1:33" x14ac:dyDescent="0.25">
      <c r="A63" s="17">
        <f>'All Tandem Adjustments Source'!A64</f>
        <v>70</v>
      </c>
      <c r="B63" s="53" t="str">
        <f>IF('All Tandem Adjustments Source'!B64&lt;1/24,TEXT('All Tandem Adjustments Source'!B64,"M:SS"),TEXT('All Tandem Adjustments Source'!B64,"H:MM:SS"))</f>
        <v>1:41</v>
      </c>
      <c r="C63" s="53" t="str">
        <f>IF('All Tandem Adjustments Source'!F64&lt;1/24,TEXT('All Tandem Adjustments Source'!F64,"M:SS"),TEXT('All Tandem Adjustments Source'!F64,"H:MM:SS"))</f>
        <v>2:34</v>
      </c>
      <c r="D63" s="53" t="str">
        <f>IF('All Tandem Adjustments Source'!J64&lt;1/24,TEXT('All Tandem Adjustments Source'!J64,"M:SS"),TEXT('All Tandem Adjustments Source'!J64,"H:MM:SS"))</f>
        <v>4:23</v>
      </c>
      <c r="E63" s="53" t="str">
        <f>IF('All Tandem Adjustments Source'!N64&lt;1/24,TEXT('All Tandem Adjustments Source'!N64,"M:SS"),TEXT('All Tandem Adjustments Source'!N64,"H:MM:SS"))</f>
        <v>5:20</v>
      </c>
      <c r="F63" s="53" t="str">
        <f>IF('All Tandem Adjustments Source'!R64&lt;1/24,TEXT('All Tandem Adjustments Source'!R64,"M:SS"),TEXT('All Tandem Adjustments Source'!R64,"H:MM:SS"))</f>
        <v>9:20</v>
      </c>
      <c r="G63" s="53" t="str">
        <f>IF('All Tandem Adjustments Source'!V64&lt;1/24,TEXT('All Tandem Adjustments Source'!V64,"M:SS"),TEXT('All Tandem Adjustments Source'!V64,"H:MM:SS"))</f>
        <v>21:17</v>
      </c>
      <c r="H63" s="54">
        <f>'All Tandem Adjustments Source'!Z64</f>
        <v>28.059201388888887</v>
      </c>
      <c r="I63" s="54">
        <f>'All Tandem Adjustments Source'!AD64</f>
        <v>54.912002314814814</v>
      </c>
      <c r="J63" s="57" t="str">
        <f>IF('All Tandem Adjustments Source'!C64&lt;1/24,TEXT('All Tandem Adjustments Source'!C64,"M:SS"),TEXT('All Tandem Adjustments Source'!C64,"H:MM:SS"))</f>
        <v>3:07</v>
      </c>
      <c r="K63" s="57" t="str">
        <f>IF('All Tandem Adjustments Source'!G64&lt;1/24,TEXT('All Tandem Adjustments Source'!G64,"M:SS"),TEXT('All Tandem Adjustments Source'!G64,"H:MM:SS"))</f>
        <v>4:43</v>
      </c>
      <c r="L63" s="57" t="str">
        <f>IF('All Tandem Adjustments Source'!K64&lt;1/24,TEXT('All Tandem Adjustments Source'!K64,"M:SS"),TEXT('All Tandem Adjustments Source'!K64,"H:MM:SS"))</f>
        <v>8:00</v>
      </c>
      <c r="M63" s="57" t="str">
        <f>IF('All Tandem Adjustments Source'!O64&lt;1/24,TEXT('All Tandem Adjustments Source'!O64,"M:SS"),TEXT('All Tandem Adjustments Source'!O64,"H:MM:SS"))</f>
        <v>9:41</v>
      </c>
      <c r="N63" s="57" t="str">
        <f>IF('All Tandem Adjustments Source'!S64&lt;1/24,TEXT('All Tandem Adjustments Source'!S64,"M:SS"),TEXT('All Tandem Adjustments Source'!S64,"H:MM:SS"))</f>
        <v>16:44</v>
      </c>
      <c r="O63" s="57" t="str">
        <f>IF('All Tandem Adjustments Source'!W64&lt;1/24,TEXT('All Tandem Adjustments Source'!W64,"M:SS"),TEXT('All Tandem Adjustments Source'!W64,"H:MM:SS"))</f>
        <v>36:51</v>
      </c>
      <c r="P63" s="58">
        <f>'All Tandem Adjustments Source'!AA64</f>
        <v>38.937604166666667</v>
      </c>
      <c r="Q63" s="58">
        <f>'All Tandem Adjustments Source'!AE64</f>
        <v>68.546400462962964</v>
      </c>
      <c r="R63" s="50" t="str">
        <f>IF('All Tandem Adjustments Source'!D64&lt;1/24,TEXT('All Tandem Adjustments Source'!D64,"M:SS"),TEXT('All Tandem Adjustments Source'!D64,"H:MM:SS"))</f>
        <v>2:46</v>
      </c>
      <c r="S63" s="50" t="str">
        <f>IF('All Tandem Adjustments Source'!H64&lt;1/24,TEXT('All Tandem Adjustments Source'!H64,"M:SS"),TEXT('All Tandem Adjustments Source'!H64,"H:MM:SS"))</f>
        <v>4:11</v>
      </c>
      <c r="T63" s="50" t="str">
        <f>IF('All Tandem Adjustments Source'!L64&lt;1/24,TEXT('All Tandem Adjustments Source'!L64,"M:SS"),TEXT('All Tandem Adjustments Source'!L64,"H:MM:SS"))</f>
        <v>7:06</v>
      </c>
      <c r="U63" s="50" t="str">
        <f>IF('All Tandem Adjustments Source'!P64&lt;1/24,TEXT('All Tandem Adjustments Source'!P64,"M:SS"),TEXT('All Tandem Adjustments Source'!P64,"H:MM:SS"))</f>
        <v>8:36</v>
      </c>
      <c r="V63" s="50" t="str">
        <f>IF('All Tandem Adjustments Source'!T64&lt;1/24,TEXT('All Tandem Adjustments Source'!T64,"M:SS"),TEXT('All Tandem Adjustments Source'!T64,"H:MM:SS"))</f>
        <v>14:54</v>
      </c>
      <c r="W63" s="50" t="str">
        <f>IF('All Tandem Adjustments Source'!X64&lt;1/24,TEXT('All Tandem Adjustments Source'!X64,"M:SS"),TEXT('All Tandem Adjustments Source'!X64,"H:MM:SS"))</f>
        <v>33:00</v>
      </c>
      <c r="X63" s="51">
        <f>'All Tandem Adjustments Source'!AB64</f>
        <v>36.415601851851854</v>
      </c>
      <c r="Y63" s="51">
        <f>'All Tandem Adjustments Source'!AF64</f>
        <v>65.32760416666666</v>
      </c>
      <c r="Z63" s="55" t="str">
        <f>IF('All Tandem Adjustments Source'!E64&lt;1/24,TEXT('All Tandem Adjustments Source'!E64,"M:SS"),TEXT('All Tandem Adjustments Source'!E64,"H:MM:SS"))</f>
        <v>4:19</v>
      </c>
      <c r="AA63" s="55" t="str">
        <f>IF('All Tandem Adjustments Source'!I64&lt;1/24,TEXT('All Tandem Adjustments Source'!I64,"M:SS"),TEXT('All Tandem Adjustments Source'!I64,"H:MM:SS"))</f>
        <v>6:32</v>
      </c>
      <c r="AB63" s="55" t="str">
        <f>IF('All Tandem Adjustments Source'!M64&lt;1/24,TEXT('All Tandem Adjustments Source'!M64,"M:SS"),TEXT('All Tandem Adjustments Source'!M64,"H:MM:SS"))</f>
        <v>11:03</v>
      </c>
      <c r="AC63" s="55" t="str">
        <f>IF('All Tandem Adjustments Source'!Q64&lt;1/24,TEXT('All Tandem Adjustments Source'!Q64,"M:SS"),TEXT('All Tandem Adjustments Source'!Q64,"H:MM:SS"))</f>
        <v>13:22</v>
      </c>
      <c r="AD63" s="55" t="str">
        <f>IF('All Tandem Adjustments Source'!U64&lt;1/24,TEXT('All Tandem Adjustments Source'!U64,"M:SS"),TEXT('All Tandem Adjustments Source'!U64,"H:MM:SS"))</f>
        <v>23:00</v>
      </c>
      <c r="AE63" s="55" t="str">
        <f>IF('All Tandem Adjustments Source'!Y64&lt;1/24,TEXT('All Tandem Adjustments Source'!Y64,"M:SS"),TEXT('All Tandem Adjustments Source'!Y64,"H:MM:SS"))</f>
        <v>50:03</v>
      </c>
      <c r="AF63" s="56">
        <f>'All Tandem Adjustments Source'!AC64</f>
        <v>46.784398148148149</v>
      </c>
      <c r="AG63" s="56">
        <f>'All Tandem Adjustments Source'!AG64</f>
        <v>78.790405092592593</v>
      </c>
    </row>
    <row r="64" spans="1:33" x14ac:dyDescent="0.25">
      <c r="A64" s="17">
        <f>'All Tandem Adjustments Source'!A65</f>
        <v>71</v>
      </c>
      <c r="B64" s="53" t="str">
        <f>IF('All Tandem Adjustments Source'!B65&lt;1/24,TEXT('All Tandem Adjustments Source'!B65,"M:SS"),TEXT('All Tandem Adjustments Source'!B65,"H:MM:SS"))</f>
        <v>1:48</v>
      </c>
      <c r="C64" s="53" t="str">
        <f>IF('All Tandem Adjustments Source'!F65&lt;1/24,TEXT('All Tandem Adjustments Source'!F65,"M:SS"),TEXT('All Tandem Adjustments Source'!F65,"H:MM:SS"))</f>
        <v>2:43</v>
      </c>
      <c r="D64" s="53" t="str">
        <f>IF('All Tandem Adjustments Source'!J65&lt;1/24,TEXT('All Tandem Adjustments Source'!J65,"M:SS"),TEXT('All Tandem Adjustments Source'!J65,"H:MM:SS"))</f>
        <v>4:39</v>
      </c>
      <c r="E64" s="53" t="str">
        <f>IF('All Tandem Adjustments Source'!N65&lt;1/24,TEXT('All Tandem Adjustments Source'!N65,"M:SS"),TEXT('All Tandem Adjustments Source'!N65,"H:MM:SS"))</f>
        <v>5:39</v>
      </c>
      <c r="F64" s="53" t="str">
        <f>IF('All Tandem Adjustments Source'!R65&lt;1/24,TEXT('All Tandem Adjustments Source'!R65,"M:SS"),TEXT('All Tandem Adjustments Source'!R65,"H:MM:SS"))</f>
        <v>9:55</v>
      </c>
      <c r="G64" s="53" t="str">
        <f>IF('All Tandem Adjustments Source'!V65&lt;1/24,TEXT('All Tandem Adjustments Source'!V65,"M:SS"),TEXT('All Tandem Adjustments Source'!V65,"H:MM:SS"))</f>
        <v>22:37</v>
      </c>
      <c r="H64" s="54">
        <f>'All Tandem Adjustments Source'!Z65</f>
        <v>29.473599537037035</v>
      </c>
      <c r="I64" s="54">
        <f>'All Tandem Adjustments Source'!AD65</f>
        <v>57.631597222222226</v>
      </c>
      <c r="J64" s="57" t="str">
        <f>IF('All Tandem Adjustments Source'!C65&lt;1/24,TEXT('All Tandem Adjustments Source'!C65,"M:SS"),TEXT('All Tandem Adjustments Source'!C65,"H:MM:SS"))</f>
        <v>3:13</v>
      </c>
      <c r="K64" s="57" t="str">
        <f>IF('All Tandem Adjustments Source'!G65&lt;1/24,TEXT('All Tandem Adjustments Source'!G65,"M:SS"),TEXT('All Tandem Adjustments Source'!G65,"H:MM:SS"))</f>
        <v>4:53</v>
      </c>
      <c r="L64" s="57" t="str">
        <f>IF('All Tandem Adjustments Source'!K65&lt;1/24,TEXT('All Tandem Adjustments Source'!K65,"M:SS"),TEXT('All Tandem Adjustments Source'!K65,"H:MM:SS"))</f>
        <v>8:18</v>
      </c>
      <c r="M64" s="57" t="str">
        <f>IF('All Tandem Adjustments Source'!O65&lt;1/24,TEXT('All Tandem Adjustments Source'!O65,"M:SS"),TEXT('All Tandem Adjustments Source'!O65,"H:MM:SS"))</f>
        <v>10:03</v>
      </c>
      <c r="N64" s="57" t="str">
        <f>IF('All Tandem Adjustments Source'!S65&lt;1/24,TEXT('All Tandem Adjustments Source'!S65,"M:SS"),TEXT('All Tandem Adjustments Source'!S65,"H:MM:SS"))</f>
        <v>17:23</v>
      </c>
      <c r="O64" s="57" t="str">
        <f>IF('All Tandem Adjustments Source'!W65&lt;1/24,TEXT('All Tandem Adjustments Source'!W65,"M:SS"),TEXT('All Tandem Adjustments Source'!W65,"H:MM:SS"))</f>
        <v>38:23</v>
      </c>
      <c r="P64" s="58">
        <f>'All Tandem Adjustments Source'!AA65</f>
        <v>40.201203703703705</v>
      </c>
      <c r="Q64" s="58">
        <f>'All Tandem Adjustments Source'!AE65</f>
        <v>70.985196759259253</v>
      </c>
      <c r="R64" s="50" t="str">
        <f>IF('All Tandem Adjustments Source'!D65&lt;1/24,TEXT('All Tandem Adjustments Source'!D65,"M:SS"),TEXT('All Tandem Adjustments Source'!D65,"H:MM:SS"))</f>
        <v>2:52</v>
      </c>
      <c r="S64" s="50" t="str">
        <f>IF('All Tandem Adjustments Source'!H65&lt;1/24,TEXT('All Tandem Adjustments Source'!H65,"M:SS"),TEXT('All Tandem Adjustments Source'!H65,"H:MM:SS"))</f>
        <v>4:21</v>
      </c>
      <c r="T64" s="50" t="str">
        <f>IF('All Tandem Adjustments Source'!L65&lt;1/24,TEXT('All Tandem Adjustments Source'!L65,"M:SS"),TEXT('All Tandem Adjustments Source'!L65,"H:MM:SS"))</f>
        <v>7:24</v>
      </c>
      <c r="U64" s="50" t="str">
        <f>IF('All Tandem Adjustments Source'!P65&lt;1/24,TEXT('All Tandem Adjustments Source'!P65,"M:SS"),TEXT('All Tandem Adjustments Source'!P65,"H:MM:SS"))</f>
        <v>8:58</v>
      </c>
      <c r="V64" s="50" t="str">
        <f>IF('All Tandem Adjustments Source'!T65&lt;1/24,TEXT('All Tandem Adjustments Source'!T65,"M:SS"),TEXT('All Tandem Adjustments Source'!T65,"H:MM:SS"))</f>
        <v>15:32</v>
      </c>
      <c r="W64" s="50" t="str">
        <f>IF('All Tandem Adjustments Source'!X65&lt;1/24,TEXT('All Tandem Adjustments Source'!X65,"M:SS"),TEXT('All Tandem Adjustments Source'!X65,"H:MM:SS"))</f>
        <v>34:28</v>
      </c>
      <c r="X64" s="51">
        <f>'All Tandem Adjustments Source'!AB65</f>
        <v>37.715601851851851</v>
      </c>
      <c r="Y64" s="51">
        <f>'All Tandem Adjustments Source'!AF65</f>
        <v>67.834004629629632</v>
      </c>
      <c r="Z64" s="55" t="str">
        <f>IF('All Tandem Adjustments Source'!E65&lt;1/24,TEXT('All Tandem Adjustments Source'!E65,"M:SS"),TEXT('All Tandem Adjustments Source'!E65,"H:MM:SS"))</f>
        <v>4:26</v>
      </c>
      <c r="AA64" s="55" t="str">
        <f>IF('All Tandem Adjustments Source'!I65&lt;1/24,TEXT('All Tandem Adjustments Source'!I65,"M:SS"),TEXT('All Tandem Adjustments Source'!I65,"H:MM:SS"))</f>
        <v>6:43</v>
      </c>
      <c r="AB64" s="55" t="str">
        <f>IF('All Tandem Adjustments Source'!M65&lt;1/24,TEXT('All Tandem Adjustments Source'!M65,"M:SS"),TEXT('All Tandem Adjustments Source'!M65,"H:MM:SS"))</f>
        <v>11:23</v>
      </c>
      <c r="AC64" s="55" t="str">
        <f>IF('All Tandem Adjustments Source'!Q65&lt;1/24,TEXT('All Tandem Adjustments Source'!Q65,"M:SS"),TEXT('All Tandem Adjustments Source'!Q65,"H:MM:SS"))</f>
        <v>13:46</v>
      </c>
      <c r="AD64" s="55" t="str">
        <f>IF('All Tandem Adjustments Source'!U65&lt;1/24,TEXT('All Tandem Adjustments Source'!U65,"M:SS"),TEXT('All Tandem Adjustments Source'!U65,"H:MM:SS"))</f>
        <v>23:43</v>
      </c>
      <c r="AE64" s="55" t="str">
        <f>IF('All Tandem Adjustments Source'!Y65&lt;1/24,TEXT('All Tandem Adjustments Source'!Y65,"M:SS"),TEXT('All Tandem Adjustments Source'!Y65,"H:MM:SS"))</f>
        <v>51:43</v>
      </c>
      <c r="AF64" s="56">
        <f>'All Tandem Adjustments Source'!AC65</f>
        <v>47.938796296296296</v>
      </c>
      <c r="AG64" s="56">
        <f>'All Tandem Adjustments Source'!AG65</f>
        <v>81.03680555555556</v>
      </c>
    </row>
    <row r="65" spans="1:33" x14ac:dyDescent="0.25">
      <c r="A65" s="17">
        <f>'All Tandem Adjustments Source'!A66</f>
        <v>72</v>
      </c>
      <c r="B65" s="53" t="str">
        <f>IF('All Tandem Adjustments Source'!B66&lt;1/24,TEXT('All Tandem Adjustments Source'!B66,"M:SS"),TEXT('All Tandem Adjustments Source'!B66,"H:MM:SS"))</f>
        <v>1:54</v>
      </c>
      <c r="C65" s="53" t="str">
        <f>IF('All Tandem Adjustments Source'!F66&lt;1/24,TEXT('All Tandem Adjustments Source'!F66,"M:SS"),TEXT('All Tandem Adjustments Source'!F66,"H:MM:SS"))</f>
        <v>2:53</v>
      </c>
      <c r="D65" s="53" t="str">
        <f>IF('All Tandem Adjustments Source'!J66&lt;1/24,TEXT('All Tandem Adjustments Source'!J66,"M:SS"),TEXT('All Tandem Adjustments Source'!J66,"H:MM:SS"))</f>
        <v>4:56</v>
      </c>
      <c r="E65" s="53" t="str">
        <f>IF('All Tandem Adjustments Source'!N66&lt;1/24,TEXT('All Tandem Adjustments Source'!N66,"M:SS"),TEXT('All Tandem Adjustments Source'!N66,"H:MM:SS"))</f>
        <v>6:00</v>
      </c>
      <c r="F65" s="53" t="str">
        <f>IF('All Tandem Adjustments Source'!R66&lt;1/24,TEXT('All Tandem Adjustments Source'!R66,"M:SS"),TEXT('All Tandem Adjustments Source'!R66,"H:MM:SS"))</f>
        <v>10:31</v>
      </c>
      <c r="G65" s="53" t="str">
        <f>IF('All Tandem Adjustments Source'!V66&lt;1/24,TEXT('All Tandem Adjustments Source'!V66,"M:SS"),TEXT('All Tandem Adjustments Source'!V66,"H:MM:SS"))</f>
        <v>24:02</v>
      </c>
      <c r="H65" s="54">
        <f>'All Tandem Adjustments Source'!Z66</f>
        <v>30.91920138888889</v>
      </c>
      <c r="I65" s="54">
        <f>'All Tandem Adjustments Source'!AD66</f>
        <v>60.403194444444445</v>
      </c>
      <c r="J65" s="57" t="str">
        <f>IF('All Tandem Adjustments Source'!C66&lt;1/24,TEXT('All Tandem Adjustments Source'!C66,"M:SS"),TEXT('All Tandem Adjustments Source'!C66,"H:MM:SS"))</f>
        <v>3:21</v>
      </c>
      <c r="K65" s="57" t="str">
        <f>IF('All Tandem Adjustments Source'!G66&lt;1/24,TEXT('All Tandem Adjustments Source'!G66,"M:SS"),TEXT('All Tandem Adjustments Source'!G66,"H:MM:SS"))</f>
        <v>5:04</v>
      </c>
      <c r="L65" s="57" t="str">
        <f>IF('All Tandem Adjustments Source'!K66&lt;1/24,TEXT('All Tandem Adjustments Source'!K66,"M:SS"),TEXT('All Tandem Adjustments Source'!K66,"H:MM:SS"))</f>
        <v>8:36</v>
      </c>
      <c r="M65" s="57" t="str">
        <f>IF('All Tandem Adjustments Source'!O66&lt;1/24,TEXT('All Tandem Adjustments Source'!O66,"M:SS"),TEXT('All Tandem Adjustments Source'!O66,"H:MM:SS"))</f>
        <v>10:26</v>
      </c>
      <c r="N65" s="57" t="str">
        <f>IF('All Tandem Adjustments Source'!S66&lt;1/24,TEXT('All Tandem Adjustments Source'!S66,"M:SS"),TEXT('All Tandem Adjustments Source'!S66,"H:MM:SS"))</f>
        <v>18:03</v>
      </c>
      <c r="O65" s="57" t="str">
        <f>IF('All Tandem Adjustments Source'!W66&lt;1/24,TEXT('All Tandem Adjustments Source'!W66,"M:SS"),TEXT('All Tandem Adjustments Source'!W66,"H:MM:SS"))</f>
        <v>39:58</v>
      </c>
      <c r="P65" s="58">
        <f>'All Tandem Adjustments Source'!AA66</f>
        <v>41.485601851851854</v>
      </c>
      <c r="Q65" s="58">
        <f>'All Tandem Adjustments Source'!AE66</f>
        <v>73.47599537037037</v>
      </c>
      <c r="R65" s="50" t="str">
        <f>IF('All Tandem Adjustments Source'!D66&lt;1/24,TEXT('All Tandem Adjustments Source'!D66,"M:SS"),TEXT('All Tandem Adjustments Source'!D66,"H:MM:SS"))</f>
        <v>2:59</v>
      </c>
      <c r="S65" s="50" t="str">
        <f>IF('All Tandem Adjustments Source'!H66&lt;1/24,TEXT('All Tandem Adjustments Source'!H66,"M:SS"),TEXT('All Tandem Adjustments Source'!H66,"H:MM:SS"))</f>
        <v>4:32</v>
      </c>
      <c r="T65" s="50" t="str">
        <f>IF('All Tandem Adjustments Source'!L66&lt;1/24,TEXT('All Tandem Adjustments Source'!L66,"M:SS"),TEXT('All Tandem Adjustments Source'!L66,"H:MM:SS"))</f>
        <v>7:42</v>
      </c>
      <c r="U65" s="50" t="str">
        <f>IF('All Tandem Adjustments Source'!P66&lt;1/24,TEXT('All Tandem Adjustments Source'!P66,"M:SS"),TEXT('All Tandem Adjustments Source'!P66,"H:MM:SS"))</f>
        <v>9:20</v>
      </c>
      <c r="V65" s="50" t="str">
        <f>IF('All Tandem Adjustments Source'!T66&lt;1/24,TEXT('All Tandem Adjustments Source'!T66,"M:SS"),TEXT('All Tandem Adjustments Source'!T66,"H:MM:SS"))</f>
        <v>16:11</v>
      </c>
      <c r="W65" s="50" t="str">
        <f>IF('All Tandem Adjustments Source'!X66&lt;1/24,TEXT('All Tandem Adjustments Source'!X66,"M:SS"),TEXT('All Tandem Adjustments Source'!X66,"H:MM:SS"))</f>
        <v>36:00</v>
      </c>
      <c r="X65" s="51">
        <f>'All Tandem Adjustments Source'!AB66</f>
        <v>39.036400462962966</v>
      </c>
      <c r="Y65" s="51">
        <f>'All Tandem Adjustments Source'!AF66</f>
        <v>70.382002314814812</v>
      </c>
      <c r="Z65" s="55" t="str">
        <f>IF('All Tandem Adjustments Source'!E66&lt;1/24,TEXT('All Tandem Adjustments Source'!E66,"M:SS"),TEXT('All Tandem Adjustments Source'!E66,"H:MM:SS"))</f>
        <v>4:35</v>
      </c>
      <c r="AA65" s="55" t="str">
        <f>IF('All Tandem Adjustments Source'!I66&lt;1/24,TEXT('All Tandem Adjustments Source'!I66,"M:SS"),TEXT('All Tandem Adjustments Source'!I66,"H:MM:SS"))</f>
        <v>6:55</v>
      </c>
      <c r="AB65" s="55" t="str">
        <f>IF('All Tandem Adjustments Source'!M66&lt;1/24,TEXT('All Tandem Adjustments Source'!M66,"M:SS"),TEXT('All Tandem Adjustments Source'!M66,"H:MM:SS"))</f>
        <v>11:43</v>
      </c>
      <c r="AC65" s="55" t="str">
        <f>IF('All Tandem Adjustments Source'!Q66&lt;1/24,TEXT('All Tandem Adjustments Source'!Q66,"M:SS"),TEXT('All Tandem Adjustments Source'!Q66,"H:MM:SS"))</f>
        <v>14:12</v>
      </c>
      <c r="AD65" s="55" t="str">
        <f>IF('All Tandem Adjustments Source'!U66&lt;1/24,TEXT('All Tandem Adjustments Source'!U66,"M:SS"),TEXT('All Tandem Adjustments Source'!U66,"H:MM:SS"))</f>
        <v>24:27</v>
      </c>
      <c r="AE65" s="55" t="str">
        <f>IF('All Tandem Adjustments Source'!Y66&lt;1/24,TEXT('All Tandem Adjustments Source'!Y66,"M:SS"),TEXT('All Tandem Adjustments Source'!Y66,"H:MM:SS"))</f>
        <v>53:27</v>
      </c>
      <c r="AF65" s="56">
        <f>'All Tandem Adjustments Source'!AC66</f>
        <v>49.114004629629626</v>
      </c>
      <c r="AG65" s="56">
        <f>'All Tandem Adjustments Source'!AG66</f>
        <v>83.319594907407406</v>
      </c>
    </row>
    <row r="66" spans="1:33" x14ac:dyDescent="0.25">
      <c r="A66" s="17">
        <f>'All Tandem Adjustments Source'!A67</f>
        <v>73</v>
      </c>
      <c r="B66" s="53" t="str">
        <f>IF('All Tandem Adjustments Source'!B67&lt;1/24,TEXT('All Tandem Adjustments Source'!B67,"M:SS"),TEXT('All Tandem Adjustments Source'!B67,"H:MM:SS"))</f>
        <v>2:00</v>
      </c>
      <c r="C66" s="53" t="str">
        <f>IF('All Tandem Adjustments Source'!F67&lt;1/24,TEXT('All Tandem Adjustments Source'!F67,"M:SS"),TEXT('All Tandem Adjustments Source'!F67,"H:MM:SS"))</f>
        <v>3:03</v>
      </c>
      <c r="D66" s="53" t="str">
        <f>IF('All Tandem Adjustments Source'!J67&lt;1/24,TEXT('All Tandem Adjustments Source'!J67,"M:SS"),TEXT('All Tandem Adjustments Source'!J67,"H:MM:SS"))</f>
        <v>5:13</v>
      </c>
      <c r="E66" s="53" t="str">
        <f>IF('All Tandem Adjustments Source'!N67&lt;1/24,TEXT('All Tandem Adjustments Source'!N67,"M:SS"),TEXT('All Tandem Adjustments Source'!N67,"H:MM:SS"))</f>
        <v>6:21</v>
      </c>
      <c r="F66" s="53" t="str">
        <f>IF('All Tandem Adjustments Source'!R67&lt;1/24,TEXT('All Tandem Adjustments Source'!R67,"M:SS"),TEXT('All Tandem Adjustments Source'!R67,"H:MM:SS"))</f>
        <v>11:08</v>
      </c>
      <c r="G66" s="53" t="str">
        <f>IF('All Tandem Adjustments Source'!V67&lt;1/24,TEXT('All Tandem Adjustments Source'!V67,"M:SS"),TEXT('All Tandem Adjustments Source'!V67,"H:MM:SS"))</f>
        <v>25:30</v>
      </c>
      <c r="H66" s="54">
        <f>'All Tandem Adjustments Source'!Z67</f>
        <v>32.390798611111109</v>
      </c>
      <c r="I66" s="54">
        <f>'All Tandem Adjustments Source'!AD67</f>
        <v>63.216400462962966</v>
      </c>
      <c r="J66" s="57" t="str">
        <f>IF('All Tandem Adjustments Source'!C67&lt;1/24,TEXT('All Tandem Adjustments Source'!C67,"M:SS"),TEXT('All Tandem Adjustments Source'!C67,"H:MM:SS"))</f>
        <v>3:28</v>
      </c>
      <c r="K66" s="57" t="str">
        <f>IF('All Tandem Adjustments Source'!G67&lt;1/24,TEXT('All Tandem Adjustments Source'!G67,"M:SS"),TEXT('All Tandem Adjustments Source'!G67,"H:MM:SS"))</f>
        <v>5:15</v>
      </c>
      <c r="L66" s="57" t="str">
        <f>IF('All Tandem Adjustments Source'!K67&lt;1/24,TEXT('All Tandem Adjustments Source'!K67,"M:SS"),TEXT('All Tandem Adjustments Source'!K67,"H:MM:SS"))</f>
        <v>8:56</v>
      </c>
      <c r="M66" s="57" t="str">
        <f>IF('All Tandem Adjustments Source'!O67&lt;1/24,TEXT('All Tandem Adjustments Source'!O67,"M:SS"),TEXT('All Tandem Adjustments Source'!O67,"H:MM:SS"))</f>
        <v>10:49</v>
      </c>
      <c r="N66" s="57" t="str">
        <f>IF('All Tandem Adjustments Source'!S67&lt;1/24,TEXT('All Tandem Adjustments Source'!S67,"M:SS"),TEXT('All Tandem Adjustments Source'!S67,"H:MM:SS"))</f>
        <v>18:46</v>
      </c>
      <c r="O66" s="57" t="str">
        <f>IF('All Tandem Adjustments Source'!W67&lt;1/24,TEXT('All Tandem Adjustments Source'!W67,"M:SS"),TEXT('All Tandem Adjustments Source'!W67,"H:MM:SS"))</f>
        <v>41:37</v>
      </c>
      <c r="P66" s="58">
        <f>'All Tandem Adjustments Source'!AA67</f>
        <v>42.79599537037037</v>
      </c>
      <c r="Q66" s="58">
        <f>'All Tandem Adjustments Source'!AE67</f>
        <v>76.003194444444446</v>
      </c>
      <c r="R66" s="50" t="str">
        <f>IF('All Tandem Adjustments Source'!D67&lt;1/24,TEXT('All Tandem Adjustments Source'!D67,"M:SS"),TEXT('All Tandem Adjustments Source'!D67,"H:MM:SS"))</f>
        <v>3:06</v>
      </c>
      <c r="S66" s="50" t="str">
        <f>IF('All Tandem Adjustments Source'!H67&lt;1/24,TEXT('All Tandem Adjustments Source'!H67,"M:SS"),TEXT('All Tandem Adjustments Source'!H67,"H:MM:SS"))</f>
        <v>4:43</v>
      </c>
      <c r="T66" s="50" t="str">
        <f>IF('All Tandem Adjustments Source'!L67&lt;1/24,TEXT('All Tandem Adjustments Source'!L67,"M:SS"),TEXT('All Tandem Adjustments Source'!L67,"H:MM:SS"))</f>
        <v>8:00</v>
      </c>
      <c r="U66" s="50" t="str">
        <f>IF('All Tandem Adjustments Source'!P67&lt;1/24,TEXT('All Tandem Adjustments Source'!P67,"M:SS"),TEXT('All Tandem Adjustments Source'!P67,"H:MM:SS"))</f>
        <v>9:43</v>
      </c>
      <c r="V66" s="50" t="str">
        <f>IF('All Tandem Adjustments Source'!T67&lt;1/24,TEXT('All Tandem Adjustments Source'!T67,"M:SS"),TEXT('All Tandem Adjustments Source'!T67,"H:MM:SS"))</f>
        <v>16:52</v>
      </c>
      <c r="W66" s="50" t="str">
        <f>IF('All Tandem Adjustments Source'!X67&lt;1/24,TEXT('All Tandem Adjustments Source'!X67,"M:SS"),TEXT('All Tandem Adjustments Source'!X67,"H:MM:SS"))</f>
        <v>37:37</v>
      </c>
      <c r="X66" s="51">
        <f>'All Tandem Adjustments Source'!AB67</f>
        <v>40.383194444444442</v>
      </c>
      <c r="Y66" s="51">
        <f>'All Tandem Adjustments Source'!AF67</f>
        <v>72.976805555555558</v>
      </c>
      <c r="Z66" s="55" t="str">
        <f>IF('All Tandem Adjustments Source'!E67&lt;1/24,TEXT('All Tandem Adjustments Source'!E67,"M:SS"),TEXT('All Tandem Adjustments Source'!E67,"H:MM:SS"))</f>
        <v>4:43</v>
      </c>
      <c r="AA66" s="55" t="str">
        <f>IF('All Tandem Adjustments Source'!I67&lt;1/24,TEXT('All Tandem Adjustments Source'!I67,"M:SS"),TEXT('All Tandem Adjustments Source'!I67,"H:MM:SS"))</f>
        <v>7:08</v>
      </c>
      <c r="AB66" s="55" t="str">
        <f>IF('All Tandem Adjustments Source'!M67&lt;1/24,TEXT('All Tandem Adjustments Source'!M67,"M:SS"),TEXT('All Tandem Adjustments Source'!M67,"H:MM:SS"))</f>
        <v>12:05</v>
      </c>
      <c r="AC66" s="55" t="str">
        <f>IF('All Tandem Adjustments Source'!Q67&lt;1/24,TEXT('All Tandem Adjustments Source'!Q67,"M:SS"),TEXT('All Tandem Adjustments Source'!Q67,"H:MM:SS"))</f>
        <v>14:37</v>
      </c>
      <c r="AD66" s="55" t="str">
        <f>IF('All Tandem Adjustments Source'!U67&lt;1/24,TEXT('All Tandem Adjustments Source'!U67,"M:SS"),TEXT('All Tandem Adjustments Source'!U67,"H:MM:SS"))</f>
        <v>25:13</v>
      </c>
      <c r="AE66" s="55" t="str">
        <f>IF('All Tandem Adjustments Source'!Y67&lt;1/24,TEXT('All Tandem Adjustments Source'!Y67,"M:SS"),TEXT('All Tandem Adjustments Source'!Y67,"H:MM:SS"))</f>
        <v>55:16</v>
      </c>
      <c r="AF66" s="56">
        <f>'All Tandem Adjustments Source'!AC67</f>
        <v>50.31</v>
      </c>
      <c r="AG66" s="56">
        <f>'All Tandem Adjustments Source'!AG67</f>
        <v>85.649201388888883</v>
      </c>
    </row>
    <row r="67" spans="1:33" x14ac:dyDescent="0.25">
      <c r="A67" s="17">
        <f>'All Tandem Adjustments Source'!A68</f>
        <v>74</v>
      </c>
      <c r="B67" s="53" t="str">
        <f>IF('All Tandem Adjustments Source'!B68&lt;1/24,TEXT('All Tandem Adjustments Source'!B68,"M:SS"),TEXT('All Tandem Adjustments Source'!B68,"H:MM:SS"))</f>
        <v>2:07</v>
      </c>
      <c r="C67" s="53" t="str">
        <f>IF('All Tandem Adjustments Source'!F68&lt;1/24,TEXT('All Tandem Adjustments Source'!F68,"M:SS"),TEXT('All Tandem Adjustments Source'!F68,"H:MM:SS"))</f>
        <v>3:13</v>
      </c>
      <c r="D67" s="53" t="str">
        <f>IF('All Tandem Adjustments Source'!J68&lt;1/24,TEXT('All Tandem Adjustments Source'!J68,"M:SS"),TEXT('All Tandem Adjustments Source'!J68,"H:MM:SS"))</f>
        <v>5:31</v>
      </c>
      <c r="E67" s="53" t="str">
        <f>IF('All Tandem Adjustments Source'!N68&lt;1/24,TEXT('All Tandem Adjustments Source'!N68,"M:SS"),TEXT('All Tandem Adjustments Source'!N68,"H:MM:SS"))</f>
        <v>6:43</v>
      </c>
      <c r="F67" s="53" t="str">
        <f>IF('All Tandem Adjustments Source'!R68&lt;1/24,TEXT('All Tandem Adjustments Source'!R68,"M:SS"),TEXT('All Tandem Adjustments Source'!R68,"H:MM:SS"))</f>
        <v>11:47</v>
      </c>
      <c r="G67" s="53" t="str">
        <f>IF('All Tandem Adjustments Source'!V68&lt;1/24,TEXT('All Tandem Adjustments Source'!V68,"M:SS"),TEXT('All Tandem Adjustments Source'!V68,"H:MM:SS"))</f>
        <v>27:02</v>
      </c>
      <c r="H67" s="54">
        <f>'All Tandem Adjustments Source'!Z68</f>
        <v>33.893599537037034</v>
      </c>
      <c r="I67" s="54">
        <f>'All Tandem Adjustments Source'!AD68</f>
        <v>66.081597222222229</v>
      </c>
      <c r="J67" s="57" t="str">
        <f>IF('All Tandem Adjustments Source'!C68&lt;1/24,TEXT('All Tandem Adjustments Source'!C68,"M:SS"),TEXT('All Tandem Adjustments Source'!C68,"H:MM:SS"))</f>
        <v>3:36</v>
      </c>
      <c r="K67" s="57" t="str">
        <f>IF('All Tandem Adjustments Source'!G68&lt;1/24,TEXT('All Tandem Adjustments Source'!G68,"M:SS"),TEXT('All Tandem Adjustments Source'!G68,"H:MM:SS"))</f>
        <v>5:27</v>
      </c>
      <c r="L67" s="57" t="str">
        <f>IF('All Tandem Adjustments Source'!K68&lt;1/24,TEXT('All Tandem Adjustments Source'!K68,"M:SS"),TEXT('All Tandem Adjustments Source'!K68,"H:MM:SS"))</f>
        <v>9:16</v>
      </c>
      <c r="M67" s="57" t="str">
        <f>IF('All Tandem Adjustments Source'!O68&lt;1/24,TEXT('All Tandem Adjustments Source'!O68,"M:SS"),TEXT('All Tandem Adjustments Source'!O68,"H:MM:SS"))</f>
        <v>11:14</v>
      </c>
      <c r="N67" s="57" t="str">
        <f>IF('All Tandem Adjustments Source'!S68&lt;1/24,TEXT('All Tandem Adjustments Source'!S68,"M:SS"),TEXT('All Tandem Adjustments Source'!S68,"H:MM:SS"))</f>
        <v>19:30</v>
      </c>
      <c r="O67" s="57" t="str">
        <f>IF('All Tandem Adjustments Source'!W68&lt;1/24,TEXT('All Tandem Adjustments Source'!W68,"M:SS"),TEXT('All Tandem Adjustments Source'!W68,"H:MM:SS"))</f>
        <v>43:21</v>
      </c>
      <c r="P67" s="58">
        <f>'All Tandem Adjustments Source'!AA68</f>
        <v>44.132395833333334</v>
      </c>
      <c r="Q67" s="58">
        <f>'All Tandem Adjustments Source'!AE68</f>
        <v>78.577199074074073</v>
      </c>
      <c r="R67" s="50" t="str">
        <f>IF('All Tandem Adjustments Source'!D68&lt;1/24,TEXT('All Tandem Adjustments Source'!D68,"M:SS"),TEXT('All Tandem Adjustments Source'!D68,"H:MM:SS"))</f>
        <v>3:14</v>
      </c>
      <c r="S67" s="50" t="str">
        <f>IF('All Tandem Adjustments Source'!H68&lt;1/24,TEXT('All Tandem Adjustments Source'!H68,"M:SS"),TEXT('All Tandem Adjustments Source'!H68,"H:MM:SS"))</f>
        <v>4:54</v>
      </c>
      <c r="T67" s="50" t="str">
        <f>IF('All Tandem Adjustments Source'!L68&lt;1/24,TEXT('All Tandem Adjustments Source'!L68,"M:SS"),TEXT('All Tandem Adjustments Source'!L68,"H:MM:SS"))</f>
        <v>8:21</v>
      </c>
      <c r="U67" s="50" t="str">
        <f>IF('All Tandem Adjustments Source'!P68&lt;1/24,TEXT('All Tandem Adjustments Source'!P68,"M:SS"),TEXT('All Tandem Adjustments Source'!P68,"H:MM:SS"))</f>
        <v>10:07</v>
      </c>
      <c r="V67" s="50" t="str">
        <f>IF('All Tandem Adjustments Source'!T68&lt;1/24,TEXT('All Tandem Adjustments Source'!T68,"M:SS"),TEXT('All Tandem Adjustments Source'!T68,"H:MM:SS"))</f>
        <v>17:35</v>
      </c>
      <c r="W67" s="50" t="str">
        <f>IF('All Tandem Adjustments Source'!X68&lt;1/24,TEXT('All Tandem Adjustments Source'!X68,"M:SS"),TEXT('All Tandem Adjustments Source'!X68,"H:MM:SS"))</f>
        <v>39:18</v>
      </c>
      <c r="X67" s="51">
        <f>'All Tandem Adjustments Source'!AB68</f>
        <v>41.755995370370371</v>
      </c>
      <c r="Y67" s="51">
        <f>'All Tandem Adjustments Source'!AF68</f>
        <v>75.618402777777774</v>
      </c>
      <c r="Z67" s="55" t="str">
        <f>IF('All Tandem Adjustments Source'!E68&lt;1/24,TEXT('All Tandem Adjustments Source'!E68,"M:SS"),TEXT('All Tandem Adjustments Source'!E68,"H:MM:SS"))</f>
        <v>4:51</v>
      </c>
      <c r="AA67" s="55" t="str">
        <f>IF('All Tandem Adjustments Source'!I68&lt;1/24,TEXT('All Tandem Adjustments Source'!I68,"M:SS"),TEXT('All Tandem Adjustments Source'!I68,"H:MM:SS"))</f>
        <v>7:21</v>
      </c>
      <c r="AB67" s="55" t="str">
        <f>IF('All Tandem Adjustments Source'!M68&lt;1/24,TEXT('All Tandem Adjustments Source'!M68,"M:SS"),TEXT('All Tandem Adjustments Source'!M68,"H:MM:SS"))</f>
        <v>12:27</v>
      </c>
      <c r="AC67" s="55" t="str">
        <f>IF('All Tandem Adjustments Source'!Q68&lt;1/24,TEXT('All Tandem Adjustments Source'!Q68,"M:SS"),TEXT('All Tandem Adjustments Source'!Q68,"H:MM:SS"))</f>
        <v>15:05</v>
      </c>
      <c r="AD67" s="55" t="str">
        <f>IF('All Tandem Adjustments Source'!U68&lt;1/24,TEXT('All Tandem Adjustments Source'!U68,"M:SS"),TEXT('All Tandem Adjustments Source'!U68,"H:MM:SS"))</f>
        <v>26:01</v>
      </c>
      <c r="AE67" s="55" t="str">
        <f>IF('All Tandem Adjustments Source'!Y68&lt;1/24,TEXT('All Tandem Adjustments Source'!Y68,"M:SS"),TEXT('All Tandem Adjustments Source'!Y68,"H:MM:SS"))</f>
        <v>57:11</v>
      </c>
      <c r="AF67" s="56">
        <f>'All Tandem Adjustments Source'!AC68</f>
        <v>51.532002314814818</v>
      </c>
      <c r="AG67" s="56">
        <f>'All Tandem Adjustments Source'!AG68</f>
        <v>88.015196759259254</v>
      </c>
    </row>
    <row r="68" spans="1:33" x14ac:dyDescent="0.25">
      <c r="A68" s="17">
        <f>'All Tandem Adjustments Source'!A69</f>
        <v>75</v>
      </c>
      <c r="B68" s="53" t="str">
        <f>IF('All Tandem Adjustments Source'!B69&lt;1/24,TEXT('All Tandem Adjustments Source'!B69,"M:SS"),TEXT('All Tandem Adjustments Source'!B69,"H:MM:SS"))</f>
        <v>2:14</v>
      </c>
      <c r="C68" s="53" t="str">
        <f>IF('All Tandem Adjustments Source'!F69&lt;1/24,TEXT('All Tandem Adjustments Source'!F69,"M:SS"),TEXT('All Tandem Adjustments Source'!F69,"H:MM:SS"))</f>
        <v>3:24</v>
      </c>
      <c r="D68" s="53" t="str">
        <f>IF('All Tandem Adjustments Source'!J69&lt;1/24,TEXT('All Tandem Adjustments Source'!J69,"M:SS"),TEXT('All Tandem Adjustments Source'!J69,"H:MM:SS"))</f>
        <v>5:50</v>
      </c>
      <c r="E68" s="53" t="str">
        <f>IF('All Tandem Adjustments Source'!N69&lt;1/24,TEXT('All Tandem Adjustments Source'!N69,"M:SS"),TEXT('All Tandem Adjustments Source'!N69,"H:MM:SS"))</f>
        <v>7:06</v>
      </c>
      <c r="F68" s="53" t="str">
        <f>IF('All Tandem Adjustments Source'!R69&lt;1/24,TEXT('All Tandem Adjustments Source'!R69,"M:SS"),TEXT('All Tandem Adjustments Source'!R69,"H:MM:SS"))</f>
        <v>12:28</v>
      </c>
      <c r="G68" s="53" t="str">
        <f>IF('All Tandem Adjustments Source'!V69&lt;1/24,TEXT('All Tandem Adjustments Source'!V69,"M:SS"),TEXT('All Tandem Adjustments Source'!V69,"H:MM:SS"))</f>
        <v>28:39</v>
      </c>
      <c r="H68" s="54">
        <f>'All Tandem Adjustments Source'!Z69</f>
        <v>35.417199074074077</v>
      </c>
      <c r="I68" s="54">
        <f>'All Tandem Adjustments Source'!AD69</f>
        <v>68.993599537037042</v>
      </c>
      <c r="J68" s="57" t="str">
        <f>IF('All Tandem Adjustments Source'!C69&lt;1/24,TEXT('All Tandem Adjustments Source'!C69,"M:SS"),TEXT('All Tandem Adjustments Source'!C69,"H:MM:SS"))</f>
        <v>3:44</v>
      </c>
      <c r="K68" s="57" t="str">
        <f>IF('All Tandem Adjustments Source'!G69&lt;1/24,TEXT('All Tandem Adjustments Source'!G69,"M:SS"),TEXT('All Tandem Adjustments Source'!G69,"H:MM:SS"))</f>
        <v>5:39</v>
      </c>
      <c r="L68" s="57" t="str">
        <f>IF('All Tandem Adjustments Source'!K69&lt;1/24,TEXT('All Tandem Adjustments Source'!K69,"M:SS"),TEXT('All Tandem Adjustments Source'!K69,"H:MM:SS"))</f>
        <v>9:37</v>
      </c>
      <c r="M68" s="57" t="str">
        <f>IF('All Tandem Adjustments Source'!O69&lt;1/24,TEXT('All Tandem Adjustments Source'!O69,"M:SS"),TEXT('All Tandem Adjustments Source'!O69,"H:MM:SS"))</f>
        <v>11:40</v>
      </c>
      <c r="N68" s="57" t="str">
        <f>IF('All Tandem Adjustments Source'!S69&lt;1/24,TEXT('All Tandem Adjustments Source'!S69,"M:SS"),TEXT('All Tandem Adjustments Source'!S69,"H:MM:SS"))</f>
        <v>20:16</v>
      </c>
      <c r="O68" s="57" t="str">
        <f>IF('All Tandem Adjustments Source'!W69&lt;1/24,TEXT('All Tandem Adjustments Source'!W69,"M:SS"),TEXT('All Tandem Adjustments Source'!W69,"H:MM:SS"))</f>
        <v>45:10</v>
      </c>
      <c r="P68" s="58">
        <f>'All Tandem Adjustments Source'!AA69</f>
        <v>45.489594907407408</v>
      </c>
      <c r="Q68" s="58">
        <f>'All Tandem Adjustments Source'!AE69</f>
        <v>81.192800925925923</v>
      </c>
      <c r="R68" s="50" t="str">
        <f>IF('All Tandem Adjustments Source'!D69&lt;1/24,TEXT('All Tandem Adjustments Source'!D69,"M:SS"),TEXT('All Tandem Adjustments Source'!D69,"H:MM:SS"))</f>
        <v>3:22</v>
      </c>
      <c r="S68" s="50" t="str">
        <f>IF('All Tandem Adjustments Source'!H69&lt;1/24,TEXT('All Tandem Adjustments Source'!H69,"M:SS"),TEXT('All Tandem Adjustments Source'!H69,"H:MM:SS"))</f>
        <v>5:06</v>
      </c>
      <c r="T68" s="50" t="str">
        <f>IF('All Tandem Adjustments Source'!L69&lt;1/24,TEXT('All Tandem Adjustments Source'!L69,"M:SS"),TEXT('All Tandem Adjustments Source'!L69,"H:MM:SS"))</f>
        <v>8:41</v>
      </c>
      <c r="U68" s="50" t="str">
        <f>IF('All Tandem Adjustments Source'!P69&lt;1/24,TEXT('All Tandem Adjustments Source'!P69,"M:SS"),TEXT('All Tandem Adjustments Source'!P69,"H:MM:SS"))</f>
        <v>10:32</v>
      </c>
      <c r="V68" s="50" t="str">
        <f>IF('All Tandem Adjustments Source'!T69&lt;1/24,TEXT('All Tandem Adjustments Source'!T69,"M:SS"),TEXT('All Tandem Adjustments Source'!T69,"H:MM:SS"))</f>
        <v>18:20</v>
      </c>
      <c r="W68" s="50" t="str">
        <f>IF('All Tandem Adjustments Source'!X69&lt;1/24,TEXT('All Tandem Adjustments Source'!X69,"M:SS"),TEXT('All Tandem Adjustments Source'!X69,"H:MM:SS"))</f>
        <v>41:04</v>
      </c>
      <c r="X68" s="51">
        <f>'All Tandem Adjustments Source'!AB69</f>
        <v>43.15480324074074</v>
      </c>
      <c r="Y68" s="51">
        <f>'All Tandem Adjustments Source'!AF69</f>
        <v>78.301597222222227</v>
      </c>
      <c r="Z68" s="55" t="str">
        <f>IF('All Tandem Adjustments Source'!E69&lt;1/24,TEXT('All Tandem Adjustments Source'!E69,"M:SS"),TEXT('All Tandem Adjustments Source'!E69,"H:MM:SS"))</f>
        <v>5:00</v>
      </c>
      <c r="AA68" s="55" t="str">
        <f>IF('All Tandem Adjustments Source'!I69&lt;1/24,TEXT('All Tandem Adjustments Source'!I69,"M:SS"),TEXT('All Tandem Adjustments Source'!I69,"H:MM:SS"))</f>
        <v>7:34</v>
      </c>
      <c r="AB68" s="55" t="str">
        <f>IF('All Tandem Adjustments Source'!M69&lt;1/24,TEXT('All Tandem Adjustments Source'!M69,"M:SS"),TEXT('All Tandem Adjustments Source'!M69,"H:MM:SS"))</f>
        <v>12:50</v>
      </c>
      <c r="AC68" s="55" t="str">
        <f>IF('All Tandem Adjustments Source'!Q69&lt;1/24,TEXT('All Tandem Adjustments Source'!Q69,"M:SS"),TEXT('All Tandem Adjustments Source'!Q69,"H:MM:SS"))</f>
        <v>15:33</v>
      </c>
      <c r="AD68" s="55" t="str">
        <f>IF('All Tandem Adjustments Source'!U69&lt;1/24,TEXT('All Tandem Adjustments Source'!U69,"M:SS"),TEXT('All Tandem Adjustments Source'!U69,"H:MM:SS"))</f>
        <v>26:52</v>
      </c>
      <c r="AE68" s="55" t="str">
        <f>IF('All Tandem Adjustments Source'!Y69&lt;1/24,TEXT('All Tandem Adjustments Source'!Y69,"M:SS"),TEXT('All Tandem Adjustments Source'!Y69,"H:MM:SS"))</f>
        <v>59:10</v>
      </c>
      <c r="AF68" s="56">
        <f>'All Tandem Adjustments Source'!AC69</f>
        <v>52.78</v>
      </c>
      <c r="AG68" s="56">
        <f>'All Tandem Adjustments Source'!AG69</f>
        <v>90.42799768518519</v>
      </c>
    </row>
    <row r="69" spans="1:33" x14ac:dyDescent="0.25">
      <c r="A69" s="17">
        <f>'All Tandem Adjustments Source'!A70</f>
        <v>76</v>
      </c>
      <c r="B69" s="53" t="str">
        <f>IF('All Tandem Adjustments Source'!B70&lt;1/24,TEXT('All Tandem Adjustments Source'!B70,"M:SS"),TEXT('All Tandem Adjustments Source'!B70,"H:MM:SS"))</f>
        <v>2:22</v>
      </c>
      <c r="C69" s="53" t="str">
        <f>IF('All Tandem Adjustments Source'!F70&lt;1/24,TEXT('All Tandem Adjustments Source'!F70,"M:SS"),TEXT('All Tandem Adjustments Source'!F70,"H:MM:SS"))</f>
        <v>3:36</v>
      </c>
      <c r="D69" s="53" t="str">
        <f>IF('All Tandem Adjustments Source'!J70&lt;1/24,TEXT('All Tandem Adjustments Source'!J70,"M:SS"),TEXT('All Tandem Adjustments Source'!J70,"H:MM:SS"))</f>
        <v>6:10</v>
      </c>
      <c r="E69" s="53" t="str">
        <f>IF('All Tandem Adjustments Source'!N70&lt;1/24,TEXT('All Tandem Adjustments Source'!N70,"M:SS"),TEXT('All Tandem Adjustments Source'!N70,"H:MM:SS"))</f>
        <v>7:30</v>
      </c>
      <c r="F69" s="53" t="str">
        <f>IF('All Tandem Adjustments Source'!R70&lt;1/24,TEXT('All Tandem Adjustments Source'!R70,"M:SS"),TEXT('All Tandem Adjustments Source'!R70,"H:MM:SS"))</f>
        <v>13:11</v>
      </c>
      <c r="G69" s="53" t="str">
        <f>IF('All Tandem Adjustments Source'!V70&lt;1/24,TEXT('All Tandem Adjustments Source'!V70,"M:SS"),TEXT('All Tandem Adjustments Source'!V70,"H:MM:SS"))</f>
        <v>30:21</v>
      </c>
      <c r="H69" s="54">
        <f>'All Tandem Adjustments Source'!Z70</f>
        <v>36.977199074074072</v>
      </c>
      <c r="I69" s="54">
        <f>'All Tandem Adjustments Source'!AD70</f>
        <v>71.947199074074078</v>
      </c>
      <c r="J69" s="57" t="str">
        <f>IF('All Tandem Adjustments Source'!C70&lt;1/24,TEXT('All Tandem Adjustments Source'!C70,"M:SS"),TEXT('All Tandem Adjustments Source'!C70,"H:MM:SS"))</f>
        <v>3:52</v>
      </c>
      <c r="K69" s="57" t="str">
        <f>IF('All Tandem Adjustments Source'!G70&lt;1/24,TEXT('All Tandem Adjustments Source'!G70,"M:SS"),TEXT('All Tandem Adjustments Source'!G70,"H:MM:SS"))</f>
        <v>5:52</v>
      </c>
      <c r="L69" s="57" t="str">
        <f>IF('All Tandem Adjustments Source'!K70&lt;1/24,TEXT('All Tandem Adjustments Source'!K70,"M:SS"),TEXT('All Tandem Adjustments Source'!K70,"H:MM:SS"))</f>
        <v>10:00</v>
      </c>
      <c r="M69" s="57" t="str">
        <f>IF('All Tandem Adjustments Source'!O70&lt;1/24,TEXT('All Tandem Adjustments Source'!O70,"M:SS"),TEXT('All Tandem Adjustments Source'!O70,"H:MM:SS"))</f>
        <v>12:07</v>
      </c>
      <c r="N69" s="57" t="str">
        <f>IF('All Tandem Adjustments Source'!S70&lt;1/24,TEXT('All Tandem Adjustments Source'!S70,"M:SS"),TEXT('All Tandem Adjustments Source'!S70,"H:MM:SS"))</f>
        <v>21:04</v>
      </c>
      <c r="O69" s="57" t="str">
        <f>IF('All Tandem Adjustments Source'!W70&lt;1/24,TEXT('All Tandem Adjustments Source'!W70,"M:SS"),TEXT('All Tandem Adjustments Source'!W70,"H:MM:SS"))</f>
        <v>47:05</v>
      </c>
      <c r="P69" s="58">
        <f>'All Tandem Adjustments Source'!AA70</f>
        <v>46.877997685185186</v>
      </c>
      <c r="Q69" s="58">
        <f>'All Tandem Adjustments Source'!AE70</f>
        <v>83.855196759259258</v>
      </c>
      <c r="R69" s="50" t="str">
        <f>IF('All Tandem Adjustments Source'!D70&lt;1/24,TEXT('All Tandem Adjustments Source'!D70,"M:SS"),TEXT('All Tandem Adjustments Source'!D70,"H:MM:SS"))</f>
        <v>3:30</v>
      </c>
      <c r="S69" s="50" t="str">
        <f>IF('All Tandem Adjustments Source'!H70&lt;1/24,TEXT('All Tandem Adjustments Source'!H70,"M:SS"),TEXT('All Tandem Adjustments Source'!H70,"H:MM:SS"))</f>
        <v>5:18</v>
      </c>
      <c r="T69" s="50" t="str">
        <f>IF('All Tandem Adjustments Source'!L70&lt;1/24,TEXT('All Tandem Adjustments Source'!L70,"M:SS"),TEXT('All Tandem Adjustments Source'!L70,"H:MM:SS"))</f>
        <v>9:02</v>
      </c>
      <c r="U69" s="50" t="str">
        <f>IF('All Tandem Adjustments Source'!P70&lt;1/24,TEXT('All Tandem Adjustments Source'!P70,"M:SS"),TEXT('All Tandem Adjustments Source'!P70,"H:MM:SS"))</f>
        <v>10:58</v>
      </c>
      <c r="V69" s="50" t="str">
        <f>IF('All Tandem Adjustments Source'!T70&lt;1/24,TEXT('All Tandem Adjustments Source'!T70,"M:SS"),TEXT('All Tandem Adjustments Source'!T70,"H:MM:SS"))</f>
        <v>19:06</v>
      </c>
      <c r="W69" s="50" t="str">
        <f>IF('All Tandem Adjustments Source'!X70&lt;1/24,TEXT('All Tandem Adjustments Source'!X70,"M:SS"),TEXT('All Tandem Adjustments Source'!X70,"H:MM:SS"))</f>
        <v>42:55</v>
      </c>
      <c r="X69" s="51">
        <f>'All Tandem Adjustments Source'!AB70</f>
        <v>44.579594907407404</v>
      </c>
      <c r="Y69" s="51">
        <f>'All Tandem Adjustments Source'!AF70</f>
        <v>81.031597222222217</v>
      </c>
      <c r="Z69" s="55" t="str">
        <f>IF('All Tandem Adjustments Source'!E70&lt;1/24,TEXT('All Tandem Adjustments Source'!E70,"M:SS"),TEXT('All Tandem Adjustments Source'!E70,"H:MM:SS"))</f>
        <v>5:09</v>
      </c>
      <c r="AA69" s="55" t="str">
        <f>IF('All Tandem Adjustments Source'!I70&lt;1/24,TEXT('All Tandem Adjustments Source'!I70,"M:SS"),TEXT('All Tandem Adjustments Source'!I70,"H:MM:SS"))</f>
        <v>7:48</v>
      </c>
      <c r="AB69" s="55" t="str">
        <f>IF('All Tandem Adjustments Source'!M70&lt;1/24,TEXT('All Tandem Adjustments Source'!M70,"M:SS"),TEXT('All Tandem Adjustments Source'!M70,"H:MM:SS"))</f>
        <v>13:14</v>
      </c>
      <c r="AC69" s="55" t="str">
        <f>IF('All Tandem Adjustments Source'!Q70&lt;1/24,TEXT('All Tandem Adjustments Source'!Q70,"M:SS"),TEXT('All Tandem Adjustments Source'!Q70,"H:MM:SS"))</f>
        <v>16:02</v>
      </c>
      <c r="AD69" s="55" t="str">
        <f>IF('All Tandem Adjustments Source'!U70&lt;1/24,TEXT('All Tandem Adjustments Source'!U70,"M:SS"),TEXT('All Tandem Adjustments Source'!U70,"H:MM:SS"))</f>
        <v>27:45</v>
      </c>
      <c r="AE69" s="55" t="str">
        <f>IF('All Tandem Adjustments Source'!Y70&lt;1/24,TEXT('All Tandem Adjustments Source'!Y70,"M:SS"),TEXT('All Tandem Adjustments Source'!Y70,"H:MM:SS"))</f>
        <v>1:01:15</v>
      </c>
      <c r="AF69" s="56">
        <f>'All Tandem Adjustments Source'!AC70</f>
        <v>54.043599537037039</v>
      </c>
      <c r="AG69" s="56">
        <f>'All Tandem Adjustments Source'!AG70</f>
        <v>92.87719907407407</v>
      </c>
    </row>
    <row r="70" spans="1:33" x14ac:dyDescent="0.25">
      <c r="A70" s="17">
        <f>'All Tandem Adjustments Source'!A71</f>
        <v>77</v>
      </c>
      <c r="B70" s="53" t="str">
        <f>IF('All Tandem Adjustments Source'!B71&lt;1/24,TEXT('All Tandem Adjustments Source'!B71,"M:SS"),TEXT('All Tandem Adjustments Source'!B71,"H:MM:SS"))</f>
        <v>2:30</v>
      </c>
      <c r="C70" s="53" t="str">
        <f>IF('All Tandem Adjustments Source'!F71&lt;1/24,TEXT('All Tandem Adjustments Source'!F71,"M:SS"),TEXT('All Tandem Adjustments Source'!F71,"H:MM:SS"))</f>
        <v>3:48</v>
      </c>
      <c r="D70" s="53" t="str">
        <f>IF('All Tandem Adjustments Source'!J71&lt;1/24,TEXT('All Tandem Adjustments Source'!J71,"M:SS"),TEXT('All Tandem Adjustments Source'!J71,"H:MM:SS"))</f>
        <v>6:30</v>
      </c>
      <c r="E70" s="53" t="str">
        <f>IF('All Tandem Adjustments Source'!N71&lt;1/24,TEXT('All Tandem Adjustments Source'!N71,"M:SS"),TEXT('All Tandem Adjustments Source'!N71,"H:MM:SS"))</f>
        <v>7:55</v>
      </c>
      <c r="F70" s="53" t="str">
        <f>IF('All Tandem Adjustments Source'!R71&lt;1/24,TEXT('All Tandem Adjustments Source'!R71,"M:SS"),TEXT('All Tandem Adjustments Source'!R71,"H:MM:SS"))</f>
        <v>13:55</v>
      </c>
      <c r="G70" s="53" t="str">
        <f>IF('All Tandem Adjustments Source'!V71&lt;1/24,TEXT('All Tandem Adjustments Source'!V71,"M:SS"),TEXT('All Tandem Adjustments Source'!V71,"H:MM:SS"))</f>
        <v>32:07</v>
      </c>
      <c r="H70" s="54">
        <f>'All Tandem Adjustments Source'!Z71</f>
        <v>38.557997685185185</v>
      </c>
      <c r="I70" s="54">
        <f>'All Tandem Adjustments Source'!AD71</f>
        <v>74.952800925925928</v>
      </c>
      <c r="J70" s="57" t="str">
        <f>IF('All Tandem Adjustments Source'!C71&lt;1/24,TEXT('All Tandem Adjustments Source'!C71,"M:SS"),TEXT('All Tandem Adjustments Source'!C71,"H:MM:SS"))</f>
        <v>4:01</v>
      </c>
      <c r="K70" s="57" t="str">
        <f>IF('All Tandem Adjustments Source'!G71&lt;1/24,TEXT('All Tandem Adjustments Source'!G71,"M:SS"),TEXT('All Tandem Adjustments Source'!G71,"H:MM:SS"))</f>
        <v>6:06</v>
      </c>
      <c r="L70" s="57" t="str">
        <f>IF('All Tandem Adjustments Source'!K71&lt;1/24,TEXT('All Tandem Adjustments Source'!K71,"M:SS"),TEXT('All Tandem Adjustments Source'!K71,"H:MM:SS"))</f>
        <v>10:23</v>
      </c>
      <c r="M70" s="57" t="str">
        <f>IF('All Tandem Adjustments Source'!O71&lt;1/24,TEXT('All Tandem Adjustments Source'!O71,"M:SS"),TEXT('All Tandem Adjustments Source'!O71,"H:MM:SS"))</f>
        <v>12:35</v>
      </c>
      <c r="N70" s="57" t="str">
        <f>IF('All Tandem Adjustments Source'!S71&lt;1/24,TEXT('All Tandem Adjustments Source'!S71,"M:SS"),TEXT('All Tandem Adjustments Source'!S71,"H:MM:SS"))</f>
        <v>21:54</v>
      </c>
      <c r="O70" s="57" t="str">
        <f>IF('All Tandem Adjustments Source'!W71&lt;1/24,TEXT('All Tandem Adjustments Source'!W71,"M:SS"),TEXT('All Tandem Adjustments Source'!W71,"H:MM:SS"))</f>
        <v>49:04</v>
      </c>
      <c r="P70" s="58">
        <f>'All Tandem Adjustments Source'!AA71</f>
        <v>48.29239583333333</v>
      </c>
      <c r="Q70" s="58">
        <f>'All Tandem Adjustments Source'!AE71</f>
        <v>86.559201388888894</v>
      </c>
      <c r="R70" s="50" t="str">
        <f>IF('All Tandem Adjustments Source'!D71&lt;1/24,TEXT('All Tandem Adjustments Source'!D71,"M:SS"),TEXT('All Tandem Adjustments Source'!D71,"H:MM:SS"))</f>
        <v>3:38</v>
      </c>
      <c r="S70" s="50" t="str">
        <f>IF('All Tandem Adjustments Source'!H71&lt;1/24,TEXT('All Tandem Adjustments Source'!H71,"M:SS"),TEXT('All Tandem Adjustments Source'!H71,"H:MM:SS"))</f>
        <v>5:32</v>
      </c>
      <c r="T70" s="50" t="str">
        <f>IF('All Tandem Adjustments Source'!L71&lt;1/24,TEXT('All Tandem Adjustments Source'!L71,"M:SS"),TEXT('All Tandem Adjustments Source'!L71,"H:MM:SS"))</f>
        <v>9:25</v>
      </c>
      <c r="U70" s="50" t="str">
        <f>IF('All Tandem Adjustments Source'!P71&lt;1/24,TEXT('All Tandem Adjustments Source'!P71,"M:SS"),TEXT('All Tandem Adjustments Source'!P71,"H:MM:SS"))</f>
        <v>11:25</v>
      </c>
      <c r="V70" s="50" t="str">
        <f>IF('All Tandem Adjustments Source'!T71&lt;1/24,TEXT('All Tandem Adjustments Source'!T71,"M:SS"),TEXT('All Tandem Adjustments Source'!T71,"H:MM:SS"))</f>
        <v>19:55</v>
      </c>
      <c r="W70" s="50" t="str">
        <f>IF('All Tandem Adjustments Source'!X71&lt;1/24,TEXT('All Tandem Adjustments Source'!X71,"M:SS"),TEXT('All Tandem Adjustments Source'!X71,"H:MM:SS"))</f>
        <v>44:52</v>
      </c>
      <c r="X70" s="51">
        <f>'All Tandem Adjustments Source'!AB71</f>
        <v>46.030405092592595</v>
      </c>
      <c r="Y70" s="51">
        <f>'All Tandem Adjustments Source'!AF71</f>
        <v>83.808402777777772</v>
      </c>
      <c r="Z70" s="55" t="str">
        <f>IF('All Tandem Adjustments Source'!E71&lt;1/24,TEXT('All Tandem Adjustments Source'!E71,"M:SS"),TEXT('All Tandem Adjustments Source'!E71,"H:MM:SS"))</f>
        <v>5:19</v>
      </c>
      <c r="AA70" s="55" t="str">
        <f>IF('All Tandem Adjustments Source'!I71&lt;1/24,TEXT('All Tandem Adjustments Source'!I71,"M:SS"),TEXT('All Tandem Adjustments Source'!I71,"H:MM:SS"))</f>
        <v>8:03</v>
      </c>
      <c r="AB70" s="55" t="str">
        <f>IF('All Tandem Adjustments Source'!M71&lt;1/24,TEXT('All Tandem Adjustments Source'!M71,"M:SS"),TEXT('All Tandem Adjustments Source'!M71,"H:MM:SS"))</f>
        <v>13:40</v>
      </c>
      <c r="AC70" s="55" t="str">
        <f>IF('All Tandem Adjustments Source'!Q71&lt;1/24,TEXT('All Tandem Adjustments Source'!Q71,"M:SS"),TEXT('All Tandem Adjustments Source'!Q71,"H:MM:SS"))</f>
        <v>16:33</v>
      </c>
      <c r="AD70" s="55" t="str">
        <f>IF('All Tandem Adjustments Source'!U71&lt;1/24,TEXT('All Tandem Adjustments Source'!U71,"M:SS"),TEXT('All Tandem Adjustments Source'!U71,"H:MM:SS"))</f>
        <v>28:39</v>
      </c>
      <c r="AE70" s="55" t="str">
        <f>IF('All Tandem Adjustments Source'!Y71&lt;1/24,TEXT('All Tandem Adjustments Source'!Y71,"M:SS"),TEXT('All Tandem Adjustments Source'!Y71,"H:MM:SS"))</f>
        <v>1:03:26</v>
      </c>
      <c r="AF70" s="56">
        <f>'All Tandem Adjustments Source'!AC71</f>
        <v>55.33840277777778</v>
      </c>
      <c r="AG70" s="56">
        <f>'All Tandem Adjustments Source'!AG71</f>
        <v>95.367997685185188</v>
      </c>
    </row>
    <row r="71" spans="1:33" x14ac:dyDescent="0.25">
      <c r="A71" s="17">
        <f>'All Tandem Adjustments Source'!A72</f>
        <v>78</v>
      </c>
      <c r="B71" s="53" t="str">
        <f>IF('All Tandem Adjustments Source'!B72&lt;1/24,TEXT('All Tandem Adjustments Source'!B72,"M:SS"),TEXT('All Tandem Adjustments Source'!B72,"H:MM:SS"))</f>
        <v>2:38</v>
      </c>
      <c r="C71" s="53" t="str">
        <f>IF('All Tandem Adjustments Source'!F72&lt;1/24,TEXT('All Tandem Adjustments Source'!F72,"M:SS"),TEXT('All Tandem Adjustments Source'!F72,"H:MM:SS"))</f>
        <v>4:00</v>
      </c>
      <c r="D71" s="53" t="str">
        <f>IF('All Tandem Adjustments Source'!J72&lt;1/24,TEXT('All Tandem Adjustments Source'!J72,"M:SS"),TEXT('All Tandem Adjustments Source'!J72,"H:MM:SS"))</f>
        <v>6:51</v>
      </c>
      <c r="E71" s="53" t="str">
        <f>IF('All Tandem Adjustments Source'!N72&lt;1/24,TEXT('All Tandem Adjustments Source'!N72,"M:SS"),TEXT('All Tandem Adjustments Source'!N72,"H:MM:SS"))</f>
        <v>8:21</v>
      </c>
      <c r="F71" s="53" t="str">
        <f>IF('All Tandem Adjustments Source'!R72&lt;1/24,TEXT('All Tandem Adjustments Source'!R72,"M:SS"),TEXT('All Tandem Adjustments Source'!R72,"H:MM:SS"))</f>
        <v>14:41</v>
      </c>
      <c r="G71" s="53" t="str">
        <f>IF('All Tandem Adjustments Source'!V72&lt;1/24,TEXT('All Tandem Adjustments Source'!V72,"M:SS"),TEXT('All Tandem Adjustments Source'!V72,"H:MM:SS"))</f>
        <v>33:59</v>
      </c>
      <c r="H71" s="54">
        <f>'All Tandem Adjustments Source'!Z72</f>
        <v>40.175196759259258</v>
      </c>
      <c r="I71" s="54">
        <f>'All Tandem Adjustments Source'!AD72</f>
        <v>78.005196759259263</v>
      </c>
      <c r="J71" s="57" t="str">
        <f>IF('All Tandem Adjustments Source'!C72&lt;1/24,TEXT('All Tandem Adjustments Source'!C72,"M:SS"),TEXT('All Tandem Adjustments Source'!C72,"H:MM:SS"))</f>
        <v>4:11</v>
      </c>
      <c r="K71" s="57" t="str">
        <f>IF('All Tandem Adjustments Source'!G72&lt;1/24,TEXT('All Tandem Adjustments Source'!G72,"M:SS"),TEXT('All Tandem Adjustments Source'!G72,"H:MM:SS"))</f>
        <v>6:20</v>
      </c>
      <c r="L71" s="57" t="str">
        <f>IF('All Tandem Adjustments Source'!K72&lt;1/24,TEXT('All Tandem Adjustments Source'!K72,"M:SS"),TEXT('All Tandem Adjustments Source'!K72,"H:MM:SS"))</f>
        <v>10:47</v>
      </c>
      <c r="M71" s="57" t="str">
        <f>IF('All Tandem Adjustments Source'!O72&lt;1/24,TEXT('All Tandem Adjustments Source'!O72,"M:SS"),TEXT('All Tandem Adjustments Source'!O72,"H:MM:SS"))</f>
        <v>13:05</v>
      </c>
      <c r="N71" s="57" t="str">
        <f>IF('All Tandem Adjustments Source'!S72&lt;1/24,TEXT('All Tandem Adjustments Source'!S72,"M:SS"),TEXT('All Tandem Adjustments Source'!S72,"H:MM:SS"))</f>
        <v>22:46</v>
      </c>
      <c r="O71" s="57" t="str">
        <f>IF('All Tandem Adjustments Source'!W72&lt;1/24,TEXT('All Tandem Adjustments Source'!W72,"M:SS"),TEXT('All Tandem Adjustments Source'!W72,"H:MM:SS"))</f>
        <v>51:11</v>
      </c>
      <c r="P71" s="58">
        <f>'All Tandem Adjustments Source'!AA72</f>
        <v>49.727604166666666</v>
      </c>
      <c r="Q71" s="58">
        <f>'All Tandem Adjustments Source'!AE72</f>
        <v>89.31</v>
      </c>
      <c r="R71" s="50" t="str">
        <f>IF('All Tandem Adjustments Source'!D72&lt;1/24,TEXT('All Tandem Adjustments Source'!D72,"M:SS"),TEXT('All Tandem Adjustments Source'!D72,"H:MM:SS"))</f>
        <v>3:48</v>
      </c>
      <c r="S71" s="50" t="str">
        <f>IF('All Tandem Adjustments Source'!H72&lt;1/24,TEXT('All Tandem Adjustments Source'!H72,"M:SS"),TEXT('All Tandem Adjustments Source'!H72,"H:MM:SS"))</f>
        <v>5:45</v>
      </c>
      <c r="T71" s="50" t="str">
        <f>IF('All Tandem Adjustments Source'!L72&lt;1/24,TEXT('All Tandem Adjustments Source'!L72,"M:SS"),TEXT('All Tandem Adjustments Source'!L72,"H:MM:SS"))</f>
        <v>9:48</v>
      </c>
      <c r="U71" s="50" t="str">
        <f>IF('All Tandem Adjustments Source'!P72&lt;1/24,TEXT('All Tandem Adjustments Source'!P72,"M:SS"),TEXT('All Tandem Adjustments Source'!P72,"H:MM:SS"))</f>
        <v>11:54</v>
      </c>
      <c r="V71" s="50" t="str">
        <f>IF('All Tandem Adjustments Source'!T72&lt;1/24,TEXT('All Tandem Adjustments Source'!T72,"M:SS"),TEXT('All Tandem Adjustments Source'!T72,"H:MM:SS"))</f>
        <v>20:46</v>
      </c>
      <c r="W71" s="50" t="str">
        <f>IF('All Tandem Adjustments Source'!X72&lt;1/24,TEXT('All Tandem Adjustments Source'!X72,"M:SS"),TEXT('All Tandem Adjustments Source'!X72,"H:MM:SS"))</f>
        <v>46:54</v>
      </c>
      <c r="X71" s="51">
        <f>'All Tandem Adjustments Source'!AB72</f>
        <v>47.507199074074073</v>
      </c>
      <c r="Y71" s="51">
        <f>'All Tandem Adjustments Source'!AF72</f>
        <v>86.626805555555549</v>
      </c>
      <c r="Z71" s="55" t="str">
        <f>IF('All Tandem Adjustments Source'!E72&lt;1/24,TEXT('All Tandem Adjustments Source'!E72,"M:SS"),TEXT('All Tandem Adjustments Source'!E72,"H:MM:SS"))</f>
        <v>5:29</v>
      </c>
      <c r="AA71" s="55" t="str">
        <f>IF('All Tandem Adjustments Source'!I72&lt;1/24,TEXT('All Tandem Adjustments Source'!I72,"M:SS"),TEXT('All Tandem Adjustments Source'!I72,"H:MM:SS"))</f>
        <v>8:18</v>
      </c>
      <c r="AB71" s="55" t="str">
        <f>IF('All Tandem Adjustments Source'!M72&lt;1/24,TEXT('All Tandem Adjustments Source'!M72,"M:SS"),TEXT('All Tandem Adjustments Source'!M72,"H:MM:SS"))</f>
        <v>14:06</v>
      </c>
      <c r="AC71" s="55" t="str">
        <f>IF('All Tandem Adjustments Source'!Q72&lt;1/24,TEXT('All Tandem Adjustments Source'!Q72,"M:SS"),TEXT('All Tandem Adjustments Source'!Q72,"H:MM:SS"))</f>
        <v>17:05</v>
      </c>
      <c r="AD71" s="55" t="str">
        <f>IF('All Tandem Adjustments Source'!U72&lt;1/24,TEXT('All Tandem Adjustments Source'!U72,"M:SS"),TEXT('All Tandem Adjustments Source'!U72,"H:MM:SS"))</f>
        <v>29:37</v>
      </c>
      <c r="AE71" s="55" t="str">
        <f>IF('All Tandem Adjustments Source'!Y72&lt;1/24,TEXT('All Tandem Adjustments Source'!Y72,"M:SS"),TEXT('All Tandem Adjustments Source'!Y72,"H:MM:SS"))</f>
        <v>1:05:45</v>
      </c>
      <c r="AF71" s="56">
        <f>'All Tandem Adjustments Source'!AC72</f>
        <v>56.654004629629632</v>
      </c>
      <c r="AG71" s="56">
        <f>'All Tandem Adjustments Source'!AG72</f>
        <v>97.900405092592592</v>
      </c>
    </row>
    <row r="72" spans="1:33" x14ac:dyDescent="0.25">
      <c r="A72" s="17">
        <f>'All Tandem Adjustments Source'!A73</f>
        <v>79</v>
      </c>
      <c r="B72" s="53" t="str">
        <f>IF('All Tandem Adjustments Source'!B73&lt;1/24,TEXT('All Tandem Adjustments Source'!B73,"M:SS"),TEXT('All Tandem Adjustments Source'!B73,"H:MM:SS"))</f>
        <v>2:47</v>
      </c>
      <c r="C72" s="53" t="str">
        <f>IF('All Tandem Adjustments Source'!F73&lt;1/24,TEXT('All Tandem Adjustments Source'!F73,"M:SS"),TEXT('All Tandem Adjustments Source'!F73,"H:MM:SS"))</f>
        <v>4:13</v>
      </c>
      <c r="D72" s="53" t="str">
        <f>IF('All Tandem Adjustments Source'!J73&lt;1/24,TEXT('All Tandem Adjustments Source'!J73,"M:SS"),TEXT('All Tandem Adjustments Source'!J73,"H:MM:SS"))</f>
        <v>7:13</v>
      </c>
      <c r="E72" s="53" t="str">
        <f>IF('All Tandem Adjustments Source'!N73&lt;1/24,TEXT('All Tandem Adjustments Source'!N73,"M:SS"),TEXT('All Tandem Adjustments Source'!N73,"H:MM:SS"))</f>
        <v>8:48</v>
      </c>
      <c r="F72" s="53" t="str">
        <f>IF('All Tandem Adjustments Source'!R73&lt;1/24,TEXT('All Tandem Adjustments Source'!R73,"M:SS"),TEXT('All Tandem Adjustments Source'!R73,"H:MM:SS"))</f>
        <v>15:30</v>
      </c>
      <c r="G72" s="53" t="str">
        <f>IF('All Tandem Adjustments Source'!V73&lt;1/24,TEXT('All Tandem Adjustments Source'!V73,"M:SS"),TEXT('All Tandem Adjustments Source'!V73,"H:MM:SS"))</f>
        <v>35:56</v>
      </c>
      <c r="H72" s="54">
        <f>'All Tandem Adjustments Source'!Z73</f>
        <v>41.818402777777777</v>
      </c>
      <c r="I72" s="54">
        <f>'All Tandem Adjustments Source'!AD73</f>
        <v>81.099201388888886</v>
      </c>
      <c r="J72" s="57" t="str">
        <f>IF('All Tandem Adjustments Source'!C73&lt;1/24,TEXT('All Tandem Adjustments Source'!C73,"M:SS"),TEXT('All Tandem Adjustments Source'!C73,"H:MM:SS"))</f>
        <v>4:20</v>
      </c>
      <c r="K72" s="57" t="str">
        <f>IF('All Tandem Adjustments Source'!G73&lt;1/24,TEXT('All Tandem Adjustments Source'!G73,"M:SS"),TEXT('All Tandem Adjustments Source'!G73,"H:MM:SS"))</f>
        <v>6:34</v>
      </c>
      <c r="L72" s="57" t="str">
        <f>IF('All Tandem Adjustments Source'!K73&lt;1/24,TEXT('All Tandem Adjustments Source'!K73,"M:SS"),TEXT('All Tandem Adjustments Source'!K73,"H:MM:SS"))</f>
        <v>11:12</v>
      </c>
      <c r="M72" s="57" t="str">
        <f>IF('All Tandem Adjustments Source'!O73&lt;1/24,TEXT('All Tandem Adjustments Source'!O73,"M:SS"),TEXT('All Tandem Adjustments Source'!O73,"H:MM:SS"))</f>
        <v>13:35</v>
      </c>
      <c r="N72" s="57" t="str">
        <f>IF('All Tandem Adjustments Source'!S73&lt;1/24,TEXT('All Tandem Adjustments Source'!S73,"M:SS"),TEXT('All Tandem Adjustments Source'!S73,"H:MM:SS"))</f>
        <v>23:41</v>
      </c>
      <c r="O72" s="57" t="str">
        <f>IF('All Tandem Adjustments Source'!W73&lt;1/24,TEXT('All Tandem Adjustments Source'!W73,"M:SS"),TEXT('All Tandem Adjustments Source'!W73,"H:MM:SS"))</f>
        <v>53:23</v>
      </c>
      <c r="P72" s="58">
        <f>'All Tandem Adjustments Source'!AA73</f>
        <v>51.194004629629632</v>
      </c>
      <c r="Q72" s="58">
        <f>'All Tandem Adjustments Source'!AE73</f>
        <v>92.102395833333333</v>
      </c>
      <c r="R72" s="50" t="str">
        <f>IF('All Tandem Adjustments Source'!D73&lt;1/24,TEXT('All Tandem Adjustments Source'!D73,"M:SS"),TEXT('All Tandem Adjustments Source'!D73,"H:MM:SS"))</f>
        <v>3:57</v>
      </c>
      <c r="S72" s="50" t="str">
        <f>IF('All Tandem Adjustments Source'!H73&lt;1/24,TEXT('All Tandem Adjustments Source'!H73,"M:SS"),TEXT('All Tandem Adjustments Source'!H73,"H:MM:SS"))</f>
        <v>5:59</v>
      </c>
      <c r="T72" s="50" t="str">
        <f>IF('All Tandem Adjustments Source'!L73&lt;1/24,TEXT('All Tandem Adjustments Source'!L73,"M:SS"),TEXT('All Tandem Adjustments Source'!L73,"H:MM:SS"))</f>
        <v>10:12</v>
      </c>
      <c r="U72" s="50" t="str">
        <f>IF('All Tandem Adjustments Source'!P73&lt;1/24,TEXT('All Tandem Adjustments Source'!P73,"M:SS"),TEXT('All Tandem Adjustments Source'!P73,"H:MM:SS"))</f>
        <v>12:24</v>
      </c>
      <c r="V72" s="50" t="str">
        <f>IF('All Tandem Adjustments Source'!T73&lt;1/24,TEXT('All Tandem Adjustments Source'!T73,"M:SS"),TEXT('All Tandem Adjustments Source'!T73,"H:MM:SS"))</f>
        <v>21:39</v>
      </c>
      <c r="W72" s="50" t="str">
        <f>IF('All Tandem Adjustments Source'!X73&lt;1/24,TEXT('All Tandem Adjustments Source'!X73,"M:SS"),TEXT('All Tandem Adjustments Source'!X73,"H:MM:SS"))</f>
        <v>49:03</v>
      </c>
      <c r="X72" s="51">
        <f>'All Tandem Adjustments Source'!AB73</f>
        <v>49.01</v>
      </c>
      <c r="Y72" s="51">
        <f>'All Tandem Adjustments Source'!AF73</f>
        <v>89.486805555555549</v>
      </c>
      <c r="Z72" s="55" t="str">
        <f>IF('All Tandem Adjustments Source'!E73&lt;1/24,TEXT('All Tandem Adjustments Source'!E73,"M:SS"),TEXT('All Tandem Adjustments Source'!E73,"H:MM:SS"))</f>
        <v>5:39</v>
      </c>
      <c r="AA72" s="55" t="str">
        <f>IF('All Tandem Adjustments Source'!I73&lt;1/24,TEXT('All Tandem Adjustments Source'!I73,"M:SS"),TEXT('All Tandem Adjustments Source'!I73,"H:MM:SS"))</f>
        <v>8:34</v>
      </c>
      <c r="AB72" s="55" t="str">
        <f>IF('All Tandem Adjustments Source'!M73&lt;1/24,TEXT('All Tandem Adjustments Source'!M73,"M:SS"),TEXT('All Tandem Adjustments Source'!M73,"H:MM:SS"))</f>
        <v>14:34</v>
      </c>
      <c r="AC72" s="55" t="str">
        <f>IF('All Tandem Adjustments Source'!Q73&lt;1/24,TEXT('All Tandem Adjustments Source'!Q73,"M:SS"),TEXT('All Tandem Adjustments Source'!Q73,"H:MM:SS"))</f>
        <v>17:39</v>
      </c>
      <c r="AD72" s="55" t="str">
        <f>IF('All Tandem Adjustments Source'!U73&lt;1/24,TEXT('All Tandem Adjustments Source'!U73,"M:SS"),TEXT('All Tandem Adjustments Source'!U73,"H:MM:SS"))</f>
        <v>30:37</v>
      </c>
      <c r="AE72" s="55" t="str">
        <f>IF('All Tandem Adjustments Source'!Y73&lt;1/24,TEXT('All Tandem Adjustments Source'!Y73,"M:SS"),TEXT('All Tandem Adjustments Source'!Y73,"H:MM:SS"))</f>
        <v>1:08:10</v>
      </c>
      <c r="AF72" s="56">
        <f>'All Tandem Adjustments Source'!AC73</f>
        <v>57.995601851851852</v>
      </c>
      <c r="AG72" s="56">
        <f>'All Tandem Adjustments Source'!AG73</f>
        <v>100.47439814814815</v>
      </c>
    </row>
    <row r="73" spans="1:33" x14ac:dyDescent="0.25">
      <c r="A73" s="17">
        <f>'All Tandem Adjustments Source'!A74</f>
        <v>80</v>
      </c>
      <c r="B73" s="53" t="str">
        <f>IF('All Tandem Adjustments Source'!B74&lt;1/24,TEXT('All Tandem Adjustments Source'!B74,"M:SS"),TEXT('All Tandem Adjustments Source'!B74,"H:MM:SS"))</f>
        <v>2:55</v>
      </c>
      <c r="C73" s="53" t="str">
        <f>IF('All Tandem Adjustments Source'!F74&lt;1/24,TEXT('All Tandem Adjustments Source'!F74,"M:SS"),TEXT('All Tandem Adjustments Source'!F74,"H:MM:SS"))</f>
        <v>4:26</v>
      </c>
      <c r="D73" s="53" t="str">
        <f>IF('All Tandem Adjustments Source'!J74&lt;1/24,TEXT('All Tandem Adjustments Source'!J74,"M:SS"),TEXT('All Tandem Adjustments Source'!J74,"H:MM:SS"))</f>
        <v>7:37</v>
      </c>
      <c r="E73" s="53" t="str">
        <f>IF('All Tandem Adjustments Source'!N74&lt;1/24,TEXT('All Tandem Adjustments Source'!N74,"M:SS"),TEXT('All Tandem Adjustments Source'!N74,"H:MM:SS"))</f>
        <v>9:16</v>
      </c>
      <c r="F73" s="53" t="str">
        <f>IF('All Tandem Adjustments Source'!R74&lt;1/24,TEXT('All Tandem Adjustments Source'!R74,"M:SS"),TEXT('All Tandem Adjustments Source'!R74,"H:MM:SS"))</f>
        <v>16:21</v>
      </c>
      <c r="G73" s="53" t="str">
        <f>IF('All Tandem Adjustments Source'!V74&lt;1/24,TEXT('All Tandem Adjustments Source'!V74,"M:SS"),TEXT('All Tandem Adjustments Source'!V74,"H:MM:SS"))</f>
        <v>38:00</v>
      </c>
      <c r="H73" s="54">
        <f>'All Tandem Adjustments Source'!Z74</f>
        <v>43.487604166666664</v>
      </c>
      <c r="I73" s="54">
        <f>'All Tandem Adjustments Source'!AD74</f>
        <v>84.245196759259258</v>
      </c>
      <c r="J73" s="57" t="str">
        <f>IF('All Tandem Adjustments Source'!C74&lt;1/24,TEXT('All Tandem Adjustments Source'!C74,"M:SS"),TEXT('All Tandem Adjustments Source'!C74,"H:MM:SS"))</f>
        <v>4:30</v>
      </c>
      <c r="K73" s="57" t="str">
        <f>IF('All Tandem Adjustments Source'!G74&lt;1/24,TEXT('All Tandem Adjustments Source'!G74,"M:SS"),TEXT('All Tandem Adjustments Source'!G74,"H:MM:SS"))</f>
        <v>6:49</v>
      </c>
      <c r="L73" s="57" t="str">
        <f>IF('All Tandem Adjustments Source'!K74&lt;1/24,TEXT('All Tandem Adjustments Source'!K74,"M:SS"),TEXT('All Tandem Adjustments Source'!K74,"H:MM:SS"))</f>
        <v>11:38</v>
      </c>
      <c r="M73" s="57" t="str">
        <f>IF('All Tandem Adjustments Source'!O74&lt;1/24,TEXT('All Tandem Adjustments Source'!O74,"M:SS"),TEXT('All Tandem Adjustments Source'!O74,"H:MM:SS"))</f>
        <v>14:07</v>
      </c>
      <c r="N73" s="57" t="str">
        <f>IF('All Tandem Adjustments Source'!S74&lt;1/24,TEXT('All Tandem Adjustments Source'!S74,"M:SS"),TEXT('All Tandem Adjustments Source'!S74,"H:MM:SS"))</f>
        <v>24:38</v>
      </c>
      <c r="O73" s="57" t="str">
        <f>IF('All Tandem Adjustments Source'!W74&lt;1/24,TEXT('All Tandem Adjustments Source'!W74,"M:SS"),TEXT('All Tandem Adjustments Source'!W74,"H:MM:SS"))</f>
        <v>55:42</v>
      </c>
      <c r="P73" s="58">
        <f>'All Tandem Adjustments Source'!AA74</f>
        <v>52.681203703703702</v>
      </c>
      <c r="Q73" s="58">
        <f>'All Tandem Adjustments Source'!AE74</f>
        <v>94.936400462962965</v>
      </c>
      <c r="R73" s="50" t="str">
        <f>IF('All Tandem Adjustments Source'!D74&lt;1/24,TEXT('All Tandem Adjustments Source'!D74,"M:SS"),TEXT('All Tandem Adjustments Source'!D74,"H:MM:SS"))</f>
        <v>4:06</v>
      </c>
      <c r="S73" s="50" t="str">
        <f>IF('All Tandem Adjustments Source'!H74&lt;1/24,TEXT('All Tandem Adjustments Source'!H74,"M:SS"),TEXT('All Tandem Adjustments Source'!H74,"H:MM:SS"))</f>
        <v>6:14</v>
      </c>
      <c r="T73" s="50" t="str">
        <f>IF('All Tandem Adjustments Source'!L74&lt;1/24,TEXT('All Tandem Adjustments Source'!L74,"M:SS"),TEXT('All Tandem Adjustments Source'!L74,"H:MM:SS"))</f>
        <v>10:38</v>
      </c>
      <c r="U73" s="50" t="str">
        <f>IF('All Tandem Adjustments Source'!P74&lt;1/24,TEXT('All Tandem Adjustments Source'!P74,"M:SS"),TEXT('All Tandem Adjustments Source'!P74,"H:MM:SS"))</f>
        <v>12:55</v>
      </c>
      <c r="V73" s="50" t="str">
        <f>IF('All Tandem Adjustments Source'!T74&lt;1/24,TEXT('All Tandem Adjustments Source'!T74,"M:SS"),TEXT('All Tandem Adjustments Source'!T74,"H:MM:SS"))</f>
        <v>22:35</v>
      </c>
      <c r="W73" s="50" t="str">
        <f>IF('All Tandem Adjustments Source'!X74&lt;1/24,TEXT('All Tandem Adjustments Source'!X74,"M:SS"),TEXT('All Tandem Adjustments Source'!X74,"H:MM:SS"))</f>
        <v>51:19</v>
      </c>
      <c r="X73" s="51">
        <f>'All Tandem Adjustments Source'!AB74</f>
        <v>50.544004629629633</v>
      </c>
      <c r="Y73" s="51">
        <f>'All Tandem Adjustments Source'!AF74</f>
        <v>92.393599537037034</v>
      </c>
      <c r="Z73" s="55" t="str">
        <f>IF('All Tandem Adjustments Source'!E74&lt;1/24,TEXT('All Tandem Adjustments Source'!E74,"M:SS"),TEXT('All Tandem Adjustments Source'!E74,"H:MM:SS"))</f>
        <v>5:50</v>
      </c>
      <c r="AA73" s="55" t="str">
        <f>IF('All Tandem Adjustments Source'!I74&lt;1/24,TEXT('All Tandem Adjustments Source'!I74,"M:SS"),TEXT('All Tandem Adjustments Source'!I74,"H:MM:SS"))</f>
        <v>8:50</v>
      </c>
      <c r="AB73" s="55" t="str">
        <f>IF('All Tandem Adjustments Source'!M74&lt;1/24,TEXT('All Tandem Adjustments Source'!M74,"M:SS"),TEXT('All Tandem Adjustments Source'!M74,"H:MM:SS"))</f>
        <v>15:02</v>
      </c>
      <c r="AC73" s="55" t="str">
        <f>IF('All Tandem Adjustments Source'!Q74&lt;1/24,TEXT('All Tandem Adjustments Source'!Q74,"M:SS"),TEXT('All Tandem Adjustments Source'!Q74,"H:MM:SS"))</f>
        <v>18:14</v>
      </c>
      <c r="AD73" s="55" t="str">
        <f>IF('All Tandem Adjustments Source'!U74&lt;1/24,TEXT('All Tandem Adjustments Source'!U74,"M:SS"),TEXT('All Tandem Adjustments Source'!U74,"H:MM:SS"))</f>
        <v>31:40</v>
      </c>
      <c r="AE73" s="55" t="str">
        <f>IF('All Tandem Adjustments Source'!Y74&lt;1/24,TEXT('All Tandem Adjustments Source'!Y74,"M:SS"),TEXT('All Tandem Adjustments Source'!Y74,"H:MM:SS"))</f>
        <v>1:10:42</v>
      </c>
      <c r="AF73" s="56">
        <f>'All Tandem Adjustments Source'!AC74</f>
        <v>59.357997685185182</v>
      </c>
      <c r="AG73" s="56">
        <f>'All Tandem Adjustments Source'!AG74</f>
        <v>103.09519675925925</v>
      </c>
    </row>
    <row r="74" spans="1:33" x14ac:dyDescent="0.25">
      <c r="A74" s="17">
        <f>'All Tandem Adjustments Source'!A75</f>
        <v>81</v>
      </c>
      <c r="B74" s="53" t="str">
        <f>IF('All Tandem Adjustments Source'!B75&lt;1/24,TEXT('All Tandem Adjustments Source'!B75,"M:SS"),TEXT('All Tandem Adjustments Source'!B75,"H:MM:SS"))</f>
        <v>3:04</v>
      </c>
      <c r="C74" s="53" t="str">
        <f>IF('All Tandem Adjustments Source'!F75&lt;1/24,TEXT('All Tandem Adjustments Source'!F75,"M:SS"),TEXT('All Tandem Adjustments Source'!F75,"H:MM:SS"))</f>
        <v>4:40</v>
      </c>
      <c r="D74" s="53" t="str">
        <f>IF('All Tandem Adjustments Source'!J75&lt;1/24,TEXT('All Tandem Adjustments Source'!J75,"M:SS"),TEXT('All Tandem Adjustments Source'!J75,"H:MM:SS"))</f>
        <v>8:01</v>
      </c>
      <c r="E74" s="53" t="str">
        <f>IF('All Tandem Adjustments Source'!N75&lt;1/24,TEXT('All Tandem Adjustments Source'!N75,"M:SS"),TEXT('All Tandem Adjustments Source'!N75,"H:MM:SS"))</f>
        <v>9:46</v>
      </c>
      <c r="F74" s="53" t="str">
        <f>IF('All Tandem Adjustments Source'!R75&lt;1/24,TEXT('All Tandem Adjustments Source'!R75,"M:SS"),TEXT('All Tandem Adjustments Source'!R75,"H:MM:SS"))</f>
        <v>17:14</v>
      </c>
      <c r="G74" s="53" t="str">
        <f>IF('All Tandem Adjustments Source'!V75&lt;1/24,TEXT('All Tandem Adjustments Source'!V75,"M:SS"),TEXT('All Tandem Adjustments Source'!V75,"H:MM:SS"))</f>
        <v>40:11</v>
      </c>
      <c r="H74" s="54">
        <f>'All Tandem Adjustments Source'!Z75</f>
        <v>45.187997685185188</v>
      </c>
      <c r="I74" s="54">
        <f>'All Tandem Adjustments Source'!AD75</f>
        <v>87.437997685185181</v>
      </c>
      <c r="J74" s="57" t="str">
        <f>IF('All Tandem Adjustments Source'!C75&lt;1/24,TEXT('All Tandem Adjustments Source'!C75,"M:SS"),TEXT('All Tandem Adjustments Source'!C75,"H:MM:SS"))</f>
        <v>4:40</v>
      </c>
      <c r="K74" s="57" t="str">
        <f>IF('All Tandem Adjustments Source'!G75&lt;1/24,TEXT('All Tandem Adjustments Source'!G75,"M:SS"),TEXT('All Tandem Adjustments Source'!G75,"H:MM:SS"))</f>
        <v>7:05</v>
      </c>
      <c r="L74" s="57" t="str">
        <f>IF('All Tandem Adjustments Source'!K75&lt;1/24,TEXT('All Tandem Adjustments Source'!K75,"M:SS"),TEXT('All Tandem Adjustments Source'!K75,"H:MM:SS"))</f>
        <v>12:05</v>
      </c>
      <c r="M74" s="57" t="str">
        <f>IF('All Tandem Adjustments Source'!O75&lt;1/24,TEXT('All Tandem Adjustments Source'!O75,"M:SS"),TEXT('All Tandem Adjustments Source'!O75,"H:MM:SS"))</f>
        <v>14:41</v>
      </c>
      <c r="N74" s="57" t="str">
        <f>IF('All Tandem Adjustments Source'!S75&lt;1/24,TEXT('All Tandem Adjustments Source'!S75,"M:SS"),TEXT('All Tandem Adjustments Source'!S75,"H:MM:SS"))</f>
        <v>25:38</v>
      </c>
      <c r="O74" s="57" t="str">
        <f>IF('All Tandem Adjustments Source'!W75&lt;1/24,TEXT('All Tandem Adjustments Source'!W75,"M:SS"),TEXT('All Tandem Adjustments Source'!W75,"H:MM:SS"))</f>
        <v>58:09</v>
      </c>
      <c r="P74" s="58">
        <f>'All Tandem Adjustments Source'!AA75</f>
        <v>54.199594907407409</v>
      </c>
      <c r="Q74" s="58">
        <f>'All Tandem Adjustments Source'!AE75</f>
        <v>97.817199074074068</v>
      </c>
      <c r="R74" s="50" t="str">
        <f>IF('All Tandem Adjustments Source'!D75&lt;1/24,TEXT('All Tandem Adjustments Source'!D75,"M:SS"),TEXT('All Tandem Adjustments Source'!D75,"H:MM:SS"))</f>
        <v>4:16</v>
      </c>
      <c r="S74" s="50" t="str">
        <f>IF('All Tandem Adjustments Source'!H75&lt;1/24,TEXT('All Tandem Adjustments Source'!H75,"M:SS"),TEXT('All Tandem Adjustments Source'!H75,"H:MM:SS"))</f>
        <v>6:29</v>
      </c>
      <c r="T74" s="50" t="str">
        <f>IF('All Tandem Adjustments Source'!L75&lt;1/24,TEXT('All Tandem Adjustments Source'!L75,"M:SS"),TEXT('All Tandem Adjustments Source'!L75,"H:MM:SS"))</f>
        <v>11:05</v>
      </c>
      <c r="U74" s="50" t="str">
        <f>IF('All Tandem Adjustments Source'!P75&lt;1/24,TEXT('All Tandem Adjustments Source'!P75,"M:SS"),TEXT('All Tandem Adjustments Source'!P75,"H:MM:SS"))</f>
        <v>13:27</v>
      </c>
      <c r="V74" s="50" t="str">
        <f>IF('All Tandem Adjustments Source'!T75&lt;1/24,TEXT('All Tandem Adjustments Source'!T75,"M:SS"),TEXT('All Tandem Adjustments Source'!T75,"H:MM:SS"))</f>
        <v>23:33</v>
      </c>
      <c r="W74" s="50" t="str">
        <f>IF('All Tandem Adjustments Source'!X75&lt;1/24,TEXT('All Tandem Adjustments Source'!X75,"M:SS"),TEXT('All Tandem Adjustments Source'!X75,"H:MM:SS"))</f>
        <v>53:41</v>
      </c>
      <c r="X74" s="51">
        <f>'All Tandem Adjustments Source'!AB75</f>
        <v>52.104004629629628</v>
      </c>
      <c r="Y74" s="51">
        <f>'All Tandem Adjustments Source'!AF75</f>
        <v>95.347199074074069</v>
      </c>
      <c r="Z74" s="55" t="str">
        <f>IF('All Tandem Adjustments Source'!E75&lt;1/24,TEXT('All Tandem Adjustments Source'!E75,"M:SS"),TEXT('All Tandem Adjustments Source'!E75,"H:MM:SS"))</f>
        <v>6:01</v>
      </c>
      <c r="AA74" s="55" t="str">
        <f>IF('All Tandem Adjustments Source'!I75&lt;1/24,TEXT('All Tandem Adjustments Source'!I75,"M:SS"),TEXT('All Tandem Adjustments Source'!I75,"H:MM:SS"))</f>
        <v>9:08</v>
      </c>
      <c r="AB74" s="55" t="str">
        <f>IF('All Tandem Adjustments Source'!M75&lt;1/24,TEXT('All Tandem Adjustments Source'!M75,"M:SS"),TEXT('All Tandem Adjustments Source'!M75,"H:MM:SS"))</f>
        <v>15:32</v>
      </c>
      <c r="AC74" s="55" t="str">
        <f>IF('All Tandem Adjustments Source'!Q75&lt;1/24,TEXT('All Tandem Adjustments Source'!Q75,"M:SS"),TEXT('All Tandem Adjustments Source'!Q75,"H:MM:SS"))</f>
        <v>18:50</v>
      </c>
      <c r="AD74" s="55" t="str">
        <f>IF('All Tandem Adjustments Source'!U75&lt;1/24,TEXT('All Tandem Adjustments Source'!U75,"M:SS"),TEXT('All Tandem Adjustments Source'!U75,"H:MM:SS"))</f>
        <v>32:46</v>
      </c>
      <c r="AE74" s="55" t="str">
        <f>IF('All Tandem Adjustments Source'!Y75&lt;1/24,TEXT('All Tandem Adjustments Source'!Y75,"M:SS"),TEXT('All Tandem Adjustments Source'!Y75,"H:MM:SS"))</f>
        <v>1:13:23</v>
      </c>
      <c r="AF74" s="56">
        <f>'All Tandem Adjustments Source'!AC75</f>
        <v>60.74640046296296</v>
      </c>
      <c r="AG74" s="56">
        <f>'All Tandem Adjustments Source'!AG75</f>
        <v>105.75239583333334</v>
      </c>
    </row>
    <row r="75" spans="1:33" x14ac:dyDescent="0.25">
      <c r="A75" s="17">
        <f>'All Tandem Adjustments Source'!A76</f>
        <v>82</v>
      </c>
      <c r="B75" s="53" t="str">
        <f>IF('All Tandem Adjustments Source'!B76&lt;1/24,TEXT('All Tandem Adjustments Source'!B76,"M:SS"),TEXT('All Tandem Adjustments Source'!B76,"H:MM:SS"))</f>
        <v>3:14</v>
      </c>
      <c r="C75" s="53" t="str">
        <f>IF('All Tandem Adjustments Source'!F76&lt;1/24,TEXT('All Tandem Adjustments Source'!F76,"M:SS"),TEXT('All Tandem Adjustments Source'!F76,"H:MM:SS"))</f>
        <v>4:55</v>
      </c>
      <c r="D75" s="53" t="str">
        <f>IF('All Tandem Adjustments Source'!J76&lt;1/24,TEXT('All Tandem Adjustments Source'!J76,"M:SS"),TEXT('All Tandem Adjustments Source'!J76,"H:MM:SS"))</f>
        <v>8:26</v>
      </c>
      <c r="E75" s="53" t="str">
        <f>IF('All Tandem Adjustments Source'!N76&lt;1/24,TEXT('All Tandem Adjustments Source'!N76,"M:SS"),TEXT('All Tandem Adjustments Source'!N76,"H:MM:SS"))</f>
        <v>10:17</v>
      </c>
      <c r="F75" s="53" t="str">
        <f>IF('All Tandem Adjustments Source'!R76&lt;1/24,TEXT('All Tandem Adjustments Source'!R76,"M:SS"),TEXT('All Tandem Adjustments Source'!R76,"H:MM:SS"))</f>
        <v>18:11</v>
      </c>
      <c r="G75" s="53" t="str">
        <f>IF('All Tandem Adjustments Source'!V76&lt;1/24,TEXT('All Tandem Adjustments Source'!V76,"M:SS"),TEXT('All Tandem Adjustments Source'!V76,"H:MM:SS"))</f>
        <v>42:28</v>
      </c>
      <c r="H75" s="54">
        <f>'All Tandem Adjustments Source'!Z76</f>
        <v>46.924803240740744</v>
      </c>
      <c r="I75" s="54">
        <f>'All Tandem Adjustments Source'!AD76</f>
        <v>90.67239583333334</v>
      </c>
      <c r="J75" s="57" t="str">
        <f>IF('All Tandem Adjustments Source'!C76&lt;1/24,TEXT('All Tandem Adjustments Source'!C76,"M:SS"),TEXT('All Tandem Adjustments Source'!C76,"H:MM:SS"))</f>
        <v>4:51</v>
      </c>
      <c r="K75" s="57" t="str">
        <f>IF('All Tandem Adjustments Source'!G76&lt;1/24,TEXT('All Tandem Adjustments Source'!G76,"M:SS"),TEXT('All Tandem Adjustments Source'!G76,"H:MM:SS"))</f>
        <v>7:22</v>
      </c>
      <c r="L75" s="57" t="str">
        <f>IF('All Tandem Adjustments Source'!K76&lt;1/24,TEXT('All Tandem Adjustments Source'!K76,"M:SS"),TEXT('All Tandem Adjustments Source'!K76,"H:MM:SS"))</f>
        <v>12:34</v>
      </c>
      <c r="M75" s="57" t="str">
        <f>IF('All Tandem Adjustments Source'!O76&lt;1/24,TEXT('All Tandem Adjustments Source'!O76,"M:SS"),TEXT('All Tandem Adjustments Source'!O76,"H:MM:SS"))</f>
        <v>15:16</v>
      </c>
      <c r="N75" s="57" t="str">
        <f>IF('All Tandem Adjustments Source'!S76&lt;1/24,TEXT('All Tandem Adjustments Source'!S76,"M:SS"),TEXT('All Tandem Adjustments Source'!S76,"H:MM:SS"))</f>
        <v>26:42</v>
      </c>
      <c r="O75" s="57" t="str">
        <f>IF('All Tandem Adjustments Source'!W76&lt;1/24,TEXT('All Tandem Adjustments Source'!W76,"M:SS"),TEXT('All Tandem Adjustments Source'!W76,"H:MM:SS"))</f>
        <v>1:00:45</v>
      </c>
      <c r="P75" s="58">
        <f>'All Tandem Adjustments Source'!AA76</f>
        <v>55.744004629629629</v>
      </c>
      <c r="Q75" s="58">
        <f>'All Tandem Adjustments Source'!AE76</f>
        <v>100.74480324074074</v>
      </c>
      <c r="R75" s="50" t="str">
        <f>IF('All Tandem Adjustments Source'!D76&lt;1/24,TEXT('All Tandem Adjustments Source'!D76,"M:SS"),TEXT('All Tandem Adjustments Source'!D76,"H:MM:SS"))</f>
        <v>4:27</v>
      </c>
      <c r="S75" s="50" t="str">
        <f>IF('All Tandem Adjustments Source'!H76&lt;1/24,TEXT('All Tandem Adjustments Source'!H76,"M:SS"),TEXT('All Tandem Adjustments Source'!H76,"H:MM:SS"))</f>
        <v>6:46</v>
      </c>
      <c r="T75" s="50" t="str">
        <f>IF('All Tandem Adjustments Source'!L76&lt;1/24,TEXT('All Tandem Adjustments Source'!L76,"M:SS"),TEXT('All Tandem Adjustments Source'!L76,"H:MM:SS"))</f>
        <v>11:33</v>
      </c>
      <c r="U75" s="50" t="str">
        <f>IF('All Tandem Adjustments Source'!P76&lt;1/24,TEXT('All Tandem Adjustments Source'!P76,"M:SS"),TEXT('All Tandem Adjustments Source'!P76,"H:MM:SS"))</f>
        <v>14:01</v>
      </c>
      <c r="V75" s="50" t="str">
        <f>IF('All Tandem Adjustments Source'!T76&lt;1/24,TEXT('All Tandem Adjustments Source'!T76,"M:SS"),TEXT('All Tandem Adjustments Source'!T76,"H:MM:SS"))</f>
        <v>24:35</v>
      </c>
      <c r="W75" s="50" t="str">
        <f>IF('All Tandem Adjustments Source'!X76&lt;1/24,TEXT('All Tandem Adjustments Source'!X76,"M:SS"),TEXT('All Tandem Adjustments Source'!X76,"H:MM:SS"))</f>
        <v>56:12</v>
      </c>
      <c r="X75" s="51">
        <f>'All Tandem Adjustments Source'!AB76</f>
        <v>53.69</v>
      </c>
      <c r="Y75" s="51">
        <f>'All Tandem Adjustments Source'!AF76</f>
        <v>98.34760416666667</v>
      </c>
      <c r="Z75" s="55" t="str">
        <f>IF('All Tandem Adjustments Source'!E76&lt;1/24,TEXT('All Tandem Adjustments Source'!E76,"M:SS"),TEXT('All Tandem Adjustments Source'!E76,"H:MM:SS"))</f>
        <v>6:13</v>
      </c>
      <c r="AA75" s="55" t="str">
        <f>IF('All Tandem Adjustments Source'!I76&lt;1/24,TEXT('All Tandem Adjustments Source'!I76,"M:SS"),TEXT('All Tandem Adjustments Source'!I76,"H:MM:SS"))</f>
        <v>9:26</v>
      </c>
      <c r="AB75" s="55" t="str">
        <f>IF('All Tandem Adjustments Source'!M76&lt;1/24,TEXT('All Tandem Adjustments Source'!M76,"M:SS"),TEXT('All Tandem Adjustments Source'!M76,"H:MM:SS"))</f>
        <v>16:04</v>
      </c>
      <c r="AC75" s="55" t="str">
        <f>IF('All Tandem Adjustments Source'!Q76&lt;1/24,TEXT('All Tandem Adjustments Source'!Q76,"M:SS"),TEXT('All Tandem Adjustments Source'!Q76,"H:MM:SS"))</f>
        <v>19:29</v>
      </c>
      <c r="AD75" s="55" t="str">
        <f>IF('All Tandem Adjustments Source'!U76&lt;1/24,TEXT('All Tandem Adjustments Source'!U76,"M:SS"),TEXT('All Tandem Adjustments Source'!U76,"H:MM:SS"))</f>
        <v>33:55</v>
      </c>
      <c r="AE75" s="55" t="str">
        <f>IF('All Tandem Adjustments Source'!Y76&lt;1/24,TEXT('All Tandem Adjustments Source'!Y76,"M:SS"),TEXT('All Tandem Adjustments Source'!Y76,"H:MM:SS"))</f>
        <v>1:16:13</v>
      </c>
      <c r="AF75" s="56">
        <f>'All Tandem Adjustments Source'!AC76</f>
        <v>62.160798611111112</v>
      </c>
      <c r="AG75" s="56">
        <f>'All Tandem Adjustments Source'!AG76</f>
        <v>108.45640046296296</v>
      </c>
    </row>
    <row r="76" spans="1:33" x14ac:dyDescent="0.25">
      <c r="A76" s="17">
        <f>'All Tandem Adjustments Source'!A77</f>
        <v>83</v>
      </c>
      <c r="B76" s="53" t="str">
        <f>IF('All Tandem Adjustments Source'!B77&lt;1/24,TEXT('All Tandem Adjustments Source'!B77,"M:SS"),TEXT('All Tandem Adjustments Source'!B77,"H:MM:SS"))</f>
        <v>3:24</v>
      </c>
      <c r="C76" s="53" t="str">
        <f>IF('All Tandem Adjustments Source'!F77&lt;1/24,TEXT('All Tandem Adjustments Source'!F77,"M:SS"),TEXT('All Tandem Adjustments Source'!F77,"H:MM:SS"))</f>
        <v>5:11</v>
      </c>
      <c r="D76" s="53" t="str">
        <f>IF('All Tandem Adjustments Source'!J77&lt;1/24,TEXT('All Tandem Adjustments Source'!J77,"M:SS"),TEXT('All Tandem Adjustments Source'!J77,"H:MM:SS"))</f>
        <v>8:53</v>
      </c>
      <c r="E76" s="53" t="str">
        <f>IF('All Tandem Adjustments Source'!N77&lt;1/24,TEXT('All Tandem Adjustments Source'!N77,"M:SS"),TEXT('All Tandem Adjustments Source'!N77,"H:MM:SS"))</f>
        <v>10:49</v>
      </c>
      <c r="F76" s="53" t="str">
        <f>IF('All Tandem Adjustments Source'!R77&lt;1/24,TEXT('All Tandem Adjustments Source'!R77,"M:SS"),TEXT('All Tandem Adjustments Source'!R77,"H:MM:SS"))</f>
        <v>19:09</v>
      </c>
      <c r="G76" s="53" t="str">
        <f>IF('All Tandem Adjustments Source'!V77&lt;1/24,TEXT('All Tandem Adjustments Source'!V77,"M:SS"),TEXT('All Tandem Adjustments Source'!V77,"H:MM:SS"))</f>
        <v>44:54</v>
      </c>
      <c r="H76" s="54">
        <f>'All Tandem Adjustments Source'!Z77</f>
        <v>48.687604166666667</v>
      </c>
      <c r="I76" s="54">
        <f>'All Tandem Adjustments Source'!AD77</f>
        <v>93.958796296296299</v>
      </c>
      <c r="J76" s="57" t="str">
        <f>IF('All Tandem Adjustments Source'!C77&lt;1/24,TEXT('All Tandem Adjustments Source'!C77,"M:SS"),TEXT('All Tandem Adjustments Source'!C77,"H:MM:SS"))</f>
        <v>5:02</v>
      </c>
      <c r="K76" s="57" t="str">
        <f>IF('All Tandem Adjustments Source'!G77&lt;1/24,TEXT('All Tandem Adjustments Source'!G77,"M:SS"),TEXT('All Tandem Adjustments Source'!G77,"H:MM:SS"))</f>
        <v>7:39</v>
      </c>
      <c r="L76" s="57" t="str">
        <f>IF('All Tandem Adjustments Source'!K77&lt;1/24,TEXT('All Tandem Adjustments Source'!K77,"M:SS"),TEXT('All Tandem Adjustments Source'!K77,"H:MM:SS"))</f>
        <v>13:04</v>
      </c>
      <c r="M76" s="57" t="str">
        <f>IF('All Tandem Adjustments Source'!O77&lt;1/24,TEXT('All Tandem Adjustments Source'!O77,"M:SS"),TEXT('All Tandem Adjustments Source'!O77,"H:MM:SS"))</f>
        <v>15:52</v>
      </c>
      <c r="N76" s="57" t="str">
        <f>IF('All Tandem Adjustments Source'!S77&lt;1/24,TEXT('All Tandem Adjustments Source'!S77,"M:SS"),TEXT('All Tandem Adjustments Source'!S77,"H:MM:SS"))</f>
        <v>27:48</v>
      </c>
      <c r="O76" s="57" t="str">
        <f>IF('All Tandem Adjustments Source'!W77&lt;1/24,TEXT('All Tandem Adjustments Source'!W77,"M:SS"),TEXT('All Tandem Adjustments Source'!W77,"H:MM:SS"))</f>
        <v>1:03:28</v>
      </c>
      <c r="P76" s="58">
        <f>'All Tandem Adjustments Source'!AA77</f>
        <v>57.319594907407406</v>
      </c>
      <c r="Q76" s="58">
        <f>'All Tandem Adjustments Source'!AE77</f>
        <v>103.71400462962963</v>
      </c>
      <c r="R76" s="50" t="str">
        <f>IF('All Tandem Adjustments Source'!D77&lt;1/24,TEXT('All Tandem Adjustments Source'!D77,"M:SS"),TEXT('All Tandem Adjustments Source'!D77,"H:MM:SS"))</f>
        <v>4:38</v>
      </c>
      <c r="S76" s="50" t="str">
        <f>IF('All Tandem Adjustments Source'!H77&lt;1/24,TEXT('All Tandem Adjustments Source'!H77,"M:SS"),TEXT('All Tandem Adjustments Source'!H77,"H:MM:SS"))</f>
        <v>7:02</v>
      </c>
      <c r="T76" s="50" t="str">
        <f>IF('All Tandem Adjustments Source'!L77&lt;1/24,TEXT('All Tandem Adjustments Source'!L77,"M:SS"),TEXT('All Tandem Adjustments Source'!L77,"H:MM:SS"))</f>
        <v>12:02</v>
      </c>
      <c r="U76" s="50" t="str">
        <f>IF('All Tandem Adjustments Source'!P77&lt;1/24,TEXT('All Tandem Adjustments Source'!P77,"M:SS"),TEXT('All Tandem Adjustments Source'!P77,"H:MM:SS"))</f>
        <v>14:37</v>
      </c>
      <c r="V76" s="50" t="str">
        <f>IF('All Tandem Adjustments Source'!T77&lt;1/24,TEXT('All Tandem Adjustments Source'!T77,"M:SS"),TEXT('All Tandem Adjustments Source'!T77,"H:MM:SS"))</f>
        <v>25:39</v>
      </c>
      <c r="W76" s="50" t="str">
        <f>IF('All Tandem Adjustments Source'!X77&lt;1/24,TEXT('All Tandem Adjustments Source'!X77,"M:SS"),TEXT('All Tandem Adjustments Source'!X77,"H:MM:SS"))</f>
        <v>58:52</v>
      </c>
      <c r="X76" s="51">
        <f>'All Tandem Adjustments Source'!AB77</f>
        <v>55.307199074074077</v>
      </c>
      <c r="Y76" s="51">
        <f>'All Tandem Adjustments Source'!AF77</f>
        <v>101.38959490740741</v>
      </c>
      <c r="Z76" s="55" t="str">
        <f>IF('All Tandem Adjustments Source'!E77&lt;1/24,TEXT('All Tandem Adjustments Source'!E77,"M:SS"),TEXT('All Tandem Adjustments Source'!E77,"H:MM:SS"))</f>
        <v>6:26</v>
      </c>
      <c r="AA76" s="55" t="str">
        <f>IF('All Tandem Adjustments Source'!I77&lt;1/24,TEXT('All Tandem Adjustments Source'!I77,"M:SS"),TEXT('All Tandem Adjustments Source'!I77,"H:MM:SS"))</f>
        <v>9:45</v>
      </c>
      <c r="AB76" s="55" t="str">
        <f>IF('All Tandem Adjustments Source'!M77&lt;1/24,TEXT('All Tandem Adjustments Source'!M77,"M:SS"),TEXT('All Tandem Adjustments Source'!M77,"H:MM:SS"))</f>
        <v>16:36</v>
      </c>
      <c r="AC76" s="55" t="str">
        <f>IF('All Tandem Adjustments Source'!Q77&lt;1/24,TEXT('All Tandem Adjustments Source'!Q77,"M:SS"),TEXT('All Tandem Adjustments Source'!Q77,"H:MM:SS"))</f>
        <v>20:09</v>
      </c>
      <c r="AD76" s="55" t="str">
        <f>IF('All Tandem Adjustments Source'!U77&lt;1/24,TEXT('All Tandem Adjustments Source'!U77,"M:SS"),TEXT('All Tandem Adjustments Source'!U77,"H:MM:SS"))</f>
        <v>35:07</v>
      </c>
      <c r="AE76" s="55" t="str">
        <f>IF('All Tandem Adjustments Source'!Y77&lt;1/24,TEXT('All Tandem Adjustments Source'!Y77,"M:SS"),TEXT('All Tandem Adjustments Source'!Y77,"H:MM:SS"))</f>
        <v>1:19:13</v>
      </c>
      <c r="AF76" s="56">
        <f>'All Tandem Adjustments Source'!AC77</f>
        <v>63.606400462962966</v>
      </c>
      <c r="AG76" s="56">
        <f>'All Tandem Adjustments Source'!AG77</f>
        <v>111.20200231481482</v>
      </c>
    </row>
    <row r="77" spans="1:33" x14ac:dyDescent="0.25">
      <c r="A77" s="17">
        <f>'All Tandem Adjustments Source'!A78</f>
        <v>84</v>
      </c>
      <c r="B77" s="53" t="str">
        <f>IF('All Tandem Adjustments Source'!B78&lt;1/24,TEXT('All Tandem Adjustments Source'!B78,"M:SS"),TEXT('All Tandem Adjustments Source'!B78,"H:MM:SS"))</f>
        <v>3:35</v>
      </c>
      <c r="C77" s="53" t="str">
        <f>IF('All Tandem Adjustments Source'!F78&lt;1/24,TEXT('All Tandem Adjustments Source'!F78,"M:SS"),TEXT('All Tandem Adjustments Source'!F78,"H:MM:SS"))</f>
        <v>5:27</v>
      </c>
      <c r="D77" s="53" t="str">
        <f>IF('All Tandem Adjustments Source'!J78&lt;1/24,TEXT('All Tandem Adjustments Source'!J78,"M:SS"),TEXT('All Tandem Adjustments Source'!J78,"H:MM:SS"))</f>
        <v>9:21</v>
      </c>
      <c r="E77" s="53" t="str">
        <f>IF('All Tandem Adjustments Source'!N78&lt;1/24,TEXT('All Tandem Adjustments Source'!N78,"M:SS"),TEXT('All Tandem Adjustments Source'!N78,"H:MM:SS"))</f>
        <v>11:24</v>
      </c>
      <c r="F77" s="53" t="str">
        <f>IF('All Tandem Adjustments Source'!R78&lt;1/24,TEXT('All Tandem Adjustments Source'!R78,"M:SS"),TEXT('All Tandem Adjustments Source'!R78,"H:MM:SS"))</f>
        <v>20:11</v>
      </c>
      <c r="G77" s="53" t="str">
        <f>IF('All Tandem Adjustments Source'!V78&lt;1/24,TEXT('All Tandem Adjustments Source'!V78,"M:SS"),TEXT('All Tandem Adjustments Source'!V78,"H:MM:SS"))</f>
        <v>47:28</v>
      </c>
      <c r="H77" s="54">
        <f>'All Tandem Adjustments Source'!Z78</f>
        <v>50.48159722222222</v>
      </c>
      <c r="I77" s="54">
        <f>'All Tandem Adjustments Source'!AD78</f>
        <v>97.292002314814809</v>
      </c>
      <c r="J77" s="57" t="str">
        <f>IF('All Tandem Adjustments Source'!C78&lt;1/24,TEXT('All Tandem Adjustments Source'!C78,"M:SS"),TEXT('All Tandem Adjustments Source'!C78,"H:MM:SS"))</f>
        <v>5:14</v>
      </c>
      <c r="K77" s="57" t="str">
        <f>IF('All Tandem Adjustments Source'!G78&lt;1/24,TEXT('All Tandem Adjustments Source'!G78,"M:SS"),TEXT('All Tandem Adjustments Source'!G78,"H:MM:SS"))</f>
        <v>7:58</v>
      </c>
      <c r="L77" s="57" t="str">
        <f>IF('All Tandem Adjustments Source'!K78&lt;1/24,TEXT('All Tandem Adjustments Source'!K78,"M:SS"),TEXT('All Tandem Adjustments Source'!K78,"H:MM:SS"))</f>
        <v>13:36</v>
      </c>
      <c r="M77" s="57" t="str">
        <f>IF('All Tandem Adjustments Source'!O78&lt;1/24,TEXT('All Tandem Adjustments Source'!O78,"M:SS"),TEXT('All Tandem Adjustments Source'!O78,"H:MM:SS"))</f>
        <v>16:31</v>
      </c>
      <c r="N77" s="57" t="str">
        <f>IF('All Tandem Adjustments Source'!S78&lt;1/24,TEXT('All Tandem Adjustments Source'!S78,"M:SS"),TEXT('All Tandem Adjustments Source'!S78,"H:MM:SS"))</f>
        <v>28:58</v>
      </c>
      <c r="O77" s="57" t="str">
        <f>IF('All Tandem Adjustments Source'!W78&lt;1/24,TEXT('All Tandem Adjustments Source'!W78,"M:SS"),TEXT('All Tandem Adjustments Source'!W78,"H:MM:SS"))</f>
        <v>1:06:22</v>
      </c>
      <c r="P77" s="58">
        <f>'All Tandem Adjustments Source'!AA78</f>
        <v>58.921203703703704</v>
      </c>
      <c r="Q77" s="58">
        <f>'All Tandem Adjustments Source'!AE78</f>
        <v>106.73</v>
      </c>
      <c r="R77" s="50" t="str">
        <f>IF('All Tandem Adjustments Source'!D78&lt;1/24,TEXT('All Tandem Adjustments Source'!D78,"M:SS"),TEXT('All Tandem Adjustments Source'!D78,"H:MM:SS"))</f>
        <v>4:49</v>
      </c>
      <c r="S77" s="50" t="str">
        <f>IF('All Tandem Adjustments Source'!H78&lt;1/24,TEXT('All Tandem Adjustments Source'!H78,"M:SS"),TEXT('All Tandem Adjustments Source'!H78,"H:MM:SS"))</f>
        <v>7:20</v>
      </c>
      <c r="T77" s="50" t="str">
        <f>IF('All Tandem Adjustments Source'!L78&lt;1/24,TEXT('All Tandem Adjustments Source'!L78,"M:SS"),TEXT('All Tandem Adjustments Source'!L78,"H:MM:SS"))</f>
        <v>12:32</v>
      </c>
      <c r="U77" s="50" t="str">
        <f>IF('All Tandem Adjustments Source'!P78&lt;1/24,TEXT('All Tandem Adjustments Source'!P78,"M:SS"),TEXT('All Tandem Adjustments Source'!P78,"H:MM:SS"))</f>
        <v>15:15</v>
      </c>
      <c r="V77" s="50" t="str">
        <f>IF('All Tandem Adjustments Source'!T78&lt;1/24,TEXT('All Tandem Adjustments Source'!T78,"M:SS"),TEXT('All Tandem Adjustments Source'!T78,"H:MM:SS"))</f>
        <v>26:47</v>
      </c>
      <c r="W77" s="50" t="str">
        <f>IF('All Tandem Adjustments Source'!X78&lt;1/24,TEXT('All Tandem Adjustments Source'!X78,"M:SS"),TEXT('All Tandem Adjustments Source'!X78,"H:MM:SS"))</f>
        <v>1:01:40</v>
      </c>
      <c r="X77" s="51">
        <f>'All Tandem Adjustments Source'!AB78</f>
        <v>56.955601851851853</v>
      </c>
      <c r="Y77" s="51">
        <f>'All Tandem Adjustments Source'!AF78</f>
        <v>104.47840277777777</v>
      </c>
      <c r="Z77" s="55" t="str">
        <f>IF('All Tandem Adjustments Source'!E78&lt;1/24,TEXT('All Tandem Adjustments Source'!E78,"M:SS"),TEXT('All Tandem Adjustments Source'!E78,"H:MM:SS"))</f>
        <v>6:39</v>
      </c>
      <c r="AA77" s="55" t="str">
        <f>IF('All Tandem Adjustments Source'!I78&lt;1/24,TEXT('All Tandem Adjustments Source'!I78,"M:SS"),TEXT('All Tandem Adjustments Source'!I78,"H:MM:SS"))</f>
        <v>10:05</v>
      </c>
      <c r="AB77" s="55" t="str">
        <f>IF('All Tandem Adjustments Source'!M78&lt;1/24,TEXT('All Tandem Adjustments Source'!M78,"M:SS"),TEXT('All Tandem Adjustments Source'!M78,"H:MM:SS"))</f>
        <v>17:11</v>
      </c>
      <c r="AC77" s="55" t="str">
        <f>IF('All Tandem Adjustments Source'!Q78&lt;1/24,TEXT('All Tandem Adjustments Source'!Q78,"M:SS"),TEXT('All Tandem Adjustments Source'!Q78,"H:MM:SS"))</f>
        <v>20:51</v>
      </c>
      <c r="AD77" s="55" t="str">
        <f>IF('All Tandem Adjustments Source'!U78&lt;1/24,TEXT('All Tandem Adjustments Source'!U78,"M:SS"),TEXT('All Tandem Adjustments Source'!U78,"H:MM:SS"))</f>
        <v>36:24</v>
      </c>
      <c r="AE77" s="55" t="str">
        <f>IF('All Tandem Adjustments Source'!Y78&lt;1/24,TEXT('All Tandem Adjustments Source'!Y78,"M:SS"),TEXT('All Tandem Adjustments Source'!Y78,"H:MM:SS"))</f>
        <v>1:22:23</v>
      </c>
      <c r="AF77" s="56">
        <f>'All Tandem Adjustments Source'!AC78</f>
        <v>65.072800925925932</v>
      </c>
      <c r="AG77" s="56">
        <f>'All Tandem Adjustments Source'!AG78</f>
        <v>113.98920138888889</v>
      </c>
    </row>
    <row r="78" spans="1:33" x14ac:dyDescent="0.25">
      <c r="A78" s="17">
        <f>'All Tandem Adjustments Source'!A79</f>
        <v>85</v>
      </c>
      <c r="B78" s="53" t="str">
        <f>IF('All Tandem Adjustments Source'!B79&lt;1/24,TEXT('All Tandem Adjustments Source'!B79,"M:SS"),TEXT('All Tandem Adjustments Source'!B79,"H:MM:SS"))</f>
        <v>3:46</v>
      </c>
      <c r="C78" s="53" t="str">
        <f>IF('All Tandem Adjustments Source'!F79&lt;1/24,TEXT('All Tandem Adjustments Source'!F79,"M:SS"),TEXT('All Tandem Adjustments Source'!F79,"H:MM:SS"))</f>
        <v>5:44</v>
      </c>
      <c r="D78" s="53" t="str">
        <f>IF('All Tandem Adjustments Source'!J79&lt;1/24,TEXT('All Tandem Adjustments Source'!J79,"M:SS"),TEXT('All Tandem Adjustments Source'!J79,"H:MM:SS"))</f>
        <v>9:50</v>
      </c>
      <c r="E78" s="53" t="str">
        <f>IF('All Tandem Adjustments Source'!N79&lt;1/24,TEXT('All Tandem Adjustments Source'!N79,"M:SS"),TEXT('All Tandem Adjustments Source'!N79,"H:MM:SS"))</f>
        <v>12:00</v>
      </c>
      <c r="F78" s="53" t="str">
        <f>IF('All Tandem Adjustments Source'!R79&lt;1/24,TEXT('All Tandem Adjustments Source'!R79,"M:SS"),TEXT('All Tandem Adjustments Source'!R79,"H:MM:SS"))</f>
        <v>21:16</v>
      </c>
      <c r="G78" s="53" t="str">
        <f>IF('All Tandem Adjustments Source'!V79&lt;1/24,TEXT('All Tandem Adjustments Source'!V79,"M:SS"),TEXT('All Tandem Adjustments Source'!V79,"H:MM:SS"))</f>
        <v>50:12</v>
      </c>
      <c r="H78" s="54">
        <f>'All Tandem Adjustments Source'!Z79</f>
        <v>52.306805555555556</v>
      </c>
      <c r="I78" s="54">
        <f>'All Tandem Adjustments Source'!AD79</f>
        <v>100.67200231481482</v>
      </c>
      <c r="J78" s="57" t="str">
        <f>IF('All Tandem Adjustments Source'!C79&lt;1/24,TEXT('All Tandem Adjustments Source'!C79,"M:SS"),TEXT('All Tandem Adjustments Source'!C79,"H:MM:SS"))</f>
        <v>5:27</v>
      </c>
      <c r="K78" s="57" t="str">
        <f>IF('All Tandem Adjustments Source'!G79&lt;1/24,TEXT('All Tandem Adjustments Source'!G79,"M:SS"),TEXT('All Tandem Adjustments Source'!G79,"H:MM:SS"))</f>
        <v>8:16</v>
      </c>
      <c r="L78" s="57" t="str">
        <f>IF('All Tandem Adjustments Source'!K79&lt;1/24,TEXT('All Tandem Adjustments Source'!K79,"M:SS"),TEXT('All Tandem Adjustments Source'!K79,"H:MM:SS"))</f>
        <v>14:09</v>
      </c>
      <c r="M78" s="57" t="str">
        <f>IF('All Tandem Adjustments Source'!O79&lt;1/24,TEXT('All Tandem Adjustments Source'!O79,"M:SS"),TEXT('All Tandem Adjustments Source'!O79,"H:MM:SS"))</f>
        <v>17:12</v>
      </c>
      <c r="N78" s="57" t="str">
        <f>IF('All Tandem Adjustments Source'!S79&lt;1/24,TEXT('All Tandem Adjustments Source'!S79,"M:SS"),TEXT('All Tandem Adjustments Source'!S79,"H:MM:SS"))</f>
        <v>30:11</v>
      </c>
      <c r="O78" s="57" t="str">
        <f>IF('All Tandem Adjustments Source'!W79&lt;1/24,TEXT('All Tandem Adjustments Source'!W79,"M:SS"),TEXT('All Tandem Adjustments Source'!W79,"H:MM:SS"))</f>
        <v>1:09:26</v>
      </c>
      <c r="P78" s="58">
        <f>'All Tandem Adjustments Source'!AA79</f>
        <v>60.554004629629631</v>
      </c>
      <c r="Q78" s="58">
        <f>'All Tandem Adjustments Source'!AE79</f>
        <v>109.79799768518518</v>
      </c>
      <c r="R78" s="50" t="str">
        <f>IF('All Tandem Adjustments Source'!D79&lt;1/24,TEXT('All Tandem Adjustments Source'!D79,"M:SS"),TEXT('All Tandem Adjustments Source'!D79,"H:MM:SS"))</f>
        <v>5:02</v>
      </c>
      <c r="S78" s="50" t="str">
        <f>IF('All Tandem Adjustments Source'!H79&lt;1/24,TEXT('All Tandem Adjustments Source'!H79,"M:SS"),TEXT('All Tandem Adjustments Source'!H79,"H:MM:SS"))</f>
        <v>7:38</v>
      </c>
      <c r="T78" s="50" t="str">
        <f>IF('All Tandem Adjustments Source'!L79&lt;1/24,TEXT('All Tandem Adjustments Source'!L79,"M:SS"),TEXT('All Tandem Adjustments Source'!L79,"H:MM:SS"))</f>
        <v>13:04</v>
      </c>
      <c r="U78" s="50" t="str">
        <f>IF('All Tandem Adjustments Source'!P79&lt;1/24,TEXT('All Tandem Adjustments Source'!P79,"M:SS"),TEXT('All Tandem Adjustments Source'!P79,"H:MM:SS"))</f>
        <v>15:54</v>
      </c>
      <c r="V78" s="50" t="str">
        <f>IF('All Tandem Adjustments Source'!T79&lt;1/24,TEXT('All Tandem Adjustments Source'!T79,"M:SS"),TEXT('All Tandem Adjustments Source'!T79,"H:MM:SS"))</f>
        <v>27:58</v>
      </c>
      <c r="W78" s="50" t="str">
        <f>IF('All Tandem Adjustments Source'!X79&lt;1/24,TEXT('All Tandem Adjustments Source'!X79,"M:SS"),TEXT('All Tandem Adjustments Source'!X79,"H:MM:SS"))</f>
        <v>1:04:40</v>
      </c>
      <c r="X78" s="51">
        <f>'All Tandem Adjustments Source'!AB79</f>
        <v>58.63</v>
      </c>
      <c r="Y78" s="51">
        <f>'All Tandem Adjustments Source'!AF79</f>
        <v>107.61920138888888</v>
      </c>
      <c r="Z78" s="55" t="str">
        <f>IF('All Tandem Adjustments Source'!E79&lt;1/24,TEXT('All Tandem Adjustments Source'!E79,"M:SS"),TEXT('All Tandem Adjustments Source'!E79,"H:MM:SS"))</f>
        <v>6:53</v>
      </c>
      <c r="AA78" s="55" t="str">
        <f>IF('All Tandem Adjustments Source'!I79&lt;1/24,TEXT('All Tandem Adjustments Source'!I79,"M:SS"),TEXT('All Tandem Adjustments Source'!I79,"H:MM:SS"))</f>
        <v>10:26</v>
      </c>
      <c r="AB78" s="55" t="str">
        <f>IF('All Tandem Adjustments Source'!M79&lt;1/24,TEXT('All Tandem Adjustments Source'!M79,"M:SS"),TEXT('All Tandem Adjustments Source'!M79,"H:MM:SS"))</f>
        <v>17:48</v>
      </c>
      <c r="AC78" s="55" t="str">
        <f>IF('All Tandem Adjustments Source'!Q79&lt;1/24,TEXT('All Tandem Adjustments Source'!Q79,"M:SS"),TEXT('All Tandem Adjustments Source'!Q79,"H:MM:SS"))</f>
        <v>21:36</v>
      </c>
      <c r="AD78" s="55" t="str">
        <f>IF('All Tandem Adjustments Source'!U79&lt;1/24,TEXT('All Tandem Adjustments Source'!U79,"M:SS"),TEXT('All Tandem Adjustments Source'!U79,"H:MM:SS"))</f>
        <v>37:44</v>
      </c>
      <c r="AE78" s="55" t="str">
        <f>IF('All Tandem Adjustments Source'!Y79&lt;1/24,TEXT('All Tandem Adjustments Source'!Y79,"M:SS"),TEXT('All Tandem Adjustments Source'!Y79,"H:MM:SS"))</f>
        <v>1:25:45</v>
      </c>
      <c r="AF78" s="56">
        <f>'All Tandem Adjustments Source'!AC79</f>
        <v>66.565196759259265</v>
      </c>
      <c r="AG78" s="56">
        <f>'All Tandem Adjustments Source'!AG79</f>
        <v>116.82319444444444</v>
      </c>
    </row>
    <row r="79" spans="1:33" x14ac:dyDescent="0.25">
      <c r="A79" s="17">
        <f>'All Tandem Adjustments Source'!A80</f>
        <v>86</v>
      </c>
      <c r="B79" s="53" t="str">
        <f>IF('All Tandem Adjustments Source'!B80&lt;1/24,TEXT('All Tandem Adjustments Source'!B80,"M:SS"),TEXT('All Tandem Adjustments Source'!B80,"H:MM:SS"))</f>
        <v>3:57</v>
      </c>
      <c r="C79" s="53" t="str">
        <f>IF('All Tandem Adjustments Source'!F80&lt;1/24,TEXT('All Tandem Adjustments Source'!F80,"M:SS"),TEXT('All Tandem Adjustments Source'!F80,"H:MM:SS"))</f>
        <v>6:01</v>
      </c>
      <c r="D79" s="53" t="str">
        <f>IF('All Tandem Adjustments Source'!J80&lt;1/24,TEXT('All Tandem Adjustments Source'!J80,"M:SS"),TEXT('All Tandem Adjustments Source'!J80,"H:MM:SS"))</f>
        <v>10:22</v>
      </c>
      <c r="E79" s="53" t="str">
        <f>IF('All Tandem Adjustments Source'!N80&lt;1/24,TEXT('All Tandem Adjustments Source'!N80,"M:SS"),TEXT('All Tandem Adjustments Source'!N80,"H:MM:SS"))</f>
        <v>12:37</v>
      </c>
      <c r="F79" s="53" t="str">
        <f>IF('All Tandem Adjustments Source'!R80&lt;1/24,TEXT('All Tandem Adjustments Source'!R80,"M:SS"),TEXT('All Tandem Adjustments Source'!R80,"H:MM:SS"))</f>
        <v>22:25</v>
      </c>
      <c r="G79" s="53" t="str">
        <f>IF('All Tandem Adjustments Source'!V80&lt;1/24,TEXT('All Tandem Adjustments Source'!V80,"M:SS"),TEXT('All Tandem Adjustments Source'!V80,"H:MM:SS"))</f>
        <v>53:05</v>
      </c>
      <c r="H79" s="54">
        <f>'All Tandem Adjustments Source'!Z80</f>
        <v>54.168402777777779</v>
      </c>
      <c r="I79" s="54">
        <f>'All Tandem Adjustments Source'!AD80</f>
        <v>104.10400462962963</v>
      </c>
      <c r="J79" s="57" t="str">
        <f>IF('All Tandem Adjustments Source'!C80&lt;1/24,TEXT('All Tandem Adjustments Source'!C80,"M:SS"),TEXT('All Tandem Adjustments Source'!C80,"H:MM:SS"))</f>
        <v>5:40</v>
      </c>
      <c r="K79" s="57" t="str">
        <f>IF('All Tandem Adjustments Source'!G80&lt;1/24,TEXT('All Tandem Adjustments Source'!G80,"M:SS"),TEXT('All Tandem Adjustments Source'!G80,"H:MM:SS"))</f>
        <v>8:36</v>
      </c>
      <c r="L79" s="57" t="str">
        <f>IF('All Tandem Adjustments Source'!K80&lt;1/24,TEXT('All Tandem Adjustments Source'!K80,"M:SS"),TEXT('All Tandem Adjustments Source'!K80,"H:MM:SS"))</f>
        <v>14:44</v>
      </c>
      <c r="M79" s="57" t="str">
        <f>IF('All Tandem Adjustments Source'!O80&lt;1/24,TEXT('All Tandem Adjustments Source'!O80,"M:SS"),TEXT('All Tandem Adjustments Source'!O80,"H:MM:SS"))</f>
        <v>17:54</v>
      </c>
      <c r="N79" s="57" t="str">
        <f>IF('All Tandem Adjustments Source'!S80&lt;1/24,TEXT('All Tandem Adjustments Source'!S80,"M:SS"),TEXT('All Tandem Adjustments Source'!S80,"H:MM:SS"))</f>
        <v>31:29</v>
      </c>
      <c r="O79" s="57" t="str">
        <f>IF('All Tandem Adjustments Source'!W80&lt;1/24,TEXT('All Tandem Adjustments Source'!W80,"M:SS"),TEXT('All Tandem Adjustments Source'!W80,"H:MM:SS"))</f>
        <v>1:12:42</v>
      </c>
      <c r="P79" s="58">
        <f>'All Tandem Adjustments Source'!AA80</f>
        <v>62.212800925925926</v>
      </c>
      <c r="Q79" s="58">
        <f>'All Tandem Adjustments Source'!AE80</f>
        <v>112.90760416666667</v>
      </c>
      <c r="R79" s="50" t="str">
        <f>IF('All Tandem Adjustments Source'!D80&lt;1/24,TEXT('All Tandem Adjustments Source'!D80,"M:SS"),TEXT('All Tandem Adjustments Source'!D80,"H:MM:SS"))</f>
        <v>5:14</v>
      </c>
      <c r="S79" s="50" t="str">
        <f>IF('All Tandem Adjustments Source'!H80&lt;1/24,TEXT('All Tandem Adjustments Source'!H80,"M:SS"),TEXT('All Tandem Adjustments Source'!H80,"H:MM:SS"))</f>
        <v>7:58</v>
      </c>
      <c r="T79" s="50" t="str">
        <f>IF('All Tandem Adjustments Source'!L80&lt;1/24,TEXT('All Tandem Adjustments Source'!L80,"M:SS"),TEXT('All Tandem Adjustments Source'!L80,"H:MM:SS"))</f>
        <v>13:38</v>
      </c>
      <c r="U79" s="50" t="str">
        <f>IF('All Tandem Adjustments Source'!P80&lt;1/24,TEXT('All Tandem Adjustments Source'!P80,"M:SS"),TEXT('All Tandem Adjustments Source'!P80,"H:MM:SS"))</f>
        <v>16:36</v>
      </c>
      <c r="V79" s="50" t="str">
        <f>IF('All Tandem Adjustments Source'!T80&lt;1/24,TEXT('All Tandem Adjustments Source'!T80,"M:SS"),TEXT('All Tandem Adjustments Source'!T80,"H:MM:SS"))</f>
        <v>29:13</v>
      </c>
      <c r="W79" s="50" t="str">
        <f>IF('All Tandem Adjustments Source'!X80&lt;1/24,TEXT('All Tandem Adjustments Source'!X80,"M:SS"),TEXT('All Tandem Adjustments Source'!X80,"H:MM:SS"))</f>
        <v>1:07:50</v>
      </c>
      <c r="X79" s="51">
        <f>'All Tandem Adjustments Source'!AB80</f>
        <v>60.335601851851855</v>
      </c>
      <c r="Y79" s="51">
        <f>'All Tandem Adjustments Source'!AF80</f>
        <v>110.80159722222223</v>
      </c>
      <c r="Z79" s="55" t="str">
        <f>IF('All Tandem Adjustments Source'!E80&lt;1/24,TEXT('All Tandem Adjustments Source'!E80,"M:SS"),TEXT('All Tandem Adjustments Source'!E80,"H:MM:SS"))</f>
        <v>7:07</v>
      </c>
      <c r="AA79" s="55" t="str">
        <f>IF('All Tandem Adjustments Source'!I80&lt;1/24,TEXT('All Tandem Adjustments Source'!I80,"M:SS"),TEXT('All Tandem Adjustments Source'!I80,"H:MM:SS"))</f>
        <v>10:48</v>
      </c>
      <c r="AB79" s="55" t="str">
        <f>IF('All Tandem Adjustments Source'!M80&lt;1/24,TEXT('All Tandem Adjustments Source'!M80,"M:SS"),TEXT('All Tandem Adjustments Source'!M80,"H:MM:SS"))</f>
        <v>18:25</v>
      </c>
      <c r="AC79" s="55" t="str">
        <f>IF('All Tandem Adjustments Source'!Q80&lt;1/24,TEXT('All Tandem Adjustments Source'!Q80,"M:SS"),TEXT('All Tandem Adjustments Source'!Q80,"H:MM:SS"))</f>
        <v>22:23</v>
      </c>
      <c r="AD79" s="55" t="str">
        <f>IF('All Tandem Adjustments Source'!U80&lt;1/24,TEXT('All Tandem Adjustments Source'!U80,"M:SS"),TEXT('All Tandem Adjustments Source'!U80,"H:MM:SS"))</f>
        <v>39:09</v>
      </c>
      <c r="AE79" s="55" t="str">
        <f>IF('All Tandem Adjustments Source'!Y80&lt;1/24,TEXT('All Tandem Adjustments Source'!Y80,"M:SS"),TEXT('All Tandem Adjustments Source'!Y80,"H:MM:SS"))</f>
        <v>1:29:20</v>
      </c>
      <c r="AF79" s="56">
        <f>'All Tandem Adjustments Source'!AC80</f>
        <v>68.088796296296294</v>
      </c>
      <c r="AG79" s="56">
        <f>'All Tandem Adjustments Source'!AG80</f>
        <v>119.70400462962964</v>
      </c>
    </row>
    <row r="80" spans="1:33" x14ac:dyDescent="0.25">
      <c r="A80" s="17">
        <f>'All Tandem Adjustments Source'!A81</f>
        <v>87</v>
      </c>
      <c r="B80" s="53" t="str">
        <f>IF('All Tandem Adjustments Source'!B81&lt;1/24,TEXT('All Tandem Adjustments Source'!B81,"M:SS"),TEXT('All Tandem Adjustments Source'!B81,"H:MM:SS"))</f>
        <v>4:10</v>
      </c>
      <c r="C80" s="53" t="str">
        <f>IF('All Tandem Adjustments Source'!F81&lt;1/24,TEXT('All Tandem Adjustments Source'!F81,"M:SS"),TEXT('All Tandem Adjustments Source'!F81,"H:MM:SS"))</f>
        <v>6:20</v>
      </c>
      <c r="D80" s="53" t="str">
        <f>IF('All Tandem Adjustments Source'!J81&lt;1/24,TEXT('All Tandem Adjustments Source'!J81,"M:SS"),TEXT('All Tandem Adjustments Source'!J81,"H:MM:SS"))</f>
        <v>10:54</v>
      </c>
      <c r="E80" s="53" t="str">
        <f>IF('All Tandem Adjustments Source'!N81&lt;1/24,TEXT('All Tandem Adjustments Source'!N81,"M:SS"),TEXT('All Tandem Adjustments Source'!N81,"H:MM:SS"))</f>
        <v>13:17</v>
      </c>
      <c r="F80" s="53" t="str">
        <f>IF('All Tandem Adjustments Source'!R81&lt;1/24,TEXT('All Tandem Adjustments Source'!R81,"M:SS"),TEXT('All Tandem Adjustments Source'!R81,"H:MM:SS"))</f>
        <v>23:37</v>
      </c>
      <c r="G80" s="53" t="str">
        <f>IF('All Tandem Adjustments Source'!V81&lt;1/24,TEXT('All Tandem Adjustments Source'!V81,"M:SS"),TEXT('All Tandem Adjustments Source'!V81,"H:MM:SS"))</f>
        <v>56:11</v>
      </c>
      <c r="H80" s="54">
        <f>'All Tandem Adjustments Source'!Z81</f>
        <v>56.06640046296296</v>
      </c>
      <c r="I80" s="54">
        <f>'All Tandem Adjustments Source'!AD81</f>
        <v>107.57760416666666</v>
      </c>
      <c r="J80" s="57" t="str">
        <f>IF('All Tandem Adjustments Source'!C81&lt;1/24,TEXT('All Tandem Adjustments Source'!C81,"M:SS"),TEXT('All Tandem Adjustments Source'!C81,"H:MM:SS"))</f>
        <v>5:54</v>
      </c>
      <c r="K80" s="57" t="str">
        <f>IF('All Tandem Adjustments Source'!G81&lt;1/24,TEXT('All Tandem Adjustments Source'!G81,"M:SS"),TEXT('All Tandem Adjustments Source'!G81,"H:MM:SS"))</f>
        <v>8:58</v>
      </c>
      <c r="L80" s="57" t="str">
        <f>IF('All Tandem Adjustments Source'!K81&lt;1/24,TEXT('All Tandem Adjustments Source'!K81,"M:SS"),TEXT('All Tandem Adjustments Source'!K81,"H:MM:SS"))</f>
        <v>15:20</v>
      </c>
      <c r="M80" s="57" t="str">
        <f>IF('All Tandem Adjustments Source'!O81&lt;1/24,TEXT('All Tandem Adjustments Source'!O81,"M:SS"),TEXT('All Tandem Adjustments Source'!O81,"H:MM:SS"))</f>
        <v>18:39</v>
      </c>
      <c r="N80" s="57" t="str">
        <f>IF('All Tandem Adjustments Source'!S81&lt;1/24,TEXT('All Tandem Adjustments Source'!S81,"M:SS"),TEXT('All Tandem Adjustments Source'!S81,"H:MM:SS"))</f>
        <v>32:50</v>
      </c>
      <c r="O80" s="57" t="str">
        <f>IF('All Tandem Adjustments Source'!W81&lt;1/24,TEXT('All Tandem Adjustments Source'!W81,"M:SS"),TEXT('All Tandem Adjustments Source'!W81,"H:MM:SS"))</f>
        <v>1:16:11</v>
      </c>
      <c r="P80" s="58">
        <f>'All Tandem Adjustments Source'!AA81</f>
        <v>63.907997685185187</v>
      </c>
      <c r="Q80" s="58">
        <f>'All Tandem Adjustments Source'!AE81</f>
        <v>116.06400462962964</v>
      </c>
      <c r="R80" s="50" t="str">
        <f>IF('All Tandem Adjustments Source'!D81&lt;1/24,TEXT('All Tandem Adjustments Source'!D81,"M:SS"),TEXT('All Tandem Adjustments Source'!D81,"H:MM:SS"))</f>
        <v>5:28</v>
      </c>
      <c r="S80" s="50" t="str">
        <f>IF('All Tandem Adjustments Source'!H81&lt;1/24,TEXT('All Tandem Adjustments Source'!H81,"M:SS"),TEXT('All Tandem Adjustments Source'!H81,"H:MM:SS"))</f>
        <v>8:18</v>
      </c>
      <c r="T80" s="50" t="str">
        <f>IF('All Tandem Adjustments Source'!L81&lt;1/24,TEXT('All Tandem Adjustments Source'!L81,"M:SS"),TEXT('All Tandem Adjustments Source'!L81,"H:MM:SS"))</f>
        <v>14:14</v>
      </c>
      <c r="U80" s="50" t="str">
        <f>IF('All Tandem Adjustments Source'!P81&lt;1/24,TEXT('All Tandem Adjustments Source'!P81,"M:SS"),TEXT('All Tandem Adjustments Source'!P81,"H:MM:SS"))</f>
        <v>17:19</v>
      </c>
      <c r="V80" s="50" t="str">
        <f>IF('All Tandem Adjustments Source'!T81&lt;1/24,TEXT('All Tandem Adjustments Source'!T81,"M:SS"),TEXT('All Tandem Adjustments Source'!T81,"H:MM:SS"))</f>
        <v>30:33</v>
      </c>
      <c r="W80" s="50" t="str">
        <f>IF('All Tandem Adjustments Source'!X81&lt;1/24,TEXT('All Tandem Adjustments Source'!X81,"M:SS"),TEXT('All Tandem Adjustments Source'!X81,"H:MM:SS"))</f>
        <v>1:11:13</v>
      </c>
      <c r="X80" s="51">
        <f>'All Tandem Adjustments Source'!AB81</f>
        <v>62.077604166666667</v>
      </c>
      <c r="Y80" s="51">
        <f>'All Tandem Adjustments Source'!AF81</f>
        <v>114.03079861111111</v>
      </c>
      <c r="Z80" s="55" t="str">
        <f>IF('All Tandem Adjustments Source'!E81&lt;1/24,TEXT('All Tandem Adjustments Source'!E81,"M:SS"),TEXT('All Tandem Adjustments Source'!E81,"H:MM:SS"))</f>
        <v>7:22</v>
      </c>
      <c r="AA80" s="55" t="str">
        <f>IF('All Tandem Adjustments Source'!I81&lt;1/24,TEXT('All Tandem Adjustments Source'!I81,"M:SS"),TEXT('All Tandem Adjustments Source'!I81,"H:MM:SS"))</f>
        <v>11:11</v>
      </c>
      <c r="AB80" s="55" t="str">
        <f>IF('All Tandem Adjustments Source'!M81&lt;1/24,TEXT('All Tandem Adjustments Source'!M81,"M:SS"),TEXT('All Tandem Adjustments Source'!M81,"H:MM:SS"))</f>
        <v>19:06</v>
      </c>
      <c r="AC80" s="55" t="str">
        <f>IF('All Tandem Adjustments Source'!Q81&lt;1/24,TEXT('All Tandem Adjustments Source'!Q81,"M:SS"),TEXT('All Tandem Adjustments Source'!Q81,"H:MM:SS"))</f>
        <v>23:12</v>
      </c>
      <c r="AD80" s="55" t="str">
        <f>IF('All Tandem Adjustments Source'!U81&lt;1/24,TEXT('All Tandem Adjustments Source'!U81,"M:SS"),TEXT('All Tandem Adjustments Source'!U81,"H:MM:SS"))</f>
        <v>40:39</v>
      </c>
      <c r="AE80" s="55" t="str">
        <f>IF('All Tandem Adjustments Source'!Y81&lt;1/24,TEXT('All Tandem Adjustments Source'!Y81,"M:SS"),TEXT('All Tandem Adjustments Source'!Y81,"H:MM:SS"))</f>
        <v>1:33:09</v>
      </c>
      <c r="AF80" s="56">
        <f>'All Tandem Adjustments Source'!AC81</f>
        <v>69.638402777777785</v>
      </c>
      <c r="AG80" s="56">
        <f>'All Tandem Adjustments Source'!AG81</f>
        <v>122.62640046296296</v>
      </c>
    </row>
    <row r="81" spans="1:33" x14ac:dyDescent="0.25">
      <c r="A81" s="17">
        <f>'All Tandem Adjustments Source'!A82</f>
        <v>88</v>
      </c>
      <c r="B81" s="53" t="str">
        <f>IF('All Tandem Adjustments Source'!B82&lt;1/24,TEXT('All Tandem Adjustments Source'!B82,"M:SS"),TEXT('All Tandem Adjustments Source'!B82,"H:MM:SS"))</f>
        <v>4:23</v>
      </c>
      <c r="C81" s="53" t="str">
        <f>IF('All Tandem Adjustments Source'!F82&lt;1/24,TEXT('All Tandem Adjustments Source'!F82,"M:SS"),TEXT('All Tandem Adjustments Source'!F82,"H:MM:SS"))</f>
        <v>6:40</v>
      </c>
      <c r="D81" s="53" t="str">
        <f>IF('All Tandem Adjustments Source'!J82&lt;1/24,TEXT('All Tandem Adjustments Source'!J82,"M:SS"),TEXT('All Tandem Adjustments Source'!J82,"H:MM:SS"))</f>
        <v>11:28</v>
      </c>
      <c r="E81" s="53" t="str">
        <f>IF('All Tandem Adjustments Source'!N82&lt;1/24,TEXT('All Tandem Adjustments Source'!N82,"M:SS"),TEXT('All Tandem Adjustments Source'!N82,"H:MM:SS"))</f>
        <v>14:00</v>
      </c>
      <c r="F81" s="53" t="str">
        <f>IF('All Tandem Adjustments Source'!R82&lt;1/24,TEXT('All Tandem Adjustments Source'!R82,"M:SS"),TEXT('All Tandem Adjustments Source'!R82,"H:MM:SS"))</f>
        <v>24:55</v>
      </c>
      <c r="G81" s="53" t="str">
        <f>IF('All Tandem Adjustments Source'!V82&lt;1/24,TEXT('All Tandem Adjustments Source'!V82,"M:SS"),TEXT('All Tandem Adjustments Source'!V82,"H:MM:SS"))</f>
        <v>59:28</v>
      </c>
      <c r="H81" s="54">
        <f>'All Tandem Adjustments Source'!Z82</f>
        <v>57.995601851851852</v>
      </c>
      <c r="I81" s="54">
        <f>'All Tandem Adjustments Source'!AD82</f>
        <v>111.10840277777778</v>
      </c>
      <c r="J81" s="57" t="str">
        <f>IF('All Tandem Adjustments Source'!C82&lt;1/24,TEXT('All Tandem Adjustments Source'!C82,"M:SS"),TEXT('All Tandem Adjustments Source'!C82,"H:MM:SS"))</f>
        <v>6:08</v>
      </c>
      <c r="K81" s="57" t="str">
        <f>IF('All Tandem Adjustments Source'!G82&lt;1/24,TEXT('All Tandem Adjustments Source'!G82,"M:SS"),TEXT('All Tandem Adjustments Source'!G82,"H:MM:SS"))</f>
        <v>9:20</v>
      </c>
      <c r="L81" s="57" t="str">
        <f>IF('All Tandem Adjustments Source'!K82&lt;1/24,TEXT('All Tandem Adjustments Source'!K82,"M:SS"),TEXT('All Tandem Adjustments Source'!K82,"H:MM:SS"))</f>
        <v>15:59</v>
      </c>
      <c r="M81" s="57" t="str">
        <f>IF('All Tandem Adjustments Source'!O82&lt;1/24,TEXT('All Tandem Adjustments Source'!O82,"M:SS"),TEXT('All Tandem Adjustments Source'!O82,"H:MM:SS"))</f>
        <v>19:26</v>
      </c>
      <c r="N81" s="57" t="str">
        <f>IF('All Tandem Adjustments Source'!S82&lt;1/24,TEXT('All Tandem Adjustments Source'!S82,"M:SS"),TEXT('All Tandem Adjustments Source'!S82,"H:MM:SS"))</f>
        <v>34:17</v>
      </c>
      <c r="O81" s="57" t="str">
        <f>IF('All Tandem Adjustments Source'!W82&lt;1/24,TEXT('All Tandem Adjustments Source'!W82,"M:SS"),TEXT('All Tandem Adjustments Source'!W82,"H:MM:SS"))</f>
        <v>1:19:54</v>
      </c>
      <c r="P81" s="58">
        <f>'All Tandem Adjustments Source'!AA82</f>
        <v>65.629201388888887</v>
      </c>
      <c r="Q81" s="58">
        <f>'All Tandem Adjustments Source'!AE82</f>
        <v>119.26719907407407</v>
      </c>
      <c r="R81" s="50" t="str">
        <f>IF('All Tandem Adjustments Source'!D82&lt;1/24,TEXT('All Tandem Adjustments Source'!D82,"M:SS"),TEXT('All Tandem Adjustments Source'!D82,"H:MM:SS"))</f>
        <v>5:42</v>
      </c>
      <c r="S81" s="50" t="str">
        <f>IF('All Tandem Adjustments Source'!H82&lt;1/24,TEXT('All Tandem Adjustments Source'!H82,"M:SS"),TEXT('All Tandem Adjustments Source'!H82,"H:MM:SS"))</f>
        <v>8:40</v>
      </c>
      <c r="T81" s="50" t="str">
        <f>IF('All Tandem Adjustments Source'!L82&lt;1/24,TEXT('All Tandem Adjustments Source'!L82,"M:SS"),TEXT('All Tandem Adjustments Source'!L82,"H:MM:SS"))</f>
        <v>14:51</v>
      </c>
      <c r="U81" s="50" t="str">
        <f>IF('All Tandem Adjustments Source'!P82&lt;1/24,TEXT('All Tandem Adjustments Source'!P82,"M:SS"),TEXT('All Tandem Adjustments Source'!P82,"H:MM:SS"))</f>
        <v>18:05</v>
      </c>
      <c r="V81" s="50" t="str">
        <f>IF('All Tandem Adjustments Source'!T82&lt;1/24,TEXT('All Tandem Adjustments Source'!T82,"M:SS"),TEXT('All Tandem Adjustments Source'!T82,"H:MM:SS"))</f>
        <v>31:58</v>
      </c>
      <c r="W81" s="50" t="str">
        <f>IF('All Tandem Adjustments Source'!X82&lt;1/24,TEXT('All Tandem Adjustments Source'!X82,"M:SS"),TEXT('All Tandem Adjustments Source'!X82,"H:MM:SS"))</f>
        <v>1:14:50</v>
      </c>
      <c r="X81" s="51">
        <f>'All Tandem Adjustments Source'!AB82</f>
        <v>63.845601851851853</v>
      </c>
      <c r="Y81" s="51">
        <f>'All Tandem Adjustments Source'!AF82</f>
        <v>117.31200231481482</v>
      </c>
      <c r="Z81" s="55" t="str">
        <f>IF('All Tandem Adjustments Source'!E82&lt;1/24,TEXT('All Tandem Adjustments Source'!E82,"M:SS"),TEXT('All Tandem Adjustments Source'!E82,"H:MM:SS"))</f>
        <v>7:38</v>
      </c>
      <c r="AA81" s="55" t="str">
        <f>IF('All Tandem Adjustments Source'!I82&lt;1/24,TEXT('All Tandem Adjustments Source'!I82,"M:SS"),TEXT('All Tandem Adjustments Source'!I82,"H:MM:SS"))</f>
        <v>11:35</v>
      </c>
      <c r="AB81" s="55" t="str">
        <f>IF('All Tandem Adjustments Source'!M82&lt;1/24,TEXT('All Tandem Adjustments Source'!M82,"M:SS"),TEXT('All Tandem Adjustments Source'!M82,"H:MM:SS"))</f>
        <v>19:48</v>
      </c>
      <c r="AC81" s="55" t="str">
        <f>IF('All Tandem Adjustments Source'!Q82&lt;1/24,TEXT('All Tandem Adjustments Source'!Q82,"M:SS"),TEXT('All Tandem Adjustments Source'!Q82,"H:MM:SS"))</f>
        <v>24:04</v>
      </c>
      <c r="AD81" s="55" t="str">
        <f>IF('All Tandem Adjustments Source'!U82&lt;1/24,TEXT('All Tandem Adjustments Source'!U82,"M:SS"),TEXT('All Tandem Adjustments Source'!U82,"H:MM:SS"))</f>
        <v>42:13</v>
      </c>
      <c r="AE81" s="55" t="str">
        <f>IF('All Tandem Adjustments Source'!Y82&lt;1/24,TEXT('All Tandem Adjustments Source'!Y82,"M:SS"),TEXT('All Tandem Adjustments Source'!Y82,"H:MM:SS"))</f>
        <v>1:37:13</v>
      </c>
      <c r="AF81" s="56">
        <f>'All Tandem Adjustments Source'!AC82</f>
        <v>71.219201388888891</v>
      </c>
      <c r="AG81" s="56">
        <f>'All Tandem Adjustments Source'!AG82</f>
        <v>125.60079861111112</v>
      </c>
    </row>
    <row r="82" spans="1:33" x14ac:dyDescent="0.25">
      <c r="A82" s="17">
        <f>'All Tandem Adjustments Source'!A83</f>
        <v>89</v>
      </c>
      <c r="B82" s="53" t="str">
        <f>IF('All Tandem Adjustments Source'!B83&lt;1/24,TEXT('All Tandem Adjustments Source'!B83,"M:SS"),TEXT('All Tandem Adjustments Source'!B83,"H:MM:SS"))</f>
        <v>4:36</v>
      </c>
      <c r="C82" s="53" t="str">
        <f>IF('All Tandem Adjustments Source'!F83&lt;1/24,TEXT('All Tandem Adjustments Source'!F83,"M:SS"),TEXT('All Tandem Adjustments Source'!F83,"H:MM:SS"))</f>
        <v>7:00</v>
      </c>
      <c r="D82" s="53" t="str">
        <f>IF('All Tandem Adjustments Source'!J83&lt;1/24,TEXT('All Tandem Adjustments Source'!J83,"M:SS"),TEXT('All Tandem Adjustments Source'!J83,"H:MM:SS"))</f>
        <v>12:04</v>
      </c>
      <c r="E82" s="53" t="str">
        <f>IF('All Tandem Adjustments Source'!N83&lt;1/24,TEXT('All Tandem Adjustments Source'!N83,"M:SS"),TEXT('All Tandem Adjustments Source'!N83,"H:MM:SS"))</f>
        <v>14:44</v>
      </c>
      <c r="F82" s="53" t="str">
        <f>IF('All Tandem Adjustments Source'!R83&lt;1/24,TEXT('All Tandem Adjustments Source'!R83,"M:SS"),TEXT('All Tandem Adjustments Source'!R83,"H:MM:SS"))</f>
        <v>26:16</v>
      </c>
      <c r="G82" s="53" t="str">
        <f>IF('All Tandem Adjustments Source'!V83&lt;1/24,TEXT('All Tandem Adjustments Source'!V83,"M:SS"),TEXT('All Tandem Adjustments Source'!V83,"H:MM:SS"))</f>
        <v>1:03:00</v>
      </c>
      <c r="H82" s="54">
        <f>'All Tandem Adjustments Source'!Z83</f>
        <v>59.961203703703703</v>
      </c>
      <c r="I82" s="54">
        <f>'All Tandem Adjustments Source'!AD83</f>
        <v>114.68599537037036</v>
      </c>
      <c r="J82" s="57" t="str">
        <f>IF('All Tandem Adjustments Source'!C83&lt;1/24,TEXT('All Tandem Adjustments Source'!C83,"M:SS"),TEXT('All Tandem Adjustments Source'!C83,"H:MM:SS"))</f>
        <v>6:24</v>
      </c>
      <c r="K82" s="57" t="str">
        <f>IF('All Tandem Adjustments Source'!G83&lt;1/24,TEXT('All Tandem Adjustments Source'!G83,"M:SS"),TEXT('All Tandem Adjustments Source'!G83,"H:MM:SS"))</f>
        <v>9:43</v>
      </c>
      <c r="L82" s="57" t="str">
        <f>IF('All Tandem Adjustments Source'!K83&lt;1/24,TEXT('All Tandem Adjustments Source'!K83,"M:SS"),TEXT('All Tandem Adjustments Source'!K83,"H:MM:SS"))</f>
        <v>16:39</v>
      </c>
      <c r="M82" s="57" t="str">
        <f>IF('All Tandem Adjustments Source'!O83&lt;1/24,TEXT('All Tandem Adjustments Source'!O83,"M:SS"),TEXT('All Tandem Adjustments Source'!O83,"H:MM:SS"))</f>
        <v>20:17</v>
      </c>
      <c r="N82" s="57" t="str">
        <f>IF('All Tandem Adjustments Source'!S83&lt;1/24,TEXT('All Tandem Adjustments Source'!S83,"M:SS"),TEXT('All Tandem Adjustments Source'!S83,"H:MM:SS"))</f>
        <v>35:49</v>
      </c>
      <c r="O82" s="57" t="str">
        <f>IF('All Tandem Adjustments Source'!W83&lt;1/24,TEXT('All Tandem Adjustments Source'!W83,"M:SS"),TEXT('All Tandem Adjustments Source'!W83,"H:MM:SS"))</f>
        <v>1:23:53</v>
      </c>
      <c r="P82" s="58">
        <f>'All Tandem Adjustments Source'!AA83</f>
        <v>67.386805555555554</v>
      </c>
      <c r="Q82" s="58">
        <f>'All Tandem Adjustments Source'!AE83</f>
        <v>122.52239583333333</v>
      </c>
      <c r="R82" s="50" t="str">
        <f>IF('All Tandem Adjustments Source'!D83&lt;1/24,TEXT('All Tandem Adjustments Source'!D83,"M:SS"),TEXT('All Tandem Adjustments Source'!D83,"H:MM:SS"))</f>
        <v>5:57</v>
      </c>
      <c r="S82" s="50" t="str">
        <f>IF('All Tandem Adjustments Source'!H83&lt;1/24,TEXT('All Tandem Adjustments Source'!H83,"M:SS"),TEXT('All Tandem Adjustments Source'!H83,"H:MM:SS"))</f>
        <v>9:03</v>
      </c>
      <c r="T82" s="50" t="str">
        <f>IF('All Tandem Adjustments Source'!L83&lt;1/24,TEXT('All Tandem Adjustments Source'!L83,"M:SS"),TEXT('All Tandem Adjustments Source'!L83,"H:MM:SS"))</f>
        <v>15:31</v>
      </c>
      <c r="U82" s="50" t="str">
        <f>IF('All Tandem Adjustments Source'!P83&lt;1/24,TEXT('All Tandem Adjustments Source'!P83,"M:SS"),TEXT('All Tandem Adjustments Source'!P83,"H:MM:SS"))</f>
        <v>18:54</v>
      </c>
      <c r="V82" s="50" t="str">
        <f>IF('All Tandem Adjustments Source'!T83&lt;1/24,TEXT('All Tandem Adjustments Source'!T83,"M:SS"),TEXT('All Tandem Adjustments Source'!T83,"H:MM:SS"))</f>
        <v>33:27</v>
      </c>
      <c r="W82" s="50" t="str">
        <f>IF('All Tandem Adjustments Source'!X83&lt;1/24,TEXT('All Tandem Adjustments Source'!X83,"M:SS"),TEXT('All Tandem Adjustments Source'!X83,"H:MM:SS"))</f>
        <v>1:18:42</v>
      </c>
      <c r="X82" s="51">
        <f>'All Tandem Adjustments Source'!AB83</f>
        <v>65.650000000000006</v>
      </c>
      <c r="Y82" s="51">
        <f>'All Tandem Adjustments Source'!AF83</f>
        <v>120.64519675925926</v>
      </c>
      <c r="Z82" s="55" t="str">
        <f>IF('All Tandem Adjustments Source'!E83&lt;1/24,TEXT('All Tandem Adjustments Source'!E83,"M:SS"),TEXT('All Tandem Adjustments Source'!E83,"H:MM:SS"))</f>
        <v>7:55</v>
      </c>
      <c r="AA82" s="55" t="str">
        <f>IF('All Tandem Adjustments Source'!I83&lt;1/24,TEXT('All Tandem Adjustments Source'!I83,"M:SS"),TEXT('All Tandem Adjustments Source'!I83,"H:MM:SS"))</f>
        <v>12:01</v>
      </c>
      <c r="AB82" s="55" t="str">
        <f>IF('All Tandem Adjustments Source'!M83&lt;1/24,TEXT('All Tandem Adjustments Source'!M83,"M:SS"),TEXT('All Tandem Adjustments Source'!M83,"H:MM:SS"))</f>
        <v>20:33</v>
      </c>
      <c r="AC82" s="55" t="str">
        <f>IF('All Tandem Adjustments Source'!Q83&lt;1/24,TEXT('All Tandem Adjustments Source'!Q83,"M:SS"),TEXT('All Tandem Adjustments Source'!Q83,"H:MM:SS"))</f>
        <v>24:59</v>
      </c>
      <c r="AD82" s="55" t="str">
        <f>IF('All Tandem Adjustments Source'!U83&lt;1/24,TEXT('All Tandem Adjustments Source'!U83,"M:SS"),TEXT('All Tandem Adjustments Source'!U83,"H:MM:SS"))</f>
        <v>43:54</v>
      </c>
      <c r="AE82" s="55" t="str">
        <f>IF('All Tandem Adjustments Source'!Y83&lt;1/24,TEXT('All Tandem Adjustments Source'!Y83,"M:SS"),TEXT('All Tandem Adjustments Source'!Y83,"H:MM:SS"))</f>
        <v>1:41:35</v>
      </c>
      <c r="AF82" s="56">
        <f>'All Tandem Adjustments Source'!AC83</f>
        <v>72.831203703703707</v>
      </c>
      <c r="AG82" s="56">
        <f>'All Tandem Adjustments Source'!AG83</f>
        <v>128.61680555555554</v>
      </c>
    </row>
    <row r="83" spans="1:33" x14ac:dyDescent="0.25">
      <c r="A83" s="17">
        <f>'All Tandem Adjustments Source'!A84</f>
        <v>90</v>
      </c>
      <c r="B83" s="53" t="str">
        <f>IF('All Tandem Adjustments Source'!B84&lt;1/24,TEXT('All Tandem Adjustments Source'!B84,"M:SS"),TEXT('All Tandem Adjustments Source'!B84,"H:MM:SS"))</f>
        <v>4:50</v>
      </c>
      <c r="C83" s="53" t="str">
        <f>IF('All Tandem Adjustments Source'!F84&lt;1/24,TEXT('All Tandem Adjustments Source'!F84,"M:SS"),TEXT('All Tandem Adjustments Source'!F84,"H:MM:SS"))</f>
        <v>7:23</v>
      </c>
      <c r="D83" s="53" t="str">
        <f>IF('All Tandem Adjustments Source'!J84&lt;1/24,TEXT('All Tandem Adjustments Source'!J84,"M:SS"),TEXT('All Tandem Adjustments Source'!J84,"H:MM:SS"))</f>
        <v>12:43</v>
      </c>
      <c r="E83" s="53" t="str">
        <f>IF('All Tandem Adjustments Source'!N84&lt;1/24,TEXT('All Tandem Adjustments Source'!N84,"M:SS"),TEXT('All Tandem Adjustments Source'!N84,"H:MM:SS"))</f>
        <v>15:31</v>
      </c>
      <c r="F83" s="53" t="str">
        <f>IF('All Tandem Adjustments Source'!R84&lt;1/24,TEXT('All Tandem Adjustments Source'!R84,"M:SS"),TEXT('All Tandem Adjustments Source'!R84,"H:MM:SS"))</f>
        <v>27:43</v>
      </c>
      <c r="G83" s="53" t="str">
        <f>IF('All Tandem Adjustments Source'!V84&lt;1/24,TEXT('All Tandem Adjustments Source'!V84,"M:SS"),TEXT('All Tandem Adjustments Source'!V84,"H:MM:SS"))</f>
        <v>1:06:48</v>
      </c>
      <c r="H83" s="54">
        <f>'All Tandem Adjustments Source'!Z84</f>
        <v>61.963194444444447</v>
      </c>
      <c r="I83" s="54">
        <f>'All Tandem Adjustments Source'!AD84</f>
        <v>118.31560185185185</v>
      </c>
      <c r="J83" s="57" t="str">
        <f>IF('All Tandem Adjustments Source'!C84&lt;1/24,TEXT('All Tandem Adjustments Source'!C84,"M:SS"),TEXT('All Tandem Adjustments Source'!C84,"H:MM:SS"))</f>
        <v>6:39</v>
      </c>
      <c r="K83" s="57" t="str">
        <f>IF('All Tandem Adjustments Source'!G84&lt;1/24,TEXT('All Tandem Adjustments Source'!G84,"M:SS"),TEXT('All Tandem Adjustments Source'!G84,"H:MM:SS"))</f>
        <v>10:08</v>
      </c>
      <c r="L83" s="57" t="str">
        <f>IF('All Tandem Adjustments Source'!K84&lt;1/24,TEXT('All Tandem Adjustments Source'!K84,"M:SS"),TEXT('All Tandem Adjustments Source'!K84,"H:MM:SS"))</f>
        <v>17:23</v>
      </c>
      <c r="M83" s="57" t="str">
        <f>IF('All Tandem Adjustments Source'!O84&lt;1/24,TEXT('All Tandem Adjustments Source'!O84,"M:SS"),TEXT('All Tandem Adjustments Source'!O84,"H:MM:SS"))</f>
        <v>21:10</v>
      </c>
      <c r="N83" s="57" t="str">
        <f>IF('All Tandem Adjustments Source'!S84&lt;1/24,TEXT('All Tandem Adjustments Source'!S84,"M:SS"),TEXT('All Tandem Adjustments Source'!S84,"H:MM:SS"))</f>
        <v>37:26</v>
      </c>
      <c r="O83" s="57" t="str">
        <f>IF('All Tandem Adjustments Source'!W84&lt;1/24,TEXT('All Tandem Adjustments Source'!W84,"M:SS"),TEXT('All Tandem Adjustments Source'!W84,"H:MM:SS"))</f>
        <v>1:28:10</v>
      </c>
      <c r="P83" s="58">
        <f>'All Tandem Adjustments Source'!AA84</f>
        <v>69.175601851851852</v>
      </c>
      <c r="Q83" s="58">
        <f>'All Tandem Adjustments Source'!AE84</f>
        <v>125.82959490740741</v>
      </c>
      <c r="R83" s="50" t="str">
        <f>IF('All Tandem Adjustments Source'!D84&lt;1/24,TEXT('All Tandem Adjustments Source'!D84,"M:SS"),TEXT('All Tandem Adjustments Source'!D84,"H:MM:SS"))</f>
        <v>6:12</v>
      </c>
      <c r="S83" s="50" t="str">
        <f>IF('All Tandem Adjustments Source'!H84&lt;1/24,TEXT('All Tandem Adjustments Source'!H84,"M:SS"),TEXT('All Tandem Adjustments Source'!H84,"H:MM:SS"))</f>
        <v>9:27</v>
      </c>
      <c r="T83" s="50" t="str">
        <f>IF('All Tandem Adjustments Source'!L84&lt;1/24,TEXT('All Tandem Adjustments Source'!L84,"M:SS"),TEXT('All Tandem Adjustments Source'!L84,"H:MM:SS"))</f>
        <v>16:13</v>
      </c>
      <c r="U83" s="50" t="str">
        <f>IF('All Tandem Adjustments Source'!P84&lt;1/24,TEXT('All Tandem Adjustments Source'!P84,"M:SS"),TEXT('All Tandem Adjustments Source'!P84,"H:MM:SS"))</f>
        <v>19:46</v>
      </c>
      <c r="V83" s="50" t="str">
        <f>IF('All Tandem Adjustments Source'!T84&lt;1/24,TEXT('All Tandem Adjustments Source'!T84,"M:SS"),TEXT('All Tandem Adjustments Source'!T84,"H:MM:SS"))</f>
        <v>35:01</v>
      </c>
      <c r="W83" s="50" t="str">
        <f>IF('All Tandem Adjustments Source'!X84&lt;1/24,TEXT('All Tandem Adjustments Source'!X84,"M:SS"),TEXT('All Tandem Adjustments Source'!X84,"H:MM:SS"))</f>
        <v>1:22:51</v>
      </c>
      <c r="X83" s="51">
        <f>'All Tandem Adjustments Source'!AB84</f>
        <v>67.490798611111117</v>
      </c>
      <c r="Y83" s="51">
        <f>'All Tandem Adjustments Source'!AF84</f>
        <v>124.02519675925926</v>
      </c>
      <c r="Z83" s="55" t="str">
        <f>IF('All Tandem Adjustments Source'!E84&lt;1/24,TEXT('All Tandem Adjustments Source'!E84,"M:SS"),TEXT('All Tandem Adjustments Source'!E84,"H:MM:SS"))</f>
        <v>8:12</v>
      </c>
      <c r="AA83" s="55" t="str">
        <f>IF('All Tandem Adjustments Source'!I84&lt;1/24,TEXT('All Tandem Adjustments Source'!I84,"M:SS"),TEXT('All Tandem Adjustments Source'!I84,"H:MM:SS"))</f>
        <v>12:28</v>
      </c>
      <c r="AB83" s="55" t="str">
        <f>IF('All Tandem Adjustments Source'!M84&lt;1/24,TEXT('All Tandem Adjustments Source'!M84,"M:SS"),TEXT('All Tandem Adjustments Source'!M84,"H:MM:SS"))</f>
        <v>21:20</v>
      </c>
      <c r="AC83" s="55" t="str">
        <f>IF('All Tandem Adjustments Source'!Q84&lt;1/24,TEXT('All Tandem Adjustments Source'!Q84,"M:SS"),TEXT('All Tandem Adjustments Source'!Q84,"H:MM:SS"))</f>
        <v>25:57</v>
      </c>
      <c r="AD83" s="55" t="str">
        <f>IF('All Tandem Adjustments Source'!U84&lt;1/24,TEXT('All Tandem Adjustments Source'!U84,"M:SS"),TEXT('All Tandem Adjustments Source'!U84,"H:MM:SS"))</f>
        <v>45:41</v>
      </c>
      <c r="AE83" s="55" t="str">
        <f>IF('All Tandem Adjustments Source'!Y84&lt;1/24,TEXT('All Tandem Adjustments Source'!Y84,"M:SS"),TEXT('All Tandem Adjustments Source'!Y84,"H:MM:SS"))</f>
        <v>1:46:15</v>
      </c>
      <c r="AF83" s="56">
        <f>'All Tandem Adjustments Source'!AC84</f>
        <v>74.474398148148154</v>
      </c>
      <c r="AG83" s="56">
        <f>'All Tandem Adjustments Source'!AG84</f>
        <v>131.68480324074073</v>
      </c>
    </row>
    <row r="84" spans="1:33" x14ac:dyDescent="0.25">
      <c r="A84" s="17">
        <f>'All Tandem Adjustments Source'!A85</f>
        <v>91</v>
      </c>
      <c r="B84" s="53" t="str">
        <f>IF('All Tandem Adjustments Source'!B85&lt;1/24,TEXT('All Tandem Adjustments Source'!B85,"M:SS"),TEXT('All Tandem Adjustments Source'!B85,"H:MM:SS"))</f>
        <v>5:05</v>
      </c>
      <c r="C84" s="53" t="str">
        <f>IF('All Tandem Adjustments Source'!F85&lt;1/24,TEXT('All Tandem Adjustments Source'!F85,"M:SS"),TEXT('All Tandem Adjustments Source'!F85,"H:MM:SS"))</f>
        <v>7:46</v>
      </c>
      <c r="D84" s="53" t="str">
        <f>IF('All Tandem Adjustments Source'!J85&lt;1/24,TEXT('All Tandem Adjustments Source'!J85,"M:SS"),TEXT('All Tandem Adjustments Source'!J85,"H:MM:SS"))</f>
        <v>13:23</v>
      </c>
      <c r="E84" s="53" t="str">
        <f>IF('All Tandem Adjustments Source'!N85&lt;1/24,TEXT('All Tandem Adjustments Source'!N85,"M:SS"),TEXT('All Tandem Adjustments Source'!N85,"H:MM:SS"))</f>
        <v>16:21</v>
      </c>
      <c r="F84" s="53" t="str">
        <f>IF('All Tandem Adjustments Source'!R85&lt;1/24,TEXT('All Tandem Adjustments Source'!R85,"M:SS"),TEXT('All Tandem Adjustments Source'!R85,"H:MM:SS"))</f>
        <v>29:15</v>
      </c>
      <c r="G84" s="53" t="str">
        <f>IF('All Tandem Adjustments Source'!V85&lt;1/24,TEXT('All Tandem Adjustments Source'!V85,"M:SS"),TEXT('All Tandem Adjustments Source'!V85,"H:MM:SS"))</f>
        <v>1:10:53</v>
      </c>
      <c r="H84" s="54">
        <f>'All Tandem Adjustments Source'!Z85</f>
        <v>64.001597222222216</v>
      </c>
      <c r="I84" s="54">
        <f>'All Tandem Adjustments Source'!AD85</f>
        <v>121.99200231481481</v>
      </c>
      <c r="J84" s="57" t="str">
        <f>IF('All Tandem Adjustments Source'!C85&lt;1/24,TEXT('All Tandem Adjustments Source'!C85,"M:SS"),TEXT('All Tandem Adjustments Source'!C85,"H:MM:SS"))</f>
        <v>6:57</v>
      </c>
      <c r="K84" s="57" t="str">
        <f>IF('All Tandem Adjustments Source'!G85&lt;1/24,TEXT('All Tandem Adjustments Source'!G85,"M:SS"),TEXT('All Tandem Adjustments Source'!G85,"H:MM:SS"))</f>
        <v>10:34</v>
      </c>
      <c r="L84" s="57" t="str">
        <f>IF('All Tandem Adjustments Source'!K85&lt;1/24,TEXT('All Tandem Adjustments Source'!K85,"M:SS"),TEXT('All Tandem Adjustments Source'!K85,"H:MM:SS"))</f>
        <v>18:08</v>
      </c>
      <c r="M84" s="57" t="str">
        <f>IF('All Tandem Adjustments Source'!O85&lt;1/24,TEXT('All Tandem Adjustments Source'!O85,"M:SS"),TEXT('All Tandem Adjustments Source'!O85,"H:MM:SS"))</f>
        <v>22:06</v>
      </c>
      <c r="N84" s="57" t="str">
        <f>IF('All Tandem Adjustments Source'!S85&lt;1/24,TEXT('All Tandem Adjustments Source'!S85,"M:SS"),TEXT('All Tandem Adjustments Source'!S85,"H:MM:SS"))</f>
        <v>39:11</v>
      </c>
      <c r="O84" s="57" t="str">
        <f>IF('All Tandem Adjustments Source'!W85&lt;1/24,TEXT('All Tandem Adjustments Source'!W85,"M:SS"),TEXT('All Tandem Adjustments Source'!W85,"H:MM:SS"))</f>
        <v>1:32:46</v>
      </c>
      <c r="P84" s="58">
        <f>'All Tandem Adjustments Source'!AA85</f>
        <v>71.000798611111108</v>
      </c>
      <c r="Q84" s="58">
        <f>'All Tandem Adjustments Source'!AE85</f>
        <v>129.18359953703703</v>
      </c>
      <c r="R84" s="50" t="str">
        <f>IF('All Tandem Adjustments Source'!D85&lt;1/24,TEXT('All Tandem Adjustments Source'!D85,"M:SS"),TEXT('All Tandem Adjustments Source'!D85,"H:MM:SS"))</f>
        <v>6:29</v>
      </c>
      <c r="S84" s="50" t="str">
        <f>IF('All Tandem Adjustments Source'!H85&lt;1/24,TEXT('All Tandem Adjustments Source'!H85,"M:SS"),TEXT('All Tandem Adjustments Source'!H85,"H:MM:SS"))</f>
        <v>9:52</v>
      </c>
      <c r="T84" s="50" t="str">
        <f>IF('All Tandem Adjustments Source'!L85&lt;1/24,TEXT('All Tandem Adjustments Source'!L85,"M:SS"),TEXT('All Tandem Adjustments Source'!L85,"H:MM:SS"))</f>
        <v>16:58</v>
      </c>
      <c r="U84" s="50" t="str">
        <f>IF('All Tandem Adjustments Source'!P85&lt;1/24,TEXT('All Tandem Adjustments Source'!P85,"M:SS"),TEXT('All Tandem Adjustments Source'!P85,"H:MM:SS"))</f>
        <v>20:40</v>
      </c>
      <c r="V84" s="50" t="str">
        <f>IF('All Tandem Adjustments Source'!T85&lt;1/24,TEXT('All Tandem Adjustments Source'!T85,"M:SS"),TEXT('All Tandem Adjustments Source'!T85,"H:MM:SS"))</f>
        <v>36:42</v>
      </c>
      <c r="W84" s="50" t="str">
        <f>IF('All Tandem Adjustments Source'!X85&lt;1/24,TEXT('All Tandem Adjustments Source'!X85,"M:SS"),TEXT('All Tandem Adjustments Source'!X85,"H:MM:SS"))</f>
        <v>1:27:20</v>
      </c>
      <c r="X84" s="51">
        <f>'All Tandem Adjustments Source'!AB85</f>
        <v>69.362800925925924</v>
      </c>
      <c r="Y84" s="51">
        <f>'All Tandem Adjustments Source'!AF85</f>
        <v>127.45719907407407</v>
      </c>
      <c r="Z84" s="55" t="str">
        <f>IF('All Tandem Adjustments Source'!E85&lt;1/24,TEXT('All Tandem Adjustments Source'!E85,"M:SS"),TEXT('All Tandem Adjustments Source'!E85,"H:MM:SS"))</f>
        <v>8:31</v>
      </c>
      <c r="AA84" s="55" t="str">
        <f>IF('All Tandem Adjustments Source'!I85&lt;1/24,TEXT('All Tandem Adjustments Source'!I85,"M:SS"),TEXT('All Tandem Adjustments Source'!I85,"H:MM:SS"))</f>
        <v>12:57</v>
      </c>
      <c r="AB84" s="55" t="str">
        <f>IF('All Tandem Adjustments Source'!M85&lt;1/24,TEXT('All Tandem Adjustments Source'!M85,"M:SS"),TEXT('All Tandem Adjustments Source'!M85,"H:MM:SS"))</f>
        <v>22:10</v>
      </c>
      <c r="AC84" s="55" t="str">
        <f>IF('All Tandem Adjustments Source'!Q85&lt;1/24,TEXT('All Tandem Adjustments Source'!Q85,"M:SS"),TEXT('All Tandem Adjustments Source'!Q85,"H:MM:SS"))</f>
        <v>26:58</v>
      </c>
      <c r="AD84" s="55" t="str">
        <f>IF('All Tandem Adjustments Source'!U85&lt;1/24,TEXT('All Tandem Adjustments Source'!U85,"M:SS"),TEXT('All Tandem Adjustments Source'!U85,"H:MM:SS"))</f>
        <v>47:35</v>
      </c>
      <c r="AE84" s="55" t="str">
        <f>IF('All Tandem Adjustments Source'!Y85&lt;1/24,TEXT('All Tandem Adjustments Source'!Y85,"M:SS"),TEXT('All Tandem Adjustments Source'!Y85,"H:MM:SS"))</f>
        <v>1:51:18</v>
      </c>
      <c r="AF84" s="56">
        <f>'All Tandem Adjustments Source'!AC85</f>
        <v>76.148796296296297</v>
      </c>
      <c r="AG84" s="56">
        <f>'All Tandem Adjustments Source'!AG85</f>
        <v>134.80480324074074</v>
      </c>
    </row>
    <row r="85" spans="1:33" x14ac:dyDescent="0.25">
      <c r="A85" s="17">
        <f>'All Tandem Adjustments Source'!A86</f>
        <v>92</v>
      </c>
      <c r="B85" s="53" t="str">
        <f>IF('All Tandem Adjustments Source'!B86&lt;1/24,TEXT('All Tandem Adjustments Source'!B86,"M:SS"),TEXT('All Tandem Adjustments Source'!B86,"H:MM:SS"))</f>
        <v>5:21</v>
      </c>
      <c r="C85" s="53" t="str">
        <f>IF('All Tandem Adjustments Source'!F86&lt;1/24,TEXT('All Tandem Adjustments Source'!F86,"M:SS"),TEXT('All Tandem Adjustments Source'!F86,"H:MM:SS"))</f>
        <v>8:10</v>
      </c>
      <c r="D85" s="53" t="str">
        <f>IF('All Tandem Adjustments Source'!J86&lt;1/24,TEXT('All Tandem Adjustments Source'!J86,"M:SS"),TEXT('All Tandem Adjustments Source'!J86,"H:MM:SS"))</f>
        <v>14:06</v>
      </c>
      <c r="E85" s="53" t="str">
        <f>IF('All Tandem Adjustments Source'!N86&lt;1/24,TEXT('All Tandem Adjustments Source'!N86,"M:SS"),TEXT('All Tandem Adjustments Source'!N86,"H:MM:SS"))</f>
        <v>17:14</v>
      </c>
      <c r="F85" s="53" t="str">
        <f>IF('All Tandem Adjustments Source'!R86&lt;1/24,TEXT('All Tandem Adjustments Source'!R86,"M:SS"),TEXT('All Tandem Adjustments Source'!R86,"H:MM:SS"))</f>
        <v>30:53</v>
      </c>
      <c r="G85" s="53" t="str">
        <f>IF('All Tandem Adjustments Source'!V86&lt;1/24,TEXT('All Tandem Adjustments Source'!V86,"M:SS"),TEXT('All Tandem Adjustments Source'!V86,"H:MM:SS"))</f>
        <v>1:15:19</v>
      </c>
      <c r="H85" s="54">
        <f>'All Tandem Adjustments Source'!Z86</f>
        <v>66.081597222222229</v>
      </c>
      <c r="I85" s="54">
        <f>'All Tandem Adjustments Source'!AD86</f>
        <v>125.72560185185185</v>
      </c>
      <c r="J85" s="57" t="str">
        <f>IF('All Tandem Adjustments Source'!C86&lt;1/24,TEXT('All Tandem Adjustments Source'!C86,"M:SS"),TEXT('All Tandem Adjustments Source'!C86,"H:MM:SS"))</f>
        <v>7:14</v>
      </c>
      <c r="K85" s="57" t="str">
        <f>IF('All Tandem Adjustments Source'!G86&lt;1/24,TEXT('All Tandem Adjustments Source'!G86,"M:SS"),TEXT('All Tandem Adjustments Source'!G86,"H:MM:SS"))</f>
        <v>11:01</v>
      </c>
      <c r="L85" s="57" t="str">
        <f>IF('All Tandem Adjustments Source'!K86&lt;1/24,TEXT('All Tandem Adjustments Source'!K86,"M:SS"),TEXT('All Tandem Adjustments Source'!K86,"H:MM:SS"))</f>
        <v>18:57</v>
      </c>
      <c r="M85" s="57" t="str">
        <f>IF('All Tandem Adjustments Source'!O86&lt;1/24,TEXT('All Tandem Adjustments Source'!O86,"M:SS"),TEXT('All Tandem Adjustments Source'!O86,"H:MM:SS"))</f>
        <v>23:06</v>
      </c>
      <c r="N85" s="57" t="str">
        <f>IF('All Tandem Adjustments Source'!S86&lt;1/24,TEXT('All Tandem Adjustments Source'!S86,"M:SS"),TEXT('All Tandem Adjustments Source'!S86,"H:MM:SS"))</f>
        <v>41:01</v>
      </c>
      <c r="O85" s="57" t="str">
        <f>IF('All Tandem Adjustments Source'!W86&lt;1/24,TEXT('All Tandem Adjustments Source'!W86,"M:SS"),TEXT('All Tandem Adjustments Source'!W86,"H:MM:SS"))</f>
        <v>1:37:45</v>
      </c>
      <c r="P85" s="58">
        <f>'All Tandem Adjustments Source'!AA86</f>
        <v>72.862395833333338</v>
      </c>
      <c r="Q85" s="58">
        <f>'All Tandem Adjustments Source'!AE86</f>
        <v>132.58959490740742</v>
      </c>
      <c r="R85" s="50" t="str">
        <f>IF('All Tandem Adjustments Source'!D86&lt;1/24,TEXT('All Tandem Adjustments Source'!D86,"M:SS"),TEXT('All Tandem Adjustments Source'!D86,"H:MM:SS"))</f>
        <v>6:47</v>
      </c>
      <c r="S85" s="50" t="str">
        <f>IF('All Tandem Adjustments Source'!H86&lt;1/24,TEXT('All Tandem Adjustments Source'!H86,"M:SS"),TEXT('All Tandem Adjustments Source'!H86,"H:MM:SS"))</f>
        <v>10:19</v>
      </c>
      <c r="T85" s="50" t="str">
        <f>IF('All Tandem Adjustments Source'!L86&lt;1/24,TEXT('All Tandem Adjustments Source'!L86,"M:SS"),TEXT('All Tandem Adjustments Source'!L86,"H:MM:SS"))</f>
        <v>17:45</v>
      </c>
      <c r="U85" s="50" t="str">
        <f>IF('All Tandem Adjustments Source'!P86&lt;1/24,TEXT('All Tandem Adjustments Source'!P86,"M:SS"),TEXT('All Tandem Adjustments Source'!P86,"H:MM:SS"))</f>
        <v>21:38</v>
      </c>
      <c r="V85" s="50" t="str">
        <f>IF('All Tandem Adjustments Source'!T86&lt;1/24,TEXT('All Tandem Adjustments Source'!T86,"M:SS"),TEXT('All Tandem Adjustments Source'!T86,"H:MM:SS"))</f>
        <v>38:30</v>
      </c>
      <c r="W85" s="50" t="str">
        <f>IF('All Tandem Adjustments Source'!X86&lt;1/24,TEXT('All Tandem Adjustments Source'!X86,"M:SS"),TEXT('All Tandem Adjustments Source'!X86,"H:MM:SS"))</f>
        <v>1:32:11</v>
      </c>
      <c r="X85" s="51">
        <f>'All Tandem Adjustments Source'!AB86</f>
        <v>71.276400462962968</v>
      </c>
      <c r="Y85" s="51">
        <f>'All Tandem Adjustments Source'!AF86</f>
        <v>130.94120370370371</v>
      </c>
      <c r="Z85" s="55" t="str">
        <f>IF('All Tandem Adjustments Source'!E86&lt;1/24,TEXT('All Tandem Adjustments Source'!E86,"M:SS"),TEXT('All Tandem Adjustments Source'!E86,"H:MM:SS"))</f>
        <v>8:50</v>
      </c>
      <c r="AA85" s="55" t="str">
        <f>IF('All Tandem Adjustments Source'!I86&lt;1/24,TEXT('All Tandem Adjustments Source'!I86,"M:SS"),TEXT('All Tandem Adjustments Source'!I86,"H:MM:SS"))</f>
        <v>13:27</v>
      </c>
      <c r="AB85" s="55" t="str">
        <f>IF('All Tandem Adjustments Source'!M86&lt;1/24,TEXT('All Tandem Adjustments Source'!M86,"M:SS"),TEXT('All Tandem Adjustments Source'!M86,"H:MM:SS"))</f>
        <v>23:03</v>
      </c>
      <c r="AC85" s="55" t="str">
        <f>IF('All Tandem Adjustments Source'!Q86&lt;1/24,TEXT('All Tandem Adjustments Source'!Q86,"M:SS"),TEXT('All Tandem Adjustments Source'!Q86,"H:MM:SS"))</f>
        <v>28:04</v>
      </c>
      <c r="AD85" s="55" t="str">
        <f>IF('All Tandem Adjustments Source'!U86&lt;1/24,TEXT('All Tandem Adjustments Source'!U86,"M:SS"),TEXT('All Tandem Adjustments Source'!U86,"H:MM:SS"))</f>
        <v>49:36</v>
      </c>
      <c r="AE85" s="55" t="str">
        <f>IF('All Tandem Adjustments Source'!Y86&lt;1/24,TEXT('All Tandem Adjustments Source'!Y86,"M:SS"),TEXT('All Tandem Adjustments Source'!Y86,"H:MM:SS"))</f>
        <v>1:56:46</v>
      </c>
      <c r="AF85" s="56">
        <f>'All Tandem Adjustments Source'!AC86</f>
        <v>77.859594907407413</v>
      </c>
      <c r="AG85" s="56">
        <f>'All Tandem Adjustments Source'!AG86</f>
        <v>137.97159722222221</v>
      </c>
    </row>
    <row r="86" spans="1:33" x14ac:dyDescent="0.25">
      <c r="A86" s="17">
        <f>'All Tandem Adjustments Source'!A87</f>
        <v>93</v>
      </c>
      <c r="B86" s="53" t="str">
        <f>IF('All Tandem Adjustments Source'!B87&lt;1/24,TEXT('All Tandem Adjustments Source'!B87,"M:SS"),TEXT('All Tandem Adjustments Source'!B87,"H:MM:SS"))</f>
        <v>5:38</v>
      </c>
      <c r="C86" s="53" t="str">
        <f>IF('All Tandem Adjustments Source'!F87&lt;1/24,TEXT('All Tandem Adjustments Source'!F87,"M:SS"),TEXT('All Tandem Adjustments Source'!F87,"H:MM:SS"))</f>
        <v>8:36</v>
      </c>
      <c r="D86" s="53" t="str">
        <f>IF('All Tandem Adjustments Source'!J87&lt;1/24,TEXT('All Tandem Adjustments Source'!J87,"M:SS"),TEXT('All Tandem Adjustments Source'!J87,"H:MM:SS"))</f>
        <v>14:52</v>
      </c>
      <c r="E86" s="53" t="str">
        <f>IF('All Tandem Adjustments Source'!N87&lt;1/24,TEXT('All Tandem Adjustments Source'!N87,"M:SS"),TEXT('All Tandem Adjustments Source'!N87,"H:MM:SS"))</f>
        <v>18:11</v>
      </c>
      <c r="F86" s="53" t="str">
        <f>IF('All Tandem Adjustments Source'!R87&lt;1/24,TEXT('All Tandem Adjustments Source'!R87,"M:SS"),TEXT('All Tandem Adjustments Source'!R87,"H:MM:SS"))</f>
        <v>32:38</v>
      </c>
      <c r="G86" s="53" t="str">
        <f>IF('All Tandem Adjustments Source'!V87&lt;1/24,TEXT('All Tandem Adjustments Source'!V87,"M:SS"),TEXT('All Tandem Adjustments Source'!V87,"H:MM:SS"))</f>
        <v>1:20:07</v>
      </c>
      <c r="H86" s="54">
        <f>'All Tandem Adjustments Source'!Z87</f>
        <v>68.203194444444449</v>
      </c>
      <c r="I86" s="54">
        <f>'All Tandem Adjustments Source'!AD87</f>
        <v>129.5112037037037</v>
      </c>
      <c r="J86" s="57" t="str">
        <f>IF('All Tandem Adjustments Source'!C87&lt;1/24,TEXT('All Tandem Adjustments Source'!C87,"M:SS"),TEXT('All Tandem Adjustments Source'!C87,"H:MM:SS"))</f>
        <v>7:34</v>
      </c>
      <c r="K86" s="57" t="str">
        <f>IF('All Tandem Adjustments Source'!G87&lt;1/24,TEXT('All Tandem Adjustments Source'!G87,"M:SS"),TEXT('All Tandem Adjustments Source'!G87,"H:MM:SS"))</f>
        <v>11:31</v>
      </c>
      <c r="L86" s="57" t="str">
        <f>IF('All Tandem Adjustments Source'!K87&lt;1/24,TEXT('All Tandem Adjustments Source'!K87,"M:SS"),TEXT('All Tandem Adjustments Source'!K87,"H:MM:SS"))</f>
        <v>19:48</v>
      </c>
      <c r="M86" s="57" t="str">
        <f>IF('All Tandem Adjustments Source'!O87&lt;1/24,TEXT('All Tandem Adjustments Source'!O87,"M:SS"),TEXT('All Tandem Adjustments Source'!O87,"H:MM:SS"))</f>
        <v>24:10</v>
      </c>
      <c r="N86" s="57" t="str">
        <f>IF('All Tandem Adjustments Source'!S87&lt;1/24,TEXT('All Tandem Adjustments Source'!S87,"M:SS"),TEXT('All Tandem Adjustments Source'!S87,"H:MM:SS"))</f>
        <v>43:00</v>
      </c>
      <c r="O86" s="57" t="str">
        <f>IF('All Tandem Adjustments Source'!W87&lt;1/24,TEXT('All Tandem Adjustments Source'!W87,"M:SS"),TEXT('All Tandem Adjustments Source'!W87,"H:MM:SS"))</f>
        <v>1:43:10</v>
      </c>
      <c r="P86" s="58">
        <f>'All Tandem Adjustments Source'!AA87</f>
        <v>74.760405092592592</v>
      </c>
      <c r="Q86" s="58">
        <f>'All Tandem Adjustments Source'!AE87</f>
        <v>136.05280092592594</v>
      </c>
      <c r="R86" s="50" t="str">
        <f>IF('All Tandem Adjustments Source'!D87&lt;1/24,TEXT('All Tandem Adjustments Source'!D87,"M:SS"),TEXT('All Tandem Adjustments Source'!D87,"H:MM:SS"))</f>
        <v>7:05</v>
      </c>
      <c r="S86" s="50" t="str">
        <f>IF('All Tandem Adjustments Source'!H87&lt;1/24,TEXT('All Tandem Adjustments Source'!H87,"M:SS"),TEXT('All Tandem Adjustments Source'!H87,"H:MM:SS"))</f>
        <v>10:48</v>
      </c>
      <c r="T86" s="50" t="str">
        <f>IF('All Tandem Adjustments Source'!L87&lt;1/24,TEXT('All Tandem Adjustments Source'!L87,"M:SS"),TEXT('All Tandem Adjustments Source'!L87,"H:MM:SS"))</f>
        <v>18:35</v>
      </c>
      <c r="U86" s="50" t="str">
        <f>IF('All Tandem Adjustments Source'!P87&lt;1/24,TEXT('All Tandem Adjustments Source'!P87,"M:SS"),TEXT('All Tandem Adjustments Source'!P87,"H:MM:SS"))</f>
        <v>22:40</v>
      </c>
      <c r="V86" s="50" t="str">
        <f>IF('All Tandem Adjustments Source'!T87&lt;1/24,TEXT('All Tandem Adjustments Source'!T87,"M:SS"),TEXT('All Tandem Adjustments Source'!T87,"H:MM:SS"))</f>
        <v>40:25</v>
      </c>
      <c r="W86" s="50" t="str">
        <f>IF('All Tandem Adjustments Source'!X87&lt;1/24,TEXT('All Tandem Adjustments Source'!X87,"M:SS"),TEXT('All Tandem Adjustments Source'!X87,"H:MM:SS"))</f>
        <v>1:37:26</v>
      </c>
      <c r="X86" s="51">
        <f>'All Tandem Adjustments Source'!AB87</f>
        <v>73.226400462962957</v>
      </c>
      <c r="Y86" s="51">
        <f>'All Tandem Adjustments Source'!AF87</f>
        <v>134.47719907407406</v>
      </c>
      <c r="Z86" s="55" t="str">
        <f>IF('All Tandem Adjustments Source'!E87&lt;1/24,TEXT('All Tandem Adjustments Source'!E87,"M:SS"),TEXT('All Tandem Adjustments Source'!E87,"H:MM:SS"))</f>
        <v>9:12</v>
      </c>
      <c r="AA86" s="55" t="str">
        <f>IF('All Tandem Adjustments Source'!I87&lt;1/24,TEXT('All Tandem Adjustments Source'!I87,"M:SS"),TEXT('All Tandem Adjustments Source'!I87,"H:MM:SS"))</f>
        <v>13:59</v>
      </c>
      <c r="AB86" s="55" t="str">
        <f>IF('All Tandem Adjustments Source'!M87&lt;1/24,TEXT('All Tandem Adjustments Source'!M87,"M:SS"),TEXT('All Tandem Adjustments Source'!M87,"H:MM:SS"))</f>
        <v>24:00</v>
      </c>
      <c r="AC86" s="55" t="str">
        <f>IF('All Tandem Adjustments Source'!Q87&lt;1/24,TEXT('All Tandem Adjustments Source'!Q87,"M:SS"),TEXT('All Tandem Adjustments Source'!Q87,"H:MM:SS"))</f>
        <v>29:13</v>
      </c>
      <c r="AD86" s="55" t="str">
        <f>IF('All Tandem Adjustments Source'!U87&lt;1/24,TEXT('All Tandem Adjustments Source'!U87,"M:SS"),TEXT('All Tandem Adjustments Source'!U87,"H:MM:SS"))</f>
        <v>51:47</v>
      </c>
      <c r="AE86" s="55" t="str">
        <f>IF('All Tandem Adjustments Source'!Y87&lt;1/24,TEXT('All Tandem Adjustments Source'!Y87,"M:SS"),TEXT('All Tandem Adjustments Source'!Y87,"H:MM:SS"))</f>
        <v>2:02:42</v>
      </c>
      <c r="AF86" s="56">
        <f>'All Tandem Adjustments Source'!AC87</f>
        <v>79.601597222222225</v>
      </c>
      <c r="AG86" s="56">
        <f>'All Tandem Adjustments Source'!AG87</f>
        <v>141.19040509259258</v>
      </c>
    </row>
    <row r="87" spans="1:33" x14ac:dyDescent="0.25">
      <c r="A87" s="17">
        <f>'All Tandem Adjustments Source'!A88</f>
        <v>94</v>
      </c>
      <c r="B87" s="53" t="str">
        <f>IF('All Tandem Adjustments Source'!B88&lt;1/24,TEXT('All Tandem Adjustments Source'!B88,"M:SS"),TEXT('All Tandem Adjustments Source'!B88,"H:MM:SS"))</f>
        <v>5:56</v>
      </c>
      <c r="C87" s="53" t="str">
        <f>IF('All Tandem Adjustments Source'!F88&lt;1/24,TEXT('All Tandem Adjustments Source'!F88,"M:SS"),TEXT('All Tandem Adjustments Source'!F88,"H:MM:SS"))</f>
        <v>9:04</v>
      </c>
      <c r="D87" s="53" t="str">
        <f>IF('All Tandem Adjustments Source'!J88&lt;1/24,TEXT('All Tandem Adjustments Source'!J88,"M:SS"),TEXT('All Tandem Adjustments Source'!J88,"H:MM:SS"))</f>
        <v>15:41</v>
      </c>
      <c r="E87" s="53" t="str">
        <f>IF('All Tandem Adjustments Source'!N88&lt;1/24,TEXT('All Tandem Adjustments Source'!N88,"M:SS"),TEXT('All Tandem Adjustments Source'!N88,"H:MM:SS"))</f>
        <v>19:11</v>
      </c>
      <c r="F87" s="53" t="str">
        <f>IF('All Tandem Adjustments Source'!R88&lt;1/24,TEXT('All Tandem Adjustments Source'!R88,"M:SS"),TEXT('All Tandem Adjustments Source'!R88,"H:MM:SS"))</f>
        <v>34:32</v>
      </c>
      <c r="G87" s="53" t="str">
        <f>IF('All Tandem Adjustments Source'!V88&lt;1/24,TEXT('All Tandem Adjustments Source'!V88,"M:SS"),TEXT('All Tandem Adjustments Source'!V88,"H:MM:SS"))</f>
        <v>1:25:21</v>
      </c>
      <c r="H87" s="54">
        <f>'All Tandem Adjustments Source'!Z88</f>
        <v>70.366400462962957</v>
      </c>
      <c r="I87" s="54">
        <f>'All Tandem Adjustments Source'!AD88</f>
        <v>133.35400462962963</v>
      </c>
      <c r="J87" s="57" t="str">
        <f>IF('All Tandem Adjustments Source'!C88&lt;1/24,TEXT('All Tandem Adjustments Source'!C88,"M:SS"),TEXT('All Tandem Adjustments Source'!C88,"H:MM:SS"))</f>
        <v>7:54</v>
      </c>
      <c r="K87" s="57" t="str">
        <f>IF('All Tandem Adjustments Source'!G88&lt;1/24,TEXT('All Tandem Adjustments Source'!G88,"M:SS"),TEXT('All Tandem Adjustments Source'!G88,"H:MM:SS"))</f>
        <v>12:02</v>
      </c>
      <c r="L87" s="57" t="str">
        <f>IF('All Tandem Adjustments Source'!K88&lt;1/24,TEXT('All Tandem Adjustments Source'!K88,"M:SS"),TEXT('All Tandem Adjustments Source'!K88,"H:MM:SS"))</f>
        <v>20:44</v>
      </c>
      <c r="M87" s="57" t="str">
        <f>IF('All Tandem Adjustments Source'!O88&lt;1/24,TEXT('All Tandem Adjustments Source'!O88,"M:SS"),TEXT('All Tandem Adjustments Source'!O88,"H:MM:SS"))</f>
        <v>25:17</v>
      </c>
      <c r="N87" s="57" t="str">
        <f>IF('All Tandem Adjustments Source'!S88&lt;1/24,TEXT('All Tandem Adjustments Source'!S88,"M:SS"),TEXT('All Tandem Adjustments Source'!S88,"H:MM:SS"))</f>
        <v>45:07</v>
      </c>
      <c r="O87" s="57" t="str">
        <f>IF('All Tandem Adjustments Source'!W88&lt;1/24,TEXT('All Tandem Adjustments Source'!W88,"M:SS"),TEXT('All Tandem Adjustments Source'!W88,"H:MM:SS"))</f>
        <v>1:49:04</v>
      </c>
      <c r="P87" s="58">
        <f>'All Tandem Adjustments Source'!AA88</f>
        <v>76.7</v>
      </c>
      <c r="Q87" s="58">
        <f>'All Tandem Adjustments Source'!AE88</f>
        <v>139.56799768518519</v>
      </c>
      <c r="R87" s="50" t="str">
        <f>IF('All Tandem Adjustments Source'!D88&lt;1/24,TEXT('All Tandem Adjustments Source'!D88,"M:SS"),TEXT('All Tandem Adjustments Source'!D88,"H:MM:SS"))</f>
        <v>7:25</v>
      </c>
      <c r="S87" s="50" t="str">
        <f>IF('All Tandem Adjustments Source'!H88&lt;1/24,TEXT('All Tandem Adjustments Source'!H88,"M:SS"),TEXT('All Tandem Adjustments Source'!H88,"H:MM:SS"))</f>
        <v>11:18</v>
      </c>
      <c r="T87" s="50" t="str">
        <f>IF('All Tandem Adjustments Source'!L88&lt;1/24,TEXT('All Tandem Adjustments Source'!L88,"M:SS"),TEXT('All Tandem Adjustments Source'!L88,"H:MM:SS"))</f>
        <v>19:28</v>
      </c>
      <c r="U87" s="50" t="str">
        <f>IF('All Tandem Adjustments Source'!P88&lt;1/24,TEXT('All Tandem Adjustments Source'!P88,"M:SS"),TEXT('All Tandem Adjustments Source'!P88,"H:MM:SS"))</f>
        <v>23:47</v>
      </c>
      <c r="V87" s="50" t="str">
        <f>IF('All Tandem Adjustments Source'!T88&lt;1/24,TEXT('All Tandem Adjustments Source'!T88,"M:SS"),TEXT('All Tandem Adjustments Source'!T88,"H:MM:SS"))</f>
        <v>42:29</v>
      </c>
      <c r="W87" s="50" t="str">
        <f>IF('All Tandem Adjustments Source'!X88&lt;1/24,TEXT('All Tandem Adjustments Source'!X88,"M:SS"),TEXT('All Tandem Adjustments Source'!X88,"H:MM:SS"))</f>
        <v>1:43:11</v>
      </c>
      <c r="X87" s="51">
        <f>'All Tandem Adjustments Source'!AB88</f>
        <v>75.217997685185182</v>
      </c>
      <c r="Y87" s="51">
        <f>'All Tandem Adjustments Source'!AF88</f>
        <v>138.06519675925927</v>
      </c>
      <c r="Z87" s="55" t="str">
        <f>IF('All Tandem Adjustments Source'!E88&lt;1/24,TEXT('All Tandem Adjustments Source'!E88,"M:SS"),TEXT('All Tandem Adjustments Source'!E88,"H:MM:SS"))</f>
        <v>9:34</v>
      </c>
      <c r="AA87" s="55" t="str">
        <f>IF('All Tandem Adjustments Source'!I88&lt;1/24,TEXT('All Tandem Adjustments Source'!I88,"M:SS"),TEXT('All Tandem Adjustments Source'!I88,"H:MM:SS"))</f>
        <v>14:34</v>
      </c>
      <c r="AB87" s="55" t="str">
        <f>IF('All Tandem Adjustments Source'!M88&lt;1/24,TEXT('All Tandem Adjustments Source'!M88,"M:SS"),TEXT('All Tandem Adjustments Source'!M88,"H:MM:SS"))</f>
        <v>25:00</v>
      </c>
      <c r="AC87" s="55" t="str">
        <f>IF('All Tandem Adjustments Source'!Q88&lt;1/24,TEXT('All Tandem Adjustments Source'!Q88,"M:SS"),TEXT('All Tandem Adjustments Source'!Q88,"H:MM:SS"))</f>
        <v>30:28</v>
      </c>
      <c r="AD87" s="55" t="str">
        <f>IF('All Tandem Adjustments Source'!U88&lt;1/24,TEXT('All Tandem Adjustments Source'!U88,"M:SS"),TEXT('All Tandem Adjustments Source'!U88,"H:MM:SS"))</f>
        <v>54:06</v>
      </c>
      <c r="AE87" s="55" t="str">
        <f>IF('All Tandem Adjustments Source'!Y88&lt;1/24,TEXT('All Tandem Adjustments Source'!Y88,"M:SS"),TEXT('All Tandem Adjustments Source'!Y88,"H:MM:SS"))</f>
        <v>2:09:10</v>
      </c>
      <c r="AF87" s="56">
        <f>'All Tandem Adjustments Source'!AC88</f>
        <v>81.38</v>
      </c>
      <c r="AG87" s="56">
        <f>'All Tandem Adjustments Source'!AG88</f>
        <v>144.46640046296295</v>
      </c>
    </row>
    <row r="88" spans="1:33" x14ac:dyDescent="0.25">
      <c r="A88" s="17">
        <f>'All Tandem Adjustments Source'!A89</f>
        <v>95</v>
      </c>
      <c r="B88" s="53" t="str">
        <f>IF('All Tandem Adjustments Source'!B89&lt;1/24,TEXT('All Tandem Adjustments Source'!B89,"M:SS"),TEXT('All Tandem Adjustments Source'!B89,"H:MM:SS"))</f>
        <v>6:15</v>
      </c>
      <c r="C88" s="53" t="str">
        <f>IF('All Tandem Adjustments Source'!F89&lt;1/24,TEXT('All Tandem Adjustments Source'!F89,"M:SS"),TEXT('All Tandem Adjustments Source'!F89,"H:MM:SS"))</f>
        <v>9:34</v>
      </c>
      <c r="D88" s="53" t="str">
        <f>IF('All Tandem Adjustments Source'!J89&lt;1/24,TEXT('All Tandem Adjustments Source'!J89,"M:SS"),TEXT('All Tandem Adjustments Source'!J89,"H:MM:SS"))</f>
        <v>16:33</v>
      </c>
      <c r="E88" s="53" t="str">
        <f>IF('All Tandem Adjustments Source'!N89&lt;1/24,TEXT('All Tandem Adjustments Source'!N89,"M:SS"),TEXT('All Tandem Adjustments Source'!N89,"H:MM:SS"))</f>
        <v>20:15</v>
      </c>
      <c r="F88" s="53" t="str">
        <f>IF('All Tandem Adjustments Source'!R89&lt;1/24,TEXT('All Tandem Adjustments Source'!R89,"M:SS"),TEXT('All Tandem Adjustments Source'!R89,"H:MM:SS"))</f>
        <v>36:33</v>
      </c>
      <c r="G88" s="53" t="str">
        <f>IF('All Tandem Adjustments Source'!V89&lt;1/24,TEXT('All Tandem Adjustments Source'!V89,"M:SS"),TEXT('All Tandem Adjustments Source'!V89,"H:MM:SS"))</f>
        <v>1:31:05</v>
      </c>
      <c r="H88" s="54">
        <f>'All Tandem Adjustments Source'!Z89</f>
        <v>72.576400462962965</v>
      </c>
      <c r="I88" s="54">
        <f>'All Tandem Adjustments Source'!AD89</f>
        <v>137.24879629629629</v>
      </c>
      <c r="J88" s="57" t="str">
        <f>IF('All Tandem Adjustments Source'!C89&lt;1/24,TEXT('All Tandem Adjustments Source'!C89,"M:SS"),TEXT('All Tandem Adjustments Source'!C89,"H:MM:SS"))</f>
        <v>8:16</v>
      </c>
      <c r="K88" s="57" t="str">
        <f>IF('All Tandem Adjustments Source'!G89&lt;1/24,TEXT('All Tandem Adjustments Source'!G89,"M:SS"),TEXT('All Tandem Adjustments Source'!G89,"H:MM:SS"))</f>
        <v>12:36</v>
      </c>
      <c r="L88" s="57" t="str">
        <f>IF('All Tandem Adjustments Source'!K89&lt;1/24,TEXT('All Tandem Adjustments Source'!K89,"M:SS"),TEXT('All Tandem Adjustments Source'!K89,"H:MM:SS"))</f>
        <v>21:43</v>
      </c>
      <c r="M88" s="57" t="str">
        <f>IF('All Tandem Adjustments Source'!O89&lt;1/24,TEXT('All Tandem Adjustments Source'!O89,"M:SS"),TEXT('All Tandem Adjustments Source'!O89,"H:MM:SS"))</f>
        <v>26:30</v>
      </c>
      <c r="N88" s="57" t="str">
        <f>IF('All Tandem Adjustments Source'!S89&lt;1/24,TEXT('All Tandem Adjustments Source'!S89,"M:SS"),TEXT('All Tandem Adjustments Source'!S89,"H:MM:SS"))</f>
        <v>47:24</v>
      </c>
      <c r="O88" s="57" t="str">
        <f>IF('All Tandem Adjustments Source'!W89&lt;1/24,TEXT('All Tandem Adjustments Source'!W89,"M:SS"),TEXT('All Tandem Adjustments Source'!W89,"H:MM:SS"))</f>
        <v>1:55:32</v>
      </c>
      <c r="P88" s="58">
        <f>'All Tandem Adjustments Source'!AA89</f>
        <v>78.681203703703702</v>
      </c>
      <c r="Q88" s="58">
        <f>'All Tandem Adjustments Source'!AE89</f>
        <v>143.13519675925926</v>
      </c>
      <c r="R88" s="50" t="str">
        <f>IF('All Tandem Adjustments Source'!D89&lt;1/24,TEXT('All Tandem Adjustments Source'!D89,"M:SS"),TEXT('All Tandem Adjustments Source'!D89,"H:MM:SS"))</f>
        <v>7:46</v>
      </c>
      <c r="S88" s="50" t="str">
        <f>IF('All Tandem Adjustments Source'!H89&lt;1/24,TEXT('All Tandem Adjustments Source'!H89,"M:SS"),TEXT('All Tandem Adjustments Source'!H89,"H:MM:SS"))</f>
        <v>11:50</v>
      </c>
      <c r="T88" s="50" t="str">
        <f>IF('All Tandem Adjustments Source'!L89&lt;1/24,TEXT('All Tandem Adjustments Source'!L89,"M:SS"),TEXT('All Tandem Adjustments Source'!L89,"H:MM:SS"))</f>
        <v>20:26</v>
      </c>
      <c r="U88" s="50" t="str">
        <f>IF('All Tandem Adjustments Source'!P89&lt;1/24,TEXT('All Tandem Adjustments Source'!P89,"M:SS"),TEXT('All Tandem Adjustments Source'!P89,"H:MM:SS"))</f>
        <v>24:57</v>
      </c>
      <c r="V88" s="50" t="str">
        <f>IF('All Tandem Adjustments Source'!T89&lt;1/24,TEXT('All Tandem Adjustments Source'!T89,"M:SS"),TEXT('All Tandem Adjustments Source'!T89,"H:MM:SS"))</f>
        <v>44:43</v>
      </c>
      <c r="W88" s="50" t="str">
        <f>IF('All Tandem Adjustments Source'!X89&lt;1/24,TEXT('All Tandem Adjustments Source'!X89,"M:SS"),TEXT('All Tandem Adjustments Source'!X89,"H:MM:SS"))</f>
        <v>1:49:28</v>
      </c>
      <c r="X88" s="51">
        <f>'All Tandem Adjustments Source'!AB89</f>
        <v>77.245995370370366</v>
      </c>
      <c r="Y88" s="51">
        <f>'All Tandem Adjustments Source'!AF89</f>
        <v>141.71560185185186</v>
      </c>
      <c r="Z88" s="55" t="str">
        <f>IF('All Tandem Adjustments Source'!E89&lt;1/24,TEXT('All Tandem Adjustments Source'!E89,"M:SS"),TEXT('All Tandem Adjustments Source'!E89,"H:MM:SS"))</f>
        <v>9:58</v>
      </c>
      <c r="AA88" s="55" t="str">
        <f>IF('All Tandem Adjustments Source'!I89&lt;1/24,TEXT('All Tandem Adjustments Source'!I89,"M:SS"),TEXT('All Tandem Adjustments Source'!I89,"H:MM:SS"))</f>
        <v>15:10</v>
      </c>
      <c r="AB88" s="55" t="str">
        <f>IF('All Tandem Adjustments Source'!M89&lt;1/24,TEXT('All Tandem Adjustments Source'!M89,"M:SS"),TEXT('All Tandem Adjustments Source'!M89,"H:MM:SS"))</f>
        <v>26:05</v>
      </c>
      <c r="AC88" s="55" t="str">
        <f>IF('All Tandem Adjustments Source'!Q89&lt;1/24,TEXT('All Tandem Adjustments Source'!Q89,"M:SS"),TEXT('All Tandem Adjustments Source'!Q89,"H:MM:SS"))</f>
        <v>31:48</v>
      </c>
      <c r="AD88" s="55" t="str">
        <f>IF('All Tandem Adjustments Source'!U89&lt;1/24,TEXT('All Tandem Adjustments Source'!U89,"M:SS"),TEXT('All Tandem Adjustments Source'!U89,"H:MM:SS"))</f>
        <v>56:36</v>
      </c>
      <c r="AE88" s="55" t="str">
        <f>IF('All Tandem Adjustments Source'!Y89&lt;1/24,TEXT('All Tandem Adjustments Source'!Y89,"M:SS"),TEXT('All Tandem Adjustments Source'!Y89,"H:MM:SS"))</f>
        <v>2:16:14</v>
      </c>
      <c r="AF88" s="56">
        <f>'All Tandem Adjustments Source'!AC89</f>
        <v>83.2</v>
      </c>
      <c r="AG88" s="56">
        <f>'All Tandem Adjustments Source'!AG89</f>
        <v>147.79439814814816</v>
      </c>
    </row>
    <row r="89" spans="1:33" x14ac:dyDescent="0.25">
      <c r="A89" s="17">
        <f>'All Tandem Adjustments Source'!A90</f>
        <v>96</v>
      </c>
      <c r="B89" s="53" t="str">
        <f>IF('All Tandem Adjustments Source'!B90&lt;1/24,TEXT('All Tandem Adjustments Source'!B90,"M:SS"),TEXT('All Tandem Adjustments Source'!B90,"H:MM:SS"))</f>
        <v>6:36</v>
      </c>
      <c r="C89" s="53" t="str">
        <f>IF('All Tandem Adjustments Source'!F90&lt;1/24,TEXT('All Tandem Adjustments Source'!F90,"M:SS"),TEXT('All Tandem Adjustments Source'!F90,"H:MM:SS"))</f>
        <v>10:05</v>
      </c>
      <c r="D89" s="53" t="str">
        <f>IF('All Tandem Adjustments Source'!J90&lt;1/24,TEXT('All Tandem Adjustments Source'!J90,"M:SS"),TEXT('All Tandem Adjustments Source'!J90,"H:MM:SS"))</f>
        <v>17:29</v>
      </c>
      <c r="E89" s="53" t="str">
        <f>IF('All Tandem Adjustments Source'!N90&lt;1/24,TEXT('All Tandem Adjustments Source'!N90,"M:SS"),TEXT('All Tandem Adjustments Source'!N90,"H:MM:SS"))</f>
        <v>21:25</v>
      </c>
      <c r="F89" s="53" t="str">
        <f>IF('All Tandem Adjustments Source'!R90&lt;1/24,TEXT('All Tandem Adjustments Source'!R90,"M:SS"),TEXT('All Tandem Adjustments Source'!R90,"H:MM:SS"))</f>
        <v>38:45</v>
      </c>
      <c r="G89" s="53" t="str">
        <f>IF('All Tandem Adjustments Source'!V90&lt;1/24,TEXT('All Tandem Adjustments Source'!V90,"M:SS"),TEXT('All Tandem Adjustments Source'!V90,"H:MM:SS"))</f>
        <v>1:37:24</v>
      </c>
      <c r="H89" s="54">
        <f>'All Tandem Adjustments Source'!Z90</f>
        <v>74.827997685185181</v>
      </c>
      <c r="I89" s="54">
        <f>'All Tandem Adjustments Source'!AD90</f>
        <v>141.20079861111111</v>
      </c>
      <c r="J89" s="57" t="str">
        <f>IF('All Tandem Adjustments Source'!C90&lt;1/24,TEXT('All Tandem Adjustments Source'!C90,"M:SS"),TEXT('All Tandem Adjustments Source'!C90,"H:MM:SS"))</f>
        <v>8:39</v>
      </c>
      <c r="K89" s="57" t="str">
        <f>IF('All Tandem Adjustments Source'!G90&lt;1/24,TEXT('All Tandem Adjustments Source'!G90,"M:SS"),TEXT('All Tandem Adjustments Source'!G90,"H:MM:SS"))</f>
        <v>13:12</v>
      </c>
      <c r="L89" s="57" t="str">
        <f>IF('All Tandem Adjustments Source'!K90&lt;1/24,TEXT('All Tandem Adjustments Source'!K90,"M:SS"),TEXT('All Tandem Adjustments Source'!K90,"H:MM:SS"))</f>
        <v>22:46</v>
      </c>
      <c r="M89" s="57" t="str">
        <f>IF('All Tandem Adjustments Source'!O90&lt;1/24,TEXT('All Tandem Adjustments Source'!O90,"M:SS"),TEXT('All Tandem Adjustments Source'!O90,"H:MM:SS"))</f>
        <v>27:48</v>
      </c>
      <c r="N89" s="57" t="str">
        <f>IF('All Tandem Adjustments Source'!S90&lt;1/24,TEXT('All Tandem Adjustments Source'!S90,"M:SS"),TEXT('All Tandem Adjustments Source'!S90,"H:MM:SS"))</f>
        <v>49:53</v>
      </c>
      <c r="O89" s="57" t="str">
        <f>IF('All Tandem Adjustments Source'!W90&lt;1/24,TEXT('All Tandem Adjustments Source'!W90,"M:SS"),TEXT('All Tandem Adjustments Source'!W90,"H:MM:SS"))</f>
        <v>2:02:39</v>
      </c>
      <c r="P89" s="58">
        <f>'All Tandem Adjustments Source'!AA90</f>
        <v>80.704004629629637</v>
      </c>
      <c r="Q89" s="58">
        <f>'All Tandem Adjustments Source'!AE90</f>
        <v>146.76480324074075</v>
      </c>
      <c r="R89" s="50" t="str">
        <f>IF('All Tandem Adjustments Source'!D90&lt;1/24,TEXT('All Tandem Adjustments Source'!D90,"M:SS"),TEXT('All Tandem Adjustments Source'!D90,"H:MM:SS"))</f>
        <v>8:08</v>
      </c>
      <c r="S89" s="50" t="str">
        <f>IF('All Tandem Adjustments Source'!H90&lt;1/24,TEXT('All Tandem Adjustments Source'!H90,"M:SS"),TEXT('All Tandem Adjustments Source'!H90,"H:MM:SS"))</f>
        <v>12:25</v>
      </c>
      <c r="T89" s="50" t="str">
        <f>IF('All Tandem Adjustments Source'!L90&lt;1/24,TEXT('All Tandem Adjustments Source'!L90,"M:SS"),TEXT('All Tandem Adjustments Source'!L90,"H:MM:SS"))</f>
        <v>21:27</v>
      </c>
      <c r="U89" s="50" t="str">
        <f>IF('All Tandem Adjustments Source'!P90&lt;1/24,TEXT('All Tandem Adjustments Source'!P90,"M:SS"),TEXT('All Tandem Adjustments Source'!P90,"H:MM:SS"))</f>
        <v>26:13</v>
      </c>
      <c r="V89" s="50" t="str">
        <f>IF('All Tandem Adjustments Source'!T90&lt;1/24,TEXT('All Tandem Adjustments Source'!T90,"M:SS"),TEXT('All Tandem Adjustments Source'!T90,"H:MM:SS"))</f>
        <v>47:07</v>
      </c>
      <c r="W89" s="50" t="str">
        <f>IF('All Tandem Adjustments Source'!X90&lt;1/24,TEXT('All Tandem Adjustments Source'!X90,"M:SS"),TEXT('All Tandem Adjustments Source'!X90,"H:MM:SS"))</f>
        <v>1:56:24</v>
      </c>
      <c r="X89" s="51">
        <f>'All Tandem Adjustments Source'!AB90</f>
        <v>79.320798611111115</v>
      </c>
      <c r="Y89" s="51">
        <f>'All Tandem Adjustments Source'!AF90</f>
        <v>145.41799768518518</v>
      </c>
      <c r="Z89" s="55" t="str">
        <f>IF('All Tandem Adjustments Source'!E90&lt;1/24,TEXT('All Tandem Adjustments Source'!E90,"M:SS"),TEXT('All Tandem Adjustments Source'!E90,"H:MM:SS"))</f>
        <v>10:23</v>
      </c>
      <c r="AA89" s="55" t="str">
        <f>IF('All Tandem Adjustments Source'!I90&lt;1/24,TEXT('All Tandem Adjustments Source'!I90,"M:SS"),TEXT('All Tandem Adjustments Source'!I90,"H:MM:SS"))</f>
        <v>15:49</v>
      </c>
      <c r="AB89" s="55" t="str">
        <f>IF('All Tandem Adjustments Source'!M90&lt;1/24,TEXT('All Tandem Adjustments Source'!M90,"M:SS"),TEXT('All Tandem Adjustments Source'!M90,"H:MM:SS"))</f>
        <v>27:14</v>
      </c>
      <c r="AC89" s="55" t="str">
        <f>IF('All Tandem Adjustments Source'!Q90&lt;1/24,TEXT('All Tandem Adjustments Source'!Q90,"M:SS"),TEXT('All Tandem Adjustments Source'!Q90,"H:MM:SS"))</f>
        <v>33:13</v>
      </c>
      <c r="AD89" s="55" t="str">
        <f>IF('All Tandem Adjustments Source'!U90&lt;1/24,TEXT('All Tandem Adjustments Source'!U90,"M:SS"),TEXT('All Tandem Adjustments Source'!U90,"H:MM:SS"))</f>
        <v>59:19</v>
      </c>
      <c r="AE89" s="55" t="str">
        <f>IF('All Tandem Adjustments Source'!Y90&lt;1/24,TEXT('All Tandem Adjustments Source'!Y90,"M:SS"),TEXT('All Tandem Adjustments Source'!Y90,"H:MM:SS"))</f>
        <v>2:24:03</v>
      </c>
      <c r="AF89" s="56">
        <f>'All Tandem Adjustments Source'!AC90</f>
        <v>85.056400462962969</v>
      </c>
      <c r="AG89" s="56">
        <f>'All Tandem Adjustments Source'!AG90</f>
        <v>151.17959490740742</v>
      </c>
    </row>
    <row r="90" spans="1:33" x14ac:dyDescent="0.25">
      <c r="A90" s="17">
        <f>'All Tandem Adjustments Source'!A91</f>
        <v>97</v>
      </c>
      <c r="B90" s="53" t="str">
        <f>IF('All Tandem Adjustments Source'!B91&lt;1/24,TEXT('All Tandem Adjustments Source'!B91,"M:SS"),TEXT('All Tandem Adjustments Source'!B91,"H:MM:SS"))</f>
        <v>6:58</v>
      </c>
      <c r="C90" s="53" t="str">
        <f>IF('All Tandem Adjustments Source'!F91&lt;1/24,TEXT('All Tandem Adjustments Source'!F91,"M:SS"),TEXT('All Tandem Adjustments Source'!F91,"H:MM:SS"))</f>
        <v>10:39</v>
      </c>
      <c r="D90" s="53" t="str">
        <f>IF('All Tandem Adjustments Source'!J91&lt;1/24,TEXT('All Tandem Adjustments Source'!J91,"M:SS"),TEXT('All Tandem Adjustments Source'!J91,"H:MM:SS"))</f>
        <v>18:30</v>
      </c>
      <c r="E90" s="53" t="str">
        <f>IF('All Tandem Adjustments Source'!N91&lt;1/24,TEXT('All Tandem Adjustments Source'!N91,"M:SS"),TEXT('All Tandem Adjustments Source'!N91,"H:MM:SS"))</f>
        <v>22:40</v>
      </c>
      <c r="F90" s="53" t="str">
        <f>IF('All Tandem Adjustments Source'!R91&lt;1/24,TEXT('All Tandem Adjustments Source'!R91,"M:SS"),TEXT('All Tandem Adjustments Source'!R91,"H:MM:SS"))</f>
        <v>41:07</v>
      </c>
      <c r="G90" s="53" t="str">
        <f>IF('All Tandem Adjustments Source'!V91&lt;1/24,TEXT('All Tandem Adjustments Source'!V91,"M:SS"),TEXT('All Tandem Adjustments Source'!V91,"H:MM:SS"))</f>
        <v>1:44:25</v>
      </c>
      <c r="H90" s="54">
        <f>'All Tandem Adjustments Source'!Z91</f>
        <v>77.131597222222226</v>
      </c>
      <c r="I90" s="54">
        <f>'All Tandem Adjustments Source'!AD91</f>
        <v>145.21</v>
      </c>
      <c r="J90" s="57" t="str">
        <f>IF('All Tandem Adjustments Source'!C91&lt;1/24,TEXT('All Tandem Adjustments Source'!C91,"M:SS"),TEXT('All Tandem Adjustments Source'!C91,"H:MM:SS"))</f>
        <v>9:04</v>
      </c>
      <c r="K90" s="57" t="str">
        <f>IF('All Tandem Adjustments Source'!G91&lt;1/24,TEXT('All Tandem Adjustments Source'!G91,"M:SS"),TEXT('All Tandem Adjustments Source'!G91,"H:MM:SS"))</f>
        <v>13:50</v>
      </c>
      <c r="L90" s="57" t="str">
        <f>IF('All Tandem Adjustments Source'!K91&lt;1/24,TEXT('All Tandem Adjustments Source'!K91,"M:SS"),TEXT('All Tandem Adjustments Source'!K91,"H:MM:SS"))</f>
        <v>23:54</v>
      </c>
      <c r="M90" s="57" t="str">
        <f>IF('All Tandem Adjustments Source'!O91&lt;1/24,TEXT('All Tandem Adjustments Source'!O91,"M:SS"),TEXT('All Tandem Adjustments Source'!O91,"H:MM:SS"))</f>
        <v>29:13</v>
      </c>
      <c r="N90" s="57" t="str">
        <f>IF('All Tandem Adjustments Source'!S91&lt;1/24,TEXT('All Tandem Adjustments Source'!S91,"M:SS"),TEXT('All Tandem Adjustments Source'!S91,"H:MM:SS"))</f>
        <v>52:34</v>
      </c>
      <c r="O90" s="57" t="str">
        <f>IF('All Tandem Adjustments Source'!W91&lt;1/24,TEXT('All Tandem Adjustments Source'!W91,"M:SS"),TEXT('All Tandem Adjustments Source'!W91,"H:MM:SS"))</f>
        <v>2:10:34</v>
      </c>
      <c r="P90" s="58">
        <f>'All Tandem Adjustments Source'!AA91</f>
        <v>82.76840277777778</v>
      </c>
      <c r="Q90" s="58">
        <f>'All Tandem Adjustments Source'!AE91</f>
        <v>150.45159722222223</v>
      </c>
      <c r="R90" s="50" t="str">
        <f>IF('All Tandem Adjustments Source'!D91&lt;1/24,TEXT('All Tandem Adjustments Source'!D91,"M:SS"),TEXT('All Tandem Adjustments Source'!D91,"H:MM:SS"))</f>
        <v>8:33</v>
      </c>
      <c r="S90" s="50" t="str">
        <f>IF('All Tandem Adjustments Source'!H91&lt;1/24,TEXT('All Tandem Adjustments Source'!H91,"M:SS"),TEXT('All Tandem Adjustments Source'!H91,"H:MM:SS"))</f>
        <v>13:03</v>
      </c>
      <c r="T90" s="50" t="str">
        <f>IF('All Tandem Adjustments Source'!L91&lt;1/24,TEXT('All Tandem Adjustments Source'!L91,"M:SS"),TEXT('All Tandem Adjustments Source'!L91,"H:MM:SS"))</f>
        <v>22:34</v>
      </c>
      <c r="U90" s="50" t="str">
        <f>IF('All Tandem Adjustments Source'!P91&lt;1/24,TEXT('All Tandem Adjustments Source'!P91,"M:SS"),TEXT('All Tandem Adjustments Source'!P91,"H:MM:SS"))</f>
        <v>27:36</v>
      </c>
      <c r="V90" s="50" t="str">
        <f>IF('All Tandem Adjustments Source'!T91&lt;1/24,TEXT('All Tandem Adjustments Source'!T91,"M:SS"),TEXT('All Tandem Adjustments Source'!T91,"H:MM:SS"))</f>
        <v>49:43</v>
      </c>
      <c r="W90" s="50" t="str">
        <f>IF('All Tandem Adjustments Source'!X91&lt;1/24,TEXT('All Tandem Adjustments Source'!X91,"M:SS"),TEXT('All Tandem Adjustments Source'!X91,"H:MM:SS"))</f>
        <v>2:04:05</v>
      </c>
      <c r="X90" s="51">
        <f>'All Tandem Adjustments Source'!AB91</f>
        <v>81.442395833333336</v>
      </c>
      <c r="Y90" s="51">
        <f>'All Tandem Adjustments Source'!AF91</f>
        <v>149.18280092592593</v>
      </c>
      <c r="Z90" s="55" t="str">
        <f>IF('All Tandem Adjustments Source'!E91&lt;1/24,TEXT('All Tandem Adjustments Source'!E91,"M:SS"),TEXT('All Tandem Adjustments Source'!E91,"H:MM:SS"))</f>
        <v>10:50</v>
      </c>
      <c r="AA90" s="55" t="str">
        <f>IF('All Tandem Adjustments Source'!I91&lt;1/24,TEXT('All Tandem Adjustments Source'!I91,"M:SS"),TEXT('All Tandem Adjustments Source'!I91,"H:MM:SS"))</f>
        <v>16:31</v>
      </c>
      <c r="AB90" s="55" t="str">
        <f>IF('All Tandem Adjustments Source'!M91&lt;1/24,TEXT('All Tandem Adjustments Source'!M91,"M:SS"),TEXT('All Tandem Adjustments Source'!M91,"H:MM:SS"))</f>
        <v>28:29</v>
      </c>
      <c r="AC90" s="55" t="str">
        <f>IF('All Tandem Adjustments Source'!Q91&lt;1/24,TEXT('All Tandem Adjustments Source'!Q91,"M:SS"),TEXT('All Tandem Adjustments Source'!Q91,"H:MM:SS"))</f>
        <v>34:46</v>
      </c>
      <c r="AD90" s="55" t="str">
        <f>IF('All Tandem Adjustments Source'!U91&lt;1/24,TEXT('All Tandem Adjustments Source'!U91,"M:SS"),TEXT('All Tandem Adjustments Source'!U91,"H:MM:SS"))</f>
        <v>1:02:15</v>
      </c>
      <c r="AE90" s="55" t="str">
        <f>IF('All Tandem Adjustments Source'!Y91&lt;1/24,TEXT('All Tandem Adjustments Source'!Y91,"M:SS"),TEXT('All Tandem Adjustments Source'!Y91,"H:MM:SS"))</f>
        <v>2:32:43</v>
      </c>
      <c r="AF90" s="56">
        <f>'All Tandem Adjustments Source'!AC91</f>
        <v>86.959594907407407</v>
      </c>
      <c r="AG90" s="56">
        <f>'All Tandem Adjustments Source'!AG91</f>
        <v>154.62200231481481</v>
      </c>
    </row>
    <row r="91" spans="1:33" x14ac:dyDescent="0.25">
      <c r="A91" s="17">
        <f>'All Tandem Adjustments Source'!A92</f>
        <v>98</v>
      </c>
      <c r="B91" s="53" t="str">
        <f>IF('All Tandem Adjustments Source'!B92&lt;1/24,TEXT('All Tandem Adjustments Source'!B92,"M:SS"),TEXT('All Tandem Adjustments Source'!B92,"H:MM:SS"))</f>
        <v>7:22</v>
      </c>
      <c r="C91" s="53" t="str">
        <f>IF('All Tandem Adjustments Source'!F92&lt;1/24,TEXT('All Tandem Adjustments Source'!F92,"M:SS"),TEXT('All Tandem Adjustments Source'!F92,"H:MM:SS"))</f>
        <v>11:16</v>
      </c>
      <c r="D91" s="53" t="str">
        <f>IF('All Tandem Adjustments Source'!J92&lt;1/24,TEXT('All Tandem Adjustments Source'!J92,"M:SS"),TEXT('All Tandem Adjustments Source'!J92,"H:MM:SS"))</f>
        <v>19:35</v>
      </c>
      <c r="E91" s="53" t="str">
        <f>IF('All Tandem Adjustments Source'!N92&lt;1/24,TEXT('All Tandem Adjustments Source'!N92,"M:SS"),TEXT('All Tandem Adjustments Source'!N92,"H:MM:SS"))</f>
        <v>24:01</v>
      </c>
      <c r="F91" s="53" t="str">
        <f>IF('All Tandem Adjustments Source'!R92&lt;1/24,TEXT('All Tandem Adjustments Source'!R92,"M:SS"),TEXT('All Tandem Adjustments Source'!R92,"H:MM:SS"))</f>
        <v>43:43</v>
      </c>
      <c r="G91" s="53" t="str">
        <f>IF('All Tandem Adjustments Source'!V92&lt;1/24,TEXT('All Tandem Adjustments Source'!V92,"M:SS"),TEXT('All Tandem Adjustments Source'!V92,"H:MM:SS"))</f>
        <v>1:52:16</v>
      </c>
      <c r="H91" s="54">
        <f>'All Tandem Adjustments Source'!Z92</f>
        <v>79.482002314814821</v>
      </c>
      <c r="I91" s="54">
        <f>'All Tandem Adjustments Source'!AD92</f>
        <v>149.28159722222222</v>
      </c>
      <c r="J91" s="57" t="str">
        <f>IF('All Tandem Adjustments Source'!C92&lt;1/24,TEXT('All Tandem Adjustments Source'!C92,"M:SS"),TEXT('All Tandem Adjustments Source'!C92,"H:MM:SS"))</f>
        <v>9:30</v>
      </c>
      <c r="K91" s="57" t="str">
        <f>IF('All Tandem Adjustments Source'!G92&lt;1/24,TEXT('All Tandem Adjustments Source'!G92,"M:SS"),TEXT('All Tandem Adjustments Source'!G92,"H:MM:SS"))</f>
        <v>14:31</v>
      </c>
      <c r="L91" s="57" t="str">
        <f>IF('All Tandem Adjustments Source'!K92&lt;1/24,TEXT('All Tandem Adjustments Source'!K92,"M:SS"),TEXT('All Tandem Adjustments Source'!K92,"H:MM:SS"))</f>
        <v>25:08</v>
      </c>
      <c r="M91" s="57" t="str">
        <f>IF('All Tandem Adjustments Source'!O92&lt;1/24,TEXT('All Tandem Adjustments Source'!O92,"M:SS"),TEXT('All Tandem Adjustments Source'!O92,"H:MM:SS"))</f>
        <v>30:44</v>
      </c>
      <c r="N91" s="57" t="str">
        <f>IF('All Tandem Adjustments Source'!S92&lt;1/24,TEXT('All Tandem Adjustments Source'!S92,"M:SS"),TEXT('All Tandem Adjustments Source'!S92,"H:MM:SS"))</f>
        <v>55:29</v>
      </c>
      <c r="O91" s="57" t="str">
        <f>IF('All Tandem Adjustments Source'!W92&lt;1/24,TEXT('All Tandem Adjustments Source'!W92,"M:SS"),TEXT('All Tandem Adjustments Source'!W92,"H:MM:SS"))</f>
        <v>2:19:24</v>
      </c>
      <c r="P91" s="58">
        <f>'All Tandem Adjustments Source'!AA92</f>
        <v>84.879594907407409</v>
      </c>
      <c r="Q91" s="58">
        <f>'All Tandem Adjustments Source'!AE92</f>
        <v>154.20079861111111</v>
      </c>
      <c r="R91" s="50" t="str">
        <f>IF('All Tandem Adjustments Source'!D92&lt;1/24,TEXT('All Tandem Adjustments Source'!D92,"M:SS"),TEXT('All Tandem Adjustments Source'!D92,"H:MM:SS"))</f>
        <v>8:59</v>
      </c>
      <c r="S91" s="50" t="str">
        <f>IF('All Tandem Adjustments Source'!H92&lt;1/24,TEXT('All Tandem Adjustments Source'!H92,"M:SS"),TEXT('All Tandem Adjustments Source'!H92,"H:MM:SS"))</f>
        <v>13:43</v>
      </c>
      <c r="T91" s="50" t="str">
        <f>IF('All Tandem Adjustments Source'!L92&lt;1/24,TEXT('All Tandem Adjustments Source'!L92,"M:SS"),TEXT('All Tandem Adjustments Source'!L92,"H:MM:SS"))</f>
        <v>23:45</v>
      </c>
      <c r="U91" s="50" t="str">
        <f>IF('All Tandem Adjustments Source'!P92&lt;1/24,TEXT('All Tandem Adjustments Source'!P92,"M:SS"),TEXT('All Tandem Adjustments Source'!P92,"H:MM:SS"))</f>
        <v>29:04</v>
      </c>
      <c r="V91" s="50" t="str">
        <f>IF('All Tandem Adjustments Source'!T92&lt;1/24,TEXT('All Tandem Adjustments Source'!T92,"M:SS"),TEXT('All Tandem Adjustments Source'!T92,"H:MM:SS"))</f>
        <v>52:34</v>
      </c>
      <c r="W91" s="50" t="str">
        <f>IF('All Tandem Adjustments Source'!X92&lt;1/24,TEXT('All Tandem Adjustments Source'!X92,"M:SS"),TEXT('All Tandem Adjustments Source'!X92,"H:MM:SS"))</f>
        <v>2:12:40</v>
      </c>
      <c r="X91" s="51">
        <f>'All Tandem Adjustments Source'!AB92</f>
        <v>83.610798611111107</v>
      </c>
      <c r="Y91" s="51">
        <f>'All Tandem Adjustments Source'!AF92</f>
        <v>153.00480324074073</v>
      </c>
      <c r="Z91" s="55" t="str">
        <f>IF('All Tandem Adjustments Source'!E92&lt;1/24,TEXT('All Tandem Adjustments Source'!E92,"M:SS"),TEXT('All Tandem Adjustments Source'!E92,"H:MM:SS"))</f>
        <v>11:19</v>
      </c>
      <c r="AA91" s="55" t="str">
        <f>IF('All Tandem Adjustments Source'!I92&lt;1/24,TEXT('All Tandem Adjustments Source'!I92,"M:SS"),TEXT('All Tandem Adjustments Source'!I92,"H:MM:SS"))</f>
        <v>17:16</v>
      </c>
      <c r="AB91" s="55" t="str">
        <f>IF('All Tandem Adjustments Source'!M92&lt;1/24,TEXT('All Tandem Adjustments Source'!M92,"M:SS"),TEXT('All Tandem Adjustments Source'!M92,"H:MM:SS"))</f>
        <v>29:49</v>
      </c>
      <c r="AC91" s="55" t="str">
        <f>IF('All Tandem Adjustments Source'!Q92&lt;1/24,TEXT('All Tandem Adjustments Source'!Q92,"M:SS"),TEXT('All Tandem Adjustments Source'!Q92,"H:MM:SS"))</f>
        <v>36:26</v>
      </c>
      <c r="AD91" s="55" t="str">
        <f>IF('All Tandem Adjustments Source'!U92&lt;1/24,TEXT('All Tandem Adjustments Source'!U92,"M:SS"),TEXT('All Tandem Adjustments Source'!U92,"H:MM:SS"))</f>
        <v>1:05:26</v>
      </c>
      <c r="AE91" s="55" t="str">
        <f>IF('All Tandem Adjustments Source'!Y92&lt;1/24,TEXT('All Tandem Adjustments Source'!Y92,"M:SS"),TEXT('All Tandem Adjustments Source'!Y92,"H:MM:SS"))</f>
        <v>2:42:24</v>
      </c>
      <c r="AF91" s="56">
        <f>'All Tandem Adjustments Source'!AC92</f>
        <v>88.904398148148147</v>
      </c>
      <c r="AG91" s="56">
        <f>'All Tandem Adjustments Source'!AG92</f>
        <v>158.13200231481483</v>
      </c>
    </row>
    <row r="92" spans="1:33" x14ac:dyDescent="0.25">
      <c r="A92" s="17">
        <f>'All Tandem Adjustments Source'!A93</f>
        <v>99</v>
      </c>
      <c r="B92" s="53" t="str">
        <f>IF('All Tandem Adjustments Source'!B93&lt;1/24,TEXT('All Tandem Adjustments Source'!B93,"M:SS"),TEXT('All Tandem Adjustments Source'!B93,"H:MM:SS"))</f>
        <v>7:47</v>
      </c>
      <c r="C92" s="53" t="str">
        <f>IF('All Tandem Adjustments Source'!F93&lt;1/24,TEXT('All Tandem Adjustments Source'!F93,"M:SS"),TEXT('All Tandem Adjustments Source'!F93,"H:MM:SS"))</f>
        <v>11:56</v>
      </c>
      <c r="D92" s="53" t="str">
        <f>IF('All Tandem Adjustments Source'!J93&lt;1/24,TEXT('All Tandem Adjustments Source'!J93,"M:SS"),TEXT('All Tandem Adjustments Source'!J93,"H:MM:SS"))</f>
        <v>20:46</v>
      </c>
      <c r="E92" s="53" t="str">
        <f>IF('All Tandem Adjustments Source'!N93&lt;1/24,TEXT('All Tandem Adjustments Source'!N93,"M:SS"),TEXT('All Tandem Adjustments Source'!N93,"H:MM:SS"))</f>
        <v>25:29</v>
      </c>
      <c r="F92" s="53" t="str">
        <f>IF('All Tandem Adjustments Source'!R93&lt;1/24,TEXT('All Tandem Adjustments Source'!R93,"M:SS"),TEXT('All Tandem Adjustments Source'!R93,"H:MM:SS"))</f>
        <v>46:33</v>
      </c>
      <c r="G92" s="53" t="str">
        <f>IF('All Tandem Adjustments Source'!V93&lt;1/24,TEXT('All Tandem Adjustments Source'!V93,"M:SS"),TEXT('All Tandem Adjustments Source'!V93,"H:MM:SS"))</f>
        <v>2:01:07</v>
      </c>
      <c r="H92" s="54">
        <f>'All Tandem Adjustments Source'!Z93</f>
        <v>81.889594907407414</v>
      </c>
      <c r="I92" s="54">
        <f>'All Tandem Adjustments Source'!AD93</f>
        <v>153.41040509259258</v>
      </c>
      <c r="J92" s="57" t="str">
        <f>IF('All Tandem Adjustments Source'!C93&lt;1/24,TEXT('All Tandem Adjustments Source'!C93,"M:SS"),TEXT('All Tandem Adjustments Source'!C93,"H:MM:SS"))</f>
        <v>9:59</v>
      </c>
      <c r="K92" s="57" t="str">
        <f>IF('All Tandem Adjustments Source'!G93&lt;1/24,TEXT('All Tandem Adjustments Source'!G93,"M:SS"),TEXT('All Tandem Adjustments Source'!G93,"H:MM:SS"))</f>
        <v>15:16</v>
      </c>
      <c r="L92" s="57" t="str">
        <f>IF('All Tandem Adjustments Source'!K93&lt;1/24,TEXT('All Tandem Adjustments Source'!K93,"M:SS"),TEXT('All Tandem Adjustments Source'!K93,"H:MM:SS"))</f>
        <v>26:27</v>
      </c>
      <c r="M92" s="57" t="str">
        <f>IF('All Tandem Adjustments Source'!O93&lt;1/24,TEXT('All Tandem Adjustments Source'!O93,"M:SS"),TEXT('All Tandem Adjustments Source'!O93,"H:MM:SS"))</f>
        <v>32:24</v>
      </c>
      <c r="N92" s="57" t="str">
        <f>IF('All Tandem Adjustments Source'!S93&lt;1/24,TEXT('All Tandem Adjustments Source'!S93,"M:SS"),TEXT('All Tandem Adjustments Source'!S93,"H:MM:SS"))</f>
        <v>58:40</v>
      </c>
      <c r="O92" s="57" t="str">
        <f>IF('All Tandem Adjustments Source'!W93&lt;1/24,TEXT('All Tandem Adjustments Source'!W93,"M:SS"),TEXT('All Tandem Adjustments Source'!W93,"H:MM:SS"))</f>
        <v>2:29:23</v>
      </c>
      <c r="P92" s="58">
        <f>'All Tandem Adjustments Source'!AA93</f>
        <v>87.042800925925931</v>
      </c>
      <c r="Q92" s="58">
        <f>'All Tandem Adjustments Source'!AE93</f>
        <v>158.00719907407407</v>
      </c>
      <c r="R92" s="50" t="str">
        <f>IF('All Tandem Adjustments Source'!D93&lt;1/24,TEXT('All Tandem Adjustments Source'!D93,"M:SS"),TEXT('All Tandem Adjustments Source'!D93,"H:MM:SS"))</f>
        <v>9:26</v>
      </c>
      <c r="S92" s="50" t="str">
        <f>IF('All Tandem Adjustments Source'!H93&lt;1/24,TEXT('All Tandem Adjustments Source'!H93,"M:SS"),TEXT('All Tandem Adjustments Source'!H93,"H:MM:SS"))</f>
        <v>14:26</v>
      </c>
      <c r="T92" s="50" t="str">
        <f>IF('All Tandem Adjustments Source'!L93&lt;1/24,TEXT('All Tandem Adjustments Source'!L93,"M:SS"),TEXT('All Tandem Adjustments Source'!L93,"H:MM:SS"))</f>
        <v>25:02</v>
      </c>
      <c r="U92" s="50" t="str">
        <f>IF('All Tandem Adjustments Source'!P93&lt;1/24,TEXT('All Tandem Adjustments Source'!P93,"M:SS"),TEXT('All Tandem Adjustments Source'!P93,"H:MM:SS"))</f>
        <v>30:40</v>
      </c>
      <c r="V92" s="50" t="str">
        <f>IF('All Tandem Adjustments Source'!T93&lt;1/24,TEXT('All Tandem Adjustments Source'!T93,"M:SS"),TEXT('All Tandem Adjustments Source'!T93,"H:MM:SS"))</f>
        <v>55:40</v>
      </c>
      <c r="W92" s="50" t="str">
        <f>IF('All Tandem Adjustments Source'!X93&lt;1/24,TEXT('All Tandem Adjustments Source'!X93,"M:SS"),TEXT('All Tandem Adjustments Source'!X93,"H:MM:SS"))</f>
        <v>2:22:22</v>
      </c>
      <c r="X92" s="51">
        <f>'All Tandem Adjustments Source'!AB93</f>
        <v>85.831203703703707</v>
      </c>
      <c r="Y92" s="51">
        <f>'All Tandem Adjustments Source'!AF93</f>
        <v>156.88920138888889</v>
      </c>
      <c r="Z92" s="55" t="str">
        <f>IF('All Tandem Adjustments Source'!E93&lt;1/24,TEXT('All Tandem Adjustments Source'!E93,"M:SS"),TEXT('All Tandem Adjustments Source'!E93,"H:MM:SS"))</f>
        <v>11:51</v>
      </c>
      <c r="AA92" s="55" t="str">
        <f>IF('All Tandem Adjustments Source'!I93&lt;1/24,TEXT('All Tandem Adjustments Source'!I93,"M:SS"),TEXT('All Tandem Adjustments Source'!I93,"H:MM:SS"))</f>
        <v>18:05</v>
      </c>
      <c r="AB92" s="55" t="str">
        <f>IF('All Tandem Adjustments Source'!M93&lt;1/24,TEXT('All Tandem Adjustments Source'!M93,"M:SS"),TEXT('All Tandem Adjustments Source'!M93,"H:MM:SS"))</f>
        <v>31:16</v>
      </c>
      <c r="AC92" s="55" t="str">
        <f>IF('All Tandem Adjustments Source'!Q93&lt;1/24,TEXT('All Tandem Adjustments Source'!Q93,"M:SS"),TEXT('All Tandem Adjustments Source'!Q93,"H:MM:SS"))</f>
        <v>38:15</v>
      </c>
      <c r="AD92" s="55" t="str">
        <f>IF('All Tandem Adjustments Source'!U93&lt;1/24,TEXT('All Tandem Adjustments Source'!U93,"M:SS"),TEXT('All Tandem Adjustments Source'!U93,"H:MM:SS"))</f>
        <v>1:08:57</v>
      </c>
      <c r="AE92" s="55" t="str">
        <f>IF('All Tandem Adjustments Source'!Y93&lt;1/24,TEXT('All Tandem Adjustments Source'!Y93,"M:SS"),TEXT('All Tandem Adjustments Source'!Y93,"H:MM:SS"))</f>
        <v>2:53:19</v>
      </c>
      <c r="AF92" s="56">
        <f>'All Tandem Adjustments Source'!AC93</f>
        <v>90.890798611111109</v>
      </c>
      <c r="AG92" s="56">
        <f>'All Tandem Adjustments Source'!AG93</f>
        <v>161.69920138888889</v>
      </c>
    </row>
  </sheetData>
  <sheetProtection sheet="1" objects="1" scenarios="1"/>
  <mergeCells count="4">
    <mergeCell ref="B1:I1"/>
    <mergeCell ref="J1:Q1"/>
    <mergeCell ref="R1:Y1"/>
    <mergeCell ref="Z1:AG1"/>
  </mergeCells>
  <pageMargins left="0.70866141732283472" right="0.70866141732283472" top="0.74803149606299213" bottom="0.74803149606299213" header="0.31496062992125984" footer="0.31496062992125984"/>
  <pageSetup paperSize="9" scale="44" orientation="landscape" r:id="rId1"/>
  <headerFooter>
    <oddHeader>&amp;C&amp;A</oddHeader>
    <oddFooter>&amp;L&amp;F&amp;CPage &amp;P of &amp;N&amp;R&amp;D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59C04-75BF-426A-A22F-D55EB334E06A}">
  <sheetPr codeName="Sheet13">
    <pageSetUpPr fitToPage="1"/>
  </sheetPr>
  <dimension ref="A1:AG92"/>
  <sheetViews>
    <sheetView zoomScale="66" zoomScaleNormal="66" workbookViewId="0">
      <pane xSplit="1" ySplit="3" topLeftCell="H33" activePane="bottomRight" state="frozen"/>
      <selection activeCell="A4" sqref="A4:XFD32"/>
      <selection pane="topRight" activeCell="A4" sqref="A4:XFD32"/>
      <selection pane="bottomLeft" activeCell="A4" sqref="A4:XFD32"/>
      <selection pane="bottomRight" activeCell="A4" sqref="A4:XFD32"/>
    </sheetView>
  </sheetViews>
  <sheetFormatPr defaultRowHeight="15" x14ac:dyDescent="0.25"/>
  <cols>
    <col min="1" max="1" width="15.140625" customWidth="1"/>
    <col min="2" max="29" width="8.7109375" customWidth="1"/>
    <col min="30" max="33" width="7.7109375" customWidth="1"/>
  </cols>
  <sheetData>
    <row r="1" spans="1:33" x14ac:dyDescent="0.25">
      <c r="A1" s="13"/>
      <c r="B1" s="72" t="s">
        <v>44</v>
      </c>
      <c r="C1" s="79"/>
      <c r="D1" s="79"/>
      <c r="E1" s="79"/>
      <c r="F1" s="79"/>
      <c r="G1" s="79"/>
      <c r="H1" s="79"/>
      <c r="I1" s="79"/>
      <c r="J1" s="74" t="s">
        <v>46</v>
      </c>
      <c r="K1" s="80"/>
      <c r="L1" s="80"/>
      <c r="M1" s="80"/>
      <c r="N1" s="80"/>
      <c r="O1" s="80"/>
      <c r="P1" s="80"/>
      <c r="Q1" s="80"/>
      <c r="R1" s="75" t="s">
        <v>45</v>
      </c>
      <c r="S1" s="76"/>
      <c r="T1" s="76"/>
      <c r="U1" s="76"/>
      <c r="V1" s="76"/>
      <c r="W1" s="76"/>
      <c r="X1" s="76"/>
      <c r="Y1" s="76"/>
      <c r="Z1" s="78" t="s">
        <v>47</v>
      </c>
      <c r="AA1" s="78"/>
      <c r="AB1" s="78"/>
      <c r="AC1" s="78"/>
      <c r="AD1" s="78"/>
      <c r="AE1" s="78"/>
      <c r="AF1" s="78"/>
      <c r="AG1" s="78"/>
    </row>
    <row r="2" spans="1:33" x14ac:dyDescent="0.25">
      <c r="A2" s="13" t="s">
        <v>34</v>
      </c>
      <c r="B2" s="14">
        <v>10</v>
      </c>
      <c r="C2" s="14">
        <v>15</v>
      </c>
      <c r="D2" s="14">
        <v>25</v>
      </c>
      <c r="E2" s="14">
        <v>30</v>
      </c>
      <c r="F2" s="14">
        <v>50</v>
      </c>
      <c r="G2" s="14">
        <v>100</v>
      </c>
      <c r="H2" s="14">
        <v>12</v>
      </c>
      <c r="I2" s="15">
        <v>24</v>
      </c>
      <c r="J2" s="14">
        <v>10</v>
      </c>
      <c r="K2" s="14">
        <v>15</v>
      </c>
      <c r="L2" s="14">
        <v>25</v>
      </c>
      <c r="M2" s="14">
        <v>30</v>
      </c>
      <c r="N2" s="14">
        <v>50</v>
      </c>
      <c r="O2" s="14">
        <v>100</v>
      </c>
      <c r="P2" s="14">
        <v>12</v>
      </c>
      <c r="Q2" s="14">
        <v>24</v>
      </c>
      <c r="R2" s="14">
        <v>10</v>
      </c>
      <c r="S2" s="14">
        <v>15</v>
      </c>
      <c r="T2" s="14">
        <v>25</v>
      </c>
      <c r="U2" s="14">
        <v>30</v>
      </c>
      <c r="V2" s="14">
        <v>50</v>
      </c>
      <c r="W2" s="14">
        <v>100</v>
      </c>
      <c r="X2" s="14">
        <v>12</v>
      </c>
      <c r="Y2" s="14">
        <v>24</v>
      </c>
      <c r="Z2" s="14">
        <v>10</v>
      </c>
      <c r="AA2" s="14">
        <v>15</v>
      </c>
      <c r="AB2" s="14">
        <v>25</v>
      </c>
      <c r="AC2" s="14">
        <v>30</v>
      </c>
      <c r="AD2" s="14">
        <v>50</v>
      </c>
      <c r="AE2" s="14">
        <v>100</v>
      </c>
      <c r="AF2" s="14">
        <v>12</v>
      </c>
      <c r="AG2" s="14">
        <v>24</v>
      </c>
    </row>
    <row r="3" spans="1:33" x14ac:dyDescent="0.25">
      <c r="A3" s="13" t="s">
        <v>8</v>
      </c>
      <c r="B3" s="16" t="s">
        <v>7</v>
      </c>
      <c r="C3" s="16" t="s">
        <v>7</v>
      </c>
      <c r="D3" s="16" t="s">
        <v>7</v>
      </c>
      <c r="E3" s="16" t="s">
        <v>7</v>
      </c>
      <c r="F3" s="16" t="s">
        <v>7</v>
      </c>
      <c r="G3" s="16" t="s">
        <v>7</v>
      </c>
      <c r="H3" s="14" t="s">
        <v>12</v>
      </c>
      <c r="I3" s="14" t="s">
        <v>12</v>
      </c>
      <c r="J3" s="16" t="s">
        <v>7</v>
      </c>
      <c r="K3" s="16" t="s">
        <v>7</v>
      </c>
      <c r="L3" s="16" t="s">
        <v>7</v>
      </c>
      <c r="M3" s="16" t="s">
        <v>7</v>
      </c>
      <c r="N3" s="16" t="s">
        <v>7</v>
      </c>
      <c r="O3" s="16" t="s">
        <v>7</v>
      </c>
      <c r="P3" s="14" t="s">
        <v>12</v>
      </c>
      <c r="Q3" s="14" t="s">
        <v>12</v>
      </c>
      <c r="R3" s="16" t="s">
        <v>7</v>
      </c>
      <c r="S3" s="16" t="s">
        <v>7</v>
      </c>
      <c r="T3" s="16" t="s">
        <v>7</v>
      </c>
      <c r="U3" s="16" t="s">
        <v>7</v>
      </c>
      <c r="V3" s="16" t="s">
        <v>7</v>
      </c>
      <c r="W3" s="16" t="s">
        <v>7</v>
      </c>
      <c r="X3" s="14" t="s">
        <v>12</v>
      </c>
      <c r="Y3" s="14" t="s">
        <v>12</v>
      </c>
      <c r="Z3" s="16" t="s">
        <v>7</v>
      </c>
      <c r="AA3" s="16" t="s">
        <v>7</v>
      </c>
      <c r="AB3" s="16" t="s">
        <v>7</v>
      </c>
      <c r="AC3" s="16" t="s">
        <v>7</v>
      </c>
      <c r="AD3" s="16" t="s">
        <v>7</v>
      </c>
      <c r="AE3" s="16" t="s">
        <v>7</v>
      </c>
      <c r="AF3" s="14" t="s">
        <v>12</v>
      </c>
      <c r="AG3" s="14" t="s">
        <v>12</v>
      </c>
    </row>
    <row r="4" spans="1:33" hidden="1" x14ac:dyDescent="0.25">
      <c r="A4" s="17">
        <v>11</v>
      </c>
      <c r="B4" s="53" t="str">
        <f>IF('All Tandem Standards Source'!B5&lt;1/24,TEXT('All Tandem Standards Source'!B5,"M:SS"),TEXT('All Tandem Standards Source'!B5,"H:MM:SS"))</f>
        <v>17:50</v>
      </c>
      <c r="C4" s="53"/>
      <c r="D4" s="53"/>
      <c r="E4" s="53"/>
      <c r="F4" s="53"/>
      <c r="G4" s="53"/>
      <c r="H4" s="54"/>
      <c r="I4" s="54"/>
      <c r="J4" s="57" t="str">
        <f>IF('All Tandem Standards Source'!C5&lt;1/24,TEXT('All Tandem Standards Source'!C5,"M:SS"),TEXT('All Tandem Standards Source'!C5,"H:MM:SS"))</f>
        <v>19:38</v>
      </c>
      <c r="K4" s="57"/>
      <c r="L4" s="57"/>
      <c r="M4" s="57"/>
      <c r="N4" s="57"/>
      <c r="O4" s="57"/>
      <c r="P4" s="58"/>
      <c r="Q4" s="58"/>
      <c r="R4" s="50" t="str">
        <f>IF('All Tandem Standards Source'!D5&lt;1/24,TEXT('All Tandem Standards Source'!D5,"M:SS"),TEXT('All Tandem Standards Source'!D5,"H:MM:SS"))</f>
        <v>19:15</v>
      </c>
      <c r="S4" s="50"/>
      <c r="T4" s="50"/>
      <c r="U4" s="50"/>
      <c r="V4" s="50"/>
      <c r="W4" s="50"/>
      <c r="X4" s="51"/>
      <c r="Y4" s="51"/>
      <c r="Z4" s="55" t="str">
        <f>IF('All Tandem Standards Source'!E5&lt;1/24,TEXT('All Tandem Standards Source'!E5,"M:SS"),TEXT('All Tandem Standards Source'!E5,"H:MM:SS"))</f>
        <v>21:13</v>
      </c>
      <c r="AA4" s="55"/>
      <c r="AB4" s="55"/>
      <c r="AC4" s="55"/>
      <c r="AD4" s="55"/>
      <c r="AE4" s="55"/>
      <c r="AF4" s="56"/>
      <c r="AG4" s="56"/>
    </row>
    <row r="5" spans="1:33" hidden="1" x14ac:dyDescent="0.25">
      <c r="A5" s="17">
        <v>12</v>
      </c>
      <c r="B5" s="53" t="str">
        <f>IF('All Tandem Standards Source'!B6&lt;1/24,TEXT('All Tandem Standards Source'!B6,"M:SS"),TEXT('All Tandem Standards Source'!B6,"H:MM:SS"))</f>
        <v>15:33</v>
      </c>
      <c r="C5" s="53" t="str">
        <f>IF('All Tandem Standards Source'!F6&lt;1/24,TEXT('All Tandem Standards Source'!F6,"M:SS"),TEXT('All Tandem Standards Source'!F6,"H:MM:SS"))</f>
        <v>23:36</v>
      </c>
      <c r="D5" s="53" t="str">
        <f>IF('All Tandem Standards Source'!J6&lt;1/24,TEXT('All Tandem Standards Source'!J6,"M:SS"),TEXT('All Tandem Standards Source'!J6,"H:MM:SS"))</f>
        <v>40:18</v>
      </c>
      <c r="E5" s="53" t="str">
        <f>IF('All Tandem Standards Source'!N6&lt;1/24,TEXT('All Tandem Standards Source'!N6,"M:SS"),TEXT('All Tandem Standards Source'!N6,"H:MM:SS"))</f>
        <v>49:00</v>
      </c>
      <c r="F5" s="53" t="str">
        <f>IF('All Tandem Standards Source'!R6&lt;1/24,TEXT('All Tandem Standards Source'!R6,"M:SS"),TEXT('All Tandem Standards Source'!R6,"H:MM:SS"))</f>
        <v>1:26:45</v>
      </c>
      <c r="G5" s="53" t="str">
        <f>IF('All Tandem Standards Source'!V6&lt;1/24,TEXT('All Tandem Standards Source'!V6,"M:SS"),TEXT('All Tandem Standards Source'!V6,"H:MM:SS"))</f>
        <v>3:46:38</v>
      </c>
      <c r="H5" s="54" t="str">
        <f>TEXT('All Tandem Standards Source'!Z6,"0.00")</f>
        <v>79.79</v>
      </c>
      <c r="I5" s="54" t="str">
        <f>TEXT('All Tandem Standards Source'!AD6,"0.00")</f>
        <v>144.32</v>
      </c>
      <c r="J5" s="57" t="str">
        <f>IF('All Tandem Standards Source'!C6&lt;1/24,TEXT('All Tandem Standards Source'!C6,"M:SS"),TEXT('All Tandem Standards Source'!C6,"H:MM:SS"))</f>
        <v>17:06</v>
      </c>
      <c r="K5" s="57" t="str">
        <f>IF('All Tandem Standards Source'!G6&lt;1/24,TEXT('All Tandem Standards Source'!G6,"M:SS"),TEXT('All Tandem Standards Source'!G6,"H:MM:SS"))</f>
        <v>25:57</v>
      </c>
      <c r="L5" s="57" t="str">
        <f>IF('All Tandem Standards Source'!K6&lt;1/24,TEXT('All Tandem Standards Source'!K6,"M:SS"),TEXT('All Tandem Standards Source'!K6,"H:MM:SS"))</f>
        <v>44:19</v>
      </c>
      <c r="M5" s="57" t="str">
        <f>IF('All Tandem Standards Source'!O6&lt;1/24,TEXT('All Tandem Standards Source'!O6,"M:SS"),TEXT('All Tandem Standards Source'!O6,"H:MM:SS"))</f>
        <v>53:53</v>
      </c>
      <c r="N5" s="57" t="str">
        <f>IF('All Tandem Standards Source'!S6&lt;1/24,TEXT('All Tandem Standards Source'!S6,"M:SS"),TEXT('All Tandem Standards Source'!S6,"H:MM:SS"))</f>
        <v>1:35:27</v>
      </c>
      <c r="O5" s="57" t="str">
        <f>IF('All Tandem Standards Source'!W6&lt;1/24,TEXT('All Tandem Standards Source'!W6,"M:SS"),TEXT('All Tandem Standards Source'!W6,"H:MM:SS"))</f>
        <v>4:09:51</v>
      </c>
      <c r="P5" s="58" t="str">
        <f>TEXT('All Tandem Standards Source'!AA6,"0.00")</f>
        <v>67.98</v>
      </c>
      <c r="Q5" s="58" t="str">
        <f>TEXT('All Tandem Standards Source'!AE6,"0.00")</f>
        <v>126.16</v>
      </c>
      <c r="R5" s="50" t="str">
        <f>IF('All Tandem Standards Source'!D6&lt;1/24,TEXT('All Tandem Standards Source'!D6,"M:SS"),TEXT('All Tandem Standards Source'!D6,"H:MM:SS"))</f>
        <v>16:45</v>
      </c>
      <c r="S5" s="50" t="str">
        <f>IF('All Tandem Standards Source'!H6&lt;1/24,TEXT('All Tandem Standards Source'!H6,"M:SS"),TEXT('All Tandem Standards Source'!H6,"H:MM:SS"))</f>
        <v>25:25</v>
      </c>
      <c r="T5" s="50" t="str">
        <f>IF('All Tandem Standards Source'!L6&lt;1/24,TEXT('All Tandem Standards Source'!L6,"M:SS"),TEXT('All Tandem Standards Source'!L6,"H:MM:SS"))</f>
        <v>43:25</v>
      </c>
      <c r="U5" s="50" t="str">
        <f>IF('All Tandem Standards Source'!P6&lt;1/24,TEXT('All Tandem Standards Source'!P6,"M:SS"),TEXT('All Tandem Standards Source'!P6,"H:MM:SS"))</f>
        <v>52:48</v>
      </c>
      <c r="V5" s="50" t="str">
        <f>IF('All Tandem Standards Source'!T6&lt;1/24,TEXT('All Tandem Standards Source'!T6,"M:SS"),TEXT('All Tandem Standards Source'!T6,"H:MM:SS"))</f>
        <v>1:33:33</v>
      </c>
      <c r="W5" s="50" t="str">
        <f>IF('All Tandem Standards Source'!X6&lt;1/24,TEXT('All Tandem Standards Source'!X6,"M:SS"),TEXT('All Tandem Standards Source'!X6,"H:MM:SS"))</f>
        <v>4:05:12</v>
      </c>
      <c r="X5" s="51" t="str">
        <f>TEXT('All Tandem Standards Source'!AB6,"0.00")</f>
        <v>70.92</v>
      </c>
      <c r="Y5" s="51" t="str">
        <f>TEXT('All Tandem Standards Source'!AF6,"0.00")</f>
        <v>130.54</v>
      </c>
      <c r="Z5" s="55" t="str">
        <f>IF('All Tandem Standards Source'!E6&lt;1/24,TEXT('All Tandem Standards Source'!E6,"M:SS"),TEXT('All Tandem Standards Source'!E6,"H:MM:SS"))</f>
        <v>18:26</v>
      </c>
      <c r="AA5" s="55" t="str">
        <f>IF('All Tandem Standards Source'!I6&lt;1/24,TEXT('All Tandem Standards Source'!I6,"M:SS"),TEXT('All Tandem Standards Source'!I6,"H:MM:SS"))</f>
        <v>27:59</v>
      </c>
      <c r="AB5" s="55" t="str">
        <f>IF('All Tandem Standards Source'!M6&lt;1/24,TEXT('All Tandem Standards Source'!M6,"M:SS"),TEXT('All Tandem Standards Source'!M6,"H:MM:SS"))</f>
        <v>47:48</v>
      </c>
      <c r="AC5" s="55" t="str">
        <f>IF('All Tandem Standards Source'!Q6&lt;1/24,TEXT('All Tandem Standards Source'!Q6,"M:SS"),TEXT('All Tandem Standards Source'!Q6,"H:MM:SS"))</f>
        <v>58:08</v>
      </c>
      <c r="AD5" s="55" t="str">
        <f>IF('All Tandem Standards Source'!U6&lt;1/24,TEXT('All Tandem Standards Source'!U6,"M:SS"),TEXT('All Tandem Standards Source'!U6,"H:MM:SS"))</f>
        <v>1:43:05</v>
      </c>
      <c r="AE5" s="55" t="str">
        <f>IF('All Tandem Standards Source'!Y6&lt;1/24,TEXT('All Tandem Standards Source'!Y6,"M:SS"),TEXT('All Tandem Standards Source'!Y6,"H:MM:SS"))</f>
        <v>4:30:38</v>
      </c>
      <c r="AF5" s="56" t="str">
        <f>TEXT('All Tandem Standards Source'!AC6,"0.00")</f>
        <v>59.91</v>
      </c>
      <c r="AG5" s="56" t="str">
        <f>TEXT('All Tandem Standards Source'!AG6,"0.00")</f>
        <v>113.14</v>
      </c>
    </row>
    <row r="6" spans="1:33" hidden="1" x14ac:dyDescent="0.25">
      <c r="A6" s="17">
        <v>13</v>
      </c>
      <c r="B6" s="53" t="str">
        <f>IF('All Tandem Standards Source'!B7&lt;1/24,TEXT('All Tandem Standards Source'!B7,"M:SS"),TEXT('All Tandem Standards Source'!B7,"H:MM:SS"))</f>
        <v>14:21</v>
      </c>
      <c r="C6" s="53" t="str">
        <f>IF('All Tandem Standards Source'!F7&lt;1/24,TEXT('All Tandem Standards Source'!F7,"M:SS"),TEXT('All Tandem Standards Source'!F7,"H:MM:SS"))</f>
        <v>21:42</v>
      </c>
      <c r="D6" s="53" t="str">
        <f>IF('All Tandem Standards Source'!J7&lt;1/24,TEXT('All Tandem Standards Source'!J7,"M:SS"),TEXT('All Tandem Standards Source'!J7,"H:MM:SS"))</f>
        <v>36:46</v>
      </c>
      <c r="E6" s="53" t="str">
        <f>IF('All Tandem Standards Source'!N7&lt;1/24,TEXT('All Tandem Standards Source'!N7,"M:SS"),TEXT('All Tandem Standards Source'!N7,"H:MM:SS"))</f>
        <v>44:30</v>
      </c>
      <c r="F6" s="53" t="str">
        <f>IF('All Tandem Standards Source'!R7&lt;1/24,TEXT('All Tandem Standards Source'!R7,"M:SS"),TEXT('All Tandem Standards Source'!R7,"H:MM:SS"))</f>
        <v>1:17:10</v>
      </c>
      <c r="G6" s="53" t="str">
        <f>IF('All Tandem Standards Source'!V7&lt;1/24,TEXT('All Tandem Standards Source'!V7,"M:SS"),TEXT('All Tandem Standards Source'!V7,"H:MM:SS"))</f>
        <v>2:58:55</v>
      </c>
      <c r="H6" s="54" t="str">
        <f>TEXT('All Tandem Standards Source'!Z7,"0.00")</f>
        <v>91.15</v>
      </c>
      <c r="I6" s="54" t="str">
        <f>TEXT('All Tandem Standards Source'!AD7,"0.00")</f>
        <v>158.98</v>
      </c>
      <c r="J6" s="57" t="str">
        <f>IF('All Tandem Standards Source'!C7&lt;1/24,TEXT('All Tandem Standards Source'!C7,"M:SS"),TEXT('All Tandem Standards Source'!C7,"H:MM:SS"))</f>
        <v>15:46</v>
      </c>
      <c r="K6" s="57" t="str">
        <f>IF('All Tandem Standards Source'!G7&lt;1/24,TEXT('All Tandem Standards Source'!G7,"M:SS"),TEXT('All Tandem Standards Source'!G7,"H:MM:SS"))</f>
        <v>23:49</v>
      </c>
      <c r="L6" s="57" t="str">
        <f>IF('All Tandem Standards Source'!K7&lt;1/24,TEXT('All Tandem Standards Source'!K7,"M:SS"),TEXT('All Tandem Standards Source'!K7,"H:MM:SS"))</f>
        <v>40:23</v>
      </c>
      <c r="M6" s="57" t="str">
        <f>IF('All Tandem Standards Source'!O7&lt;1/24,TEXT('All Tandem Standards Source'!O7,"M:SS"),TEXT('All Tandem Standards Source'!O7,"H:MM:SS"))</f>
        <v>48:54</v>
      </c>
      <c r="N6" s="57" t="str">
        <f>IF('All Tandem Standards Source'!S7&lt;1/24,TEXT('All Tandem Standards Source'!S7,"M:SS"),TEXT('All Tandem Standards Source'!S7,"H:MM:SS"))</f>
        <v>1:24:48</v>
      </c>
      <c r="O6" s="57" t="str">
        <f>IF('All Tandem Standards Source'!W7&lt;1/24,TEXT('All Tandem Standards Source'!W7,"M:SS"),TEXT('All Tandem Standards Source'!W7,"H:MM:SS"))</f>
        <v>3:16:49</v>
      </c>
      <c r="P6" s="58" t="str">
        <f>TEXT('All Tandem Standards Source'!AA7,"0.00")</f>
        <v>78.70</v>
      </c>
      <c r="Q6" s="58" t="str">
        <f>TEXT('All Tandem Standards Source'!AE7,"0.00")</f>
        <v>140.46</v>
      </c>
      <c r="R6" s="50" t="str">
        <f>IF('All Tandem Standards Source'!D7&lt;1/24,TEXT('All Tandem Standards Source'!D7,"M:SS"),TEXT('All Tandem Standards Source'!D7,"H:MM:SS"))</f>
        <v>15:26</v>
      </c>
      <c r="S6" s="50" t="str">
        <f>IF('All Tandem Standards Source'!H7&lt;1/24,TEXT('All Tandem Standards Source'!H7,"M:SS"),TEXT('All Tandem Standards Source'!H7,"H:MM:SS"))</f>
        <v>23:20</v>
      </c>
      <c r="T6" s="50" t="str">
        <f>IF('All Tandem Standards Source'!L7&lt;1/24,TEXT('All Tandem Standards Source'!L7,"M:SS"),TEXT('All Tandem Standards Source'!L7,"H:MM:SS"))</f>
        <v>39:33</v>
      </c>
      <c r="U6" s="50" t="str">
        <f>IF('All Tandem Standards Source'!P7&lt;1/24,TEXT('All Tandem Standards Source'!P7,"M:SS"),TEXT('All Tandem Standards Source'!P7,"H:MM:SS"))</f>
        <v>47:53</v>
      </c>
      <c r="V6" s="50" t="str">
        <f>IF('All Tandem Standards Source'!T7&lt;1/24,TEXT('All Tandem Standards Source'!T7,"M:SS"),TEXT('All Tandem Standards Source'!T7,"H:MM:SS"))</f>
        <v>1:23:03</v>
      </c>
      <c r="W6" s="50" t="str">
        <f>IF('All Tandem Standards Source'!X7&lt;1/24,TEXT('All Tandem Standards Source'!X7,"M:SS"),TEXT('All Tandem Standards Source'!X7,"H:MM:SS"))</f>
        <v>3:12:54</v>
      </c>
      <c r="X6" s="51" t="str">
        <f>TEXT('All Tandem Standards Source'!AB7,"0.00")</f>
        <v>81.72</v>
      </c>
      <c r="Y6" s="51" t="str">
        <f>TEXT('All Tandem Standards Source'!AF7,"0.00")</f>
        <v>144.88</v>
      </c>
      <c r="Z6" s="55" t="str">
        <f>IF('All Tandem Standards Source'!E7&lt;1/24,TEXT('All Tandem Standards Source'!E7,"M:SS"),TEXT('All Tandem Standards Source'!E7,"H:MM:SS"))</f>
        <v>16:59</v>
      </c>
      <c r="AA6" s="55" t="str">
        <f>IF('All Tandem Standards Source'!I7&lt;1/24,TEXT('All Tandem Standards Source'!I7,"M:SS"),TEXT('All Tandem Standards Source'!I7,"H:MM:SS"))</f>
        <v>25:40</v>
      </c>
      <c r="AB6" s="55" t="str">
        <f>IF('All Tandem Standards Source'!M7&lt;1/24,TEXT('All Tandem Standards Source'!M7,"M:SS"),TEXT('All Tandem Standards Source'!M7,"H:MM:SS"))</f>
        <v>43:31</v>
      </c>
      <c r="AC6" s="55" t="str">
        <f>IF('All Tandem Standards Source'!Q7&lt;1/24,TEXT('All Tandem Standards Source'!Q7,"M:SS"),TEXT('All Tandem Standards Source'!Q7,"H:MM:SS"))</f>
        <v>52:41</v>
      </c>
      <c r="AD6" s="55" t="str">
        <f>IF('All Tandem Standards Source'!U7&lt;1/24,TEXT('All Tandem Standards Source'!U7,"M:SS"),TEXT('All Tandem Standards Source'!U7,"H:MM:SS"))</f>
        <v>1:31:24</v>
      </c>
      <c r="AE6" s="55" t="str">
        <f>IF('All Tandem Standards Source'!Y7&lt;1/24,TEXT('All Tandem Standards Source'!Y7,"M:SS"),TEXT('All Tandem Standards Source'!Y7,"H:MM:SS"))</f>
        <v>3:32:32</v>
      </c>
      <c r="AF6" s="56" t="str">
        <f>TEXT('All Tandem Standards Source'!AC7,"0.00")</f>
        <v>70.05</v>
      </c>
      <c r="AG6" s="56" t="str">
        <f>TEXT('All Tandem Standards Source'!AG7,"0.00")</f>
        <v>127.08</v>
      </c>
    </row>
    <row r="7" spans="1:33" hidden="1" x14ac:dyDescent="0.25">
      <c r="A7" s="17">
        <v>14</v>
      </c>
      <c r="B7" s="53" t="str">
        <f>IF('All Tandem Standards Source'!B8&lt;1/24,TEXT('All Tandem Standards Source'!B8,"M:SS"),TEXT('All Tandem Standards Source'!B8,"H:MM:SS"))</f>
        <v>13:37</v>
      </c>
      <c r="C7" s="53" t="str">
        <f>IF('All Tandem Standards Source'!F8&lt;1/24,TEXT('All Tandem Standards Source'!F8,"M:SS"),TEXT('All Tandem Standards Source'!F8,"H:MM:SS"))</f>
        <v>20:33</v>
      </c>
      <c r="D7" s="53" t="str">
        <f>IF('All Tandem Standards Source'!J8&lt;1/24,TEXT('All Tandem Standards Source'!J8,"M:SS"),TEXT('All Tandem Standards Source'!J8,"H:MM:SS"))</f>
        <v>34:41</v>
      </c>
      <c r="E7" s="53" t="str">
        <f>IF('All Tandem Standards Source'!N8&lt;1/24,TEXT('All Tandem Standards Source'!N8,"M:SS"),TEXT('All Tandem Standards Source'!N8,"H:MM:SS"))</f>
        <v>41:54</v>
      </c>
      <c r="F7" s="53" t="str">
        <f>IF('All Tandem Standards Source'!R8&lt;1/24,TEXT('All Tandem Standards Source'!R8,"M:SS"),TEXT('All Tandem Standards Source'!R8,"H:MM:SS"))</f>
        <v>1:11:50</v>
      </c>
      <c r="G7" s="53" t="str">
        <f>IF('All Tandem Standards Source'!V8&lt;1/24,TEXT('All Tandem Standards Source'!V8,"M:SS"),TEXT('All Tandem Standards Source'!V8,"H:MM:SS"))</f>
        <v>2:38:11</v>
      </c>
      <c r="H7" s="54" t="str">
        <f>TEXT('All Tandem Standards Source'!Z8,"0.00")</f>
        <v>99.67</v>
      </c>
      <c r="I7" s="54" t="str">
        <f>TEXT('All Tandem Standards Source'!AD8,"0.00")</f>
        <v>170.27</v>
      </c>
      <c r="J7" s="57" t="str">
        <f>IF('All Tandem Standards Source'!C8&lt;1/24,TEXT('All Tandem Standards Source'!C8,"M:SS"),TEXT('All Tandem Standards Source'!C8,"H:MM:SS"))</f>
        <v>14:57</v>
      </c>
      <c r="K7" s="57" t="str">
        <f>IF('All Tandem Standards Source'!G8&lt;1/24,TEXT('All Tandem Standards Source'!G8,"M:SS"),TEXT('All Tandem Standards Source'!G8,"H:MM:SS"))</f>
        <v>22:34</v>
      </c>
      <c r="L7" s="57" t="str">
        <f>IF('All Tandem Standards Source'!K8&lt;1/24,TEXT('All Tandem Standards Source'!K8,"M:SS"),TEXT('All Tandem Standards Source'!K8,"H:MM:SS"))</f>
        <v>38:05</v>
      </c>
      <c r="M7" s="57" t="str">
        <f>IF('All Tandem Standards Source'!O8&lt;1/24,TEXT('All Tandem Standards Source'!O8,"M:SS"),TEXT('All Tandem Standards Source'!O8,"H:MM:SS"))</f>
        <v>46:00</v>
      </c>
      <c r="N7" s="57" t="str">
        <f>IF('All Tandem Standards Source'!S8&lt;1/24,TEXT('All Tandem Standards Source'!S8,"M:SS"),TEXT('All Tandem Standards Source'!S8,"H:MM:SS"))</f>
        <v>1:18:52</v>
      </c>
      <c r="O7" s="57" t="str">
        <f>IF('All Tandem Standards Source'!W8&lt;1/24,TEXT('All Tandem Standards Source'!W8,"M:SS"),TEXT('All Tandem Standards Source'!W8,"H:MM:SS"))</f>
        <v>2:53:47</v>
      </c>
      <c r="P7" s="58" t="str">
        <f>TEXT('All Tandem Standards Source'!AA8,"0.00")</f>
        <v>86.69</v>
      </c>
      <c r="Q7" s="58" t="str">
        <f>TEXT('All Tandem Standards Source'!AE8,"0.00")</f>
        <v>151.42</v>
      </c>
      <c r="R7" s="50" t="str">
        <f>IF('All Tandem Standards Source'!D8&lt;1/24,TEXT('All Tandem Standards Source'!D8,"M:SS"),TEXT('All Tandem Standards Source'!D8,"H:MM:SS"))</f>
        <v>14:38</v>
      </c>
      <c r="S7" s="50" t="str">
        <f>IF('All Tandem Standards Source'!H8&lt;1/24,TEXT('All Tandem Standards Source'!H8,"M:SS"),TEXT('All Tandem Standards Source'!H8,"H:MM:SS"))</f>
        <v>22:05</v>
      </c>
      <c r="T7" s="50" t="str">
        <f>IF('All Tandem Standards Source'!L8&lt;1/24,TEXT('All Tandem Standards Source'!L8,"M:SS"),TEXT('All Tandem Standards Source'!L8,"H:MM:SS"))</f>
        <v>37:16</v>
      </c>
      <c r="U7" s="50" t="str">
        <f>IF('All Tandem Standards Source'!P8&lt;1/24,TEXT('All Tandem Standards Source'!P8,"M:SS"),TEXT('All Tandem Standards Source'!P8,"H:MM:SS"))</f>
        <v>45:01</v>
      </c>
      <c r="V7" s="50" t="str">
        <f>IF('All Tandem Standards Source'!T8&lt;1/24,TEXT('All Tandem Standards Source'!T8,"M:SS"),TEXT('All Tandem Standards Source'!T8,"H:MM:SS"))</f>
        <v>1:17:12</v>
      </c>
      <c r="W7" s="50" t="str">
        <f>IF('All Tandem Standards Source'!X8&lt;1/24,TEXT('All Tandem Standards Source'!X8,"M:SS"),TEXT('All Tandem Standards Source'!X8,"H:MM:SS"))</f>
        <v>2:50:12</v>
      </c>
      <c r="X7" s="51" t="str">
        <f>TEXT('All Tandem Standards Source'!AB8,"0.00")</f>
        <v>89.79</v>
      </c>
      <c r="Y7" s="51" t="str">
        <f>TEXT('All Tandem Standards Source'!AF8,"0.00")</f>
        <v>155.89</v>
      </c>
      <c r="Z7" s="55" t="str">
        <f>IF('All Tandem Standards Source'!E8&lt;1/24,TEXT('All Tandem Standards Source'!E8,"M:SS"),TEXT('All Tandem Standards Source'!E8,"H:MM:SS"))</f>
        <v>16:05</v>
      </c>
      <c r="AA7" s="55" t="str">
        <f>IF('All Tandem Standards Source'!I8&lt;1/24,TEXT('All Tandem Standards Source'!I8,"M:SS"),TEXT('All Tandem Standards Source'!I8,"H:MM:SS"))</f>
        <v>24:17</v>
      </c>
      <c r="AB7" s="55" t="str">
        <f>IF('All Tandem Standards Source'!M8&lt;1/24,TEXT('All Tandem Standards Source'!M8,"M:SS"),TEXT('All Tandem Standards Source'!M8,"H:MM:SS"))</f>
        <v>40:59</v>
      </c>
      <c r="AC7" s="55" t="str">
        <f>IF('All Tandem Standards Source'!Q8&lt;1/24,TEXT('All Tandem Standards Source'!Q8,"M:SS"),TEXT('All Tandem Standards Source'!Q8,"H:MM:SS"))</f>
        <v>49:30</v>
      </c>
      <c r="AD7" s="55" t="str">
        <f>IF('All Tandem Standards Source'!U8&lt;1/24,TEXT('All Tandem Standards Source'!U8,"M:SS"),TEXT('All Tandem Standards Source'!U8,"H:MM:SS"))</f>
        <v>1:24:55</v>
      </c>
      <c r="AE7" s="55" t="str">
        <f>IF('All Tandem Standards Source'!Y8&lt;1/24,TEXT('All Tandem Standards Source'!Y8,"M:SS"),TEXT('All Tandem Standards Source'!Y8,"H:MM:SS"))</f>
        <v>3:07:18</v>
      </c>
      <c r="AF7" s="56" t="str">
        <f>TEXT('All Tandem Standards Source'!AC8,"0.00")</f>
        <v>77.59</v>
      </c>
      <c r="AG7" s="56" t="str">
        <f>TEXT('All Tandem Standards Source'!AG8,"0.00")</f>
        <v>137.73</v>
      </c>
    </row>
    <row r="8" spans="1:33" hidden="1" x14ac:dyDescent="0.25">
      <c r="A8" s="17">
        <v>15</v>
      </c>
      <c r="B8" s="53" t="str">
        <f>IF('All Tandem Standards Source'!B9&lt;1/24,TEXT('All Tandem Standards Source'!B9,"M:SS"),TEXT('All Tandem Standards Source'!B9,"H:MM:SS"))</f>
        <v>13:09</v>
      </c>
      <c r="C8" s="53" t="str">
        <f>IF('All Tandem Standards Source'!F9&lt;1/24,TEXT('All Tandem Standards Source'!F9,"M:SS"),TEXT('All Tandem Standards Source'!F9,"H:MM:SS"))</f>
        <v>19:50</v>
      </c>
      <c r="D8" s="53" t="str">
        <f>IF('All Tandem Standards Source'!J9&lt;1/24,TEXT('All Tandem Standards Source'!J9,"M:SS"),TEXT('All Tandem Standards Source'!J9,"H:MM:SS"))</f>
        <v>33:23</v>
      </c>
      <c r="E8" s="53" t="str">
        <f>IF('All Tandem Standards Source'!N9&lt;1/24,TEXT('All Tandem Standards Source'!N9,"M:SS"),TEXT('All Tandem Standards Source'!N9,"H:MM:SS"))</f>
        <v>40:15</v>
      </c>
      <c r="F8" s="53" t="str">
        <f>IF('All Tandem Standards Source'!R9&lt;1/24,TEXT('All Tandem Standards Source'!R9,"M:SS"),TEXT('All Tandem Standards Source'!R9,"H:MM:SS"))</f>
        <v>1:08:35</v>
      </c>
      <c r="G8" s="53" t="str">
        <f>IF('All Tandem Standards Source'!V9&lt;1/24,TEXT('All Tandem Standards Source'!V9,"M:SS"),TEXT('All Tandem Standards Source'!V9,"H:MM:SS"))</f>
        <v>2:26:51</v>
      </c>
      <c r="H8" s="54" t="str">
        <f>TEXT('All Tandem Standards Source'!Z9,"0.00")</f>
        <v>105.94</v>
      </c>
      <c r="I8" s="54" t="str">
        <f>TEXT('All Tandem Standards Source'!AD9,"0.00")</f>
        <v>178.73</v>
      </c>
      <c r="J8" s="57" t="str">
        <f>IF('All Tandem Standards Source'!C9&lt;1/24,TEXT('All Tandem Standards Source'!C9,"M:SS"),TEXT('All Tandem Standards Source'!C9,"H:MM:SS"))</f>
        <v>14:26</v>
      </c>
      <c r="K8" s="57" t="str">
        <f>IF('All Tandem Standards Source'!G9&lt;1/24,TEXT('All Tandem Standards Source'!G9,"M:SS"),TEXT('All Tandem Standards Source'!G9,"H:MM:SS"))</f>
        <v>21:45</v>
      </c>
      <c r="L8" s="57" t="str">
        <f>IF('All Tandem Standards Source'!K9&lt;1/24,TEXT('All Tandem Standards Source'!K9,"M:SS"),TEXT('All Tandem Standards Source'!K9,"H:MM:SS"))</f>
        <v>36:37</v>
      </c>
      <c r="M8" s="57" t="str">
        <f>IF('All Tandem Standards Source'!O9&lt;1/24,TEXT('All Tandem Standards Source'!O9,"M:SS"),TEXT('All Tandem Standards Source'!O9,"H:MM:SS"))</f>
        <v>44:11</v>
      </c>
      <c r="N8" s="57" t="str">
        <f>IF('All Tandem Standards Source'!S9&lt;1/24,TEXT('All Tandem Standards Source'!S9,"M:SS"),TEXT('All Tandem Standards Source'!S9,"H:MM:SS"))</f>
        <v>1:15:15</v>
      </c>
      <c r="O8" s="57" t="str">
        <f>IF('All Tandem Standards Source'!W9&lt;1/24,TEXT('All Tandem Standards Source'!W9,"M:SS"),TEXT('All Tandem Standards Source'!W9,"H:MM:SS"))</f>
        <v>2:41:12</v>
      </c>
      <c r="P8" s="58" t="str">
        <f>TEXT('All Tandem Standards Source'!AA9,"0.00")</f>
        <v>92.57</v>
      </c>
      <c r="Q8" s="58" t="str">
        <f>TEXT('All Tandem Standards Source'!AE9,"0.00")</f>
        <v>159.63</v>
      </c>
      <c r="R8" s="50" t="str">
        <f>IF('All Tandem Standards Source'!D9&lt;1/24,TEXT('All Tandem Standards Source'!D9,"M:SS"),TEXT('All Tandem Standards Source'!D9,"H:MM:SS"))</f>
        <v>14:07</v>
      </c>
      <c r="S8" s="50" t="str">
        <f>IF('All Tandem Standards Source'!H9&lt;1/24,TEXT('All Tandem Standards Source'!H9,"M:SS"),TEXT('All Tandem Standards Source'!H9,"H:MM:SS"))</f>
        <v>21:18</v>
      </c>
      <c r="T8" s="50" t="str">
        <f>IF('All Tandem Standards Source'!L9&lt;1/24,TEXT('All Tandem Standards Source'!L9,"M:SS"),TEXT('All Tandem Standards Source'!L9,"H:MM:SS"))</f>
        <v>35:50</v>
      </c>
      <c r="U8" s="50" t="str">
        <f>IF('All Tandem Standards Source'!P9&lt;1/24,TEXT('All Tandem Standards Source'!P9,"M:SS"),TEXT('All Tandem Standards Source'!P9,"H:MM:SS"))</f>
        <v>43:14</v>
      </c>
      <c r="V8" s="50" t="str">
        <f>IF('All Tandem Standards Source'!T9&lt;1/24,TEXT('All Tandem Standards Source'!T9,"M:SS"),TEXT('All Tandem Standards Source'!T9,"H:MM:SS"))</f>
        <v>1:13:39</v>
      </c>
      <c r="W8" s="50" t="str">
        <f>IF('All Tandem Standards Source'!X9&lt;1/24,TEXT('All Tandem Standards Source'!X9,"M:SS"),TEXT('All Tandem Standards Source'!X9,"H:MM:SS"))</f>
        <v>2:37:47</v>
      </c>
      <c r="X8" s="51" t="str">
        <f>TEXT('All Tandem Standards Source'!AB9,"0.00")</f>
        <v>95.72</v>
      </c>
      <c r="Y8" s="51" t="str">
        <f>TEXT('All Tandem Standards Source'!AF9,"0.00")</f>
        <v>164.14</v>
      </c>
      <c r="Z8" s="55" t="str">
        <f>IF('All Tandem Standards Source'!E9&lt;1/24,TEXT('All Tandem Standards Source'!E9,"M:SS"),TEXT('All Tandem Standards Source'!E9,"H:MM:SS"))</f>
        <v>15:31</v>
      </c>
      <c r="AA8" s="55" t="str">
        <f>IF('All Tandem Standards Source'!I9&lt;1/24,TEXT('All Tandem Standards Source'!I9,"M:SS"),TEXT('All Tandem Standards Source'!I9,"H:MM:SS"))</f>
        <v>23:24</v>
      </c>
      <c r="AB8" s="55" t="str">
        <f>IF('All Tandem Standards Source'!M9&lt;1/24,TEXT('All Tandem Standards Source'!M9,"M:SS"),TEXT('All Tandem Standards Source'!M9,"H:MM:SS"))</f>
        <v>39:24</v>
      </c>
      <c r="AC8" s="55" t="str">
        <f>IF('All Tandem Standards Source'!Q9&lt;1/24,TEXT('All Tandem Standards Source'!Q9,"M:SS"),TEXT('All Tandem Standards Source'!Q9,"H:MM:SS"))</f>
        <v>47:31</v>
      </c>
      <c r="AD8" s="55" t="str">
        <f>IF('All Tandem Standards Source'!U9&lt;1/24,TEXT('All Tandem Standards Source'!U9,"M:SS"),TEXT('All Tandem Standards Source'!U9,"H:MM:SS"))</f>
        <v>1:20:58</v>
      </c>
      <c r="AE8" s="55" t="str">
        <f>IF('All Tandem Standards Source'!Y9&lt;1/24,TEXT('All Tandem Standards Source'!Y9,"M:SS"),TEXT('All Tandem Standards Source'!Y9,"H:MM:SS"))</f>
        <v>2:53:31</v>
      </c>
      <c r="AF8" s="56" t="str">
        <f>TEXT('All Tandem Standards Source'!AC9,"0.00")</f>
        <v>83.12</v>
      </c>
      <c r="AG8" s="56" t="str">
        <f>TEXT('All Tandem Standards Source'!AG9,"0.00")</f>
        <v>145.69</v>
      </c>
    </row>
    <row r="9" spans="1:33" hidden="1" x14ac:dyDescent="0.25">
      <c r="A9" s="17">
        <v>16</v>
      </c>
      <c r="B9" s="53" t="str">
        <f>IF('All Tandem Standards Source'!B10&lt;1/24,TEXT('All Tandem Standards Source'!B10,"M:SS"),TEXT('All Tandem Standards Source'!B10,"H:MM:SS"))</f>
        <v>12:51</v>
      </c>
      <c r="C9" s="53" t="str">
        <f>IF('All Tandem Standards Source'!F10&lt;1/24,TEXT('All Tandem Standards Source'!F10,"M:SS"),TEXT('All Tandem Standards Source'!F10,"H:MM:SS"))</f>
        <v>19:22</v>
      </c>
      <c r="D9" s="53" t="str">
        <f>IF('All Tandem Standards Source'!J10&lt;1/24,TEXT('All Tandem Standards Source'!J10,"M:SS"),TEXT('All Tandem Standards Source'!J10,"H:MM:SS"))</f>
        <v>32:33</v>
      </c>
      <c r="E9" s="53" t="str">
        <f>IF('All Tandem Standards Source'!N10&lt;1/24,TEXT('All Tandem Standards Source'!N10,"M:SS"),TEXT('All Tandem Standards Source'!N10,"H:MM:SS"))</f>
        <v>39:13</v>
      </c>
      <c r="F9" s="53" t="str">
        <f>IF('All Tandem Standards Source'!R10&lt;1/24,TEXT('All Tandem Standards Source'!R10,"M:SS"),TEXT('All Tandem Standards Source'!R10,"H:MM:SS"))</f>
        <v>1:06:33</v>
      </c>
      <c r="G9" s="53" t="str">
        <f>IF('All Tandem Standards Source'!V10&lt;1/24,TEXT('All Tandem Standards Source'!V10,"M:SS"),TEXT('All Tandem Standards Source'!V10,"H:MM:SS"))</f>
        <v>2:20:10</v>
      </c>
      <c r="H9" s="54" t="str">
        <f>TEXT('All Tandem Standards Source'!Z10,"0.00")</f>
        <v>110.39</v>
      </c>
      <c r="I9" s="54" t="str">
        <f>TEXT('All Tandem Standards Source'!AD10,"0.00")</f>
        <v>184.82</v>
      </c>
      <c r="J9" s="57" t="str">
        <f>IF('All Tandem Standards Source'!C10&lt;1/24,TEXT('All Tandem Standards Source'!C10,"M:SS"),TEXT('All Tandem Standards Source'!C10,"H:MM:SS"))</f>
        <v>14:06</v>
      </c>
      <c r="K9" s="57" t="str">
        <f>IF('All Tandem Standards Source'!G10&lt;1/24,TEXT('All Tandem Standards Source'!G10,"M:SS"),TEXT('All Tandem Standards Source'!G10,"H:MM:SS"))</f>
        <v>21:14</v>
      </c>
      <c r="L9" s="57" t="str">
        <f>IF('All Tandem Standards Source'!K10&lt;1/24,TEXT('All Tandem Standards Source'!K10,"M:SS"),TEXT('All Tandem Standards Source'!K10,"H:MM:SS"))</f>
        <v>35:41</v>
      </c>
      <c r="M9" s="57" t="str">
        <f>IF('All Tandem Standards Source'!O10&lt;1/24,TEXT('All Tandem Standards Source'!O10,"M:SS"),TEXT('All Tandem Standards Source'!O10,"H:MM:SS"))</f>
        <v>43:01</v>
      </c>
      <c r="N9" s="57" t="str">
        <f>IF('All Tandem Standards Source'!S10&lt;1/24,TEXT('All Tandem Standards Source'!S10,"M:SS"),TEXT('All Tandem Standards Source'!S10,"H:MM:SS"))</f>
        <v>1:13:00</v>
      </c>
      <c r="O9" s="57" t="str">
        <f>IF('All Tandem Standards Source'!W10&lt;1/24,TEXT('All Tandem Standards Source'!W10,"M:SS"),TEXT('All Tandem Standards Source'!W10,"H:MM:SS"))</f>
        <v>2:33:46</v>
      </c>
      <c r="P9" s="58" t="str">
        <f>TEXT('All Tandem Standards Source'!AA10,"0.00")</f>
        <v>96.73</v>
      </c>
      <c r="Q9" s="58" t="str">
        <f>TEXT('All Tandem Standards Source'!AE10,"0.00")</f>
        <v>165.52</v>
      </c>
      <c r="R9" s="50" t="str">
        <f>IF('All Tandem Standards Source'!D10&lt;1/24,TEXT('All Tandem Standards Source'!D10,"M:SS"),TEXT('All Tandem Standards Source'!D10,"H:MM:SS"))</f>
        <v>13:48</v>
      </c>
      <c r="S9" s="50" t="str">
        <f>IF('All Tandem Standards Source'!H10&lt;1/24,TEXT('All Tandem Standards Source'!H10,"M:SS"),TEXT('All Tandem Standards Source'!H10,"H:MM:SS"))</f>
        <v>20:47</v>
      </c>
      <c r="T9" s="50" t="str">
        <f>IF('All Tandem Standards Source'!L10&lt;1/24,TEXT('All Tandem Standards Source'!L10,"M:SS"),TEXT('All Tandem Standards Source'!L10,"H:MM:SS"))</f>
        <v>34:55</v>
      </c>
      <c r="U9" s="50" t="str">
        <f>IF('All Tandem Standards Source'!P10&lt;1/24,TEXT('All Tandem Standards Source'!P10,"M:SS"),TEXT('All Tandem Standards Source'!P10,"H:MM:SS"))</f>
        <v>42:05</v>
      </c>
      <c r="V9" s="50" t="str">
        <f>IF('All Tandem Standards Source'!T10&lt;1/24,TEXT('All Tandem Standards Source'!T10,"M:SS"),TEXT('All Tandem Standards Source'!T10,"H:MM:SS"))</f>
        <v>1:11:25</v>
      </c>
      <c r="W9" s="50" t="str">
        <f>IF('All Tandem Standards Source'!X10&lt;1/24,TEXT('All Tandem Standards Source'!X10,"M:SS"),TEXT('All Tandem Standards Source'!X10,"H:MM:SS"))</f>
        <v>2:30:28</v>
      </c>
      <c r="X9" s="51" t="str">
        <f>TEXT('All Tandem Standards Source'!AB10,"0.00")</f>
        <v>99.91</v>
      </c>
      <c r="Y9" s="51" t="str">
        <f>TEXT('All Tandem Standards Source'!AF10,"0.00")</f>
        <v>170.05</v>
      </c>
      <c r="Z9" s="55" t="str">
        <f>IF('All Tandem Standards Source'!E10&lt;1/24,TEXT('All Tandem Standards Source'!E10,"M:SS"),TEXT('All Tandem Standards Source'!E10,"H:MM:SS"))</f>
        <v>15:09</v>
      </c>
      <c r="AA9" s="55" t="str">
        <f>IF('All Tandem Standards Source'!I10&lt;1/24,TEXT('All Tandem Standards Source'!I10,"M:SS"),TEXT('All Tandem Standards Source'!I10,"H:MM:SS"))</f>
        <v>22:50</v>
      </c>
      <c r="AB9" s="55" t="str">
        <f>IF('All Tandem Standards Source'!M10&lt;1/24,TEXT('All Tandem Standards Source'!M10,"M:SS"),TEXT('All Tandem Standards Source'!M10,"H:MM:SS"))</f>
        <v>38:22</v>
      </c>
      <c r="AC9" s="55" t="str">
        <f>IF('All Tandem Standards Source'!Q10&lt;1/24,TEXT('All Tandem Standards Source'!Q10,"M:SS"),TEXT('All Tandem Standards Source'!Q10,"H:MM:SS"))</f>
        <v>46:14</v>
      </c>
      <c r="AD9" s="55" t="str">
        <f>IF('All Tandem Standards Source'!U10&lt;1/24,TEXT('All Tandem Standards Source'!U10,"M:SS"),TEXT('All Tandem Standards Source'!U10,"H:MM:SS"))</f>
        <v>1:18:28</v>
      </c>
      <c r="AE9" s="55" t="str">
        <f>IF('All Tandem Standards Source'!Y10&lt;1/24,TEXT('All Tandem Standards Source'!Y10,"M:SS"),TEXT('All Tandem Standards Source'!Y10,"H:MM:SS"))</f>
        <v>2:45:23</v>
      </c>
      <c r="AF9" s="56" t="str">
        <f>TEXT('All Tandem Standards Source'!AC10,"0.00")</f>
        <v>87.02</v>
      </c>
      <c r="AG9" s="56" t="str">
        <f>TEXT('All Tandem Standards Source'!AG10,"0.00")</f>
        <v>151.39</v>
      </c>
    </row>
    <row r="10" spans="1:33" hidden="1" x14ac:dyDescent="0.25">
      <c r="A10" s="17">
        <v>17</v>
      </c>
      <c r="B10" s="53" t="str">
        <f>IF('All Tandem Standards Source'!B11&lt;1/24,TEXT('All Tandem Standards Source'!B11,"M:SS"),TEXT('All Tandem Standards Source'!B11,"H:MM:SS"))</f>
        <v>12:40</v>
      </c>
      <c r="C10" s="53" t="str">
        <f>IF('All Tandem Standards Source'!F11&lt;1/24,TEXT('All Tandem Standards Source'!F11,"M:SS"),TEXT('All Tandem Standards Source'!F11,"H:MM:SS"))</f>
        <v>19:04</v>
      </c>
      <c r="D10" s="53" t="str">
        <f>IF('All Tandem Standards Source'!J11&lt;1/24,TEXT('All Tandem Standards Source'!J11,"M:SS"),TEXT('All Tandem Standards Source'!J11,"H:MM:SS"))</f>
        <v>32:02</v>
      </c>
      <c r="E10" s="53" t="str">
        <f>IF('All Tandem Standards Source'!N11&lt;1/24,TEXT('All Tandem Standards Source'!N11,"M:SS"),TEXT('All Tandem Standards Source'!N11,"H:MM:SS"))</f>
        <v>38:35</v>
      </c>
      <c r="F10" s="53" t="str">
        <f>IF('All Tandem Standards Source'!R11&lt;1/24,TEXT('All Tandem Standards Source'!R11,"M:SS"),TEXT('All Tandem Standards Source'!R11,"H:MM:SS"))</f>
        <v>1:05:18</v>
      </c>
      <c r="G10" s="53" t="str">
        <f>IF('All Tandem Standards Source'!V11&lt;1/24,TEXT('All Tandem Standards Source'!V11,"M:SS"),TEXT('All Tandem Standards Source'!V11,"H:MM:SS"))</f>
        <v>2:16:15</v>
      </c>
      <c r="H10" s="54" t="str">
        <f>TEXT('All Tandem Standards Source'!Z11,"0.00")</f>
        <v>113.31</v>
      </c>
      <c r="I10" s="54" t="str">
        <f>TEXT('All Tandem Standards Source'!AD11,"0.00")</f>
        <v>188.85</v>
      </c>
      <c r="J10" s="57" t="str">
        <f>IF('All Tandem Standards Source'!C11&lt;1/24,TEXT('All Tandem Standards Source'!C11,"M:SS"),TEXT('All Tandem Standards Source'!C11,"H:MM:SS"))</f>
        <v>13:53</v>
      </c>
      <c r="K10" s="57" t="str">
        <f>IF('All Tandem Standards Source'!G11&lt;1/24,TEXT('All Tandem Standards Source'!G11,"M:SS"),TEXT('All Tandem Standards Source'!G11,"H:MM:SS"))</f>
        <v>20:55</v>
      </c>
      <c r="L10" s="57" t="str">
        <f>IF('All Tandem Standards Source'!K11&lt;1/24,TEXT('All Tandem Standards Source'!K11,"M:SS"),TEXT('All Tandem Standards Source'!K11,"H:MM:SS"))</f>
        <v>35:07</v>
      </c>
      <c r="M10" s="57" t="str">
        <f>IF('All Tandem Standards Source'!O11&lt;1/24,TEXT('All Tandem Standards Source'!O11,"M:SS"),TEXT('All Tandem Standards Source'!O11,"H:MM:SS"))</f>
        <v>42:18</v>
      </c>
      <c r="N10" s="57" t="str">
        <f>IF('All Tandem Standards Source'!S11&lt;1/24,TEXT('All Tandem Standards Source'!S11,"M:SS"),TEXT('All Tandem Standards Source'!S11,"H:MM:SS"))</f>
        <v>1:11:37</v>
      </c>
      <c r="O10" s="57" t="str">
        <f>IF('All Tandem Standards Source'!W11&lt;1/24,TEXT('All Tandem Standards Source'!W11,"M:SS"),TEXT('All Tandem Standards Source'!W11,"H:MM:SS"))</f>
        <v>2:29:25</v>
      </c>
      <c r="P10" s="58" t="str">
        <f>TEXT('All Tandem Standards Source'!AA11,"0.00")</f>
        <v>99.46</v>
      </c>
      <c r="Q10" s="58" t="str">
        <f>TEXT('All Tandem Standards Source'!AE11,"0.00")</f>
        <v>169.41</v>
      </c>
      <c r="R10" s="50" t="str">
        <f>IF('All Tandem Standards Source'!D11&lt;1/24,TEXT('All Tandem Standards Source'!D11,"M:SS"),TEXT('All Tandem Standards Source'!D11,"H:MM:SS"))</f>
        <v>13:36</v>
      </c>
      <c r="S10" s="50" t="str">
        <f>IF('All Tandem Standards Source'!H11&lt;1/24,TEXT('All Tandem Standards Source'!H11,"M:SS"),TEXT('All Tandem Standards Source'!H11,"H:MM:SS"))</f>
        <v>20:28</v>
      </c>
      <c r="T10" s="50" t="str">
        <f>IF('All Tandem Standards Source'!L11&lt;1/24,TEXT('All Tandem Standards Source'!L11,"M:SS"),TEXT('All Tandem Standards Source'!L11,"H:MM:SS"))</f>
        <v>34:22</v>
      </c>
      <c r="U10" s="50" t="str">
        <f>IF('All Tandem Standards Source'!P11&lt;1/24,TEXT('All Tandem Standards Source'!P11,"M:SS"),TEXT('All Tandem Standards Source'!P11,"H:MM:SS"))</f>
        <v>41:24</v>
      </c>
      <c r="V10" s="50" t="str">
        <f>IF('All Tandem Standards Source'!T11&lt;1/24,TEXT('All Tandem Standards Source'!T11,"M:SS"),TEXT('All Tandem Standards Source'!T11,"H:MM:SS"))</f>
        <v>1:10:03</v>
      </c>
      <c r="W10" s="50" t="str">
        <f>IF('All Tandem Standards Source'!X11&lt;1/24,TEXT('All Tandem Standards Source'!X11,"M:SS"),TEXT('All Tandem Standards Source'!X11,"H:MM:SS"))</f>
        <v>2:26:10</v>
      </c>
      <c r="X10" s="51" t="str">
        <f>TEXT('All Tandem Standards Source'!AB11,"0.00")</f>
        <v>102.66</v>
      </c>
      <c r="Y10" s="51" t="str">
        <f>TEXT('All Tandem Standards Source'!AF11,"0.00")</f>
        <v>173.97</v>
      </c>
      <c r="Z10" s="55" t="str">
        <f>IF('All Tandem Standards Source'!E11&lt;1/24,TEXT('All Tandem Standards Source'!E11,"M:SS"),TEXT('All Tandem Standards Source'!E11,"H:MM:SS"))</f>
        <v>14:56</v>
      </c>
      <c r="AA10" s="55" t="str">
        <f>IF('All Tandem Standards Source'!I11&lt;1/24,TEXT('All Tandem Standards Source'!I11,"M:SS"),TEXT('All Tandem Standards Source'!I11,"H:MM:SS"))</f>
        <v>22:29</v>
      </c>
      <c r="AB10" s="55" t="str">
        <f>IF('All Tandem Standards Source'!M11&lt;1/24,TEXT('All Tandem Standards Source'!M11,"M:SS"),TEXT('All Tandem Standards Source'!M11,"H:MM:SS"))</f>
        <v>37:45</v>
      </c>
      <c r="AC10" s="55" t="str">
        <f>IF('All Tandem Standards Source'!Q11&lt;1/24,TEXT('All Tandem Standards Source'!Q11,"M:SS"),TEXT('All Tandem Standards Source'!Q11,"H:MM:SS"))</f>
        <v>45:28</v>
      </c>
      <c r="AD10" s="55" t="str">
        <f>IF('All Tandem Standards Source'!U11&lt;1/24,TEXT('All Tandem Standards Source'!U11,"M:SS"),TEXT('All Tandem Standards Source'!U11,"H:MM:SS"))</f>
        <v>1:16:58</v>
      </c>
      <c r="AE10" s="55" t="str">
        <f>IF('All Tandem Standards Source'!Y11&lt;1/24,TEXT('All Tandem Standards Source'!Y11,"M:SS"),TEXT('All Tandem Standards Source'!Y11,"H:MM:SS"))</f>
        <v>2:40:36</v>
      </c>
      <c r="AF10" s="56" t="str">
        <f>TEXT('All Tandem Standards Source'!AC11,"0.00")</f>
        <v>89.58</v>
      </c>
      <c r="AG10" s="56" t="str">
        <f>TEXT('All Tandem Standards Source'!AG11,"0.00")</f>
        <v>155.16</v>
      </c>
    </row>
    <row r="11" spans="1:33" hidden="1" x14ac:dyDescent="0.25">
      <c r="A11" s="17">
        <v>18</v>
      </c>
      <c r="B11" s="53" t="str">
        <f>IF('All Tandem Standards Source'!B12&lt;1/24,TEXT('All Tandem Standards Source'!B12,"M:SS"),TEXT('All Tandem Standards Source'!B12,"H:MM:SS"))</f>
        <v>12:34</v>
      </c>
      <c r="C11" s="53" t="str">
        <f>IF('All Tandem Standards Source'!F12&lt;1/24,TEXT('All Tandem Standards Source'!F12,"M:SS"),TEXT('All Tandem Standards Source'!F12,"H:MM:SS"))</f>
        <v>18:55</v>
      </c>
      <c r="D11" s="53" t="str">
        <f>IF('All Tandem Standards Source'!J12&lt;1/24,TEXT('All Tandem Standards Source'!J12,"M:SS"),TEXT('All Tandem Standards Source'!J12,"H:MM:SS"))</f>
        <v>31:46</v>
      </c>
      <c r="E11" s="53" t="str">
        <f>IF('All Tandem Standards Source'!N12&lt;1/24,TEXT('All Tandem Standards Source'!N12,"M:SS"),TEXT('All Tandem Standards Source'!N12,"H:MM:SS"))</f>
        <v>38:14</v>
      </c>
      <c r="F11" s="53" t="str">
        <f>IF('All Tandem Standards Source'!R12&lt;1/24,TEXT('All Tandem Standards Source'!R12,"M:SS"),TEXT('All Tandem Standards Source'!R12,"H:MM:SS"))</f>
        <v>1:04:39</v>
      </c>
      <c r="G11" s="53" t="str">
        <f>IF('All Tandem Standards Source'!V12&lt;1/24,TEXT('All Tandem Standards Source'!V12,"M:SS"),TEXT('All Tandem Standards Source'!V12,"H:MM:SS"))</f>
        <v>2:14:13</v>
      </c>
      <c r="H11" s="54" t="str">
        <f>TEXT('All Tandem Standards Source'!Z12,"0.00")</f>
        <v>114.93</v>
      </c>
      <c r="I11" s="54" t="str">
        <f>TEXT('All Tandem Standards Source'!AD12,"0.00")</f>
        <v>191.08</v>
      </c>
      <c r="J11" s="57" t="str">
        <f>IF('All Tandem Standards Source'!C12&lt;1/24,TEXT('All Tandem Standards Source'!C12,"M:SS"),TEXT('All Tandem Standards Source'!C12,"H:MM:SS"))</f>
        <v>13:47</v>
      </c>
      <c r="K11" s="57" t="str">
        <f>IF('All Tandem Standards Source'!G12&lt;1/24,TEXT('All Tandem Standards Source'!G12,"M:SS"),TEXT('All Tandem Standards Source'!G12,"H:MM:SS"))</f>
        <v>20:45</v>
      </c>
      <c r="L11" s="57" t="str">
        <f>IF('All Tandem Standards Source'!K12&lt;1/24,TEXT('All Tandem Standards Source'!K12,"M:SS"),TEXT('All Tandem Standards Source'!K12,"H:MM:SS"))</f>
        <v>34:49</v>
      </c>
      <c r="M11" s="57" t="str">
        <f>IF('All Tandem Standards Source'!O12&lt;1/24,TEXT('All Tandem Standards Source'!O12,"M:SS"),TEXT('All Tandem Standards Source'!O12,"H:MM:SS"))</f>
        <v>41:56</v>
      </c>
      <c r="N11" s="57" t="str">
        <f>IF('All Tandem Standards Source'!S12&lt;1/24,TEXT('All Tandem Standards Source'!S12,"M:SS"),TEXT('All Tandem Standards Source'!S12,"H:MM:SS"))</f>
        <v>1:10:53</v>
      </c>
      <c r="O11" s="57" t="str">
        <f>IF('All Tandem Standards Source'!W12&lt;1/24,TEXT('All Tandem Standards Source'!W12,"M:SS"),TEXT('All Tandem Standards Source'!W12,"H:MM:SS"))</f>
        <v>2:27:10</v>
      </c>
      <c r="P11" s="58" t="str">
        <f>TEXT('All Tandem Standards Source'!AA12,"0.00")</f>
        <v>100.95</v>
      </c>
      <c r="Q11" s="58" t="str">
        <f>TEXT('All Tandem Standards Source'!AE12,"0.00")</f>
        <v>171.57</v>
      </c>
      <c r="R11" s="50" t="str">
        <f>IF('All Tandem Standards Source'!D12&lt;1/24,TEXT('All Tandem Standards Source'!D12,"M:SS"),TEXT('All Tandem Standards Source'!D12,"H:MM:SS"))</f>
        <v>13:29</v>
      </c>
      <c r="S11" s="50" t="str">
        <f>IF('All Tandem Standards Source'!H12&lt;1/24,TEXT('All Tandem Standards Source'!H12,"M:SS"),TEXT('All Tandem Standards Source'!H12,"H:MM:SS"))</f>
        <v>20:18</v>
      </c>
      <c r="T11" s="50" t="str">
        <f>IF('All Tandem Standards Source'!L12&lt;1/24,TEXT('All Tandem Standards Source'!L12,"M:SS"),TEXT('All Tandem Standards Source'!L12,"H:MM:SS"))</f>
        <v>34:03</v>
      </c>
      <c r="U11" s="50" t="str">
        <f>IF('All Tandem Standards Source'!P12&lt;1/24,TEXT('All Tandem Standards Source'!P12,"M:SS"),TEXT('All Tandem Standards Source'!P12,"H:MM:SS"))</f>
        <v>41:01</v>
      </c>
      <c r="V11" s="50" t="str">
        <f>IF('All Tandem Standards Source'!T12&lt;1/24,TEXT('All Tandem Standards Source'!T12,"M:SS"),TEXT('All Tandem Standards Source'!T12,"H:MM:SS"))</f>
        <v>1:09:21</v>
      </c>
      <c r="W11" s="50" t="str">
        <f>IF('All Tandem Standards Source'!X12&lt;1/24,TEXT('All Tandem Standards Source'!X12,"M:SS"),TEXT('All Tandem Standards Source'!X12,"H:MM:SS"))</f>
        <v>2:23:57</v>
      </c>
      <c r="X11" s="51" t="str">
        <f>TEXT('All Tandem Standards Source'!AB12,"0.00")</f>
        <v>104.18</v>
      </c>
      <c r="Y11" s="51" t="str">
        <f>TEXT('All Tandem Standards Source'!AF12,"0.00")</f>
        <v>176.13</v>
      </c>
      <c r="Z11" s="55" t="str">
        <f>IF('All Tandem Standards Source'!E12&lt;1/24,TEXT('All Tandem Standards Source'!E12,"M:SS"),TEXT('All Tandem Standards Source'!E12,"H:MM:SS"))</f>
        <v>14:48</v>
      </c>
      <c r="AA11" s="55" t="str">
        <f>IF('All Tandem Standards Source'!I12&lt;1/24,TEXT('All Tandem Standards Source'!I12,"M:SS"),TEXT('All Tandem Standards Source'!I12,"H:MM:SS"))</f>
        <v>22:18</v>
      </c>
      <c r="AB11" s="55" t="str">
        <f>IF('All Tandem Standards Source'!M12&lt;1/24,TEXT('All Tandem Standards Source'!M12,"M:SS"),TEXT('All Tandem Standards Source'!M12,"H:MM:SS"))</f>
        <v>37:25</v>
      </c>
      <c r="AC11" s="55" t="str">
        <f>IF('All Tandem Standards Source'!Q12&lt;1/24,TEXT('All Tandem Standards Source'!Q12,"M:SS"),TEXT('All Tandem Standards Source'!Q12,"H:MM:SS"))</f>
        <v>45:03</v>
      </c>
      <c r="AD11" s="55" t="str">
        <f>IF('All Tandem Standards Source'!U12&lt;1/24,TEXT('All Tandem Standards Source'!U12,"M:SS"),TEXT('All Tandem Standards Source'!U12,"H:MM:SS"))</f>
        <v>1:16:11</v>
      </c>
      <c r="AE11" s="55" t="str">
        <f>IF('All Tandem Standards Source'!Y12&lt;1/24,TEXT('All Tandem Standards Source'!Y12,"M:SS"),TEXT('All Tandem Standards Source'!Y12,"H:MM:SS"))</f>
        <v>2:38:08</v>
      </c>
      <c r="AF11" s="56" t="str">
        <f>TEXT('All Tandem Standards Source'!AC12,"0.00")</f>
        <v>90.99</v>
      </c>
      <c r="AG11" s="56" t="str">
        <f>TEXT('All Tandem Standards Source'!AG12,"0.00")</f>
        <v>157.24</v>
      </c>
    </row>
    <row r="12" spans="1:33" hidden="1" x14ac:dyDescent="0.25">
      <c r="A12" s="17">
        <v>19</v>
      </c>
      <c r="B12" s="53" t="str">
        <f>IF('All Tandem Standards Source'!B13&lt;1/24,TEXT('All Tandem Standards Source'!B13,"M:SS"),TEXT('All Tandem Standards Source'!B13,"H:MM:SS"))</f>
        <v>12:33</v>
      </c>
      <c r="C12" s="53" t="str">
        <f>IF('All Tandem Standards Source'!F13&lt;1/24,TEXT('All Tandem Standards Source'!F13,"M:SS"),TEXT('All Tandem Standards Source'!F13,"H:MM:SS"))</f>
        <v>18:53</v>
      </c>
      <c r="D12" s="53" t="str">
        <f>IF('All Tandem Standards Source'!J13&lt;1/24,TEXT('All Tandem Standards Source'!J13,"M:SS"),TEXT('All Tandem Standards Source'!J13,"H:MM:SS"))</f>
        <v>31:41</v>
      </c>
      <c r="E12" s="53" t="str">
        <f>IF('All Tandem Standards Source'!N13&lt;1/24,TEXT('All Tandem Standards Source'!N13,"M:SS"),TEXT('All Tandem Standards Source'!N13,"H:MM:SS"))</f>
        <v>38:09</v>
      </c>
      <c r="F12" s="53" t="str">
        <f>IF('All Tandem Standards Source'!R13&lt;1/24,TEXT('All Tandem Standards Source'!R13,"M:SS"),TEXT('All Tandem Standards Source'!R13,"H:MM:SS"))</f>
        <v>1:04:28</v>
      </c>
      <c r="G12" s="53" t="str">
        <f>IF('All Tandem Standards Source'!V13&lt;1/24,TEXT('All Tandem Standards Source'!V13,"M:SS"),TEXT('All Tandem Standards Source'!V13,"H:MM:SS"))</f>
        <v>2:13:39</v>
      </c>
      <c r="H12" s="54" t="str">
        <f>TEXT('All Tandem Standards Source'!Z13,"0.00")</f>
        <v>115.39</v>
      </c>
      <c r="I12" s="54" t="str">
        <f>TEXT('All Tandem Standards Source'!AD13,"0.00")</f>
        <v>191.72</v>
      </c>
      <c r="J12" s="57" t="str">
        <f>IF('All Tandem Standards Source'!C13&lt;1/24,TEXT('All Tandem Standards Source'!C13,"M:SS"),TEXT('All Tandem Standards Source'!C13,"H:MM:SS"))</f>
        <v>13:45</v>
      </c>
      <c r="K12" s="57" t="str">
        <f>IF('All Tandem Standards Source'!G13&lt;1/24,TEXT('All Tandem Standards Source'!G13,"M:SS"),TEXT('All Tandem Standards Source'!G13,"H:MM:SS"))</f>
        <v>20:42</v>
      </c>
      <c r="L12" s="57" t="str">
        <f>IF('All Tandem Standards Source'!K13&lt;1/24,TEXT('All Tandem Standards Source'!K13,"M:SS"),TEXT('All Tandem Standards Source'!K13,"H:MM:SS"))</f>
        <v>34:44</v>
      </c>
      <c r="M12" s="57" t="str">
        <f>IF('All Tandem Standards Source'!O13&lt;1/24,TEXT('All Tandem Standards Source'!O13,"M:SS"),TEXT('All Tandem Standards Source'!O13,"H:MM:SS"))</f>
        <v>41:49</v>
      </c>
      <c r="N12" s="57" t="str">
        <f>IF('All Tandem Standards Source'!S13&lt;1/24,TEXT('All Tandem Standards Source'!S13,"M:SS"),TEXT('All Tandem Standards Source'!S13,"H:MM:SS"))</f>
        <v>1:10:41</v>
      </c>
      <c r="O12" s="57" t="str">
        <f>IF('All Tandem Standards Source'!W13&lt;1/24,TEXT('All Tandem Standards Source'!W13,"M:SS"),TEXT('All Tandem Standards Source'!W13,"H:MM:SS"))</f>
        <v>2:26:32</v>
      </c>
      <c r="P12" s="58" t="str">
        <f>TEXT('All Tandem Standards Source'!AA13,"0.00")</f>
        <v>101.38</v>
      </c>
      <c r="Q12" s="58" t="str">
        <f>TEXT('All Tandem Standards Source'!AE13,"0.00")</f>
        <v>172.19</v>
      </c>
      <c r="R12" s="50" t="str">
        <f>IF('All Tandem Standards Source'!D13&lt;1/24,TEXT('All Tandem Standards Source'!D13,"M:SS"),TEXT('All Tandem Standards Source'!D13,"H:MM:SS"))</f>
        <v>13:27</v>
      </c>
      <c r="S12" s="50" t="str">
        <f>IF('All Tandem Standards Source'!H13&lt;1/24,TEXT('All Tandem Standards Source'!H13,"M:SS"),TEXT('All Tandem Standards Source'!H13,"H:MM:SS"))</f>
        <v>20:15</v>
      </c>
      <c r="T12" s="50" t="str">
        <f>IF('All Tandem Standards Source'!L13&lt;1/24,TEXT('All Tandem Standards Source'!L13,"M:SS"),TEXT('All Tandem Standards Source'!L13,"H:MM:SS"))</f>
        <v>33:59</v>
      </c>
      <c r="U12" s="50" t="str">
        <f>IF('All Tandem Standards Source'!P13&lt;1/24,TEXT('All Tandem Standards Source'!P13,"M:SS"),TEXT('All Tandem Standards Source'!P13,"H:MM:SS"))</f>
        <v>40:55</v>
      </c>
      <c r="V12" s="50" t="str">
        <f>IF('All Tandem Standards Source'!T13&lt;1/24,TEXT('All Tandem Standards Source'!T13,"M:SS"),TEXT('All Tandem Standards Source'!T13,"H:MM:SS"))</f>
        <v>1:09:09</v>
      </c>
      <c r="W12" s="50" t="str">
        <f>IF('All Tandem Standards Source'!X13&lt;1/24,TEXT('All Tandem Standards Source'!X13,"M:SS"),TEXT('All Tandem Standards Source'!X13,"H:MM:SS"))</f>
        <v>2:23:20</v>
      </c>
      <c r="X12" s="51" t="str">
        <f>TEXT('All Tandem Standards Source'!AB13,"0.00")</f>
        <v>104.61</v>
      </c>
      <c r="Y12" s="51" t="str">
        <f>TEXT('All Tandem Standards Source'!AF13,"0.00")</f>
        <v>176.75</v>
      </c>
      <c r="Z12" s="55" t="str">
        <f>IF('All Tandem Standards Source'!E13&lt;1/24,TEXT('All Tandem Standards Source'!E13,"M:SS"),TEXT('All Tandem Standards Source'!E13,"H:MM:SS"))</f>
        <v>14:47</v>
      </c>
      <c r="AA12" s="55" t="str">
        <f>IF('All Tandem Standards Source'!I13&lt;1/24,TEXT('All Tandem Standards Source'!I13,"M:SS"),TEXT('All Tandem Standards Source'!I13,"H:MM:SS"))</f>
        <v>22:14</v>
      </c>
      <c r="AB12" s="55" t="str">
        <f>IF('All Tandem Standards Source'!M13&lt;1/24,TEXT('All Tandem Standards Source'!M13,"M:SS"),TEXT('All Tandem Standards Source'!M13,"H:MM:SS"))</f>
        <v>37:19</v>
      </c>
      <c r="AC12" s="55" t="str">
        <f>IF('All Tandem Standards Source'!Q13&lt;1/24,TEXT('All Tandem Standards Source'!Q13,"M:SS"),TEXT('All Tandem Standards Source'!Q13,"H:MM:SS"))</f>
        <v>44:56</v>
      </c>
      <c r="AD12" s="55" t="str">
        <f>IF('All Tandem Standards Source'!U13&lt;1/24,TEXT('All Tandem Standards Source'!U13,"M:SS"),TEXT('All Tandem Standards Source'!U13,"H:MM:SS"))</f>
        <v>1:15:57</v>
      </c>
      <c r="AE12" s="55" t="str">
        <f>IF('All Tandem Standards Source'!Y13&lt;1/24,TEXT('All Tandem Standards Source'!Y13,"M:SS"),TEXT('All Tandem Standards Source'!Y13,"H:MM:SS"))</f>
        <v>2:37:27</v>
      </c>
      <c r="AF12" s="56" t="str">
        <f>TEXT('All Tandem Standards Source'!AC13,"0.00")</f>
        <v>91.39</v>
      </c>
      <c r="AG12" s="56" t="str">
        <f>TEXT('All Tandem Standards Source'!AG13,"0.00")</f>
        <v>157.84</v>
      </c>
    </row>
    <row r="13" spans="1:33" hidden="1" x14ac:dyDescent="0.25">
      <c r="A13" s="17">
        <v>20</v>
      </c>
      <c r="B13" s="53" t="str">
        <f>IF('All Tandem Standards Source'!B14&lt;1/24,TEXT('All Tandem Standards Source'!B14,"M:SS"),TEXT('All Tandem Standards Source'!B14,"H:MM:SS"))</f>
        <v>12:33</v>
      </c>
      <c r="C13" s="53" t="str">
        <f>IF('All Tandem Standards Source'!F14&lt;1/24,TEXT('All Tandem Standards Source'!F14,"M:SS"),TEXT('All Tandem Standards Source'!F14,"H:MM:SS"))</f>
        <v>18:53</v>
      </c>
      <c r="D13" s="53" t="str">
        <f>IF('All Tandem Standards Source'!J14&lt;1/24,TEXT('All Tandem Standards Source'!J14,"M:SS"),TEXT('All Tandem Standards Source'!J14,"H:MM:SS"))</f>
        <v>31:41</v>
      </c>
      <c r="E13" s="53" t="str">
        <f>IF('All Tandem Standards Source'!N14&lt;1/24,TEXT('All Tandem Standards Source'!N14,"M:SS"),TEXT('All Tandem Standards Source'!N14,"H:MM:SS"))</f>
        <v>38:09</v>
      </c>
      <c r="F13" s="53" t="str">
        <f>IF('All Tandem Standards Source'!R14&lt;1/24,TEXT('All Tandem Standards Source'!R14,"M:SS"),TEXT('All Tandem Standards Source'!R14,"H:MM:SS"))</f>
        <v>1:04:28</v>
      </c>
      <c r="G13" s="53" t="str">
        <f>IF('All Tandem Standards Source'!V14&lt;1/24,TEXT('All Tandem Standards Source'!V14,"M:SS"),TEXT('All Tandem Standards Source'!V14,"H:MM:SS"))</f>
        <v>2:13:39</v>
      </c>
      <c r="H13" s="54" t="str">
        <f>TEXT('All Tandem Standards Source'!Z14,"0.00")</f>
        <v>115.39</v>
      </c>
      <c r="I13" s="54" t="str">
        <f>TEXT('All Tandem Standards Source'!AD14,"0.00")</f>
        <v>191.72</v>
      </c>
      <c r="J13" s="57" t="str">
        <f>IF('All Tandem Standards Source'!C14&lt;1/24,TEXT('All Tandem Standards Source'!C14,"M:SS"),TEXT('All Tandem Standards Source'!C14,"H:MM:SS"))</f>
        <v>13:45</v>
      </c>
      <c r="K13" s="57" t="str">
        <f>IF('All Tandem Standards Source'!G14&lt;1/24,TEXT('All Tandem Standards Source'!G14,"M:SS"),TEXT('All Tandem Standards Source'!G14,"H:MM:SS"))</f>
        <v>20:42</v>
      </c>
      <c r="L13" s="57" t="str">
        <f>IF('All Tandem Standards Source'!K14&lt;1/24,TEXT('All Tandem Standards Source'!K14,"M:SS"),TEXT('All Tandem Standards Source'!K14,"H:MM:SS"))</f>
        <v>34:44</v>
      </c>
      <c r="M13" s="57" t="str">
        <f>IF('All Tandem Standards Source'!O14&lt;1/24,TEXT('All Tandem Standards Source'!O14,"M:SS"),TEXT('All Tandem Standards Source'!O14,"H:MM:SS"))</f>
        <v>41:49</v>
      </c>
      <c r="N13" s="57" t="str">
        <f>IF('All Tandem Standards Source'!S14&lt;1/24,TEXT('All Tandem Standards Source'!S14,"M:SS"),TEXT('All Tandem Standards Source'!S14,"H:MM:SS"))</f>
        <v>1:10:41</v>
      </c>
      <c r="O13" s="57" t="str">
        <f>IF('All Tandem Standards Source'!W14&lt;1/24,TEXT('All Tandem Standards Source'!W14,"M:SS"),TEXT('All Tandem Standards Source'!W14,"H:MM:SS"))</f>
        <v>2:26:32</v>
      </c>
      <c r="P13" s="58" t="str">
        <f>TEXT('All Tandem Standards Source'!AA14,"0.00")</f>
        <v>101.38</v>
      </c>
      <c r="Q13" s="58" t="str">
        <f>TEXT('All Tandem Standards Source'!AE14,"0.00")</f>
        <v>172.19</v>
      </c>
      <c r="R13" s="50" t="str">
        <f>IF('All Tandem Standards Source'!D14&lt;1/24,TEXT('All Tandem Standards Source'!D14,"M:SS"),TEXT('All Tandem Standards Source'!D14,"H:MM:SS"))</f>
        <v>13:27</v>
      </c>
      <c r="S13" s="50" t="str">
        <f>IF('All Tandem Standards Source'!H14&lt;1/24,TEXT('All Tandem Standards Source'!H14,"M:SS"),TEXT('All Tandem Standards Source'!H14,"H:MM:SS"))</f>
        <v>20:15</v>
      </c>
      <c r="T13" s="50" t="str">
        <f>IF('All Tandem Standards Source'!L14&lt;1/24,TEXT('All Tandem Standards Source'!L14,"M:SS"),TEXT('All Tandem Standards Source'!L14,"H:MM:SS"))</f>
        <v>33:59</v>
      </c>
      <c r="U13" s="50" t="str">
        <f>IF('All Tandem Standards Source'!P14&lt;1/24,TEXT('All Tandem Standards Source'!P14,"M:SS"),TEXT('All Tandem Standards Source'!P14,"H:MM:SS"))</f>
        <v>40:55</v>
      </c>
      <c r="V13" s="50" t="str">
        <f>IF('All Tandem Standards Source'!T14&lt;1/24,TEXT('All Tandem Standards Source'!T14,"M:SS"),TEXT('All Tandem Standards Source'!T14,"H:MM:SS"))</f>
        <v>1:09:09</v>
      </c>
      <c r="W13" s="50" t="str">
        <f>IF('All Tandem Standards Source'!X14&lt;1/24,TEXT('All Tandem Standards Source'!X14,"M:SS"),TEXT('All Tandem Standards Source'!X14,"H:MM:SS"))</f>
        <v>2:23:20</v>
      </c>
      <c r="X13" s="51" t="str">
        <f>TEXT('All Tandem Standards Source'!AB14,"0.00")</f>
        <v>104.61</v>
      </c>
      <c r="Y13" s="51" t="str">
        <f>TEXT('All Tandem Standards Source'!AF14,"0.00")</f>
        <v>176.75</v>
      </c>
      <c r="Z13" s="55" t="str">
        <f>IF('All Tandem Standards Source'!E14&lt;1/24,TEXT('All Tandem Standards Source'!E14,"M:SS"),TEXT('All Tandem Standards Source'!E14,"H:MM:SS"))</f>
        <v>14:47</v>
      </c>
      <c r="AA13" s="55" t="str">
        <f>IF('All Tandem Standards Source'!I14&lt;1/24,TEXT('All Tandem Standards Source'!I14,"M:SS"),TEXT('All Tandem Standards Source'!I14,"H:MM:SS"))</f>
        <v>22:14</v>
      </c>
      <c r="AB13" s="55" t="str">
        <f>IF('All Tandem Standards Source'!M14&lt;1/24,TEXT('All Tandem Standards Source'!M14,"M:SS"),TEXT('All Tandem Standards Source'!M14,"H:MM:SS"))</f>
        <v>37:19</v>
      </c>
      <c r="AC13" s="55" t="str">
        <f>IF('All Tandem Standards Source'!Q14&lt;1/24,TEXT('All Tandem Standards Source'!Q14,"M:SS"),TEXT('All Tandem Standards Source'!Q14,"H:MM:SS"))</f>
        <v>44:56</v>
      </c>
      <c r="AD13" s="55" t="str">
        <f>IF('All Tandem Standards Source'!U14&lt;1/24,TEXT('All Tandem Standards Source'!U14,"M:SS"),TEXT('All Tandem Standards Source'!U14,"H:MM:SS"))</f>
        <v>1:15:57</v>
      </c>
      <c r="AE13" s="55" t="str">
        <f>IF('All Tandem Standards Source'!Y14&lt;1/24,TEXT('All Tandem Standards Source'!Y14,"M:SS"),TEXT('All Tandem Standards Source'!Y14,"H:MM:SS"))</f>
        <v>2:37:27</v>
      </c>
      <c r="AF13" s="56" t="str">
        <f>TEXT('All Tandem Standards Source'!AC14,"0.00")</f>
        <v>91.39</v>
      </c>
      <c r="AG13" s="56" t="str">
        <f>TEXT('All Tandem Standards Source'!AG14,"0.00")</f>
        <v>157.84</v>
      </c>
    </row>
    <row r="14" spans="1:33" hidden="1" x14ac:dyDescent="0.25">
      <c r="A14" s="17">
        <v>21</v>
      </c>
      <c r="B14" s="53" t="str">
        <f>IF('All Tandem Standards Source'!B15&lt;1/24,TEXT('All Tandem Standards Source'!B15,"M:SS"),TEXT('All Tandem Standards Source'!B15,"H:MM:SS"))</f>
        <v>12:33</v>
      </c>
      <c r="C14" s="53" t="str">
        <f>IF('All Tandem Standards Source'!F15&lt;1/24,TEXT('All Tandem Standards Source'!F15,"M:SS"),TEXT('All Tandem Standards Source'!F15,"H:MM:SS"))</f>
        <v>18:53</v>
      </c>
      <c r="D14" s="53" t="str">
        <f>IF('All Tandem Standards Source'!J15&lt;1/24,TEXT('All Tandem Standards Source'!J15,"M:SS"),TEXT('All Tandem Standards Source'!J15,"H:MM:SS"))</f>
        <v>31:41</v>
      </c>
      <c r="E14" s="53" t="str">
        <f>IF('All Tandem Standards Source'!N15&lt;1/24,TEXT('All Tandem Standards Source'!N15,"M:SS"),TEXT('All Tandem Standards Source'!N15,"H:MM:SS"))</f>
        <v>38:09</v>
      </c>
      <c r="F14" s="53" t="str">
        <f>IF('All Tandem Standards Source'!R15&lt;1/24,TEXT('All Tandem Standards Source'!R15,"M:SS"),TEXT('All Tandem Standards Source'!R15,"H:MM:SS"))</f>
        <v>1:04:28</v>
      </c>
      <c r="G14" s="53" t="str">
        <f>IF('All Tandem Standards Source'!V15&lt;1/24,TEXT('All Tandem Standards Source'!V15,"M:SS"),TEXT('All Tandem Standards Source'!V15,"H:MM:SS"))</f>
        <v>2:13:39</v>
      </c>
      <c r="H14" s="54" t="str">
        <f>TEXT('All Tandem Standards Source'!Z15,"0.00")</f>
        <v>115.39</v>
      </c>
      <c r="I14" s="54" t="str">
        <f>TEXT('All Tandem Standards Source'!AD15,"0.00")</f>
        <v>191.72</v>
      </c>
      <c r="J14" s="57" t="str">
        <f>IF('All Tandem Standards Source'!C15&lt;1/24,TEXT('All Tandem Standards Source'!C15,"M:SS"),TEXT('All Tandem Standards Source'!C15,"H:MM:SS"))</f>
        <v>13:45</v>
      </c>
      <c r="K14" s="57" t="str">
        <f>IF('All Tandem Standards Source'!G15&lt;1/24,TEXT('All Tandem Standards Source'!G15,"M:SS"),TEXT('All Tandem Standards Source'!G15,"H:MM:SS"))</f>
        <v>20:42</v>
      </c>
      <c r="L14" s="57" t="str">
        <f>IF('All Tandem Standards Source'!K15&lt;1/24,TEXT('All Tandem Standards Source'!K15,"M:SS"),TEXT('All Tandem Standards Source'!K15,"H:MM:SS"))</f>
        <v>34:44</v>
      </c>
      <c r="M14" s="57" t="str">
        <f>IF('All Tandem Standards Source'!O15&lt;1/24,TEXT('All Tandem Standards Source'!O15,"M:SS"),TEXT('All Tandem Standards Source'!O15,"H:MM:SS"))</f>
        <v>41:49</v>
      </c>
      <c r="N14" s="57" t="str">
        <f>IF('All Tandem Standards Source'!S15&lt;1/24,TEXT('All Tandem Standards Source'!S15,"M:SS"),TEXT('All Tandem Standards Source'!S15,"H:MM:SS"))</f>
        <v>1:10:41</v>
      </c>
      <c r="O14" s="57" t="str">
        <f>IF('All Tandem Standards Source'!W15&lt;1/24,TEXT('All Tandem Standards Source'!W15,"M:SS"),TEXT('All Tandem Standards Source'!W15,"H:MM:SS"))</f>
        <v>2:26:32</v>
      </c>
      <c r="P14" s="58" t="str">
        <f>TEXT('All Tandem Standards Source'!AA15,"0.00")</f>
        <v>101.38</v>
      </c>
      <c r="Q14" s="58" t="str">
        <f>TEXT('All Tandem Standards Source'!AE15,"0.00")</f>
        <v>172.19</v>
      </c>
      <c r="R14" s="50" t="str">
        <f>IF('All Tandem Standards Source'!D15&lt;1/24,TEXT('All Tandem Standards Source'!D15,"M:SS"),TEXT('All Tandem Standards Source'!D15,"H:MM:SS"))</f>
        <v>13:27</v>
      </c>
      <c r="S14" s="50" t="str">
        <f>IF('All Tandem Standards Source'!H15&lt;1/24,TEXT('All Tandem Standards Source'!H15,"M:SS"),TEXT('All Tandem Standards Source'!H15,"H:MM:SS"))</f>
        <v>20:15</v>
      </c>
      <c r="T14" s="50" t="str">
        <f>IF('All Tandem Standards Source'!L15&lt;1/24,TEXT('All Tandem Standards Source'!L15,"M:SS"),TEXT('All Tandem Standards Source'!L15,"H:MM:SS"))</f>
        <v>33:59</v>
      </c>
      <c r="U14" s="50" t="str">
        <f>IF('All Tandem Standards Source'!P15&lt;1/24,TEXT('All Tandem Standards Source'!P15,"M:SS"),TEXT('All Tandem Standards Source'!P15,"H:MM:SS"))</f>
        <v>40:55</v>
      </c>
      <c r="V14" s="50" t="str">
        <f>IF('All Tandem Standards Source'!T15&lt;1/24,TEXT('All Tandem Standards Source'!T15,"M:SS"),TEXT('All Tandem Standards Source'!T15,"H:MM:SS"))</f>
        <v>1:09:09</v>
      </c>
      <c r="W14" s="50" t="str">
        <f>IF('All Tandem Standards Source'!X15&lt;1/24,TEXT('All Tandem Standards Source'!X15,"M:SS"),TEXT('All Tandem Standards Source'!X15,"H:MM:SS"))</f>
        <v>2:23:20</v>
      </c>
      <c r="X14" s="51" t="str">
        <f>TEXT('All Tandem Standards Source'!AB15,"0.00")</f>
        <v>104.61</v>
      </c>
      <c r="Y14" s="51" t="str">
        <f>TEXT('All Tandem Standards Source'!AF15,"0.00")</f>
        <v>176.75</v>
      </c>
      <c r="Z14" s="55" t="str">
        <f>IF('All Tandem Standards Source'!E15&lt;1/24,TEXT('All Tandem Standards Source'!E15,"M:SS"),TEXT('All Tandem Standards Source'!E15,"H:MM:SS"))</f>
        <v>14:47</v>
      </c>
      <c r="AA14" s="55" t="str">
        <f>IF('All Tandem Standards Source'!I15&lt;1/24,TEXT('All Tandem Standards Source'!I15,"M:SS"),TEXT('All Tandem Standards Source'!I15,"H:MM:SS"))</f>
        <v>22:14</v>
      </c>
      <c r="AB14" s="55" t="str">
        <f>IF('All Tandem Standards Source'!M15&lt;1/24,TEXT('All Tandem Standards Source'!M15,"M:SS"),TEXT('All Tandem Standards Source'!M15,"H:MM:SS"))</f>
        <v>37:19</v>
      </c>
      <c r="AC14" s="55" t="str">
        <f>IF('All Tandem Standards Source'!Q15&lt;1/24,TEXT('All Tandem Standards Source'!Q15,"M:SS"),TEXT('All Tandem Standards Source'!Q15,"H:MM:SS"))</f>
        <v>44:56</v>
      </c>
      <c r="AD14" s="55" t="str">
        <f>IF('All Tandem Standards Source'!U15&lt;1/24,TEXT('All Tandem Standards Source'!U15,"M:SS"),TEXT('All Tandem Standards Source'!U15,"H:MM:SS"))</f>
        <v>1:15:57</v>
      </c>
      <c r="AE14" s="55" t="str">
        <f>IF('All Tandem Standards Source'!Y15&lt;1/24,TEXT('All Tandem Standards Source'!Y15,"M:SS"),TEXT('All Tandem Standards Source'!Y15,"H:MM:SS"))</f>
        <v>2:37:27</v>
      </c>
      <c r="AF14" s="56" t="str">
        <f>TEXT('All Tandem Standards Source'!AC15,"0.00")</f>
        <v>91.39</v>
      </c>
      <c r="AG14" s="56" t="str">
        <f>TEXT('All Tandem Standards Source'!AG15,"0.00")</f>
        <v>157.84</v>
      </c>
    </row>
    <row r="15" spans="1:33" hidden="1" x14ac:dyDescent="0.25">
      <c r="A15" s="17">
        <v>22</v>
      </c>
      <c r="B15" s="53" t="str">
        <f>IF('All Tandem Standards Source'!B16&lt;1/24,TEXT('All Tandem Standards Source'!B16,"M:SS"),TEXT('All Tandem Standards Source'!B16,"H:MM:SS"))</f>
        <v>12:33</v>
      </c>
      <c r="C15" s="53" t="str">
        <f>IF('All Tandem Standards Source'!F16&lt;1/24,TEXT('All Tandem Standards Source'!F16,"M:SS"),TEXT('All Tandem Standards Source'!F16,"H:MM:SS"))</f>
        <v>18:53</v>
      </c>
      <c r="D15" s="53" t="str">
        <f>IF('All Tandem Standards Source'!J16&lt;1/24,TEXT('All Tandem Standards Source'!J16,"M:SS"),TEXT('All Tandem Standards Source'!J16,"H:MM:SS"))</f>
        <v>31:41</v>
      </c>
      <c r="E15" s="53" t="str">
        <f>IF('All Tandem Standards Source'!N16&lt;1/24,TEXT('All Tandem Standards Source'!N16,"M:SS"),TEXT('All Tandem Standards Source'!N16,"H:MM:SS"))</f>
        <v>38:09</v>
      </c>
      <c r="F15" s="53" t="str">
        <f>IF('All Tandem Standards Source'!R16&lt;1/24,TEXT('All Tandem Standards Source'!R16,"M:SS"),TEXT('All Tandem Standards Source'!R16,"H:MM:SS"))</f>
        <v>1:04:28</v>
      </c>
      <c r="G15" s="53" t="str">
        <f>IF('All Tandem Standards Source'!V16&lt;1/24,TEXT('All Tandem Standards Source'!V16,"M:SS"),TEXT('All Tandem Standards Source'!V16,"H:MM:SS"))</f>
        <v>2:13:39</v>
      </c>
      <c r="H15" s="54" t="str">
        <f>TEXT('All Tandem Standards Source'!Z16,"0.00")</f>
        <v>115.39</v>
      </c>
      <c r="I15" s="54" t="str">
        <f>TEXT('All Tandem Standards Source'!AD16,"0.00")</f>
        <v>191.72</v>
      </c>
      <c r="J15" s="57" t="str">
        <f>IF('All Tandem Standards Source'!C16&lt;1/24,TEXT('All Tandem Standards Source'!C16,"M:SS"),TEXT('All Tandem Standards Source'!C16,"H:MM:SS"))</f>
        <v>13:45</v>
      </c>
      <c r="K15" s="57" t="str">
        <f>IF('All Tandem Standards Source'!G16&lt;1/24,TEXT('All Tandem Standards Source'!G16,"M:SS"),TEXT('All Tandem Standards Source'!G16,"H:MM:SS"))</f>
        <v>20:42</v>
      </c>
      <c r="L15" s="57" t="str">
        <f>IF('All Tandem Standards Source'!K16&lt;1/24,TEXT('All Tandem Standards Source'!K16,"M:SS"),TEXT('All Tandem Standards Source'!K16,"H:MM:SS"))</f>
        <v>34:44</v>
      </c>
      <c r="M15" s="57" t="str">
        <f>IF('All Tandem Standards Source'!O16&lt;1/24,TEXT('All Tandem Standards Source'!O16,"M:SS"),TEXT('All Tandem Standards Source'!O16,"H:MM:SS"))</f>
        <v>41:49</v>
      </c>
      <c r="N15" s="57" t="str">
        <f>IF('All Tandem Standards Source'!S16&lt;1/24,TEXT('All Tandem Standards Source'!S16,"M:SS"),TEXT('All Tandem Standards Source'!S16,"H:MM:SS"))</f>
        <v>1:10:41</v>
      </c>
      <c r="O15" s="57" t="str">
        <f>IF('All Tandem Standards Source'!W16&lt;1/24,TEXT('All Tandem Standards Source'!W16,"M:SS"),TEXT('All Tandem Standards Source'!W16,"H:MM:SS"))</f>
        <v>2:26:32</v>
      </c>
      <c r="P15" s="58" t="str">
        <f>TEXT('All Tandem Standards Source'!AA16,"0.00")</f>
        <v>101.38</v>
      </c>
      <c r="Q15" s="58" t="str">
        <f>TEXT('All Tandem Standards Source'!AE16,"0.00")</f>
        <v>172.19</v>
      </c>
      <c r="R15" s="50" t="str">
        <f>IF('All Tandem Standards Source'!D16&lt;1/24,TEXT('All Tandem Standards Source'!D16,"M:SS"),TEXT('All Tandem Standards Source'!D16,"H:MM:SS"))</f>
        <v>13:27</v>
      </c>
      <c r="S15" s="50" t="str">
        <f>IF('All Tandem Standards Source'!H16&lt;1/24,TEXT('All Tandem Standards Source'!H16,"M:SS"),TEXT('All Tandem Standards Source'!H16,"H:MM:SS"))</f>
        <v>20:15</v>
      </c>
      <c r="T15" s="50" t="str">
        <f>IF('All Tandem Standards Source'!L16&lt;1/24,TEXT('All Tandem Standards Source'!L16,"M:SS"),TEXT('All Tandem Standards Source'!L16,"H:MM:SS"))</f>
        <v>33:59</v>
      </c>
      <c r="U15" s="50" t="str">
        <f>IF('All Tandem Standards Source'!P16&lt;1/24,TEXT('All Tandem Standards Source'!P16,"M:SS"),TEXT('All Tandem Standards Source'!P16,"H:MM:SS"))</f>
        <v>40:55</v>
      </c>
      <c r="V15" s="50" t="str">
        <f>IF('All Tandem Standards Source'!T16&lt;1/24,TEXT('All Tandem Standards Source'!T16,"M:SS"),TEXT('All Tandem Standards Source'!T16,"H:MM:SS"))</f>
        <v>1:09:09</v>
      </c>
      <c r="W15" s="50" t="str">
        <f>IF('All Tandem Standards Source'!X16&lt;1/24,TEXT('All Tandem Standards Source'!X16,"M:SS"),TEXT('All Tandem Standards Source'!X16,"H:MM:SS"))</f>
        <v>2:23:20</v>
      </c>
      <c r="X15" s="51" t="str">
        <f>TEXT('All Tandem Standards Source'!AB16,"0.00")</f>
        <v>104.61</v>
      </c>
      <c r="Y15" s="51" t="str">
        <f>TEXT('All Tandem Standards Source'!AF16,"0.00")</f>
        <v>176.75</v>
      </c>
      <c r="Z15" s="55" t="str">
        <f>IF('All Tandem Standards Source'!E16&lt;1/24,TEXT('All Tandem Standards Source'!E16,"M:SS"),TEXT('All Tandem Standards Source'!E16,"H:MM:SS"))</f>
        <v>14:47</v>
      </c>
      <c r="AA15" s="55" t="str">
        <f>IF('All Tandem Standards Source'!I16&lt;1/24,TEXT('All Tandem Standards Source'!I16,"M:SS"),TEXT('All Tandem Standards Source'!I16,"H:MM:SS"))</f>
        <v>22:14</v>
      </c>
      <c r="AB15" s="55" t="str">
        <f>IF('All Tandem Standards Source'!M16&lt;1/24,TEXT('All Tandem Standards Source'!M16,"M:SS"),TEXT('All Tandem Standards Source'!M16,"H:MM:SS"))</f>
        <v>37:19</v>
      </c>
      <c r="AC15" s="55" t="str">
        <f>IF('All Tandem Standards Source'!Q16&lt;1/24,TEXT('All Tandem Standards Source'!Q16,"M:SS"),TEXT('All Tandem Standards Source'!Q16,"H:MM:SS"))</f>
        <v>44:56</v>
      </c>
      <c r="AD15" s="55" t="str">
        <f>IF('All Tandem Standards Source'!U16&lt;1/24,TEXT('All Tandem Standards Source'!U16,"M:SS"),TEXT('All Tandem Standards Source'!U16,"H:MM:SS"))</f>
        <v>1:15:57</v>
      </c>
      <c r="AE15" s="55" t="str">
        <f>IF('All Tandem Standards Source'!Y16&lt;1/24,TEXT('All Tandem Standards Source'!Y16,"M:SS"),TEXT('All Tandem Standards Source'!Y16,"H:MM:SS"))</f>
        <v>2:37:27</v>
      </c>
      <c r="AF15" s="56" t="str">
        <f>TEXT('All Tandem Standards Source'!AC16,"0.00")</f>
        <v>91.39</v>
      </c>
      <c r="AG15" s="56" t="str">
        <f>TEXT('All Tandem Standards Source'!AG16,"0.00")</f>
        <v>157.84</v>
      </c>
    </row>
    <row r="16" spans="1:33" hidden="1" x14ac:dyDescent="0.25">
      <c r="A16" s="17">
        <v>23</v>
      </c>
      <c r="B16" s="53" t="str">
        <f>IF('All Tandem Standards Source'!B17&lt;1/24,TEXT('All Tandem Standards Source'!B17,"M:SS"),TEXT('All Tandem Standards Source'!B17,"H:MM:SS"))</f>
        <v>12:33</v>
      </c>
      <c r="C16" s="53" t="str">
        <f>IF('All Tandem Standards Source'!F17&lt;1/24,TEXT('All Tandem Standards Source'!F17,"M:SS"),TEXT('All Tandem Standards Source'!F17,"H:MM:SS"))</f>
        <v>18:53</v>
      </c>
      <c r="D16" s="53" t="str">
        <f>IF('All Tandem Standards Source'!J17&lt;1/24,TEXT('All Tandem Standards Source'!J17,"M:SS"),TEXT('All Tandem Standards Source'!J17,"H:MM:SS"))</f>
        <v>31:41</v>
      </c>
      <c r="E16" s="53" t="str">
        <f>IF('All Tandem Standards Source'!N17&lt;1/24,TEXT('All Tandem Standards Source'!N17,"M:SS"),TEXT('All Tandem Standards Source'!N17,"H:MM:SS"))</f>
        <v>38:09</v>
      </c>
      <c r="F16" s="53" t="str">
        <f>IF('All Tandem Standards Source'!R17&lt;1/24,TEXT('All Tandem Standards Source'!R17,"M:SS"),TEXT('All Tandem Standards Source'!R17,"H:MM:SS"))</f>
        <v>1:04:28</v>
      </c>
      <c r="G16" s="53" t="str">
        <f>IF('All Tandem Standards Source'!V17&lt;1/24,TEXT('All Tandem Standards Source'!V17,"M:SS"),TEXT('All Tandem Standards Source'!V17,"H:MM:SS"))</f>
        <v>2:13:39</v>
      </c>
      <c r="H16" s="54" t="str">
        <f>TEXT('All Tandem Standards Source'!Z17,"0.00")</f>
        <v>115.39</v>
      </c>
      <c r="I16" s="54" t="str">
        <f>TEXT('All Tandem Standards Source'!AD17,"0.00")</f>
        <v>191.72</v>
      </c>
      <c r="J16" s="57" t="str">
        <f>IF('All Tandem Standards Source'!C17&lt;1/24,TEXT('All Tandem Standards Source'!C17,"M:SS"),TEXT('All Tandem Standards Source'!C17,"H:MM:SS"))</f>
        <v>13:45</v>
      </c>
      <c r="K16" s="57" t="str">
        <f>IF('All Tandem Standards Source'!G17&lt;1/24,TEXT('All Tandem Standards Source'!G17,"M:SS"),TEXT('All Tandem Standards Source'!G17,"H:MM:SS"))</f>
        <v>20:42</v>
      </c>
      <c r="L16" s="57" t="str">
        <f>IF('All Tandem Standards Source'!K17&lt;1/24,TEXT('All Tandem Standards Source'!K17,"M:SS"),TEXT('All Tandem Standards Source'!K17,"H:MM:SS"))</f>
        <v>34:44</v>
      </c>
      <c r="M16" s="57" t="str">
        <f>IF('All Tandem Standards Source'!O17&lt;1/24,TEXT('All Tandem Standards Source'!O17,"M:SS"),TEXT('All Tandem Standards Source'!O17,"H:MM:SS"))</f>
        <v>41:49</v>
      </c>
      <c r="N16" s="57" t="str">
        <f>IF('All Tandem Standards Source'!S17&lt;1/24,TEXT('All Tandem Standards Source'!S17,"M:SS"),TEXT('All Tandem Standards Source'!S17,"H:MM:SS"))</f>
        <v>1:10:41</v>
      </c>
      <c r="O16" s="57" t="str">
        <f>IF('All Tandem Standards Source'!W17&lt;1/24,TEXT('All Tandem Standards Source'!W17,"M:SS"),TEXT('All Tandem Standards Source'!W17,"H:MM:SS"))</f>
        <v>2:26:32</v>
      </c>
      <c r="P16" s="58" t="str">
        <f>TEXT('All Tandem Standards Source'!AA17,"0.00")</f>
        <v>101.38</v>
      </c>
      <c r="Q16" s="58" t="str">
        <f>TEXT('All Tandem Standards Source'!AE17,"0.00")</f>
        <v>172.19</v>
      </c>
      <c r="R16" s="50" t="str">
        <f>IF('All Tandem Standards Source'!D17&lt;1/24,TEXT('All Tandem Standards Source'!D17,"M:SS"),TEXT('All Tandem Standards Source'!D17,"H:MM:SS"))</f>
        <v>13:27</v>
      </c>
      <c r="S16" s="50" t="str">
        <f>IF('All Tandem Standards Source'!H17&lt;1/24,TEXT('All Tandem Standards Source'!H17,"M:SS"),TEXT('All Tandem Standards Source'!H17,"H:MM:SS"))</f>
        <v>20:15</v>
      </c>
      <c r="T16" s="50" t="str">
        <f>IF('All Tandem Standards Source'!L17&lt;1/24,TEXT('All Tandem Standards Source'!L17,"M:SS"),TEXT('All Tandem Standards Source'!L17,"H:MM:SS"))</f>
        <v>33:59</v>
      </c>
      <c r="U16" s="50" t="str">
        <f>IF('All Tandem Standards Source'!P17&lt;1/24,TEXT('All Tandem Standards Source'!P17,"M:SS"),TEXT('All Tandem Standards Source'!P17,"H:MM:SS"))</f>
        <v>40:55</v>
      </c>
      <c r="V16" s="50" t="str">
        <f>IF('All Tandem Standards Source'!T17&lt;1/24,TEXT('All Tandem Standards Source'!T17,"M:SS"),TEXT('All Tandem Standards Source'!T17,"H:MM:SS"))</f>
        <v>1:09:09</v>
      </c>
      <c r="W16" s="50" t="str">
        <f>IF('All Tandem Standards Source'!X17&lt;1/24,TEXT('All Tandem Standards Source'!X17,"M:SS"),TEXT('All Tandem Standards Source'!X17,"H:MM:SS"))</f>
        <v>2:23:20</v>
      </c>
      <c r="X16" s="51" t="str">
        <f>TEXT('All Tandem Standards Source'!AB17,"0.00")</f>
        <v>104.61</v>
      </c>
      <c r="Y16" s="51" t="str">
        <f>TEXT('All Tandem Standards Source'!AF17,"0.00")</f>
        <v>176.75</v>
      </c>
      <c r="Z16" s="55" t="str">
        <f>IF('All Tandem Standards Source'!E17&lt;1/24,TEXT('All Tandem Standards Source'!E17,"M:SS"),TEXT('All Tandem Standards Source'!E17,"H:MM:SS"))</f>
        <v>14:47</v>
      </c>
      <c r="AA16" s="55" t="str">
        <f>IF('All Tandem Standards Source'!I17&lt;1/24,TEXT('All Tandem Standards Source'!I17,"M:SS"),TEXT('All Tandem Standards Source'!I17,"H:MM:SS"))</f>
        <v>22:14</v>
      </c>
      <c r="AB16" s="55" t="str">
        <f>IF('All Tandem Standards Source'!M17&lt;1/24,TEXT('All Tandem Standards Source'!M17,"M:SS"),TEXT('All Tandem Standards Source'!M17,"H:MM:SS"))</f>
        <v>37:19</v>
      </c>
      <c r="AC16" s="55" t="str">
        <f>IF('All Tandem Standards Source'!Q17&lt;1/24,TEXT('All Tandem Standards Source'!Q17,"M:SS"),TEXT('All Tandem Standards Source'!Q17,"H:MM:SS"))</f>
        <v>44:56</v>
      </c>
      <c r="AD16" s="55" t="str">
        <f>IF('All Tandem Standards Source'!U17&lt;1/24,TEXT('All Tandem Standards Source'!U17,"M:SS"),TEXT('All Tandem Standards Source'!U17,"H:MM:SS"))</f>
        <v>1:15:57</v>
      </c>
      <c r="AE16" s="55" t="str">
        <f>IF('All Tandem Standards Source'!Y17&lt;1/24,TEXT('All Tandem Standards Source'!Y17,"M:SS"),TEXT('All Tandem Standards Source'!Y17,"H:MM:SS"))</f>
        <v>2:37:27</v>
      </c>
      <c r="AF16" s="56" t="str">
        <f>TEXT('All Tandem Standards Source'!AC17,"0.00")</f>
        <v>91.39</v>
      </c>
      <c r="AG16" s="56" t="str">
        <f>TEXT('All Tandem Standards Source'!AG17,"0.00")</f>
        <v>157.84</v>
      </c>
    </row>
    <row r="17" spans="1:33" hidden="1" x14ac:dyDescent="0.25">
      <c r="A17" s="17">
        <v>24</v>
      </c>
      <c r="B17" s="53" t="str">
        <f>IF('All Tandem Standards Source'!B18&lt;1/24,TEXT('All Tandem Standards Source'!B18,"M:SS"),TEXT('All Tandem Standards Source'!B18,"H:MM:SS"))</f>
        <v>12:33</v>
      </c>
      <c r="C17" s="53" t="str">
        <f>IF('All Tandem Standards Source'!F18&lt;1/24,TEXT('All Tandem Standards Source'!F18,"M:SS"),TEXT('All Tandem Standards Source'!F18,"H:MM:SS"))</f>
        <v>18:53</v>
      </c>
      <c r="D17" s="53" t="str">
        <f>IF('All Tandem Standards Source'!J18&lt;1/24,TEXT('All Tandem Standards Source'!J18,"M:SS"),TEXT('All Tandem Standards Source'!J18,"H:MM:SS"))</f>
        <v>31:41</v>
      </c>
      <c r="E17" s="53" t="str">
        <f>IF('All Tandem Standards Source'!N18&lt;1/24,TEXT('All Tandem Standards Source'!N18,"M:SS"),TEXT('All Tandem Standards Source'!N18,"H:MM:SS"))</f>
        <v>38:09</v>
      </c>
      <c r="F17" s="53" t="str">
        <f>IF('All Tandem Standards Source'!R18&lt;1/24,TEXT('All Tandem Standards Source'!R18,"M:SS"),TEXT('All Tandem Standards Source'!R18,"H:MM:SS"))</f>
        <v>1:04:28</v>
      </c>
      <c r="G17" s="53" t="str">
        <f>IF('All Tandem Standards Source'!V18&lt;1/24,TEXT('All Tandem Standards Source'!V18,"M:SS"),TEXT('All Tandem Standards Source'!V18,"H:MM:SS"))</f>
        <v>2:13:39</v>
      </c>
      <c r="H17" s="54" t="str">
        <f>TEXT('All Tandem Standards Source'!Z18,"0.00")</f>
        <v>115.39</v>
      </c>
      <c r="I17" s="54" t="str">
        <f>TEXT('All Tandem Standards Source'!AD18,"0.00")</f>
        <v>191.72</v>
      </c>
      <c r="J17" s="57" t="str">
        <f>IF('All Tandem Standards Source'!C18&lt;1/24,TEXT('All Tandem Standards Source'!C18,"M:SS"),TEXT('All Tandem Standards Source'!C18,"H:MM:SS"))</f>
        <v>13:45</v>
      </c>
      <c r="K17" s="57" t="str">
        <f>IF('All Tandem Standards Source'!G18&lt;1/24,TEXT('All Tandem Standards Source'!G18,"M:SS"),TEXT('All Tandem Standards Source'!G18,"H:MM:SS"))</f>
        <v>20:42</v>
      </c>
      <c r="L17" s="57" t="str">
        <f>IF('All Tandem Standards Source'!K18&lt;1/24,TEXT('All Tandem Standards Source'!K18,"M:SS"),TEXT('All Tandem Standards Source'!K18,"H:MM:SS"))</f>
        <v>34:44</v>
      </c>
      <c r="M17" s="57" t="str">
        <f>IF('All Tandem Standards Source'!O18&lt;1/24,TEXT('All Tandem Standards Source'!O18,"M:SS"),TEXT('All Tandem Standards Source'!O18,"H:MM:SS"))</f>
        <v>41:49</v>
      </c>
      <c r="N17" s="57" t="str">
        <f>IF('All Tandem Standards Source'!S18&lt;1/24,TEXT('All Tandem Standards Source'!S18,"M:SS"),TEXT('All Tandem Standards Source'!S18,"H:MM:SS"))</f>
        <v>1:10:41</v>
      </c>
      <c r="O17" s="57" t="str">
        <f>IF('All Tandem Standards Source'!W18&lt;1/24,TEXT('All Tandem Standards Source'!W18,"M:SS"),TEXT('All Tandem Standards Source'!W18,"H:MM:SS"))</f>
        <v>2:26:32</v>
      </c>
      <c r="P17" s="58" t="str">
        <f>TEXT('All Tandem Standards Source'!AA18,"0.00")</f>
        <v>101.38</v>
      </c>
      <c r="Q17" s="58" t="str">
        <f>TEXT('All Tandem Standards Source'!AE18,"0.00")</f>
        <v>172.19</v>
      </c>
      <c r="R17" s="50" t="str">
        <f>IF('All Tandem Standards Source'!D18&lt;1/24,TEXT('All Tandem Standards Source'!D18,"M:SS"),TEXT('All Tandem Standards Source'!D18,"H:MM:SS"))</f>
        <v>13:27</v>
      </c>
      <c r="S17" s="50" t="str">
        <f>IF('All Tandem Standards Source'!H18&lt;1/24,TEXT('All Tandem Standards Source'!H18,"M:SS"),TEXT('All Tandem Standards Source'!H18,"H:MM:SS"))</f>
        <v>20:15</v>
      </c>
      <c r="T17" s="50" t="str">
        <f>IF('All Tandem Standards Source'!L18&lt;1/24,TEXT('All Tandem Standards Source'!L18,"M:SS"),TEXT('All Tandem Standards Source'!L18,"H:MM:SS"))</f>
        <v>33:59</v>
      </c>
      <c r="U17" s="50" t="str">
        <f>IF('All Tandem Standards Source'!P18&lt;1/24,TEXT('All Tandem Standards Source'!P18,"M:SS"),TEXT('All Tandem Standards Source'!P18,"H:MM:SS"))</f>
        <v>40:55</v>
      </c>
      <c r="V17" s="50" t="str">
        <f>IF('All Tandem Standards Source'!T18&lt;1/24,TEXT('All Tandem Standards Source'!T18,"M:SS"),TEXT('All Tandem Standards Source'!T18,"H:MM:SS"))</f>
        <v>1:09:09</v>
      </c>
      <c r="W17" s="50" t="str">
        <f>IF('All Tandem Standards Source'!X18&lt;1/24,TEXT('All Tandem Standards Source'!X18,"M:SS"),TEXT('All Tandem Standards Source'!X18,"H:MM:SS"))</f>
        <v>2:23:20</v>
      </c>
      <c r="X17" s="51" t="str">
        <f>TEXT('All Tandem Standards Source'!AB18,"0.00")</f>
        <v>104.61</v>
      </c>
      <c r="Y17" s="51" t="str">
        <f>TEXT('All Tandem Standards Source'!AF18,"0.00")</f>
        <v>176.75</v>
      </c>
      <c r="Z17" s="55" t="str">
        <f>IF('All Tandem Standards Source'!E18&lt;1/24,TEXT('All Tandem Standards Source'!E18,"M:SS"),TEXT('All Tandem Standards Source'!E18,"H:MM:SS"))</f>
        <v>14:47</v>
      </c>
      <c r="AA17" s="55" t="str">
        <f>IF('All Tandem Standards Source'!I18&lt;1/24,TEXT('All Tandem Standards Source'!I18,"M:SS"),TEXT('All Tandem Standards Source'!I18,"H:MM:SS"))</f>
        <v>22:14</v>
      </c>
      <c r="AB17" s="55" t="str">
        <f>IF('All Tandem Standards Source'!M18&lt;1/24,TEXT('All Tandem Standards Source'!M18,"M:SS"),TEXT('All Tandem Standards Source'!M18,"H:MM:SS"))</f>
        <v>37:19</v>
      </c>
      <c r="AC17" s="55" t="str">
        <f>IF('All Tandem Standards Source'!Q18&lt;1/24,TEXT('All Tandem Standards Source'!Q18,"M:SS"),TEXT('All Tandem Standards Source'!Q18,"H:MM:SS"))</f>
        <v>44:56</v>
      </c>
      <c r="AD17" s="55" t="str">
        <f>IF('All Tandem Standards Source'!U18&lt;1/24,TEXT('All Tandem Standards Source'!U18,"M:SS"),TEXT('All Tandem Standards Source'!U18,"H:MM:SS"))</f>
        <v>1:15:57</v>
      </c>
      <c r="AE17" s="55" t="str">
        <f>IF('All Tandem Standards Source'!Y18&lt;1/24,TEXT('All Tandem Standards Source'!Y18,"M:SS"),TEXT('All Tandem Standards Source'!Y18,"H:MM:SS"))</f>
        <v>2:37:27</v>
      </c>
      <c r="AF17" s="56" t="str">
        <f>TEXT('All Tandem Standards Source'!AC18,"0.00")</f>
        <v>91.39</v>
      </c>
      <c r="AG17" s="56" t="str">
        <f>TEXT('All Tandem Standards Source'!AG18,"0.00")</f>
        <v>157.84</v>
      </c>
    </row>
    <row r="18" spans="1:33" hidden="1" x14ac:dyDescent="0.25">
      <c r="A18" s="17">
        <v>25</v>
      </c>
      <c r="B18" s="53" t="str">
        <f>IF('All Tandem Standards Source'!B19&lt;1/24,TEXT('All Tandem Standards Source'!B19,"M:SS"),TEXT('All Tandem Standards Source'!B19,"H:MM:SS"))</f>
        <v>12:33</v>
      </c>
      <c r="C18" s="53" t="str">
        <f>IF('All Tandem Standards Source'!F19&lt;1/24,TEXT('All Tandem Standards Source'!F19,"M:SS"),TEXT('All Tandem Standards Source'!F19,"H:MM:SS"))</f>
        <v>18:53</v>
      </c>
      <c r="D18" s="53" t="str">
        <f>IF('All Tandem Standards Source'!J19&lt;1/24,TEXT('All Tandem Standards Source'!J19,"M:SS"),TEXT('All Tandem Standards Source'!J19,"H:MM:SS"))</f>
        <v>31:41</v>
      </c>
      <c r="E18" s="53" t="str">
        <f>IF('All Tandem Standards Source'!N19&lt;1/24,TEXT('All Tandem Standards Source'!N19,"M:SS"),TEXT('All Tandem Standards Source'!N19,"H:MM:SS"))</f>
        <v>38:09</v>
      </c>
      <c r="F18" s="53" t="str">
        <f>IF('All Tandem Standards Source'!R19&lt;1/24,TEXT('All Tandem Standards Source'!R19,"M:SS"),TEXT('All Tandem Standards Source'!R19,"H:MM:SS"))</f>
        <v>1:04:28</v>
      </c>
      <c r="G18" s="53" t="str">
        <f>IF('All Tandem Standards Source'!V19&lt;1/24,TEXT('All Tandem Standards Source'!V19,"M:SS"),TEXT('All Tandem Standards Source'!V19,"H:MM:SS"))</f>
        <v>2:13:39</v>
      </c>
      <c r="H18" s="54" t="str">
        <f>TEXT('All Tandem Standards Source'!Z19,"0.00")</f>
        <v>115.39</v>
      </c>
      <c r="I18" s="54" t="str">
        <f>TEXT('All Tandem Standards Source'!AD19,"0.00")</f>
        <v>191.72</v>
      </c>
      <c r="J18" s="57" t="str">
        <f>IF('All Tandem Standards Source'!C19&lt;1/24,TEXT('All Tandem Standards Source'!C19,"M:SS"),TEXT('All Tandem Standards Source'!C19,"H:MM:SS"))</f>
        <v>13:45</v>
      </c>
      <c r="K18" s="57" t="str">
        <f>IF('All Tandem Standards Source'!G19&lt;1/24,TEXT('All Tandem Standards Source'!G19,"M:SS"),TEXT('All Tandem Standards Source'!G19,"H:MM:SS"))</f>
        <v>20:42</v>
      </c>
      <c r="L18" s="57" t="str">
        <f>IF('All Tandem Standards Source'!K19&lt;1/24,TEXT('All Tandem Standards Source'!K19,"M:SS"),TEXT('All Tandem Standards Source'!K19,"H:MM:SS"))</f>
        <v>34:44</v>
      </c>
      <c r="M18" s="57" t="str">
        <f>IF('All Tandem Standards Source'!O19&lt;1/24,TEXT('All Tandem Standards Source'!O19,"M:SS"),TEXT('All Tandem Standards Source'!O19,"H:MM:SS"))</f>
        <v>41:49</v>
      </c>
      <c r="N18" s="57" t="str">
        <f>IF('All Tandem Standards Source'!S19&lt;1/24,TEXT('All Tandem Standards Source'!S19,"M:SS"),TEXT('All Tandem Standards Source'!S19,"H:MM:SS"))</f>
        <v>1:10:41</v>
      </c>
      <c r="O18" s="57" t="str">
        <f>IF('All Tandem Standards Source'!W19&lt;1/24,TEXT('All Tandem Standards Source'!W19,"M:SS"),TEXT('All Tandem Standards Source'!W19,"H:MM:SS"))</f>
        <v>2:26:32</v>
      </c>
      <c r="P18" s="58" t="str">
        <f>TEXT('All Tandem Standards Source'!AA19,"0.00")</f>
        <v>101.38</v>
      </c>
      <c r="Q18" s="58" t="str">
        <f>TEXT('All Tandem Standards Source'!AE19,"0.00")</f>
        <v>172.19</v>
      </c>
      <c r="R18" s="50" t="str">
        <f>IF('All Tandem Standards Source'!D19&lt;1/24,TEXT('All Tandem Standards Source'!D19,"M:SS"),TEXT('All Tandem Standards Source'!D19,"H:MM:SS"))</f>
        <v>13:27</v>
      </c>
      <c r="S18" s="50" t="str">
        <f>IF('All Tandem Standards Source'!H19&lt;1/24,TEXT('All Tandem Standards Source'!H19,"M:SS"),TEXT('All Tandem Standards Source'!H19,"H:MM:SS"))</f>
        <v>20:15</v>
      </c>
      <c r="T18" s="50" t="str">
        <f>IF('All Tandem Standards Source'!L19&lt;1/24,TEXT('All Tandem Standards Source'!L19,"M:SS"),TEXT('All Tandem Standards Source'!L19,"H:MM:SS"))</f>
        <v>33:59</v>
      </c>
      <c r="U18" s="50" t="str">
        <f>IF('All Tandem Standards Source'!P19&lt;1/24,TEXT('All Tandem Standards Source'!P19,"M:SS"),TEXT('All Tandem Standards Source'!P19,"H:MM:SS"))</f>
        <v>40:55</v>
      </c>
      <c r="V18" s="50" t="str">
        <f>IF('All Tandem Standards Source'!T19&lt;1/24,TEXT('All Tandem Standards Source'!T19,"M:SS"),TEXT('All Tandem Standards Source'!T19,"H:MM:SS"))</f>
        <v>1:09:09</v>
      </c>
      <c r="W18" s="50" t="str">
        <f>IF('All Tandem Standards Source'!X19&lt;1/24,TEXT('All Tandem Standards Source'!X19,"M:SS"),TEXT('All Tandem Standards Source'!X19,"H:MM:SS"))</f>
        <v>2:23:20</v>
      </c>
      <c r="X18" s="51" t="str">
        <f>TEXT('All Tandem Standards Source'!AB19,"0.00")</f>
        <v>104.61</v>
      </c>
      <c r="Y18" s="51" t="str">
        <f>TEXT('All Tandem Standards Source'!AF19,"0.00")</f>
        <v>176.75</v>
      </c>
      <c r="Z18" s="55" t="str">
        <f>IF('All Tandem Standards Source'!E19&lt;1/24,TEXT('All Tandem Standards Source'!E19,"M:SS"),TEXT('All Tandem Standards Source'!E19,"H:MM:SS"))</f>
        <v>14:47</v>
      </c>
      <c r="AA18" s="55" t="str">
        <f>IF('All Tandem Standards Source'!I19&lt;1/24,TEXT('All Tandem Standards Source'!I19,"M:SS"),TEXT('All Tandem Standards Source'!I19,"H:MM:SS"))</f>
        <v>22:14</v>
      </c>
      <c r="AB18" s="55" t="str">
        <f>IF('All Tandem Standards Source'!M19&lt;1/24,TEXT('All Tandem Standards Source'!M19,"M:SS"),TEXT('All Tandem Standards Source'!M19,"H:MM:SS"))</f>
        <v>37:19</v>
      </c>
      <c r="AC18" s="55" t="str">
        <f>IF('All Tandem Standards Source'!Q19&lt;1/24,TEXT('All Tandem Standards Source'!Q19,"M:SS"),TEXT('All Tandem Standards Source'!Q19,"H:MM:SS"))</f>
        <v>44:56</v>
      </c>
      <c r="AD18" s="55" t="str">
        <f>IF('All Tandem Standards Source'!U19&lt;1/24,TEXT('All Tandem Standards Source'!U19,"M:SS"),TEXT('All Tandem Standards Source'!U19,"H:MM:SS"))</f>
        <v>1:15:57</v>
      </c>
      <c r="AE18" s="55" t="str">
        <f>IF('All Tandem Standards Source'!Y19&lt;1/24,TEXT('All Tandem Standards Source'!Y19,"M:SS"),TEXT('All Tandem Standards Source'!Y19,"H:MM:SS"))</f>
        <v>2:37:27</v>
      </c>
      <c r="AF18" s="56" t="str">
        <f>TEXT('All Tandem Standards Source'!AC19,"0.00")</f>
        <v>91.39</v>
      </c>
      <c r="AG18" s="56" t="str">
        <f>TEXT('All Tandem Standards Source'!AG19,"0.00")</f>
        <v>157.84</v>
      </c>
    </row>
    <row r="19" spans="1:33" hidden="1" x14ac:dyDescent="0.25">
      <c r="A19" s="17">
        <v>26</v>
      </c>
      <c r="B19" s="53" t="str">
        <f>IF('All Tandem Standards Source'!B20&lt;1/24,TEXT('All Tandem Standards Source'!B20,"M:SS"),TEXT('All Tandem Standards Source'!B20,"H:MM:SS"))</f>
        <v>12:33</v>
      </c>
      <c r="C19" s="53" t="str">
        <f>IF('All Tandem Standards Source'!F20&lt;1/24,TEXT('All Tandem Standards Source'!F20,"M:SS"),TEXT('All Tandem Standards Source'!F20,"H:MM:SS"))</f>
        <v>18:53</v>
      </c>
      <c r="D19" s="53" t="str">
        <f>IF('All Tandem Standards Source'!J20&lt;1/24,TEXT('All Tandem Standards Source'!J20,"M:SS"),TEXT('All Tandem Standards Source'!J20,"H:MM:SS"))</f>
        <v>31:41</v>
      </c>
      <c r="E19" s="53" t="str">
        <f>IF('All Tandem Standards Source'!N20&lt;1/24,TEXT('All Tandem Standards Source'!N20,"M:SS"),TEXT('All Tandem Standards Source'!N20,"H:MM:SS"))</f>
        <v>38:09</v>
      </c>
      <c r="F19" s="53" t="str">
        <f>IF('All Tandem Standards Source'!R20&lt;1/24,TEXT('All Tandem Standards Source'!R20,"M:SS"),TEXT('All Tandem Standards Source'!R20,"H:MM:SS"))</f>
        <v>1:04:28</v>
      </c>
      <c r="G19" s="53" t="str">
        <f>IF('All Tandem Standards Source'!V20&lt;1/24,TEXT('All Tandem Standards Source'!V20,"M:SS"),TEXT('All Tandem Standards Source'!V20,"H:MM:SS"))</f>
        <v>2:13:39</v>
      </c>
      <c r="H19" s="54" t="str">
        <f>TEXT('All Tandem Standards Source'!Z20,"0.00")</f>
        <v>115.39</v>
      </c>
      <c r="I19" s="54" t="str">
        <f>TEXT('All Tandem Standards Source'!AD20,"0.00")</f>
        <v>191.72</v>
      </c>
      <c r="J19" s="57" t="str">
        <f>IF('All Tandem Standards Source'!C20&lt;1/24,TEXT('All Tandem Standards Source'!C20,"M:SS"),TEXT('All Tandem Standards Source'!C20,"H:MM:SS"))</f>
        <v>13:45</v>
      </c>
      <c r="K19" s="57" t="str">
        <f>IF('All Tandem Standards Source'!G20&lt;1/24,TEXT('All Tandem Standards Source'!G20,"M:SS"),TEXT('All Tandem Standards Source'!G20,"H:MM:SS"))</f>
        <v>20:42</v>
      </c>
      <c r="L19" s="57" t="str">
        <f>IF('All Tandem Standards Source'!K20&lt;1/24,TEXT('All Tandem Standards Source'!K20,"M:SS"),TEXT('All Tandem Standards Source'!K20,"H:MM:SS"))</f>
        <v>34:44</v>
      </c>
      <c r="M19" s="57" t="str">
        <f>IF('All Tandem Standards Source'!O20&lt;1/24,TEXT('All Tandem Standards Source'!O20,"M:SS"),TEXT('All Tandem Standards Source'!O20,"H:MM:SS"))</f>
        <v>41:49</v>
      </c>
      <c r="N19" s="57" t="str">
        <f>IF('All Tandem Standards Source'!S20&lt;1/24,TEXT('All Tandem Standards Source'!S20,"M:SS"),TEXT('All Tandem Standards Source'!S20,"H:MM:SS"))</f>
        <v>1:10:41</v>
      </c>
      <c r="O19" s="57" t="str">
        <f>IF('All Tandem Standards Source'!W20&lt;1/24,TEXT('All Tandem Standards Source'!W20,"M:SS"),TEXT('All Tandem Standards Source'!W20,"H:MM:SS"))</f>
        <v>2:26:32</v>
      </c>
      <c r="P19" s="58" t="str">
        <f>TEXT('All Tandem Standards Source'!AA20,"0.00")</f>
        <v>101.38</v>
      </c>
      <c r="Q19" s="58" t="str">
        <f>TEXT('All Tandem Standards Source'!AE20,"0.00")</f>
        <v>172.19</v>
      </c>
      <c r="R19" s="50" t="str">
        <f>IF('All Tandem Standards Source'!D20&lt;1/24,TEXT('All Tandem Standards Source'!D20,"M:SS"),TEXT('All Tandem Standards Source'!D20,"H:MM:SS"))</f>
        <v>13:27</v>
      </c>
      <c r="S19" s="50" t="str">
        <f>IF('All Tandem Standards Source'!H20&lt;1/24,TEXT('All Tandem Standards Source'!H20,"M:SS"),TEXT('All Tandem Standards Source'!H20,"H:MM:SS"))</f>
        <v>20:15</v>
      </c>
      <c r="T19" s="50" t="str">
        <f>IF('All Tandem Standards Source'!L20&lt;1/24,TEXT('All Tandem Standards Source'!L20,"M:SS"),TEXT('All Tandem Standards Source'!L20,"H:MM:SS"))</f>
        <v>33:59</v>
      </c>
      <c r="U19" s="50" t="str">
        <f>IF('All Tandem Standards Source'!P20&lt;1/24,TEXT('All Tandem Standards Source'!P20,"M:SS"),TEXT('All Tandem Standards Source'!P20,"H:MM:SS"))</f>
        <v>40:55</v>
      </c>
      <c r="V19" s="50" t="str">
        <f>IF('All Tandem Standards Source'!T20&lt;1/24,TEXT('All Tandem Standards Source'!T20,"M:SS"),TEXT('All Tandem Standards Source'!T20,"H:MM:SS"))</f>
        <v>1:09:09</v>
      </c>
      <c r="W19" s="50" t="str">
        <f>IF('All Tandem Standards Source'!X20&lt;1/24,TEXT('All Tandem Standards Source'!X20,"M:SS"),TEXT('All Tandem Standards Source'!X20,"H:MM:SS"))</f>
        <v>2:23:20</v>
      </c>
      <c r="X19" s="51" t="str">
        <f>TEXT('All Tandem Standards Source'!AB20,"0.00")</f>
        <v>104.61</v>
      </c>
      <c r="Y19" s="51" t="str">
        <f>TEXT('All Tandem Standards Source'!AF20,"0.00")</f>
        <v>176.75</v>
      </c>
      <c r="Z19" s="55" t="str">
        <f>IF('All Tandem Standards Source'!E20&lt;1/24,TEXT('All Tandem Standards Source'!E20,"M:SS"),TEXT('All Tandem Standards Source'!E20,"H:MM:SS"))</f>
        <v>14:47</v>
      </c>
      <c r="AA19" s="55" t="str">
        <f>IF('All Tandem Standards Source'!I20&lt;1/24,TEXT('All Tandem Standards Source'!I20,"M:SS"),TEXT('All Tandem Standards Source'!I20,"H:MM:SS"))</f>
        <v>22:14</v>
      </c>
      <c r="AB19" s="55" t="str">
        <f>IF('All Tandem Standards Source'!M20&lt;1/24,TEXT('All Tandem Standards Source'!M20,"M:SS"),TEXT('All Tandem Standards Source'!M20,"H:MM:SS"))</f>
        <v>37:19</v>
      </c>
      <c r="AC19" s="55" t="str">
        <f>IF('All Tandem Standards Source'!Q20&lt;1/24,TEXT('All Tandem Standards Source'!Q20,"M:SS"),TEXT('All Tandem Standards Source'!Q20,"H:MM:SS"))</f>
        <v>44:56</v>
      </c>
      <c r="AD19" s="55" t="str">
        <f>IF('All Tandem Standards Source'!U20&lt;1/24,TEXT('All Tandem Standards Source'!U20,"M:SS"),TEXT('All Tandem Standards Source'!U20,"H:MM:SS"))</f>
        <v>1:15:57</v>
      </c>
      <c r="AE19" s="55" t="str">
        <f>IF('All Tandem Standards Source'!Y20&lt;1/24,TEXT('All Tandem Standards Source'!Y20,"M:SS"),TEXT('All Tandem Standards Source'!Y20,"H:MM:SS"))</f>
        <v>2:37:27</v>
      </c>
      <c r="AF19" s="56" t="str">
        <f>TEXT('All Tandem Standards Source'!AC20,"0.00")</f>
        <v>91.39</v>
      </c>
      <c r="AG19" s="56" t="str">
        <f>TEXT('All Tandem Standards Source'!AG20,"0.00")</f>
        <v>157.84</v>
      </c>
    </row>
    <row r="20" spans="1:33" hidden="1" x14ac:dyDescent="0.25">
      <c r="A20" s="17">
        <v>27</v>
      </c>
      <c r="B20" s="53" t="str">
        <f>IF('All Tandem Standards Source'!B21&lt;1/24,TEXT('All Tandem Standards Source'!B21,"M:SS"),TEXT('All Tandem Standards Source'!B21,"H:MM:SS"))</f>
        <v>12:33</v>
      </c>
      <c r="C20" s="53" t="str">
        <f>IF('All Tandem Standards Source'!F21&lt;1/24,TEXT('All Tandem Standards Source'!F21,"M:SS"),TEXT('All Tandem Standards Source'!F21,"H:MM:SS"))</f>
        <v>18:53</v>
      </c>
      <c r="D20" s="53" t="str">
        <f>IF('All Tandem Standards Source'!J21&lt;1/24,TEXT('All Tandem Standards Source'!J21,"M:SS"),TEXT('All Tandem Standards Source'!J21,"H:MM:SS"))</f>
        <v>31:41</v>
      </c>
      <c r="E20" s="53" t="str">
        <f>IF('All Tandem Standards Source'!N21&lt;1/24,TEXT('All Tandem Standards Source'!N21,"M:SS"),TEXT('All Tandem Standards Source'!N21,"H:MM:SS"))</f>
        <v>38:09</v>
      </c>
      <c r="F20" s="53" t="str">
        <f>IF('All Tandem Standards Source'!R21&lt;1/24,TEXT('All Tandem Standards Source'!R21,"M:SS"),TEXT('All Tandem Standards Source'!R21,"H:MM:SS"))</f>
        <v>1:04:28</v>
      </c>
      <c r="G20" s="53" t="str">
        <f>IF('All Tandem Standards Source'!V21&lt;1/24,TEXT('All Tandem Standards Source'!V21,"M:SS"),TEXT('All Tandem Standards Source'!V21,"H:MM:SS"))</f>
        <v>2:13:39</v>
      </c>
      <c r="H20" s="54" t="str">
        <f>TEXT('All Tandem Standards Source'!Z21,"0.00")</f>
        <v>115.39</v>
      </c>
      <c r="I20" s="54" t="str">
        <f>TEXT('All Tandem Standards Source'!AD21,"0.00")</f>
        <v>191.72</v>
      </c>
      <c r="J20" s="57" t="str">
        <f>IF('All Tandem Standards Source'!C21&lt;1/24,TEXT('All Tandem Standards Source'!C21,"M:SS"),TEXT('All Tandem Standards Source'!C21,"H:MM:SS"))</f>
        <v>13:45</v>
      </c>
      <c r="K20" s="57" t="str">
        <f>IF('All Tandem Standards Source'!G21&lt;1/24,TEXT('All Tandem Standards Source'!G21,"M:SS"),TEXT('All Tandem Standards Source'!G21,"H:MM:SS"))</f>
        <v>20:42</v>
      </c>
      <c r="L20" s="57" t="str">
        <f>IF('All Tandem Standards Source'!K21&lt;1/24,TEXT('All Tandem Standards Source'!K21,"M:SS"),TEXT('All Tandem Standards Source'!K21,"H:MM:SS"))</f>
        <v>34:44</v>
      </c>
      <c r="M20" s="57" t="str">
        <f>IF('All Tandem Standards Source'!O21&lt;1/24,TEXT('All Tandem Standards Source'!O21,"M:SS"),TEXT('All Tandem Standards Source'!O21,"H:MM:SS"))</f>
        <v>41:49</v>
      </c>
      <c r="N20" s="57" t="str">
        <f>IF('All Tandem Standards Source'!S21&lt;1/24,TEXT('All Tandem Standards Source'!S21,"M:SS"),TEXT('All Tandem Standards Source'!S21,"H:MM:SS"))</f>
        <v>1:10:41</v>
      </c>
      <c r="O20" s="57" t="str">
        <f>IF('All Tandem Standards Source'!W21&lt;1/24,TEXT('All Tandem Standards Source'!W21,"M:SS"),TEXT('All Tandem Standards Source'!W21,"H:MM:SS"))</f>
        <v>2:26:32</v>
      </c>
      <c r="P20" s="58" t="str">
        <f>TEXT('All Tandem Standards Source'!AA21,"0.00")</f>
        <v>101.38</v>
      </c>
      <c r="Q20" s="58" t="str">
        <f>TEXT('All Tandem Standards Source'!AE21,"0.00")</f>
        <v>172.19</v>
      </c>
      <c r="R20" s="50" t="str">
        <f>IF('All Tandem Standards Source'!D21&lt;1/24,TEXT('All Tandem Standards Source'!D21,"M:SS"),TEXT('All Tandem Standards Source'!D21,"H:MM:SS"))</f>
        <v>13:27</v>
      </c>
      <c r="S20" s="50" t="str">
        <f>IF('All Tandem Standards Source'!H21&lt;1/24,TEXT('All Tandem Standards Source'!H21,"M:SS"),TEXT('All Tandem Standards Source'!H21,"H:MM:SS"))</f>
        <v>20:15</v>
      </c>
      <c r="T20" s="50" t="str">
        <f>IF('All Tandem Standards Source'!L21&lt;1/24,TEXT('All Tandem Standards Source'!L21,"M:SS"),TEXT('All Tandem Standards Source'!L21,"H:MM:SS"))</f>
        <v>33:59</v>
      </c>
      <c r="U20" s="50" t="str">
        <f>IF('All Tandem Standards Source'!P21&lt;1/24,TEXT('All Tandem Standards Source'!P21,"M:SS"),TEXT('All Tandem Standards Source'!P21,"H:MM:SS"))</f>
        <v>40:55</v>
      </c>
      <c r="V20" s="50" t="str">
        <f>IF('All Tandem Standards Source'!T21&lt;1/24,TEXT('All Tandem Standards Source'!T21,"M:SS"),TEXT('All Tandem Standards Source'!T21,"H:MM:SS"))</f>
        <v>1:09:09</v>
      </c>
      <c r="W20" s="50" t="str">
        <f>IF('All Tandem Standards Source'!X21&lt;1/24,TEXT('All Tandem Standards Source'!X21,"M:SS"),TEXT('All Tandem Standards Source'!X21,"H:MM:SS"))</f>
        <v>2:23:20</v>
      </c>
      <c r="X20" s="51" t="str">
        <f>TEXT('All Tandem Standards Source'!AB21,"0.00")</f>
        <v>104.61</v>
      </c>
      <c r="Y20" s="51" t="str">
        <f>TEXT('All Tandem Standards Source'!AF21,"0.00")</f>
        <v>176.75</v>
      </c>
      <c r="Z20" s="55" t="str">
        <f>IF('All Tandem Standards Source'!E21&lt;1/24,TEXT('All Tandem Standards Source'!E21,"M:SS"),TEXT('All Tandem Standards Source'!E21,"H:MM:SS"))</f>
        <v>14:47</v>
      </c>
      <c r="AA20" s="55" t="str">
        <f>IF('All Tandem Standards Source'!I21&lt;1/24,TEXT('All Tandem Standards Source'!I21,"M:SS"),TEXT('All Tandem Standards Source'!I21,"H:MM:SS"))</f>
        <v>22:14</v>
      </c>
      <c r="AB20" s="55" t="str">
        <f>IF('All Tandem Standards Source'!M21&lt;1/24,TEXT('All Tandem Standards Source'!M21,"M:SS"),TEXT('All Tandem Standards Source'!M21,"H:MM:SS"))</f>
        <v>37:19</v>
      </c>
      <c r="AC20" s="55" t="str">
        <f>IF('All Tandem Standards Source'!Q21&lt;1/24,TEXT('All Tandem Standards Source'!Q21,"M:SS"),TEXT('All Tandem Standards Source'!Q21,"H:MM:SS"))</f>
        <v>44:56</v>
      </c>
      <c r="AD20" s="55" t="str">
        <f>IF('All Tandem Standards Source'!U21&lt;1/24,TEXT('All Tandem Standards Source'!U21,"M:SS"),TEXT('All Tandem Standards Source'!U21,"H:MM:SS"))</f>
        <v>1:15:57</v>
      </c>
      <c r="AE20" s="55" t="str">
        <f>IF('All Tandem Standards Source'!Y21&lt;1/24,TEXT('All Tandem Standards Source'!Y21,"M:SS"),TEXT('All Tandem Standards Source'!Y21,"H:MM:SS"))</f>
        <v>2:37:27</v>
      </c>
      <c r="AF20" s="56" t="str">
        <f>TEXT('All Tandem Standards Source'!AC21,"0.00")</f>
        <v>91.39</v>
      </c>
      <c r="AG20" s="56" t="str">
        <f>TEXT('All Tandem Standards Source'!AG21,"0.00")</f>
        <v>157.84</v>
      </c>
    </row>
    <row r="21" spans="1:33" hidden="1" x14ac:dyDescent="0.25">
      <c r="A21" s="17">
        <v>28</v>
      </c>
      <c r="B21" s="53" t="str">
        <f>IF('All Tandem Standards Source'!B22&lt;1/24,TEXT('All Tandem Standards Source'!B22,"M:SS"),TEXT('All Tandem Standards Source'!B22,"H:MM:SS"))</f>
        <v>12:33</v>
      </c>
      <c r="C21" s="53" t="str">
        <f>IF('All Tandem Standards Source'!F22&lt;1/24,TEXT('All Tandem Standards Source'!F22,"M:SS"),TEXT('All Tandem Standards Source'!F22,"H:MM:SS"))</f>
        <v>18:53</v>
      </c>
      <c r="D21" s="53" t="str">
        <f>IF('All Tandem Standards Source'!J22&lt;1/24,TEXT('All Tandem Standards Source'!J22,"M:SS"),TEXT('All Tandem Standards Source'!J22,"H:MM:SS"))</f>
        <v>31:41</v>
      </c>
      <c r="E21" s="53" t="str">
        <f>IF('All Tandem Standards Source'!N22&lt;1/24,TEXT('All Tandem Standards Source'!N22,"M:SS"),TEXT('All Tandem Standards Source'!N22,"H:MM:SS"))</f>
        <v>38:09</v>
      </c>
      <c r="F21" s="53" t="str">
        <f>IF('All Tandem Standards Source'!R22&lt;1/24,TEXT('All Tandem Standards Source'!R22,"M:SS"),TEXT('All Tandem Standards Source'!R22,"H:MM:SS"))</f>
        <v>1:04:28</v>
      </c>
      <c r="G21" s="53" t="str">
        <f>IF('All Tandem Standards Source'!V22&lt;1/24,TEXT('All Tandem Standards Source'!V22,"M:SS"),TEXT('All Tandem Standards Source'!V22,"H:MM:SS"))</f>
        <v>2:13:39</v>
      </c>
      <c r="H21" s="54" t="str">
        <f>TEXT('All Tandem Standards Source'!Z22,"0.00")</f>
        <v>115.39</v>
      </c>
      <c r="I21" s="54" t="str">
        <f>TEXT('All Tandem Standards Source'!AD22,"0.00")</f>
        <v>191.72</v>
      </c>
      <c r="J21" s="57" t="str">
        <f>IF('All Tandem Standards Source'!C22&lt;1/24,TEXT('All Tandem Standards Source'!C22,"M:SS"),TEXT('All Tandem Standards Source'!C22,"H:MM:SS"))</f>
        <v>13:45</v>
      </c>
      <c r="K21" s="57" t="str">
        <f>IF('All Tandem Standards Source'!G22&lt;1/24,TEXT('All Tandem Standards Source'!G22,"M:SS"),TEXT('All Tandem Standards Source'!G22,"H:MM:SS"))</f>
        <v>20:42</v>
      </c>
      <c r="L21" s="57" t="str">
        <f>IF('All Tandem Standards Source'!K22&lt;1/24,TEXT('All Tandem Standards Source'!K22,"M:SS"),TEXT('All Tandem Standards Source'!K22,"H:MM:SS"))</f>
        <v>34:44</v>
      </c>
      <c r="M21" s="57" t="str">
        <f>IF('All Tandem Standards Source'!O22&lt;1/24,TEXT('All Tandem Standards Source'!O22,"M:SS"),TEXT('All Tandem Standards Source'!O22,"H:MM:SS"))</f>
        <v>41:49</v>
      </c>
      <c r="N21" s="57" t="str">
        <f>IF('All Tandem Standards Source'!S22&lt;1/24,TEXT('All Tandem Standards Source'!S22,"M:SS"),TEXT('All Tandem Standards Source'!S22,"H:MM:SS"))</f>
        <v>1:10:41</v>
      </c>
      <c r="O21" s="57" t="str">
        <f>IF('All Tandem Standards Source'!W22&lt;1/24,TEXT('All Tandem Standards Source'!W22,"M:SS"),TEXT('All Tandem Standards Source'!W22,"H:MM:SS"))</f>
        <v>2:26:32</v>
      </c>
      <c r="P21" s="58" t="str">
        <f>TEXT('All Tandem Standards Source'!AA22,"0.00")</f>
        <v>101.38</v>
      </c>
      <c r="Q21" s="58" t="str">
        <f>TEXT('All Tandem Standards Source'!AE22,"0.00")</f>
        <v>172.19</v>
      </c>
      <c r="R21" s="50" t="str">
        <f>IF('All Tandem Standards Source'!D22&lt;1/24,TEXT('All Tandem Standards Source'!D22,"M:SS"),TEXT('All Tandem Standards Source'!D22,"H:MM:SS"))</f>
        <v>13:27</v>
      </c>
      <c r="S21" s="50" t="str">
        <f>IF('All Tandem Standards Source'!H22&lt;1/24,TEXT('All Tandem Standards Source'!H22,"M:SS"),TEXT('All Tandem Standards Source'!H22,"H:MM:SS"))</f>
        <v>20:15</v>
      </c>
      <c r="T21" s="50" t="str">
        <f>IF('All Tandem Standards Source'!L22&lt;1/24,TEXT('All Tandem Standards Source'!L22,"M:SS"),TEXT('All Tandem Standards Source'!L22,"H:MM:SS"))</f>
        <v>33:59</v>
      </c>
      <c r="U21" s="50" t="str">
        <f>IF('All Tandem Standards Source'!P22&lt;1/24,TEXT('All Tandem Standards Source'!P22,"M:SS"),TEXT('All Tandem Standards Source'!P22,"H:MM:SS"))</f>
        <v>40:55</v>
      </c>
      <c r="V21" s="50" t="str">
        <f>IF('All Tandem Standards Source'!T22&lt;1/24,TEXT('All Tandem Standards Source'!T22,"M:SS"),TEXT('All Tandem Standards Source'!T22,"H:MM:SS"))</f>
        <v>1:09:09</v>
      </c>
      <c r="W21" s="50" t="str">
        <f>IF('All Tandem Standards Source'!X22&lt;1/24,TEXT('All Tandem Standards Source'!X22,"M:SS"),TEXT('All Tandem Standards Source'!X22,"H:MM:SS"))</f>
        <v>2:23:20</v>
      </c>
      <c r="X21" s="51" t="str">
        <f>TEXT('All Tandem Standards Source'!AB22,"0.00")</f>
        <v>104.61</v>
      </c>
      <c r="Y21" s="51" t="str">
        <f>TEXT('All Tandem Standards Source'!AF22,"0.00")</f>
        <v>176.75</v>
      </c>
      <c r="Z21" s="55" t="str">
        <f>IF('All Tandem Standards Source'!E22&lt;1/24,TEXT('All Tandem Standards Source'!E22,"M:SS"),TEXT('All Tandem Standards Source'!E22,"H:MM:SS"))</f>
        <v>14:47</v>
      </c>
      <c r="AA21" s="55" t="str">
        <f>IF('All Tandem Standards Source'!I22&lt;1/24,TEXT('All Tandem Standards Source'!I22,"M:SS"),TEXT('All Tandem Standards Source'!I22,"H:MM:SS"))</f>
        <v>22:14</v>
      </c>
      <c r="AB21" s="55" t="str">
        <f>IF('All Tandem Standards Source'!M22&lt;1/24,TEXT('All Tandem Standards Source'!M22,"M:SS"),TEXT('All Tandem Standards Source'!M22,"H:MM:SS"))</f>
        <v>37:19</v>
      </c>
      <c r="AC21" s="55" t="str">
        <f>IF('All Tandem Standards Source'!Q22&lt;1/24,TEXT('All Tandem Standards Source'!Q22,"M:SS"),TEXT('All Tandem Standards Source'!Q22,"H:MM:SS"))</f>
        <v>44:56</v>
      </c>
      <c r="AD21" s="55" t="str">
        <f>IF('All Tandem Standards Source'!U22&lt;1/24,TEXT('All Tandem Standards Source'!U22,"M:SS"),TEXT('All Tandem Standards Source'!U22,"H:MM:SS"))</f>
        <v>1:15:57</v>
      </c>
      <c r="AE21" s="55" t="str">
        <f>IF('All Tandem Standards Source'!Y22&lt;1/24,TEXT('All Tandem Standards Source'!Y22,"M:SS"),TEXT('All Tandem Standards Source'!Y22,"H:MM:SS"))</f>
        <v>2:37:27</v>
      </c>
      <c r="AF21" s="56" t="str">
        <f>TEXT('All Tandem Standards Source'!AC22,"0.00")</f>
        <v>91.39</v>
      </c>
      <c r="AG21" s="56" t="str">
        <f>TEXT('All Tandem Standards Source'!AG22,"0.00")</f>
        <v>157.84</v>
      </c>
    </row>
    <row r="22" spans="1:33" hidden="1" x14ac:dyDescent="0.25">
      <c r="A22" s="17">
        <v>29</v>
      </c>
      <c r="B22" s="53" t="str">
        <f>IF('All Tandem Standards Source'!B23&lt;1/24,TEXT('All Tandem Standards Source'!B23,"M:SS"),TEXT('All Tandem Standards Source'!B23,"H:MM:SS"))</f>
        <v>12:33</v>
      </c>
      <c r="C22" s="53" t="str">
        <f>IF('All Tandem Standards Source'!F23&lt;1/24,TEXT('All Tandem Standards Source'!F23,"M:SS"),TEXT('All Tandem Standards Source'!F23,"H:MM:SS"))</f>
        <v>18:53</v>
      </c>
      <c r="D22" s="53" t="str">
        <f>IF('All Tandem Standards Source'!J23&lt;1/24,TEXT('All Tandem Standards Source'!J23,"M:SS"),TEXT('All Tandem Standards Source'!J23,"H:MM:SS"))</f>
        <v>31:41</v>
      </c>
      <c r="E22" s="53" t="str">
        <f>IF('All Tandem Standards Source'!N23&lt;1/24,TEXT('All Tandem Standards Source'!N23,"M:SS"),TEXT('All Tandem Standards Source'!N23,"H:MM:SS"))</f>
        <v>38:09</v>
      </c>
      <c r="F22" s="53" t="str">
        <f>IF('All Tandem Standards Source'!R23&lt;1/24,TEXT('All Tandem Standards Source'!R23,"M:SS"),TEXT('All Tandem Standards Source'!R23,"H:MM:SS"))</f>
        <v>1:04:28</v>
      </c>
      <c r="G22" s="53" t="str">
        <f>IF('All Tandem Standards Source'!V23&lt;1/24,TEXT('All Tandem Standards Source'!V23,"M:SS"),TEXT('All Tandem Standards Source'!V23,"H:MM:SS"))</f>
        <v>2:13:39</v>
      </c>
      <c r="H22" s="54" t="str">
        <f>TEXT('All Tandem Standards Source'!Z23,"0.00")</f>
        <v>115.39</v>
      </c>
      <c r="I22" s="54" t="str">
        <f>TEXT('All Tandem Standards Source'!AD23,"0.00")</f>
        <v>191.72</v>
      </c>
      <c r="J22" s="57" t="str">
        <f>IF('All Tandem Standards Source'!C23&lt;1/24,TEXT('All Tandem Standards Source'!C23,"M:SS"),TEXT('All Tandem Standards Source'!C23,"H:MM:SS"))</f>
        <v>13:45</v>
      </c>
      <c r="K22" s="57" t="str">
        <f>IF('All Tandem Standards Source'!G23&lt;1/24,TEXT('All Tandem Standards Source'!G23,"M:SS"),TEXT('All Tandem Standards Source'!G23,"H:MM:SS"))</f>
        <v>20:42</v>
      </c>
      <c r="L22" s="57" t="str">
        <f>IF('All Tandem Standards Source'!K23&lt;1/24,TEXT('All Tandem Standards Source'!K23,"M:SS"),TEXT('All Tandem Standards Source'!K23,"H:MM:SS"))</f>
        <v>34:44</v>
      </c>
      <c r="M22" s="57" t="str">
        <f>IF('All Tandem Standards Source'!O23&lt;1/24,TEXT('All Tandem Standards Source'!O23,"M:SS"),TEXT('All Tandem Standards Source'!O23,"H:MM:SS"))</f>
        <v>41:49</v>
      </c>
      <c r="N22" s="57" t="str">
        <f>IF('All Tandem Standards Source'!S23&lt;1/24,TEXT('All Tandem Standards Source'!S23,"M:SS"),TEXT('All Tandem Standards Source'!S23,"H:MM:SS"))</f>
        <v>1:10:41</v>
      </c>
      <c r="O22" s="57" t="str">
        <f>IF('All Tandem Standards Source'!W23&lt;1/24,TEXT('All Tandem Standards Source'!W23,"M:SS"),TEXT('All Tandem Standards Source'!W23,"H:MM:SS"))</f>
        <v>2:26:32</v>
      </c>
      <c r="P22" s="58" t="str">
        <f>TEXT('All Tandem Standards Source'!AA23,"0.00")</f>
        <v>101.38</v>
      </c>
      <c r="Q22" s="58" t="str">
        <f>TEXT('All Tandem Standards Source'!AE23,"0.00")</f>
        <v>172.19</v>
      </c>
      <c r="R22" s="50" t="str">
        <f>IF('All Tandem Standards Source'!D23&lt;1/24,TEXT('All Tandem Standards Source'!D23,"M:SS"),TEXT('All Tandem Standards Source'!D23,"H:MM:SS"))</f>
        <v>13:27</v>
      </c>
      <c r="S22" s="50" t="str">
        <f>IF('All Tandem Standards Source'!H23&lt;1/24,TEXT('All Tandem Standards Source'!H23,"M:SS"),TEXT('All Tandem Standards Source'!H23,"H:MM:SS"))</f>
        <v>20:15</v>
      </c>
      <c r="T22" s="50" t="str">
        <f>IF('All Tandem Standards Source'!L23&lt;1/24,TEXT('All Tandem Standards Source'!L23,"M:SS"),TEXT('All Tandem Standards Source'!L23,"H:MM:SS"))</f>
        <v>33:59</v>
      </c>
      <c r="U22" s="50" t="str">
        <f>IF('All Tandem Standards Source'!P23&lt;1/24,TEXT('All Tandem Standards Source'!P23,"M:SS"),TEXT('All Tandem Standards Source'!P23,"H:MM:SS"))</f>
        <v>40:55</v>
      </c>
      <c r="V22" s="50" t="str">
        <f>IF('All Tandem Standards Source'!T23&lt;1/24,TEXT('All Tandem Standards Source'!T23,"M:SS"),TEXT('All Tandem Standards Source'!T23,"H:MM:SS"))</f>
        <v>1:09:09</v>
      </c>
      <c r="W22" s="50" t="str">
        <f>IF('All Tandem Standards Source'!X23&lt;1/24,TEXT('All Tandem Standards Source'!X23,"M:SS"),TEXT('All Tandem Standards Source'!X23,"H:MM:SS"))</f>
        <v>2:23:20</v>
      </c>
      <c r="X22" s="51" t="str">
        <f>TEXT('All Tandem Standards Source'!AB23,"0.00")</f>
        <v>104.61</v>
      </c>
      <c r="Y22" s="51" t="str">
        <f>TEXT('All Tandem Standards Source'!AF23,"0.00")</f>
        <v>176.75</v>
      </c>
      <c r="Z22" s="55" t="str">
        <f>IF('All Tandem Standards Source'!E23&lt;1/24,TEXT('All Tandem Standards Source'!E23,"M:SS"),TEXT('All Tandem Standards Source'!E23,"H:MM:SS"))</f>
        <v>14:47</v>
      </c>
      <c r="AA22" s="55" t="str">
        <f>IF('All Tandem Standards Source'!I23&lt;1/24,TEXT('All Tandem Standards Source'!I23,"M:SS"),TEXT('All Tandem Standards Source'!I23,"H:MM:SS"))</f>
        <v>22:14</v>
      </c>
      <c r="AB22" s="55" t="str">
        <f>IF('All Tandem Standards Source'!M23&lt;1/24,TEXT('All Tandem Standards Source'!M23,"M:SS"),TEXT('All Tandem Standards Source'!M23,"H:MM:SS"))</f>
        <v>37:19</v>
      </c>
      <c r="AC22" s="55" t="str">
        <f>IF('All Tandem Standards Source'!Q23&lt;1/24,TEXT('All Tandem Standards Source'!Q23,"M:SS"),TEXT('All Tandem Standards Source'!Q23,"H:MM:SS"))</f>
        <v>44:56</v>
      </c>
      <c r="AD22" s="55" t="str">
        <f>IF('All Tandem Standards Source'!U23&lt;1/24,TEXT('All Tandem Standards Source'!U23,"M:SS"),TEXT('All Tandem Standards Source'!U23,"H:MM:SS"))</f>
        <v>1:15:57</v>
      </c>
      <c r="AE22" s="55" t="str">
        <f>IF('All Tandem Standards Source'!Y23&lt;1/24,TEXT('All Tandem Standards Source'!Y23,"M:SS"),TEXT('All Tandem Standards Source'!Y23,"H:MM:SS"))</f>
        <v>2:37:27</v>
      </c>
      <c r="AF22" s="56" t="str">
        <f>TEXT('All Tandem Standards Source'!AC23,"0.00")</f>
        <v>91.39</v>
      </c>
      <c r="AG22" s="56" t="str">
        <f>TEXT('All Tandem Standards Source'!AG23,"0.00")</f>
        <v>157.84</v>
      </c>
    </row>
    <row r="23" spans="1:33" hidden="1" x14ac:dyDescent="0.25">
      <c r="A23" s="17">
        <v>30</v>
      </c>
      <c r="B23" s="53" t="str">
        <f>IF('All Tandem Standards Source'!B24&lt;1/24,TEXT('All Tandem Standards Source'!B24,"M:SS"),TEXT('All Tandem Standards Source'!B24,"H:MM:SS"))</f>
        <v>12:33</v>
      </c>
      <c r="C23" s="53" t="str">
        <f>IF('All Tandem Standards Source'!F24&lt;1/24,TEXT('All Tandem Standards Source'!F24,"M:SS"),TEXT('All Tandem Standards Source'!F24,"H:MM:SS"))</f>
        <v>18:53</v>
      </c>
      <c r="D23" s="53" t="str">
        <f>IF('All Tandem Standards Source'!J24&lt;1/24,TEXT('All Tandem Standards Source'!J24,"M:SS"),TEXT('All Tandem Standards Source'!J24,"H:MM:SS"))</f>
        <v>31:41</v>
      </c>
      <c r="E23" s="53" t="str">
        <f>IF('All Tandem Standards Source'!N24&lt;1/24,TEXT('All Tandem Standards Source'!N24,"M:SS"),TEXT('All Tandem Standards Source'!N24,"H:MM:SS"))</f>
        <v>38:09</v>
      </c>
      <c r="F23" s="53" t="str">
        <f>IF('All Tandem Standards Source'!R24&lt;1/24,TEXT('All Tandem Standards Source'!R24,"M:SS"),TEXT('All Tandem Standards Source'!R24,"H:MM:SS"))</f>
        <v>1:04:28</v>
      </c>
      <c r="G23" s="53" t="str">
        <f>IF('All Tandem Standards Source'!V24&lt;1/24,TEXT('All Tandem Standards Source'!V24,"M:SS"),TEXT('All Tandem Standards Source'!V24,"H:MM:SS"))</f>
        <v>2:13:39</v>
      </c>
      <c r="H23" s="54" t="str">
        <f>TEXT('All Tandem Standards Source'!Z24,"0.00")</f>
        <v>115.39</v>
      </c>
      <c r="I23" s="54" t="str">
        <f>TEXT('All Tandem Standards Source'!AD24,"0.00")</f>
        <v>191.72</v>
      </c>
      <c r="J23" s="57" t="str">
        <f>IF('All Tandem Standards Source'!C24&lt;1/24,TEXT('All Tandem Standards Source'!C24,"M:SS"),TEXT('All Tandem Standards Source'!C24,"H:MM:SS"))</f>
        <v>13:45</v>
      </c>
      <c r="K23" s="57" t="str">
        <f>IF('All Tandem Standards Source'!G24&lt;1/24,TEXT('All Tandem Standards Source'!G24,"M:SS"),TEXT('All Tandem Standards Source'!G24,"H:MM:SS"))</f>
        <v>20:42</v>
      </c>
      <c r="L23" s="57" t="str">
        <f>IF('All Tandem Standards Source'!K24&lt;1/24,TEXT('All Tandem Standards Source'!K24,"M:SS"),TEXT('All Tandem Standards Source'!K24,"H:MM:SS"))</f>
        <v>34:44</v>
      </c>
      <c r="M23" s="57" t="str">
        <f>IF('All Tandem Standards Source'!O24&lt;1/24,TEXT('All Tandem Standards Source'!O24,"M:SS"),TEXT('All Tandem Standards Source'!O24,"H:MM:SS"))</f>
        <v>41:49</v>
      </c>
      <c r="N23" s="57" t="str">
        <f>IF('All Tandem Standards Source'!S24&lt;1/24,TEXT('All Tandem Standards Source'!S24,"M:SS"),TEXT('All Tandem Standards Source'!S24,"H:MM:SS"))</f>
        <v>1:10:41</v>
      </c>
      <c r="O23" s="57" t="str">
        <f>IF('All Tandem Standards Source'!W24&lt;1/24,TEXT('All Tandem Standards Source'!W24,"M:SS"),TEXT('All Tandem Standards Source'!W24,"H:MM:SS"))</f>
        <v>2:26:32</v>
      </c>
      <c r="P23" s="58" t="str">
        <f>TEXT('All Tandem Standards Source'!AA24,"0.00")</f>
        <v>101.38</v>
      </c>
      <c r="Q23" s="58" t="str">
        <f>TEXT('All Tandem Standards Source'!AE24,"0.00")</f>
        <v>172.19</v>
      </c>
      <c r="R23" s="50" t="str">
        <f>IF('All Tandem Standards Source'!D24&lt;1/24,TEXT('All Tandem Standards Source'!D24,"M:SS"),TEXT('All Tandem Standards Source'!D24,"H:MM:SS"))</f>
        <v>13:27</v>
      </c>
      <c r="S23" s="50" t="str">
        <f>IF('All Tandem Standards Source'!H24&lt;1/24,TEXT('All Tandem Standards Source'!H24,"M:SS"),TEXT('All Tandem Standards Source'!H24,"H:MM:SS"))</f>
        <v>20:15</v>
      </c>
      <c r="T23" s="50" t="str">
        <f>IF('All Tandem Standards Source'!L24&lt;1/24,TEXT('All Tandem Standards Source'!L24,"M:SS"),TEXT('All Tandem Standards Source'!L24,"H:MM:SS"))</f>
        <v>33:59</v>
      </c>
      <c r="U23" s="50" t="str">
        <f>IF('All Tandem Standards Source'!P24&lt;1/24,TEXT('All Tandem Standards Source'!P24,"M:SS"),TEXT('All Tandem Standards Source'!P24,"H:MM:SS"))</f>
        <v>40:55</v>
      </c>
      <c r="V23" s="50" t="str">
        <f>IF('All Tandem Standards Source'!T24&lt;1/24,TEXT('All Tandem Standards Source'!T24,"M:SS"),TEXT('All Tandem Standards Source'!T24,"H:MM:SS"))</f>
        <v>1:09:09</v>
      </c>
      <c r="W23" s="50" t="str">
        <f>IF('All Tandem Standards Source'!X24&lt;1/24,TEXT('All Tandem Standards Source'!X24,"M:SS"),TEXT('All Tandem Standards Source'!X24,"H:MM:SS"))</f>
        <v>2:23:20</v>
      </c>
      <c r="X23" s="51" t="str">
        <f>TEXT('All Tandem Standards Source'!AB24,"0.00")</f>
        <v>104.61</v>
      </c>
      <c r="Y23" s="51" t="str">
        <f>TEXT('All Tandem Standards Source'!AF24,"0.00")</f>
        <v>176.75</v>
      </c>
      <c r="Z23" s="55" t="str">
        <f>IF('All Tandem Standards Source'!E24&lt;1/24,TEXT('All Tandem Standards Source'!E24,"M:SS"),TEXT('All Tandem Standards Source'!E24,"H:MM:SS"))</f>
        <v>14:47</v>
      </c>
      <c r="AA23" s="55" t="str">
        <f>IF('All Tandem Standards Source'!I24&lt;1/24,TEXT('All Tandem Standards Source'!I24,"M:SS"),TEXT('All Tandem Standards Source'!I24,"H:MM:SS"))</f>
        <v>22:14</v>
      </c>
      <c r="AB23" s="55" t="str">
        <f>IF('All Tandem Standards Source'!M24&lt;1/24,TEXT('All Tandem Standards Source'!M24,"M:SS"),TEXT('All Tandem Standards Source'!M24,"H:MM:SS"))</f>
        <v>37:19</v>
      </c>
      <c r="AC23" s="55" t="str">
        <f>IF('All Tandem Standards Source'!Q24&lt;1/24,TEXT('All Tandem Standards Source'!Q24,"M:SS"),TEXT('All Tandem Standards Source'!Q24,"H:MM:SS"))</f>
        <v>44:56</v>
      </c>
      <c r="AD23" s="55" t="str">
        <f>IF('All Tandem Standards Source'!U24&lt;1/24,TEXT('All Tandem Standards Source'!U24,"M:SS"),TEXT('All Tandem Standards Source'!U24,"H:MM:SS"))</f>
        <v>1:15:57</v>
      </c>
      <c r="AE23" s="55" t="str">
        <f>IF('All Tandem Standards Source'!Y24&lt;1/24,TEXT('All Tandem Standards Source'!Y24,"M:SS"),TEXT('All Tandem Standards Source'!Y24,"H:MM:SS"))</f>
        <v>2:37:27</v>
      </c>
      <c r="AF23" s="56" t="str">
        <f>TEXT('All Tandem Standards Source'!AC24,"0.00")</f>
        <v>91.39</v>
      </c>
      <c r="AG23" s="56" t="str">
        <f>TEXT('All Tandem Standards Source'!AG24,"0.00")</f>
        <v>157.84</v>
      </c>
    </row>
    <row r="24" spans="1:33" hidden="1" x14ac:dyDescent="0.25">
      <c r="A24" s="17">
        <v>31</v>
      </c>
      <c r="B24" s="53" t="str">
        <f>IF('All Tandem Standards Source'!B25&lt;1/24,TEXT('All Tandem Standards Source'!B25,"M:SS"),TEXT('All Tandem Standards Source'!B25,"H:MM:SS"))</f>
        <v>12:33</v>
      </c>
      <c r="C24" s="53" t="str">
        <f>IF('All Tandem Standards Source'!F25&lt;1/24,TEXT('All Tandem Standards Source'!F25,"M:SS"),TEXT('All Tandem Standards Source'!F25,"H:MM:SS"))</f>
        <v>18:53</v>
      </c>
      <c r="D24" s="53" t="str">
        <f>IF('All Tandem Standards Source'!J25&lt;1/24,TEXT('All Tandem Standards Source'!J25,"M:SS"),TEXT('All Tandem Standards Source'!J25,"H:MM:SS"))</f>
        <v>31:41</v>
      </c>
      <c r="E24" s="53" t="str">
        <f>IF('All Tandem Standards Source'!N25&lt;1/24,TEXT('All Tandem Standards Source'!N25,"M:SS"),TEXT('All Tandem Standards Source'!N25,"H:MM:SS"))</f>
        <v>38:09</v>
      </c>
      <c r="F24" s="53" t="str">
        <f>IF('All Tandem Standards Source'!R25&lt;1/24,TEXT('All Tandem Standards Source'!R25,"M:SS"),TEXT('All Tandem Standards Source'!R25,"H:MM:SS"))</f>
        <v>1:04:28</v>
      </c>
      <c r="G24" s="53" t="str">
        <f>IF('All Tandem Standards Source'!V25&lt;1/24,TEXT('All Tandem Standards Source'!V25,"M:SS"),TEXT('All Tandem Standards Source'!V25,"H:MM:SS"))</f>
        <v>2:13:39</v>
      </c>
      <c r="H24" s="54" t="str">
        <f>TEXT('All Tandem Standards Source'!Z25,"0.00")</f>
        <v>115.39</v>
      </c>
      <c r="I24" s="54" t="str">
        <f>TEXT('All Tandem Standards Source'!AD25,"0.00")</f>
        <v>191.72</v>
      </c>
      <c r="J24" s="57" t="str">
        <f>IF('All Tandem Standards Source'!C25&lt;1/24,TEXT('All Tandem Standards Source'!C25,"M:SS"),TEXT('All Tandem Standards Source'!C25,"H:MM:SS"))</f>
        <v>13:45</v>
      </c>
      <c r="K24" s="57" t="str">
        <f>IF('All Tandem Standards Source'!G25&lt;1/24,TEXT('All Tandem Standards Source'!G25,"M:SS"),TEXT('All Tandem Standards Source'!G25,"H:MM:SS"))</f>
        <v>20:42</v>
      </c>
      <c r="L24" s="57" t="str">
        <f>IF('All Tandem Standards Source'!K25&lt;1/24,TEXT('All Tandem Standards Source'!K25,"M:SS"),TEXT('All Tandem Standards Source'!K25,"H:MM:SS"))</f>
        <v>34:44</v>
      </c>
      <c r="M24" s="57" t="str">
        <f>IF('All Tandem Standards Source'!O25&lt;1/24,TEXT('All Tandem Standards Source'!O25,"M:SS"),TEXT('All Tandem Standards Source'!O25,"H:MM:SS"))</f>
        <v>41:49</v>
      </c>
      <c r="N24" s="57" t="str">
        <f>IF('All Tandem Standards Source'!S25&lt;1/24,TEXT('All Tandem Standards Source'!S25,"M:SS"),TEXT('All Tandem Standards Source'!S25,"H:MM:SS"))</f>
        <v>1:10:41</v>
      </c>
      <c r="O24" s="57" t="str">
        <f>IF('All Tandem Standards Source'!W25&lt;1/24,TEXT('All Tandem Standards Source'!W25,"M:SS"),TEXT('All Tandem Standards Source'!W25,"H:MM:SS"))</f>
        <v>2:26:32</v>
      </c>
      <c r="P24" s="58" t="str">
        <f>TEXT('All Tandem Standards Source'!AA25,"0.00")</f>
        <v>101.38</v>
      </c>
      <c r="Q24" s="58" t="str">
        <f>TEXT('All Tandem Standards Source'!AE25,"0.00")</f>
        <v>172.19</v>
      </c>
      <c r="R24" s="50" t="str">
        <f>IF('All Tandem Standards Source'!D25&lt;1/24,TEXT('All Tandem Standards Source'!D25,"M:SS"),TEXT('All Tandem Standards Source'!D25,"H:MM:SS"))</f>
        <v>13:27</v>
      </c>
      <c r="S24" s="50" t="str">
        <f>IF('All Tandem Standards Source'!H25&lt;1/24,TEXT('All Tandem Standards Source'!H25,"M:SS"),TEXT('All Tandem Standards Source'!H25,"H:MM:SS"))</f>
        <v>20:15</v>
      </c>
      <c r="T24" s="50" t="str">
        <f>IF('All Tandem Standards Source'!L25&lt;1/24,TEXT('All Tandem Standards Source'!L25,"M:SS"),TEXT('All Tandem Standards Source'!L25,"H:MM:SS"))</f>
        <v>33:59</v>
      </c>
      <c r="U24" s="50" t="str">
        <f>IF('All Tandem Standards Source'!P25&lt;1/24,TEXT('All Tandem Standards Source'!P25,"M:SS"),TEXT('All Tandem Standards Source'!P25,"H:MM:SS"))</f>
        <v>40:55</v>
      </c>
      <c r="V24" s="50" t="str">
        <f>IF('All Tandem Standards Source'!T25&lt;1/24,TEXT('All Tandem Standards Source'!T25,"M:SS"),TEXT('All Tandem Standards Source'!T25,"H:MM:SS"))</f>
        <v>1:09:09</v>
      </c>
      <c r="W24" s="50" t="str">
        <f>IF('All Tandem Standards Source'!X25&lt;1/24,TEXT('All Tandem Standards Source'!X25,"M:SS"),TEXT('All Tandem Standards Source'!X25,"H:MM:SS"))</f>
        <v>2:23:20</v>
      </c>
      <c r="X24" s="51" t="str">
        <f>TEXT('All Tandem Standards Source'!AB25,"0.00")</f>
        <v>104.61</v>
      </c>
      <c r="Y24" s="51" t="str">
        <f>TEXT('All Tandem Standards Source'!AF25,"0.00")</f>
        <v>176.75</v>
      </c>
      <c r="Z24" s="55" t="str">
        <f>IF('All Tandem Standards Source'!E25&lt;1/24,TEXT('All Tandem Standards Source'!E25,"M:SS"),TEXT('All Tandem Standards Source'!E25,"H:MM:SS"))</f>
        <v>14:47</v>
      </c>
      <c r="AA24" s="55" t="str">
        <f>IF('All Tandem Standards Source'!I25&lt;1/24,TEXT('All Tandem Standards Source'!I25,"M:SS"),TEXT('All Tandem Standards Source'!I25,"H:MM:SS"))</f>
        <v>22:14</v>
      </c>
      <c r="AB24" s="55" t="str">
        <f>IF('All Tandem Standards Source'!M25&lt;1/24,TEXT('All Tandem Standards Source'!M25,"M:SS"),TEXT('All Tandem Standards Source'!M25,"H:MM:SS"))</f>
        <v>37:19</v>
      </c>
      <c r="AC24" s="55" t="str">
        <f>IF('All Tandem Standards Source'!Q25&lt;1/24,TEXT('All Tandem Standards Source'!Q25,"M:SS"),TEXT('All Tandem Standards Source'!Q25,"H:MM:SS"))</f>
        <v>44:56</v>
      </c>
      <c r="AD24" s="55" t="str">
        <f>IF('All Tandem Standards Source'!U25&lt;1/24,TEXT('All Tandem Standards Source'!U25,"M:SS"),TEXT('All Tandem Standards Source'!U25,"H:MM:SS"))</f>
        <v>1:15:57</v>
      </c>
      <c r="AE24" s="55" t="str">
        <f>IF('All Tandem Standards Source'!Y25&lt;1/24,TEXT('All Tandem Standards Source'!Y25,"M:SS"),TEXT('All Tandem Standards Source'!Y25,"H:MM:SS"))</f>
        <v>2:37:27</v>
      </c>
      <c r="AF24" s="56" t="str">
        <f>TEXT('All Tandem Standards Source'!AC25,"0.00")</f>
        <v>91.39</v>
      </c>
      <c r="AG24" s="56" t="str">
        <f>TEXT('All Tandem Standards Source'!AG25,"0.00")</f>
        <v>157.84</v>
      </c>
    </row>
    <row r="25" spans="1:33" hidden="1" x14ac:dyDescent="0.25">
      <c r="A25" s="17">
        <v>32</v>
      </c>
      <c r="B25" s="53" t="str">
        <f>IF('All Tandem Standards Source'!B26&lt;1/24,TEXT('All Tandem Standards Source'!B26,"M:SS"),TEXT('All Tandem Standards Source'!B26,"H:MM:SS"))</f>
        <v>12:33</v>
      </c>
      <c r="C25" s="53" t="str">
        <f>IF('All Tandem Standards Source'!F26&lt;1/24,TEXT('All Tandem Standards Source'!F26,"M:SS"),TEXT('All Tandem Standards Source'!F26,"H:MM:SS"))</f>
        <v>18:53</v>
      </c>
      <c r="D25" s="53" t="str">
        <f>IF('All Tandem Standards Source'!J26&lt;1/24,TEXT('All Tandem Standards Source'!J26,"M:SS"),TEXT('All Tandem Standards Source'!J26,"H:MM:SS"))</f>
        <v>31:41</v>
      </c>
      <c r="E25" s="53" t="str">
        <f>IF('All Tandem Standards Source'!N26&lt;1/24,TEXT('All Tandem Standards Source'!N26,"M:SS"),TEXT('All Tandem Standards Source'!N26,"H:MM:SS"))</f>
        <v>38:09</v>
      </c>
      <c r="F25" s="53" t="str">
        <f>IF('All Tandem Standards Source'!R26&lt;1/24,TEXT('All Tandem Standards Source'!R26,"M:SS"),TEXT('All Tandem Standards Source'!R26,"H:MM:SS"))</f>
        <v>1:04:28</v>
      </c>
      <c r="G25" s="53" t="str">
        <f>IF('All Tandem Standards Source'!V26&lt;1/24,TEXT('All Tandem Standards Source'!V26,"M:SS"),TEXT('All Tandem Standards Source'!V26,"H:MM:SS"))</f>
        <v>2:13:39</v>
      </c>
      <c r="H25" s="54" t="str">
        <f>TEXT('All Tandem Standards Source'!Z26,"0.00")</f>
        <v>115.39</v>
      </c>
      <c r="I25" s="54" t="str">
        <f>TEXT('All Tandem Standards Source'!AD26,"0.00")</f>
        <v>191.72</v>
      </c>
      <c r="J25" s="57" t="str">
        <f>IF('All Tandem Standards Source'!C26&lt;1/24,TEXT('All Tandem Standards Source'!C26,"M:SS"),TEXT('All Tandem Standards Source'!C26,"H:MM:SS"))</f>
        <v>13:45</v>
      </c>
      <c r="K25" s="57" t="str">
        <f>IF('All Tandem Standards Source'!G26&lt;1/24,TEXT('All Tandem Standards Source'!G26,"M:SS"),TEXT('All Tandem Standards Source'!G26,"H:MM:SS"))</f>
        <v>20:42</v>
      </c>
      <c r="L25" s="57" t="str">
        <f>IF('All Tandem Standards Source'!K26&lt;1/24,TEXT('All Tandem Standards Source'!K26,"M:SS"),TEXT('All Tandem Standards Source'!K26,"H:MM:SS"))</f>
        <v>34:44</v>
      </c>
      <c r="M25" s="57" t="str">
        <f>IF('All Tandem Standards Source'!O26&lt;1/24,TEXT('All Tandem Standards Source'!O26,"M:SS"),TEXT('All Tandem Standards Source'!O26,"H:MM:SS"))</f>
        <v>41:49</v>
      </c>
      <c r="N25" s="57" t="str">
        <f>IF('All Tandem Standards Source'!S26&lt;1/24,TEXT('All Tandem Standards Source'!S26,"M:SS"),TEXT('All Tandem Standards Source'!S26,"H:MM:SS"))</f>
        <v>1:10:41</v>
      </c>
      <c r="O25" s="57" t="str">
        <f>IF('All Tandem Standards Source'!W26&lt;1/24,TEXT('All Tandem Standards Source'!W26,"M:SS"),TEXT('All Tandem Standards Source'!W26,"H:MM:SS"))</f>
        <v>2:26:32</v>
      </c>
      <c r="P25" s="58" t="str">
        <f>TEXT('All Tandem Standards Source'!AA26,"0.00")</f>
        <v>101.38</v>
      </c>
      <c r="Q25" s="58" t="str">
        <f>TEXT('All Tandem Standards Source'!AE26,"0.00")</f>
        <v>172.19</v>
      </c>
      <c r="R25" s="50" t="str">
        <f>IF('All Tandem Standards Source'!D26&lt;1/24,TEXT('All Tandem Standards Source'!D26,"M:SS"),TEXT('All Tandem Standards Source'!D26,"H:MM:SS"))</f>
        <v>13:27</v>
      </c>
      <c r="S25" s="50" t="str">
        <f>IF('All Tandem Standards Source'!H26&lt;1/24,TEXT('All Tandem Standards Source'!H26,"M:SS"),TEXT('All Tandem Standards Source'!H26,"H:MM:SS"))</f>
        <v>20:15</v>
      </c>
      <c r="T25" s="50" t="str">
        <f>IF('All Tandem Standards Source'!L26&lt;1/24,TEXT('All Tandem Standards Source'!L26,"M:SS"),TEXT('All Tandem Standards Source'!L26,"H:MM:SS"))</f>
        <v>33:59</v>
      </c>
      <c r="U25" s="50" t="str">
        <f>IF('All Tandem Standards Source'!P26&lt;1/24,TEXT('All Tandem Standards Source'!P26,"M:SS"),TEXT('All Tandem Standards Source'!P26,"H:MM:SS"))</f>
        <v>40:55</v>
      </c>
      <c r="V25" s="50" t="str">
        <f>IF('All Tandem Standards Source'!T26&lt;1/24,TEXT('All Tandem Standards Source'!T26,"M:SS"),TEXT('All Tandem Standards Source'!T26,"H:MM:SS"))</f>
        <v>1:09:09</v>
      </c>
      <c r="W25" s="50" t="str">
        <f>IF('All Tandem Standards Source'!X26&lt;1/24,TEXT('All Tandem Standards Source'!X26,"M:SS"),TEXT('All Tandem Standards Source'!X26,"H:MM:SS"))</f>
        <v>2:23:20</v>
      </c>
      <c r="X25" s="51" t="str">
        <f>TEXT('All Tandem Standards Source'!AB26,"0.00")</f>
        <v>104.61</v>
      </c>
      <c r="Y25" s="51" t="str">
        <f>TEXT('All Tandem Standards Source'!AF26,"0.00")</f>
        <v>176.75</v>
      </c>
      <c r="Z25" s="55" t="str">
        <f>IF('All Tandem Standards Source'!E26&lt;1/24,TEXT('All Tandem Standards Source'!E26,"M:SS"),TEXT('All Tandem Standards Source'!E26,"H:MM:SS"))</f>
        <v>14:47</v>
      </c>
      <c r="AA25" s="55" t="str">
        <f>IF('All Tandem Standards Source'!I26&lt;1/24,TEXT('All Tandem Standards Source'!I26,"M:SS"),TEXT('All Tandem Standards Source'!I26,"H:MM:SS"))</f>
        <v>22:14</v>
      </c>
      <c r="AB25" s="55" t="str">
        <f>IF('All Tandem Standards Source'!M26&lt;1/24,TEXT('All Tandem Standards Source'!M26,"M:SS"),TEXT('All Tandem Standards Source'!M26,"H:MM:SS"))</f>
        <v>37:19</v>
      </c>
      <c r="AC25" s="55" t="str">
        <f>IF('All Tandem Standards Source'!Q26&lt;1/24,TEXT('All Tandem Standards Source'!Q26,"M:SS"),TEXT('All Tandem Standards Source'!Q26,"H:MM:SS"))</f>
        <v>44:56</v>
      </c>
      <c r="AD25" s="55" t="str">
        <f>IF('All Tandem Standards Source'!U26&lt;1/24,TEXT('All Tandem Standards Source'!U26,"M:SS"),TEXT('All Tandem Standards Source'!U26,"H:MM:SS"))</f>
        <v>1:15:57</v>
      </c>
      <c r="AE25" s="55" t="str">
        <f>IF('All Tandem Standards Source'!Y26&lt;1/24,TEXT('All Tandem Standards Source'!Y26,"M:SS"),TEXT('All Tandem Standards Source'!Y26,"H:MM:SS"))</f>
        <v>2:37:27</v>
      </c>
      <c r="AF25" s="56" t="str">
        <f>TEXT('All Tandem Standards Source'!AC26,"0.00")</f>
        <v>91.39</v>
      </c>
      <c r="AG25" s="56" t="str">
        <f>TEXT('All Tandem Standards Source'!AG26,"0.00")</f>
        <v>157.84</v>
      </c>
    </row>
    <row r="26" spans="1:33" hidden="1" x14ac:dyDescent="0.25">
      <c r="A26" s="17">
        <v>33</v>
      </c>
      <c r="B26" s="53" t="str">
        <f>IF('All Tandem Standards Source'!B27&lt;1/24,TEXT('All Tandem Standards Source'!B27,"M:SS"),TEXT('All Tandem Standards Source'!B27,"H:MM:SS"))</f>
        <v>12:33</v>
      </c>
      <c r="C26" s="53" t="str">
        <f>IF('All Tandem Standards Source'!F27&lt;1/24,TEXT('All Tandem Standards Source'!F27,"M:SS"),TEXT('All Tandem Standards Source'!F27,"H:MM:SS"))</f>
        <v>18:53</v>
      </c>
      <c r="D26" s="53" t="str">
        <f>IF('All Tandem Standards Source'!J27&lt;1/24,TEXT('All Tandem Standards Source'!J27,"M:SS"),TEXT('All Tandem Standards Source'!J27,"H:MM:SS"))</f>
        <v>31:41</v>
      </c>
      <c r="E26" s="53" t="str">
        <f>IF('All Tandem Standards Source'!N27&lt;1/24,TEXT('All Tandem Standards Source'!N27,"M:SS"),TEXT('All Tandem Standards Source'!N27,"H:MM:SS"))</f>
        <v>38:09</v>
      </c>
      <c r="F26" s="53" t="str">
        <f>IF('All Tandem Standards Source'!R27&lt;1/24,TEXT('All Tandem Standards Source'!R27,"M:SS"),TEXT('All Tandem Standards Source'!R27,"H:MM:SS"))</f>
        <v>1:04:28</v>
      </c>
      <c r="G26" s="53" t="str">
        <f>IF('All Tandem Standards Source'!V27&lt;1/24,TEXT('All Tandem Standards Source'!V27,"M:SS"),TEXT('All Tandem Standards Source'!V27,"H:MM:SS"))</f>
        <v>2:13:39</v>
      </c>
      <c r="H26" s="54" t="str">
        <f>TEXT('All Tandem Standards Source'!Z27,"0.00")</f>
        <v>115.39</v>
      </c>
      <c r="I26" s="54" t="str">
        <f>TEXT('All Tandem Standards Source'!AD27,"0.00")</f>
        <v>191.72</v>
      </c>
      <c r="J26" s="57" t="str">
        <f>IF('All Tandem Standards Source'!C27&lt;1/24,TEXT('All Tandem Standards Source'!C27,"M:SS"),TEXT('All Tandem Standards Source'!C27,"H:MM:SS"))</f>
        <v>13:45</v>
      </c>
      <c r="K26" s="57" t="str">
        <f>IF('All Tandem Standards Source'!G27&lt;1/24,TEXT('All Tandem Standards Source'!G27,"M:SS"),TEXT('All Tandem Standards Source'!G27,"H:MM:SS"))</f>
        <v>20:42</v>
      </c>
      <c r="L26" s="57" t="str">
        <f>IF('All Tandem Standards Source'!K27&lt;1/24,TEXT('All Tandem Standards Source'!K27,"M:SS"),TEXT('All Tandem Standards Source'!K27,"H:MM:SS"))</f>
        <v>34:44</v>
      </c>
      <c r="M26" s="57" t="str">
        <f>IF('All Tandem Standards Source'!O27&lt;1/24,TEXT('All Tandem Standards Source'!O27,"M:SS"),TEXT('All Tandem Standards Source'!O27,"H:MM:SS"))</f>
        <v>41:49</v>
      </c>
      <c r="N26" s="57" t="str">
        <f>IF('All Tandem Standards Source'!S27&lt;1/24,TEXT('All Tandem Standards Source'!S27,"M:SS"),TEXT('All Tandem Standards Source'!S27,"H:MM:SS"))</f>
        <v>1:10:41</v>
      </c>
      <c r="O26" s="57" t="str">
        <f>IF('All Tandem Standards Source'!W27&lt;1/24,TEXT('All Tandem Standards Source'!W27,"M:SS"),TEXT('All Tandem Standards Source'!W27,"H:MM:SS"))</f>
        <v>2:26:32</v>
      </c>
      <c r="P26" s="58" t="str">
        <f>TEXT('All Tandem Standards Source'!AA27,"0.00")</f>
        <v>101.38</v>
      </c>
      <c r="Q26" s="58" t="str">
        <f>TEXT('All Tandem Standards Source'!AE27,"0.00")</f>
        <v>172.19</v>
      </c>
      <c r="R26" s="50" t="str">
        <f>IF('All Tandem Standards Source'!D27&lt;1/24,TEXT('All Tandem Standards Source'!D27,"M:SS"),TEXT('All Tandem Standards Source'!D27,"H:MM:SS"))</f>
        <v>13:27</v>
      </c>
      <c r="S26" s="50" t="str">
        <f>IF('All Tandem Standards Source'!H27&lt;1/24,TEXT('All Tandem Standards Source'!H27,"M:SS"),TEXT('All Tandem Standards Source'!H27,"H:MM:SS"))</f>
        <v>20:15</v>
      </c>
      <c r="T26" s="50" t="str">
        <f>IF('All Tandem Standards Source'!L27&lt;1/24,TEXT('All Tandem Standards Source'!L27,"M:SS"),TEXT('All Tandem Standards Source'!L27,"H:MM:SS"))</f>
        <v>33:59</v>
      </c>
      <c r="U26" s="50" t="str">
        <f>IF('All Tandem Standards Source'!P27&lt;1/24,TEXT('All Tandem Standards Source'!P27,"M:SS"),TEXT('All Tandem Standards Source'!P27,"H:MM:SS"))</f>
        <v>40:55</v>
      </c>
      <c r="V26" s="50" t="str">
        <f>IF('All Tandem Standards Source'!T27&lt;1/24,TEXT('All Tandem Standards Source'!T27,"M:SS"),TEXT('All Tandem Standards Source'!T27,"H:MM:SS"))</f>
        <v>1:09:09</v>
      </c>
      <c r="W26" s="50" t="str">
        <f>IF('All Tandem Standards Source'!X27&lt;1/24,TEXT('All Tandem Standards Source'!X27,"M:SS"),TEXT('All Tandem Standards Source'!X27,"H:MM:SS"))</f>
        <v>2:23:20</v>
      </c>
      <c r="X26" s="51" t="str">
        <f>TEXT('All Tandem Standards Source'!AB27,"0.00")</f>
        <v>104.61</v>
      </c>
      <c r="Y26" s="51" t="str">
        <f>TEXT('All Tandem Standards Source'!AF27,"0.00")</f>
        <v>176.75</v>
      </c>
      <c r="Z26" s="55" t="str">
        <f>IF('All Tandem Standards Source'!E27&lt;1/24,TEXT('All Tandem Standards Source'!E27,"M:SS"),TEXT('All Tandem Standards Source'!E27,"H:MM:SS"))</f>
        <v>14:47</v>
      </c>
      <c r="AA26" s="55" t="str">
        <f>IF('All Tandem Standards Source'!I27&lt;1/24,TEXT('All Tandem Standards Source'!I27,"M:SS"),TEXT('All Tandem Standards Source'!I27,"H:MM:SS"))</f>
        <v>22:14</v>
      </c>
      <c r="AB26" s="55" t="str">
        <f>IF('All Tandem Standards Source'!M27&lt;1/24,TEXT('All Tandem Standards Source'!M27,"M:SS"),TEXT('All Tandem Standards Source'!M27,"H:MM:SS"))</f>
        <v>37:19</v>
      </c>
      <c r="AC26" s="55" t="str">
        <f>IF('All Tandem Standards Source'!Q27&lt;1/24,TEXT('All Tandem Standards Source'!Q27,"M:SS"),TEXT('All Tandem Standards Source'!Q27,"H:MM:SS"))</f>
        <v>44:56</v>
      </c>
      <c r="AD26" s="55" t="str">
        <f>IF('All Tandem Standards Source'!U27&lt;1/24,TEXT('All Tandem Standards Source'!U27,"M:SS"),TEXT('All Tandem Standards Source'!U27,"H:MM:SS"))</f>
        <v>1:15:57</v>
      </c>
      <c r="AE26" s="55" t="str">
        <f>IF('All Tandem Standards Source'!Y27&lt;1/24,TEXT('All Tandem Standards Source'!Y27,"M:SS"),TEXT('All Tandem Standards Source'!Y27,"H:MM:SS"))</f>
        <v>2:37:27</v>
      </c>
      <c r="AF26" s="56" t="str">
        <f>TEXT('All Tandem Standards Source'!AC27,"0.00")</f>
        <v>91.39</v>
      </c>
      <c r="AG26" s="56" t="str">
        <f>TEXT('All Tandem Standards Source'!AG27,"0.00")</f>
        <v>157.84</v>
      </c>
    </row>
    <row r="27" spans="1:33" hidden="1" x14ac:dyDescent="0.25">
      <c r="A27" s="17">
        <v>34</v>
      </c>
      <c r="B27" s="53" t="str">
        <f>IF('All Tandem Standards Source'!B28&lt;1/24,TEXT('All Tandem Standards Source'!B28,"M:SS"),TEXT('All Tandem Standards Source'!B28,"H:MM:SS"))</f>
        <v>12:33</v>
      </c>
      <c r="C27" s="53" t="str">
        <f>IF('All Tandem Standards Source'!F28&lt;1/24,TEXT('All Tandem Standards Source'!F28,"M:SS"),TEXT('All Tandem Standards Source'!F28,"H:MM:SS"))</f>
        <v>18:53</v>
      </c>
      <c r="D27" s="53" t="str">
        <f>IF('All Tandem Standards Source'!J28&lt;1/24,TEXT('All Tandem Standards Source'!J28,"M:SS"),TEXT('All Tandem Standards Source'!J28,"H:MM:SS"))</f>
        <v>31:41</v>
      </c>
      <c r="E27" s="53" t="str">
        <f>IF('All Tandem Standards Source'!N28&lt;1/24,TEXT('All Tandem Standards Source'!N28,"M:SS"),TEXT('All Tandem Standards Source'!N28,"H:MM:SS"))</f>
        <v>38:09</v>
      </c>
      <c r="F27" s="53" t="str">
        <f>IF('All Tandem Standards Source'!R28&lt;1/24,TEXT('All Tandem Standards Source'!R28,"M:SS"),TEXT('All Tandem Standards Source'!R28,"H:MM:SS"))</f>
        <v>1:04:28</v>
      </c>
      <c r="G27" s="53" t="str">
        <f>IF('All Tandem Standards Source'!V28&lt;1/24,TEXT('All Tandem Standards Source'!V28,"M:SS"),TEXT('All Tandem Standards Source'!V28,"H:MM:SS"))</f>
        <v>2:13:39</v>
      </c>
      <c r="H27" s="54" t="str">
        <f>TEXT('All Tandem Standards Source'!Z28,"0.00")</f>
        <v>115.39</v>
      </c>
      <c r="I27" s="54" t="str">
        <f>TEXT('All Tandem Standards Source'!AD28,"0.00")</f>
        <v>191.72</v>
      </c>
      <c r="J27" s="57" t="str">
        <f>IF('All Tandem Standards Source'!C28&lt;1/24,TEXT('All Tandem Standards Source'!C28,"M:SS"),TEXT('All Tandem Standards Source'!C28,"H:MM:SS"))</f>
        <v>13:45</v>
      </c>
      <c r="K27" s="57" t="str">
        <f>IF('All Tandem Standards Source'!G28&lt;1/24,TEXT('All Tandem Standards Source'!G28,"M:SS"),TEXT('All Tandem Standards Source'!G28,"H:MM:SS"))</f>
        <v>20:42</v>
      </c>
      <c r="L27" s="57" t="str">
        <f>IF('All Tandem Standards Source'!K28&lt;1/24,TEXT('All Tandem Standards Source'!K28,"M:SS"),TEXT('All Tandem Standards Source'!K28,"H:MM:SS"))</f>
        <v>34:44</v>
      </c>
      <c r="M27" s="57" t="str">
        <f>IF('All Tandem Standards Source'!O28&lt;1/24,TEXT('All Tandem Standards Source'!O28,"M:SS"),TEXT('All Tandem Standards Source'!O28,"H:MM:SS"))</f>
        <v>41:49</v>
      </c>
      <c r="N27" s="57" t="str">
        <f>IF('All Tandem Standards Source'!S28&lt;1/24,TEXT('All Tandem Standards Source'!S28,"M:SS"),TEXT('All Tandem Standards Source'!S28,"H:MM:SS"))</f>
        <v>1:10:41</v>
      </c>
      <c r="O27" s="57" t="str">
        <f>IF('All Tandem Standards Source'!W28&lt;1/24,TEXT('All Tandem Standards Source'!W28,"M:SS"),TEXT('All Tandem Standards Source'!W28,"H:MM:SS"))</f>
        <v>2:26:32</v>
      </c>
      <c r="P27" s="58" t="str">
        <f>TEXT('All Tandem Standards Source'!AA28,"0.00")</f>
        <v>101.38</v>
      </c>
      <c r="Q27" s="58" t="str">
        <f>TEXT('All Tandem Standards Source'!AE28,"0.00")</f>
        <v>172.19</v>
      </c>
      <c r="R27" s="50" t="str">
        <f>IF('All Tandem Standards Source'!D28&lt;1/24,TEXT('All Tandem Standards Source'!D28,"M:SS"),TEXT('All Tandem Standards Source'!D28,"H:MM:SS"))</f>
        <v>13:27</v>
      </c>
      <c r="S27" s="50" t="str">
        <f>IF('All Tandem Standards Source'!H28&lt;1/24,TEXT('All Tandem Standards Source'!H28,"M:SS"),TEXT('All Tandem Standards Source'!H28,"H:MM:SS"))</f>
        <v>20:15</v>
      </c>
      <c r="T27" s="50" t="str">
        <f>IF('All Tandem Standards Source'!L28&lt;1/24,TEXT('All Tandem Standards Source'!L28,"M:SS"),TEXT('All Tandem Standards Source'!L28,"H:MM:SS"))</f>
        <v>33:59</v>
      </c>
      <c r="U27" s="50" t="str">
        <f>IF('All Tandem Standards Source'!P28&lt;1/24,TEXT('All Tandem Standards Source'!P28,"M:SS"),TEXT('All Tandem Standards Source'!P28,"H:MM:SS"))</f>
        <v>40:55</v>
      </c>
      <c r="V27" s="50" t="str">
        <f>IF('All Tandem Standards Source'!T28&lt;1/24,TEXT('All Tandem Standards Source'!T28,"M:SS"),TEXT('All Tandem Standards Source'!T28,"H:MM:SS"))</f>
        <v>1:09:09</v>
      </c>
      <c r="W27" s="50" t="str">
        <f>IF('All Tandem Standards Source'!X28&lt;1/24,TEXT('All Tandem Standards Source'!X28,"M:SS"),TEXT('All Tandem Standards Source'!X28,"H:MM:SS"))</f>
        <v>2:23:20</v>
      </c>
      <c r="X27" s="51" t="str">
        <f>TEXT('All Tandem Standards Source'!AB28,"0.00")</f>
        <v>104.61</v>
      </c>
      <c r="Y27" s="51" t="str">
        <f>TEXT('All Tandem Standards Source'!AF28,"0.00")</f>
        <v>176.75</v>
      </c>
      <c r="Z27" s="55" t="str">
        <f>IF('All Tandem Standards Source'!E28&lt;1/24,TEXT('All Tandem Standards Source'!E28,"M:SS"),TEXT('All Tandem Standards Source'!E28,"H:MM:SS"))</f>
        <v>14:47</v>
      </c>
      <c r="AA27" s="55" t="str">
        <f>IF('All Tandem Standards Source'!I28&lt;1/24,TEXT('All Tandem Standards Source'!I28,"M:SS"),TEXT('All Tandem Standards Source'!I28,"H:MM:SS"))</f>
        <v>22:14</v>
      </c>
      <c r="AB27" s="55" t="str">
        <f>IF('All Tandem Standards Source'!M28&lt;1/24,TEXT('All Tandem Standards Source'!M28,"M:SS"),TEXT('All Tandem Standards Source'!M28,"H:MM:SS"))</f>
        <v>37:19</v>
      </c>
      <c r="AC27" s="55" t="str">
        <f>IF('All Tandem Standards Source'!Q28&lt;1/24,TEXT('All Tandem Standards Source'!Q28,"M:SS"),TEXT('All Tandem Standards Source'!Q28,"H:MM:SS"))</f>
        <v>44:56</v>
      </c>
      <c r="AD27" s="55" t="str">
        <f>IF('All Tandem Standards Source'!U28&lt;1/24,TEXT('All Tandem Standards Source'!U28,"M:SS"),TEXT('All Tandem Standards Source'!U28,"H:MM:SS"))</f>
        <v>1:15:57</v>
      </c>
      <c r="AE27" s="55" t="str">
        <f>IF('All Tandem Standards Source'!Y28&lt;1/24,TEXT('All Tandem Standards Source'!Y28,"M:SS"),TEXT('All Tandem Standards Source'!Y28,"H:MM:SS"))</f>
        <v>2:37:27</v>
      </c>
      <c r="AF27" s="56" t="str">
        <f>TEXT('All Tandem Standards Source'!AC28,"0.00")</f>
        <v>91.39</v>
      </c>
      <c r="AG27" s="56" t="str">
        <f>TEXT('All Tandem Standards Source'!AG28,"0.00")</f>
        <v>157.84</v>
      </c>
    </row>
    <row r="28" spans="1:33" hidden="1" x14ac:dyDescent="0.25">
      <c r="A28" s="17">
        <v>35</v>
      </c>
      <c r="B28" s="53" t="str">
        <f>IF('All Tandem Standards Source'!B29&lt;1/24,TEXT('All Tandem Standards Source'!B29,"M:SS"),TEXT('All Tandem Standards Source'!B29,"H:MM:SS"))</f>
        <v>12:33</v>
      </c>
      <c r="C28" s="53" t="str">
        <f>IF('All Tandem Standards Source'!F29&lt;1/24,TEXT('All Tandem Standards Source'!F29,"M:SS"),TEXT('All Tandem Standards Source'!F29,"H:MM:SS"))</f>
        <v>18:53</v>
      </c>
      <c r="D28" s="53" t="str">
        <f>IF('All Tandem Standards Source'!J29&lt;1/24,TEXT('All Tandem Standards Source'!J29,"M:SS"),TEXT('All Tandem Standards Source'!J29,"H:MM:SS"))</f>
        <v>31:41</v>
      </c>
      <c r="E28" s="53" t="str">
        <f>IF('All Tandem Standards Source'!N29&lt;1/24,TEXT('All Tandem Standards Source'!N29,"M:SS"),TEXT('All Tandem Standards Source'!N29,"H:MM:SS"))</f>
        <v>38:09</v>
      </c>
      <c r="F28" s="53" t="str">
        <f>IF('All Tandem Standards Source'!R29&lt;1/24,TEXT('All Tandem Standards Source'!R29,"M:SS"),TEXT('All Tandem Standards Source'!R29,"H:MM:SS"))</f>
        <v>1:04:28</v>
      </c>
      <c r="G28" s="53" t="str">
        <f>IF('All Tandem Standards Source'!V29&lt;1/24,TEXT('All Tandem Standards Source'!V29,"M:SS"),TEXT('All Tandem Standards Source'!V29,"H:MM:SS"))</f>
        <v>2:13:39</v>
      </c>
      <c r="H28" s="54" t="str">
        <f>TEXT('All Tandem Standards Source'!Z29,"0.00")</f>
        <v>115.39</v>
      </c>
      <c r="I28" s="54" t="str">
        <f>TEXT('All Tandem Standards Source'!AD29,"0.00")</f>
        <v>191.72</v>
      </c>
      <c r="J28" s="57" t="str">
        <f>IF('All Tandem Standards Source'!C29&lt;1/24,TEXT('All Tandem Standards Source'!C29,"M:SS"),TEXT('All Tandem Standards Source'!C29,"H:MM:SS"))</f>
        <v>13:45</v>
      </c>
      <c r="K28" s="57" t="str">
        <f>IF('All Tandem Standards Source'!G29&lt;1/24,TEXT('All Tandem Standards Source'!G29,"M:SS"),TEXT('All Tandem Standards Source'!G29,"H:MM:SS"))</f>
        <v>20:42</v>
      </c>
      <c r="L28" s="57" t="str">
        <f>IF('All Tandem Standards Source'!K29&lt;1/24,TEXT('All Tandem Standards Source'!K29,"M:SS"),TEXT('All Tandem Standards Source'!K29,"H:MM:SS"))</f>
        <v>34:44</v>
      </c>
      <c r="M28" s="57" t="str">
        <f>IF('All Tandem Standards Source'!O29&lt;1/24,TEXT('All Tandem Standards Source'!O29,"M:SS"),TEXT('All Tandem Standards Source'!O29,"H:MM:SS"))</f>
        <v>41:49</v>
      </c>
      <c r="N28" s="57" t="str">
        <f>IF('All Tandem Standards Source'!S29&lt;1/24,TEXT('All Tandem Standards Source'!S29,"M:SS"),TEXT('All Tandem Standards Source'!S29,"H:MM:SS"))</f>
        <v>1:10:41</v>
      </c>
      <c r="O28" s="57" t="str">
        <f>IF('All Tandem Standards Source'!W29&lt;1/24,TEXT('All Tandem Standards Source'!W29,"M:SS"),TEXT('All Tandem Standards Source'!W29,"H:MM:SS"))</f>
        <v>2:26:32</v>
      </c>
      <c r="P28" s="58" t="str">
        <f>TEXT('All Tandem Standards Source'!AA29,"0.00")</f>
        <v>101.38</v>
      </c>
      <c r="Q28" s="58" t="str">
        <f>TEXT('All Tandem Standards Source'!AE29,"0.00")</f>
        <v>172.19</v>
      </c>
      <c r="R28" s="50" t="str">
        <f>IF('All Tandem Standards Source'!D29&lt;1/24,TEXT('All Tandem Standards Source'!D29,"M:SS"),TEXT('All Tandem Standards Source'!D29,"H:MM:SS"))</f>
        <v>13:27</v>
      </c>
      <c r="S28" s="50" t="str">
        <f>IF('All Tandem Standards Source'!H29&lt;1/24,TEXT('All Tandem Standards Source'!H29,"M:SS"),TEXT('All Tandem Standards Source'!H29,"H:MM:SS"))</f>
        <v>20:15</v>
      </c>
      <c r="T28" s="50" t="str">
        <f>IF('All Tandem Standards Source'!L29&lt;1/24,TEXT('All Tandem Standards Source'!L29,"M:SS"),TEXT('All Tandem Standards Source'!L29,"H:MM:SS"))</f>
        <v>33:59</v>
      </c>
      <c r="U28" s="50" t="str">
        <f>IF('All Tandem Standards Source'!P29&lt;1/24,TEXT('All Tandem Standards Source'!P29,"M:SS"),TEXT('All Tandem Standards Source'!P29,"H:MM:SS"))</f>
        <v>40:55</v>
      </c>
      <c r="V28" s="50" t="str">
        <f>IF('All Tandem Standards Source'!T29&lt;1/24,TEXT('All Tandem Standards Source'!T29,"M:SS"),TEXT('All Tandem Standards Source'!T29,"H:MM:SS"))</f>
        <v>1:09:09</v>
      </c>
      <c r="W28" s="50" t="str">
        <f>IF('All Tandem Standards Source'!X29&lt;1/24,TEXT('All Tandem Standards Source'!X29,"M:SS"),TEXT('All Tandem Standards Source'!X29,"H:MM:SS"))</f>
        <v>2:23:20</v>
      </c>
      <c r="X28" s="51" t="str">
        <f>TEXT('All Tandem Standards Source'!AB29,"0.00")</f>
        <v>104.61</v>
      </c>
      <c r="Y28" s="51" t="str">
        <f>TEXT('All Tandem Standards Source'!AF29,"0.00")</f>
        <v>176.75</v>
      </c>
      <c r="Z28" s="55" t="str">
        <f>IF('All Tandem Standards Source'!E29&lt;1/24,TEXT('All Tandem Standards Source'!E29,"M:SS"),TEXT('All Tandem Standards Source'!E29,"H:MM:SS"))</f>
        <v>14:47</v>
      </c>
      <c r="AA28" s="55" t="str">
        <f>IF('All Tandem Standards Source'!I29&lt;1/24,TEXT('All Tandem Standards Source'!I29,"M:SS"),TEXT('All Tandem Standards Source'!I29,"H:MM:SS"))</f>
        <v>22:14</v>
      </c>
      <c r="AB28" s="55" t="str">
        <f>IF('All Tandem Standards Source'!M29&lt;1/24,TEXT('All Tandem Standards Source'!M29,"M:SS"),TEXT('All Tandem Standards Source'!M29,"H:MM:SS"))</f>
        <v>37:19</v>
      </c>
      <c r="AC28" s="55" t="str">
        <f>IF('All Tandem Standards Source'!Q29&lt;1/24,TEXT('All Tandem Standards Source'!Q29,"M:SS"),TEXT('All Tandem Standards Source'!Q29,"H:MM:SS"))</f>
        <v>44:56</v>
      </c>
      <c r="AD28" s="55" t="str">
        <f>IF('All Tandem Standards Source'!U29&lt;1/24,TEXT('All Tandem Standards Source'!U29,"M:SS"),TEXT('All Tandem Standards Source'!U29,"H:MM:SS"))</f>
        <v>1:15:57</v>
      </c>
      <c r="AE28" s="55" t="str">
        <f>IF('All Tandem Standards Source'!Y29&lt;1/24,TEXT('All Tandem Standards Source'!Y29,"M:SS"),TEXT('All Tandem Standards Source'!Y29,"H:MM:SS"))</f>
        <v>2:37:27</v>
      </c>
      <c r="AF28" s="56" t="str">
        <f>TEXT('All Tandem Standards Source'!AC29,"0.00")</f>
        <v>91.39</v>
      </c>
      <c r="AG28" s="56" t="str">
        <f>TEXT('All Tandem Standards Source'!AG29,"0.00")</f>
        <v>157.84</v>
      </c>
    </row>
    <row r="29" spans="1:33" hidden="1" x14ac:dyDescent="0.25">
      <c r="A29" s="17">
        <v>36</v>
      </c>
      <c r="B29" s="53" t="str">
        <f>IF('All Tandem Standards Source'!B30&lt;1/24,TEXT('All Tandem Standards Source'!B30,"M:SS"),TEXT('All Tandem Standards Source'!B30,"H:MM:SS"))</f>
        <v>12:33</v>
      </c>
      <c r="C29" s="53" t="str">
        <f>IF('All Tandem Standards Source'!F30&lt;1/24,TEXT('All Tandem Standards Source'!F30,"M:SS"),TEXT('All Tandem Standards Source'!F30,"H:MM:SS"))</f>
        <v>18:53</v>
      </c>
      <c r="D29" s="53" t="str">
        <f>IF('All Tandem Standards Source'!J30&lt;1/24,TEXT('All Tandem Standards Source'!J30,"M:SS"),TEXT('All Tandem Standards Source'!J30,"H:MM:SS"))</f>
        <v>31:41</v>
      </c>
      <c r="E29" s="53" t="str">
        <f>IF('All Tandem Standards Source'!N30&lt;1/24,TEXT('All Tandem Standards Source'!N30,"M:SS"),TEXT('All Tandem Standards Source'!N30,"H:MM:SS"))</f>
        <v>38:09</v>
      </c>
      <c r="F29" s="53" t="str">
        <f>IF('All Tandem Standards Source'!R30&lt;1/24,TEXT('All Tandem Standards Source'!R30,"M:SS"),TEXT('All Tandem Standards Source'!R30,"H:MM:SS"))</f>
        <v>1:04:28</v>
      </c>
      <c r="G29" s="53" t="str">
        <f>IF('All Tandem Standards Source'!V30&lt;1/24,TEXT('All Tandem Standards Source'!V30,"M:SS"),TEXT('All Tandem Standards Source'!V30,"H:MM:SS"))</f>
        <v>2:13:39</v>
      </c>
      <c r="H29" s="54" t="str">
        <f>TEXT('All Tandem Standards Source'!Z30,"0.00")</f>
        <v>115.39</v>
      </c>
      <c r="I29" s="54" t="str">
        <f>TEXT('All Tandem Standards Source'!AD30,"0.00")</f>
        <v>191.72</v>
      </c>
      <c r="J29" s="57" t="str">
        <f>IF('All Tandem Standards Source'!C30&lt;1/24,TEXT('All Tandem Standards Source'!C30,"M:SS"),TEXT('All Tandem Standards Source'!C30,"H:MM:SS"))</f>
        <v>13:45</v>
      </c>
      <c r="K29" s="57" t="str">
        <f>IF('All Tandem Standards Source'!G30&lt;1/24,TEXT('All Tandem Standards Source'!G30,"M:SS"),TEXT('All Tandem Standards Source'!G30,"H:MM:SS"))</f>
        <v>20:42</v>
      </c>
      <c r="L29" s="57" t="str">
        <f>IF('All Tandem Standards Source'!K30&lt;1/24,TEXT('All Tandem Standards Source'!K30,"M:SS"),TEXT('All Tandem Standards Source'!K30,"H:MM:SS"))</f>
        <v>34:44</v>
      </c>
      <c r="M29" s="57" t="str">
        <f>IF('All Tandem Standards Source'!O30&lt;1/24,TEXT('All Tandem Standards Source'!O30,"M:SS"),TEXT('All Tandem Standards Source'!O30,"H:MM:SS"))</f>
        <v>41:49</v>
      </c>
      <c r="N29" s="57" t="str">
        <f>IF('All Tandem Standards Source'!S30&lt;1/24,TEXT('All Tandem Standards Source'!S30,"M:SS"),TEXT('All Tandem Standards Source'!S30,"H:MM:SS"))</f>
        <v>1:10:41</v>
      </c>
      <c r="O29" s="57" t="str">
        <f>IF('All Tandem Standards Source'!W30&lt;1/24,TEXT('All Tandem Standards Source'!W30,"M:SS"),TEXT('All Tandem Standards Source'!W30,"H:MM:SS"))</f>
        <v>2:26:32</v>
      </c>
      <c r="P29" s="58" t="str">
        <f>TEXT('All Tandem Standards Source'!AA30,"0.00")</f>
        <v>101.38</v>
      </c>
      <c r="Q29" s="58" t="str">
        <f>TEXT('All Tandem Standards Source'!AE30,"0.00")</f>
        <v>172.19</v>
      </c>
      <c r="R29" s="50" t="str">
        <f>IF('All Tandem Standards Source'!D30&lt;1/24,TEXT('All Tandem Standards Source'!D30,"M:SS"),TEXT('All Tandem Standards Source'!D30,"H:MM:SS"))</f>
        <v>13:27</v>
      </c>
      <c r="S29" s="50" t="str">
        <f>IF('All Tandem Standards Source'!H30&lt;1/24,TEXT('All Tandem Standards Source'!H30,"M:SS"),TEXT('All Tandem Standards Source'!H30,"H:MM:SS"))</f>
        <v>20:15</v>
      </c>
      <c r="T29" s="50" t="str">
        <f>IF('All Tandem Standards Source'!L30&lt;1/24,TEXT('All Tandem Standards Source'!L30,"M:SS"),TEXT('All Tandem Standards Source'!L30,"H:MM:SS"))</f>
        <v>33:59</v>
      </c>
      <c r="U29" s="50" t="str">
        <f>IF('All Tandem Standards Source'!P30&lt;1/24,TEXT('All Tandem Standards Source'!P30,"M:SS"),TEXT('All Tandem Standards Source'!P30,"H:MM:SS"))</f>
        <v>40:55</v>
      </c>
      <c r="V29" s="50" t="str">
        <f>IF('All Tandem Standards Source'!T30&lt;1/24,TEXT('All Tandem Standards Source'!T30,"M:SS"),TEXT('All Tandem Standards Source'!T30,"H:MM:SS"))</f>
        <v>1:09:09</v>
      </c>
      <c r="W29" s="50" t="str">
        <f>IF('All Tandem Standards Source'!X30&lt;1/24,TEXT('All Tandem Standards Source'!X30,"M:SS"),TEXT('All Tandem Standards Source'!X30,"H:MM:SS"))</f>
        <v>2:23:20</v>
      </c>
      <c r="X29" s="51" t="str">
        <f>TEXT('All Tandem Standards Source'!AB30,"0.00")</f>
        <v>104.61</v>
      </c>
      <c r="Y29" s="51" t="str">
        <f>TEXT('All Tandem Standards Source'!AF30,"0.00")</f>
        <v>176.75</v>
      </c>
      <c r="Z29" s="55" t="str">
        <f>IF('All Tandem Standards Source'!E30&lt;1/24,TEXT('All Tandem Standards Source'!E30,"M:SS"),TEXT('All Tandem Standards Source'!E30,"H:MM:SS"))</f>
        <v>14:47</v>
      </c>
      <c r="AA29" s="55" t="str">
        <f>IF('All Tandem Standards Source'!I30&lt;1/24,TEXT('All Tandem Standards Source'!I30,"M:SS"),TEXT('All Tandem Standards Source'!I30,"H:MM:SS"))</f>
        <v>22:14</v>
      </c>
      <c r="AB29" s="55" t="str">
        <f>IF('All Tandem Standards Source'!M30&lt;1/24,TEXT('All Tandem Standards Source'!M30,"M:SS"),TEXT('All Tandem Standards Source'!M30,"H:MM:SS"))</f>
        <v>37:19</v>
      </c>
      <c r="AC29" s="55" t="str">
        <f>IF('All Tandem Standards Source'!Q30&lt;1/24,TEXT('All Tandem Standards Source'!Q30,"M:SS"),TEXT('All Tandem Standards Source'!Q30,"H:MM:SS"))</f>
        <v>44:56</v>
      </c>
      <c r="AD29" s="55" t="str">
        <f>IF('All Tandem Standards Source'!U30&lt;1/24,TEXT('All Tandem Standards Source'!U30,"M:SS"),TEXT('All Tandem Standards Source'!U30,"H:MM:SS"))</f>
        <v>1:15:57</v>
      </c>
      <c r="AE29" s="55" t="str">
        <f>IF('All Tandem Standards Source'!Y30&lt;1/24,TEXT('All Tandem Standards Source'!Y30,"M:SS"),TEXT('All Tandem Standards Source'!Y30,"H:MM:SS"))</f>
        <v>2:37:27</v>
      </c>
      <c r="AF29" s="56" t="str">
        <f>TEXT('All Tandem Standards Source'!AC30,"0.00")</f>
        <v>91.39</v>
      </c>
      <c r="AG29" s="56" t="str">
        <f>TEXT('All Tandem Standards Source'!AG30,"0.00")</f>
        <v>157.84</v>
      </c>
    </row>
    <row r="30" spans="1:33" hidden="1" x14ac:dyDescent="0.25">
      <c r="A30" s="17">
        <v>37</v>
      </c>
      <c r="B30" s="53" t="str">
        <f>IF('All Tandem Standards Source'!B31&lt;1/24,TEXT('All Tandem Standards Source'!B31,"M:SS"),TEXT('All Tandem Standards Source'!B31,"H:MM:SS"))</f>
        <v>12:33</v>
      </c>
      <c r="C30" s="53" t="str">
        <f>IF('All Tandem Standards Source'!F31&lt;1/24,TEXT('All Tandem Standards Source'!F31,"M:SS"),TEXT('All Tandem Standards Source'!F31,"H:MM:SS"))</f>
        <v>18:53</v>
      </c>
      <c r="D30" s="53" t="str">
        <f>IF('All Tandem Standards Source'!J31&lt;1/24,TEXT('All Tandem Standards Source'!J31,"M:SS"),TEXT('All Tandem Standards Source'!J31,"H:MM:SS"))</f>
        <v>31:41</v>
      </c>
      <c r="E30" s="53" t="str">
        <f>IF('All Tandem Standards Source'!N31&lt;1/24,TEXT('All Tandem Standards Source'!N31,"M:SS"),TEXT('All Tandem Standards Source'!N31,"H:MM:SS"))</f>
        <v>38:09</v>
      </c>
      <c r="F30" s="53" t="str">
        <f>IF('All Tandem Standards Source'!R31&lt;1/24,TEXT('All Tandem Standards Source'!R31,"M:SS"),TEXT('All Tandem Standards Source'!R31,"H:MM:SS"))</f>
        <v>1:04:28</v>
      </c>
      <c r="G30" s="53" t="str">
        <f>IF('All Tandem Standards Source'!V31&lt;1/24,TEXT('All Tandem Standards Source'!V31,"M:SS"),TEXT('All Tandem Standards Source'!V31,"H:MM:SS"))</f>
        <v>2:13:39</v>
      </c>
      <c r="H30" s="54" t="str">
        <f>TEXT('All Tandem Standards Source'!Z31,"0.00")</f>
        <v>115.39</v>
      </c>
      <c r="I30" s="54" t="str">
        <f>TEXT('All Tandem Standards Source'!AD31,"0.00")</f>
        <v>191.72</v>
      </c>
      <c r="J30" s="57" t="str">
        <f>IF('All Tandem Standards Source'!C31&lt;1/24,TEXT('All Tandem Standards Source'!C31,"M:SS"),TEXT('All Tandem Standards Source'!C31,"H:MM:SS"))</f>
        <v>13:45</v>
      </c>
      <c r="K30" s="57" t="str">
        <f>IF('All Tandem Standards Source'!G31&lt;1/24,TEXT('All Tandem Standards Source'!G31,"M:SS"),TEXT('All Tandem Standards Source'!G31,"H:MM:SS"))</f>
        <v>20:42</v>
      </c>
      <c r="L30" s="57" t="str">
        <f>IF('All Tandem Standards Source'!K31&lt;1/24,TEXT('All Tandem Standards Source'!K31,"M:SS"),TEXT('All Tandem Standards Source'!K31,"H:MM:SS"))</f>
        <v>34:44</v>
      </c>
      <c r="M30" s="57" t="str">
        <f>IF('All Tandem Standards Source'!O31&lt;1/24,TEXT('All Tandem Standards Source'!O31,"M:SS"),TEXT('All Tandem Standards Source'!O31,"H:MM:SS"))</f>
        <v>41:49</v>
      </c>
      <c r="N30" s="57" t="str">
        <f>IF('All Tandem Standards Source'!S31&lt;1/24,TEXT('All Tandem Standards Source'!S31,"M:SS"),TEXT('All Tandem Standards Source'!S31,"H:MM:SS"))</f>
        <v>1:10:41</v>
      </c>
      <c r="O30" s="57" t="str">
        <f>IF('All Tandem Standards Source'!W31&lt;1/24,TEXT('All Tandem Standards Source'!W31,"M:SS"),TEXT('All Tandem Standards Source'!W31,"H:MM:SS"))</f>
        <v>2:26:32</v>
      </c>
      <c r="P30" s="58" t="str">
        <f>TEXT('All Tandem Standards Source'!AA31,"0.00")</f>
        <v>101.38</v>
      </c>
      <c r="Q30" s="58" t="str">
        <f>TEXT('All Tandem Standards Source'!AE31,"0.00")</f>
        <v>172.19</v>
      </c>
      <c r="R30" s="50" t="str">
        <f>IF('All Tandem Standards Source'!D31&lt;1/24,TEXT('All Tandem Standards Source'!D31,"M:SS"),TEXT('All Tandem Standards Source'!D31,"H:MM:SS"))</f>
        <v>13:27</v>
      </c>
      <c r="S30" s="50" t="str">
        <f>IF('All Tandem Standards Source'!H31&lt;1/24,TEXT('All Tandem Standards Source'!H31,"M:SS"),TEXT('All Tandem Standards Source'!H31,"H:MM:SS"))</f>
        <v>20:15</v>
      </c>
      <c r="T30" s="50" t="str">
        <f>IF('All Tandem Standards Source'!L31&lt;1/24,TEXT('All Tandem Standards Source'!L31,"M:SS"),TEXT('All Tandem Standards Source'!L31,"H:MM:SS"))</f>
        <v>33:59</v>
      </c>
      <c r="U30" s="50" t="str">
        <f>IF('All Tandem Standards Source'!P31&lt;1/24,TEXT('All Tandem Standards Source'!P31,"M:SS"),TEXT('All Tandem Standards Source'!P31,"H:MM:SS"))</f>
        <v>40:55</v>
      </c>
      <c r="V30" s="50" t="str">
        <f>IF('All Tandem Standards Source'!T31&lt;1/24,TEXT('All Tandem Standards Source'!T31,"M:SS"),TEXT('All Tandem Standards Source'!T31,"H:MM:SS"))</f>
        <v>1:09:09</v>
      </c>
      <c r="W30" s="50" t="str">
        <f>IF('All Tandem Standards Source'!X31&lt;1/24,TEXT('All Tandem Standards Source'!X31,"M:SS"),TEXT('All Tandem Standards Source'!X31,"H:MM:SS"))</f>
        <v>2:23:20</v>
      </c>
      <c r="X30" s="51" t="str">
        <f>TEXT('All Tandem Standards Source'!AB31,"0.00")</f>
        <v>104.61</v>
      </c>
      <c r="Y30" s="51" t="str">
        <f>TEXT('All Tandem Standards Source'!AF31,"0.00")</f>
        <v>176.75</v>
      </c>
      <c r="Z30" s="55" t="str">
        <f>IF('All Tandem Standards Source'!E31&lt;1/24,TEXT('All Tandem Standards Source'!E31,"M:SS"),TEXT('All Tandem Standards Source'!E31,"H:MM:SS"))</f>
        <v>14:47</v>
      </c>
      <c r="AA30" s="55" t="str">
        <f>IF('All Tandem Standards Source'!I31&lt;1/24,TEXT('All Tandem Standards Source'!I31,"M:SS"),TEXT('All Tandem Standards Source'!I31,"H:MM:SS"))</f>
        <v>22:14</v>
      </c>
      <c r="AB30" s="55" t="str">
        <f>IF('All Tandem Standards Source'!M31&lt;1/24,TEXT('All Tandem Standards Source'!M31,"M:SS"),TEXT('All Tandem Standards Source'!M31,"H:MM:SS"))</f>
        <v>37:19</v>
      </c>
      <c r="AC30" s="55" t="str">
        <f>IF('All Tandem Standards Source'!Q31&lt;1/24,TEXT('All Tandem Standards Source'!Q31,"M:SS"),TEXT('All Tandem Standards Source'!Q31,"H:MM:SS"))</f>
        <v>44:56</v>
      </c>
      <c r="AD30" s="55" t="str">
        <f>IF('All Tandem Standards Source'!U31&lt;1/24,TEXT('All Tandem Standards Source'!U31,"M:SS"),TEXT('All Tandem Standards Source'!U31,"H:MM:SS"))</f>
        <v>1:15:57</v>
      </c>
      <c r="AE30" s="55" t="str">
        <f>IF('All Tandem Standards Source'!Y31&lt;1/24,TEXT('All Tandem Standards Source'!Y31,"M:SS"),TEXT('All Tandem Standards Source'!Y31,"H:MM:SS"))</f>
        <v>2:37:27</v>
      </c>
      <c r="AF30" s="56" t="str">
        <f>TEXT('All Tandem Standards Source'!AC31,"0.00")</f>
        <v>91.39</v>
      </c>
      <c r="AG30" s="56" t="str">
        <f>TEXT('All Tandem Standards Source'!AG31,"0.00")</f>
        <v>157.84</v>
      </c>
    </row>
    <row r="31" spans="1:33" hidden="1" x14ac:dyDescent="0.25">
      <c r="A31" s="17">
        <v>38</v>
      </c>
      <c r="B31" s="53" t="str">
        <f>IF('All Tandem Standards Source'!B32&lt;1/24,TEXT('All Tandem Standards Source'!B32,"M:SS"),TEXT('All Tandem Standards Source'!B32,"H:MM:SS"))</f>
        <v>12:33</v>
      </c>
      <c r="C31" s="53" t="str">
        <f>IF('All Tandem Standards Source'!F32&lt;1/24,TEXT('All Tandem Standards Source'!F32,"M:SS"),TEXT('All Tandem Standards Source'!F32,"H:MM:SS"))</f>
        <v>18:53</v>
      </c>
      <c r="D31" s="53" t="str">
        <f>IF('All Tandem Standards Source'!J32&lt;1/24,TEXT('All Tandem Standards Source'!J32,"M:SS"),TEXT('All Tandem Standards Source'!J32,"H:MM:SS"))</f>
        <v>31:41</v>
      </c>
      <c r="E31" s="53" t="str">
        <f>IF('All Tandem Standards Source'!N32&lt;1/24,TEXT('All Tandem Standards Source'!N32,"M:SS"),TEXT('All Tandem Standards Source'!N32,"H:MM:SS"))</f>
        <v>38:09</v>
      </c>
      <c r="F31" s="53" t="str">
        <f>IF('All Tandem Standards Source'!R32&lt;1/24,TEXT('All Tandem Standards Source'!R32,"M:SS"),TEXT('All Tandem Standards Source'!R32,"H:MM:SS"))</f>
        <v>1:04:28</v>
      </c>
      <c r="G31" s="53" t="str">
        <f>IF('All Tandem Standards Source'!V32&lt;1/24,TEXT('All Tandem Standards Source'!V32,"M:SS"),TEXT('All Tandem Standards Source'!V32,"H:MM:SS"))</f>
        <v>2:13:39</v>
      </c>
      <c r="H31" s="54" t="str">
        <f>TEXT('All Tandem Standards Source'!Z32,"0.00")</f>
        <v>115.39</v>
      </c>
      <c r="I31" s="54" t="str">
        <f>TEXT('All Tandem Standards Source'!AD32,"0.00")</f>
        <v>191.72</v>
      </c>
      <c r="J31" s="57" t="str">
        <f>IF('All Tandem Standards Source'!C32&lt;1/24,TEXT('All Tandem Standards Source'!C32,"M:SS"),TEXT('All Tandem Standards Source'!C32,"H:MM:SS"))</f>
        <v>13:45</v>
      </c>
      <c r="K31" s="57" t="str">
        <f>IF('All Tandem Standards Source'!G32&lt;1/24,TEXT('All Tandem Standards Source'!G32,"M:SS"),TEXT('All Tandem Standards Source'!G32,"H:MM:SS"))</f>
        <v>20:42</v>
      </c>
      <c r="L31" s="57" t="str">
        <f>IF('All Tandem Standards Source'!K32&lt;1/24,TEXT('All Tandem Standards Source'!K32,"M:SS"),TEXT('All Tandem Standards Source'!K32,"H:MM:SS"))</f>
        <v>34:44</v>
      </c>
      <c r="M31" s="57" t="str">
        <f>IF('All Tandem Standards Source'!O32&lt;1/24,TEXT('All Tandem Standards Source'!O32,"M:SS"),TEXT('All Tandem Standards Source'!O32,"H:MM:SS"))</f>
        <v>41:49</v>
      </c>
      <c r="N31" s="57" t="str">
        <f>IF('All Tandem Standards Source'!S32&lt;1/24,TEXT('All Tandem Standards Source'!S32,"M:SS"),TEXT('All Tandem Standards Source'!S32,"H:MM:SS"))</f>
        <v>1:10:41</v>
      </c>
      <c r="O31" s="57" t="str">
        <f>IF('All Tandem Standards Source'!W32&lt;1/24,TEXT('All Tandem Standards Source'!W32,"M:SS"),TEXT('All Tandem Standards Source'!W32,"H:MM:SS"))</f>
        <v>2:26:32</v>
      </c>
      <c r="P31" s="58" t="str">
        <f>TEXT('All Tandem Standards Source'!AA32,"0.00")</f>
        <v>101.38</v>
      </c>
      <c r="Q31" s="58" t="str">
        <f>TEXT('All Tandem Standards Source'!AE32,"0.00")</f>
        <v>172.19</v>
      </c>
      <c r="R31" s="50" t="str">
        <f>IF('All Tandem Standards Source'!D32&lt;1/24,TEXT('All Tandem Standards Source'!D32,"M:SS"),TEXT('All Tandem Standards Source'!D32,"H:MM:SS"))</f>
        <v>13:27</v>
      </c>
      <c r="S31" s="50" t="str">
        <f>IF('All Tandem Standards Source'!H32&lt;1/24,TEXT('All Tandem Standards Source'!H32,"M:SS"),TEXT('All Tandem Standards Source'!H32,"H:MM:SS"))</f>
        <v>20:15</v>
      </c>
      <c r="T31" s="50" t="str">
        <f>IF('All Tandem Standards Source'!L32&lt;1/24,TEXT('All Tandem Standards Source'!L32,"M:SS"),TEXT('All Tandem Standards Source'!L32,"H:MM:SS"))</f>
        <v>33:59</v>
      </c>
      <c r="U31" s="50" t="str">
        <f>IF('All Tandem Standards Source'!P32&lt;1/24,TEXT('All Tandem Standards Source'!P32,"M:SS"),TEXT('All Tandem Standards Source'!P32,"H:MM:SS"))</f>
        <v>40:55</v>
      </c>
      <c r="V31" s="50" t="str">
        <f>IF('All Tandem Standards Source'!T32&lt;1/24,TEXT('All Tandem Standards Source'!T32,"M:SS"),TEXT('All Tandem Standards Source'!T32,"H:MM:SS"))</f>
        <v>1:09:09</v>
      </c>
      <c r="W31" s="50" t="str">
        <f>IF('All Tandem Standards Source'!X32&lt;1/24,TEXT('All Tandem Standards Source'!X32,"M:SS"),TEXT('All Tandem Standards Source'!X32,"H:MM:SS"))</f>
        <v>2:23:20</v>
      </c>
      <c r="X31" s="51" t="str">
        <f>TEXT('All Tandem Standards Source'!AB32,"0.00")</f>
        <v>104.61</v>
      </c>
      <c r="Y31" s="51" t="str">
        <f>TEXT('All Tandem Standards Source'!AF32,"0.00")</f>
        <v>176.75</v>
      </c>
      <c r="Z31" s="55" t="str">
        <f>IF('All Tandem Standards Source'!E32&lt;1/24,TEXT('All Tandem Standards Source'!E32,"M:SS"),TEXT('All Tandem Standards Source'!E32,"H:MM:SS"))</f>
        <v>14:47</v>
      </c>
      <c r="AA31" s="55" t="str">
        <f>IF('All Tandem Standards Source'!I32&lt;1/24,TEXT('All Tandem Standards Source'!I32,"M:SS"),TEXT('All Tandem Standards Source'!I32,"H:MM:SS"))</f>
        <v>22:14</v>
      </c>
      <c r="AB31" s="55" t="str">
        <f>IF('All Tandem Standards Source'!M32&lt;1/24,TEXT('All Tandem Standards Source'!M32,"M:SS"),TEXT('All Tandem Standards Source'!M32,"H:MM:SS"))</f>
        <v>37:19</v>
      </c>
      <c r="AC31" s="55" t="str">
        <f>IF('All Tandem Standards Source'!Q32&lt;1/24,TEXT('All Tandem Standards Source'!Q32,"M:SS"),TEXT('All Tandem Standards Source'!Q32,"H:MM:SS"))</f>
        <v>44:56</v>
      </c>
      <c r="AD31" s="55" t="str">
        <f>IF('All Tandem Standards Source'!U32&lt;1/24,TEXT('All Tandem Standards Source'!U32,"M:SS"),TEXT('All Tandem Standards Source'!U32,"H:MM:SS"))</f>
        <v>1:15:57</v>
      </c>
      <c r="AE31" s="55" t="str">
        <f>IF('All Tandem Standards Source'!Y32&lt;1/24,TEXT('All Tandem Standards Source'!Y32,"M:SS"),TEXT('All Tandem Standards Source'!Y32,"H:MM:SS"))</f>
        <v>2:37:27</v>
      </c>
      <c r="AF31" s="56" t="str">
        <f>TEXT('All Tandem Standards Source'!AC32,"0.00")</f>
        <v>91.39</v>
      </c>
      <c r="AG31" s="56" t="str">
        <f>TEXT('All Tandem Standards Source'!AG32,"0.00")</f>
        <v>157.84</v>
      </c>
    </row>
    <row r="32" spans="1:33" hidden="1" x14ac:dyDescent="0.25">
      <c r="A32" s="17">
        <v>39</v>
      </c>
      <c r="B32" s="53" t="str">
        <f>IF('All Tandem Standards Source'!B33&lt;1/24,TEXT('All Tandem Standards Source'!B33,"M:SS"),TEXT('All Tandem Standards Source'!B33,"H:MM:SS"))</f>
        <v>12:33</v>
      </c>
      <c r="C32" s="53" t="str">
        <f>IF('All Tandem Standards Source'!F33&lt;1/24,TEXT('All Tandem Standards Source'!F33,"M:SS"),TEXT('All Tandem Standards Source'!F33,"H:MM:SS"))</f>
        <v>18:53</v>
      </c>
      <c r="D32" s="53" t="str">
        <f>IF('All Tandem Standards Source'!J33&lt;1/24,TEXT('All Tandem Standards Source'!J33,"M:SS"),TEXT('All Tandem Standards Source'!J33,"H:MM:SS"))</f>
        <v>31:41</v>
      </c>
      <c r="E32" s="53" t="str">
        <f>IF('All Tandem Standards Source'!N33&lt;1/24,TEXT('All Tandem Standards Source'!N33,"M:SS"),TEXT('All Tandem Standards Source'!N33,"H:MM:SS"))</f>
        <v>38:09</v>
      </c>
      <c r="F32" s="53" t="str">
        <f>IF('All Tandem Standards Source'!R33&lt;1/24,TEXT('All Tandem Standards Source'!R33,"M:SS"),TEXT('All Tandem Standards Source'!R33,"H:MM:SS"))</f>
        <v>1:04:28</v>
      </c>
      <c r="G32" s="53" t="str">
        <f>IF('All Tandem Standards Source'!V33&lt;1/24,TEXT('All Tandem Standards Source'!V33,"M:SS"),TEXT('All Tandem Standards Source'!V33,"H:MM:SS"))</f>
        <v>2:13:39</v>
      </c>
      <c r="H32" s="54" t="str">
        <f>TEXT('All Tandem Standards Source'!Z33,"0.00")</f>
        <v>115.39</v>
      </c>
      <c r="I32" s="54" t="str">
        <f>TEXT('All Tandem Standards Source'!AD33,"0.00")</f>
        <v>191.72</v>
      </c>
      <c r="J32" s="57" t="str">
        <f>IF('All Tandem Standards Source'!C33&lt;1/24,TEXT('All Tandem Standards Source'!C33,"M:SS"),TEXT('All Tandem Standards Source'!C33,"H:MM:SS"))</f>
        <v>13:45</v>
      </c>
      <c r="K32" s="57" t="str">
        <f>IF('All Tandem Standards Source'!G33&lt;1/24,TEXT('All Tandem Standards Source'!G33,"M:SS"),TEXT('All Tandem Standards Source'!G33,"H:MM:SS"))</f>
        <v>20:42</v>
      </c>
      <c r="L32" s="57" t="str">
        <f>IF('All Tandem Standards Source'!K33&lt;1/24,TEXT('All Tandem Standards Source'!K33,"M:SS"),TEXT('All Tandem Standards Source'!K33,"H:MM:SS"))</f>
        <v>34:44</v>
      </c>
      <c r="M32" s="57" t="str">
        <f>IF('All Tandem Standards Source'!O33&lt;1/24,TEXT('All Tandem Standards Source'!O33,"M:SS"),TEXT('All Tandem Standards Source'!O33,"H:MM:SS"))</f>
        <v>41:49</v>
      </c>
      <c r="N32" s="57" t="str">
        <f>IF('All Tandem Standards Source'!S33&lt;1/24,TEXT('All Tandem Standards Source'!S33,"M:SS"),TEXT('All Tandem Standards Source'!S33,"H:MM:SS"))</f>
        <v>1:10:41</v>
      </c>
      <c r="O32" s="57" t="str">
        <f>IF('All Tandem Standards Source'!W33&lt;1/24,TEXT('All Tandem Standards Source'!W33,"M:SS"),TEXT('All Tandem Standards Source'!W33,"H:MM:SS"))</f>
        <v>2:26:32</v>
      </c>
      <c r="P32" s="58" t="str">
        <f>TEXT('All Tandem Standards Source'!AA33,"0.00")</f>
        <v>101.38</v>
      </c>
      <c r="Q32" s="58" t="str">
        <f>TEXT('All Tandem Standards Source'!AE33,"0.00")</f>
        <v>172.19</v>
      </c>
      <c r="R32" s="50" t="str">
        <f>IF('All Tandem Standards Source'!D33&lt;1/24,TEXT('All Tandem Standards Source'!D33,"M:SS"),TEXT('All Tandem Standards Source'!D33,"H:MM:SS"))</f>
        <v>13:27</v>
      </c>
      <c r="S32" s="50" t="str">
        <f>IF('All Tandem Standards Source'!H33&lt;1/24,TEXT('All Tandem Standards Source'!H33,"M:SS"),TEXT('All Tandem Standards Source'!H33,"H:MM:SS"))</f>
        <v>20:15</v>
      </c>
      <c r="T32" s="50" t="str">
        <f>IF('All Tandem Standards Source'!L33&lt;1/24,TEXT('All Tandem Standards Source'!L33,"M:SS"),TEXT('All Tandem Standards Source'!L33,"H:MM:SS"))</f>
        <v>33:59</v>
      </c>
      <c r="U32" s="50" t="str">
        <f>IF('All Tandem Standards Source'!P33&lt;1/24,TEXT('All Tandem Standards Source'!P33,"M:SS"),TEXT('All Tandem Standards Source'!P33,"H:MM:SS"))</f>
        <v>40:55</v>
      </c>
      <c r="V32" s="50" t="str">
        <f>IF('All Tandem Standards Source'!T33&lt;1/24,TEXT('All Tandem Standards Source'!T33,"M:SS"),TEXT('All Tandem Standards Source'!T33,"H:MM:SS"))</f>
        <v>1:09:09</v>
      </c>
      <c r="W32" s="50" t="str">
        <f>IF('All Tandem Standards Source'!X33&lt;1/24,TEXT('All Tandem Standards Source'!X33,"M:SS"),TEXT('All Tandem Standards Source'!X33,"H:MM:SS"))</f>
        <v>2:23:20</v>
      </c>
      <c r="X32" s="51" t="str">
        <f>TEXT('All Tandem Standards Source'!AB33,"0.00")</f>
        <v>104.61</v>
      </c>
      <c r="Y32" s="51" t="str">
        <f>TEXT('All Tandem Standards Source'!AF33,"0.00")</f>
        <v>176.75</v>
      </c>
      <c r="Z32" s="55" t="str">
        <f>IF('All Tandem Standards Source'!E33&lt;1/24,TEXT('All Tandem Standards Source'!E33,"M:SS"),TEXT('All Tandem Standards Source'!E33,"H:MM:SS"))</f>
        <v>14:47</v>
      </c>
      <c r="AA32" s="55" t="str">
        <f>IF('All Tandem Standards Source'!I33&lt;1/24,TEXT('All Tandem Standards Source'!I33,"M:SS"),TEXT('All Tandem Standards Source'!I33,"H:MM:SS"))</f>
        <v>22:14</v>
      </c>
      <c r="AB32" s="55" t="str">
        <f>IF('All Tandem Standards Source'!M33&lt;1/24,TEXT('All Tandem Standards Source'!M33,"M:SS"),TEXT('All Tandem Standards Source'!M33,"H:MM:SS"))</f>
        <v>37:19</v>
      </c>
      <c r="AC32" s="55" t="str">
        <f>IF('All Tandem Standards Source'!Q33&lt;1/24,TEXT('All Tandem Standards Source'!Q33,"M:SS"),TEXT('All Tandem Standards Source'!Q33,"H:MM:SS"))</f>
        <v>44:56</v>
      </c>
      <c r="AD32" s="55" t="str">
        <f>IF('All Tandem Standards Source'!U33&lt;1/24,TEXT('All Tandem Standards Source'!U33,"M:SS"),TEXT('All Tandem Standards Source'!U33,"H:MM:SS"))</f>
        <v>1:15:57</v>
      </c>
      <c r="AE32" s="55" t="str">
        <f>IF('All Tandem Standards Source'!Y33&lt;1/24,TEXT('All Tandem Standards Source'!Y33,"M:SS"),TEXT('All Tandem Standards Source'!Y33,"H:MM:SS"))</f>
        <v>2:37:27</v>
      </c>
      <c r="AF32" s="56" t="str">
        <f>TEXT('All Tandem Standards Source'!AC33,"0.00")</f>
        <v>91.39</v>
      </c>
      <c r="AG32" s="56" t="str">
        <f>TEXT('All Tandem Standards Source'!AG33,"0.00")</f>
        <v>157.84</v>
      </c>
    </row>
    <row r="33" spans="1:33" x14ac:dyDescent="0.25">
      <c r="A33" s="17">
        <v>40</v>
      </c>
      <c r="B33" s="53" t="str">
        <f>IF('All Tandem Standards Source'!B34&lt;1/24,TEXT('All Tandem Standards Source'!B34,"M:SS"),TEXT('All Tandem Standards Source'!B34,"H:MM:SS"))</f>
        <v>12:33</v>
      </c>
      <c r="C33" s="53" t="str">
        <f>IF('All Tandem Standards Source'!F34&lt;1/24,TEXT('All Tandem Standards Source'!F34,"M:SS"),TEXT('All Tandem Standards Source'!F34,"H:MM:SS"))</f>
        <v>18:53</v>
      </c>
      <c r="D33" s="53" t="str">
        <f>IF('All Tandem Standards Source'!J34&lt;1/24,TEXT('All Tandem Standards Source'!J34,"M:SS"),TEXT('All Tandem Standards Source'!J34,"H:MM:SS"))</f>
        <v>31:41</v>
      </c>
      <c r="E33" s="53" t="str">
        <f>IF('All Tandem Standards Source'!N34&lt;1/24,TEXT('All Tandem Standards Source'!N34,"M:SS"),TEXT('All Tandem Standards Source'!N34,"H:MM:SS"))</f>
        <v>38:09</v>
      </c>
      <c r="F33" s="53" t="str">
        <f>IF('All Tandem Standards Source'!R34&lt;1/24,TEXT('All Tandem Standards Source'!R34,"M:SS"),TEXT('All Tandem Standards Source'!R34,"H:MM:SS"))</f>
        <v>1:04:28</v>
      </c>
      <c r="G33" s="53" t="str">
        <f>IF('All Tandem Standards Source'!V34&lt;1/24,TEXT('All Tandem Standards Source'!V34,"M:SS"),TEXT('All Tandem Standards Source'!V34,"H:MM:SS"))</f>
        <v>2:13:39</v>
      </c>
      <c r="H33" s="54" t="str">
        <f>TEXT('All Tandem Standards Source'!Z34,"0.00")</f>
        <v>115.39</v>
      </c>
      <c r="I33" s="54" t="str">
        <f>TEXT('All Tandem Standards Source'!AD34,"0.00")</f>
        <v>191.72</v>
      </c>
      <c r="J33" s="57" t="str">
        <f>IF('All Tandem Standards Source'!C34&lt;1/24,TEXT('All Tandem Standards Source'!C34,"M:SS"),TEXT('All Tandem Standards Source'!C34,"H:MM:SS"))</f>
        <v>13:45</v>
      </c>
      <c r="K33" s="57" t="str">
        <f>IF('All Tandem Standards Source'!G34&lt;1/24,TEXT('All Tandem Standards Source'!G34,"M:SS"),TEXT('All Tandem Standards Source'!G34,"H:MM:SS"))</f>
        <v>20:42</v>
      </c>
      <c r="L33" s="57" t="str">
        <f>IF('All Tandem Standards Source'!K34&lt;1/24,TEXT('All Tandem Standards Source'!K34,"M:SS"),TEXT('All Tandem Standards Source'!K34,"H:MM:SS"))</f>
        <v>34:44</v>
      </c>
      <c r="M33" s="57" t="str">
        <f>IF('All Tandem Standards Source'!O34&lt;1/24,TEXT('All Tandem Standards Source'!O34,"M:SS"),TEXT('All Tandem Standards Source'!O34,"H:MM:SS"))</f>
        <v>41:49</v>
      </c>
      <c r="N33" s="57" t="str">
        <f>IF('All Tandem Standards Source'!S34&lt;1/24,TEXT('All Tandem Standards Source'!S34,"M:SS"),TEXT('All Tandem Standards Source'!S34,"H:MM:SS"))</f>
        <v>1:10:41</v>
      </c>
      <c r="O33" s="57" t="str">
        <f>IF('All Tandem Standards Source'!W34&lt;1/24,TEXT('All Tandem Standards Source'!W34,"M:SS"),TEXT('All Tandem Standards Source'!W34,"H:MM:SS"))</f>
        <v>2:26:32</v>
      </c>
      <c r="P33" s="58" t="str">
        <f>TEXT('All Tandem Standards Source'!AA34,"0.00")</f>
        <v>101.38</v>
      </c>
      <c r="Q33" s="58" t="str">
        <f>TEXT('All Tandem Standards Source'!AE34,"0.00")</f>
        <v>172.19</v>
      </c>
      <c r="R33" s="50" t="str">
        <f>IF('All Tandem Standards Source'!D34&lt;1/24,TEXT('All Tandem Standards Source'!D34,"M:SS"),TEXT('All Tandem Standards Source'!D34,"H:MM:SS"))</f>
        <v>13:27</v>
      </c>
      <c r="S33" s="50" t="str">
        <f>IF('All Tandem Standards Source'!H34&lt;1/24,TEXT('All Tandem Standards Source'!H34,"M:SS"),TEXT('All Tandem Standards Source'!H34,"H:MM:SS"))</f>
        <v>20:15</v>
      </c>
      <c r="T33" s="50" t="str">
        <f>IF('All Tandem Standards Source'!L34&lt;1/24,TEXT('All Tandem Standards Source'!L34,"M:SS"),TEXT('All Tandem Standards Source'!L34,"H:MM:SS"))</f>
        <v>33:59</v>
      </c>
      <c r="U33" s="50" t="str">
        <f>IF('All Tandem Standards Source'!P34&lt;1/24,TEXT('All Tandem Standards Source'!P34,"M:SS"),TEXT('All Tandem Standards Source'!P34,"H:MM:SS"))</f>
        <v>40:55</v>
      </c>
      <c r="V33" s="50" t="str">
        <f>IF('All Tandem Standards Source'!T34&lt;1/24,TEXT('All Tandem Standards Source'!T34,"M:SS"),TEXT('All Tandem Standards Source'!T34,"H:MM:SS"))</f>
        <v>1:09:09</v>
      </c>
      <c r="W33" s="50" t="str">
        <f>IF('All Tandem Standards Source'!X34&lt;1/24,TEXT('All Tandem Standards Source'!X34,"M:SS"),TEXT('All Tandem Standards Source'!X34,"H:MM:SS"))</f>
        <v>2:23:20</v>
      </c>
      <c r="X33" s="51" t="str">
        <f>TEXT('All Tandem Standards Source'!AB34,"0.00")</f>
        <v>104.61</v>
      </c>
      <c r="Y33" s="51" t="str">
        <f>TEXT('All Tandem Standards Source'!AF34,"0.00")</f>
        <v>176.75</v>
      </c>
      <c r="Z33" s="55" t="str">
        <f>IF('All Tandem Standards Source'!E34&lt;1/24,TEXT('All Tandem Standards Source'!E34,"M:SS"),TEXT('All Tandem Standards Source'!E34,"H:MM:SS"))</f>
        <v>14:47</v>
      </c>
      <c r="AA33" s="55" t="str">
        <f>IF('All Tandem Standards Source'!I34&lt;1/24,TEXT('All Tandem Standards Source'!I34,"M:SS"),TEXT('All Tandem Standards Source'!I34,"H:MM:SS"))</f>
        <v>22:14</v>
      </c>
      <c r="AB33" s="55" t="str">
        <f>IF('All Tandem Standards Source'!M34&lt;1/24,TEXT('All Tandem Standards Source'!M34,"M:SS"),TEXT('All Tandem Standards Source'!M34,"H:MM:SS"))</f>
        <v>37:19</v>
      </c>
      <c r="AC33" s="55" t="str">
        <f>IF('All Tandem Standards Source'!Q34&lt;1/24,TEXT('All Tandem Standards Source'!Q34,"M:SS"),TEXT('All Tandem Standards Source'!Q34,"H:MM:SS"))</f>
        <v>44:56</v>
      </c>
      <c r="AD33" s="55" t="str">
        <f>IF('All Tandem Standards Source'!U34&lt;1/24,TEXT('All Tandem Standards Source'!U34,"M:SS"),TEXT('All Tandem Standards Source'!U34,"H:MM:SS"))</f>
        <v>1:15:57</v>
      </c>
      <c r="AE33" s="55" t="str">
        <f>IF('All Tandem Standards Source'!Y34&lt;1/24,TEXT('All Tandem Standards Source'!Y34,"M:SS"),TEXT('All Tandem Standards Source'!Y34,"H:MM:SS"))</f>
        <v>2:37:27</v>
      </c>
      <c r="AF33" s="56" t="str">
        <f>TEXT('All Tandem Standards Source'!AC34,"0.00")</f>
        <v>91.39</v>
      </c>
      <c r="AG33" s="56" t="str">
        <f>TEXT('All Tandem Standards Source'!AG34,"0.00")</f>
        <v>157.84</v>
      </c>
    </row>
    <row r="34" spans="1:33" x14ac:dyDescent="0.25">
      <c r="A34" s="17">
        <v>41</v>
      </c>
      <c r="B34" s="53" t="str">
        <f>IF('All Tandem Standards Source'!B35&lt;1/24,TEXT('All Tandem Standards Source'!B35,"M:SS"),TEXT('All Tandem Standards Source'!B35,"H:MM:SS"))</f>
        <v>12:34</v>
      </c>
      <c r="C34" s="53" t="str">
        <f>IF('All Tandem Standards Source'!F35&lt;1/24,TEXT('All Tandem Standards Source'!F35,"M:SS"),TEXT('All Tandem Standards Source'!F35,"H:MM:SS"))</f>
        <v>18:54</v>
      </c>
      <c r="D34" s="53" t="str">
        <f>IF('All Tandem Standards Source'!J35&lt;1/24,TEXT('All Tandem Standards Source'!J35,"M:SS"),TEXT('All Tandem Standards Source'!J35,"H:MM:SS"))</f>
        <v>31:44</v>
      </c>
      <c r="E34" s="53" t="str">
        <f>IF('All Tandem Standards Source'!N35&lt;1/24,TEXT('All Tandem Standards Source'!N35,"M:SS"),TEXT('All Tandem Standards Source'!N35,"H:MM:SS"))</f>
        <v>38:12</v>
      </c>
      <c r="F34" s="53" t="str">
        <f>IF('All Tandem Standards Source'!R35&lt;1/24,TEXT('All Tandem Standards Source'!R35,"M:SS"),TEXT('All Tandem Standards Source'!R35,"H:MM:SS"))</f>
        <v>1:04:35</v>
      </c>
      <c r="G34" s="53" t="str">
        <f>IF('All Tandem Standards Source'!V35&lt;1/24,TEXT('All Tandem Standards Source'!V35,"M:SS"),TEXT('All Tandem Standards Source'!V35,"H:MM:SS"))</f>
        <v>2:13:53</v>
      </c>
      <c r="H34" s="54" t="str">
        <f>TEXT('All Tandem Standards Source'!Z35,"0.00")</f>
        <v>115.02</v>
      </c>
      <c r="I34" s="54" t="str">
        <f>TEXT('All Tandem Standards Source'!AD35,"0.00")</f>
        <v>190.99</v>
      </c>
      <c r="J34" s="57" t="str">
        <f>IF('All Tandem Standards Source'!C35&lt;1/24,TEXT('All Tandem Standards Source'!C35,"M:SS"),TEXT('All Tandem Standards Source'!C35,"H:MM:SS"))</f>
        <v>13:46</v>
      </c>
      <c r="K34" s="57" t="str">
        <f>IF('All Tandem Standards Source'!G35&lt;1/24,TEXT('All Tandem Standards Source'!G35,"M:SS"),TEXT('All Tandem Standards Source'!G35,"H:MM:SS"))</f>
        <v>20:43</v>
      </c>
      <c r="L34" s="57" t="str">
        <f>IF('All Tandem Standards Source'!K35&lt;1/24,TEXT('All Tandem Standards Source'!K35,"M:SS"),TEXT('All Tandem Standards Source'!K35,"H:MM:SS"))</f>
        <v>34:46</v>
      </c>
      <c r="M34" s="57" t="str">
        <f>IF('All Tandem Standards Source'!O35&lt;1/24,TEXT('All Tandem Standards Source'!O35,"M:SS"),TEXT('All Tandem Standards Source'!O35,"H:MM:SS"))</f>
        <v>41:51</v>
      </c>
      <c r="N34" s="57" t="str">
        <f>IF('All Tandem Standards Source'!S35&lt;1/24,TEXT('All Tandem Standards Source'!S35,"M:SS"),TEXT('All Tandem Standards Source'!S35,"H:MM:SS"))</f>
        <v>1:10:45</v>
      </c>
      <c r="O34" s="57" t="str">
        <f>IF('All Tandem Standards Source'!W35&lt;1/24,TEXT('All Tandem Standards Source'!W35,"M:SS"),TEXT('All Tandem Standards Source'!W35,"H:MM:SS"))</f>
        <v>2:26:40</v>
      </c>
      <c r="P34" s="58" t="str">
        <f>TEXT('All Tandem Standards Source'!AA35,"0.00")</f>
        <v>101.18</v>
      </c>
      <c r="Q34" s="58" t="str">
        <f>TEXT('All Tandem Standards Source'!AE35,"0.00")</f>
        <v>171.71</v>
      </c>
      <c r="R34" s="50" t="str">
        <f>IF('All Tandem Standards Source'!D35&lt;1/24,TEXT('All Tandem Standards Source'!D35,"M:SS"),TEXT('All Tandem Standards Source'!D35,"H:MM:SS"))</f>
        <v>13:28</v>
      </c>
      <c r="S34" s="50" t="str">
        <f>IF('All Tandem Standards Source'!H35&lt;1/24,TEXT('All Tandem Standards Source'!H35,"M:SS"),TEXT('All Tandem Standards Source'!H35,"H:MM:SS"))</f>
        <v>20:16</v>
      </c>
      <c r="T34" s="50" t="str">
        <f>IF('All Tandem Standards Source'!L35&lt;1/24,TEXT('All Tandem Standards Source'!L35,"M:SS"),TEXT('All Tandem Standards Source'!L35,"H:MM:SS"))</f>
        <v>34:01</v>
      </c>
      <c r="U34" s="50" t="str">
        <f>IF('All Tandem Standards Source'!P35&lt;1/24,TEXT('All Tandem Standards Source'!P35,"M:SS"),TEXT('All Tandem Standards Source'!P35,"H:MM:SS"))</f>
        <v>40:59</v>
      </c>
      <c r="V34" s="50" t="str">
        <f>IF('All Tandem Standards Source'!T35&lt;1/24,TEXT('All Tandem Standards Source'!T35,"M:SS"),TEXT('All Tandem Standards Source'!T35,"H:MM:SS"))</f>
        <v>1:09:15</v>
      </c>
      <c r="W34" s="50" t="str">
        <f>IF('All Tandem Standards Source'!X35&lt;1/24,TEXT('All Tandem Standards Source'!X35,"M:SS"),TEXT('All Tandem Standards Source'!X35,"H:MM:SS"))</f>
        <v>2:23:36</v>
      </c>
      <c r="X34" s="51" t="str">
        <f>TEXT('All Tandem Standards Source'!AB35,"0.00")</f>
        <v>104.28</v>
      </c>
      <c r="Y34" s="51" t="str">
        <f>TEXT('All Tandem Standards Source'!AF35,"0.00")</f>
        <v>176.09</v>
      </c>
      <c r="Z34" s="55" t="str">
        <f>IF('All Tandem Standards Source'!E35&lt;1/24,TEXT('All Tandem Standards Source'!E35,"M:SS"),TEXT('All Tandem Standards Source'!E35,"H:MM:SS"))</f>
        <v>14:47</v>
      </c>
      <c r="AA34" s="55" t="str">
        <f>IF('All Tandem Standards Source'!I35&lt;1/24,TEXT('All Tandem Standards Source'!I35,"M:SS"),TEXT('All Tandem Standards Source'!I35,"H:MM:SS"))</f>
        <v>22:15</v>
      </c>
      <c r="AB34" s="55" t="str">
        <f>IF('All Tandem Standards Source'!M35&lt;1/24,TEXT('All Tandem Standards Source'!M35,"M:SS"),TEXT('All Tandem Standards Source'!M35,"H:MM:SS"))</f>
        <v>37:21</v>
      </c>
      <c r="AC34" s="55" t="str">
        <f>IF('All Tandem Standards Source'!Q35&lt;1/24,TEXT('All Tandem Standards Source'!Q35,"M:SS"),TEXT('All Tandem Standards Source'!Q35,"H:MM:SS"))</f>
        <v>44:58</v>
      </c>
      <c r="AD34" s="55" t="str">
        <f>IF('All Tandem Standards Source'!U35&lt;1/24,TEXT('All Tandem Standards Source'!U35,"M:SS"),TEXT('All Tandem Standards Source'!U35,"H:MM:SS"))</f>
        <v>1:16:00</v>
      </c>
      <c r="AE34" s="55" t="str">
        <f>IF('All Tandem Standards Source'!Y35&lt;1/24,TEXT('All Tandem Standards Source'!Y35,"M:SS"),TEXT('All Tandem Standards Source'!Y35,"H:MM:SS"))</f>
        <v>2:37:36</v>
      </c>
      <c r="AF34" s="56" t="str">
        <f>TEXT('All Tandem Standards Source'!AC35,"0.00")</f>
        <v>91.20</v>
      </c>
      <c r="AG34" s="56" t="str">
        <f>TEXT('All Tandem Standards Source'!AG35,"0.00")</f>
        <v>157.41</v>
      </c>
    </row>
    <row r="35" spans="1:33" x14ac:dyDescent="0.25">
      <c r="A35" s="17">
        <v>42</v>
      </c>
      <c r="B35" s="53" t="str">
        <f>IF('All Tandem Standards Source'!B36&lt;1/24,TEXT('All Tandem Standards Source'!B36,"M:SS"),TEXT('All Tandem Standards Source'!B36,"H:MM:SS"))</f>
        <v>12:35</v>
      </c>
      <c r="C35" s="53" t="str">
        <f>IF('All Tandem Standards Source'!F36&lt;1/24,TEXT('All Tandem Standards Source'!F36,"M:SS"),TEXT('All Tandem Standards Source'!F36,"H:MM:SS"))</f>
        <v>18:56</v>
      </c>
      <c r="D35" s="53" t="str">
        <f>IF('All Tandem Standards Source'!J36&lt;1/24,TEXT('All Tandem Standards Source'!J36,"M:SS"),TEXT('All Tandem Standards Source'!J36,"H:MM:SS"))</f>
        <v>31:47</v>
      </c>
      <c r="E35" s="53" t="str">
        <f>IF('All Tandem Standards Source'!N36&lt;1/24,TEXT('All Tandem Standards Source'!N36,"M:SS"),TEXT('All Tandem Standards Source'!N36,"H:MM:SS"))</f>
        <v>38:16</v>
      </c>
      <c r="F35" s="53" t="str">
        <f>IF('All Tandem Standards Source'!R36&lt;1/24,TEXT('All Tandem Standards Source'!R36,"M:SS"),TEXT('All Tandem Standards Source'!R36,"H:MM:SS"))</f>
        <v>1:04:42</v>
      </c>
      <c r="G35" s="53" t="str">
        <f>IF('All Tandem Standards Source'!V36&lt;1/24,TEXT('All Tandem Standards Source'!V36,"M:SS"),TEXT('All Tandem Standards Source'!V36,"H:MM:SS"))</f>
        <v>2:14:09</v>
      </c>
      <c r="H35" s="54" t="str">
        <f>TEXT('All Tandem Standards Source'!Z36,"0.00")</f>
        <v>114.60</v>
      </c>
      <c r="I35" s="54" t="str">
        <f>TEXT('All Tandem Standards Source'!AD36,"0.00")</f>
        <v>190.15</v>
      </c>
      <c r="J35" s="57" t="str">
        <f>IF('All Tandem Standards Source'!C36&lt;1/24,TEXT('All Tandem Standards Source'!C36,"M:SS"),TEXT('All Tandem Standards Source'!C36,"H:MM:SS"))</f>
        <v>13:46</v>
      </c>
      <c r="K35" s="57" t="str">
        <f>IF('All Tandem Standards Source'!G36&lt;1/24,TEXT('All Tandem Standards Source'!G36,"M:SS"),TEXT('All Tandem Standards Source'!G36,"H:MM:SS"))</f>
        <v>20:44</v>
      </c>
      <c r="L35" s="57" t="str">
        <f>IF('All Tandem Standards Source'!K36&lt;1/24,TEXT('All Tandem Standards Source'!K36,"M:SS"),TEXT('All Tandem Standards Source'!K36,"H:MM:SS"))</f>
        <v>34:47</v>
      </c>
      <c r="M35" s="57" t="str">
        <f>IF('All Tandem Standards Source'!O36&lt;1/24,TEXT('All Tandem Standards Source'!O36,"M:SS"),TEXT('All Tandem Standards Source'!O36,"H:MM:SS"))</f>
        <v>41:53</v>
      </c>
      <c r="N35" s="57" t="str">
        <f>IF('All Tandem Standards Source'!S36&lt;1/24,TEXT('All Tandem Standards Source'!S36,"M:SS"),TEXT('All Tandem Standards Source'!S36,"H:MM:SS"))</f>
        <v>1:10:48</v>
      </c>
      <c r="O35" s="57" t="str">
        <f>IF('All Tandem Standards Source'!W36&lt;1/24,TEXT('All Tandem Standards Source'!W36,"M:SS"),TEXT('All Tandem Standards Source'!W36,"H:MM:SS"))</f>
        <v>2:26:49</v>
      </c>
      <c r="P35" s="58" t="str">
        <f>TEXT('All Tandem Standards Source'!AA36,"0.00")</f>
        <v>100.95</v>
      </c>
      <c r="Q35" s="58" t="str">
        <f>TEXT('All Tandem Standards Source'!AE36,"0.00")</f>
        <v>171.17</v>
      </c>
      <c r="R35" s="50" t="str">
        <f>IF('All Tandem Standards Source'!D36&lt;1/24,TEXT('All Tandem Standards Source'!D36,"M:SS"),TEXT('All Tandem Standards Source'!D36,"H:MM:SS"))</f>
        <v>13:30</v>
      </c>
      <c r="S35" s="50" t="str">
        <f>IF('All Tandem Standards Source'!H36&lt;1/24,TEXT('All Tandem Standards Source'!H36,"M:SS"),TEXT('All Tandem Standards Source'!H36,"H:MM:SS"))</f>
        <v>20:19</v>
      </c>
      <c r="T35" s="50" t="str">
        <f>IF('All Tandem Standards Source'!L36&lt;1/24,TEXT('All Tandem Standards Source'!L36,"M:SS"),TEXT('All Tandem Standards Source'!L36,"H:MM:SS"))</f>
        <v>34:05</v>
      </c>
      <c r="U35" s="50" t="str">
        <f>IF('All Tandem Standards Source'!P36&lt;1/24,TEXT('All Tandem Standards Source'!P36,"M:SS"),TEXT('All Tandem Standards Source'!P36,"H:MM:SS"))</f>
        <v>41:03</v>
      </c>
      <c r="V35" s="50" t="str">
        <f>IF('All Tandem Standards Source'!T36&lt;1/24,TEXT('All Tandem Standards Source'!T36,"M:SS"),TEXT('All Tandem Standards Source'!T36,"H:MM:SS"))</f>
        <v>1:09:23</v>
      </c>
      <c r="W35" s="50" t="str">
        <f>IF('All Tandem Standards Source'!X36&lt;1/24,TEXT('All Tandem Standards Source'!X36,"M:SS"),TEXT('All Tandem Standards Source'!X36,"H:MM:SS"))</f>
        <v>2:23:52</v>
      </c>
      <c r="X35" s="51" t="str">
        <f>TEXT('All Tandem Standards Source'!AB36,"0.00")</f>
        <v>103.90</v>
      </c>
      <c r="Y35" s="51" t="str">
        <f>TEXT('All Tandem Standards Source'!AF36,"0.00")</f>
        <v>175.32</v>
      </c>
      <c r="Z35" s="55" t="str">
        <f>IF('All Tandem Standards Source'!E36&lt;1/24,TEXT('All Tandem Standards Source'!E36,"M:SS"),TEXT('All Tandem Standards Source'!E36,"H:MM:SS"))</f>
        <v>14:48</v>
      </c>
      <c r="AA35" s="55" t="str">
        <f>IF('All Tandem Standards Source'!I36&lt;1/24,TEXT('All Tandem Standards Source'!I36,"M:SS"),TEXT('All Tandem Standards Source'!I36,"H:MM:SS"))</f>
        <v>22:16</v>
      </c>
      <c r="AB35" s="55" t="str">
        <f>IF('All Tandem Standards Source'!M36&lt;1/24,TEXT('All Tandem Standards Source'!M36,"M:SS"),TEXT('All Tandem Standards Source'!M36,"H:MM:SS"))</f>
        <v>37:23</v>
      </c>
      <c r="AC35" s="55" t="str">
        <f>IF('All Tandem Standards Source'!Q36&lt;1/24,TEXT('All Tandem Standards Source'!Q36,"M:SS"),TEXT('All Tandem Standards Source'!Q36,"H:MM:SS"))</f>
        <v>45:00</v>
      </c>
      <c r="AD35" s="55" t="str">
        <f>IF('All Tandem Standards Source'!U36&lt;1/24,TEXT('All Tandem Standards Source'!U36,"M:SS"),TEXT('All Tandem Standards Source'!U36,"H:MM:SS"))</f>
        <v>1:16:04</v>
      </c>
      <c r="AE35" s="55" t="str">
        <f>IF('All Tandem Standards Source'!Y36&lt;1/24,TEXT('All Tandem Standards Source'!Y36,"M:SS"),TEXT('All Tandem Standards Source'!Y36,"H:MM:SS"))</f>
        <v>2:37:45</v>
      </c>
      <c r="AF35" s="56" t="str">
        <f>TEXT('All Tandem Standards Source'!AC36,"0.00")</f>
        <v>91.00</v>
      </c>
      <c r="AG35" s="56" t="str">
        <f>TEXT('All Tandem Standards Source'!AG36,"0.00")</f>
        <v>156.94</v>
      </c>
    </row>
    <row r="36" spans="1:33" x14ac:dyDescent="0.25">
      <c r="A36" s="17">
        <v>43</v>
      </c>
      <c r="B36" s="53" t="str">
        <f>IF('All Tandem Standards Source'!B37&lt;1/24,TEXT('All Tandem Standards Source'!B37,"M:SS"),TEXT('All Tandem Standards Source'!B37,"H:MM:SS"))</f>
        <v>12:36</v>
      </c>
      <c r="C36" s="53" t="str">
        <f>IF('All Tandem Standards Source'!F37&lt;1/24,TEXT('All Tandem Standards Source'!F37,"M:SS"),TEXT('All Tandem Standards Source'!F37,"H:MM:SS"))</f>
        <v>18:59</v>
      </c>
      <c r="D36" s="53" t="str">
        <f>IF('All Tandem Standards Source'!J37&lt;1/24,TEXT('All Tandem Standards Source'!J37,"M:SS"),TEXT('All Tandem Standards Source'!J37,"H:MM:SS"))</f>
        <v>31:51</v>
      </c>
      <c r="E36" s="53" t="str">
        <f>IF('All Tandem Standards Source'!N37&lt;1/24,TEXT('All Tandem Standards Source'!N37,"M:SS"),TEXT('All Tandem Standards Source'!N37,"H:MM:SS"))</f>
        <v>38:21</v>
      </c>
      <c r="F36" s="53" t="str">
        <f>IF('All Tandem Standards Source'!R37&lt;1/24,TEXT('All Tandem Standards Source'!R37,"M:SS"),TEXT('All Tandem Standards Source'!R37,"H:MM:SS"))</f>
        <v>1:04:49</v>
      </c>
      <c r="G36" s="53" t="str">
        <f>IF('All Tandem Standards Source'!V37&lt;1/24,TEXT('All Tandem Standards Source'!V37,"M:SS"),TEXT('All Tandem Standards Source'!V37,"H:MM:SS"))</f>
        <v>2:14:26</v>
      </c>
      <c r="H36" s="54" t="str">
        <f>TEXT('All Tandem Standards Source'!Z37,"0.00")</f>
        <v>114.12</v>
      </c>
      <c r="I36" s="54" t="str">
        <f>TEXT('All Tandem Standards Source'!AD37,"0.00")</f>
        <v>189.21</v>
      </c>
      <c r="J36" s="57" t="str">
        <f>IF('All Tandem Standards Source'!C37&lt;1/24,TEXT('All Tandem Standards Source'!C37,"M:SS"),TEXT('All Tandem Standards Source'!C37,"H:MM:SS"))</f>
        <v>13:47</v>
      </c>
      <c r="K36" s="57" t="str">
        <f>IF('All Tandem Standards Source'!G37&lt;1/24,TEXT('All Tandem Standards Source'!G37,"M:SS"),TEXT('All Tandem Standards Source'!G37,"H:MM:SS"))</f>
        <v>20:45</v>
      </c>
      <c r="L36" s="57" t="str">
        <f>IF('All Tandem Standards Source'!K37&lt;1/24,TEXT('All Tandem Standards Source'!K37,"M:SS"),TEXT('All Tandem Standards Source'!K37,"H:MM:SS"))</f>
        <v>34:48</v>
      </c>
      <c r="M36" s="57" t="str">
        <f>IF('All Tandem Standards Source'!O37&lt;1/24,TEXT('All Tandem Standards Source'!O37,"M:SS"),TEXT('All Tandem Standards Source'!O37,"H:MM:SS"))</f>
        <v>41:55</v>
      </c>
      <c r="N36" s="57" t="str">
        <f>IF('All Tandem Standards Source'!S37&lt;1/24,TEXT('All Tandem Standards Source'!S37,"M:SS"),TEXT('All Tandem Standards Source'!S37,"H:MM:SS"))</f>
        <v>1:10:52</v>
      </c>
      <c r="O36" s="57" t="str">
        <f>IF('All Tandem Standards Source'!W37&lt;1/24,TEXT('All Tandem Standards Source'!W37,"M:SS"),TEXT('All Tandem Standards Source'!W37,"H:MM:SS"))</f>
        <v>2:26:58</v>
      </c>
      <c r="P36" s="58" t="str">
        <f>TEXT('All Tandem Standards Source'!AA37,"0.00")</f>
        <v>100.71</v>
      </c>
      <c r="Q36" s="58" t="str">
        <f>TEXT('All Tandem Standards Source'!AE37,"0.00")</f>
        <v>170.59</v>
      </c>
      <c r="R36" s="50" t="str">
        <f>IF('All Tandem Standards Source'!D37&lt;1/24,TEXT('All Tandem Standards Source'!D37,"M:SS"),TEXT('All Tandem Standards Source'!D37,"H:MM:SS"))</f>
        <v>13:31</v>
      </c>
      <c r="S36" s="50" t="str">
        <f>IF('All Tandem Standards Source'!H37&lt;1/24,TEXT('All Tandem Standards Source'!H37,"M:SS"),TEXT('All Tandem Standards Source'!H37,"H:MM:SS"))</f>
        <v>20:21</v>
      </c>
      <c r="T36" s="50" t="str">
        <f>IF('All Tandem Standards Source'!L37&lt;1/24,TEXT('All Tandem Standards Source'!L37,"M:SS"),TEXT('All Tandem Standards Source'!L37,"H:MM:SS"))</f>
        <v>34:10</v>
      </c>
      <c r="U36" s="50" t="str">
        <f>IF('All Tandem Standards Source'!P37&lt;1/24,TEXT('All Tandem Standards Source'!P37,"M:SS"),TEXT('All Tandem Standards Source'!P37,"H:MM:SS"))</f>
        <v>41:08</v>
      </c>
      <c r="V36" s="50" t="str">
        <f>IF('All Tandem Standards Source'!T37&lt;1/24,TEXT('All Tandem Standards Source'!T37,"M:SS"),TEXT('All Tandem Standards Source'!T37,"H:MM:SS"))</f>
        <v>1:09:32</v>
      </c>
      <c r="W36" s="50" t="str">
        <f>IF('All Tandem Standards Source'!X37&lt;1/24,TEXT('All Tandem Standards Source'!X37,"M:SS"),TEXT('All Tandem Standards Source'!X37,"H:MM:SS"))</f>
        <v>2:24:12</v>
      </c>
      <c r="X36" s="51" t="str">
        <f>TEXT('All Tandem Standards Source'!AB37,"0.00")</f>
        <v>103.46</v>
      </c>
      <c r="Y36" s="51" t="str">
        <f>TEXT('All Tandem Standards Source'!AF37,"0.00")</f>
        <v>174.47</v>
      </c>
      <c r="Z36" s="55" t="str">
        <f>IF('All Tandem Standards Source'!E37&lt;1/24,TEXT('All Tandem Standards Source'!E37,"M:SS"),TEXT('All Tandem Standards Source'!E37,"H:MM:SS"))</f>
        <v>14:48</v>
      </c>
      <c r="AA36" s="55" t="str">
        <f>IF('All Tandem Standards Source'!I37&lt;1/24,TEXT('All Tandem Standards Source'!I37,"M:SS"),TEXT('All Tandem Standards Source'!I37,"H:MM:SS"))</f>
        <v>22:17</v>
      </c>
      <c r="AB36" s="55" t="str">
        <f>IF('All Tandem Standards Source'!M37&lt;1/24,TEXT('All Tandem Standards Source'!M37,"M:SS"),TEXT('All Tandem Standards Source'!M37,"H:MM:SS"))</f>
        <v>37:24</v>
      </c>
      <c r="AC36" s="55" t="str">
        <f>IF('All Tandem Standards Source'!Q37&lt;1/24,TEXT('All Tandem Standards Source'!Q37,"M:SS"),TEXT('All Tandem Standards Source'!Q37,"H:MM:SS"))</f>
        <v>45:02</v>
      </c>
      <c r="AD36" s="55" t="str">
        <f>IF('All Tandem Standards Source'!U37&lt;1/24,TEXT('All Tandem Standards Source'!U37,"M:SS"),TEXT('All Tandem Standards Source'!U37,"H:MM:SS"))</f>
        <v>1:16:09</v>
      </c>
      <c r="AE36" s="55" t="str">
        <f>IF('All Tandem Standards Source'!Y37&lt;1/24,TEXT('All Tandem Standards Source'!Y37,"M:SS"),TEXT('All Tandem Standards Source'!Y37,"H:MM:SS"))</f>
        <v>2:37:55</v>
      </c>
      <c r="AF36" s="56" t="str">
        <f>TEXT('All Tandem Standards Source'!AC37,"0.00")</f>
        <v>90.79</v>
      </c>
      <c r="AG36" s="56" t="str">
        <f>TEXT('All Tandem Standards Source'!AG37,"0.00")</f>
        <v>156.41</v>
      </c>
    </row>
    <row r="37" spans="1:33" x14ac:dyDescent="0.25">
      <c r="A37" s="17">
        <v>44</v>
      </c>
      <c r="B37" s="53" t="str">
        <f>IF('All Tandem Standards Source'!B38&lt;1/24,TEXT('All Tandem Standards Source'!B38,"M:SS"),TEXT('All Tandem Standards Source'!B38,"H:MM:SS"))</f>
        <v>12:38</v>
      </c>
      <c r="C37" s="53" t="str">
        <f>IF('All Tandem Standards Source'!F38&lt;1/24,TEXT('All Tandem Standards Source'!F38,"M:SS"),TEXT('All Tandem Standards Source'!F38,"H:MM:SS"))</f>
        <v>19:01</v>
      </c>
      <c r="D37" s="53" t="str">
        <f>IF('All Tandem Standards Source'!J38&lt;1/24,TEXT('All Tandem Standards Source'!J38,"M:SS"),TEXT('All Tandem Standards Source'!J38,"H:MM:SS"))</f>
        <v>31:55</v>
      </c>
      <c r="E37" s="53" t="str">
        <f>IF('All Tandem Standards Source'!N38&lt;1/24,TEXT('All Tandem Standards Source'!N38,"M:SS"),TEXT('All Tandem Standards Source'!N38,"H:MM:SS"))</f>
        <v>38:26</v>
      </c>
      <c r="F37" s="53" t="str">
        <f>IF('All Tandem Standards Source'!R38&lt;1/24,TEXT('All Tandem Standards Source'!R38,"M:SS"),TEXT('All Tandem Standards Source'!R38,"H:MM:SS"))</f>
        <v>1:04:58</v>
      </c>
      <c r="G37" s="53" t="str">
        <f>IF('All Tandem Standards Source'!V38&lt;1/24,TEXT('All Tandem Standards Source'!V38,"M:SS"),TEXT('All Tandem Standards Source'!V38,"H:MM:SS"))</f>
        <v>2:14:46</v>
      </c>
      <c r="H37" s="54" t="str">
        <f>TEXT('All Tandem Standards Source'!Z38,"0.00")</f>
        <v>113.60</v>
      </c>
      <c r="I37" s="54" t="str">
        <f>TEXT('All Tandem Standards Source'!AD38,"0.00")</f>
        <v>188.18</v>
      </c>
      <c r="J37" s="57" t="str">
        <f>IF('All Tandem Standards Source'!C38&lt;1/24,TEXT('All Tandem Standards Source'!C38,"M:SS"),TEXT('All Tandem Standards Source'!C38,"H:MM:SS"))</f>
        <v>13:48</v>
      </c>
      <c r="K37" s="57" t="str">
        <f>IF('All Tandem Standards Source'!G38&lt;1/24,TEXT('All Tandem Standards Source'!G38,"M:SS"),TEXT('All Tandem Standards Source'!G38,"H:MM:SS"))</f>
        <v>20:46</v>
      </c>
      <c r="L37" s="57" t="str">
        <f>IF('All Tandem Standards Source'!K38&lt;1/24,TEXT('All Tandem Standards Source'!K38,"M:SS"),TEXT('All Tandem Standards Source'!K38,"H:MM:SS"))</f>
        <v>34:50</v>
      </c>
      <c r="M37" s="57" t="str">
        <f>IF('All Tandem Standards Source'!O38&lt;1/24,TEXT('All Tandem Standards Source'!O38,"M:SS"),TEXT('All Tandem Standards Source'!O38,"H:MM:SS"))</f>
        <v>41:58</v>
      </c>
      <c r="N37" s="57" t="str">
        <f>IF('All Tandem Standards Source'!S38&lt;1/24,TEXT('All Tandem Standards Source'!S38,"M:SS"),TEXT('All Tandem Standards Source'!S38,"H:MM:SS"))</f>
        <v>1:10:56</v>
      </c>
      <c r="O37" s="57" t="str">
        <f>IF('All Tandem Standards Source'!W38&lt;1/24,TEXT('All Tandem Standards Source'!W38,"M:SS"),TEXT('All Tandem Standards Source'!W38,"H:MM:SS"))</f>
        <v>2:27:08</v>
      </c>
      <c r="P37" s="58" t="str">
        <f>TEXT('All Tandem Standards Source'!AA38,"0.00")</f>
        <v>100.44</v>
      </c>
      <c r="Q37" s="58" t="str">
        <f>TEXT('All Tandem Standards Source'!AE38,"0.00")</f>
        <v>169.95</v>
      </c>
      <c r="R37" s="50" t="str">
        <f>IF('All Tandem Standards Source'!D38&lt;1/24,TEXT('All Tandem Standards Source'!D38,"M:SS"),TEXT('All Tandem Standards Source'!D38,"H:MM:SS"))</f>
        <v>13:33</v>
      </c>
      <c r="S37" s="50" t="str">
        <f>IF('All Tandem Standards Source'!H38&lt;1/24,TEXT('All Tandem Standards Source'!H38,"M:SS"),TEXT('All Tandem Standards Source'!H38,"H:MM:SS"))</f>
        <v>20:24</v>
      </c>
      <c r="T37" s="50" t="str">
        <f>IF('All Tandem Standards Source'!L38&lt;1/24,TEXT('All Tandem Standards Source'!L38,"M:SS"),TEXT('All Tandem Standards Source'!L38,"H:MM:SS"))</f>
        <v>34:14</v>
      </c>
      <c r="U37" s="50" t="str">
        <f>IF('All Tandem Standards Source'!P38&lt;1/24,TEXT('All Tandem Standards Source'!P38,"M:SS"),TEXT('All Tandem Standards Source'!P38,"H:MM:SS"))</f>
        <v>41:13</v>
      </c>
      <c r="V37" s="50" t="str">
        <f>IF('All Tandem Standards Source'!T38&lt;1/24,TEXT('All Tandem Standards Source'!T38,"M:SS"),TEXT('All Tandem Standards Source'!T38,"H:MM:SS"))</f>
        <v>1:09:41</v>
      </c>
      <c r="W37" s="50" t="str">
        <f>IF('All Tandem Standards Source'!X38&lt;1/24,TEXT('All Tandem Standards Source'!X38,"M:SS"),TEXT('All Tandem Standards Source'!X38,"H:MM:SS"))</f>
        <v>2:24:33</v>
      </c>
      <c r="X37" s="51" t="str">
        <f>TEXT('All Tandem Standards Source'!AB38,"0.00")</f>
        <v>102.99</v>
      </c>
      <c r="Y37" s="51" t="str">
        <f>TEXT('All Tandem Standards Source'!AF38,"0.00")</f>
        <v>173.52</v>
      </c>
      <c r="Z37" s="55" t="str">
        <f>IF('All Tandem Standards Source'!E38&lt;1/24,TEXT('All Tandem Standards Source'!E38,"M:SS"),TEXT('All Tandem Standards Source'!E38,"H:MM:SS"))</f>
        <v>14:49</v>
      </c>
      <c r="AA37" s="55" t="str">
        <f>IF('All Tandem Standards Source'!I38&lt;1/24,TEXT('All Tandem Standards Source'!I38,"M:SS"),TEXT('All Tandem Standards Source'!I38,"H:MM:SS"))</f>
        <v>22:18</v>
      </c>
      <c r="AB37" s="55" t="str">
        <f>IF('All Tandem Standards Source'!M38&lt;1/24,TEXT('All Tandem Standards Source'!M38,"M:SS"),TEXT('All Tandem Standards Source'!M38,"H:MM:SS"))</f>
        <v>37:26</v>
      </c>
      <c r="AC37" s="55" t="str">
        <f>IF('All Tandem Standards Source'!Q38&lt;1/24,TEXT('All Tandem Standards Source'!Q38,"M:SS"),TEXT('All Tandem Standards Source'!Q38,"H:MM:SS"))</f>
        <v>45:05</v>
      </c>
      <c r="AD37" s="55" t="str">
        <f>IF('All Tandem Standards Source'!U38&lt;1/24,TEXT('All Tandem Standards Source'!U38,"M:SS"),TEXT('All Tandem Standards Source'!U38,"H:MM:SS"))</f>
        <v>1:16:13</v>
      </c>
      <c r="AE37" s="55" t="str">
        <f>IF('All Tandem Standards Source'!Y38&lt;1/24,TEXT('All Tandem Standards Source'!Y38,"M:SS"),TEXT('All Tandem Standards Source'!Y38,"H:MM:SS"))</f>
        <v>2:38:06</v>
      </c>
      <c r="AF37" s="56" t="str">
        <f>TEXT('All Tandem Standards Source'!AC38,"0.00")</f>
        <v>90.55</v>
      </c>
      <c r="AG37" s="56" t="str">
        <f>TEXT('All Tandem Standards Source'!AG38,"0.00")</f>
        <v>155.84</v>
      </c>
    </row>
    <row r="38" spans="1:33" x14ac:dyDescent="0.25">
      <c r="A38" s="17">
        <v>45</v>
      </c>
      <c r="B38" s="53" t="str">
        <f>IF('All Tandem Standards Source'!B39&lt;1/24,TEXT('All Tandem Standards Source'!B39,"M:SS"),TEXT('All Tandem Standards Source'!B39,"H:MM:SS"))</f>
        <v>12:40</v>
      </c>
      <c r="C38" s="53" t="str">
        <f>IF('All Tandem Standards Source'!F39&lt;1/24,TEXT('All Tandem Standards Source'!F39,"M:SS"),TEXT('All Tandem Standards Source'!F39,"H:MM:SS"))</f>
        <v>19:04</v>
      </c>
      <c r="D38" s="53" t="str">
        <f>IF('All Tandem Standards Source'!J39&lt;1/24,TEXT('All Tandem Standards Source'!J39,"M:SS"),TEXT('All Tandem Standards Source'!J39,"H:MM:SS"))</f>
        <v>32:00</v>
      </c>
      <c r="E38" s="53" t="str">
        <f>IF('All Tandem Standards Source'!N39&lt;1/24,TEXT('All Tandem Standards Source'!N39,"M:SS"),TEXT('All Tandem Standards Source'!N39,"H:MM:SS"))</f>
        <v>38:32</v>
      </c>
      <c r="F38" s="53" t="str">
        <f>IF('All Tandem Standards Source'!R39&lt;1/24,TEXT('All Tandem Standards Source'!R39,"M:SS"),TEXT('All Tandem Standards Source'!R39,"H:MM:SS"))</f>
        <v>1:05:08</v>
      </c>
      <c r="G38" s="53" t="str">
        <f>IF('All Tandem Standards Source'!V39&lt;1/24,TEXT('All Tandem Standards Source'!V39,"M:SS"),TEXT('All Tandem Standards Source'!V39,"H:MM:SS"))</f>
        <v>2:15:08</v>
      </c>
      <c r="H38" s="54" t="str">
        <f>TEXT('All Tandem Standards Source'!Z39,"0.00")</f>
        <v>113.04</v>
      </c>
      <c r="I38" s="54" t="str">
        <f>TEXT('All Tandem Standards Source'!AD39,"0.00")</f>
        <v>187.06</v>
      </c>
      <c r="J38" s="57" t="str">
        <f>IF('All Tandem Standards Source'!C39&lt;1/24,TEXT('All Tandem Standards Source'!C39,"M:SS"),TEXT('All Tandem Standards Source'!C39,"H:MM:SS"))</f>
        <v>13:48</v>
      </c>
      <c r="K38" s="57" t="str">
        <f>IF('All Tandem Standards Source'!G39&lt;1/24,TEXT('All Tandem Standards Source'!G39,"M:SS"),TEXT('All Tandem Standards Source'!G39,"H:MM:SS"))</f>
        <v>20:47</v>
      </c>
      <c r="L38" s="57" t="str">
        <f>IF('All Tandem Standards Source'!K39&lt;1/24,TEXT('All Tandem Standards Source'!K39,"M:SS"),TEXT('All Tandem Standards Source'!K39,"H:MM:SS"))</f>
        <v>34:52</v>
      </c>
      <c r="M38" s="57" t="str">
        <f>IF('All Tandem Standards Source'!O39&lt;1/24,TEXT('All Tandem Standards Source'!O39,"M:SS"),TEXT('All Tandem Standards Source'!O39,"H:MM:SS"))</f>
        <v>42:00</v>
      </c>
      <c r="N38" s="57" t="str">
        <f>IF('All Tandem Standards Source'!S39&lt;1/24,TEXT('All Tandem Standards Source'!S39,"M:SS"),TEXT('All Tandem Standards Source'!S39,"H:MM:SS"))</f>
        <v>1:11:00</v>
      </c>
      <c r="O38" s="57" t="str">
        <f>IF('All Tandem Standards Source'!W39&lt;1/24,TEXT('All Tandem Standards Source'!W39,"M:SS"),TEXT('All Tandem Standards Source'!W39,"H:MM:SS"))</f>
        <v>2:27:18</v>
      </c>
      <c r="P38" s="58" t="str">
        <f>TEXT('All Tandem Standards Source'!AA39,"0.00")</f>
        <v>100.15</v>
      </c>
      <c r="Q38" s="58" t="str">
        <f>TEXT('All Tandem Standards Source'!AE39,"0.00")</f>
        <v>169.24</v>
      </c>
      <c r="R38" s="50" t="str">
        <f>IF('All Tandem Standards Source'!D39&lt;1/24,TEXT('All Tandem Standards Source'!D39,"M:SS"),TEXT('All Tandem Standards Source'!D39,"H:MM:SS"))</f>
        <v>13:35</v>
      </c>
      <c r="S38" s="50" t="str">
        <f>IF('All Tandem Standards Source'!H39&lt;1/24,TEXT('All Tandem Standards Source'!H39,"M:SS"),TEXT('All Tandem Standards Source'!H39,"H:MM:SS"))</f>
        <v>20:27</v>
      </c>
      <c r="T38" s="50" t="str">
        <f>IF('All Tandem Standards Source'!L39&lt;1/24,TEXT('All Tandem Standards Source'!L39,"M:SS"),TEXT('All Tandem Standards Source'!L39,"H:MM:SS"))</f>
        <v>34:19</v>
      </c>
      <c r="U38" s="50" t="str">
        <f>IF('All Tandem Standards Source'!P39&lt;1/24,TEXT('All Tandem Standards Source'!P39,"M:SS"),TEXT('All Tandem Standards Source'!P39,"H:MM:SS"))</f>
        <v>41:20</v>
      </c>
      <c r="V38" s="50" t="str">
        <f>IF('All Tandem Standards Source'!T39&lt;1/24,TEXT('All Tandem Standards Source'!T39,"M:SS"),TEXT('All Tandem Standards Source'!T39,"H:MM:SS"))</f>
        <v>1:09:52</v>
      </c>
      <c r="W38" s="50" t="str">
        <f>IF('All Tandem Standards Source'!X39&lt;1/24,TEXT('All Tandem Standards Source'!X39,"M:SS"),TEXT('All Tandem Standards Source'!X39,"H:MM:SS"))</f>
        <v>2:24:57</v>
      </c>
      <c r="X38" s="51" t="str">
        <f>TEXT('All Tandem Standards Source'!AB39,"0.00")</f>
        <v>102.47</v>
      </c>
      <c r="Y38" s="51" t="str">
        <f>TEXT('All Tandem Standards Source'!AF39,"0.00")</f>
        <v>172.49</v>
      </c>
      <c r="Z38" s="55" t="str">
        <f>IF('All Tandem Standards Source'!E39&lt;1/24,TEXT('All Tandem Standards Source'!E39,"M:SS"),TEXT('All Tandem Standards Source'!E39,"H:MM:SS"))</f>
        <v>14:50</v>
      </c>
      <c r="AA38" s="55" t="str">
        <f>IF('All Tandem Standards Source'!I39&lt;1/24,TEXT('All Tandem Standards Source'!I39,"M:SS"),TEXT('All Tandem Standards Source'!I39,"H:MM:SS"))</f>
        <v>22:20</v>
      </c>
      <c r="AB38" s="55" t="str">
        <f>IF('All Tandem Standards Source'!M39&lt;1/24,TEXT('All Tandem Standards Source'!M39,"M:SS"),TEXT('All Tandem Standards Source'!M39,"H:MM:SS"))</f>
        <v>37:28</v>
      </c>
      <c r="AC38" s="55" t="str">
        <f>IF('All Tandem Standards Source'!Q39&lt;1/24,TEXT('All Tandem Standards Source'!Q39,"M:SS"),TEXT('All Tandem Standards Source'!Q39,"H:MM:SS"))</f>
        <v>45:08</v>
      </c>
      <c r="AD38" s="55" t="str">
        <f>IF('All Tandem Standards Source'!U39&lt;1/24,TEXT('All Tandem Standards Source'!U39,"M:SS"),TEXT('All Tandem Standards Source'!U39,"H:MM:SS"))</f>
        <v>1:16:18</v>
      </c>
      <c r="AE38" s="55" t="str">
        <f>IF('All Tandem Standards Source'!Y39&lt;1/24,TEXT('All Tandem Standards Source'!Y39,"M:SS"),TEXT('All Tandem Standards Source'!Y39,"H:MM:SS"))</f>
        <v>2:38:17</v>
      </c>
      <c r="AF38" s="56" t="str">
        <f>TEXT('All Tandem Standards Source'!AC39,"0.00")</f>
        <v>90.29</v>
      </c>
      <c r="AG38" s="56" t="str">
        <f>TEXT('All Tandem Standards Source'!AG39,"0.00")</f>
        <v>155.21</v>
      </c>
    </row>
    <row r="39" spans="1:33" x14ac:dyDescent="0.25">
      <c r="A39" s="17">
        <v>46</v>
      </c>
      <c r="B39" s="53" t="str">
        <f>IF('All Tandem Standards Source'!B40&lt;1/24,TEXT('All Tandem Standards Source'!B40,"M:SS"),TEXT('All Tandem Standards Source'!B40,"H:MM:SS"))</f>
        <v>12:42</v>
      </c>
      <c r="C39" s="53" t="str">
        <f>IF('All Tandem Standards Source'!F40&lt;1/24,TEXT('All Tandem Standards Source'!F40,"M:SS"),TEXT('All Tandem Standards Source'!F40,"H:MM:SS"))</f>
        <v>19:07</v>
      </c>
      <c r="D39" s="53" t="str">
        <f>IF('All Tandem Standards Source'!J40&lt;1/24,TEXT('All Tandem Standards Source'!J40,"M:SS"),TEXT('All Tandem Standards Source'!J40,"H:MM:SS"))</f>
        <v>32:04</v>
      </c>
      <c r="E39" s="53" t="str">
        <f>IF('All Tandem Standards Source'!N40&lt;1/24,TEXT('All Tandem Standards Source'!N40,"M:SS"),TEXT('All Tandem Standards Source'!N40,"H:MM:SS"))</f>
        <v>38:37</v>
      </c>
      <c r="F39" s="53" t="str">
        <f>IF('All Tandem Standards Source'!R40&lt;1/24,TEXT('All Tandem Standards Source'!R40,"M:SS"),TEXT('All Tandem Standards Source'!R40,"H:MM:SS"))</f>
        <v>1:05:18</v>
      </c>
      <c r="G39" s="53" t="str">
        <f>IF('All Tandem Standards Source'!V40&lt;1/24,TEXT('All Tandem Standards Source'!V40,"M:SS"),TEXT('All Tandem Standards Source'!V40,"H:MM:SS"))</f>
        <v>2:15:31</v>
      </c>
      <c r="H39" s="54" t="str">
        <f>TEXT('All Tandem Standards Source'!Z40,"0.00")</f>
        <v>112.43</v>
      </c>
      <c r="I39" s="54" t="str">
        <f>TEXT('All Tandem Standards Source'!AD40,"0.00")</f>
        <v>185.85</v>
      </c>
      <c r="J39" s="57" t="str">
        <f>IF('All Tandem Standards Source'!C40&lt;1/24,TEXT('All Tandem Standards Source'!C40,"M:SS"),TEXT('All Tandem Standards Source'!C40,"H:MM:SS"))</f>
        <v>13:49</v>
      </c>
      <c r="K39" s="57" t="str">
        <f>IF('All Tandem Standards Source'!G40&lt;1/24,TEXT('All Tandem Standards Source'!G40,"M:SS"),TEXT('All Tandem Standards Source'!G40,"H:MM:SS"))</f>
        <v>20:48</v>
      </c>
      <c r="L39" s="57" t="str">
        <f>IF('All Tandem Standards Source'!K40&lt;1/24,TEXT('All Tandem Standards Source'!K40,"M:SS"),TEXT('All Tandem Standards Source'!K40,"H:MM:SS"))</f>
        <v>34:55</v>
      </c>
      <c r="M39" s="57" t="str">
        <f>IF('All Tandem Standards Source'!O40&lt;1/24,TEXT('All Tandem Standards Source'!O40,"M:SS"),TEXT('All Tandem Standards Source'!O40,"H:MM:SS"))</f>
        <v>42:02</v>
      </c>
      <c r="N39" s="57" t="str">
        <f>IF('All Tandem Standards Source'!S40&lt;1/24,TEXT('All Tandem Standards Source'!S40,"M:SS"),TEXT('All Tandem Standards Source'!S40,"H:MM:SS"))</f>
        <v>1:11:05</v>
      </c>
      <c r="O39" s="57" t="str">
        <f>IF('All Tandem Standards Source'!W40&lt;1/24,TEXT('All Tandem Standards Source'!W40,"M:SS"),TEXT('All Tandem Standards Source'!W40,"H:MM:SS"))</f>
        <v>2:27:31</v>
      </c>
      <c r="P39" s="58" t="str">
        <f>TEXT('All Tandem Standards Source'!AA40,"0.00")</f>
        <v>99.83</v>
      </c>
      <c r="Q39" s="58" t="str">
        <f>TEXT('All Tandem Standards Source'!AE40,"0.00")</f>
        <v>168.47</v>
      </c>
      <c r="R39" s="50" t="str">
        <f>IF('All Tandem Standards Source'!D40&lt;1/24,TEXT('All Tandem Standards Source'!D40,"M:SS"),TEXT('All Tandem Standards Source'!D40,"H:MM:SS"))</f>
        <v>13:37</v>
      </c>
      <c r="S39" s="50" t="str">
        <f>IF('All Tandem Standards Source'!H40&lt;1/24,TEXT('All Tandem Standards Source'!H40,"M:SS"),TEXT('All Tandem Standards Source'!H40,"H:MM:SS"))</f>
        <v>20:30</v>
      </c>
      <c r="T39" s="50" t="str">
        <f>IF('All Tandem Standards Source'!L40&lt;1/24,TEXT('All Tandem Standards Source'!L40,"M:SS"),TEXT('All Tandem Standards Source'!L40,"H:MM:SS"))</f>
        <v>34:24</v>
      </c>
      <c r="U39" s="50" t="str">
        <f>IF('All Tandem Standards Source'!P40&lt;1/24,TEXT('All Tandem Standards Source'!P40,"M:SS"),TEXT('All Tandem Standards Source'!P40,"H:MM:SS"))</f>
        <v>41:26</v>
      </c>
      <c r="V39" s="50" t="str">
        <f>IF('All Tandem Standards Source'!T40&lt;1/24,TEXT('All Tandem Standards Source'!T40,"M:SS"),TEXT('All Tandem Standards Source'!T40,"H:MM:SS"))</f>
        <v>1:10:03</v>
      </c>
      <c r="W39" s="50" t="str">
        <f>IF('All Tandem Standards Source'!X40&lt;1/24,TEXT('All Tandem Standards Source'!X40,"M:SS"),TEXT('All Tandem Standards Source'!X40,"H:MM:SS"))</f>
        <v>2:25:22</v>
      </c>
      <c r="X39" s="51" t="str">
        <f>TEXT('All Tandem Standards Source'!AB40,"0.00")</f>
        <v>101.91</v>
      </c>
      <c r="Y39" s="51" t="str">
        <f>TEXT('All Tandem Standards Source'!AF40,"0.00")</f>
        <v>171.39</v>
      </c>
      <c r="Z39" s="55" t="str">
        <f>IF('All Tandem Standards Source'!E40&lt;1/24,TEXT('All Tandem Standards Source'!E40,"M:SS"),TEXT('All Tandem Standards Source'!E40,"H:MM:SS"))</f>
        <v>14:51</v>
      </c>
      <c r="AA39" s="55" t="str">
        <f>IF('All Tandem Standards Source'!I40&lt;1/24,TEXT('All Tandem Standards Source'!I40,"M:SS"),TEXT('All Tandem Standards Source'!I40,"H:MM:SS"))</f>
        <v>22:21</v>
      </c>
      <c r="AB39" s="55" t="str">
        <f>IF('All Tandem Standards Source'!M40&lt;1/24,TEXT('All Tandem Standards Source'!M40,"M:SS"),TEXT('All Tandem Standards Source'!M40,"H:MM:SS"))</f>
        <v>37:31</v>
      </c>
      <c r="AC39" s="55" t="str">
        <f>IF('All Tandem Standards Source'!Q40&lt;1/24,TEXT('All Tandem Standards Source'!Q40,"M:SS"),TEXT('All Tandem Standards Source'!Q40,"H:MM:SS"))</f>
        <v>45:11</v>
      </c>
      <c r="AD39" s="55" t="str">
        <f>IF('All Tandem Standards Source'!U40&lt;1/24,TEXT('All Tandem Standards Source'!U40,"M:SS"),TEXT('All Tandem Standards Source'!U40,"H:MM:SS"))</f>
        <v>1:16:23</v>
      </c>
      <c r="AE39" s="55" t="str">
        <f>IF('All Tandem Standards Source'!Y40&lt;1/24,TEXT('All Tandem Standards Source'!Y40,"M:SS"),TEXT('All Tandem Standards Source'!Y40,"H:MM:SS"))</f>
        <v>2:38:31</v>
      </c>
      <c r="AF39" s="56" t="str">
        <f>TEXT('All Tandem Standards Source'!AC40,"0.00")</f>
        <v>90.00</v>
      </c>
      <c r="AG39" s="56" t="str">
        <f>TEXT('All Tandem Standards Source'!AG40,"0.00")</f>
        <v>154.52</v>
      </c>
    </row>
    <row r="40" spans="1:33" x14ac:dyDescent="0.25">
      <c r="A40" s="17">
        <v>47</v>
      </c>
      <c r="B40" s="53" t="str">
        <f>IF('All Tandem Standards Source'!B41&lt;1/24,TEXT('All Tandem Standards Source'!B41,"M:SS"),TEXT('All Tandem Standards Source'!B41,"H:MM:SS"))</f>
        <v>12:44</v>
      </c>
      <c r="C40" s="53" t="str">
        <f>IF('All Tandem Standards Source'!F41&lt;1/24,TEXT('All Tandem Standards Source'!F41,"M:SS"),TEXT('All Tandem Standards Source'!F41,"H:MM:SS"))</f>
        <v>19:10</v>
      </c>
      <c r="D40" s="53" t="str">
        <f>IF('All Tandem Standards Source'!J41&lt;1/24,TEXT('All Tandem Standards Source'!J41,"M:SS"),TEXT('All Tandem Standards Source'!J41,"H:MM:SS"))</f>
        <v>32:10</v>
      </c>
      <c r="E40" s="53" t="str">
        <f>IF('All Tandem Standards Source'!N41&lt;1/24,TEXT('All Tandem Standards Source'!N41,"M:SS"),TEXT('All Tandem Standards Source'!N41,"H:MM:SS"))</f>
        <v>38:44</v>
      </c>
      <c r="F40" s="53" t="str">
        <f>IF('All Tandem Standards Source'!R41&lt;1/24,TEXT('All Tandem Standards Source'!R41,"M:SS"),TEXT('All Tandem Standards Source'!R41,"H:MM:SS"))</f>
        <v>1:05:30</v>
      </c>
      <c r="G40" s="53" t="str">
        <f>IF('All Tandem Standards Source'!V41&lt;1/24,TEXT('All Tandem Standards Source'!V41,"M:SS"),TEXT('All Tandem Standards Source'!V41,"H:MM:SS"))</f>
        <v>2:15:56</v>
      </c>
      <c r="H40" s="54" t="str">
        <f>TEXT('All Tandem Standards Source'!Z41,"0.00")</f>
        <v>111.77</v>
      </c>
      <c r="I40" s="54" t="str">
        <f>TEXT('All Tandem Standards Source'!AD41,"0.00")</f>
        <v>184.56</v>
      </c>
      <c r="J40" s="57" t="str">
        <f>IF('All Tandem Standards Source'!C41&lt;1/24,TEXT('All Tandem Standards Source'!C41,"M:SS"),TEXT('All Tandem Standards Source'!C41,"H:MM:SS"))</f>
        <v>13:50</v>
      </c>
      <c r="K40" s="57" t="str">
        <f>IF('All Tandem Standards Source'!G41&lt;1/24,TEXT('All Tandem Standards Source'!G41,"M:SS"),TEXT('All Tandem Standards Source'!G41,"H:MM:SS"))</f>
        <v>20:49</v>
      </c>
      <c r="L40" s="57" t="str">
        <f>IF('All Tandem Standards Source'!K41&lt;1/24,TEXT('All Tandem Standards Source'!K41,"M:SS"),TEXT('All Tandem Standards Source'!K41,"H:MM:SS"))</f>
        <v>34:57</v>
      </c>
      <c r="M40" s="57" t="str">
        <f>IF('All Tandem Standards Source'!O41&lt;1/24,TEXT('All Tandem Standards Source'!O41,"M:SS"),TEXT('All Tandem Standards Source'!O41,"H:MM:SS"))</f>
        <v>42:06</v>
      </c>
      <c r="N40" s="57" t="str">
        <f>IF('All Tandem Standards Source'!S41&lt;1/24,TEXT('All Tandem Standards Source'!S41,"M:SS"),TEXT('All Tandem Standards Source'!S41,"H:MM:SS"))</f>
        <v>1:11:11</v>
      </c>
      <c r="O40" s="57" t="str">
        <f>IF('All Tandem Standards Source'!W41&lt;1/24,TEXT('All Tandem Standards Source'!W41,"M:SS"),TEXT('All Tandem Standards Source'!W41,"H:MM:SS"))</f>
        <v>2:27:44</v>
      </c>
      <c r="P40" s="58" t="str">
        <f>TEXT('All Tandem Standards Source'!AA41,"0.00")</f>
        <v>99.47</v>
      </c>
      <c r="Q40" s="58" t="str">
        <f>TEXT('All Tandem Standards Source'!AE41,"0.00")</f>
        <v>167.63</v>
      </c>
      <c r="R40" s="50" t="str">
        <f>IF('All Tandem Standards Source'!D41&lt;1/24,TEXT('All Tandem Standards Source'!D41,"M:SS"),TEXT('All Tandem Standards Source'!D41,"H:MM:SS"))</f>
        <v>13:39</v>
      </c>
      <c r="S40" s="50" t="str">
        <f>IF('All Tandem Standards Source'!H41&lt;1/24,TEXT('All Tandem Standards Source'!H41,"M:SS"),TEXT('All Tandem Standards Source'!H41,"H:MM:SS"))</f>
        <v>20:33</v>
      </c>
      <c r="T40" s="50" t="str">
        <f>IF('All Tandem Standards Source'!L41&lt;1/24,TEXT('All Tandem Standards Source'!L41,"M:SS"),TEXT('All Tandem Standards Source'!L41,"H:MM:SS"))</f>
        <v>34:30</v>
      </c>
      <c r="U40" s="50" t="str">
        <f>IF('All Tandem Standards Source'!P41&lt;1/24,TEXT('All Tandem Standards Source'!P41,"M:SS"),TEXT('All Tandem Standards Source'!P41,"H:MM:SS"))</f>
        <v>41:33</v>
      </c>
      <c r="V40" s="50" t="str">
        <f>IF('All Tandem Standards Source'!T41&lt;1/24,TEXT('All Tandem Standards Source'!T41,"M:SS"),TEXT('All Tandem Standards Source'!T41,"H:MM:SS"))</f>
        <v>1:10:16</v>
      </c>
      <c r="W40" s="50" t="str">
        <f>IF('All Tandem Standards Source'!X41&lt;1/24,TEXT('All Tandem Standards Source'!X41,"M:SS"),TEXT('All Tandem Standards Source'!X41,"H:MM:SS"))</f>
        <v>2:25:50</v>
      </c>
      <c r="X40" s="51" t="str">
        <f>TEXT('All Tandem Standards Source'!AB41,"0.00")</f>
        <v>101.32</v>
      </c>
      <c r="Y40" s="51" t="str">
        <f>TEXT('All Tandem Standards Source'!AF41,"0.00")</f>
        <v>170.21</v>
      </c>
      <c r="Z40" s="55" t="str">
        <f>IF('All Tandem Standards Source'!E41&lt;1/24,TEXT('All Tandem Standards Source'!E41,"M:SS"),TEXT('All Tandem Standards Source'!E41,"H:MM:SS"))</f>
        <v>14:52</v>
      </c>
      <c r="AA40" s="55" t="str">
        <f>IF('All Tandem Standards Source'!I41&lt;1/24,TEXT('All Tandem Standards Source'!I41,"M:SS"),TEXT('All Tandem Standards Source'!I41,"H:MM:SS"))</f>
        <v>22:23</v>
      </c>
      <c r="AB40" s="55" t="str">
        <f>IF('All Tandem Standards Source'!M41&lt;1/24,TEXT('All Tandem Standards Source'!M41,"M:SS"),TEXT('All Tandem Standards Source'!M41,"H:MM:SS"))</f>
        <v>37:34</v>
      </c>
      <c r="AC40" s="55" t="str">
        <f>IF('All Tandem Standards Source'!Q41&lt;1/24,TEXT('All Tandem Standards Source'!Q41,"M:SS"),TEXT('All Tandem Standards Source'!Q41,"H:MM:SS"))</f>
        <v>45:14</v>
      </c>
      <c r="AD40" s="55" t="str">
        <f>IF('All Tandem Standards Source'!U41&lt;1/24,TEXT('All Tandem Standards Source'!U41,"M:SS"),TEXT('All Tandem Standards Source'!U41,"H:MM:SS"))</f>
        <v>1:16:29</v>
      </c>
      <c r="AE40" s="55" t="str">
        <f>IF('All Tandem Standards Source'!Y41&lt;1/24,TEXT('All Tandem Standards Source'!Y41,"M:SS"),TEXT('All Tandem Standards Source'!Y41,"H:MM:SS"))</f>
        <v>2:38:46</v>
      </c>
      <c r="AF40" s="56" t="str">
        <f>TEXT('All Tandem Standards Source'!AC41,"0.00")</f>
        <v>89.68</v>
      </c>
      <c r="AG40" s="56" t="str">
        <f>TEXT('All Tandem Standards Source'!AG41,"0.00")</f>
        <v>153.77</v>
      </c>
    </row>
    <row r="41" spans="1:33" x14ac:dyDescent="0.25">
      <c r="A41" s="17">
        <v>48</v>
      </c>
      <c r="B41" s="53" t="str">
        <f>IF('All Tandem Standards Source'!B42&lt;1/24,TEXT('All Tandem Standards Source'!B42,"M:SS"),TEXT('All Tandem Standards Source'!B42,"H:MM:SS"))</f>
        <v>12:46</v>
      </c>
      <c r="C41" s="53" t="str">
        <f>IF('All Tandem Standards Source'!F42&lt;1/24,TEXT('All Tandem Standards Source'!F42,"M:SS"),TEXT('All Tandem Standards Source'!F42,"H:MM:SS"))</f>
        <v>19:13</v>
      </c>
      <c r="D41" s="53" t="str">
        <f>IF('All Tandem Standards Source'!J42&lt;1/24,TEXT('All Tandem Standards Source'!J42,"M:SS"),TEXT('All Tandem Standards Source'!J42,"H:MM:SS"))</f>
        <v>32:15</v>
      </c>
      <c r="E41" s="53" t="str">
        <f>IF('All Tandem Standards Source'!N42&lt;1/24,TEXT('All Tandem Standards Source'!N42,"M:SS"),TEXT('All Tandem Standards Source'!N42,"H:MM:SS"))</f>
        <v>38:51</v>
      </c>
      <c r="F41" s="53" t="str">
        <f>IF('All Tandem Standards Source'!R42&lt;1/24,TEXT('All Tandem Standards Source'!R42,"M:SS"),TEXT('All Tandem Standards Source'!R42,"H:MM:SS"))</f>
        <v>1:05:42</v>
      </c>
      <c r="G41" s="53" t="str">
        <f>IF('All Tandem Standards Source'!V42&lt;1/24,TEXT('All Tandem Standards Source'!V42,"M:SS"),TEXT('All Tandem Standards Source'!V42,"H:MM:SS"))</f>
        <v>2:16:23</v>
      </c>
      <c r="H41" s="54" t="str">
        <f>TEXT('All Tandem Standards Source'!Z42,"0.00")</f>
        <v>111.08</v>
      </c>
      <c r="I41" s="54" t="str">
        <f>TEXT('All Tandem Standards Source'!AD42,"0.00")</f>
        <v>183.19</v>
      </c>
      <c r="J41" s="57" t="str">
        <f>IF('All Tandem Standards Source'!C42&lt;1/24,TEXT('All Tandem Standards Source'!C42,"M:SS"),TEXT('All Tandem Standards Source'!C42,"H:MM:SS"))</f>
        <v>13:51</v>
      </c>
      <c r="K41" s="57" t="str">
        <f>IF('All Tandem Standards Source'!G42&lt;1/24,TEXT('All Tandem Standards Source'!G42,"M:SS"),TEXT('All Tandem Standards Source'!G42,"H:MM:SS"))</f>
        <v>20:51</v>
      </c>
      <c r="L41" s="57" t="str">
        <f>IF('All Tandem Standards Source'!K42&lt;1/24,TEXT('All Tandem Standards Source'!K42,"M:SS"),TEXT('All Tandem Standards Source'!K42,"H:MM:SS"))</f>
        <v>35:00</v>
      </c>
      <c r="M41" s="57" t="str">
        <f>IF('All Tandem Standards Source'!O42&lt;1/24,TEXT('All Tandem Standards Source'!O42,"M:SS"),TEXT('All Tandem Standards Source'!O42,"H:MM:SS"))</f>
        <v>42:09</v>
      </c>
      <c r="N41" s="57" t="str">
        <f>IF('All Tandem Standards Source'!S42&lt;1/24,TEXT('All Tandem Standards Source'!S42,"M:SS"),TEXT('All Tandem Standards Source'!S42,"H:MM:SS"))</f>
        <v>1:11:17</v>
      </c>
      <c r="O41" s="57" t="str">
        <f>IF('All Tandem Standards Source'!W42&lt;1/24,TEXT('All Tandem Standards Source'!W42,"M:SS"),TEXT('All Tandem Standards Source'!W42,"H:MM:SS"))</f>
        <v>2:28:00</v>
      </c>
      <c r="P41" s="58" t="str">
        <f>TEXT('All Tandem Standards Source'!AA42,"0.00")</f>
        <v>99.08</v>
      </c>
      <c r="Q41" s="58" t="str">
        <f>TEXT('All Tandem Standards Source'!AE42,"0.00")</f>
        <v>166.72</v>
      </c>
      <c r="R41" s="50" t="str">
        <f>IF('All Tandem Standards Source'!D42&lt;1/24,TEXT('All Tandem Standards Source'!D42,"M:SS"),TEXT('All Tandem Standards Source'!D42,"H:MM:SS"))</f>
        <v>13:42</v>
      </c>
      <c r="S41" s="50" t="str">
        <f>IF('All Tandem Standards Source'!H42&lt;1/24,TEXT('All Tandem Standards Source'!H42,"M:SS"),TEXT('All Tandem Standards Source'!H42,"H:MM:SS"))</f>
        <v>20:37</v>
      </c>
      <c r="T41" s="50" t="str">
        <f>IF('All Tandem Standards Source'!L42&lt;1/24,TEXT('All Tandem Standards Source'!L42,"M:SS"),TEXT('All Tandem Standards Source'!L42,"H:MM:SS"))</f>
        <v>34:36</v>
      </c>
      <c r="U41" s="50" t="str">
        <f>IF('All Tandem Standards Source'!P42&lt;1/24,TEXT('All Tandem Standards Source'!P42,"M:SS"),TEXT('All Tandem Standards Source'!P42,"H:MM:SS"))</f>
        <v>41:41</v>
      </c>
      <c r="V41" s="50" t="str">
        <f>IF('All Tandem Standards Source'!T42&lt;1/24,TEXT('All Tandem Standards Source'!T42,"M:SS"),TEXT('All Tandem Standards Source'!T42,"H:MM:SS"))</f>
        <v>1:10:29</v>
      </c>
      <c r="W41" s="50" t="str">
        <f>IF('All Tandem Standards Source'!X42&lt;1/24,TEXT('All Tandem Standards Source'!X42,"M:SS"),TEXT('All Tandem Standards Source'!X42,"H:MM:SS"))</f>
        <v>2:26:20</v>
      </c>
      <c r="X41" s="51" t="str">
        <f>TEXT('All Tandem Standards Source'!AB42,"0.00")</f>
        <v>100.68</v>
      </c>
      <c r="Y41" s="51" t="str">
        <f>TEXT('All Tandem Standards Source'!AF42,"0.00")</f>
        <v>168.95</v>
      </c>
      <c r="Z41" s="55" t="str">
        <f>IF('All Tandem Standards Source'!E42&lt;1/24,TEXT('All Tandem Standards Source'!E42,"M:SS"),TEXT('All Tandem Standards Source'!E42,"H:MM:SS"))</f>
        <v>14:53</v>
      </c>
      <c r="AA41" s="55" t="str">
        <f>IF('All Tandem Standards Source'!I42&lt;1/24,TEXT('All Tandem Standards Source'!I42,"M:SS"),TEXT('All Tandem Standards Source'!I42,"H:MM:SS"))</f>
        <v>22:24</v>
      </c>
      <c r="AB41" s="55" t="str">
        <f>IF('All Tandem Standards Source'!M42&lt;1/24,TEXT('All Tandem Standards Source'!M42,"M:SS"),TEXT('All Tandem Standards Source'!M42,"H:MM:SS"))</f>
        <v>37:37</v>
      </c>
      <c r="AC41" s="55" t="str">
        <f>IF('All Tandem Standards Source'!Q42&lt;1/24,TEXT('All Tandem Standards Source'!Q42,"M:SS"),TEXT('All Tandem Standards Source'!Q42,"H:MM:SS"))</f>
        <v>45:18</v>
      </c>
      <c r="AD41" s="55" t="str">
        <f>IF('All Tandem Standards Source'!U42&lt;1/24,TEXT('All Tandem Standards Source'!U42,"M:SS"),TEXT('All Tandem Standards Source'!U42,"H:MM:SS"))</f>
        <v>1:16:36</v>
      </c>
      <c r="AE41" s="55" t="str">
        <f>IF('All Tandem Standards Source'!Y42&lt;1/24,TEXT('All Tandem Standards Source'!Y42,"M:SS"),TEXT('All Tandem Standards Source'!Y42,"H:MM:SS"))</f>
        <v>2:39:02</v>
      </c>
      <c r="AF41" s="56" t="str">
        <f>TEXT('All Tandem Standards Source'!AC42,"0.00")</f>
        <v>89.34</v>
      </c>
      <c r="AG41" s="56" t="str">
        <f>TEXT('All Tandem Standards Source'!AG42,"0.00")</f>
        <v>152.96</v>
      </c>
    </row>
    <row r="42" spans="1:33" x14ac:dyDescent="0.25">
      <c r="A42" s="17">
        <v>49</v>
      </c>
      <c r="B42" s="53" t="str">
        <f>IF('All Tandem Standards Source'!B43&lt;1/24,TEXT('All Tandem Standards Source'!B43,"M:SS"),TEXT('All Tandem Standards Source'!B43,"H:MM:SS"))</f>
        <v>12:48</v>
      </c>
      <c r="C42" s="53" t="str">
        <f>IF('All Tandem Standards Source'!F43&lt;1/24,TEXT('All Tandem Standards Source'!F43,"M:SS"),TEXT('All Tandem Standards Source'!F43,"H:MM:SS"))</f>
        <v>19:17</v>
      </c>
      <c r="D42" s="53" t="str">
        <f>IF('All Tandem Standards Source'!J43&lt;1/24,TEXT('All Tandem Standards Source'!J43,"M:SS"),TEXT('All Tandem Standards Source'!J43,"H:MM:SS"))</f>
        <v>32:22</v>
      </c>
      <c r="E42" s="53" t="str">
        <f>IF('All Tandem Standards Source'!N43&lt;1/24,TEXT('All Tandem Standards Source'!N43,"M:SS"),TEXT('All Tandem Standards Source'!N43,"H:MM:SS"))</f>
        <v>38:59</v>
      </c>
      <c r="F42" s="53" t="str">
        <f>IF('All Tandem Standards Source'!R43&lt;1/24,TEXT('All Tandem Standards Source'!R43,"M:SS"),TEXT('All Tandem Standards Source'!R43,"H:MM:SS"))</f>
        <v>1:05:55</v>
      </c>
      <c r="G42" s="53" t="str">
        <f>IF('All Tandem Standards Source'!V43&lt;1/24,TEXT('All Tandem Standards Source'!V43,"M:SS"),TEXT('All Tandem Standards Source'!V43,"H:MM:SS"))</f>
        <v>2:16:52</v>
      </c>
      <c r="H42" s="54" t="str">
        <f>TEXT('All Tandem Standards Source'!Z43,"0.00")</f>
        <v>110.35</v>
      </c>
      <c r="I42" s="54" t="str">
        <f>TEXT('All Tandem Standards Source'!AD43,"0.00")</f>
        <v>181.73</v>
      </c>
      <c r="J42" s="57" t="str">
        <f>IF('All Tandem Standards Source'!C43&lt;1/24,TEXT('All Tandem Standards Source'!C43,"M:SS"),TEXT('All Tandem Standards Source'!C43,"H:MM:SS"))</f>
        <v>13:52</v>
      </c>
      <c r="K42" s="57" t="str">
        <f>IF('All Tandem Standards Source'!G43&lt;1/24,TEXT('All Tandem Standards Source'!G43,"M:SS"),TEXT('All Tandem Standards Source'!G43,"H:MM:SS"))</f>
        <v>20:53</v>
      </c>
      <c r="L42" s="57" t="str">
        <f>IF('All Tandem Standards Source'!K43&lt;1/24,TEXT('All Tandem Standards Source'!K43,"M:SS"),TEXT('All Tandem Standards Source'!K43,"H:MM:SS"))</f>
        <v>35:03</v>
      </c>
      <c r="M42" s="57" t="str">
        <f>IF('All Tandem Standards Source'!O43&lt;1/24,TEXT('All Tandem Standards Source'!O43,"M:SS"),TEXT('All Tandem Standards Source'!O43,"H:MM:SS"))</f>
        <v>42:13</v>
      </c>
      <c r="N42" s="57" t="str">
        <f>IF('All Tandem Standards Source'!S43&lt;1/24,TEXT('All Tandem Standards Source'!S43,"M:SS"),TEXT('All Tandem Standards Source'!S43,"H:MM:SS"))</f>
        <v>1:11:24</v>
      </c>
      <c r="O42" s="57" t="str">
        <f>IF('All Tandem Standards Source'!W43&lt;1/24,TEXT('All Tandem Standards Source'!W43,"M:SS"),TEXT('All Tandem Standards Source'!W43,"H:MM:SS"))</f>
        <v>2:28:17</v>
      </c>
      <c r="P42" s="58" t="str">
        <f>TEXT('All Tandem Standards Source'!AA43,"0.00")</f>
        <v>98.65</v>
      </c>
      <c r="Q42" s="58" t="str">
        <f>TEXT('All Tandem Standards Source'!AE43,"0.00")</f>
        <v>165.73</v>
      </c>
      <c r="R42" s="50" t="str">
        <f>IF('All Tandem Standards Source'!D43&lt;1/24,TEXT('All Tandem Standards Source'!D43,"M:SS"),TEXT('All Tandem Standards Source'!D43,"H:MM:SS"))</f>
        <v>13:44</v>
      </c>
      <c r="S42" s="50" t="str">
        <f>IF('All Tandem Standards Source'!H43&lt;1/24,TEXT('All Tandem Standards Source'!H43,"M:SS"),TEXT('All Tandem Standards Source'!H43,"H:MM:SS"))</f>
        <v>20:41</v>
      </c>
      <c r="T42" s="50" t="str">
        <f>IF('All Tandem Standards Source'!L43&lt;1/24,TEXT('All Tandem Standards Source'!L43,"M:SS"),TEXT('All Tandem Standards Source'!L43,"H:MM:SS"))</f>
        <v>34:43</v>
      </c>
      <c r="U42" s="50" t="str">
        <f>IF('All Tandem Standards Source'!P43&lt;1/24,TEXT('All Tandem Standards Source'!P43,"M:SS"),TEXT('All Tandem Standards Source'!P43,"H:MM:SS"))</f>
        <v>41:49</v>
      </c>
      <c r="V42" s="50" t="str">
        <f>IF('All Tandem Standards Source'!T43&lt;1/24,TEXT('All Tandem Standards Source'!T43,"M:SS"),TEXT('All Tandem Standards Source'!T43,"H:MM:SS"))</f>
        <v>1:10:43</v>
      </c>
      <c r="W42" s="50" t="str">
        <f>IF('All Tandem Standards Source'!X43&lt;1/24,TEXT('All Tandem Standards Source'!X43,"M:SS"),TEXT('All Tandem Standards Source'!X43,"H:MM:SS"))</f>
        <v>2:26:51</v>
      </c>
      <c r="X42" s="51" t="str">
        <f>TEXT('All Tandem Standards Source'!AB43,"0.00")</f>
        <v>100.01</v>
      </c>
      <c r="Y42" s="51" t="str">
        <f>TEXT('All Tandem Standards Source'!AF43,"0.00")</f>
        <v>167.62</v>
      </c>
      <c r="Z42" s="55" t="str">
        <f>IF('All Tandem Standards Source'!E43&lt;1/24,TEXT('All Tandem Standards Source'!E43,"M:SS"),TEXT('All Tandem Standards Source'!E43,"H:MM:SS"))</f>
        <v>14:54</v>
      </c>
      <c r="AA42" s="55" t="str">
        <f>IF('All Tandem Standards Source'!I43&lt;1/24,TEXT('All Tandem Standards Source'!I43,"M:SS"),TEXT('All Tandem Standards Source'!I43,"H:MM:SS"))</f>
        <v>22:26</v>
      </c>
      <c r="AB42" s="55" t="str">
        <f>IF('All Tandem Standards Source'!M43&lt;1/24,TEXT('All Tandem Standards Source'!M43,"M:SS"),TEXT('All Tandem Standards Source'!M43,"H:MM:SS"))</f>
        <v>37:40</v>
      </c>
      <c r="AC42" s="55" t="str">
        <f>IF('All Tandem Standards Source'!Q43&lt;1/24,TEXT('All Tandem Standards Source'!Q43,"M:SS"),TEXT('All Tandem Standards Source'!Q43,"H:MM:SS"))</f>
        <v>45:23</v>
      </c>
      <c r="AD42" s="55" t="str">
        <f>IF('All Tandem Standards Source'!U43&lt;1/24,TEXT('All Tandem Standards Source'!U43,"M:SS"),TEXT('All Tandem Standards Source'!U43,"H:MM:SS"))</f>
        <v>1:16:44</v>
      </c>
      <c r="AE42" s="55" t="str">
        <f>IF('All Tandem Standards Source'!Y43&lt;1/24,TEXT('All Tandem Standards Source'!Y43,"M:SS"),TEXT('All Tandem Standards Source'!Y43,"H:MM:SS"))</f>
        <v>2:39:22</v>
      </c>
      <c r="AF42" s="56" t="str">
        <f>TEXT('All Tandem Standards Source'!AC43,"0.00")</f>
        <v>88.95</v>
      </c>
      <c r="AG42" s="56" t="str">
        <f>TEXT('All Tandem Standards Source'!AG43,"0.00")</f>
        <v>152.07</v>
      </c>
    </row>
    <row r="43" spans="1:33" x14ac:dyDescent="0.25">
      <c r="A43" s="17">
        <v>50</v>
      </c>
      <c r="B43" s="53" t="str">
        <f>IF('All Tandem Standards Source'!B44&lt;1/24,TEXT('All Tandem Standards Source'!B44,"M:SS"),TEXT('All Tandem Standards Source'!B44,"H:MM:SS"))</f>
        <v>12:51</v>
      </c>
      <c r="C43" s="53" t="str">
        <f>IF('All Tandem Standards Source'!F44&lt;1/24,TEXT('All Tandem Standards Source'!F44,"M:SS"),TEXT('All Tandem Standards Source'!F44,"H:MM:SS"))</f>
        <v>19:21</v>
      </c>
      <c r="D43" s="53" t="str">
        <f>IF('All Tandem Standards Source'!J44&lt;1/24,TEXT('All Tandem Standards Source'!J44,"M:SS"),TEXT('All Tandem Standards Source'!J44,"H:MM:SS"))</f>
        <v>32:28</v>
      </c>
      <c r="E43" s="53" t="str">
        <f>IF('All Tandem Standards Source'!N44&lt;1/24,TEXT('All Tandem Standards Source'!N44,"M:SS"),TEXT('All Tandem Standards Source'!N44,"H:MM:SS"))</f>
        <v>39:06</v>
      </c>
      <c r="F43" s="53" t="str">
        <f>IF('All Tandem Standards Source'!R44&lt;1/24,TEXT('All Tandem Standards Source'!R44,"M:SS"),TEXT('All Tandem Standards Source'!R44,"H:MM:SS"))</f>
        <v>1:06:08</v>
      </c>
      <c r="G43" s="53" t="str">
        <f>IF('All Tandem Standards Source'!V44&lt;1/24,TEXT('All Tandem Standards Source'!V44,"M:SS"),TEXT('All Tandem Standards Source'!V44,"H:MM:SS"))</f>
        <v>2:17:23</v>
      </c>
      <c r="H43" s="54" t="str">
        <f>TEXT('All Tandem Standards Source'!Z44,"0.00")</f>
        <v>109.57</v>
      </c>
      <c r="I43" s="54" t="str">
        <f>TEXT('All Tandem Standards Source'!AD44,"0.00")</f>
        <v>180.21</v>
      </c>
      <c r="J43" s="57" t="str">
        <f>IF('All Tandem Standards Source'!C44&lt;1/24,TEXT('All Tandem Standards Source'!C44,"M:SS"),TEXT('All Tandem Standards Source'!C44,"H:MM:SS"))</f>
        <v>13:54</v>
      </c>
      <c r="K43" s="57" t="str">
        <f>IF('All Tandem Standards Source'!G44&lt;1/24,TEXT('All Tandem Standards Source'!G44,"M:SS"),TEXT('All Tandem Standards Source'!G44,"H:MM:SS"))</f>
        <v>20:55</v>
      </c>
      <c r="L43" s="57" t="str">
        <f>IF('All Tandem Standards Source'!K44&lt;1/24,TEXT('All Tandem Standards Source'!K44,"M:SS"),TEXT('All Tandem Standards Source'!K44,"H:MM:SS"))</f>
        <v>35:07</v>
      </c>
      <c r="M43" s="57" t="str">
        <f>IF('All Tandem Standards Source'!O44&lt;1/24,TEXT('All Tandem Standards Source'!O44,"M:SS"),TEXT('All Tandem Standards Source'!O44,"H:MM:SS"))</f>
        <v>42:18</v>
      </c>
      <c r="N43" s="57" t="str">
        <f>IF('All Tandem Standards Source'!S44&lt;1/24,TEXT('All Tandem Standards Source'!S44,"M:SS"),TEXT('All Tandem Standards Source'!S44,"H:MM:SS"))</f>
        <v>1:11:33</v>
      </c>
      <c r="O43" s="57" t="str">
        <f>IF('All Tandem Standards Source'!W44&lt;1/24,TEXT('All Tandem Standards Source'!W44,"M:SS"),TEXT('All Tandem Standards Source'!W44,"H:MM:SS"))</f>
        <v>2:28:36</v>
      </c>
      <c r="P43" s="58" t="str">
        <f>TEXT('All Tandem Standards Source'!AA44,"0.00")</f>
        <v>98.18</v>
      </c>
      <c r="Q43" s="58" t="str">
        <f>TEXT('All Tandem Standards Source'!AE44,"0.00")</f>
        <v>164.66</v>
      </c>
      <c r="R43" s="50" t="str">
        <f>IF('All Tandem Standards Source'!D44&lt;1/24,TEXT('All Tandem Standards Source'!D44,"M:SS"),TEXT('All Tandem Standards Source'!D44,"H:MM:SS"))</f>
        <v>13:47</v>
      </c>
      <c r="S43" s="50" t="str">
        <f>IF('All Tandem Standards Source'!H44&lt;1/24,TEXT('All Tandem Standards Source'!H44,"M:SS"),TEXT('All Tandem Standards Source'!H44,"H:MM:SS"))</f>
        <v>20:45</v>
      </c>
      <c r="T43" s="50" t="str">
        <f>IF('All Tandem Standards Source'!L44&lt;1/24,TEXT('All Tandem Standards Source'!L44,"M:SS"),TEXT('All Tandem Standards Source'!L44,"H:MM:SS"))</f>
        <v>34:50</v>
      </c>
      <c r="U43" s="50" t="str">
        <f>IF('All Tandem Standards Source'!P44&lt;1/24,TEXT('All Tandem Standards Source'!P44,"M:SS"),TEXT('All Tandem Standards Source'!P44,"H:MM:SS"))</f>
        <v>41:58</v>
      </c>
      <c r="V43" s="50" t="str">
        <f>IF('All Tandem Standards Source'!T44&lt;1/24,TEXT('All Tandem Standards Source'!T44,"M:SS"),TEXT('All Tandem Standards Source'!T44,"H:MM:SS"))</f>
        <v>1:10:58</v>
      </c>
      <c r="W43" s="50" t="str">
        <f>IF('All Tandem Standards Source'!X44&lt;1/24,TEXT('All Tandem Standards Source'!X44,"M:SS"),TEXT('All Tandem Standards Source'!X44,"H:MM:SS"))</f>
        <v>2:27:25</v>
      </c>
      <c r="X43" s="51" t="str">
        <f>TEXT('All Tandem Standards Source'!AB44,"0.00")</f>
        <v>99.31</v>
      </c>
      <c r="Y43" s="51" t="str">
        <f>TEXT('All Tandem Standards Source'!AF44,"0.00")</f>
        <v>166.22</v>
      </c>
      <c r="Z43" s="55" t="str">
        <f>IF('All Tandem Standards Source'!E44&lt;1/24,TEXT('All Tandem Standards Source'!E44,"M:SS"),TEXT('All Tandem Standards Source'!E44,"H:MM:SS"))</f>
        <v>14:56</v>
      </c>
      <c r="AA43" s="55" t="str">
        <f>IF('All Tandem Standards Source'!I44&lt;1/24,TEXT('All Tandem Standards Source'!I44,"M:SS"),TEXT('All Tandem Standards Source'!I44,"H:MM:SS"))</f>
        <v>22:29</v>
      </c>
      <c r="AB43" s="55" t="str">
        <f>IF('All Tandem Standards Source'!M44&lt;1/24,TEXT('All Tandem Standards Source'!M44,"M:SS"),TEXT('All Tandem Standards Source'!M44,"H:MM:SS"))</f>
        <v>37:45</v>
      </c>
      <c r="AC43" s="55" t="str">
        <f>IF('All Tandem Standards Source'!Q44&lt;1/24,TEXT('All Tandem Standards Source'!Q44,"M:SS"),TEXT('All Tandem Standards Source'!Q44,"H:MM:SS"))</f>
        <v>45:27</v>
      </c>
      <c r="AD43" s="55" t="str">
        <f>IF('All Tandem Standards Source'!U44&lt;1/24,TEXT('All Tandem Standards Source'!U44,"M:SS"),TEXT('All Tandem Standards Source'!U44,"H:MM:SS"))</f>
        <v>1:16:53</v>
      </c>
      <c r="AE43" s="55" t="str">
        <f>IF('All Tandem Standards Source'!Y44&lt;1/24,TEXT('All Tandem Standards Source'!Y44,"M:SS"),TEXT('All Tandem Standards Source'!Y44,"H:MM:SS"))</f>
        <v>2:39:43</v>
      </c>
      <c r="AF43" s="56" t="str">
        <f>TEXT('All Tandem Standards Source'!AC44,"0.00")</f>
        <v>88.52</v>
      </c>
      <c r="AG43" s="56" t="str">
        <f>TEXT('All Tandem Standards Source'!AG44,"0.00")</f>
        <v>151.11</v>
      </c>
    </row>
    <row r="44" spans="1:33" x14ac:dyDescent="0.25">
      <c r="A44" s="17">
        <v>51</v>
      </c>
      <c r="B44" s="53" t="str">
        <f>IF('All Tandem Standards Source'!B45&lt;1/24,TEXT('All Tandem Standards Source'!B45,"M:SS"),TEXT('All Tandem Standards Source'!B45,"H:MM:SS"))</f>
        <v>12:53</v>
      </c>
      <c r="C44" s="53" t="str">
        <f>IF('All Tandem Standards Source'!F45&lt;1/24,TEXT('All Tandem Standards Source'!F45,"M:SS"),TEXT('All Tandem Standards Source'!F45,"H:MM:SS"))</f>
        <v>19:24</v>
      </c>
      <c r="D44" s="53" t="str">
        <f>IF('All Tandem Standards Source'!J45&lt;1/24,TEXT('All Tandem Standards Source'!J45,"M:SS"),TEXT('All Tandem Standards Source'!J45,"H:MM:SS"))</f>
        <v>32:35</v>
      </c>
      <c r="E44" s="53" t="str">
        <f>IF('All Tandem Standards Source'!N45&lt;1/24,TEXT('All Tandem Standards Source'!N45,"M:SS"),TEXT('All Tandem Standards Source'!N45,"H:MM:SS"))</f>
        <v>39:14</v>
      </c>
      <c r="F44" s="53" t="str">
        <f>IF('All Tandem Standards Source'!R45&lt;1/24,TEXT('All Tandem Standards Source'!R45,"M:SS"),TEXT('All Tandem Standards Source'!R45,"H:MM:SS"))</f>
        <v>1:06:23</v>
      </c>
      <c r="G44" s="53" t="str">
        <f>IF('All Tandem Standards Source'!V45&lt;1/24,TEXT('All Tandem Standards Source'!V45,"M:SS"),TEXT('All Tandem Standards Source'!V45,"H:MM:SS"))</f>
        <v>2:17:55</v>
      </c>
      <c r="H44" s="54" t="str">
        <f>TEXT('All Tandem Standards Source'!Z45,"0.00")</f>
        <v>108.77</v>
      </c>
      <c r="I44" s="54" t="str">
        <f>TEXT('All Tandem Standards Source'!AD45,"0.00")</f>
        <v>178.61</v>
      </c>
      <c r="J44" s="57" t="str">
        <f>IF('All Tandem Standards Source'!C45&lt;1/24,TEXT('All Tandem Standards Source'!C45,"M:SS"),TEXT('All Tandem Standards Source'!C45,"H:MM:SS"))</f>
        <v>13:56</v>
      </c>
      <c r="K44" s="57" t="str">
        <f>IF('All Tandem Standards Source'!G45&lt;1/24,TEXT('All Tandem Standards Source'!G45,"M:SS"),TEXT('All Tandem Standards Source'!G45,"H:MM:SS"))</f>
        <v>20:58</v>
      </c>
      <c r="L44" s="57" t="str">
        <f>IF('All Tandem Standards Source'!K45&lt;1/24,TEXT('All Tandem Standards Source'!K45,"M:SS"),TEXT('All Tandem Standards Source'!K45,"H:MM:SS"))</f>
        <v>35:12</v>
      </c>
      <c r="M44" s="57" t="str">
        <f>IF('All Tandem Standards Source'!O45&lt;1/24,TEXT('All Tandem Standards Source'!O45,"M:SS"),TEXT('All Tandem Standards Source'!O45,"H:MM:SS"))</f>
        <v>42:23</v>
      </c>
      <c r="N44" s="57" t="str">
        <f>IF('All Tandem Standards Source'!S45&lt;1/24,TEXT('All Tandem Standards Source'!S45,"M:SS"),TEXT('All Tandem Standards Source'!S45,"H:MM:SS"))</f>
        <v>1:11:42</v>
      </c>
      <c r="O44" s="57" t="str">
        <f>IF('All Tandem Standards Source'!W45&lt;1/24,TEXT('All Tandem Standards Source'!W45,"M:SS"),TEXT('All Tandem Standards Source'!W45,"H:MM:SS"))</f>
        <v>2:28:59</v>
      </c>
      <c r="P44" s="58" t="str">
        <f>TEXT('All Tandem Standards Source'!AA45,"0.00")</f>
        <v>97.66</v>
      </c>
      <c r="Q44" s="58" t="str">
        <f>TEXT('All Tandem Standards Source'!AE45,"0.00")</f>
        <v>163.50</v>
      </c>
      <c r="R44" s="50" t="str">
        <f>IF('All Tandem Standards Source'!D45&lt;1/24,TEXT('All Tandem Standards Source'!D45,"M:SS"),TEXT('All Tandem Standards Source'!D45,"H:MM:SS"))</f>
        <v>13:50</v>
      </c>
      <c r="S44" s="50" t="str">
        <f>IF('All Tandem Standards Source'!H45&lt;1/24,TEXT('All Tandem Standards Source'!H45,"M:SS"),TEXT('All Tandem Standards Source'!H45,"H:MM:SS"))</f>
        <v>20:49</v>
      </c>
      <c r="T44" s="50" t="str">
        <f>IF('All Tandem Standards Source'!L45&lt;1/24,TEXT('All Tandem Standards Source'!L45,"M:SS"),TEXT('All Tandem Standards Source'!L45,"H:MM:SS"))</f>
        <v>34:58</v>
      </c>
      <c r="U44" s="50" t="str">
        <f>IF('All Tandem Standards Source'!P45&lt;1/24,TEXT('All Tandem Standards Source'!P45,"M:SS"),TEXT('All Tandem Standards Source'!P45,"H:MM:SS"))</f>
        <v>42:07</v>
      </c>
      <c r="V44" s="50" t="str">
        <f>IF('All Tandem Standards Source'!T45&lt;1/24,TEXT('All Tandem Standards Source'!T45,"M:SS"),TEXT('All Tandem Standards Source'!T45,"H:MM:SS"))</f>
        <v>1:11:14</v>
      </c>
      <c r="W44" s="50" t="str">
        <f>IF('All Tandem Standards Source'!X45&lt;1/24,TEXT('All Tandem Standards Source'!X45,"M:SS"),TEXT('All Tandem Standards Source'!X45,"H:MM:SS"))</f>
        <v>2:28:00</v>
      </c>
      <c r="X44" s="51" t="str">
        <f>TEXT('All Tandem Standards Source'!AB45,"0.00")</f>
        <v>98.57</v>
      </c>
      <c r="Y44" s="51" t="str">
        <f>TEXT('All Tandem Standards Source'!AF45,"0.00")</f>
        <v>164.76</v>
      </c>
      <c r="Z44" s="55" t="str">
        <f>IF('All Tandem Standards Source'!E45&lt;1/24,TEXT('All Tandem Standards Source'!E45,"M:SS"),TEXT('All Tandem Standards Source'!E45,"H:MM:SS"))</f>
        <v>14:58</v>
      </c>
      <c r="AA44" s="55" t="str">
        <f>IF('All Tandem Standards Source'!I45&lt;1/24,TEXT('All Tandem Standards Source'!I45,"M:SS"),TEXT('All Tandem Standards Source'!I45,"H:MM:SS"))</f>
        <v>22:32</v>
      </c>
      <c r="AB44" s="55" t="str">
        <f>IF('All Tandem Standards Source'!M45&lt;1/24,TEXT('All Tandem Standards Source'!M45,"M:SS"),TEXT('All Tandem Standards Source'!M45,"H:MM:SS"))</f>
        <v>37:49</v>
      </c>
      <c r="AC44" s="55" t="str">
        <f>IF('All Tandem Standards Source'!Q45&lt;1/24,TEXT('All Tandem Standards Source'!Q45,"M:SS"),TEXT('All Tandem Standards Source'!Q45,"H:MM:SS"))</f>
        <v>45:33</v>
      </c>
      <c r="AD44" s="55" t="str">
        <f>IF('All Tandem Standards Source'!U45&lt;1/24,TEXT('All Tandem Standards Source'!U45,"M:SS"),TEXT('All Tandem Standards Source'!U45,"H:MM:SS"))</f>
        <v>1:17:03</v>
      </c>
      <c r="AE44" s="55" t="str">
        <f>IF('All Tandem Standards Source'!Y45&lt;1/24,TEXT('All Tandem Standards Source'!Y45,"M:SS"),TEXT('All Tandem Standards Source'!Y45,"H:MM:SS"))</f>
        <v>2:40:07</v>
      </c>
      <c r="AF44" s="56" t="str">
        <f>TEXT('All Tandem Standards Source'!AC45,"0.00")</f>
        <v>88.06</v>
      </c>
      <c r="AG44" s="56" t="str">
        <f>TEXT('All Tandem Standards Source'!AG45,"0.00")</f>
        <v>150.07</v>
      </c>
    </row>
    <row r="45" spans="1:33" x14ac:dyDescent="0.25">
      <c r="A45" s="17">
        <v>52</v>
      </c>
      <c r="B45" s="53" t="str">
        <f>IF('All Tandem Standards Source'!B46&lt;1/24,TEXT('All Tandem Standards Source'!B46,"M:SS"),TEXT('All Tandem Standards Source'!B46,"H:MM:SS"))</f>
        <v>12:56</v>
      </c>
      <c r="C45" s="53" t="str">
        <f>IF('All Tandem Standards Source'!F46&lt;1/24,TEXT('All Tandem Standards Source'!F46,"M:SS"),TEXT('All Tandem Standards Source'!F46,"H:MM:SS"))</f>
        <v>19:31</v>
      </c>
      <c r="D45" s="53" t="str">
        <f>IF('All Tandem Standards Source'!J46&lt;1/24,TEXT('All Tandem Standards Source'!J46,"M:SS"),TEXT('All Tandem Standards Source'!J46,"H:MM:SS"))</f>
        <v>32:42</v>
      </c>
      <c r="E45" s="53" t="str">
        <f>IF('All Tandem Standards Source'!N46&lt;1/24,TEXT('All Tandem Standards Source'!N46,"M:SS"),TEXT('All Tandem Standards Source'!N46,"H:MM:SS"))</f>
        <v>39:23</v>
      </c>
      <c r="F45" s="53" t="str">
        <f>IF('All Tandem Standards Source'!R46&lt;1/24,TEXT('All Tandem Standards Source'!R46,"M:SS"),TEXT('All Tandem Standards Source'!R46,"H:MM:SS"))</f>
        <v>1:06:38</v>
      </c>
      <c r="G45" s="53" t="str">
        <f>IF('All Tandem Standards Source'!V46&lt;1/24,TEXT('All Tandem Standards Source'!V46,"M:SS"),TEXT('All Tandem Standards Source'!V46,"H:MM:SS"))</f>
        <v>2:18:29</v>
      </c>
      <c r="H45" s="54" t="str">
        <f>TEXT('All Tandem Standards Source'!Z46,"0.00")</f>
        <v>107.92</v>
      </c>
      <c r="I45" s="54" t="str">
        <f>TEXT('All Tandem Standards Source'!AD46,"0.00")</f>
        <v>176.94</v>
      </c>
      <c r="J45" s="57" t="str">
        <f>IF('All Tandem Standards Source'!C46&lt;1/24,TEXT('All Tandem Standards Source'!C46,"M:SS"),TEXT('All Tandem Standards Source'!C46,"H:MM:SS"))</f>
        <v>13:57</v>
      </c>
      <c r="K45" s="57" t="str">
        <f>IF('All Tandem Standards Source'!G46&lt;1/24,TEXT('All Tandem Standards Source'!G46,"M:SS"),TEXT('All Tandem Standards Source'!G46,"H:MM:SS"))</f>
        <v>21:00</v>
      </c>
      <c r="L45" s="57" t="str">
        <f>IF('All Tandem Standards Source'!K46&lt;1/24,TEXT('All Tandem Standards Source'!K46,"M:SS"),TEXT('All Tandem Standards Source'!K46,"H:MM:SS"))</f>
        <v>35:16</v>
      </c>
      <c r="M45" s="57" t="str">
        <f>IF('All Tandem Standards Source'!O46&lt;1/24,TEXT('All Tandem Standards Source'!O46,"M:SS"),TEXT('All Tandem Standards Source'!O46,"H:MM:SS"))</f>
        <v>42:29</v>
      </c>
      <c r="N45" s="57" t="str">
        <f>IF('All Tandem Standards Source'!S46&lt;1/24,TEXT('All Tandem Standards Source'!S46,"M:SS"),TEXT('All Tandem Standards Source'!S46,"H:MM:SS"))</f>
        <v>1:11:53</v>
      </c>
      <c r="O45" s="57" t="str">
        <f>IF('All Tandem Standards Source'!W46&lt;1/24,TEXT('All Tandem Standards Source'!W46,"M:SS"),TEXT('All Tandem Standards Source'!W46,"H:MM:SS"))</f>
        <v>2:29:24</v>
      </c>
      <c r="P45" s="58" t="str">
        <f>TEXT('All Tandem Standards Source'!AA46,"0.00")</f>
        <v>97.09</v>
      </c>
      <c r="Q45" s="58" t="str">
        <f>TEXT('All Tandem Standards Source'!AE46,"0.00")</f>
        <v>162.26</v>
      </c>
      <c r="R45" s="50" t="str">
        <f>IF('All Tandem Standards Source'!D46&lt;1/24,TEXT('All Tandem Standards Source'!D46,"M:SS"),TEXT('All Tandem Standards Source'!D46,"H:MM:SS"))</f>
        <v>13:53</v>
      </c>
      <c r="S45" s="50" t="str">
        <f>IF('All Tandem Standards Source'!H46&lt;1/24,TEXT('All Tandem Standards Source'!H46,"M:SS"),TEXT('All Tandem Standards Source'!H46,"H:MM:SS"))</f>
        <v>20:54</v>
      </c>
      <c r="T45" s="50" t="str">
        <f>IF('All Tandem Standards Source'!L46&lt;1/24,TEXT('All Tandem Standards Source'!L46,"M:SS"),TEXT('All Tandem Standards Source'!L46,"H:MM:SS"))</f>
        <v>35:06</v>
      </c>
      <c r="U45" s="50" t="str">
        <f>IF('All Tandem Standards Source'!P46&lt;1/24,TEXT('All Tandem Standards Source'!P46,"M:SS"),TEXT('All Tandem Standards Source'!P46,"H:MM:SS"))</f>
        <v>42:16</v>
      </c>
      <c r="V45" s="50" t="str">
        <f>IF('All Tandem Standards Source'!T46&lt;1/24,TEXT('All Tandem Standards Source'!T46,"M:SS"),TEXT('All Tandem Standards Source'!T46,"H:MM:SS"))</f>
        <v>1:11:31</v>
      </c>
      <c r="W45" s="50" t="str">
        <f>IF('All Tandem Standards Source'!X46&lt;1/24,TEXT('All Tandem Standards Source'!X46,"M:SS"),TEXT('All Tandem Standards Source'!X46,"H:MM:SS"))</f>
        <v>2:28:38</v>
      </c>
      <c r="X45" s="51" t="str">
        <f>TEXT('All Tandem Standards Source'!AB46,"0.00")</f>
        <v>97.80</v>
      </c>
      <c r="Y45" s="51" t="str">
        <f>TEXT('All Tandem Standards Source'!AF46,"0.00")</f>
        <v>163.23</v>
      </c>
      <c r="Z45" s="55" t="str">
        <f>IF('All Tandem Standards Source'!E46&lt;1/24,TEXT('All Tandem Standards Source'!E46,"M:SS"),TEXT('All Tandem Standards Source'!E46,"H:MM:SS"))</f>
        <v>15:00</v>
      </c>
      <c r="AA45" s="55" t="str">
        <f>IF('All Tandem Standards Source'!I46&lt;1/24,TEXT('All Tandem Standards Source'!I46,"M:SS"),TEXT('All Tandem Standards Source'!I46,"H:MM:SS"))</f>
        <v>22:35</v>
      </c>
      <c r="AB45" s="55" t="str">
        <f>IF('All Tandem Standards Source'!M46&lt;1/24,TEXT('All Tandem Standards Source'!M46,"M:SS"),TEXT('All Tandem Standards Source'!M46,"H:MM:SS"))</f>
        <v>37:55</v>
      </c>
      <c r="AC45" s="55" t="str">
        <f>IF('All Tandem Standards Source'!Q46&lt;1/24,TEXT('All Tandem Standards Source'!Q46,"M:SS"),TEXT('All Tandem Standards Source'!Q46,"H:MM:SS"))</f>
        <v>45:40</v>
      </c>
      <c r="AD45" s="55" t="str">
        <f>IF('All Tandem Standards Source'!U46&lt;1/24,TEXT('All Tandem Standards Source'!U46,"M:SS"),TEXT('All Tandem Standards Source'!U46,"H:MM:SS"))</f>
        <v>1:17:15</v>
      </c>
      <c r="AE45" s="55" t="str">
        <f>IF('All Tandem Standards Source'!Y46&lt;1/24,TEXT('All Tandem Standards Source'!Y46,"M:SS"),TEXT('All Tandem Standards Source'!Y46,"H:MM:SS"))</f>
        <v>2:40:35</v>
      </c>
      <c r="AF45" s="56" t="str">
        <f>TEXT('All Tandem Standards Source'!AC46,"0.00")</f>
        <v>87.54</v>
      </c>
      <c r="AG45" s="56" t="str">
        <f>TEXT('All Tandem Standards Source'!AG46,"0.00")</f>
        <v>148.94</v>
      </c>
    </row>
    <row r="46" spans="1:33" x14ac:dyDescent="0.25">
      <c r="A46" s="17">
        <v>53</v>
      </c>
      <c r="B46" s="53" t="str">
        <f>IF('All Tandem Standards Source'!B47&lt;1/24,TEXT('All Tandem Standards Source'!B47,"M:SS"),TEXT('All Tandem Standards Source'!B47,"H:MM:SS"))</f>
        <v>12:59</v>
      </c>
      <c r="C46" s="53" t="str">
        <f>IF('All Tandem Standards Source'!F47&lt;1/24,TEXT('All Tandem Standards Source'!F47,"M:SS"),TEXT('All Tandem Standards Source'!F47,"H:MM:SS"))</f>
        <v>19:33</v>
      </c>
      <c r="D46" s="53" t="str">
        <f>IF('All Tandem Standards Source'!J47&lt;1/24,TEXT('All Tandem Standards Source'!J47,"M:SS"),TEXT('All Tandem Standards Source'!J47,"H:MM:SS"))</f>
        <v>32:50</v>
      </c>
      <c r="E46" s="53" t="str">
        <f>IF('All Tandem Standards Source'!N47&lt;1/24,TEXT('All Tandem Standards Source'!N47,"M:SS"),TEXT('All Tandem Standards Source'!N47,"H:MM:SS"))</f>
        <v>39:33</v>
      </c>
      <c r="F46" s="53" t="str">
        <f>IF('All Tandem Standards Source'!R47&lt;1/24,TEXT('All Tandem Standards Source'!R47,"M:SS"),TEXT('All Tandem Standards Source'!R47,"H:MM:SS"))</f>
        <v>1:06:54</v>
      </c>
      <c r="G46" s="53" t="str">
        <f>IF('All Tandem Standards Source'!V47&lt;1/24,TEXT('All Tandem Standards Source'!V47,"M:SS"),TEXT('All Tandem Standards Source'!V47,"H:MM:SS"))</f>
        <v>2:19:06</v>
      </c>
      <c r="H46" s="54" t="str">
        <f>TEXT('All Tandem Standards Source'!Z47,"0.00")</f>
        <v>107.04</v>
      </c>
      <c r="I46" s="54" t="str">
        <f>TEXT('All Tandem Standards Source'!AD47,"0.00")</f>
        <v>175.20</v>
      </c>
      <c r="J46" s="57" t="str">
        <f>IF('All Tandem Standards Source'!C47&lt;1/24,TEXT('All Tandem Standards Source'!C47,"M:SS"),TEXT('All Tandem Standards Source'!C47,"H:MM:SS"))</f>
        <v>14:00</v>
      </c>
      <c r="K46" s="57" t="str">
        <f>IF('All Tandem Standards Source'!G47&lt;1/24,TEXT('All Tandem Standards Source'!G47,"M:SS"),TEXT('All Tandem Standards Source'!G47,"H:MM:SS"))</f>
        <v>21:04</v>
      </c>
      <c r="L46" s="57" t="str">
        <f>IF('All Tandem Standards Source'!K47&lt;1/24,TEXT('All Tandem Standards Source'!K47,"M:SS"),TEXT('All Tandem Standards Source'!K47,"H:MM:SS"))</f>
        <v>35:22</v>
      </c>
      <c r="M46" s="57" t="str">
        <f>IF('All Tandem Standards Source'!O47&lt;1/24,TEXT('All Tandem Standards Source'!O47,"M:SS"),TEXT('All Tandem Standards Source'!O47,"H:MM:SS"))</f>
        <v>42:36</v>
      </c>
      <c r="N46" s="57" t="str">
        <f>IF('All Tandem Standards Source'!S47&lt;1/24,TEXT('All Tandem Standards Source'!S47,"M:SS"),TEXT('All Tandem Standards Source'!S47,"H:MM:SS"))</f>
        <v>1:12:05</v>
      </c>
      <c r="O46" s="57" t="str">
        <f>IF('All Tandem Standards Source'!W47&lt;1/24,TEXT('All Tandem Standards Source'!W47,"M:SS"),TEXT('All Tandem Standards Source'!W47,"H:MM:SS"))</f>
        <v>2:29:52</v>
      </c>
      <c r="P46" s="58" t="str">
        <f>TEXT('All Tandem Standards Source'!AA47,"0.00")</f>
        <v>96.47</v>
      </c>
      <c r="Q46" s="58" t="str">
        <f>TEXT('All Tandem Standards Source'!AE47,"0.00")</f>
        <v>160.92</v>
      </c>
      <c r="R46" s="50" t="str">
        <f>IF('All Tandem Standards Source'!D47&lt;1/24,TEXT('All Tandem Standards Source'!D47,"M:SS"),TEXT('All Tandem Standards Source'!D47,"H:MM:SS"))</f>
        <v>13:56</v>
      </c>
      <c r="S46" s="50" t="str">
        <f>IF('All Tandem Standards Source'!H47&lt;1/24,TEXT('All Tandem Standards Source'!H47,"M:SS"),TEXT('All Tandem Standards Source'!H47,"H:MM:SS"))</f>
        <v>20:59</v>
      </c>
      <c r="T46" s="50" t="str">
        <f>IF('All Tandem Standards Source'!L47&lt;1/24,TEXT('All Tandem Standards Source'!L47,"M:SS"),TEXT('All Tandem Standards Source'!L47,"H:MM:SS"))</f>
        <v>35:14</v>
      </c>
      <c r="U46" s="50" t="str">
        <f>IF('All Tandem Standards Source'!P47&lt;1/24,TEXT('All Tandem Standards Source'!P47,"M:SS"),TEXT('All Tandem Standards Source'!P47,"H:MM:SS"))</f>
        <v>42:26</v>
      </c>
      <c r="V46" s="50" t="str">
        <f>IF('All Tandem Standards Source'!T47&lt;1/24,TEXT('All Tandem Standards Source'!T47,"M:SS"),TEXT('All Tandem Standards Source'!T47,"H:MM:SS"))</f>
        <v>1:11:48</v>
      </c>
      <c r="W46" s="50" t="str">
        <f>IF('All Tandem Standards Source'!X47&lt;1/24,TEXT('All Tandem Standards Source'!X47,"M:SS"),TEXT('All Tandem Standards Source'!X47,"H:MM:SS"))</f>
        <v>2:29:18</v>
      </c>
      <c r="X46" s="51" t="str">
        <f>TEXT('All Tandem Standards Source'!AB47,"0.00")</f>
        <v>96.99</v>
      </c>
      <c r="Y46" s="51" t="str">
        <f>TEXT('All Tandem Standards Source'!AF47,"0.00")</f>
        <v>161.64</v>
      </c>
      <c r="Z46" s="55" t="str">
        <f>IF('All Tandem Standards Source'!E47&lt;1/24,TEXT('All Tandem Standards Source'!E47,"M:SS"),TEXT('All Tandem Standards Source'!E47,"H:MM:SS"))</f>
        <v>15:02</v>
      </c>
      <c r="AA46" s="55" t="str">
        <f>IF('All Tandem Standards Source'!I47&lt;1/24,TEXT('All Tandem Standards Source'!I47,"M:SS"),TEXT('All Tandem Standards Source'!I47,"H:MM:SS"))</f>
        <v>22:38</v>
      </c>
      <c r="AB46" s="55" t="str">
        <f>IF('All Tandem Standards Source'!M47&lt;1/24,TEXT('All Tandem Standards Source'!M47,"M:SS"),TEXT('All Tandem Standards Source'!M47,"H:MM:SS"))</f>
        <v>38:01</v>
      </c>
      <c r="AC46" s="55" t="str">
        <f>IF('All Tandem Standards Source'!Q47&lt;1/24,TEXT('All Tandem Standards Source'!Q47,"M:SS"),TEXT('All Tandem Standards Source'!Q47,"H:MM:SS"))</f>
        <v>45:48</v>
      </c>
      <c r="AD46" s="55" t="str">
        <f>IF('All Tandem Standards Source'!U47&lt;1/24,TEXT('All Tandem Standards Source'!U47,"M:SS"),TEXT('All Tandem Standards Source'!U47,"H:MM:SS"))</f>
        <v>1:17:28</v>
      </c>
      <c r="AE46" s="55" t="str">
        <f>IF('All Tandem Standards Source'!Y47&lt;1/24,TEXT('All Tandem Standards Source'!Y47,"M:SS"),TEXT('All Tandem Standards Source'!Y47,"H:MM:SS"))</f>
        <v>2:41:06</v>
      </c>
      <c r="AF46" s="56" t="str">
        <f>TEXT('All Tandem Standards Source'!AC47,"0.00")</f>
        <v>86.98</v>
      </c>
      <c r="AG46" s="56" t="str">
        <f>TEXT('All Tandem Standards Source'!AG47,"0.00")</f>
        <v>147.73</v>
      </c>
    </row>
    <row r="47" spans="1:33" x14ac:dyDescent="0.25">
      <c r="A47" s="17">
        <v>54</v>
      </c>
      <c r="B47" s="53" t="str">
        <f>IF('All Tandem Standards Source'!B48&lt;1/24,TEXT('All Tandem Standards Source'!B48,"M:SS"),TEXT('All Tandem Standards Source'!B48,"H:MM:SS"))</f>
        <v>13:02</v>
      </c>
      <c r="C47" s="53" t="str">
        <f>IF('All Tandem Standards Source'!F48&lt;1/24,TEXT('All Tandem Standards Source'!F48,"M:SS"),TEXT('All Tandem Standards Source'!F48,"H:MM:SS"))</f>
        <v>19:38</v>
      </c>
      <c r="D47" s="53" t="str">
        <f>IF('All Tandem Standards Source'!J48&lt;1/24,TEXT('All Tandem Standards Source'!J48,"M:SS"),TEXT('All Tandem Standards Source'!J48,"H:MM:SS"))</f>
        <v>32:58</v>
      </c>
      <c r="E47" s="53" t="str">
        <f>IF('All Tandem Standards Source'!N48&lt;1/24,TEXT('All Tandem Standards Source'!N48,"M:SS"),TEXT('All Tandem Standards Source'!N48,"H:MM:SS"))</f>
        <v>39:42</v>
      </c>
      <c r="F47" s="53" t="str">
        <f>IF('All Tandem Standards Source'!R48&lt;1/24,TEXT('All Tandem Standards Source'!R48,"M:SS"),TEXT('All Tandem Standards Source'!R48,"H:MM:SS"))</f>
        <v>1:07:11</v>
      </c>
      <c r="G47" s="53" t="str">
        <f>IF('All Tandem Standards Source'!V48&lt;1/24,TEXT('All Tandem Standards Source'!V48,"M:SS"),TEXT('All Tandem Standards Source'!V48,"H:MM:SS"))</f>
        <v>2:19:44</v>
      </c>
      <c r="H47" s="54" t="str">
        <f>TEXT('All Tandem Standards Source'!Z48,"0.00")</f>
        <v>106.13</v>
      </c>
      <c r="I47" s="54" t="str">
        <f>TEXT('All Tandem Standards Source'!AD48,"0.00")</f>
        <v>173.40</v>
      </c>
      <c r="J47" s="57" t="str">
        <f>IF('All Tandem Standards Source'!C48&lt;1/24,TEXT('All Tandem Standards Source'!C48,"M:SS"),TEXT('All Tandem Standards Source'!C48,"H:MM:SS"))</f>
        <v>14:02</v>
      </c>
      <c r="K47" s="57" t="str">
        <f>IF('All Tandem Standards Source'!G48&lt;1/24,TEXT('All Tandem Standards Source'!G48,"M:SS"),TEXT('All Tandem Standards Source'!G48,"H:MM:SS"))</f>
        <v>21:08</v>
      </c>
      <c r="L47" s="57" t="str">
        <f>IF('All Tandem Standards Source'!K48&lt;1/24,TEXT('All Tandem Standards Source'!K48,"M:SS"),TEXT('All Tandem Standards Source'!K48,"H:MM:SS"))</f>
        <v>35:28</v>
      </c>
      <c r="M47" s="57" t="str">
        <f>IF('All Tandem Standards Source'!O48&lt;1/24,TEXT('All Tandem Standards Source'!O48,"M:SS"),TEXT('All Tandem Standards Source'!O48,"H:MM:SS"))</f>
        <v>42:44</v>
      </c>
      <c r="N47" s="57" t="str">
        <f>IF('All Tandem Standards Source'!S48&lt;1/24,TEXT('All Tandem Standards Source'!S48,"M:SS"),TEXT('All Tandem Standards Source'!S48,"H:MM:SS"))</f>
        <v>1:12:18</v>
      </c>
      <c r="O47" s="57" t="str">
        <f>IF('All Tandem Standards Source'!W48&lt;1/24,TEXT('All Tandem Standards Source'!W48,"M:SS"),TEXT('All Tandem Standards Source'!W48,"H:MM:SS"))</f>
        <v>2:30:24</v>
      </c>
      <c r="P47" s="58" t="str">
        <f>TEXT('All Tandem Standards Source'!AA48,"0.00")</f>
        <v>95.79</v>
      </c>
      <c r="Q47" s="58" t="str">
        <f>TEXT('All Tandem Standards Source'!AE48,"0.00")</f>
        <v>159.49</v>
      </c>
      <c r="R47" s="50" t="str">
        <f>IF('All Tandem Standards Source'!D48&lt;1/24,TEXT('All Tandem Standards Source'!D48,"M:SS"),TEXT('All Tandem Standards Source'!D48,"H:MM:SS"))</f>
        <v>14:00</v>
      </c>
      <c r="S47" s="50" t="str">
        <f>IF('All Tandem Standards Source'!H48&lt;1/24,TEXT('All Tandem Standards Source'!H48,"M:SS"),TEXT('All Tandem Standards Source'!H48,"H:MM:SS"))</f>
        <v>21:04</v>
      </c>
      <c r="T47" s="50" t="str">
        <f>IF('All Tandem Standards Source'!L48&lt;1/24,TEXT('All Tandem Standards Source'!L48,"M:SS"),TEXT('All Tandem Standards Source'!L48,"H:MM:SS"))</f>
        <v>35:23</v>
      </c>
      <c r="U47" s="50" t="str">
        <f>IF('All Tandem Standards Source'!P48&lt;1/24,TEXT('All Tandem Standards Source'!P48,"M:SS"),TEXT('All Tandem Standards Source'!P48,"H:MM:SS"))</f>
        <v>42:37</v>
      </c>
      <c r="V47" s="50" t="str">
        <f>IF('All Tandem Standards Source'!T48&lt;1/24,TEXT('All Tandem Standards Source'!T48,"M:SS"),TEXT('All Tandem Standards Source'!T48,"H:MM:SS"))</f>
        <v>1:12:07</v>
      </c>
      <c r="W47" s="50" t="str">
        <f>IF('All Tandem Standards Source'!X48&lt;1/24,TEXT('All Tandem Standards Source'!X48,"M:SS"),TEXT('All Tandem Standards Source'!X48,"H:MM:SS"))</f>
        <v>2:30:00</v>
      </c>
      <c r="X47" s="51" t="str">
        <f>TEXT('All Tandem Standards Source'!AB48,"0.00")</f>
        <v>96.15</v>
      </c>
      <c r="Y47" s="51" t="str">
        <f>TEXT('All Tandem Standards Source'!AF48,"0.00")</f>
        <v>159.99</v>
      </c>
      <c r="Z47" s="55" t="str">
        <f>IF('All Tandem Standards Source'!E48&lt;1/24,TEXT('All Tandem Standards Source'!E48,"M:SS"),TEXT('All Tandem Standards Source'!E48,"H:MM:SS"))</f>
        <v>15:05</v>
      </c>
      <c r="AA47" s="55" t="str">
        <f>IF('All Tandem Standards Source'!I48&lt;1/24,TEXT('All Tandem Standards Source'!I48,"M:SS"),TEXT('All Tandem Standards Source'!I48,"H:MM:SS"))</f>
        <v>22:43</v>
      </c>
      <c r="AB47" s="55" t="str">
        <f>IF('All Tandem Standards Source'!M48&lt;1/24,TEXT('All Tandem Standards Source'!M48,"M:SS"),TEXT('All Tandem Standards Source'!M48,"H:MM:SS"))</f>
        <v>38:08</v>
      </c>
      <c r="AC47" s="55" t="str">
        <f>IF('All Tandem Standards Source'!Q48&lt;1/24,TEXT('All Tandem Standards Source'!Q48,"M:SS"),TEXT('All Tandem Standards Source'!Q48,"H:MM:SS"))</f>
        <v>45:56</v>
      </c>
      <c r="AD47" s="55" t="str">
        <f>IF('All Tandem Standards Source'!U48&lt;1/24,TEXT('All Tandem Standards Source'!U48,"M:SS"),TEXT('All Tandem Standards Source'!U48,"H:MM:SS"))</f>
        <v>1:17:44</v>
      </c>
      <c r="AE47" s="55" t="str">
        <f>IF('All Tandem Standards Source'!Y48&lt;1/24,TEXT('All Tandem Standards Source'!Y48,"M:SS"),TEXT('All Tandem Standards Source'!Y48,"H:MM:SS"))</f>
        <v>2:41:41</v>
      </c>
      <c r="AF47" s="56" t="str">
        <f>TEXT('All Tandem Standards Source'!AC48,"0.00")</f>
        <v>86.36</v>
      </c>
      <c r="AG47" s="56" t="str">
        <f>TEXT('All Tandem Standards Source'!AG48,"0.00")</f>
        <v>146.43</v>
      </c>
    </row>
    <row r="48" spans="1:33" x14ac:dyDescent="0.25">
      <c r="A48" s="17">
        <v>55</v>
      </c>
      <c r="B48" s="53" t="str">
        <f>IF('All Tandem Standards Source'!B49&lt;1/24,TEXT('All Tandem Standards Source'!B49,"M:SS"),TEXT('All Tandem Standards Source'!B49,"H:MM:SS"))</f>
        <v>13:06</v>
      </c>
      <c r="C48" s="53" t="str">
        <f>IF('All Tandem Standards Source'!F49&lt;1/24,TEXT('All Tandem Standards Source'!F49,"M:SS"),TEXT('All Tandem Standards Source'!F49,"H:MM:SS"))</f>
        <v>19:43</v>
      </c>
      <c r="D48" s="53" t="str">
        <f>IF('All Tandem Standards Source'!J49&lt;1/24,TEXT('All Tandem Standards Source'!J49,"M:SS"),TEXT('All Tandem Standards Source'!J49,"H:MM:SS"))</f>
        <v>33:06</v>
      </c>
      <c r="E48" s="53" t="str">
        <f>IF('All Tandem Standards Source'!N49&lt;1/24,TEXT('All Tandem Standards Source'!N49,"M:SS"),TEXT('All Tandem Standards Source'!N49,"H:MM:SS"))</f>
        <v>39:52</v>
      </c>
      <c r="F48" s="53" t="str">
        <f>IF('All Tandem Standards Source'!R49&lt;1/24,TEXT('All Tandem Standards Source'!R49,"M:SS"),TEXT('All Tandem Standards Source'!R49,"H:MM:SS"))</f>
        <v>1:07:29</v>
      </c>
      <c r="G48" s="53" t="str">
        <f>IF('All Tandem Standards Source'!V49&lt;1/24,TEXT('All Tandem Standards Source'!V49,"M:SS"),TEXT('All Tandem Standards Source'!V49,"H:MM:SS"))</f>
        <v>2:20:24</v>
      </c>
      <c r="H48" s="54" t="str">
        <f>TEXT('All Tandem Standards Source'!Z49,"0.00")</f>
        <v>105.18</v>
      </c>
      <c r="I48" s="54" t="str">
        <f>TEXT('All Tandem Standards Source'!AD49,"0.00")</f>
        <v>171.53</v>
      </c>
      <c r="J48" s="57" t="str">
        <f>IF('All Tandem Standards Source'!C49&lt;1/24,TEXT('All Tandem Standards Source'!C49,"M:SS"),TEXT('All Tandem Standards Source'!C49,"H:MM:SS"))</f>
        <v>14:05</v>
      </c>
      <c r="K48" s="57" t="str">
        <f>IF('All Tandem Standards Source'!G49&lt;1/24,TEXT('All Tandem Standards Source'!G49,"M:SS"),TEXT('All Tandem Standards Source'!G49,"H:MM:SS"))</f>
        <v>21:12</v>
      </c>
      <c r="L48" s="57" t="str">
        <f>IF('All Tandem Standards Source'!K49&lt;1/24,TEXT('All Tandem Standards Source'!K49,"M:SS"),TEXT('All Tandem Standards Source'!K49,"H:MM:SS"))</f>
        <v>35:36</v>
      </c>
      <c r="M48" s="57" t="str">
        <f>IF('All Tandem Standards Source'!O49&lt;1/24,TEXT('All Tandem Standards Source'!O49,"M:SS"),TEXT('All Tandem Standards Source'!O49,"H:MM:SS"))</f>
        <v>42:52</v>
      </c>
      <c r="N48" s="57" t="str">
        <f>IF('All Tandem Standards Source'!S49&lt;1/24,TEXT('All Tandem Standards Source'!S49,"M:SS"),TEXT('All Tandem Standards Source'!S49,"H:MM:SS"))</f>
        <v>1:12:34</v>
      </c>
      <c r="O48" s="57" t="str">
        <f>IF('All Tandem Standards Source'!W49&lt;1/24,TEXT('All Tandem Standards Source'!W49,"M:SS"),TEXT('All Tandem Standards Source'!W49,"H:MM:SS"))</f>
        <v>2:31:00</v>
      </c>
      <c r="P48" s="58" t="str">
        <f>TEXT('All Tandem Standards Source'!AA49,"0.00")</f>
        <v>95.05</v>
      </c>
      <c r="Q48" s="58" t="str">
        <f>TEXT('All Tandem Standards Source'!AE49,"0.00")</f>
        <v>157.96</v>
      </c>
      <c r="R48" s="50" t="str">
        <f>IF('All Tandem Standards Source'!D49&lt;1/24,TEXT('All Tandem Standards Source'!D49,"M:SS"),TEXT('All Tandem Standards Source'!D49,"H:MM:SS"))</f>
        <v>14:03</v>
      </c>
      <c r="S48" s="50" t="str">
        <f>IF('All Tandem Standards Source'!H49&lt;1/24,TEXT('All Tandem Standards Source'!H49,"M:SS"),TEXT('All Tandem Standards Source'!H49,"H:MM:SS"))</f>
        <v>21:10</v>
      </c>
      <c r="T48" s="50" t="str">
        <f>IF('All Tandem Standards Source'!L49&lt;1/24,TEXT('All Tandem Standards Source'!L49,"M:SS"),TEXT('All Tandem Standards Source'!L49,"H:MM:SS"))</f>
        <v>35:32</v>
      </c>
      <c r="U48" s="50" t="str">
        <f>IF('All Tandem Standards Source'!P49&lt;1/24,TEXT('All Tandem Standards Source'!P49,"M:SS"),TEXT('All Tandem Standards Source'!P49,"H:MM:SS"))</f>
        <v>42:48</v>
      </c>
      <c r="V48" s="50" t="str">
        <f>IF('All Tandem Standards Source'!T49&lt;1/24,TEXT('All Tandem Standards Source'!T49,"M:SS"),TEXT('All Tandem Standards Source'!T49,"H:MM:SS"))</f>
        <v>1:12:26</v>
      </c>
      <c r="W48" s="50" t="str">
        <f>IF('All Tandem Standards Source'!X49&lt;1/24,TEXT('All Tandem Standards Source'!X49,"M:SS"),TEXT('All Tandem Standards Source'!X49,"H:MM:SS"))</f>
        <v>2:30:43</v>
      </c>
      <c r="X48" s="51" t="str">
        <f>TEXT('All Tandem Standards Source'!AB49,"0.00")</f>
        <v>95.29</v>
      </c>
      <c r="Y48" s="51" t="str">
        <f>TEXT('All Tandem Standards Source'!AF49,"0.00")</f>
        <v>158.28</v>
      </c>
      <c r="Z48" s="55" t="str">
        <f>IF('All Tandem Standards Source'!E49&lt;1/24,TEXT('All Tandem Standards Source'!E49,"M:SS"),TEXT('All Tandem Standards Source'!E49,"H:MM:SS"))</f>
        <v>15:08</v>
      </c>
      <c r="AA48" s="55" t="str">
        <f>IF('All Tandem Standards Source'!I49&lt;1/24,TEXT('All Tandem Standards Source'!I49,"M:SS"),TEXT('All Tandem Standards Source'!I49,"H:MM:SS"))</f>
        <v>22:47</v>
      </c>
      <c r="AB48" s="55" t="str">
        <f>IF('All Tandem Standards Source'!M49&lt;1/24,TEXT('All Tandem Standards Source'!M49,"M:SS"),TEXT('All Tandem Standards Source'!M49,"H:MM:SS"))</f>
        <v>38:16</v>
      </c>
      <c r="AC48" s="55" t="str">
        <f>IF('All Tandem Standards Source'!Q49&lt;1/24,TEXT('All Tandem Standards Source'!Q49,"M:SS"),TEXT('All Tandem Standards Source'!Q49,"H:MM:SS"))</f>
        <v>46:05</v>
      </c>
      <c r="AD48" s="55" t="str">
        <f>IF('All Tandem Standards Source'!U49&lt;1/24,TEXT('All Tandem Standards Source'!U49,"M:SS"),TEXT('All Tandem Standards Source'!U49,"H:MM:SS"))</f>
        <v>1:18:00</v>
      </c>
      <c r="AE48" s="55" t="str">
        <f>IF('All Tandem Standards Source'!Y49&lt;1/24,TEXT('All Tandem Standards Source'!Y49,"M:SS"),TEXT('All Tandem Standards Source'!Y49,"H:MM:SS"))</f>
        <v>2:42:20</v>
      </c>
      <c r="AF48" s="56" t="str">
        <f>TEXT('All Tandem Standards Source'!AC49,"0.00")</f>
        <v>85.69</v>
      </c>
      <c r="AG48" s="56" t="str">
        <f>TEXT('All Tandem Standards Source'!AG49,"0.00")</f>
        <v>145.04</v>
      </c>
    </row>
    <row r="49" spans="1:33" x14ac:dyDescent="0.25">
      <c r="A49" s="17">
        <v>56</v>
      </c>
      <c r="B49" s="53" t="str">
        <f>IF('All Tandem Standards Source'!B50&lt;1/24,TEXT('All Tandem Standards Source'!B50,"M:SS"),TEXT('All Tandem Standards Source'!B50,"H:MM:SS"))</f>
        <v>13:09</v>
      </c>
      <c r="C49" s="53" t="str">
        <f>IF('All Tandem Standards Source'!F50&lt;1/24,TEXT('All Tandem Standards Source'!F50,"M:SS"),TEXT('All Tandem Standards Source'!F50,"H:MM:SS"))</f>
        <v>19:48</v>
      </c>
      <c r="D49" s="53" t="str">
        <f>IF('All Tandem Standards Source'!J50&lt;1/24,TEXT('All Tandem Standards Source'!J50,"M:SS"),TEXT('All Tandem Standards Source'!J50,"H:MM:SS"))</f>
        <v>33:15</v>
      </c>
      <c r="E49" s="53" t="str">
        <f>IF('All Tandem Standards Source'!N50&lt;1/24,TEXT('All Tandem Standards Source'!N50,"M:SS"),TEXT('All Tandem Standards Source'!N50,"H:MM:SS"))</f>
        <v>40:03</v>
      </c>
      <c r="F49" s="53" t="str">
        <f>IF('All Tandem Standards Source'!R50&lt;1/24,TEXT('All Tandem Standards Source'!R50,"M:SS"),TEXT('All Tandem Standards Source'!R50,"H:MM:SS"))</f>
        <v>1:07:48</v>
      </c>
      <c r="G49" s="53" t="str">
        <f>IF('All Tandem Standards Source'!V50&lt;1/24,TEXT('All Tandem Standards Source'!V50,"M:SS"),TEXT('All Tandem Standards Source'!V50,"H:MM:SS"))</f>
        <v>2:21:06</v>
      </c>
      <c r="H49" s="54" t="str">
        <f>TEXT('All Tandem Standards Source'!Z50,"0.00")</f>
        <v>104.20</v>
      </c>
      <c r="I49" s="54" t="str">
        <f>TEXT('All Tandem Standards Source'!AD50,"0.00")</f>
        <v>169.61</v>
      </c>
      <c r="J49" s="57" t="str">
        <f>IF('All Tandem Standards Source'!C50&lt;1/24,TEXT('All Tandem Standards Source'!C50,"M:SS"),TEXT('All Tandem Standards Source'!C50,"H:MM:SS"))</f>
        <v>14:08</v>
      </c>
      <c r="K49" s="57" t="str">
        <f>IF('All Tandem Standards Source'!G50&lt;1/24,TEXT('All Tandem Standards Source'!G50,"M:SS"),TEXT('All Tandem Standards Source'!G50,"H:MM:SS"))</f>
        <v>21:16</v>
      </c>
      <c r="L49" s="57" t="str">
        <f>IF('All Tandem Standards Source'!K50&lt;1/24,TEXT('All Tandem Standards Source'!K50,"M:SS"),TEXT('All Tandem Standards Source'!K50,"H:MM:SS"))</f>
        <v>35:44</v>
      </c>
      <c r="M49" s="57" t="str">
        <f>IF('All Tandem Standards Source'!O50&lt;1/24,TEXT('All Tandem Standards Source'!O50,"M:SS"),TEXT('All Tandem Standards Source'!O50,"H:MM:SS"))</f>
        <v>43:02</v>
      </c>
      <c r="N49" s="57" t="str">
        <f>IF('All Tandem Standards Source'!S50&lt;1/24,TEXT('All Tandem Standards Source'!S50,"M:SS"),TEXT('All Tandem Standards Source'!S50,"H:MM:SS"))</f>
        <v>1:12:51</v>
      </c>
      <c r="O49" s="57" t="str">
        <f>IF('All Tandem Standards Source'!W50&lt;1/24,TEXT('All Tandem Standards Source'!W50,"M:SS"),TEXT('All Tandem Standards Source'!W50,"H:MM:SS"))</f>
        <v>2:31:39</v>
      </c>
      <c r="P49" s="58" t="str">
        <f>TEXT('All Tandem Standards Source'!AA50,"0.00")</f>
        <v>94.25</v>
      </c>
      <c r="Q49" s="58" t="str">
        <f>TEXT('All Tandem Standards Source'!AE50,"0.00")</f>
        <v>156.32</v>
      </c>
      <c r="R49" s="50" t="str">
        <f>IF('All Tandem Standards Source'!D50&lt;1/24,TEXT('All Tandem Standards Source'!D50,"M:SS"),TEXT('All Tandem Standards Source'!D50,"H:MM:SS"))</f>
        <v>14:07</v>
      </c>
      <c r="S49" s="50" t="str">
        <f>IF('All Tandem Standards Source'!H50&lt;1/24,TEXT('All Tandem Standards Source'!H50,"M:SS"),TEXT('All Tandem Standards Source'!H50,"H:MM:SS"))</f>
        <v>21:15</v>
      </c>
      <c r="T49" s="50" t="str">
        <f>IF('All Tandem Standards Source'!L50&lt;1/24,TEXT('All Tandem Standards Source'!L50,"M:SS"),TEXT('All Tandem Standards Source'!L50,"H:MM:SS"))</f>
        <v>35:41</v>
      </c>
      <c r="U49" s="50" t="str">
        <f>IF('All Tandem Standards Source'!P50&lt;1/24,TEXT('All Tandem Standards Source'!P50,"M:SS"),TEXT('All Tandem Standards Source'!P50,"H:MM:SS"))</f>
        <v>43:00</v>
      </c>
      <c r="V49" s="50" t="str">
        <f>IF('All Tandem Standards Source'!T50&lt;1/24,TEXT('All Tandem Standards Source'!T50,"M:SS"),TEXT('All Tandem Standards Source'!T50,"H:MM:SS"))</f>
        <v>1:12:47</v>
      </c>
      <c r="W49" s="50" t="str">
        <f>IF('All Tandem Standards Source'!X50&lt;1/24,TEXT('All Tandem Standards Source'!X50,"M:SS"),TEXT('All Tandem Standards Source'!X50,"H:MM:SS"))</f>
        <v>2:31:29</v>
      </c>
      <c r="X49" s="51" t="str">
        <f>TEXT('All Tandem Standards Source'!AB50,"0.00")</f>
        <v>94.39</v>
      </c>
      <c r="Y49" s="51" t="str">
        <f>TEXT('All Tandem Standards Source'!AF50,"0.00")</f>
        <v>156.51</v>
      </c>
      <c r="Z49" s="55" t="str">
        <f>IF('All Tandem Standards Source'!E50&lt;1/24,TEXT('All Tandem Standards Source'!E50,"M:SS"),TEXT('All Tandem Standards Source'!E50,"H:MM:SS"))</f>
        <v>15:12</v>
      </c>
      <c r="AA49" s="55" t="str">
        <f>IF('All Tandem Standards Source'!I50&lt;1/24,TEXT('All Tandem Standards Source'!I50,"M:SS"),TEXT('All Tandem Standards Source'!I50,"H:MM:SS"))</f>
        <v>22:52</v>
      </c>
      <c r="AB49" s="55" t="str">
        <f>IF('All Tandem Standards Source'!M50&lt;1/24,TEXT('All Tandem Standards Source'!M50,"M:SS"),TEXT('All Tandem Standards Source'!M50,"H:MM:SS"))</f>
        <v>38:24</v>
      </c>
      <c r="AC49" s="55" t="str">
        <f>IF('All Tandem Standards Source'!Q50&lt;1/24,TEXT('All Tandem Standards Source'!Q50,"M:SS"),TEXT('All Tandem Standards Source'!Q50,"H:MM:SS"))</f>
        <v>46:16</v>
      </c>
      <c r="AD49" s="55" t="str">
        <f>IF('All Tandem Standards Source'!U50&lt;1/24,TEXT('All Tandem Standards Source'!U50,"M:SS"),TEXT('All Tandem Standards Source'!U50,"H:MM:SS"))</f>
        <v>1:18:19</v>
      </c>
      <c r="AE49" s="55" t="str">
        <f>IF('All Tandem Standards Source'!Y50&lt;1/24,TEXT('All Tandem Standards Source'!Y50,"M:SS"),TEXT('All Tandem Standards Source'!Y50,"H:MM:SS"))</f>
        <v>2:43:03</v>
      </c>
      <c r="AF49" s="56" t="str">
        <f>TEXT('All Tandem Standards Source'!AC50,"0.00")</f>
        <v>84.96</v>
      </c>
      <c r="AG49" s="56" t="str">
        <f>TEXT('All Tandem Standards Source'!AG50,"0.00")</f>
        <v>143.55</v>
      </c>
    </row>
    <row r="50" spans="1:33" x14ac:dyDescent="0.25">
      <c r="A50" s="17">
        <v>57</v>
      </c>
      <c r="B50" s="53" t="str">
        <f>IF('All Tandem Standards Source'!B51&lt;1/24,TEXT('All Tandem Standards Source'!B51,"M:SS"),TEXT('All Tandem Standards Source'!B51,"H:MM:SS"))</f>
        <v>13:12</v>
      </c>
      <c r="C50" s="53" t="str">
        <f>IF('All Tandem Standards Source'!F51&lt;1/24,TEXT('All Tandem Standards Source'!F51,"M:SS"),TEXT('All Tandem Standards Source'!F51,"H:MM:SS"))</f>
        <v>19:53</v>
      </c>
      <c r="D50" s="53" t="str">
        <f>IF('All Tandem Standards Source'!J51&lt;1/24,TEXT('All Tandem Standards Source'!J51,"M:SS"),TEXT('All Tandem Standards Source'!J51,"H:MM:SS"))</f>
        <v>33:24</v>
      </c>
      <c r="E50" s="53" t="str">
        <f>IF('All Tandem Standards Source'!N51&lt;1/24,TEXT('All Tandem Standards Source'!N51,"M:SS"),TEXT('All Tandem Standards Source'!N51,"H:MM:SS"))</f>
        <v>40:14</v>
      </c>
      <c r="F50" s="53" t="str">
        <f>IF('All Tandem Standards Source'!R51&lt;1/24,TEXT('All Tandem Standards Source'!R51,"M:SS"),TEXT('All Tandem Standards Source'!R51,"H:MM:SS"))</f>
        <v>1:08:07</v>
      </c>
      <c r="G50" s="53" t="str">
        <f>IF('All Tandem Standards Source'!V51&lt;1/24,TEXT('All Tandem Standards Source'!V51,"M:SS"),TEXT('All Tandem Standards Source'!V51,"H:MM:SS"))</f>
        <v>2:21:50</v>
      </c>
      <c r="H50" s="54" t="str">
        <f>TEXT('All Tandem Standards Source'!Z51,"0.00")</f>
        <v>103.18</v>
      </c>
      <c r="I50" s="54" t="str">
        <f>TEXT('All Tandem Standards Source'!AD51,"0.00")</f>
        <v>167.62</v>
      </c>
      <c r="J50" s="57" t="str">
        <f>IF('All Tandem Standards Source'!C51&lt;1/24,TEXT('All Tandem Standards Source'!C51,"M:SS"),TEXT('All Tandem Standards Source'!C51,"H:MM:SS"))</f>
        <v>14:12</v>
      </c>
      <c r="K50" s="57" t="str">
        <f>IF('All Tandem Standards Source'!G51&lt;1/24,TEXT('All Tandem Standards Source'!G51,"M:SS"),TEXT('All Tandem Standards Source'!G51,"H:MM:SS"))</f>
        <v>21:22</v>
      </c>
      <c r="L50" s="57" t="str">
        <f>IF('All Tandem Standards Source'!K51&lt;1/24,TEXT('All Tandem Standards Source'!K51,"M:SS"),TEXT('All Tandem Standards Source'!K51,"H:MM:SS"))</f>
        <v>35:53</v>
      </c>
      <c r="M50" s="57" t="str">
        <f>IF('All Tandem Standards Source'!O51&lt;1/24,TEXT('All Tandem Standards Source'!O51,"M:SS"),TEXT('All Tandem Standards Source'!O51,"H:MM:SS"))</f>
        <v>43:13</v>
      </c>
      <c r="N50" s="57" t="str">
        <f>IF('All Tandem Standards Source'!S51&lt;1/24,TEXT('All Tandem Standards Source'!S51,"M:SS"),TEXT('All Tandem Standards Source'!S51,"H:MM:SS"))</f>
        <v>1:13:11</v>
      </c>
      <c r="O50" s="57" t="str">
        <f>IF('All Tandem Standards Source'!W51&lt;1/24,TEXT('All Tandem Standards Source'!W51,"M:SS"),TEXT('All Tandem Standards Source'!W51,"H:MM:SS"))</f>
        <v>2:32:24</v>
      </c>
      <c r="P50" s="58" t="str">
        <f>TEXT('All Tandem Standards Source'!AA51,"0.00")</f>
        <v>93.38</v>
      </c>
      <c r="Q50" s="58" t="str">
        <f>TEXT('All Tandem Standards Source'!AE51,"0.00")</f>
        <v>154.58</v>
      </c>
      <c r="R50" s="50" t="str">
        <f>IF('All Tandem Standards Source'!D51&lt;1/24,TEXT('All Tandem Standards Source'!D51,"M:SS"),TEXT('All Tandem Standards Source'!D51,"H:MM:SS"))</f>
        <v>14:11</v>
      </c>
      <c r="S50" s="50" t="str">
        <f>IF('All Tandem Standards Source'!H51&lt;1/24,TEXT('All Tandem Standards Source'!H51,"M:SS"),TEXT('All Tandem Standards Source'!H51,"H:MM:SS"))</f>
        <v>21:21</v>
      </c>
      <c r="T50" s="50" t="str">
        <f>IF('All Tandem Standards Source'!L51&lt;1/24,TEXT('All Tandem Standards Source'!L51,"M:SS"),TEXT('All Tandem Standards Source'!L51,"H:MM:SS"))</f>
        <v>35:51</v>
      </c>
      <c r="U50" s="50" t="str">
        <f>IF('All Tandem Standards Source'!P51&lt;1/24,TEXT('All Tandem Standards Source'!P51,"M:SS"),TEXT('All Tandem Standards Source'!P51,"H:MM:SS"))</f>
        <v>43:12</v>
      </c>
      <c r="V50" s="50" t="str">
        <f>IF('All Tandem Standards Source'!T51&lt;1/24,TEXT('All Tandem Standards Source'!T51,"M:SS"),TEXT('All Tandem Standards Source'!T51,"H:MM:SS"))</f>
        <v>1:13:08</v>
      </c>
      <c r="W50" s="50" t="str">
        <f>IF('All Tandem Standards Source'!X51&lt;1/24,TEXT('All Tandem Standards Source'!X51,"M:SS"),TEXT('All Tandem Standards Source'!X51,"H:MM:SS"))</f>
        <v>2:32:17</v>
      </c>
      <c r="X50" s="51" t="str">
        <f>TEXT('All Tandem Standards Source'!AB51,"0.00")</f>
        <v>93.46</v>
      </c>
      <c r="Y50" s="51" t="str">
        <f>TEXT('All Tandem Standards Source'!AF51,"0.00")</f>
        <v>154.69</v>
      </c>
      <c r="Z50" s="55" t="str">
        <f>IF('All Tandem Standards Source'!E51&lt;1/24,TEXT('All Tandem Standards Source'!E51,"M:SS"),TEXT('All Tandem Standards Source'!E51,"H:MM:SS"))</f>
        <v>15:15</v>
      </c>
      <c r="AA50" s="55" t="str">
        <f>IF('All Tandem Standards Source'!I51&lt;1/24,TEXT('All Tandem Standards Source'!I51,"M:SS"),TEXT('All Tandem Standards Source'!I51,"H:MM:SS"))</f>
        <v>22:58</v>
      </c>
      <c r="AB50" s="55" t="str">
        <f>IF('All Tandem Standards Source'!M51&lt;1/24,TEXT('All Tandem Standards Source'!M51,"M:SS"),TEXT('All Tandem Standards Source'!M51,"H:MM:SS"))</f>
        <v>38:35</v>
      </c>
      <c r="AC50" s="55" t="str">
        <f>IF('All Tandem Standards Source'!Q51&lt;1/24,TEXT('All Tandem Standards Source'!Q51,"M:SS"),TEXT('All Tandem Standards Source'!Q51,"H:MM:SS"))</f>
        <v>46:28</v>
      </c>
      <c r="AD50" s="55" t="str">
        <f>IF('All Tandem Standards Source'!U51&lt;1/24,TEXT('All Tandem Standards Source'!U51,"M:SS"),TEXT('All Tandem Standards Source'!U51,"H:MM:SS"))</f>
        <v>1:18:40</v>
      </c>
      <c r="AE50" s="55" t="str">
        <f>IF('All Tandem Standards Source'!Y51&lt;1/24,TEXT('All Tandem Standards Source'!Y51,"M:SS"),TEXT('All Tandem Standards Source'!Y51,"H:MM:SS"))</f>
        <v>2:43:51</v>
      </c>
      <c r="AF50" s="56" t="str">
        <f>TEXT('All Tandem Standards Source'!AC51,"0.00")</f>
        <v>84.17</v>
      </c>
      <c r="AG50" s="56" t="str">
        <f>TEXT('All Tandem Standards Source'!AG51,"0.00")</f>
        <v>141.96</v>
      </c>
    </row>
    <row r="51" spans="1:33" x14ac:dyDescent="0.25">
      <c r="A51" s="17">
        <v>58</v>
      </c>
      <c r="B51" s="53" t="str">
        <f>IF('All Tandem Standards Source'!B52&lt;1/24,TEXT('All Tandem Standards Source'!B52,"M:SS"),TEXT('All Tandem Standards Source'!B52,"H:MM:SS"))</f>
        <v>13:16</v>
      </c>
      <c r="C51" s="53" t="str">
        <f>IF('All Tandem Standards Source'!F52&lt;1/24,TEXT('All Tandem Standards Source'!F52,"M:SS"),TEXT('All Tandem Standards Source'!F52,"H:MM:SS"))</f>
        <v>19:59</v>
      </c>
      <c r="D51" s="53" t="str">
        <f>IF('All Tandem Standards Source'!J52&lt;1/24,TEXT('All Tandem Standards Source'!J52,"M:SS"),TEXT('All Tandem Standards Source'!J52,"H:MM:SS"))</f>
        <v>33:34</v>
      </c>
      <c r="E51" s="53" t="str">
        <f>IF('All Tandem Standards Source'!N52&lt;1/24,TEXT('All Tandem Standards Source'!N52,"M:SS"),TEXT('All Tandem Standards Source'!N52,"H:MM:SS"))</f>
        <v>40:25</v>
      </c>
      <c r="F51" s="53" t="str">
        <f>IF('All Tandem Standards Source'!R52&lt;1/24,TEXT('All Tandem Standards Source'!R52,"M:SS"),TEXT('All Tandem Standards Source'!R52,"H:MM:SS"))</f>
        <v>1:08:27</v>
      </c>
      <c r="G51" s="53" t="str">
        <f>IF('All Tandem Standards Source'!V52&lt;1/24,TEXT('All Tandem Standards Source'!V52,"M:SS"),TEXT('All Tandem Standards Source'!V52,"H:MM:SS"))</f>
        <v>2:22:36</v>
      </c>
      <c r="H51" s="54" t="str">
        <f>TEXT('All Tandem Standards Source'!Z52,"0.00")</f>
        <v>102.14</v>
      </c>
      <c r="I51" s="54" t="str">
        <f>TEXT('All Tandem Standards Source'!AD52,"0.00")</f>
        <v>165.57</v>
      </c>
      <c r="J51" s="57" t="str">
        <f>IF('All Tandem Standards Source'!C52&lt;1/24,TEXT('All Tandem Standards Source'!C52,"M:SS"),TEXT('All Tandem Standards Source'!C52,"H:MM:SS"))</f>
        <v>14:15</v>
      </c>
      <c r="K51" s="57" t="str">
        <f>IF('All Tandem Standards Source'!G52&lt;1/24,TEXT('All Tandem Standards Source'!G52,"M:SS"),TEXT('All Tandem Standards Source'!G52,"H:MM:SS"))</f>
        <v>21:28</v>
      </c>
      <c r="L51" s="57" t="str">
        <f>IF('All Tandem Standards Source'!K52&lt;1/24,TEXT('All Tandem Standards Source'!K52,"M:SS"),TEXT('All Tandem Standards Source'!K52,"H:MM:SS"))</f>
        <v>36:03</v>
      </c>
      <c r="M51" s="57" t="str">
        <f>IF('All Tandem Standards Source'!O52&lt;1/24,TEXT('All Tandem Standards Source'!O52,"M:SS"),TEXT('All Tandem Standards Source'!O52,"H:MM:SS"))</f>
        <v>43:26</v>
      </c>
      <c r="N51" s="57" t="str">
        <f>IF('All Tandem Standards Source'!S52&lt;1/24,TEXT('All Tandem Standards Source'!S52,"M:SS"),TEXT('All Tandem Standards Source'!S52,"H:MM:SS"))</f>
        <v>1:13:32</v>
      </c>
      <c r="O51" s="57" t="str">
        <f>IF('All Tandem Standards Source'!W52&lt;1/24,TEXT('All Tandem Standards Source'!W52,"M:SS"),TEXT('All Tandem Standards Source'!W52,"H:MM:SS"))</f>
        <v>2:33:12</v>
      </c>
      <c r="P51" s="58" t="str">
        <f>TEXT('All Tandem Standards Source'!AA52,"0.00")</f>
        <v>92.45</v>
      </c>
      <c r="Q51" s="58" t="str">
        <f>TEXT('All Tandem Standards Source'!AE52,"0.00")</f>
        <v>152.73</v>
      </c>
      <c r="R51" s="50" t="str">
        <f>IF('All Tandem Standards Source'!D52&lt;1/24,TEXT('All Tandem Standards Source'!D52,"M:SS"),TEXT('All Tandem Standards Source'!D52,"H:MM:SS"))</f>
        <v>14:15</v>
      </c>
      <c r="S51" s="50" t="str">
        <f>IF('All Tandem Standards Source'!H52&lt;1/24,TEXT('All Tandem Standards Source'!H52,"M:SS"),TEXT('All Tandem Standards Source'!H52,"H:MM:SS"))</f>
        <v>21:27</v>
      </c>
      <c r="T51" s="50" t="str">
        <f>IF('All Tandem Standards Source'!L52&lt;1/24,TEXT('All Tandem Standards Source'!L52,"M:SS"),TEXT('All Tandem Standards Source'!L52,"H:MM:SS"))</f>
        <v>36:02</v>
      </c>
      <c r="U51" s="50" t="str">
        <f>IF('All Tandem Standards Source'!P52&lt;1/24,TEXT('All Tandem Standards Source'!P52,"M:SS"),TEXT('All Tandem Standards Source'!P52,"H:MM:SS"))</f>
        <v>43:24</v>
      </c>
      <c r="V51" s="50" t="str">
        <f>IF('All Tandem Standards Source'!T52&lt;1/24,TEXT('All Tandem Standards Source'!T52,"M:SS"),TEXT('All Tandem Standards Source'!T52,"H:MM:SS"))</f>
        <v>1:13:30</v>
      </c>
      <c r="W51" s="50" t="str">
        <f>IF('All Tandem Standards Source'!X52&lt;1/24,TEXT('All Tandem Standards Source'!X52,"M:SS"),TEXT('All Tandem Standards Source'!X52,"H:MM:SS"))</f>
        <v>2:33:08</v>
      </c>
      <c r="X51" s="51" t="str">
        <f>TEXT('All Tandem Standards Source'!AB52,"0.00")</f>
        <v>92.51</v>
      </c>
      <c r="Y51" s="51" t="str">
        <f>TEXT('All Tandem Standards Source'!AF52,"0.00")</f>
        <v>152.82</v>
      </c>
      <c r="Z51" s="55" t="str">
        <f>IF('All Tandem Standards Source'!E52&lt;1/24,TEXT('All Tandem Standards Source'!E52,"M:SS"),TEXT('All Tandem Standards Source'!E52,"H:MM:SS"))</f>
        <v>15:20</v>
      </c>
      <c r="AA51" s="55" t="str">
        <f>IF('All Tandem Standards Source'!I52&lt;1/24,TEXT('All Tandem Standards Source'!I52,"M:SS"),TEXT('All Tandem Standards Source'!I52,"H:MM:SS"))</f>
        <v>23:05</v>
      </c>
      <c r="AB51" s="55" t="str">
        <f>IF('All Tandem Standards Source'!M52&lt;1/24,TEXT('All Tandem Standards Source'!M52,"M:SS"),TEXT('All Tandem Standards Source'!M52,"H:MM:SS"))</f>
        <v>38:46</v>
      </c>
      <c r="AC51" s="55" t="str">
        <f>IF('All Tandem Standards Source'!Q52&lt;1/24,TEXT('All Tandem Standards Source'!Q52,"M:SS"),TEXT('All Tandem Standards Source'!Q52,"H:MM:SS"))</f>
        <v>46:42</v>
      </c>
      <c r="AD51" s="55" t="str">
        <f>IF('All Tandem Standards Source'!U52&lt;1/24,TEXT('All Tandem Standards Source'!U52,"M:SS"),TEXT('All Tandem Standards Source'!U52,"H:MM:SS"))</f>
        <v>1:19:04</v>
      </c>
      <c r="AE51" s="55" t="str">
        <f>IF('All Tandem Standards Source'!Y52&lt;1/24,TEXT('All Tandem Standards Source'!Y52,"M:SS"),TEXT('All Tandem Standards Source'!Y52,"H:MM:SS"))</f>
        <v>2:44:45</v>
      </c>
      <c r="AF51" s="56" t="str">
        <f>TEXT('All Tandem Standards Source'!AC52,"0.00")</f>
        <v>83.32</v>
      </c>
      <c r="AG51" s="56" t="str">
        <f>TEXT('All Tandem Standards Source'!AG52,"0.00")</f>
        <v>140.26</v>
      </c>
    </row>
    <row r="52" spans="1:33" x14ac:dyDescent="0.25">
      <c r="A52" s="17">
        <v>59</v>
      </c>
      <c r="B52" s="53" t="str">
        <f>IF('All Tandem Standards Source'!B53&lt;1/24,TEXT('All Tandem Standards Source'!B53,"M:SS"),TEXT('All Tandem Standards Source'!B53,"H:MM:SS"))</f>
        <v>13:20</v>
      </c>
      <c r="C52" s="53" t="str">
        <f>IF('All Tandem Standards Source'!F53&lt;1/24,TEXT('All Tandem Standards Source'!F53,"M:SS"),TEXT('All Tandem Standards Source'!F53,"H:MM:SS"))</f>
        <v>20:05</v>
      </c>
      <c r="D52" s="53" t="str">
        <f>IF('All Tandem Standards Source'!J53&lt;1/24,TEXT('All Tandem Standards Source'!J53,"M:SS"),TEXT('All Tandem Standards Source'!J53,"H:MM:SS"))</f>
        <v>33:44</v>
      </c>
      <c r="E52" s="53" t="str">
        <f>IF('All Tandem Standards Source'!N53&lt;1/24,TEXT('All Tandem Standards Source'!N53,"M:SS"),TEXT('All Tandem Standards Source'!N53,"H:MM:SS"))</f>
        <v>40:38</v>
      </c>
      <c r="F52" s="53" t="str">
        <f>IF('All Tandem Standards Source'!R53&lt;1/24,TEXT('All Tandem Standards Source'!R53,"M:SS"),TEXT('All Tandem Standards Source'!R53,"H:MM:SS"))</f>
        <v>1:08:48</v>
      </c>
      <c r="G52" s="53" t="str">
        <f>IF('All Tandem Standards Source'!V53&lt;1/24,TEXT('All Tandem Standards Source'!V53,"M:SS"),TEXT('All Tandem Standards Source'!V53,"H:MM:SS"))</f>
        <v>2:23:24</v>
      </c>
      <c r="H52" s="54" t="str">
        <f>TEXT('All Tandem Standards Source'!Z53,"0.00")</f>
        <v>101.06</v>
      </c>
      <c r="I52" s="54" t="str">
        <f>TEXT('All Tandem Standards Source'!AD53,"0.00")</f>
        <v>163.47</v>
      </c>
      <c r="J52" s="57" t="str">
        <f>IF('All Tandem Standards Source'!C53&lt;1/24,TEXT('All Tandem Standards Source'!C53,"M:SS"),TEXT('All Tandem Standards Source'!C53,"H:MM:SS"))</f>
        <v>14:20</v>
      </c>
      <c r="K52" s="57" t="str">
        <f>IF('All Tandem Standards Source'!G53&lt;1/24,TEXT('All Tandem Standards Source'!G53,"M:SS"),TEXT('All Tandem Standards Source'!G53,"H:MM:SS"))</f>
        <v>21:35</v>
      </c>
      <c r="L52" s="57" t="str">
        <f>IF('All Tandem Standards Source'!K53&lt;1/24,TEXT('All Tandem Standards Source'!K53,"M:SS"),TEXT('All Tandem Standards Source'!K53,"H:MM:SS"))</f>
        <v>36:14</v>
      </c>
      <c r="M52" s="57" t="str">
        <f>IF('All Tandem Standards Source'!O53&lt;1/24,TEXT('All Tandem Standards Source'!O53,"M:SS"),TEXT('All Tandem Standards Source'!O53,"H:MM:SS"))</f>
        <v>43:39</v>
      </c>
      <c r="N52" s="57" t="str">
        <f>IF('All Tandem Standards Source'!S53&lt;1/24,TEXT('All Tandem Standards Source'!S53,"M:SS"),TEXT('All Tandem Standards Source'!S53,"H:MM:SS"))</f>
        <v>1:13:56</v>
      </c>
      <c r="O52" s="57" t="str">
        <f>IF('All Tandem Standards Source'!W53&lt;1/24,TEXT('All Tandem Standards Source'!W53,"M:SS"),TEXT('All Tandem Standards Source'!W53,"H:MM:SS"))</f>
        <v>2:34:07</v>
      </c>
      <c r="P52" s="58" t="str">
        <f>TEXT('All Tandem Standards Source'!AA53,"0.00")</f>
        <v>91.45</v>
      </c>
      <c r="Q52" s="58" t="str">
        <f>TEXT('All Tandem Standards Source'!AE53,"0.00")</f>
        <v>150.77</v>
      </c>
      <c r="R52" s="50" t="str">
        <f>IF('All Tandem Standards Source'!D53&lt;1/24,TEXT('All Tandem Standards Source'!D53,"M:SS"),TEXT('All Tandem Standards Source'!D53,"H:MM:SS"))</f>
        <v>14:19</v>
      </c>
      <c r="S52" s="50" t="str">
        <f>IF('All Tandem Standards Source'!H53&lt;1/24,TEXT('All Tandem Standards Source'!H53,"M:SS"),TEXT('All Tandem Standards Source'!H53,"H:MM:SS"))</f>
        <v>21:34</v>
      </c>
      <c r="T52" s="50" t="str">
        <f>IF('All Tandem Standards Source'!L53&lt;1/24,TEXT('All Tandem Standards Source'!L53,"M:SS"),TEXT('All Tandem Standards Source'!L53,"H:MM:SS"))</f>
        <v>36:13</v>
      </c>
      <c r="U52" s="50" t="str">
        <f>IF('All Tandem Standards Source'!P53&lt;1/24,TEXT('All Tandem Standards Source'!P53,"M:SS"),TEXT('All Tandem Standards Source'!P53,"H:MM:SS"))</f>
        <v>43:38</v>
      </c>
      <c r="V52" s="50" t="str">
        <f>IF('All Tandem Standards Source'!T53&lt;1/24,TEXT('All Tandem Standards Source'!T53,"M:SS"),TEXT('All Tandem Standards Source'!T53,"H:MM:SS"))</f>
        <v>1:13:53</v>
      </c>
      <c r="W52" s="50" t="str">
        <f>IF('All Tandem Standards Source'!X53&lt;1/24,TEXT('All Tandem Standards Source'!X53,"M:SS"),TEXT('All Tandem Standards Source'!X53,"H:MM:SS"))</f>
        <v>2:34:00</v>
      </c>
      <c r="X52" s="51" t="str">
        <f>TEXT('All Tandem Standards Source'!AB53,"0.00")</f>
        <v>91.53</v>
      </c>
      <c r="Y52" s="51" t="str">
        <f>TEXT('All Tandem Standards Source'!AF53,"0.00")</f>
        <v>150.89</v>
      </c>
      <c r="Z52" s="55" t="str">
        <f>IF('All Tandem Standards Source'!E53&lt;1/24,TEXT('All Tandem Standards Source'!E53,"M:SS"),TEXT('All Tandem Standards Source'!E53,"H:MM:SS"))</f>
        <v>15:24</v>
      </c>
      <c r="AA52" s="55" t="str">
        <f>IF('All Tandem Standards Source'!I53&lt;1/24,TEXT('All Tandem Standards Source'!I53,"M:SS"),TEXT('All Tandem Standards Source'!I53,"H:MM:SS"))</f>
        <v>23:12</v>
      </c>
      <c r="AB52" s="55" t="str">
        <f>IF('All Tandem Standards Source'!M53&lt;1/24,TEXT('All Tandem Standards Source'!M53,"M:SS"),TEXT('All Tandem Standards Source'!M53,"H:MM:SS"))</f>
        <v>38:58</v>
      </c>
      <c r="AC52" s="55" t="str">
        <f>IF('All Tandem Standards Source'!Q53&lt;1/24,TEXT('All Tandem Standards Source'!Q53,"M:SS"),TEXT('All Tandem Standards Source'!Q53,"H:MM:SS"))</f>
        <v>46:57</v>
      </c>
      <c r="AD52" s="55" t="str">
        <f>IF('All Tandem Standards Source'!U53&lt;1/24,TEXT('All Tandem Standards Source'!U53,"M:SS"),TEXT('All Tandem Standards Source'!U53,"H:MM:SS"))</f>
        <v>1:19:30</v>
      </c>
      <c r="AE52" s="55" t="str">
        <f>IF('All Tandem Standards Source'!Y53&lt;1/24,TEXT('All Tandem Standards Source'!Y53,"M:SS"),TEXT('All Tandem Standards Source'!Y53,"H:MM:SS"))</f>
        <v>2:45:45</v>
      </c>
      <c r="AF52" s="56" t="str">
        <f>TEXT('All Tandem Standards Source'!AC53,"0.00")</f>
        <v>82.40</v>
      </c>
      <c r="AG52" s="56" t="str">
        <f>TEXT('All Tandem Standards Source'!AG53,"0.00")</f>
        <v>138.47</v>
      </c>
    </row>
    <row r="53" spans="1:33" x14ac:dyDescent="0.25">
      <c r="A53" s="17">
        <v>60</v>
      </c>
      <c r="B53" s="53" t="str">
        <f>IF('All Tandem Standards Source'!B54&lt;1/24,TEXT('All Tandem Standards Source'!B54,"M:SS"),TEXT('All Tandem Standards Source'!B54,"H:MM:SS"))</f>
        <v>13:24</v>
      </c>
      <c r="C53" s="53" t="str">
        <f>IF('All Tandem Standards Source'!F54&lt;1/24,TEXT('All Tandem Standards Source'!F54,"M:SS"),TEXT('All Tandem Standards Source'!F54,"H:MM:SS"))</f>
        <v>20:11</v>
      </c>
      <c r="D53" s="53" t="str">
        <f>IF('All Tandem Standards Source'!J54&lt;1/24,TEXT('All Tandem Standards Source'!J54,"M:SS"),TEXT('All Tandem Standards Source'!J54,"H:MM:SS"))</f>
        <v>33:54</v>
      </c>
      <c r="E53" s="53" t="str">
        <f>IF('All Tandem Standards Source'!N54&lt;1/24,TEXT('All Tandem Standards Source'!N54,"M:SS"),TEXT('All Tandem Standards Source'!N54,"H:MM:SS"))</f>
        <v>40:50</v>
      </c>
      <c r="F53" s="53" t="str">
        <f>IF('All Tandem Standards Source'!R54&lt;1/24,TEXT('All Tandem Standards Source'!R54,"M:SS"),TEXT('All Tandem Standards Source'!R54,"H:MM:SS"))</f>
        <v>1:09:10</v>
      </c>
      <c r="G53" s="53" t="str">
        <f>IF('All Tandem Standards Source'!V54&lt;1/24,TEXT('All Tandem Standards Source'!V54,"M:SS"),TEXT('All Tandem Standards Source'!V54,"H:MM:SS"))</f>
        <v>2:24:14</v>
      </c>
      <c r="H53" s="54" t="str">
        <f>TEXT('All Tandem Standards Source'!Z54,"0.00")</f>
        <v>99.96</v>
      </c>
      <c r="I53" s="54" t="str">
        <f>TEXT('All Tandem Standards Source'!AD54,"0.00")</f>
        <v>161.30</v>
      </c>
      <c r="J53" s="57" t="str">
        <f>IF('All Tandem Standards Source'!C54&lt;1/24,TEXT('All Tandem Standards Source'!C54,"M:SS"),TEXT('All Tandem Standards Source'!C54,"H:MM:SS"))</f>
        <v>14:24</v>
      </c>
      <c r="K53" s="57" t="str">
        <f>IF('All Tandem Standards Source'!G54&lt;1/24,TEXT('All Tandem Standards Source'!G54,"M:SS"),TEXT('All Tandem Standards Source'!G54,"H:MM:SS"))</f>
        <v>21:42</v>
      </c>
      <c r="L53" s="57" t="str">
        <f>IF('All Tandem Standards Source'!K54&lt;1/24,TEXT('All Tandem Standards Source'!K54,"M:SS"),TEXT('All Tandem Standards Source'!K54,"H:MM:SS"))</f>
        <v>36:27</v>
      </c>
      <c r="M53" s="57" t="str">
        <f>IF('All Tandem Standards Source'!O54&lt;1/24,TEXT('All Tandem Standards Source'!O54,"M:SS"),TEXT('All Tandem Standards Source'!O54,"H:MM:SS"))</f>
        <v>43:55</v>
      </c>
      <c r="N53" s="57" t="str">
        <f>IF('All Tandem Standards Source'!S54&lt;1/24,TEXT('All Tandem Standards Source'!S54,"M:SS"),TEXT('All Tandem Standards Source'!S54,"H:MM:SS"))</f>
        <v>1:14:23</v>
      </c>
      <c r="O53" s="57" t="str">
        <f>IF('All Tandem Standards Source'!W54&lt;1/24,TEXT('All Tandem Standards Source'!W54,"M:SS"),TEXT('All Tandem Standards Source'!W54,"H:MM:SS"))</f>
        <v>2:35:07</v>
      </c>
      <c r="P53" s="58" t="str">
        <f>TEXT('All Tandem Standards Source'!AA54,"0.00")</f>
        <v>90.37</v>
      </c>
      <c r="Q53" s="58" t="str">
        <f>TEXT('All Tandem Standards Source'!AE54,"0.00")</f>
        <v>148.70</v>
      </c>
      <c r="R53" s="50" t="str">
        <f>IF('All Tandem Standards Source'!D54&lt;1/24,TEXT('All Tandem Standards Source'!D54,"M:SS"),TEXT('All Tandem Standards Source'!D54,"H:MM:SS"))</f>
        <v>14:24</v>
      </c>
      <c r="S53" s="50" t="str">
        <f>IF('All Tandem Standards Source'!H54&lt;1/24,TEXT('All Tandem Standards Source'!H54,"M:SS"),TEXT('All Tandem Standards Source'!H54,"H:MM:SS"))</f>
        <v>21:40</v>
      </c>
      <c r="T53" s="50" t="str">
        <f>IF('All Tandem Standards Source'!L54&lt;1/24,TEXT('All Tandem Standards Source'!L54,"M:SS"),TEXT('All Tandem Standards Source'!L54,"H:MM:SS"))</f>
        <v>36:24</v>
      </c>
      <c r="U53" s="50" t="str">
        <f>IF('All Tandem Standards Source'!P54&lt;1/24,TEXT('All Tandem Standards Source'!P54,"M:SS"),TEXT('All Tandem Standards Source'!P54,"H:MM:SS"))</f>
        <v>43:51</v>
      </c>
      <c r="V53" s="50" t="str">
        <f>IF('All Tandem Standards Source'!T54&lt;1/24,TEXT('All Tandem Standards Source'!T54,"M:SS"),TEXT('All Tandem Standards Source'!T54,"H:MM:SS"))</f>
        <v>1:14:17</v>
      </c>
      <c r="W53" s="50" t="str">
        <f>IF('All Tandem Standards Source'!X54&lt;1/24,TEXT('All Tandem Standards Source'!X54,"M:SS"),TEXT('All Tandem Standards Source'!X54,"H:MM:SS"))</f>
        <v>2:34:56</v>
      </c>
      <c r="X53" s="51" t="str">
        <f>TEXT('All Tandem Standards Source'!AB54,"0.00")</f>
        <v>90.52</v>
      </c>
      <c r="Y53" s="51" t="str">
        <f>TEXT('All Tandem Standards Source'!AF54,"0.00")</f>
        <v>148.90</v>
      </c>
      <c r="Z53" s="55" t="str">
        <f>IF('All Tandem Standards Source'!E54&lt;1/24,TEXT('All Tandem Standards Source'!E54,"M:SS"),TEXT('All Tandem Standards Source'!E54,"H:MM:SS"))</f>
        <v>15:30</v>
      </c>
      <c r="AA53" s="55" t="str">
        <f>IF('All Tandem Standards Source'!I54&lt;1/24,TEXT('All Tandem Standards Source'!I54,"M:SS"),TEXT('All Tandem Standards Source'!I54,"H:MM:SS"))</f>
        <v>23:20</v>
      </c>
      <c r="AB53" s="55" t="str">
        <f>IF('All Tandem Standards Source'!M54&lt;1/24,TEXT('All Tandem Standards Source'!M54,"M:SS"),TEXT('All Tandem Standards Source'!M54,"H:MM:SS"))</f>
        <v>39:12</v>
      </c>
      <c r="AC53" s="55" t="str">
        <f>IF('All Tandem Standards Source'!Q54&lt;1/24,TEXT('All Tandem Standards Source'!Q54,"M:SS"),TEXT('All Tandem Standards Source'!Q54,"H:MM:SS"))</f>
        <v>47:13</v>
      </c>
      <c r="AD53" s="55" t="str">
        <f>IF('All Tandem Standards Source'!U54&lt;1/24,TEXT('All Tandem Standards Source'!U54,"M:SS"),TEXT('All Tandem Standards Source'!U54,"H:MM:SS"))</f>
        <v>1:20:00</v>
      </c>
      <c r="AE53" s="55" t="str">
        <f>IF('All Tandem Standards Source'!Y54&lt;1/24,TEXT('All Tandem Standards Source'!Y54,"M:SS"),TEXT('All Tandem Standards Source'!Y54,"H:MM:SS"))</f>
        <v>2:46:50</v>
      </c>
      <c r="AF53" s="56" t="str">
        <f>TEXT('All Tandem Standards Source'!AC54,"0.00")</f>
        <v>81.42</v>
      </c>
      <c r="AG53" s="56" t="str">
        <f>TEXT('All Tandem Standards Source'!AG54,"0.00")</f>
        <v>136.57</v>
      </c>
    </row>
    <row r="54" spans="1:33" x14ac:dyDescent="0.25">
      <c r="A54" s="17">
        <v>61</v>
      </c>
      <c r="B54" s="53" t="str">
        <f>IF('All Tandem Standards Source'!B55&lt;1/24,TEXT('All Tandem Standards Source'!B55,"M:SS"),TEXT('All Tandem Standards Source'!B55,"H:MM:SS"))</f>
        <v>13:28</v>
      </c>
      <c r="C54" s="53" t="str">
        <f>IF('All Tandem Standards Source'!F55&lt;1/24,TEXT('All Tandem Standards Source'!F55,"M:SS"),TEXT('All Tandem Standards Source'!F55,"H:MM:SS"))</f>
        <v>20:17</v>
      </c>
      <c r="D54" s="53" t="str">
        <f>IF('All Tandem Standards Source'!J55&lt;1/24,TEXT('All Tandem Standards Source'!J55,"M:SS"),TEXT('All Tandem Standards Source'!J55,"H:MM:SS"))</f>
        <v>34:05</v>
      </c>
      <c r="E54" s="53" t="str">
        <f>IF('All Tandem Standards Source'!N55&lt;1/24,TEXT('All Tandem Standards Source'!N55,"M:SS"),TEXT('All Tandem Standards Source'!N55,"H:MM:SS"))</f>
        <v>41:03</v>
      </c>
      <c r="F54" s="53" t="str">
        <f>IF('All Tandem Standards Source'!R55&lt;1/24,TEXT('All Tandem Standards Source'!R55,"M:SS"),TEXT('All Tandem Standards Source'!R55,"H:MM:SS"))</f>
        <v>1:09:33</v>
      </c>
      <c r="G54" s="53" t="str">
        <f>IF('All Tandem Standards Source'!V55&lt;1/24,TEXT('All Tandem Standards Source'!V55,"M:SS"),TEXT('All Tandem Standards Source'!V55,"H:MM:SS"))</f>
        <v>2:25:07</v>
      </c>
      <c r="H54" s="54" t="str">
        <f>TEXT('All Tandem Standards Source'!Z55,"0.00")</f>
        <v>98.83</v>
      </c>
      <c r="I54" s="54" t="str">
        <f>TEXT('All Tandem Standards Source'!AD55,"0.00")</f>
        <v>159.09</v>
      </c>
      <c r="J54" s="57" t="str">
        <f>IF('All Tandem Standards Source'!C55&lt;1/24,TEXT('All Tandem Standards Source'!C55,"M:SS"),TEXT('All Tandem Standards Source'!C55,"H:MM:SS"))</f>
        <v>14:30</v>
      </c>
      <c r="K54" s="57" t="str">
        <f>IF('All Tandem Standards Source'!G55&lt;1/24,TEXT('All Tandem Standards Source'!G55,"M:SS"),TEXT('All Tandem Standards Source'!G55,"H:MM:SS"))</f>
        <v>21:50</v>
      </c>
      <c r="L54" s="57" t="str">
        <f>IF('All Tandem Standards Source'!K55&lt;1/24,TEXT('All Tandem Standards Source'!K55,"M:SS"),TEXT('All Tandem Standards Source'!K55,"H:MM:SS"))</f>
        <v>36:41</v>
      </c>
      <c r="M54" s="57" t="str">
        <f>IF('All Tandem Standards Source'!O55&lt;1/24,TEXT('All Tandem Standards Source'!O55,"M:SS"),TEXT('All Tandem Standards Source'!O55,"H:MM:SS"))</f>
        <v>44:12</v>
      </c>
      <c r="N54" s="57" t="str">
        <f>IF('All Tandem Standards Source'!S55&lt;1/24,TEXT('All Tandem Standards Source'!S55,"M:SS"),TEXT('All Tandem Standards Source'!S55,"H:MM:SS"))</f>
        <v>1:14:52</v>
      </c>
      <c r="O54" s="57" t="str">
        <f>IF('All Tandem Standards Source'!W55&lt;1/24,TEXT('All Tandem Standards Source'!W55,"M:SS"),TEXT('All Tandem Standards Source'!W55,"H:MM:SS"))</f>
        <v>2:36:13</v>
      </c>
      <c r="P54" s="58" t="str">
        <f>TEXT('All Tandem Standards Source'!AA55,"0.00")</f>
        <v>89.22</v>
      </c>
      <c r="Q54" s="58" t="str">
        <f>TEXT('All Tandem Standards Source'!AE55,"0.00")</f>
        <v>146.52</v>
      </c>
      <c r="R54" s="50" t="str">
        <f>IF('All Tandem Standards Source'!D55&lt;1/24,TEXT('All Tandem Standards Source'!D55,"M:SS"),TEXT('All Tandem Standards Source'!D55,"H:MM:SS"))</f>
        <v>14:28</v>
      </c>
      <c r="S54" s="50" t="str">
        <f>IF('All Tandem Standards Source'!H55&lt;1/24,TEXT('All Tandem Standards Source'!H55,"M:SS"),TEXT('All Tandem Standards Source'!H55,"H:MM:SS"))</f>
        <v>21:47</v>
      </c>
      <c r="T54" s="50" t="str">
        <f>IF('All Tandem Standards Source'!L55&lt;1/24,TEXT('All Tandem Standards Source'!L55,"M:SS"),TEXT('All Tandem Standards Source'!L55,"H:MM:SS"))</f>
        <v>36:36</v>
      </c>
      <c r="U54" s="50" t="str">
        <f>IF('All Tandem Standards Source'!P55&lt;1/24,TEXT('All Tandem Standards Source'!P55,"M:SS"),TEXT('All Tandem Standards Source'!P55,"H:MM:SS"))</f>
        <v>44:06</v>
      </c>
      <c r="V54" s="50" t="str">
        <f>IF('All Tandem Standards Source'!T55&lt;1/24,TEXT('All Tandem Standards Source'!T55,"M:SS"),TEXT('All Tandem Standards Source'!T55,"H:MM:SS"))</f>
        <v>1:14:43</v>
      </c>
      <c r="W54" s="50" t="str">
        <f>IF('All Tandem Standards Source'!X55&lt;1/24,TEXT('All Tandem Standards Source'!X55,"M:SS"),TEXT('All Tandem Standards Source'!X55,"H:MM:SS"))</f>
        <v>2:35:53</v>
      </c>
      <c r="X54" s="51" t="str">
        <f>TEXT('All Tandem Standards Source'!AB55,"0.00")</f>
        <v>89.48</v>
      </c>
      <c r="Y54" s="51" t="str">
        <f>TEXT('All Tandem Standards Source'!AF55,"0.00")</f>
        <v>146.87</v>
      </c>
      <c r="Z54" s="55" t="str">
        <f>IF('All Tandem Standards Source'!E55&lt;1/24,TEXT('All Tandem Standards Source'!E55,"M:SS"),TEXT('All Tandem Standards Source'!E55,"H:MM:SS"))</f>
        <v>15:36</v>
      </c>
      <c r="AA54" s="55" t="str">
        <f>IF('All Tandem Standards Source'!I55&lt;1/24,TEXT('All Tandem Standards Source'!I55,"M:SS"),TEXT('All Tandem Standards Source'!I55,"H:MM:SS"))</f>
        <v>23:29</v>
      </c>
      <c r="AB54" s="55" t="str">
        <f>IF('All Tandem Standards Source'!M55&lt;1/24,TEXT('All Tandem Standards Source'!M55,"M:SS"),TEXT('All Tandem Standards Source'!M55,"H:MM:SS"))</f>
        <v>39:27</v>
      </c>
      <c r="AC54" s="55" t="str">
        <f>IF('All Tandem Standards Source'!Q55&lt;1/24,TEXT('All Tandem Standards Source'!Q55,"M:SS"),TEXT('All Tandem Standards Source'!Q55,"H:MM:SS"))</f>
        <v>47:32</v>
      </c>
      <c r="AD54" s="55" t="str">
        <f>IF('All Tandem Standards Source'!U55&lt;1/24,TEXT('All Tandem Standards Source'!U55,"M:SS"),TEXT('All Tandem Standards Source'!U55,"H:MM:SS"))</f>
        <v>1:20:32</v>
      </c>
      <c r="AE54" s="55" t="str">
        <f>IF('All Tandem Standards Source'!Y55&lt;1/24,TEXT('All Tandem Standards Source'!Y55,"M:SS"),TEXT('All Tandem Standards Source'!Y55,"H:MM:SS"))</f>
        <v>2:48:03</v>
      </c>
      <c r="AF54" s="56" t="str">
        <f>TEXT('All Tandem Standards Source'!AC55,"0.00")</f>
        <v>80.37</v>
      </c>
      <c r="AG54" s="56" t="str">
        <f>TEXT('All Tandem Standards Source'!AG55,"0.00")</f>
        <v>134.56</v>
      </c>
    </row>
    <row r="55" spans="1:33" x14ac:dyDescent="0.25">
      <c r="A55" s="17">
        <v>62</v>
      </c>
      <c r="B55" s="53" t="str">
        <f>IF('All Tandem Standards Source'!B56&lt;1/24,TEXT('All Tandem Standards Source'!B56,"M:SS"),TEXT('All Tandem Standards Source'!B56,"H:MM:SS"))</f>
        <v>13:33</v>
      </c>
      <c r="C55" s="53" t="str">
        <f>IF('All Tandem Standards Source'!F56&lt;1/24,TEXT('All Tandem Standards Source'!F56,"M:SS"),TEXT('All Tandem Standards Source'!F56,"H:MM:SS"))</f>
        <v>20:24</v>
      </c>
      <c r="D55" s="53" t="str">
        <f>IF('All Tandem Standards Source'!J56&lt;1/24,TEXT('All Tandem Standards Source'!J56,"M:SS"),TEXT('All Tandem Standards Source'!J56,"H:MM:SS"))</f>
        <v>34:16</v>
      </c>
      <c r="E55" s="53" t="str">
        <f>IF('All Tandem Standards Source'!N56&lt;1/24,TEXT('All Tandem Standards Source'!N56,"M:SS"),TEXT('All Tandem Standards Source'!N56,"H:MM:SS"))</f>
        <v>41:17</v>
      </c>
      <c r="F55" s="53" t="str">
        <f>IF('All Tandem Standards Source'!R56&lt;1/24,TEXT('All Tandem Standards Source'!R56,"M:SS"),TEXT('All Tandem Standards Source'!R56,"H:MM:SS"))</f>
        <v>1:09:57</v>
      </c>
      <c r="G55" s="53" t="str">
        <f>IF('All Tandem Standards Source'!V56&lt;1/24,TEXT('All Tandem Standards Source'!V56,"M:SS"),TEXT('All Tandem Standards Source'!V56,"H:MM:SS"))</f>
        <v>2:26:02</v>
      </c>
      <c r="H55" s="54" t="str">
        <f>TEXT('All Tandem Standards Source'!Z56,"0.00")</f>
        <v>97.66</v>
      </c>
      <c r="I55" s="54" t="str">
        <f>TEXT('All Tandem Standards Source'!AD56,"0.00")</f>
        <v>156.82</v>
      </c>
      <c r="J55" s="57" t="str">
        <f>IF('All Tandem Standards Source'!C56&lt;1/24,TEXT('All Tandem Standards Source'!C56,"M:SS"),TEXT('All Tandem Standards Source'!C56,"H:MM:SS"))</f>
        <v>14:36</v>
      </c>
      <c r="K55" s="57" t="str">
        <f>IF('All Tandem Standards Source'!G56&lt;1/24,TEXT('All Tandem Standards Source'!G56,"M:SS"),TEXT('All Tandem Standards Source'!G56,"H:MM:SS"))</f>
        <v>21:59</v>
      </c>
      <c r="L55" s="57" t="str">
        <f>IF('All Tandem Standards Source'!K56&lt;1/24,TEXT('All Tandem Standards Source'!K56,"M:SS"),TEXT('All Tandem Standards Source'!K56,"H:MM:SS"))</f>
        <v>36:56</v>
      </c>
      <c r="M55" s="57" t="str">
        <f>IF('All Tandem Standards Source'!O56&lt;1/24,TEXT('All Tandem Standards Source'!O56,"M:SS"),TEXT('All Tandem Standards Source'!O56,"H:MM:SS"))</f>
        <v>44:30</v>
      </c>
      <c r="N55" s="57" t="str">
        <f>IF('All Tandem Standards Source'!S56&lt;1/24,TEXT('All Tandem Standards Source'!S56,"M:SS"),TEXT('All Tandem Standards Source'!S56,"H:MM:SS"))</f>
        <v>1:15:24</v>
      </c>
      <c r="O55" s="57" t="str">
        <f>IF('All Tandem Standards Source'!W56&lt;1/24,TEXT('All Tandem Standards Source'!W56,"M:SS"),TEXT('All Tandem Standards Source'!W56,"H:MM:SS"))</f>
        <v>2:37:25</v>
      </c>
      <c r="P55" s="58" t="str">
        <f>TEXT('All Tandem Standards Source'!AA56,"0.00")</f>
        <v>87.99</v>
      </c>
      <c r="Q55" s="58" t="str">
        <f>TEXT('All Tandem Standards Source'!AE56,"0.00")</f>
        <v>144.23</v>
      </c>
      <c r="R55" s="50" t="str">
        <f>IF('All Tandem Standards Source'!D56&lt;1/24,TEXT('All Tandem Standards Source'!D56,"M:SS"),TEXT('All Tandem Standards Source'!D56,"H:MM:SS"))</f>
        <v>14:33</v>
      </c>
      <c r="S55" s="50" t="str">
        <f>IF('All Tandem Standards Source'!H56&lt;1/24,TEXT('All Tandem Standards Source'!H56,"M:SS"),TEXT('All Tandem Standards Source'!H56,"H:MM:SS"))</f>
        <v>21:54</v>
      </c>
      <c r="T55" s="50" t="str">
        <f>IF('All Tandem Standards Source'!L56&lt;1/24,TEXT('All Tandem Standards Source'!L56,"M:SS"),TEXT('All Tandem Standards Source'!L56,"H:MM:SS"))</f>
        <v>36:48</v>
      </c>
      <c r="U55" s="50" t="str">
        <f>IF('All Tandem Standards Source'!P56&lt;1/24,TEXT('All Tandem Standards Source'!P56,"M:SS"),TEXT('All Tandem Standards Source'!P56,"H:MM:SS"))</f>
        <v>44:21</v>
      </c>
      <c r="V55" s="50" t="str">
        <f>IF('All Tandem Standards Source'!T56&lt;1/24,TEXT('All Tandem Standards Source'!T56,"M:SS"),TEXT('All Tandem Standards Source'!T56,"H:MM:SS"))</f>
        <v>1:15:09</v>
      </c>
      <c r="W55" s="50" t="str">
        <f>IF('All Tandem Standards Source'!X56&lt;1/24,TEXT('All Tandem Standards Source'!X56,"M:SS"),TEXT('All Tandem Standards Source'!X56,"H:MM:SS"))</f>
        <v>2:36:53</v>
      </c>
      <c r="X55" s="51" t="str">
        <f>TEXT('All Tandem Standards Source'!AB56,"0.00")</f>
        <v>88.42</v>
      </c>
      <c r="Y55" s="51" t="str">
        <f>TEXT('All Tandem Standards Source'!AF56,"0.00")</f>
        <v>144.79</v>
      </c>
      <c r="Z55" s="55" t="str">
        <f>IF('All Tandem Standards Source'!E56&lt;1/24,TEXT('All Tandem Standards Source'!E56,"M:SS"),TEXT('All Tandem Standards Source'!E56,"H:MM:SS"))</f>
        <v>15:42</v>
      </c>
      <c r="AA55" s="55" t="str">
        <f>IF('All Tandem Standards Source'!I56&lt;1/24,TEXT('All Tandem Standards Source'!I56,"M:SS"),TEXT('All Tandem Standards Source'!I56,"H:MM:SS"))</f>
        <v>23:39</v>
      </c>
      <c r="AB55" s="55" t="str">
        <f>IF('All Tandem Standards Source'!M56&lt;1/24,TEXT('All Tandem Standards Source'!M56,"M:SS"),TEXT('All Tandem Standards Source'!M56,"H:MM:SS"))</f>
        <v>39:44</v>
      </c>
      <c r="AC55" s="55" t="str">
        <f>IF('All Tandem Standards Source'!Q56&lt;1/24,TEXT('All Tandem Standards Source'!Q56,"M:SS"),TEXT('All Tandem Standards Source'!Q56,"H:MM:SS"))</f>
        <v>47:52</v>
      </c>
      <c r="AD55" s="55" t="str">
        <f>IF('All Tandem Standards Source'!U56&lt;1/24,TEXT('All Tandem Standards Source'!U56,"M:SS"),TEXT('All Tandem Standards Source'!U56,"H:MM:SS"))</f>
        <v>1:21:07</v>
      </c>
      <c r="AE55" s="55" t="str">
        <f>IF('All Tandem Standards Source'!Y56&lt;1/24,TEXT('All Tandem Standards Source'!Y56,"M:SS"),TEXT('All Tandem Standards Source'!Y56,"H:MM:SS"))</f>
        <v>2:49:23</v>
      </c>
      <c r="AF55" s="56" t="str">
        <f>TEXT('All Tandem Standards Source'!AC56,"0.00")</f>
        <v>79.24</v>
      </c>
      <c r="AG55" s="56" t="str">
        <f>TEXT('All Tandem Standards Source'!AG56,"0.00")</f>
        <v>132.44</v>
      </c>
    </row>
    <row r="56" spans="1:33" x14ac:dyDescent="0.25">
      <c r="A56" s="17">
        <v>63</v>
      </c>
      <c r="B56" s="53" t="str">
        <f>IF('All Tandem Standards Source'!B57&lt;1/24,TEXT('All Tandem Standards Source'!B57,"M:SS"),TEXT('All Tandem Standards Source'!B57,"H:MM:SS"))</f>
        <v>13:37</v>
      </c>
      <c r="C56" s="53" t="str">
        <f>IF('All Tandem Standards Source'!F57&lt;1/24,TEXT('All Tandem Standards Source'!F57,"M:SS"),TEXT('All Tandem Standards Source'!F57,"H:MM:SS"))</f>
        <v>20:31</v>
      </c>
      <c r="D56" s="53" t="str">
        <f>IF('All Tandem Standards Source'!J57&lt;1/24,TEXT('All Tandem Standards Source'!J57,"M:SS"),TEXT('All Tandem Standards Source'!J57,"H:MM:SS"))</f>
        <v>34:28</v>
      </c>
      <c r="E56" s="53" t="str">
        <f>IF('All Tandem Standards Source'!N57&lt;1/24,TEXT('All Tandem Standards Source'!N57,"M:SS"),TEXT('All Tandem Standards Source'!N57,"H:MM:SS"))</f>
        <v>41:32</v>
      </c>
      <c r="F56" s="53" t="str">
        <f>IF('All Tandem Standards Source'!R57&lt;1/24,TEXT('All Tandem Standards Source'!R57,"M:SS"),TEXT('All Tandem Standards Source'!R57,"H:MM:SS"))</f>
        <v>1:10:23</v>
      </c>
      <c r="G56" s="53" t="str">
        <f>IF('All Tandem Standards Source'!V57&lt;1/24,TEXT('All Tandem Standards Source'!V57,"M:SS"),TEXT('All Tandem Standards Source'!V57,"H:MM:SS"))</f>
        <v>2:26:59</v>
      </c>
      <c r="H56" s="54" t="str">
        <f>TEXT('All Tandem Standards Source'!Z57,"0.00")</f>
        <v>96.47</v>
      </c>
      <c r="I56" s="54" t="str">
        <f>TEXT('All Tandem Standards Source'!AD57,"0.00")</f>
        <v>154.49</v>
      </c>
      <c r="J56" s="57" t="str">
        <f>IF('All Tandem Standards Source'!C57&lt;1/24,TEXT('All Tandem Standards Source'!C57,"M:SS"),TEXT('All Tandem Standards Source'!C57,"H:MM:SS"))</f>
        <v>14:42</v>
      </c>
      <c r="K56" s="57" t="str">
        <f>IF('All Tandem Standards Source'!G57&lt;1/24,TEXT('All Tandem Standards Source'!G57,"M:SS"),TEXT('All Tandem Standards Source'!G57,"H:MM:SS"))</f>
        <v>22:09</v>
      </c>
      <c r="L56" s="57" t="str">
        <f>IF('All Tandem Standards Source'!K57&lt;1/24,TEXT('All Tandem Standards Source'!K57,"M:SS"),TEXT('All Tandem Standards Source'!K57,"H:MM:SS"))</f>
        <v>37:13</v>
      </c>
      <c r="M56" s="57" t="str">
        <f>IF('All Tandem Standards Source'!O57&lt;1/24,TEXT('All Tandem Standards Source'!O57,"M:SS"),TEXT('All Tandem Standards Source'!O57,"H:MM:SS"))</f>
        <v>44:50</v>
      </c>
      <c r="N56" s="57" t="str">
        <f>IF('All Tandem Standards Source'!S57&lt;1/24,TEXT('All Tandem Standards Source'!S57,"M:SS"),TEXT('All Tandem Standards Source'!S57,"H:MM:SS"))</f>
        <v>1:16:00</v>
      </c>
      <c r="O56" s="57" t="str">
        <f>IF('All Tandem Standards Source'!W57&lt;1/24,TEXT('All Tandem Standards Source'!W57,"M:SS"),TEXT('All Tandem Standards Source'!W57,"H:MM:SS"))</f>
        <v>2:38:46</v>
      </c>
      <c r="P56" s="58" t="str">
        <f>TEXT('All Tandem Standards Source'!AA57,"0.00")</f>
        <v>86.69</v>
      </c>
      <c r="Q56" s="58" t="str">
        <f>TEXT('All Tandem Standards Source'!AE57,"0.00")</f>
        <v>141.81</v>
      </c>
      <c r="R56" s="50" t="str">
        <f>IF('All Tandem Standards Source'!D57&lt;1/24,TEXT('All Tandem Standards Source'!D57,"M:SS"),TEXT('All Tandem Standards Source'!D57,"H:MM:SS"))</f>
        <v>14:37</v>
      </c>
      <c r="S56" s="50" t="str">
        <f>IF('All Tandem Standards Source'!H57&lt;1/24,TEXT('All Tandem Standards Source'!H57,"M:SS"),TEXT('All Tandem Standards Source'!H57,"H:MM:SS"))</f>
        <v>22:02</v>
      </c>
      <c r="T56" s="50" t="str">
        <f>IF('All Tandem Standards Source'!L57&lt;1/24,TEXT('All Tandem Standards Source'!L57,"M:SS"),TEXT('All Tandem Standards Source'!L57,"H:MM:SS"))</f>
        <v>37:01</v>
      </c>
      <c r="U56" s="50" t="str">
        <f>IF('All Tandem Standards Source'!P57&lt;1/24,TEXT('All Tandem Standards Source'!P57,"M:SS"),TEXT('All Tandem Standards Source'!P57,"H:MM:SS"))</f>
        <v>44:36</v>
      </c>
      <c r="V56" s="50" t="str">
        <f>IF('All Tandem Standards Source'!T57&lt;1/24,TEXT('All Tandem Standards Source'!T57,"M:SS"),TEXT('All Tandem Standards Source'!T57,"H:MM:SS"))</f>
        <v>1:15:36</v>
      </c>
      <c r="W56" s="50" t="str">
        <f>IF('All Tandem Standards Source'!X57&lt;1/24,TEXT('All Tandem Standards Source'!X57,"M:SS"),TEXT('All Tandem Standards Source'!X57,"H:MM:SS"))</f>
        <v>2:37:56</v>
      </c>
      <c r="X56" s="51" t="str">
        <f>TEXT('All Tandem Standards Source'!AB57,"0.00")</f>
        <v>87.33</v>
      </c>
      <c r="Y56" s="51" t="str">
        <f>TEXT('All Tandem Standards Source'!AF57,"0.00")</f>
        <v>142.65</v>
      </c>
      <c r="Z56" s="55" t="str">
        <f>IF('All Tandem Standards Source'!E57&lt;1/24,TEXT('All Tandem Standards Source'!E57,"M:SS"),TEXT('All Tandem Standards Source'!E57,"H:MM:SS"))</f>
        <v>15:49</v>
      </c>
      <c r="AA56" s="55" t="str">
        <f>IF('All Tandem Standards Source'!I57&lt;1/24,TEXT('All Tandem Standards Source'!I57,"M:SS"),TEXT('All Tandem Standards Source'!I57,"H:MM:SS"))</f>
        <v>23:49</v>
      </c>
      <c r="AB56" s="55" t="str">
        <f>IF('All Tandem Standards Source'!M57&lt;1/24,TEXT('All Tandem Standards Source'!M57,"M:SS"),TEXT('All Tandem Standards Source'!M57,"H:MM:SS"))</f>
        <v>40:02</v>
      </c>
      <c r="AC56" s="55" t="str">
        <f>IF('All Tandem Standards Source'!Q57&lt;1/24,TEXT('All Tandem Standards Source'!Q57,"M:SS"),TEXT('All Tandem Standards Source'!Q57,"H:MM:SS"))</f>
        <v>48:14</v>
      </c>
      <c r="AD56" s="55" t="str">
        <f>IF('All Tandem Standards Source'!U57&lt;1/24,TEXT('All Tandem Standards Source'!U57,"M:SS"),TEXT('All Tandem Standards Source'!U57,"H:MM:SS"))</f>
        <v>1:21:46</v>
      </c>
      <c r="AE56" s="55" t="str">
        <f>IF('All Tandem Standards Source'!Y57&lt;1/24,TEXT('All Tandem Standards Source'!Y57,"M:SS"),TEXT('All Tandem Standards Source'!Y57,"H:MM:SS"))</f>
        <v>2:50:50</v>
      </c>
      <c r="AF56" s="56" t="str">
        <f>TEXT('All Tandem Standards Source'!AC57,"0.00")</f>
        <v>78.04</v>
      </c>
      <c r="AG56" s="56" t="str">
        <f>TEXT('All Tandem Standards Source'!AG57,"0.00")</f>
        <v>130.21</v>
      </c>
    </row>
    <row r="57" spans="1:33" x14ac:dyDescent="0.25">
      <c r="A57" s="17">
        <v>64</v>
      </c>
      <c r="B57" s="53" t="str">
        <f>IF('All Tandem Standards Source'!B58&lt;1/24,TEXT('All Tandem Standards Source'!B58,"M:SS"),TEXT('All Tandem Standards Source'!B58,"H:MM:SS"))</f>
        <v>13:42</v>
      </c>
      <c r="C57" s="53" t="str">
        <f>IF('All Tandem Standards Source'!F58&lt;1/24,TEXT('All Tandem Standards Source'!F58,"M:SS"),TEXT('All Tandem Standards Source'!F58,"H:MM:SS"))</f>
        <v>20:37</v>
      </c>
      <c r="D57" s="53" t="str">
        <f>IF('All Tandem Standards Source'!J58&lt;1/24,TEXT('All Tandem Standards Source'!J58,"M:SS"),TEXT('All Tandem Standards Source'!J58,"H:MM:SS"))</f>
        <v>34:40</v>
      </c>
      <c r="E57" s="53" t="str">
        <f>IF('All Tandem Standards Source'!N58&lt;1/24,TEXT('All Tandem Standards Source'!N58,"M:SS"),TEXT('All Tandem Standards Source'!N58,"H:MM:SS"))</f>
        <v>41:46</v>
      </c>
      <c r="F57" s="53" t="str">
        <f>IF('All Tandem Standards Source'!R58&lt;1/24,TEXT('All Tandem Standards Source'!R58,"M:SS"),TEXT('All Tandem Standards Source'!R58,"H:MM:SS"))</f>
        <v>1:10:48</v>
      </c>
      <c r="G57" s="53" t="str">
        <f>IF('All Tandem Standards Source'!V58&lt;1/24,TEXT('All Tandem Standards Source'!V58,"M:SS"),TEXT('All Tandem Standards Source'!V58,"H:MM:SS"))</f>
        <v>2:27:59</v>
      </c>
      <c r="H57" s="54" t="str">
        <f>TEXT('All Tandem Standards Source'!Z58,"0.00")</f>
        <v>95.25</v>
      </c>
      <c r="I57" s="54" t="str">
        <f>TEXT('All Tandem Standards Source'!AD58,"0.00")</f>
        <v>152.12</v>
      </c>
      <c r="J57" s="57" t="str">
        <f>IF('All Tandem Standards Source'!C58&lt;1/24,TEXT('All Tandem Standards Source'!C58,"M:SS"),TEXT('All Tandem Standards Source'!C58,"H:MM:SS"))</f>
        <v>14:49</v>
      </c>
      <c r="K57" s="57" t="str">
        <f>IF('All Tandem Standards Source'!G58&lt;1/24,TEXT('All Tandem Standards Source'!G58,"M:SS"),TEXT('All Tandem Standards Source'!G58,"H:MM:SS"))</f>
        <v>22:20</v>
      </c>
      <c r="L57" s="57" t="str">
        <f>IF('All Tandem Standards Source'!K58&lt;1/24,TEXT('All Tandem Standards Source'!K58,"M:SS"),TEXT('All Tandem Standards Source'!K58,"H:MM:SS"))</f>
        <v>37:31</v>
      </c>
      <c r="M57" s="57" t="str">
        <f>IF('All Tandem Standards Source'!O58&lt;1/24,TEXT('All Tandem Standards Source'!O58,"M:SS"),TEXT('All Tandem Standards Source'!O58,"H:MM:SS"))</f>
        <v>45:13</v>
      </c>
      <c r="N57" s="57" t="str">
        <f>IF('All Tandem Standards Source'!S58&lt;1/24,TEXT('All Tandem Standards Source'!S58,"M:SS"),TEXT('All Tandem Standards Source'!S58,"H:MM:SS"))</f>
        <v>1:16:39</v>
      </c>
      <c r="O57" s="57" t="str">
        <f>IF('All Tandem Standards Source'!W58&lt;1/24,TEXT('All Tandem Standards Source'!W58,"M:SS"),TEXT('All Tandem Standards Source'!W58,"H:MM:SS"))</f>
        <v>2:40:13</v>
      </c>
      <c r="P57" s="58" t="str">
        <f>TEXT('All Tandem Standards Source'!AA58,"0.00")</f>
        <v>85.31</v>
      </c>
      <c r="Q57" s="58" t="str">
        <f>TEXT('All Tandem Standards Source'!AE58,"0.00")</f>
        <v>139.28</v>
      </c>
      <c r="R57" s="50" t="str">
        <f>IF('All Tandem Standards Source'!D58&lt;1/24,TEXT('All Tandem Standards Source'!D58,"M:SS"),TEXT('All Tandem Standards Source'!D58,"H:MM:SS"))</f>
        <v>14:43</v>
      </c>
      <c r="S57" s="50" t="str">
        <f>IF('All Tandem Standards Source'!H58&lt;1/24,TEXT('All Tandem Standards Source'!H58,"M:SS"),TEXT('All Tandem Standards Source'!H58,"H:MM:SS"))</f>
        <v>22:10</v>
      </c>
      <c r="T57" s="50" t="str">
        <f>IF('All Tandem Standards Source'!L58&lt;1/24,TEXT('All Tandem Standards Source'!L58,"M:SS"),TEXT('All Tandem Standards Source'!L58,"H:MM:SS"))</f>
        <v>37:14</v>
      </c>
      <c r="U57" s="50" t="str">
        <f>IF('All Tandem Standards Source'!P58&lt;1/24,TEXT('All Tandem Standards Source'!P58,"M:SS"),TEXT('All Tandem Standards Source'!P58,"H:MM:SS"))</f>
        <v>44:53</v>
      </c>
      <c r="V57" s="50" t="str">
        <f>IF('All Tandem Standards Source'!T58&lt;1/24,TEXT('All Tandem Standards Source'!T58,"M:SS"),TEXT('All Tandem Standards Source'!T58,"H:MM:SS"))</f>
        <v>1:16:05</v>
      </c>
      <c r="W57" s="50" t="str">
        <f>IF('All Tandem Standards Source'!X58&lt;1/24,TEXT('All Tandem Standards Source'!X58,"M:SS"),TEXT('All Tandem Standards Source'!X58,"H:MM:SS"))</f>
        <v>2:39:01</v>
      </c>
      <c r="X57" s="51" t="str">
        <f>TEXT('All Tandem Standards Source'!AB58,"0.00")</f>
        <v>86.21</v>
      </c>
      <c r="Y57" s="51" t="str">
        <f>TEXT('All Tandem Standards Source'!AF58,"0.00")</f>
        <v>140.47</v>
      </c>
      <c r="Z57" s="55" t="str">
        <f>IF('All Tandem Standards Source'!E58&lt;1/24,TEXT('All Tandem Standards Source'!E58,"M:SS"),TEXT('All Tandem Standards Source'!E58,"H:MM:SS"))</f>
        <v>15:57</v>
      </c>
      <c r="AA57" s="55" t="str">
        <f>IF('All Tandem Standards Source'!I58&lt;1/24,TEXT('All Tandem Standards Source'!I58,"M:SS"),TEXT('All Tandem Standards Source'!I58,"H:MM:SS"))</f>
        <v>24:01</v>
      </c>
      <c r="AB57" s="55" t="str">
        <f>IF('All Tandem Standards Source'!M58&lt;1/24,TEXT('All Tandem Standards Source'!M58,"M:SS"),TEXT('All Tandem Standards Source'!M58,"H:MM:SS"))</f>
        <v>40:23</v>
      </c>
      <c r="AC57" s="55" t="str">
        <f>IF('All Tandem Standards Source'!Q58&lt;1/24,TEXT('All Tandem Standards Source'!Q58,"M:SS"),TEXT('All Tandem Standards Source'!Q58,"H:MM:SS"))</f>
        <v>48:39</v>
      </c>
      <c r="AD57" s="55" t="str">
        <f>IF('All Tandem Standards Source'!U58&lt;1/24,TEXT('All Tandem Standards Source'!U58,"M:SS"),TEXT('All Tandem Standards Source'!U58,"H:MM:SS"))</f>
        <v>1:22:29</v>
      </c>
      <c r="AE57" s="55" t="str">
        <f>IF('All Tandem Standards Source'!Y58&lt;1/24,TEXT('All Tandem Standards Source'!Y58,"M:SS"),TEXT('All Tandem Standards Source'!Y58,"H:MM:SS"))</f>
        <v>2:52:26</v>
      </c>
      <c r="AF57" s="56" t="str">
        <f>TEXT('All Tandem Standards Source'!AC58,"0.00")</f>
        <v>76.76</v>
      </c>
      <c r="AG57" s="56" t="str">
        <f>TEXT('All Tandem Standards Source'!AG58,"0.00")</f>
        <v>127.86</v>
      </c>
    </row>
    <row r="58" spans="1:33" x14ac:dyDescent="0.25">
      <c r="A58" s="17">
        <v>65</v>
      </c>
      <c r="B58" s="53" t="str">
        <f>IF('All Tandem Standards Source'!B59&lt;1/24,TEXT('All Tandem Standards Source'!B59,"M:SS"),TEXT('All Tandem Standards Source'!B59,"H:MM:SS"))</f>
        <v>13:47</v>
      </c>
      <c r="C58" s="53" t="str">
        <f>IF('All Tandem Standards Source'!F59&lt;1/24,TEXT('All Tandem Standards Source'!F59,"M:SS"),TEXT('All Tandem Standards Source'!F59,"H:MM:SS"))</f>
        <v>20:45</v>
      </c>
      <c r="D58" s="53" t="str">
        <f>IF('All Tandem Standards Source'!J59&lt;1/24,TEXT('All Tandem Standards Source'!J59,"M:SS"),TEXT('All Tandem Standards Source'!J59,"H:MM:SS"))</f>
        <v>34:52</v>
      </c>
      <c r="E58" s="53" t="str">
        <f>IF('All Tandem Standards Source'!N59&lt;1/24,TEXT('All Tandem Standards Source'!N59,"M:SS"),TEXT('All Tandem Standards Source'!N59,"H:MM:SS"))</f>
        <v>42:01</v>
      </c>
      <c r="F58" s="53" t="str">
        <f>IF('All Tandem Standards Source'!R59&lt;1/24,TEXT('All Tandem Standards Source'!R59,"M:SS"),TEXT('All Tandem Standards Source'!R59,"H:MM:SS"))</f>
        <v>1:11:15</v>
      </c>
      <c r="G58" s="53" t="str">
        <f>IF('All Tandem Standards Source'!V59&lt;1/24,TEXT('All Tandem Standards Source'!V59,"M:SS"),TEXT('All Tandem Standards Source'!V59,"H:MM:SS"))</f>
        <v>2:29:01</v>
      </c>
      <c r="H58" s="54" t="str">
        <f>TEXT('All Tandem Standards Source'!Z59,"0.00")</f>
        <v>94.00</v>
      </c>
      <c r="I58" s="54" t="str">
        <f>TEXT('All Tandem Standards Source'!AD59,"0.00")</f>
        <v>149.69</v>
      </c>
      <c r="J58" s="57" t="str">
        <f>IF('All Tandem Standards Source'!C59&lt;1/24,TEXT('All Tandem Standards Source'!C59,"M:SS"),TEXT('All Tandem Standards Source'!C59,"H:MM:SS"))</f>
        <v>14:57</v>
      </c>
      <c r="K58" s="57" t="str">
        <f>IF('All Tandem Standards Source'!G59&lt;1/24,TEXT('All Tandem Standards Source'!G59,"M:SS"),TEXT('All Tandem Standards Source'!G59,"H:MM:SS"))</f>
        <v>22:32</v>
      </c>
      <c r="L58" s="57" t="str">
        <f>IF('All Tandem Standards Source'!K59&lt;1/24,TEXT('All Tandem Standards Source'!K59,"M:SS"),TEXT('All Tandem Standards Source'!K59,"H:MM:SS"))</f>
        <v>37:52</v>
      </c>
      <c r="M58" s="57" t="str">
        <f>IF('All Tandem Standards Source'!O59&lt;1/24,TEXT('All Tandem Standards Source'!O59,"M:SS"),TEXT('All Tandem Standards Source'!O59,"H:MM:SS"))</f>
        <v>45:38</v>
      </c>
      <c r="N58" s="57" t="str">
        <f>IF('All Tandem Standards Source'!S59&lt;1/24,TEXT('All Tandem Standards Source'!S59,"M:SS"),TEXT('All Tandem Standards Source'!S59,"H:MM:SS"))</f>
        <v>1:17:22</v>
      </c>
      <c r="O58" s="57" t="str">
        <f>IF('All Tandem Standards Source'!W59&lt;1/24,TEXT('All Tandem Standards Source'!W59,"M:SS"),TEXT('All Tandem Standards Source'!W59,"H:MM:SS"))</f>
        <v>2:41:50</v>
      </c>
      <c r="P58" s="58" t="str">
        <f>TEXT('All Tandem Standards Source'!AA59,"0.00")</f>
        <v>83.83</v>
      </c>
      <c r="Q58" s="58" t="str">
        <f>TEXT('All Tandem Standards Source'!AE59,"0.00")</f>
        <v>136.63</v>
      </c>
      <c r="R58" s="50" t="str">
        <f>IF('All Tandem Standards Source'!D59&lt;1/24,TEXT('All Tandem Standards Source'!D59,"M:SS"),TEXT('All Tandem Standards Source'!D59,"H:MM:SS"))</f>
        <v>14:48</v>
      </c>
      <c r="S58" s="50" t="str">
        <f>IF('All Tandem Standards Source'!H59&lt;1/24,TEXT('All Tandem Standards Source'!H59,"M:SS"),TEXT('All Tandem Standards Source'!H59,"H:MM:SS"))</f>
        <v>22:18</v>
      </c>
      <c r="T58" s="50" t="str">
        <f>IF('All Tandem Standards Source'!L59&lt;1/24,TEXT('All Tandem Standards Source'!L59,"M:SS"),TEXT('All Tandem Standards Source'!L59,"H:MM:SS"))</f>
        <v>37:28</v>
      </c>
      <c r="U58" s="50" t="str">
        <f>IF('All Tandem Standards Source'!P59&lt;1/24,TEXT('All Tandem Standards Source'!P59,"M:SS"),TEXT('All Tandem Standards Source'!P59,"H:MM:SS"))</f>
        <v>45:10</v>
      </c>
      <c r="V58" s="50" t="str">
        <f>IF('All Tandem Standards Source'!T59&lt;1/24,TEXT('All Tandem Standards Source'!T59,"M:SS"),TEXT('All Tandem Standards Source'!T59,"H:MM:SS"))</f>
        <v>1:16:35</v>
      </c>
      <c r="W58" s="50" t="str">
        <f>IF('All Tandem Standards Source'!X59&lt;1/24,TEXT('All Tandem Standards Source'!X59,"M:SS"),TEXT('All Tandem Standards Source'!X59,"H:MM:SS"))</f>
        <v>2:40:10</v>
      </c>
      <c r="X58" s="51" t="str">
        <f>TEXT('All Tandem Standards Source'!AB59,"0.00")</f>
        <v>85.07</v>
      </c>
      <c r="Y58" s="51" t="str">
        <f>TEXT('All Tandem Standards Source'!AF59,"0.00")</f>
        <v>138.24</v>
      </c>
      <c r="Z58" s="55" t="str">
        <f>IF('All Tandem Standards Source'!E59&lt;1/24,TEXT('All Tandem Standards Source'!E59,"M:SS"),TEXT('All Tandem Standards Source'!E59,"H:MM:SS"))</f>
        <v>16:06</v>
      </c>
      <c r="AA58" s="55" t="str">
        <f>IF('All Tandem Standards Source'!I59&lt;1/24,TEXT('All Tandem Standards Source'!I59,"M:SS"),TEXT('All Tandem Standards Source'!I59,"H:MM:SS"))</f>
        <v>24:14</v>
      </c>
      <c r="AB58" s="55" t="str">
        <f>IF('All Tandem Standards Source'!M59&lt;1/24,TEXT('All Tandem Standards Source'!M59,"M:SS"),TEXT('All Tandem Standards Source'!M59,"H:MM:SS"))</f>
        <v>40:45</v>
      </c>
      <c r="AC58" s="55" t="str">
        <f>IF('All Tandem Standards Source'!Q59&lt;1/24,TEXT('All Tandem Standards Source'!Q59,"M:SS"),TEXT('All Tandem Standards Source'!Q59,"H:MM:SS"))</f>
        <v>49:06</v>
      </c>
      <c r="AD58" s="55" t="str">
        <f>IF('All Tandem Standards Source'!U59&lt;1/24,TEXT('All Tandem Standards Source'!U59,"M:SS"),TEXT('All Tandem Standards Source'!U59,"H:MM:SS"))</f>
        <v>1:23:16</v>
      </c>
      <c r="AE58" s="55" t="str">
        <f>IF('All Tandem Standards Source'!Y59&lt;1/24,TEXT('All Tandem Standards Source'!Y59,"M:SS"),TEXT('All Tandem Standards Source'!Y59,"H:MM:SS"))</f>
        <v>2:54:12</v>
      </c>
      <c r="AF58" s="56" t="str">
        <f>TEXT('All Tandem Standards Source'!AC59,"0.00")</f>
        <v>75.41</v>
      </c>
      <c r="AG58" s="56" t="str">
        <f>TEXT('All Tandem Standards Source'!AG59,"0.00")</f>
        <v>125.40</v>
      </c>
    </row>
    <row r="59" spans="1:33" x14ac:dyDescent="0.25">
      <c r="A59" s="17">
        <v>66</v>
      </c>
      <c r="B59" s="53" t="str">
        <f>IF('All Tandem Standards Source'!B60&lt;1/24,TEXT('All Tandem Standards Source'!B60,"M:SS"),TEXT('All Tandem Standards Source'!B60,"H:MM:SS"))</f>
        <v>13:52</v>
      </c>
      <c r="C59" s="53" t="str">
        <f>IF('All Tandem Standards Source'!F60&lt;1/24,TEXT('All Tandem Standards Source'!F60,"M:SS"),TEXT('All Tandem Standards Source'!F60,"H:MM:SS"))</f>
        <v>20:53</v>
      </c>
      <c r="D59" s="53" t="str">
        <f>IF('All Tandem Standards Source'!J60&lt;1/24,TEXT('All Tandem Standards Source'!J60,"M:SS"),TEXT('All Tandem Standards Source'!J60,"H:MM:SS"))</f>
        <v>35:06</v>
      </c>
      <c r="E59" s="53" t="str">
        <f>IF('All Tandem Standards Source'!N60&lt;1/24,TEXT('All Tandem Standards Source'!N60,"M:SS"),TEXT('All Tandem Standards Source'!N60,"H:MM:SS"))</f>
        <v>42:18</v>
      </c>
      <c r="F59" s="53" t="str">
        <f>IF('All Tandem Standards Source'!R60&lt;1/24,TEXT('All Tandem Standards Source'!R60,"M:SS"),TEXT('All Tandem Standards Source'!R60,"H:MM:SS"))</f>
        <v>1:11:44</v>
      </c>
      <c r="G59" s="53" t="str">
        <f>IF('All Tandem Standards Source'!V60&lt;1/24,TEXT('All Tandem Standards Source'!V60,"M:SS"),TEXT('All Tandem Standards Source'!V60,"H:MM:SS"))</f>
        <v>2:30:06</v>
      </c>
      <c r="H59" s="54" t="str">
        <f>TEXT('All Tandem Standards Source'!Z60,"0.00")</f>
        <v>92.72</v>
      </c>
      <c r="I59" s="54" t="str">
        <f>TEXT('All Tandem Standards Source'!AD60,"0.00")</f>
        <v>147.21</v>
      </c>
      <c r="J59" s="57" t="str">
        <f>IF('All Tandem Standards Source'!C60&lt;1/24,TEXT('All Tandem Standards Source'!C60,"M:SS"),TEXT('All Tandem Standards Source'!C60,"H:MM:SS"))</f>
        <v>15:06</v>
      </c>
      <c r="K59" s="57" t="str">
        <f>IF('All Tandem Standards Source'!G60&lt;1/24,TEXT('All Tandem Standards Source'!G60,"M:SS"),TEXT('All Tandem Standards Source'!G60,"H:MM:SS"))</f>
        <v>22:45</v>
      </c>
      <c r="L59" s="57" t="str">
        <f>IF('All Tandem Standards Source'!K60&lt;1/24,TEXT('All Tandem Standards Source'!K60,"M:SS"),TEXT('All Tandem Standards Source'!K60,"H:MM:SS"))</f>
        <v>38:14</v>
      </c>
      <c r="M59" s="57" t="str">
        <f>IF('All Tandem Standards Source'!O60&lt;1/24,TEXT('All Tandem Standards Source'!O60,"M:SS"),TEXT('All Tandem Standards Source'!O60,"H:MM:SS"))</f>
        <v>46:05</v>
      </c>
      <c r="N59" s="57" t="str">
        <f>IF('All Tandem Standards Source'!S60&lt;1/24,TEXT('All Tandem Standards Source'!S60,"M:SS"),TEXT('All Tandem Standards Source'!S60,"H:MM:SS"))</f>
        <v>1:18:10</v>
      </c>
      <c r="O59" s="57" t="str">
        <f>IF('All Tandem Standards Source'!W60&lt;1/24,TEXT('All Tandem Standards Source'!W60,"M:SS"),TEXT('All Tandem Standards Source'!W60,"H:MM:SS"))</f>
        <v>2:43:36</v>
      </c>
      <c r="P59" s="58" t="str">
        <f>TEXT('All Tandem Standards Source'!AA60,"0.00")</f>
        <v>82.28</v>
      </c>
      <c r="Q59" s="58" t="str">
        <f>TEXT('All Tandem Standards Source'!AE60,"0.00")</f>
        <v>133.86</v>
      </c>
      <c r="R59" s="50" t="str">
        <f>IF('All Tandem Standards Source'!D60&lt;1/24,TEXT('All Tandem Standards Source'!D60,"M:SS"),TEXT('All Tandem Standards Source'!D60,"H:MM:SS"))</f>
        <v>14:54</v>
      </c>
      <c r="S59" s="50" t="str">
        <f>IF('All Tandem Standards Source'!H60&lt;1/24,TEXT('All Tandem Standards Source'!H60,"M:SS"),TEXT('All Tandem Standards Source'!H60,"H:MM:SS"))</f>
        <v>22:26</v>
      </c>
      <c r="T59" s="50" t="str">
        <f>IF('All Tandem Standards Source'!L60&lt;1/24,TEXT('All Tandem Standards Source'!L60,"M:SS"),TEXT('All Tandem Standards Source'!L60,"H:MM:SS"))</f>
        <v>37:43</v>
      </c>
      <c r="U59" s="50" t="str">
        <f>IF('All Tandem Standards Source'!P60&lt;1/24,TEXT('All Tandem Standards Source'!P60,"M:SS"),TEXT('All Tandem Standards Source'!P60,"H:MM:SS"))</f>
        <v>45:27</v>
      </c>
      <c r="V59" s="50" t="str">
        <f>IF('All Tandem Standards Source'!T60&lt;1/24,TEXT('All Tandem Standards Source'!T60,"M:SS"),TEXT('All Tandem Standards Source'!T60,"H:MM:SS"))</f>
        <v>1:17:05</v>
      </c>
      <c r="W59" s="50" t="str">
        <f>IF('All Tandem Standards Source'!X60&lt;1/24,TEXT('All Tandem Standards Source'!X60,"M:SS"),TEXT('All Tandem Standards Source'!X60,"H:MM:SS"))</f>
        <v>2:41:21</v>
      </c>
      <c r="X59" s="51" t="str">
        <f>TEXT('All Tandem Standards Source'!AB60,"0.00")</f>
        <v>83.90</v>
      </c>
      <c r="Y59" s="51" t="str">
        <f>TEXT('All Tandem Standards Source'!AF60,"0.00")</f>
        <v>135.96</v>
      </c>
      <c r="Z59" s="55" t="str">
        <f>IF('All Tandem Standards Source'!E60&lt;1/24,TEXT('All Tandem Standards Source'!E60,"M:SS"),TEXT('All Tandem Standards Source'!E60,"H:MM:SS"))</f>
        <v>16:15</v>
      </c>
      <c r="AA59" s="55" t="str">
        <f>IF('All Tandem Standards Source'!I60&lt;1/24,TEXT('All Tandem Standards Source'!I60,"M:SS"),TEXT('All Tandem Standards Source'!I60,"H:MM:SS"))</f>
        <v>24:29</v>
      </c>
      <c r="AB59" s="55" t="str">
        <f>IF('All Tandem Standards Source'!M60&lt;1/24,TEXT('All Tandem Standards Source'!M60,"M:SS"),TEXT('All Tandem Standards Source'!M60,"H:MM:SS"))</f>
        <v>41:10</v>
      </c>
      <c r="AC59" s="55" t="str">
        <f>IF('All Tandem Standards Source'!Q60&lt;1/24,TEXT('All Tandem Standards Source'!Q60,"M:SS"),TEXT('All Tandem Standards Source'!Q60,"H:MM:SS"))</f>
        <v>49:36</v>
      </c>
      <c r="AD59" s="55" t="str">
        <f>IF('All Tandem Standards Source'!U60&lt;1/24,TEXT('All Tandem Standards Source'!U60,"M:SS"),TEXT('All Tandem Standards Source'!U60,"H:MM:SS"))</f>
        <v>1:24:08</v>
      </c>
      <c r="AE59" s="55" t="str">
        <f>IF('All Tandem Standards Source'!Y60&lt;1/24,TEXT('All Tandem Standards Source'!Y60,"M:SS"),TEXT('All Tandem Standards Source'!Y60,"H:MM:SS"))</f>
        <v>2:56:08</v>
      </c>
      <c r="AF59" s="56" t="str">
        <f>TEXT('All Tandem Standards Source'!AC60,"0.00")</f>
        <v>73.98</v>
      </c>
      <c r="AG59" s="56" t="str">
        <f>TEXT('All Tandem Standards Source'!AG60,"0.00")</f>
        <v>122.83</v>
      </c>
    </row>
    <row r="60" spans="1:33" x14ac:dyDescent="0.25">
      <c r="A60" s="17">
        <v>67</v>
      </c>
      <c r="B60" s="53" t="str">
        <f>IF('All Tandem Standards Source'!B61&lt;1/24,TEXT('All Tandem Standards Source'!B61,"M:SS"),TEXT('All Tandem Standards Source'!B61,"H:MM:SS"))</f>
        <v>13:57</v>
      </c>
      <c r="C60" s="53" t="str">
        <f>IF('All Tandem Standards Source'!F61&lt;1/24,TEXT('All Tandem Standards Source'!F61,"M:SS"),TEXT('All Tandem Standards Source'!F61,"H:MM:SS"))</f>
        <v>21:00</v>
      </c>
      <c r="D60" s="53" t="str">
        <f>IF('All Tandem Standards Source'!J61&lt;1/24,TEXT('All Tandem Standards Source'!J61,"M:SS"),TEXT('All Tandem Standards Source'!J61,"H:MM:SS"))</f>
        <v>35:19</v>
      </c>
      <c r="E60" s="53" t="str">
        <f>IF('All Tandem Standards Source'!N61&lt;1/24,TEXT('All Tandem Standards Source'!N61,"M:SS"),TEXT('All Tandem Standards Source'!N61,"H:MM:SS"))</f>
        <v>42:35</v>
      </c>
      <c r="F60" s="53" t="str">
        <f>IF('All Tandem Standards Source'!R61&lt;1/24,TEXT('All Tandem Standards Source'!R61,"M:SS"),TEXT('All Tandem Standards Source'!R61,"H:MM:SS"))</f>
        <v>1:12:13</v>
      </c>
      <c r="G60" s="53" t="str">
        <f>IF('All Tandem Standards Source'!V61&lt;1/24,TEXT('All Tandem Standards Source'!V61,"M:SS"),TEXT('All Tandem Standards Source'!V61,"H:MM:SS"))</f>
        <v>2:31:14</v>
      </c>
      <c r="H60" s="54" t="str">
        <f>TEXT('All Tandem Standards Source'!Z61,"0.00")</f>
        <v>91.41</v>
      </c>
      <c r="I60" s="54" t="str">
        <f>TEXT('All Tandem Standards Source'!AD61,"0.00")</f>
        <v>144.68</v>
      </c>
      <c r="J60" s="57" t="str">
        <f>IF('All Tandem Standards Source'!C61&lt;1/24,TEXT('All Tandem Standards Source'!C61,"M:SS"),TEXT('All Tandem Standards Source'!C61,"H:MM:SS"))</f>
        <v>15:15</v>
      </c>
      <c r="K60" s="57" t="str">
        <f>IF('All Tandem Standards Source'!G61&lt;1/24,TEXT('All Tandem Standards Source'!G61,"M:SS"),TEXT('All Tandem Standards Source'!G61,"H:MM:SS"))</f>
        <v>22:59</v>
      </c>
      <c r="L60" s="57" t="str">
        <f>IF('All Tandem Standards Source'!K61&lt;1/24,TEXT('All Tandem Standards Source'!K61,"M:SS"),TEXT('All Tandem Standards Source'!K61,"H:MM:SS"))</f>
        <v>38:39</v>
      </c>
      <c r="M60" s="57" t="str">
        <f>IF('All Tandem Standards Source'!O61&lt;1/24,TEXT('All Tandem Standards Source'!O61,"M:SS"),TEXT('All Tandem Standards Source'!O61,"H:MM:SS"))</f>
        <v>46:35</v>
      </c>
      <c r="N60" s="57" t="str">
        <f>IF('All Tandem Standards Source'!S61&lt;1/24,TEXT('All Tandem Standards Source'!S61,"M:SS"),TEXT('All Tandem Standards Source'!S61,"H:MM:SS"))</f>
        <v>1:19:01</v>
      </c>
      <c r="O60" s="57" t="str">
        <f>IF('All Tandem Standards Source'!W61&lt;1/24,TEXT('All Tandem Standards Source'!W61,"M:SS"),TEXT('All Tandem Standards Source'!W61,"H:MM:SS"))</f>
        <v>2:45:31</v>
      </c>
      <c r="P60" s="58" t="str">
        <f>TEXT('All Tandem Standards Source'!AA61,"0.00")</f>
        <v>80.65</v>
      </c>
      <c r="Q60" s="58" t="str">
        <f>TEXT('All Tandem Standards Source'!AE61,"0.00")</f>
        <v>130.97</v>
      </c>
      <c r="R60" s="50" t="str">
        <f>IF('All Tandem Standards Source'!D61&lt;1/24,TEXT('All Tandem Standards Source'!D61,"M:SS"),TEXT('All Tandem Standards Source'!D61,"H:MM:SS"))</f>
        <v>15:00</v>
      </c>
      <c r="S60" s="50" t="str">
        <f>IF('All Tandem Standards Source'!H61&lt;1/24,TEXT('All Tandem Standards Source'!H61,"M:SS"),TEXT('All Tandem Standards Source'!H61,"H:MM:SS"))</f>
        <v>22:35</v>
      </c>
      <c r="T60" s="50" t="str">
        <f>IF('All Tandem Standards Source'!L61&lt;1/24,TEXT('All Tandem Standards Source'!L61,"M:SS"),TEXT('All Tandem Standards Source'!L61,"H:MM:SS"))</f>
        <v>37:58</v>
      </c>
      <c r="U60" s="50" t="str">
        <f>IF('All Tandem Standards Source'!P61&lt;1/24,TEXT('All Tandem Standards Source'!P61,"M:SS"),TEXT('All Tandem Standards Source'!P61,"H:MM:SS"))</f>
        <v>45:46</v>
      </c>
      <c r="V60" s="50" t="str">
        <f>IF('All Tandem Standards Source'!T61&lt;1/24,TEXT('All Tandem Standards Source'!T61,"M:SS"),TEXT('All Tandem Standards Source'!T61,"H:MM:SS"))</f>
        <v>1:17:37</v>
      </c>
      <c r="W60" s="50" t="str">
        <f>IF('All Tandem Standards Source'!X61&lt;1/24,TEXT('All Tandem Standards Source'!X61,"M:SS"),TEXT('All Tandem Standards Source'!X61,"H:MM:SS"))</f>
        <v>2:42:36</v>
      </c>
      <c r="X60" s="51" t="str">
        <f>TEXT('All Tandem Standards Source'!AB61,"0.00")</f>
        <v>82.71</v>
      </c>
      <c r="Y60" s="51" t="str">
        <f>TEXT('All Tandem Standards Source'!AF61,"0.00")</f>
        <v>133.64</v>
      </c>
      <c r="Z60" s="55" t="str">
        <f>IF('All Tandem Standards Source'!E61&lt;1/24,TEXT('All Tandem Standards Source'!E61,"M:SS"),TEXT('All Tandem Standards Source'!E61,"H:MM:SS"))</f>
        <v>16:25</v>
      </c>
      <c r="AA60" s="55" t="str">
        <f>IF('All Tandem Standards Source'!I61&lt;1/24,TEXT('All Tandem Standards Source'!I61,"M:SS"),TEXT('All Tandem Standards Source'!I61,"H:MM:SS"))</f>
        <v>24:45</v>
      </c>
      <c r="AB60" s="55" t="str">
        <f>IF('All Tandem Standards Source'!M61&lt;1/24,TEXT('All Tandem Standards Source'!M61,"M:SS"),TEXT('All Tandem Standards Source'!M61,"H:MM:SS"))</f>
        <v>41:36</v>
      </c>
      <c r="AC60" s="55" t="str">
        <f>IF('All Tandem Standards Source'!Q61&lt;1/24,TEXT('All Tandem Standards Source'!Q61,"M:SS"),TEXT('All Tandem Standards Source'!Q61,"H:MM:SS"))</f>
        <v>50:09</v>
      </c>
      <c r="AD60" s="55" t="str">
        <f>IF('All Tandem Standards Source'!U61&lt;1/24,TEXT('All Tandem Standards Source'!U61,"M:SS"),TEXT('All Tandem Standards Source'!U61,"H:MM:SS"))</f>
        <v>1:25:05</v>
      </c>
      <c r="AE60" s="55" t="str">
        <f>IF('All Tandem Standards Source'!Y61&lt;1/24,TEXT('All Tandem Standards Source'!Y61,"M:SS"),TEXT('All Tandem Standards Source'!Y61,"H:MM:SS"))</f>
        <v>2:58:14</v>
      </c>
      <c r="AF60" s="56" t="str">
        <f>TEXT('All Tandem Standards Source'!AC61,"0.00")</f>
        <v>72.47</v>
      </c>
      <c r="AG60" s="56" t="str">
        <f>TEXT('All Tandem Standards Source'!AG61,"0.00")</f>
        <v>120.14</v>
      </c>
    </row>
    <row r="61" spans="1:33" x14ac:dyDescent="0.25">
      <c r="A61" s="17">
        <v>68</v>
      </c>
      <c r="B61" s="53" t="str">
        <f>IF('All Tandem Standards Source'!B62&lt;1/24,TEXT('All Tandem Standards Source'!B62,"M:SS"),TEXT('All Tandem Standards Source'!B62,"H:MM:SS"))</f>
        <v>14:02</v>
      </c>
      <c r="C61" s="53" t="str">
        <f>IF('All Tandem Standards Source'!F62&lt;1/24,TEXT('All Tandem Standards Source'!F62,"M:SS"),TEXT('All Tandem Standards Source'!F62,"H:MM:SS"))</f>
        <v>21:09</v>
      </c>
      <c r="D61" s="53" t="str">
        <f>IF('All Tandem Standards Source'!J62&lt;1/24,TEXT('All Tandem Standards Source'!J62,"M:SS"),TEXT('All Tandem Standards Source'!J62,"H:MM:SS"))</f>
        <v>35:34</v>
      </c>
      <c r="E61" s="53" t="str">
        <f>IF('All Tandem Standards Source'!N62&lt;1/24,TEXT('All Tandem Standards Source'!N62,"M:SS"),TEXT('All Tandem Standards Source'!N62,"H:MM:SS"))</f>
        <v>42:52</v>
      </c>
      <c r="F61" s="53" t="str">
        <f>IF('All Tandem Standards Source'!R62&lt;1/24,TEXT('All Tandem Standards Source'!R62,"M:SS"),TEXT('All Tandem Standards Source'!R62,"H:MM:SS"))</f>
        <v>1:12:44</v>
      </c>
      <c r="G61" s="53" t="str">
        <f>IF('All Tandem Standards Source'!V62&lt;1/24,TEXT('All Tandem Standards Source'!V62,"M:SS"),TEXT('All Tandem Standards Source'!V62,"H:MM:SS"))</f>
        <v>2:32:25</v>
      </c>
      <c r="H61" s="54" t="str">
        <f>TEXT('All Tandem Standards Source'!Z62,"0.00")</f>
        <v>90.08</v>
      </c>
      <c r="I61" s="54" t="str">
        <f>TEXT('All Tandem Standards Source'!AD62,"0.00")</f>
        <v>142.11</v>
      </c>
      <c r="J61" s="57" t="str">
        <f>IF('All Tandem Standards Source'!C62&lt;1/24,TEXT('All Tandem Standards Source'!C62,"M:SS"),TEXT('All Tandem Standards Source'!C62,"H:MM:SS"))</f>
        <v>15:26</v>
      </c>
      <c r="K61" s="57" t="str">
        <f>IF('All Tandem Standards Source'!G62&lt;1/24,TEXT('All Tandem Standards Source'!G62,"M:SS"),TEXT('All Tandem Standards Source'!G62,"H:MM:SS"))</f>
        <v>23:15</v>
      </c>
      <c r="L61" s="57" t="str">
        <f>IF('All Tandem Standards Source'!K62&lt;1/24,TEXT('All Tandem Standards Source'!K62,"M:SS"),TEXT('All Tandem Standards Source'!K62,"H:MM:SS"))</f>
        <v>39:06</v>
      </c>
      <c r="M61" s="57" t="str">
        <f>IF('All Tandem Standards Source'!O62&lt;1/24,TEXT('All Tandem Standards Source'!O62,"M:SS"),TEXT('All Tandem Standards Source'!O62,"H:MM:SS"))</f>
        <v>47:07</v>
      </c>
      <c r="N61" s="57" t="str">
        <f>IF('All Tandem Standards Source'!S62&lt;1/24,TEXT('All Tandem Standards Source'!S62,"M:SS"),TEXT('All Tandem Standards Source'!S62,"H:MM:SS"))</f>
        <v>1:19:58</v>
      </c>
      <c r="O61" s="57" t="str">
        <f>IF('All Tandem Standards Source'!W62&lt;1/24,TEXT('All Tandem Standards Source'!W62,"M:SS"),TEXT('All Tandem Standards Source'!W62,"H:MM:SS"))</f>
        <v>2:47:38</v>
      </c>
      <c r="P61" s="58" t="str">
        <f>TEXT('All Tandem Standards Source'!AA62,"0.00")</f>
        <v>78.93</v>
      </c>
      <c r="Q61" s="58" t="str">
        <f>TEXT('All Tandem Standards Source'!AE62,"0.00")</f>
        <v>127.97</v>
      </c>
      <c r="R61" s="50" t="str">
        <f>IF('All Tandem Standards Source'!D62&lt;1/24,TEXT('All Tandem Standards Source'!D62,"M:SS"),TEXT('All Tandem Standards Source'!D62,"H:MM:SS"))</f>
        <v>15:05</v>
      </c>
      <c r="S61" s="50" t="str">
        <f>IF('All Tandem Standards Source'!H62&lt;1/24,TEXT('All Tandem Standards Source'!H62,"M:SS"),TEXT('All Tandem Standards Source'!H62,"H:MM:SS"))</f>
        <v>22:44</v>
      </c>
      <c r="T61" s="50" t="str">
        <f>IF('All Tandem Standards Source'!L62&lt;1/24,TEXT('All Tandem Standards Source'!L62,"M:SS"),TEXT('All Tandem Standards Source'!L62,"H:MM:SS"))</f>
        <v>38:13</v>
      </c>
      <c r="U61" s="50" t="str">
        <f>IF('All Tandem Standards Source'!P62&lt;1/24,TEXT('All Tandem Standards Source'!P62,"M:SS"),TEXT('All Tandem Standards Source'!P62,"H:MM:SS"))</f>
        <v>46:04</v>
      </c>
      <c r="V61" s="50" t="str">
        <f>IF('All Tandem Standards Source'!T62&lt;1/24,TEXT('All Tandem Standards Source'!T62,"M:SS"),TEXT('All Tandem Standards Source'!T62,"H:MM:SS"))</f>
        <v>1:18:11</v>
      </c>
      <c r="W61" s="50" t="str">
        <f>IF('All Tandem Standards Source'!X62&lt;1/24,TEXT('All Tandem Standards Source'!X62,"M:SS"),TEXT('All Tandem Standards Source'!X62,"H:MM:SS"))</f>
        <v>2:43:53</v>
      </c>
      <c r="X61" s="51" t="str">
        <f>TEXT('All Tandem Standards Source'!AB62,"0.00")</f>
        <v>81.49</v>
      </c>
      <c r="Y61" s="51" t="str">
        <f>TEXT('All Tandem Standards Source'!AF62,"0.00")</f>
        <v>131.27</v>
      </c>
      <c r="Z61" s="55" t="str">
        <f>IF('All Tandem Standards Source'!E62&lt;1/24,TEXT('All Tandem Standards Source'!E62,"M:SS"),TEXT('All Tandem Standards Source'!E62,"H:MM:SS"))</f>
        <v>16:37</v>
      </c>
      <c r="AA61" s="55" t="str">
        <f>IF('All Tandem Standards Source'!I62&lt;1/24,TEXT('All Tandem Standards Source'!I62,"M:SS"),TEXT('All Tandem Standards Source'!I62,"H:MM:SS"))</f>
        <v>25:02</v>
      </c>
      <c r="AB61" s="55" t="str">
        <f>IF('All Tandem Standards Source'!M62&lt;1/24,TEXT('All Tandem Standards Source'!M62,"M:SS"),TEXT('All Tandem Standards Source'!M62,"H:MM:SS"))</f>
        <v>42:06</v>
      </c>
      <c r="AC61" s="55" t="str">
        <f>IF('All Tandem Standards Source'!Q62&lt;1/24,TEXT('All Tandem Standards Source'!Q62,"M:SS"),TEXT('All Tandem Standards Source'!Q62,"H:MM:SS"))</f>
        <v>50:45</v>
      </c>
      <c r="AD61" s="55" t="str">
        <f>IF('All Tandem Standards Source'!U62&lt;1/24,TEXT('All Tandem Standards Source'!U62,"M:SS"),TEXT('All Tandem Standards Source'!U62,"H:MM:SS"))</f>
        <v>1:26:07</v>
      </c>
      <c r="AE61" s="55" t="str">
        <f>IF('All Tandem Standards Source'!Y62&lt;1/24,TEXT('All Tandem Standards Source'!Y62,"M:SS"),TEXT('All Tandem Standards Source'!Y62,"H:MM:SS"))</f>
        <v>3:00:33</v>
      </c>
      <c r="AF61" s="56" t="str">
        <f>TEXT('All Tandem Standards Source'!AC62,"0.00")</f>
        <v>70.87</v>
      </c>
      <c r="AG61" s="56" t="str">
        <f>TEXT('All Tandem Standards Source'!AG62,"0.00")</f>
        <v>117.33</v>
      </c>
    </row>
    <row r="62" spans="1:33" x14ac:dyDescent="0.25">
      <c r="A62" s="17">
        <v>69</v>
      </c>
      <c r="B62" s="53" t="str">
        <f>IF('All Tandem Standards Source'!B63&lt;1/24,TEXT('All Tandem Standards Source'!B63,"M:SS"),TEXT('All Tandem Standards Source'!B63,"H:MM:SS"))</f>
        <v>14:08</v>
      </c>
      <c r="C62" s="53" t="str">
        <f>IF('All Tandem Standards Source'!F63&lt;1/24,TEXT('All Tandem Standards Source'!F63,"M:SS"),TEXT('All Tandem Standards Source'!F63,"H:MM:SS"))</f>
        <v>21:18</v>
      </c>
      <c r="D62" s="53" t="str">
        <f>IF('All Tandem Standards Source'!J63&lt;1/24,TEXT('All Tandem Standards Source'!J63,"M:SS"),TEXT('All Tandem Standards Source'!J63,"H:MM:SS"))</f>
        <v>35:48</v>
      </c>
      <c r="E62" s="53" t="str">
        <f>IF('All Tandem Standards Source'!N63&lt;1/24,TEXT('All Tandem Standards Source'!N63,"M:SS"),TEXT('All Tandem Standards Source'!N63,"H:MM:SS"))</f>
        <v>43:10</v>
      </c>
      <c r="F62" s="53" t="str">
        <f>IF('All Tandem Standards Source'!R63&lt;1/24,TEXT('All Tandem Standards Source'!R63,"M:SS"),TEXT('All Tandem Standards Source'!R63,"H:MM:SS"))</f>
        <v>1:13:15</v>
      </c>
      <c r="G62" s="53" t="str">
        <f>IF('All Tandem Standards Source'!V63&lt;1/24,TEXT('All Tandem Standards Source'!V63,"M:SS"),TEXT('All Tandem Standards Source'!V63,"H:MM:SS"))</f>
        <v>2:33:39</v>
      </c>
      <c r="H62" s="54" t="str">
        <f>TEXT('All Tandem Standards Source'!Z63,"0.00")</f>
        <v>88.72</v>
      </c>
      <c r="I62" s="54" t="str">
        <f>TEXT('All Tandem Standards Source'!AD63,"0.00")</f>
        <v>139.48</v>
      </c>
      <c r="J62" s="57" t="str">
        <f>IF('All Tandem Standards Source'!C63&lt;1/24,TEXT('All Tandem Standards Source'!C63,"M:SS"),TEXT('All Tandem Standards Source'!C63,"H:MM:SS"))</f>
        <v>15:33</v>
      </c>
      <c r="K62" s="57" t="str">
        <f>IF('All Tandem Standards Source'!G63&lt;1/24,TEXT('All Tandem Standards Source'!G63,"M:SS"),TEXT('All Tandem Standards Source'!G63,"H:MM:SS"))</f>
        <v>23:25</v>
      </c>
      <c r="L62" s="57" t="str">
        <f>IF('All Tandem Standards Source'!K63&lt;1/24,TEXT('All Tandem Standards Source'!K63,"M:SS"),TEXT('All Tandem Standards Source'!K63,"H:MM:SS"))</f>
        <v>39:23</v>
      </c>
      <c r="M62" s="57" t="str">
        <f>IF('All Tandem Standards Source'!O63&lt;1/24,TEXT('All Tandem Standards Source'!O63,"M:SS"),TEXT('All Tandem Standards Source'!O63,"H:MM:SS"))</f>
        <v>47:28</v>
      </c>
      <c r="N62" s="57" t="str">
        <f>IF('All Tandem Standards Source'!S63&lt;1/24,TEXT('All Tandem Standards Source'!S63,"M:SS"),TEXT('All Tandem Standards Source'!S63,"H:MM:SS"))</f>
        <v>1:20:35</v>
      </c>
      <c r="O62" s="57" t="str">
        <f>IF('All Tandem Standards Source'!W63&lt;1/24,TEXT('All Tandem Standards Source'!W63,"M:SS"),TEXT('All Tandem Standards Source'!W63,"H:MM:SS"))</f>
        <v>2:49:04</v>
      </c>
      <c r="P62" s="58" t="str">
        <f>TEXT('All Tandem Standards Source'!AA63,"0.00")</f>
        <v>77.68</v>
      </c>
      <c r="Q62" s="58" t="str">
        <f>TEXT('All Tandem Standards Source'!AE63,"0.00")</f>
        <v>125.57</v>
      </c>
      <c r="R62" s="50" t="str">
        <f>IF('All Tandem Standards Source'!D63&lt;1/24,TEXT('All Tandem Standards Source'!D63,"M:SS"),TEXT('All Tandem Standards Source'!D63,"H:MM:SS"))</f>
        <v>15:12</v>
      </c>
      <c r="S62" s="50" t="str">
        <f>IF('All Tandem Standards Source'!H63&lt;1/24,TEXT('All Tandem Standards Source'!H63,"M:SS"),TEXT('All Tandem Standards Source'!H63,"H:MM:SS"))</f>
        <v>22:54</v>
      </c>
      <c r="T62" s="50" t="str">
        <f>IF('All Tandem Standards Source'!L63&lt;1/24,TEXT('All Tandem Standards Source'!L63,"M:SS"),TEXT('All Tandem Standards Source'!L63,"H:MM:SS"))</f>
        <v>38:30</v>
      </c>
      <c r="U62" s="50" t="str">
        <f>IF('All Tandem Standards Source'!P63&lt;1/24,TEXT('All Tandem Standards Source'!P63,"M:SS"),TEXT('All Tandem Standards Source'!P63,"H:MM:SS"))</f>
        <v>46:24</v>
      </c>
      <c r="V62" s="50" t="str">
        <f>IF('All Tandem Standards Source'!T63&lt;1/24,TEXT('All Tandem Standards Source'!T63,"M:SS"),TEXT('All Tandem Standards Source'!T63,"H:MM:SS"))</f>
        <v>1:18:46</v>
      </c>
      <c r="W62" s="50" t="str">
        <f>IF('All Tandem Standards Source'!X63&lt;1/24,TEXT('All Tandem Standards Source'!X63,"M:SS"),TEXT('All Tandem Standards Source'!X63,"H:MM:SS"))</f>
        <v>2:45:14</v>
      </c>
      <c r="X62" s="51" t="str">
        <f>TEXT('All Tandem Standards Source'!AB63,"0.00")</f>
        <v>80.24</v>
      </c>
      <c r="Y62" s="51" t="str">
        <f>TEXT('All Tandem Standards Source'!AF63,"0.00")</f>
        <v>128.86</v>
      </c>
      <c r="Z62" s="55" t="str">
        <f>IF('All Tandem Standards Source'!E63&lt;1/24,TEXT('All Tandem Standards Source'!E63,"M:SS"),TEXT('All Tandem Standards Source'!E63,"H:MM:SS"))</f>
        <v>16:44</v>
      </c>
      <c r="AA62" s="55" t="str">
        <f>IF('All Tandem Standards Source'!I63&lt;1/24,TEXT('All Tandem Standards Source'!I63,"M:SS"),TEXT('All Tandem Standards Source'!I63,"H:MM:SS"))</f>
        <v>25:13</v>
      </c>
      <c r="AB62" s="55" t="str">
        <f>IF('All Tandem Standards Source'!M63&lt;1/24,TEXT('All Tandem Standards Source'!M63,"M:SS"),TEXT('All Tandem Standards Source'!M63,"H:MM:SS"))</f>
        <v>42:25</v>
      </c>
      <c r="AC62" s="55" t="str">
        <f>IF('All Tandem Standards Source'!Q63&lt;1/24,TEXT('All Tandem Standards Source'!Q63,"M:SS"),TEXT('All Tandem Standards Source'!Q63,"H:MM:SS"))</f>
        <v>51:08</v>
      </c>
      <c r="AD62" s="55" t="str">
        <f>IF('All Tandem Standards Source'!U63&lt;1/24,TEXT('All Tandem Standards Source'!U63,"M:SS"),TEXT('All Tandem Standards Source'!U63,"H:MM:SS"))</f>
        <v>1:26:48</v>
      </c>
      <c r="AE62" s="55" t="str">
        <f>IF('All Tandem Standards Source'!Y63&lt;1/24,TEXT('All Tandem Standards Source'!Y63,"M:SS"),TEXT('All Tandem Standards Source'!Y63,"H:MM:SS"))</f>
        <v>3:02:08</v>
      </c>
      <c r="AF62" s="56" t="str">
        <f>TEXT('All Tandem Standards Source'!AC63,"0.00")</f>
        <v>69.73</v>
      </c>
      <c r="AG62" s="56" t="str">
        <f>TEXT('All Tandem Standards Source'!AG63,"0.00")</f>
        <v>115.13</v>
      </c>
    </row>
    <row r="63" spans="1:33" x14ac:dyDescent="0.25">
      <c r="A63" s="17">
        <v>70</v>
      </c>
      <c r="B63" s="53" t="str">
        <f>IF('All Tandem Standards Source'!B64&lt;1/24,TEXT('All Tandem Standards Source'!B64,"M:SS"),TEXT('All Tandem Standards Source'!B64,"H:MM:SS"))</f>
        <v>14:14</v>
      </c>
      <c r="C63" s="53" t="str">
        <f>IF('All Tandem Standards Source'!F64&lt;1/24,TEXT('All Tandem Standards Source'!F64,"M:SS"),TEXT('All Tandem Standards Source'!F64,"H:MM:SS"))</f>
        <v>21:27</v>
      </c>
      <c r="D63" s="53" t="str">
        <f>IF('All Tandem Standards Source'!J64&lt;1/24,TEXT('All Tandem Standards Source'!J64,"M:SS"),TEXT('All Tandem Standards Source'!J64,"H:MM:SS"))</f>
        <v>36:04</v>
      </c>
      <c r="E63" s="53" t="str">
        <f>IF('All Tandem Standards Source'!N64&lt;1/24,TEXT('All Tandem Standards Source'!N64,"M:SS"),TEXT('All Tandem Standards Source'!N64,"H:MM:SS"))</f>
        <v>43:28</v>
      </c>
      <c r="F63" s="53" t="str">
        <f>IF('All Tandem Standards Source'!R64&lt;1/24,TEXT('All Tandem Standards Source'!R64,"M:SS"),TEXT('All Tandem Standards Source'!R64,"H:MM:SS"))</f>
        <v>1:13:48</v>
      </c>
      <c r="G63" s="53" t="str">
        <f>IF('All Tandem Standards Source'!V64&lt;1/24,TEXT('All Tandem Standards Source'!V64,"M:SS"),TEXT('All Tandem Standards Source'!V64,"H:MM:SS"))</f>
        <v>2:34:56</v>
      </c>
      <c r="H63" s="54" t="str">
        <f>TEXT('All Tandem Standards Source'!Z64,"0.00")</f>
        <v>87.33</v>
      </c>
      <c r="I63" s="54" t="str">
        <f>TEXT('All Tandem Standards Source'!AD64,"0.00")</f>
        <v>136.81</v>
      </c>
      <c r="J63" s="57" t="str">
        <f>IF('All Tandem Standards Source'!C64&lt;1/24,TEXT('All Tandem Standards Source'!C64,"M:SS"),TEXT('All Tandem Standards Source'!C64,"H:MM:SS"))</f>
        <v>15:39</v>
      </c>
      <c r="K63" s="57" t="str">
        <f>IF('All Tandem Standards Source'!G64&lt;1/24,TEXT('All Tandem Standards Source'!G64,"M:SS"),TEXT('All Tandem Standards Source'!G64,"H:MM:SS"))</f>
        <v>23:36</v>
      </c>
      <c r="L63" s="57" t="str">
        <f>IF('All Tandem Standards Source'!K64&lt;1/24,TEXT('All Tandem Standards Source'!K64,"M:SS"),TEXT('All Tandem Standards Source'!K64,"H:MM:SS"))</f>
        <v>39:40</v>
      </c>
      <c r="M63" s="57" t="str">
        <f>IF('All Tandem Standards Source'!O64&lt;1/24,TEXT('All Tandem Standards Source'!O64,"M:SS"),TEXT('All Tandem Standards Source'!O64,"H:MM:SS"))</f>
        <v>47:49</v>
      </c>
      <c r="N63" s="57" t="str">
        <f>IF('All Tandem Standards Source'!S64&lt;1/24,TEXT('All Tandem Standards Source'!S64,"M:SS"),TEXT('All Tandem Standards Source'!S64,"H:MM:SS"))</f>
        <v>1:21:12</v>
      </c>
      <c r="O63" s="57" t="str">
        <f>IF('All Tandem Standards Source'!W64&lt;1/24,TEXT('All Tandem Standards Source'!W64,"M:SS"),TEXT('All Tandem Standards Source'!W64,"H:MM:SS"))</f>
        <v>2:50:31</v>
      </c>
      <c r="P63" s="58" t="str">
        <f>TEXT('All Tandem Standards Source'!AA64,"0.00")</f>
        <v>76.45</v>
      </c>
      <c r="Q63" s="58" t="str">
        <f>TEXT('All Tandem Standards Source'!AE64,"0.00")</f>
        <v>123.17</v>
      </c>
      <c r="R63" s="50" t="str">
        <f>IF('All Tandem Standards Source'!D64&lt;1/24,TEXT('All Tandem Standards Source'!D64,"M:SS"),TEXT('All Tandem Standards Source'!D64,"H:MM:SS"))</f>
        <v>15:18</v>
      </c>
      <c r="S63" s="50" t="str">
        <f>IF('All Tandem Standards Source'!H64&lt;1/24,TEXT('All Tandem Standards Source'!H64,"M:SS"),TEXT('All Tandem Standards Source'!H64,"H:MM:SS"))</f>
        <v>23:03</v>
      </c>
      <c r="T63" s="50" t="str">
        <f>IF('All Tandem Standards Source'!L64&lt;1/24,TEXT('All Tandem Standards Source'!L64,"M:SS"),TEXT('All Tandem Standards Source'!L64,"H:MM:SS"))</f>
        <v>38:47</v>
      </c>
      <c r="U63" s="50" t="str">
        <f>IF('All Tandem Standards Source'!P64&lt;1/24,TEXT('All Tandem Standards Source'!P64,"M:SS"),TEXT('All Tandem Standards Source'!P64,"H:MM:SS"))</f>
        <v>46:45</v>
      </c>
      <c r="V63" s="50" t="str">
        <f>IF('All Tandem Standards Source'!T64&lt;1/24,TEXT('All Tandem Standards Source'!T64,"M:SS"),TEXT('All Tandem Standards Source'!T64,"H:MM:SS"))</f>
        <v>1:19:22</v>
      </c>
      <c r="W63" s="50" t="str">
        <f>IF('All Tandem Standards Source'!X64&lt;1/24,TEXT('All Tandem Standards Source'!X64,"M:SS"),TEXT('All Tandem Standards Source'!X64,"H:MM:SS"))</f>
        <v>2:46:39</v>
      </c>
      <c r="X63" s="51" t="str">
        <f>TEXT('All Tandem Standards Source'!AB64,"0.00")</f>
        <v>78.97</v>
      </c>
      <c r="Y63" s="51" t="str">
        <f>TEXT('All Tandem Standards Source'!AF64,"0.00")</f>
        <v>126.39</v>
      </c>
      <c r="Z63" s="55" t="str">
        <f>IF('All Tandem Standards Source'!E64&lt;1/24,TEXT('All Tandem Standards Source'!E64,"M:SS"),TEXT('All Tandem Standards Source'!E64,"H:MM:SS"))</f>
        <v>16:52</v>
      </c>
      <c r="AA63" s="55" t="str">
        <f>IF('All Tandem Standards Source'!I64&lt;1/24,TEXT('All Tandem Standards Source'!I64,"M:SS"),TEXT('All Tandem Standards Source'!I64,"H:MM:SS"))</f>
        <v>25:24</v>
      </c>
      <c r="AB63" s="55" t="str">
        <f>IF('All Tandem Standards Source'!M64&lt;1/24,TEXT('All Tandem Standards Source'!M64,"M:SS"),TEXT('All Tandem Standards Source'!M64,"H:MM:SS"))</f>
        <v>42:44</v>
      </c>
      <c r="AC63" s="55" t="str">
        <f>IF('All Tandem Standards Source'!Q64&lt;1/24,TEXT('All Tandem Standards Source'!Q64,"M:SS"),TEXT('All Tandem Standards Source'!Q64,"H:MM:SS"))</f>
        <v>51:31</v>
      </c>
      <c r="AD63" s="55" t="str">
        <f>IF('All Tandem Standards Source'!U64&lt;1/24,TEXT('All Tandem Standards Source'!U64,"M:SS"),TEXT('All Tandem Standards Source'!U64,"H:MM:SS"))</f>
        <v>1:27:28</v>
      </c>
      <c r="AE63" s="55" t="str">
        <f>IF('All Tandem Standards Source'!Y64&lt;1/24,TEXT('All Tandem Standards Source'!Y64,"M:SS"),TEXT('All Tandem Standards Source'!Y64,"H:MM:SS"))</f>
        <v>3:03:43</v>
      </c>
      <c r="AF63" s="56" t="str">
        <f>TEXT('All Tandem Standards Source'!AC64,"0.00")</f>
        <v>68.60</v>
      </c>
      <c r="AG63" s="56" t="str">
        <f>TEXT('All Tandem Standards Source'!AG64,"0.00")</f>
        <v>112.93</v>
      </c>
    </row>
    <row r="64" spans="1:33" x14ac:dyDescent="0.25">
      <c r="A64" s="17">
        <v>71</v>
      </c>
      <c r="B64" s="53" t="str">
        <f>IF('All Tandem Standards Source'!B65&lt;1/24,TEXT('All Tandem Standards Source'!B65,"M:SS"),TEXT('All Tandem Standards Source'!B65,"H:MM:SS"))</f>
        <v>14:20</v>
      </c>
      <c r="C64" s="53" t="str">
        <f>IF('All Tandem Standards Source'!F65&lt;1/24,TEXT('All Tandem Standards Source'!F65,"M:SS"),TEXT('All Tandem Standards Source'!F65,"H:MM:SS"))</f>
        <v>21:36</v>
      </c>
      <c r="D64" s="53" t="str">
        <f>IF('All Tandem Standards Source'!J65&lt;1/24,TEXT('All Tandem Standards Source'!J65,"M:SS"),TEXT('All Tandem Standards Source'!J65,"H:MM:SS"))</f>
        <v>36:20</v>
      </c>
      <c r="E64" s="53" t="str">
        <f>IF('All Tandem Standards Source'!N65&lt;1/24,TEXT('All Tandem Standards Source'!N65,"M:SS"),TEXT('All Tandem Standards Source'!N65,"H:MM:SS"))</f>
        <v>43:48</v>
      </c>
      <c r="F64" s="53" t="str">
        <f>IF('All Tandem Standards Source'!R65&lt;1/24,TEXT('All Tandem Standards Source'!R65,"M:SS"),TEXT('All Tandem Standards Source'!R65,"H:MM:SS"))</f>
        <v>1:14:23</v>
      </c>
      <c r="G64" s="53" t="str">
        <f>IF('All Tandem Standards Source'!V65&lt;1/24,TEXT('All Tandem Standards Source'!V65,"M:SS"),TEXT('All Tandem Standards Source'!V65,"H:MM:SS"))</f>
        <v>2:36:17</v>
      </c>
      <c r="H64" s="54" t="str">
        <f>TEXT('All Tandem Standards Source'!Z65,"0.00")</f>
        <v>85.91</v>
      </c>
      <c r="I64" s="54" t="str">
        <f>TEXT('All Tandem Standards Source'!AD65,"0.00")</f>
        <v>134.09</v>
      </c>
      <c r="J64" s="57" t="str">
        <f>IF('All Tandem Standards Source'!C65&lt;1/24,TEXT('All Tandem Standards Source'!C65,"M:SS"),TEXT('All Tandem Standards Source'!C65,"H:MM:SS"))</f>
        <v>15:46</v>
      </c>
      <c r="K64" s="57" t="str">
        <f>IF('All Tandem Standards Source'!G65&lt;1/24,TEXT('All Tandem Standards Source'!G65,"M:SS"),TEXT('All Tandem Standards Source'!G65,"H:MM:SS"))</f>
        <v>23:46</v>
      </c>
      <c r="L64" s="57" t="str">
        <f>IF('All Tandem Standards Source'!K65&lt;1/24,TEXT('All Tandem Standards Source'!K65,"M:SS"),TEXT('All Tandem Standards Source'!K65,"H:MM:SS"))</f>
        <v>39:59</v>
      </c>
      <c r="M64" s="57" t="str">
        <f>IF('All Tandem Standards Source'!O65&lt;1/24,TEXT('All Tandem Standards Source'!O65,"M:SS"),TEXT('All Tandem Standards Source'!O65,"H:MM:SS"))</f>
        <v>48:12</v>
      </c>
      <c r="N64" s="57" t="str">
        <f>IF('All Tandem Standards Source'!S65&lt;1/24,TEXT('All Tandem Standards Source'!S65,"M:SS"),TEXT('All Tandem Standards Source'!S65,"H:MM:SS"))</f>
        <v>1:21:51</v>
      </c>
      <c r="O64" s="57" t="str">
        <f>IF('All Tandem Standards Source'!W65&lt;1/24,TEXT('All Tandem Standards Source'!W65,"M:SS"),TEXT('All Tandem Standards Source'!W65,"H:MM:SS"))</f>
        <v>2:52:02</v>
      </c>
      <c r="P64" s="58" t="str">
        <f>TEXT('All Tandem Standards Source'!AA65,"0.00")</f>
        <v>75.19</v>
      </c>
      <c r="Q64" s="58" t="str">
        <f>TEXT('All Tandem Standards Source'!AE65,"0.00")</f>
        <v>120.73</v>
      </c>
      <c r="R64" s="50" t="str">
        <f>IF('All Tandem Standards Source'!D65&lt;1/24,TEXT('All Tandem Standards Source'!D65,"M:SS"),TEXT('All Tandem Standards Source'!D65,"H:MM:SS"))</f>
        <v>15:25</v>
      </c>
      <c r="S64" s="50" t="str">
        <f>IF('All Tandem Standards Source'!H65&lt;1/24,TEXT('All Tandem Standards Source'!H65,"M:SS"),TEXT('All Tandem Standards Source'!H65,"H:MM:SS"))</f>
        <v>23:13</v>
      </c>
      <c r="T64" s="50" t="str">
        <f>IF('All Tandem Standards Source'!L65&lt;1/24,TEXT('All Tandem Standards Source'!L65,"M:SS"),TEXT('All Tandem Standards Source'!L65,"H:MM:SS"))</f>
        <v>39:04</v>
      </c>
      <c r="U64" s="50" t="str">
        <f>IF('All Tandem Standards Source'!P65&lt;1/24,TEXT('All Tandem Standards Source'!P65,"M:SS"),TEXT('All Tandem Standards Source'!P65,"H:MM:SS"))</f>
        <v>47:06</v>
      </c>
      <c r="V64" s="50" t="str">
        <f>IF('All Tandem Standards Source'!T65&lt;1/24,TEXT('All Tandem Standards Source'!T65,"M:SS"),TEXT('All Tandem Standards Source'!T65,"H:MM:SS"))</f>
        <v>1:20:00</v>
      </c>
      <c r="W64" s="50" t="str">
        <f>IF('All Tandem Standards Source'!X65&lt;1/24,TEXT('All Tandem Standards Source'!X65,"M:SS"),TEXT('All Tandem Standards Source'!X65,"H:MM:SS"))</f>
        <v>2:48:07</v>
      </c>
      <c r="X64" s="51" t="str">
        <f>TEXT('All Tandem Standards Source'!AB65,"0.00")</f>
        <v>77.67</v>
      </c>
      <c r="Y64" s="51" t="str">
        <f>TEXT('All Tandem Standards Source'!AF65,"0.00")</f>
        <v>123.88</v>
      </c>
      <c r="Z64" s="55" t="str">
        <f>IF('All Tandem Standards Source'!E65&lt;1/24,TEXT('All Tandem Standards Source'!E65,"M:SS"),TEXT('All Tandem Standards Source'!E65,"H:MM:SS"))</f>
        <v>16:59</v>
      </c>
      <c r="AA64" s="55" t="str">
        <f>IF('All Tandem Standards Source'!I65&lt;1/24,TEXT('All Tandem Standards Source'!I65,"M:SS"),TEXT('All Tandem Standards Source'!I65,"H:MM:SS"))</f>
        <v>25:36</v>
      </c>
      <c r="AB64" s="55" t="str">
        <f>IF('All Tandem Standards Source'!M65&lt;1/24,TEXT('All Tandem Standards Source'!M65,"M:SS"),TEXT('All Tandem Standards Source'!M65,"H:MM:SS"))</f>
        <v>43:04</v>
      </c>
      <c r="AC64" s="55" t="str">
        <f>IF('All Tandem Standards Source'!Q65&lt;1/24,TEXT('All Tandem Standards Source'!Q65,"M:SS"),TEXT('All Tandem Standards Source'!Q65,"H:MM:SS"))</f>
        <v>51:55</v>
      </c>
      <c r="AD64" s="55" t="str">
        <f>IF('All Tandem Standards Source'!U65&lt;1/24,TEXT('All Tandem Standards Source'!U65,"M:SS"),TEXT('All Tandem Standards Source'!U65,"H:MM:SS"))</f>
        <v>1:28:11</v>
      </c>
      <c r="AE64" s="55" t="str">
        <f>IF('All Tandem Standards Source'!Y65&lt;1/24,TEXT('All Tandem Standards Source'!Y65,"M:SS"),TEXT('All Tandem Standards Source'!Y65,"H:MM:SS"))</f>
        <v>3:05:23</v>
      </c>
      <c r="AF64" s="56" t="str">
        <f>TEXT('All Tandem Standards Source'!AC65,"0.00")</f>
        <v>67.45</v>
      </c>
      <c r="AG64" s="56" t="str">
        <f>TEXT('All Tandem Standards Source'!AG65,"0.00")</f>
        <v>110.68</v>
      </c>
    </row>
    <row r="65" spans="1:33" x14ac:dyDescent="0.25">
      <c r="A65" s="17">
        <v>72</v>
      </c>
      <c r="B65" s="53" t="str">
        <f>IF('All Tandem Standards Source'!B66&lt;1/24,TEXT('All Tandem Standards Source'!B66,"M:SS"),TEXT('All Tandem Standards Source'!B66,"H:MM:SS"))</f>
        <v>14:26</v>
      </c>
      <c r="C65" s="53" t="str">
        <f>IF('All Tandem Standards Source'!F66&lt;1/24,TEXT('All Tandem Standards Source'!F66,"M:SS"),TEXT('All Tandem Standards Source'!F66,"H:MM:SS"))</f>
        <v>21:46</v>
      </c>
      <c r="D65" s="53" t="str">
        <f>IF('All Tandem Standards Source'!J66&lt;1/24,TEXT('All Tandem Standards Source'!J66,"M:SS"),TEXT('All Tandem Standards Source'!J66,"H:MM:SS"))</f>
        <v>36:36</v>
      </c>
      <c r="E65" s="53" t="str">
        <f>IF('All Tandem Standards Source'!N66&lt;1/24,TEXT('All Tandem Standards Source'!N66,"M:SS"),TEXT('All Tandem Standards Source'!N66,"H:MM:SS"))</f>
        <v>44:08</v>
      </c>
      <c r="F65" s="53" t="str">
        <f>IF('All Tandem Standards Source'!R66&lt;1/24,TEXT('All Tandem Standards Source'!R66,"M:SS"),TEXT('All Tandem Standards Source'!R66,"H:MM:SS"))</f>
        <v>1:14:59</v>
      </c>
      <c r="G65" s="53" t="str">
        <f>IF('All Tandem Standards Source'!V66&lt;1/24,TEXT('All Tandem Standards Source'!V66,"M:SS"),TEXT('All Tandem Standards Source'!V66,"H:MM:SS"))</f>
        <v>2:37:41</v>
      </c>
      <c r="H65" s="54" t="str">
        <f>TEXT('All Tandem Standards Source'!Z66,"0.00")</f>
        <v>84.47</v>
      </c>
      <c r="I65" s="54" t="str">
        <f>TEXT('All Tandem Standards Source'!AD66,"0.00")</f>
        <v>131.32</v>
      </c>
      <c r="J65" s="57" t="str">
        <f>IF('All Tandem Standards Source'!C66&lt;1/24,TEXT('All Tandem Standards Source'!C66,"M:SS"),TEXT('All Tandem Standards Source'!C66,"H:MM:SS"))</f>
        <v>15:53</v>
      </c>
      <c r="K65" s="57" t="str">
        <f>IF('All Tandem Standards Source'!G66&lt;1/24,TEXT('All Tandem Standards Source'!G66,"M:SS"),TEXT('All Tandem Standards Source'!G66,"H:MM:SS"))</f>
        <v>23:57</v>
      </c>
      <c r="L65" s="57" t="str">
        <f>IF('All Tandem Standards Source'!K66&lt;1/24,TEXT('All Tandem Standards Source'!K66,"M:SS"),TEXT('All Tandem Standards Source'!K66,"H:MM:SS"))</f>
        <v>40:17</v>
      </c>
      <c r="M65" s="57" t="str">
        <f>IF('All Tandem Standards Source'!O66&lt;1/24,TEXT('All Tandem Standards Source'!O66,"M:SS"),TEXT('All Tandem Standards Source'!O66,"H:MM:SS"))</f>
        <v>48:35</v>
      </c>
      <c r="N65" s="57" t="str">
        <f>IF('All Tandem Standards Source'!S66&lt;1/24,TEXT('All Tandem Standards Source'!S66,"M:SS"),TEXT('All Tandem Standards Source'!S66,"H:MM:SS"))</f>
        <v>1:22:32</v>
      </c>
      <c r="O65" s="57" t="str">
        <f>IF('All Tandem Standards Source'!W66&lt;1/24,TEXT('All Tandem Standards Source'!W66,"M:SS"),TEXT('All Tandem Standards Source'!W66,"H:MM:SS"))</f>
        <v>2:53:37</v>
      </c>
      <c r="P65" s="58" t="str">
        <f>TEXT('All Tandem Standards Source'!AA66,"0.00")</f>
        <v>73.90</v>
      </c>
      <c r="Q65" s="58" t="str">
        <f>TEXT('All Tandem Standards Source'!AE66,"0.00")</f>
        <v>118.24</v>
      </c>
      <c r="R65" s="50" t="str">
        <f>IF('All Tandem Standards Source'!D66&lt;1/24,TEXT('All Tandem Standards Source'!D66,"M:SS"),TEXT('All Tandem Standards Source'!D66,"H:MM:SS"))</f>
        <v>15:32</v>
      </c>
      <c r="S65" s="50" t="str">
        <f>IF('All Tandem Standards Source'!H66&lt;1/24,TEXT('All Tandem Standards Source'!H66,"M:SS"),TEXT('All Tandem Standards Source'!H66,"H:MM:SS"))</f>
        <v>23:24</v>
      </c>
      <c r="T65" s="50" t="str">
        <f>IF('All Tandem Standards Source'!L66&lt;1/24,TEXT('All Tandem Standards Source'!L66,"M:SS"),TEXT('All Tandem Standards Source'!L66,"H:MM:SS"))</f>
        <v>39:23</v>
      </c>
      <c r="U65" s="50" t="str">
        <f>IF('All Tandem Standards Source'!P66&lt;1/24,TEXT('All Tandem Standards Source'!P66,"M:SS"),TEXT('All Tandem Standards Source'!P66,"H:MM:SS"))</f>
        <v>47:28</v>
      </c>
      <c r="V65" s="50" t="str">
        <f>IF('All Tandem Standards Source'!T66&lt;1/24,TEXT('All Tandem Standards Source'!T66,"M:SS"),TEXT('All Tandem Standards Source'!T66,"H:MM:SS"))</f>
        <v>1:20:39</v>
      </c>
      <c r="W65" s="50" t="str">
        <f>IF('All Tandem Standards Source'!X66&lt;1/24,TEXT('All Tandem Standards Source'!X66,"M:SS"),TEXT('All Tandem Standards Source'!X66,"H:MM:SS"))</f>
        <v>2:49:40</v>
      </c>
      <c r="X65" s="51" t="str">
        <f>TEXT('All Tandem Standards Source'!AB66,"0.00")</f>
        <v>76.35</v>
      </c>
      <c r="Y65" s="51" t="str">
        <f>TEXT('All Tandem Standards Source'!AF66,"0.00")</f>
        <v>121.34</v>
      </c>
      <c r="Z65" s="55" t="str">
        <f>IF('All Tandem Standards Source'!E66&lt;1/24,TEXT('All Tandem Standards Source'!E66,"M:SS"),TEXT('All Tandem Standards Source'!E66,"H:MM:SS"))</f>
        <v>17:07</v>
      </c>
      <c r="AA65" s="55" t="str">
        <f>IF('All Tandem Standards Source'!I66&lt;1/24,TEXT('All Tandem Standards Source'!I66,"M:SS"),TEXT('All Tandem Standards Source'!I66,"H:MM:SS"))</f>
        <v>25:48</v>
      </c>
      <c r="AB65" s="55" t="str">
        <f>IF('All Tandem Standards Source'!M66&lt;1/24,TEXT('All Tandem Standards Source'!M66,"M:SS"),TEXT('All Tandem Standards Source'!M66,"H:MM:SS"))</f>
        <v>43:24</v>
      </c>
      <c r="AC65" s="55" t="str">
        <f>IF('All Tandem Standards Source'!Q66&lt;1/24,TEXT('All Tandem Standards Source'!Q66,"M:SS"),TEXT('All Tandem Standards Source'!Q66,"H:MM:SS"))</f>
        <v>52:20</v>
      </c>
      <c r="AD65" s="55" t="str">
        <f>IF('All Tandem Standards Source'!U66&lt;1/24,TEXT('All Tandem Standards Source'!U66,"M:SS"),TEXT('All Tandem Standards Source'!U66,"H:MM:SS"))</f>
        <v>1:28:56</v>
      </c>
      <c r="AE65" s="55" t="str">
        <f>IF('All Tandem Standards Source'!Y66&lt;1/24,TEXT('All Tandem Standards Source'!Y66,"M:SS"),TEXT('All Tandem Standards Source'!Y66,"H:MM:SS"))</f>
        <v>3:07:07</v>
      </c>
      <c r="AF65" s="56" t="str">
        <f>TEXT('All Tandem Standards Source'!AC66,"0.00")</f>
        <v>66.27</v>
      </c>
      <c r="AG65" s="56" t="str">
        <f>TEXT('All Tandem Standards Source'!AG66,"0.00")</f>
        <v>108.40</v>
      </c>
    </row>
    <row r="66" spans="1:33" x14ac:dyDescent="0.25">
      <c r="A66" s="17">
        <v>73</v>
      </c>
      <c r="B66" s="53" t="str">
        <f>IF('All Tandem Standards Source'!B67&lt;1/24,TEXT('All Tandem Standards Source'!B67,"M:SS"),TEXT('All Tandem Standards Source'!B67,"H:MM:SS"))</f>
        <v>14:33</v>
      </c>
      <c r="C66" s="53" t="str">
        <f>IF('All Tandem Standards Source'!F67&lt;1/24,TEXT('All Tandem Standards Source'!F67,"M:SS"),TEXT('All Tandem Standards Source'!F67,"H:MM:SS"))</f>
        <v>21:56</v>
      </c>
      <c r="D66" s="53" t="str">
        <f>IF('All Tandem Standards Source'!J67&lt;1/24,TEXT('All Tandem Standards Source'!J67,"M:SS"),TEXT('All Tandem Standards Source'!J67,"H:MM:SS"))</f>
        <v>36:54</v>
      </c>
      <c r="E66" s="53" t="str">
        <f>IF('All Tandem Standards Source'!N67&lt;1/24,TEXT('All Tandem Standards Source'!N67,"M:SS"),TEXT('All Tandem Standards Source'!N67,"H:MM:SS"))</f>
        <v>44:29</v>
      </c>
      <c r="F66" s="53" t="str">
        <f>IF('All Tandem Standards Source'!R67&lt;1/24,TEXT('All Tandem Standards Source'!R67,"M:SS"),TEXT('All Tandem Standards Source'!R67,"H:MM:SS"))</f>
        <v>1:15:36</v>
      </c>
      <c r="G66" s="53" t="str">
        <f>IF('All Tandem Standards Source'!V67&lt;1/24,TEXT('All Tandem Standards Source'!V67,"M:SS"),TEXT('All Tandem Standards Source'!V67,"H:MM:SS"))</f>
        <v>2:39:10</v>
      </c>
      <c r="H66" s="54" t="str">
        <f>TEXT('All Tandem Standards Source'!Z67,"0.00")</f>
        <v>83.00</v>
      </c>
      <c r="I66" s="54" t="str">
        <f>TEXT('All Tandem Standards Source'!AD67,"0.00")</f>
        <v>128.50</v>
      </c>
      <c r="J66" s="57" t="str">
        <f>IF('All Tandem Standards Source'!C67&lt;1/24,TEXT('All Tandem Standards Source'!C67,"M:SS"),TEXT('All Tandem Standards Source'!C67,"H:MM:SS"))</f>
        <v>16:01</v>
      </c>
      <c r="K66" s="57" t="str">
        <f>IF('All Tandem Standards Source'!G67&lt;1/24,TEXT('All Tandem Standards Source'!G67,"M:SS"),TEXT('All Tandem Standards Source'!G67,"H:MM:SS"))</f>
        <v>24:08</v>
      </c>
      <c r="L66" s="57" t="str">
        <f>IF('All Tandem Standards Source'!K67&lt;1/24,TEXT('All Tandem Standards Source'!K67,"M:SS"),TEXT('All Tandem Standards Source'!K67,"H:MM:SS"))</f>
        <v>40:37</v>
      </c>
      <c r="M66" s="57" t="str">
        <f>IF('All Tandem Standards Source'!O67&lt;1/24,TEXT('All Tandem Standards Source'!O67,"M:SS"),TEXT('All Tandem Standards Source'!O67,"H:MM:SS"))</f>
        <v>48:58</v>
      </c>
      <c r="N66" s="57" t="str">
        <f>IF('All Tandem Standards Source'!S67&lt;1/24,TEXT('All Tandem Standards Source'!S67,"M:SS"),TEXT('All Tandem Standards Source'!S67,"H:MM:SS"))</f>
        <v>1:23:14</v>
      </c>
      <c r="O66" s="57" t="str">
        <f>IF('All Tandem Standards Source'!W67&lt;1/24,TEXT('All Tandem Standards Source'!W67,"M:SS"),TEXT('All Tandem Standards Source'!W67,"H:MM:SS"))</f>
        <v>2:55:16</v>
      </c>
      <c r="P66" s="58" t="str">
        <f>TEXT('All Tandem Standards Source'!AA67,"0.00")</f>
        <v>72.59</v>
      </c>
      <c r="Q66" s="58" t="str">
        <f>TEXT('All Tandem Standards Source'!AE67,"0.00")</f>
        <v>115.72</v>
      </c>
      <c r="R66" s="50" t="str">
        <f>IF('All Tandem Standards Source'!D67&lt;1/24,TEXT('All Tandem Standards Source'!D67,"M:SS"),TEXT('All Tandem Standards Source'!D67,"H:MM:SS"))</f>
        <v>15:39</v>
      </c>
      <c r="S66" s="50" t="str">
        <f>IF('All Tandem Standards Source'!H67&lt;1/24,TEXT('All Tandem Standards Source'!H67,"M:SS"),TEXT('All Tandem Standards Source'!H67,"H:MM:SS"))</f>
        <v>23:36</v>
      </c>
      <c r="T66" s="50" t="str">
        <f>IF('All Tandem Standards Source'!L67&lt;1/24,TEXT('All Tandem Standards Source'!L67,"M:SS"),TEXT('All Tandem Standards Source'!L67,"H:MM:SS"))</f>
        <v>39:41</v>
      </c>
      <c r="U66" s="50" t="str">
        <f>IF('All Tandem Standards Source'!P67&lt;1/24,TEXT('All Tandem Standards Source'!P67,"M:SS"),TEXT('All Tandem Standards Source'!P67,"H:MM:SS"))</f>
        <v>47:51</v>
      </c>
      <c r="V66" s="50" t="str">
        <f>IF('All Tandem Standards Source'!T67&lt;1/24,TEXT('All Tandem Standards Source'!T67,"M:SS"),TEXT('All Tandem Standards Source'!T67,"H:MM:SS"))</f>
        <v>1:21:21</v>
      </c>
      <c r="W66" s="50" t="str">
        <f>IF('All Tandem Standards Source'!X67&lt;1/24,TEXT('All Tandem Standards Source'!X67,"M:SS"),TEXT('All Tandem Standards Source'!X67,"H:MM:SS"))</f>
        <v>2:51:16</v>
      </c>
      <c r="X66" s="51" t="str">
        <f>TEXT('All Tandem Standards Source'!AB67,"0.00")</f>
        <v>75.00</v>
      </c>
      <c r="Y66" s="51" t="str">
        <f>TEXT('All Tandem Standards Source'!AF67,"0.00")</f>
        <v>118.74</v>
      </c>
      <c r="Z66" s="55" t="str">
        <f>IF('All Tandem Standards Source'!E67&lt;1/24,TEXT('All Tandem Standards Source'!E67,"M:SS"),TEXT('All Tandem Standards Source'!E67,"H:MM:SS"))</f>
        <v>17:15</v>
      </c>
      <c r="AA66" s="55" t="str">
        <f>IF('All Tandem Standards Source'!I67&lt;1/24,TEXT('All Tandem Standards Source'!I67,"M:SS"),TEXT('All Tandem Standards Source'!I67,"H:MM:SS"))</f>
        <v>26:00</v>
      </c>
      <c r="AB66" s="55" t="str">
        <f>IF('All Tandem Standards Source'!M67&lt;1/24,TEXT('All Tandem Standards Source'!M67,"M:SS"),TEXT('All Tandem Standards Source'!M67,"H:MM:SS"))</f>
        <v>43:46</v>
      </c>
      <c r="AC66" s="55" t="str">
        <f>IF('All Tandem Standards Source'!Q67&lt;1/24,TEXT('All Tandem Standards Source'!Q67,"M:SS"),TEXT('All Tandem Standards Source'!Q67,"H:MM:SS"))</f>
        <v>52:46</v>
      </c>
      <c r="AD66" s="55" t="str">
        <f>IF('All Tandem Standards Source'!U67&lt;1/24,TEXT('All Tandem Standards Source'!U67,"M:SS"),TEXT('All Tandem Standards Source'!U67,"H:MM:SS"))</f>
        <v>1:29:42</v>
      </c>
      <c r="AE66" s="55" t="str">
        <f>IF('All Tandem Standards Source'!Y67&lt;1/24,TEXT('All Tandem Standards Source'!Y67,"M:SS"),TEXT('All Tandem Standards Source'!Y67,"H:MM:SS"))</f>
        <v>3:08:56</v>
      </c>
      <c r="AF66" s="56" t="str">
        <f>TEXT('All Tandem Standards Source'!AC67,"0.00")</f>
        <v>65.08</v>
      </c>
      <c r="AG66" s="56" t="str">
        <f>TEXT('All Tandem Standards Source'!AG67,"0.00")</f>
        <v>106.07</v>
      </c>
    </row>
    <row r="67" spans="1:33" x14ac:dyDescent="0.25">
      <c r="A67" s="17">
        <v>74</v>
      </c>
      <c r="B67" s="53" t="str">
        <f>IF('All Tandem Standards Source'!B68&lt;1/24,TEXT('All Tandem Standards Source'!B68,"M:SS"),TEXT('All Tandem Standards Source'!B68,"H:MM:SS"))</f>
        <v>14:40</v>
      </c>
      <c r="C67" s="53" t="str">
        <f>IF('All Tandem Standards Source'!F68&lt;1/24,TEXT('All Tandem Standards Source'!F68,"M:SS"),TEXT('All Tandem Standards Source'!F68,"H:MM:SS"))</f>
        <v>22:06</v>
      </c>
      <c r="D67" s="53" t="str">
        <f>IF('All Tandem Standards Source'!J68&lt;1/24,TEXT('All Tandem Standards Source'!J68,"M:SS"),TEXT('All Tandem Standards Source'!J68,"H:MM:SS"))</f>
        <v>37:12</v>
      </c>
      <c r="E67" s="53" t="str">
        <f>IF('All Tandem Standards Source'!N68&lt;1/24,TEXT('All Tandem Standards Source'!N68,"M:SS"),TEXT('All Tandem Standards Source'!N68,"H:MM:SS"))</f>
        <v>44:51</v>
      </c>
      <c r="F67" s="53" t="str">
        <f>IF('All Tandem Standards Source'!R68&lt;1/24,TEXT('All Tandem Standards Source'!R68,"M:SS"),TEXT('All Tandem Standards Source'!R68,"H:MM:SS"))</f>
        <v>1:16:15</v>
      </c>
      <c r="G67" s="53" t="str">
        <f>IF('All Tandem Standards Source'!V68&lt;1/24,TEXT('All Tandem Standards Source'!V68,"M:SS"),TEXT('All Tandem Standards Source'!V68,"H:MM:SS"))</f>
        <v>2:40:42</v>
      </c>
      <c r="H67" s="54" t="str">
        <f>TEXT('All Tandem Standards Source'!Z68,"0.00")</f>
        <v>81.49</v>
      </c>
      <c r="I67" s="54" t="str">
        <f>TEXT('All Tandem Standards Source'!AD68,"0.00")</f>
        <v>125.64</v>
      </c>
      <c r="J67" s="57" t="str">
        <f>IF('All Tandem Standards Source'!C68&lt;1/24,TEXT('All Tandem Standards Source'!C68,"M:SS"),TEXT('All Tandem Standards Source'!C68,"H:MM:SS"))</f>
        <v>16:09</v>
      </c>
      <c r="K67" s="57" t="str">
        <f>IF('All Tandem Standards Source'!G68&lt;1/24,TEXT('All Tandem Standards Source'!G68,"M:SS"),TEXT('All Tandem Standards Source'!G68,"H:MM:SS"))</f>
        <v>24:20</v>
      </c>
      <c r="L67" s="57" t="str">
        <f>IF('All Tandem Standards Source'!K68&lt;1/24,TEXT('All Tandem Standards Source'!K68,"M:SS"),TEXT('All Tandem Standards Source'!K68,"H:MM:SS"))</f>
        <v>40:57</v>
      </c>
      <c r="M67" s="57" t="str">
        <f>IF('All Tandem Standards Source'!O68&lt;1/24,TEXT('All Tandem Standards Source'!O68,"M:SS"),TEXT('All Tandem Standards Source'!O68,"H:MM:SS"))</f>
        <v>49:23</v>
      </c>
      <c r="N67" s="57" t="str">
        <f>IF('All Tandem Standards Source'!S68&lt;1/24,TEXT('All Tandem Standards Source'!S68,"M:SS"),TEXT('All Tandem Standards Source'!S68,"H:MM:SS"))</f>
        <v>1:23:58</v>
      </c>
      <c r="O67" s="57" t="str">
        <f>IF('All Tandem Standards Source'!W68&lt;1/24,TEXT('All Tandem Standards Source'!W68,"M:SS"),TEXT('All Tandem Standards Source'!W68,"H:MM:SS"))</f>
        <v>2:57:00</v>
      </c>
      <c r="P67" s="58" t="str">
        <f>TEXT('All Tandem Standards Source'!AA68,"0.00")</f>
        <v>71.26</v>
      </c>
      <c r="Q67" s="58" t="str">
        <f>TEXT('All Tandem Standards Source'!AE68,"0.00")</f>
        <v>113.14</v>
      </c>
      <c r="R67" s="50" t="str">
        <f>IF('All Tandem Standards Source'!D68&lt;1/24,TEXT('All Tandem Standards Source'!D68,"M:SS"),TEXT('All Tandem Standards Source'!D68,"H:MM:SS"))</f>
        <v>15:47</v>
      </c>
      <c r="S67" s="50" t="str">
        <f>IF('All Tandem Standards Source'!H68&lt;1/24,TEXT('All Tandem Standards Source'!H68,"M:SS"),TEXT('All Tandem Standards Source'!H68,"H:MM:SS"))</f>
        <v>23:47</v>
      </c>
      <c r="T67" s="50" t="str">
        <f>IF('All Tandem Standards Source'!L68&lt;1/24,TEXT('All Tandem Standards Source'!L68,"M:SS"),TEXT('All Tandem Standards Source'!L68,"H:MM:SS"))</f>
        <v>40:01</v>
      </c>
      <c r="U67" s="50" t="str">
        <f>IF('All Tandem Standards Source'!P68&lt;1/24,TEXT('All Tandem Standards Source'!P68,"M:SS"),TEXT('All Tandem Standards Source'!P68,"H:MM:SS"))</f>
        <v>48:16</v>
      </c>
      <c r="V67" s="50" t="str">
        <f>IF('All Tandem Standards Source'!T68&lt;1/24,TEXT('All Tandem Standards Source'!T68,"M:SS"),TEXT('All Tandem Standards Source'!T68,"H:MM:SS"))</f>
        <v>1:22:03</v>
      </c>
      <c r="W67" s="50" t="str">
        <f>IF('All Tandem Standards Source'!X68&lt;1/24,TEXT('All Tandem Standards Source'!X68,"M:SS"),TEXT('All Tandem Standards Source'!X68,"H:MM:SS"))</f>
        <v>2:52:58</v>
      </c>
      <c r="X67" s="51" t="str">
        <f>TEXT('All Tandem Standards Source'!AB68,"0.00")</f>
        <v>73.63</v>
      </c>
      <c r="Y67" s="51" t="str">
        <f>TEXT('All Tandem Standards Source'!AF68,"0.00")</f>
        <v>116.10</v>
      </c>
      <c r="Z67" s="55" t="str">
        <f>IF('All Tandem Standards Source'!E68&lt;1/24,TEXT('All Tandem Standards Source'!E68,"M:SS"),TEXT('All Tandem Standards Source'!E68,"H:MM:SS"))</f>
        <v>17:24</v>
      </c>
      <c r="AA67" s="55" t="str">
        <f>IF('All Tandem Standards Source'!I68&lt;1/24,TEXT('All Tandem Standards Source'!I68,"M:SS"),TEXT('All Tandem Standards Source'!I68,"H:MM:SS"))</f>
        <v>26:13</v>
      </c>
      <c r="AB67" s="55" t="str">
        <f>IF('All Tandem Standards Source'!M68&lt;1/24,TEXT('All Tandem Standards Source'!M68,"M:SS"),TEXT('All Tandem Standards Source'!M68,"H:MM:SS"))</f>
        <v>44:08</v>
      </c>
      <c r="AC67" s="55" t="str">
        <f>IF('All Tandem Standards Source'!Q68&lt;1/24,TEXT('All Tandem Standards Source'!Q68,"M:SS"),TEXT('All Tandem Standards Source'!Q68,"H:MM:SS"))</f>
        <v>53:13</v>
      </c>
      <c r="AD67" s="55" t="str">
        <f>IF('All Tandem Standards Source'!U68&lt;1/24,TEXT('All Tandem Standards Source'!U68,"M:SS"),TEXT('All Tandem Standards Source'!U68,"H:MM:SS"))</f>
        <v>1:30:30</v>
      </c>
      <c r="AE67" s="55" t="str">
        <f>IF('All Tandem Standards Source'!Y68&lt;1/24,TEXT('All Tandem Standards Source'!Y68,"M:SS"),TEXT('All Tandem Standards Source'!Y68,"H:MM:SS"))</f>
        <v>3:10:50</v>
      </c>
      <c r="AF67" s="56" t="str">
        <f>TEXT('All Tandem Standards Source'!AC68,"0.00")</f>
        <v>63.86</v>
      </c>
      <c r="AG67" s="56" t="str">
        <f>TEXT('All Tandem Standards Source'!AG68,"0.00")</f>
        <v>103.70</v>
      </c>
    </row>
    <row r="68" spans="1:33" x14ac:dyDescent="0.25">
      <c r="A68" s="17">
        <v>75</v>
      </c>
      <c r="B68" s="53" t="str">
        <f>IF('All Tandem Standards Source'!B69&lt;1/24,TEXT('All Tandem Standards Source'!B69,"M:SS"),TEXT('All Tandem Standards Source'!B69,"H:MM:SS"))</f>
        <v>14:47</v>
      </c>
      <c r="C68" s="53" t="str">
        <f>IF('All Tandem Standards Source'!F69&lt;1/24,TEXT('All Tandem Standards Source'!F69,"M:SS"),TEXT('All Tandem Standards Source'!F69,"H:MM:SS"))</f>
        <v>22:17</v>
      </c>
      <c r="D68" s="53" t="str">
        <f>IF('All Tandem Standards Source'!J69&lt;1/24,TEXT('All Tandem Standards Source'!J69,"M:SS"),TEXT('All Tandem Standards Source'!J69,"H:MM:SS"))</f>
        <v>37:31</v>
      </c>
      <c r="E68" s="53" t="str">
        <f>IF('All Tandem Standards Source'!N69&lt;1/24,TEXT('All Tandem Standards Source'!N69,"M:SS"),TEXT('All Tandem Standards Source'!N69,"H:MM:SS"))</f>
        <v>45:14</v>
      </c>
      <c r="F68" s="53" t="str">
        <f>IF('All Tandem Standards Source'!R69&lt;1/24,TEXT('All Tandem Standards Source'!R69,"M:SS"),TEXT('All Tandem Standards Source'!R69,"H:MM:SS"))</f>
        <v>1:16:56</v>
      </c>
      <c r="G68" s="53" t="str">
        <f>IF('All Tandem Standards Source'!V69&lt;1/24,TEXT('All Tandem Standards Source'!V69,"M:SS"),TEXT('All Tandem Standards Source'!V69,"H:MM:SS"))</f>
        <v>2:42:19</v>
      </c>
      <c r="H68" s="54" t="str">
        <f>TEXT('All Tandem Standards Source'!Z69,"0.00")</f>
        <v>79.97</v>
      </c>
      <c r="I68" s="54" t="str">
        <f>TEXT('All Tandem Standards Source'!AD69,"0.00")</f>
        <v>122.73</v>
      </c>
      <c r="J68" s="57" t="str">
        <f>IF('All Tandem Standards Source'!C69&lt;1/24,TEXT('All Tandem Standards Source'!C69,"M:SS"),TEXT('All Tandem Standards Source'!C69,"H:MM:SS"))</f>
        <v>16:17</v>
      </c>
      <c r="K68" s="57" t="str">
        <f>IF('All Tandem Standards Source'!G69&lt;1/24,TEXT('All Tandem Standards Source'!G69,"M:SS"),TEXT('All Tandem Standards Source'!G69,"H:MM:SS"))</f>
        <v>24:32</v>
      </c>
      <c r="L68" s="57" t="str">
        <f>IF('All Tandem Standards Source'!K69&lt;1/24,TEXT('All Tandem Standards Source'!K69,"M:SS"),TEXT('All Tandem Standards Source'!K69,"H:MM:SS"))</f>
        <v>41:18</v>
      </c>
      <c r="M68" s="57" t="str">
        <f>IF('All Tandem Standards Source'!O69&lt;1/24,TEXT('All Tandem Standards Source'!O69,"M:SS"),TEXT('All Tandem Standards Source'!O69,"H:MM:SS"))</f>
        <v>49:49</v>
      </c>
      <c r="N68" s="57" t="str">
        <f>IF('All Tandem Standards Source'!S69&lt;1/24,TEXT('All Tandem Standards Source'!S69,"M:SS"),TEXT('All Tandem Standards Source'!S69,"H:MM:SS"))</f>
        <v>1:24:44</v>
      </c>
      <c r="O68" s="57" t="str">
        <f>IF('All Tandem Standards Source'!W69&lt;1/24,TEXT('All Tandem Standards Source'!W69,"M:SS"),TEXT('All Tandem Standards Source'!W69,"H:MM:SS"))</f>
        <v>2:58:49</v>
      </c>
      <c r="P68" s="58" t="str">
        <f>TEXT('All Tandem Standards Source'!AA69,"0.00")</f>
        <v>69.90</v>
      </c>
      <c r="Q68" s="58" t="str">
        <f>TEXT('All Tandem Standards Source'!AE69,"0.00")</f>
        <v>110.53</v>
      </c>
      <c r="R68" s="50" t="str">
        <f>IF('All Tandem Standards Source'!D69&lt;1/24,TEXT('All Tandem Standards Source'!D69,"M:SS"),TEXT('All Tandem Standards Source'!D69,"H:MM:SS"))</f>
        <v>15:55</v>
      </c>
      <c r="S68" s="50" t="str">
        <f>IF('All Tandem Standards Source'!H69&lt;1/24,TEXT('All Tandem Standards Source'!H69,"M:SS"),TEXT('All Tandem Standards Source'!H69,"H:MM:SS"))</f>
        <v>23:59</v>
      </c>
      <c r="T68" s="50" t="str">
        <f>IF('All Tandem Standards Source'!L69&lt;1/24,TEXT('All Tandem Standards Source'!L69,"M:SS"),TEXT('All Tandem Standards Source'!L69,"H:MM:SS"))</f>
        <v>40:22</v>
      </c>
      <c r="U68" s="50" t="str">
        <f>IF('All Tandem Standards Source'!P69&lt;1/24,TEXT('All Tandem Standards Source'!P69,"M:SS"),TEXT('All Tandem Standards Source'!P69,"H:MM:SS"))</f>
        <v>48:41</v>
      </c>
      <c r="V68" s="50" t="str">
        <f>IF('All Tandem Standards Source'!T69&lt;1/24,TEXT('All Tandem Standards Source'!T69,"M:SS"),TEXT('All Tandem Standards Source'!T69,"H:MM:SS"))</f>
        <v>1:22:48</v>
      </c>
      <c r="W68" s="50" t="str">
        <f>IF('All Tandem Standards Source'!X69&lt;1/24,TEXT('All Tandem Standards Source'!X69,"M:SS"),TEXT('All Tandem Standards Source'!X69,"H:MM:SS"))</f>
        <v>2:54:44</v>
      </c>
      <c r="X68" s="51" t="str">
        <f>TEXT('All Tandem Standards Source'!AB69,"0.00")</f>
        <v>72.23</v>
      </c>
      <c r="Y68" s="51" t="str">
        <f>TEXT('All Tandem Standards Source'!AF69,"0.00")</f>
        <v>113.42</v>
      </c>
      <c r="Z68" s="55" t="str">
        <f>IF('All Tandem Standards Source'!E69&lt;1/24,TEXT('All Tandem Standards Source'!E69,"M:SS"),TEXT('All Tandem Standards Source'!E69,"H:MM:SS"))</f>
        <v>17:33</v>
      </c>
      <c r="AA68" s="55" t="str">
        <f>IF('All Tandem Standards Source'!I69&lt;1/24,TEXT('All Tandem Standards Source'!I69,"M:SS"),TEXT('All Tandem Standards Source'!I69,"H:MM:SS"))</f>
        <v>26:27</v>
      </c>
      <c r="AB68" s="55" t="str">
        <f>IF('All Tandem Standards Source'!M69&lt;1/24,TEXT('All Tandem Standards Source'!M69,"M:SS"),TEXT('All Tandem Standards Source'!M69,"H:MM:SS"))</f>
        <v>44:31</v>
      </c>
      <c r="AC68" s="55" t="str">
        <f>IF('All Tandem Standards Source'!Q69&lt;1/24,TEXT('All Tandem Standards Source'!Q69,"M:SS"),TEXT('All Tandem Standards Source'!Q69,"H:MM:SS"))</f>
        <v>53:41</v>
      </c>
      <c r="AD68" s="55" t="str">
        <f>IF('All Tandem Standards Source'!U69&lt;1/24,TEXT('All Tandem Standards Source'!U69,"M:SS"),TEXT('All Tandem Standards Source'!U69,"H:MM:SS"))</f>
        <v>1:31:20</v>
      </c>
      <c r="AE68" s="55" t="str">
        <f>IF('All Tandem Standards Source'!Y69&lt;1/24,TEXT('All Tandem Standards Source'!Y69,"M:SS"),TEXT('All Tandem Standards Source'!Y69,"H:MM:SS"))</f>
        <v>3:12:49</v>
      </c>
      <c r="AF68" s="56" t="str">
        <f>TEXT('All Tandem Standards Source'!AC69,"0.00")</f>
        <v>62.61</v>
      </c>
      <c r="AG68" s="56" t="str">
        <f>TEXT('All Tandem Standards Source'!AG69,"0.00")</f>
        <v>101.29</v>
      </c>
    </row>
    <row r="69" spans="1:33" x14ac:dyDescent="0.25">
      <c r="A69" s="17">
        <v>76</v>
      </c>
      <c r="B69" s="53" t="str">
        <f>IF('All Tandem Standards Source'!B70&lt;1/24,TEXT('All Tandem Standards Source'!B70,"M:SS"),TEXT('All Tandem Standards Source'!B70,"H:MM:SS"))</f>
        <v>14:55</v>
      </c>
      <c r="C69" s="53" t="str">
        <f>IF('All Tandem Standards Source'!F70&lt;1/24,TEXT('All Tandem Standards Source'!F70,"M:SS"),TEXT('All Tandem Standards Source'!F70,"H:MM:SS"))</f>
        <v>22:29</v>
      </c>
      <c r="D69" s="53" t="str">
        <f>IF('All Tandem Standards Source'!J70&lt;1/24,TEXT('All Tandem Standards Source'!J70,"M:SS"),TEXT('All Tandem Standards Source'!J70,"H:MM:SS"))</f>
        <v>37:50</v>
      </c>
      <c r="E69" s="53" t="str">
        <f>IF('All Tandem Standards Source'!N70&lt;1/24,TEXT('All Tandem Standards Source'!N70,"M:SS"),TEXT('All Tandem Standards Source'!N70,"H:MM:SS"))</f>
        <v>45:38</v>
      </c>
      <c r="F69" s="53" t="str">
        <f>IF('All Tandem Standards Source'!R70&lt;1/24,TEXT('All Tandem Standards Source'!R70,"M:SS"),TEXT('All Tandem Standards Source'!R70,"H:MM:SS"))</f>
        <v>1:17:39</v>
      </c>
      <c r="G69" s="53" t="str">
        <f>IF('All Tandem Standards Source'!V70&lt;1/24,TEXT('All Tandem Standards Source'!V70,"M:SS"),TEXT('All Tandem Standards Source'!V70,"H:MM:SS"))</f>
        <v>2:44:00</v>
      </c>
      <c r="H69" s="54" t="str">
        <f>TEXT('All Tandem Standards Source'!Z70,"0.00")</f>
        <v>78.41</v>
      </c>
      <c r="I69" s="54" t="str">
        <f>TEXT('All Tandem Standards Source'!AD70,"0.00")</f>
        <v>119.77</v>
      </c>
      <c r="J69" s="57" t="str">
        <f>IF('All Tandem Standards Source'!C70&lt;1/24,TEXT('All Tandem Standards Source'!C70,"M:SS"),TEXT('All Tandem Standards Source'!C70,"H:MM:SS"))</f>
        <v>16:25</v>
      </c>
      <c r="K69" s="57" t="str">
        <f>IF('All Tandem Standards Source'!G70&lt;1/24,TEXT('All Tandem Standards Source'!G70,"M:SS"),TEXT('All Tandem Standards Source'!G70,"H:MM:SS"))</f>
        <v>24:45</v>
      </c>
      <c r="L69" s="57" t="str">
        <f>IF('All Tandem Standards Source'!K70&lt;1/24,TEXT('All Tandem Standards Source'!K70,"M:SS"),TEXT('All Tandem Standards Source'!K70,"H:MM:SS"))</f>
        <v>41:40</v>
      </c>
      <c r="M69" s="57" t="str">
        <f>IF('All Tandem Standards Source'!O70&lt;1/24,TEXT('All Tandem Standards Source'!O70,"M:SS"),TEXT('All Tandem Standards Source'!O70,"H:MM:SS"))</f>
        <v>50:16</v>
      </c>
      <c r="N69" s="57" t="str">
        <f>IF('All Tandem Standards Source'!S70&lt;1/24,TEXT('All Tandem Standards Source'!S70,"M:SS"),TEXT('All Tandem Standards Source'!S70,"H:MM:SS"))</f>
        <v>1:25:32</v>
      </c>
      <c r="O69" s="57" t="str">
        <f>IF('All Tandem Standards Source'!W70&lt;1/24,TEXT('All Tandem Standards Source'!W70,"M:SS"),TEXT('All Tandem Standards Source'!W70,"H:MM:SS"))</f>
        <v>3:00:44</v>
      </c>
      <c r="P69" s="58" t="str">
        <f>TEXT('All Tandem Standards Source'!AA70,"0.00")</f>
        <v>68.51</v>
      </c>
      <c r="Q69" s="58" t="str">
        <f>TEXT('All Tandem Standards Source'!AE70,"0.00")</f>
        <v>107.86</v>
      </c>
      <c r="R69" s="50" t="str">
        <f>IF('All Tandem Standards Source'!D70&lt;1/24,TEXT('All Tandem Standards Source'!D70,"M:SS"),TEXT('All Tandem Standards Source'!D70,"H:MM:SS"))</f>
        <v>16:03</v>
      </c>
      <c r="S69" s="50" t="str">
        <f>IF('All Tandem Standards Source'!H70&lt;1/24,TEXT('All Tandem Standards Source'!H70,"M:SS"),TEXT('All Tandem Standards Source'!H70,"H:MM:SS"))</f>
        <v>24:11</v>
      </c>
      <c r="T69" s="50" t="str">
        <f>IF('All Tandem Standards Source'!L70&lt;1/24,TEXT('All Tandem Standards Source'!L70,"M:SS"),TEXT('All Tandem Standards Source'!L70,"H:MM:SS"))</f>
        <v>40:43</v>
      </c>
      <c r="U69" s="50" t="str">
        <f>IF('All Tandem Standards Source'!P70&lt;1/24,TEXT('All Tandem Standards Source'!P70,"M:SS"),TEXT('All Tandem Standards Source'!P70,"H:MM:SS"))</f>
        <v>49:07</v>
      </c>
      <c r="V69" s="50" t="str">
        <f>IF('All Tandem Standards Source'!T70&lt;1/24,TEXT('All Tandem Standards Source'!T70,"M:SS"),TEXT('All Tandem Standards Source'!T70,"H:MM:SS"))</f>
        <v>1:23:35</v>
      </c>
      <c r="W69" s="50" t="str">
        <f>IF('All Tandem Standards Source'!X70&lt;1/24,TEXT('All Tandem Standards Source'!X70,"M:SS"),TEXT('All Tandem Standards Source'!X70,"H:MM:SS"))</f>
        <v>2:56:35</v>
      </c>
      <c r="X69" s="51" t="str">
        <f>TEXT('All Tandem Standards Source'!AB70,"0.00")</f>
        <v>70.81</v>
      </c>
      <c r="Y69" s="51" t="str">
        <f>TEXT('All Tandem Standards Source'!AF70,"0.00")</f>
        <v>110.69</v>
      </c>
      <c r="Z69" s="55" t="str">
        <f>IF('All Tandem Standards Source'!E70&lt;1/24,TEXT('All Tandem Standards Source'!E70,"M:SS"),TEXT('All Tandem Standards Source'!E70,"H:MM:SS"))</f>
        <v>17:42</v>
      </c>
      <c r="AA69" s="55" t="str">
        <f>IF('All Tandem Standards Source'!I70&lt;1/24,TEXT('All Tandem Standards Source'!I70,"M:SS"),TEXT('All Tandem Standards Source'!I70,"H:MM:SS"))</f>
        <v>26:41</v>
      </c>
      <c r="AB69" s="55" t="str">
        <f>IF('All Tandem Standards Source'!M70&lt;1/24,TEXT('All Tandem Standards Source'!M70,"M:SS"),TEXT('All Tandem Standards Source'!M70,"H:MM:SS"))</f>
        <v>44:55</v>
      </c>
      <c r="AC69" s="55" t="str">
        <f>IF('All Tandem Standards Source'!Q70&lt;1/24,TEXT('All Tandem Standards Source'!Q70,"M:SS"),TEXT('All Tandem Standards Source'!Q70,"H:MM:SS"))</f>
        <v>54:11</v>
      </c>
      <c r="AD69" s="55" t="str">
        <f>IF('All Tandem Standards Source'!U70&lt;1/24,TEXT('All Tandem Standards Source'!U70,"M:SS"),TEXT('All Tandem Standards Source'!U70,"H:MM:SS"))</f>
        <v>1:32:13</v>
      </c>
      <c r="AE69" s="55" t="str">
        <f>IF('All Tandem Standards Source'!Y70&lt;1/24,TEXT('All Tandem Standards Source'!Y70,"M:SS"),TEXT('All Tandem Standards Source'!Y70,"H:MM:SS"))</f>
        <v>3:14:54</v>
      </c>
      <c r="AF69" s="56" t="str">
        <f>TEXT('All Tandem Standards Source'!AC70,"0.00")</f>
        <v>61.34</v>
      </c>
      <c r="AG69" s="56" t="str">
        <f>TEXT('All Tandem Standards Source'!AG70,"0.00")</f>
        <v>98.84</v>
      </c>
    </row>
    <row r="70" spans="1:33" x14ac:dyDescent="0.25">
      <c r="A70" s="17">
        <v>77</v>
      </c>
      <c r="B70" s="53" t="str">
        <f>IF('All Tandem Standards Source'!B71&lt;1/24,TEXT('All Tandem Standards Source'!B71,"M:SS"),TEXT('All Tandem Standards Source'!B71,"H:MM:SS"))</f>
        <v>15:02</v>
      </c>
      <c r="C70" s="53" t="str">
        <f>IF('All Tandem Standards Source'!F71&lt;1/24,TEXT('All Tandem Standards Source'!F71,"M:SS"),TEXT('All Tandem Standards Source'!F71,"H:MM:SS"))</f>
        <v>22:40</v>
      </c>
      <c r="D70" s="53" t="str">
        <f>IF('All Tandem Standards Source'!J71&lt;1/24,TEXT('All Tandem Standards Source'!J71,"M:SS"),TEXT('All Tandem Standards Source'!J71,"H:MM:SS"))</f>
        <v>38:11</v>
      </c>
      <c r="E70" s="53" t="str">
        <f>IF('All Tandem Standards Source'!N71&lt;1/24,TEXT('All Tandem Standards Source'!N71,"M:SS"),TEXT('All Tandem Standards Source'!N71,"H:MM:SS"))</f>
        <v>46:03</v>
      </c>
      <c r="F70" s="53" t="str">
        <f>IF('All Tandem Standards Source'!R71&lt;1/24,TEXT('All Tandem Standards Source'!R71,"M:SS"),TEXT('All Tandem Standards Source'!R71,"H:MM:SS"))</f>
        <v>1:18:24</v>
      </c>
      <c r="G70" s="53" t="str">
        <f>IF('All Tandem Standards Source'!V71&lt;1/24,TEXT('All Tandem Standards Source'!V71,"M:SS"),TEXT('All Tandem Standards Source'!V71,"H:MM:SS"))</f>
        <v>2:45:47</v>
      </c>
      <c r="H70" s="54" t="str">
        <f>TEXT('All Tandem Standards Source'!Z71,"0.00")</f>
        <v>76.83</v>
      </c>
      <c r="I70" s="54" t="str">
        <f>TEXT('All Tandem Standards Source'!AD71,"0.00")</f>
        <v>116.77</v>
      </c>
      <c r="J70" s="57" t="str">
        <f>IF('All Tandem Standards Source'!C71&lt;1/24,TEXT('All Tandem Standards Source'!C71,"M:SS"),TEXT('All Tandem Standards Source'!C71,"H:MM:SS"))</f>
        <v>16:34</v>
      </c>
      <c r="K70" s="57" t="str">
        <f>IF('All Tandem Standards Source'!G71&lt;1/24,TEXT('All Tandem Standards Source'!G71,"M:SS"),TEXT('All Tandem Standards Source'!G71,"H:MM:SS"))</f>
        <v>24:59</v>
      </c>
      <c r="L70" s="57" t="str">
        <f>IF('All Tandem Standards Source'!K71&lt;1/24,TEXT('All Tandem Standards Source'!K71,"M:SS"),TEXT('All Tandem Standards Source'!K71,"H:MM:SS"))</f>
        <v>42:03</v>
      </c>
      <c r="M70" s="57" t="str">
        <f>IF('All Tandem Standards Source'!O71&lt;1/24,TEXT('All Tandem Standards Source'!O71,"M:SS"),TEXT('All Tandem Standards Source'!O71,"H:MM:SS"))</f>
        <v>50:44</v>
      </c>
      <c r="N70" s="57" t="str">
        <f>IF('All Tandem Standards Source'!S71&lt;1/24,TEXT('All Tandem Standards Source'!S71,"M:SS"),TEXT('All Tandem Standards Source'!S71,"H:MM:SS"))</f>
        <v>1:26:22</v>
      </c>
      <c r="O70" s="57" t="str">
        <f>IF('All Tandem Standards Source'!W71&lt;1/24,TEXT('All Tandem Standards Source'!W71,"M:SS"),TEXT('All Tandem Standards Source'!W71,"H:MM:SS"))</f>
        <v>3:02:44</v>
      </c>
      <c r="P70" s="58" t="str">
        <f>TEXT('All Tandem Standards Source'!AA71,"0.00")</f>
        <v>67.10</v>
      </c>
      <c r="Q70" s="58" t="str">
        <f>TEXT('All Tandem Standards Source'!AE71,"0.00")</f>
        <v>105.16</v>
      </c>
      <c r="R70" s="50" t="str">
        <f>IF('All Tandem Standards Source'!D71&lt;1/24,TEXT('All Tandem Standards Source'!D71,"M:SS"),TEXT('All Tandem Standards Source'!D71,"H:MM:SS"))</f>
        <v>16:11</v>
      </c>
      <c r="S70" s="50" t="str">
        <f>IF('All Tandem Standards Source'!H71&lt;1/24,TEXT('All Tandem Standards Source'!H71,"M:SS"),TEXT('All Tandem Standards Source'!H71,"H:MM:SS"))</f>
        <v>24:24</v>
      </c>
      <c r="T70" s="50" t="str">
        <f>IF('All Tandem Standards Source'!L71&lt;1/24,TEXT('All Tandem Standards Source'!L71,"M:SS"),TEXT('All Tandem Standards Source'!L71,"H:MM:SS"))</f>
        <v>41:06</v>
      </c>
      <c r="U70" s="50" t="str">
        <f>IF('All Tandem Standards Source'!P71&lt;1/24,TEXT('All Tandem Standards Source'!P71,"M:SS"),TEXT('All Tandem Standards Source'!P71,"H:MM:SS"))</f>
        <v>49:34</v>
      </c>
      <c r="V70" s="50" t="str">
        <f>IF('All Tandem Standards Source'!T71&lt;1/24,TEXT('All Tandem Standards Source'!T71,"M:SS"),TEXT('All Tandem Standards Source'!T71,"H:MM:SS"))</f>
        <v>1:24:23</v>
      </c>
      <c r="W70" s="50" t="str">
        <f>IF('All Tandem Standards Source'!X71&lt;1/24,TEXT('All Tandem Standards Source'!X71,"M:SS"),TEXT('All Tandem Standards Source'!X71,"H:MM:SS"))</f>
        <v>2:58:31</v>
      </c>
      <c r="X70" s="51" t="str">
        <f>TEXT('All Tandem Standards Source'!AB71,"0.00")</f>
        <v>69.36</v>
      </c>
      <c r="Y70" s="51" t="str">
        <f>TEXT('All Tandem Standards Source'!AF71,"0.00")</f>
        <v>107.91</v>
      </c>
      <c r="Z70" s="55" t="str">
        <f>IF('All Tandem Standards Source'!E71&lt;1/24,TEXT('All Tandem Standards Source'!E71,"M:SS"),TEXT('All Tandem Standards Source'!E71,"H:MM:SS"))</f>
        <v>17:51</v>
      </c>
      <c r="AA70" s="55" t="str">
        <f>IF('All Tandem Standards Source'!I71&lt;1/24,TEXT('All Tandem Standards Source'!I71,"M:SS"),TEXT('All Tandem Standards Source'!I71,"H:MM:SS"))</f>
        <v>26:56</v>
      </c>
      <c r="AB70" s="55" t="str">
        <f>IF('All Tandem Standards Source'!M71&lt;1/24,TEXT('All Tandem Standards Source'!M71,"M:SS"),TEXT('All Tandem Standards Source'!M71,"H:MM:SS"))</f>
        <v>45:21</v>
      </c>
      <c r="AC70" s="55" t="str">
        <f>IF('All Tandem Standards Source'!Q71&lt;1/24,TEXT('All Tandem Standards Source'!Q71,"M:SS"),TEXT('All Tandem Standards Source'!Q71,"H:MM:SS"))</f>
        <v>54:42</v>
      </c>
      <c r="AD70" s="55" t="str">
        <f>IF('All Tandem Standards Source'!U71&lt;1/24,TEXT('All Tandem Standards Source'!U71,"M:SS"),TEXT('All Tandem Standards Source'!U71,"H:MM:SS"))</f>
        <v>1:33:08</v>
      </c>
      <c r="AE70" s="55" t="str">
        <f>IF('All Tandem Standards Source'!Y71&lt;1/24,TEXT('All Tandem Standards Source'!Y71,"M:SS"),TEXT('All Tandem Standards Source'!Y71,"H:MM:SS"))</f>
        <v>3:17:06</v>
      </c>
      <c r="AF70" s="56" t="str">
        <f>TEXT('All Tandem Standards Source'!AC71,"0.00")</f>
        <v>60.05</v>
      </c>
      <c r="AG70" s="56" t="str">
        <f>TEXT('All Tandem Standards Source'!AG71,"0.00")</f>
        <v>96.35</v>
      </c>
    </row>
    <row r="71" spans="1:33" x14ac:dyDescent="0.25">
      <c r="A71" s="17">
        <v>78</v>
      </c>
      <c r="B71" s="53" t="str">
        <f>IF('All Tandem Standards Source'!B72&lt;1/24,TEXT('All Tandem Standards Source'!B72,"M:SS"),TEXT('All Tandem Standards Source'!B72,"H:MM:SS"))</f>
        <v>15:11</v>
      </c>
      <c r="C71" s="53" t="str">
        <f>IF('All Tandem Standards Source'!F72&lt;1/24,TEXT('All Tandem Standards Source'!F72,"M:SS"),TEXT('All Tandem Standards Source'!F72,"H:MM:SS"))</f>
        <v>22:53</v>
      </c>
      <c r="D71" s="53" t="str">
        <f>IF('All Tandem Standards Source'!J72&lt;1/24,TEXT('All Tandem Standards Source'!J72,"M:SS"),TEXT('All Tandem Standards Source'!J72,"H:MM:SS"))</f>
        <v>38:32</v>
      </c>
      <c r="E71" s="53" t="str">
        <f>IF('All Tandem Standards Source'!N72&lt;1/24,TEXT('All Tandem Standards Source'!N72,"M:SS"),TEXT('All Tandem Standards Source'!N72,"H:MM:SS"))</f>
        <v>46:29</v>
      </c>
      <c r="F71" s="53" t="str">
        <f>IF('All Tandem Standards Source'!R72&lt;1/24,TEXT('All Tandem Standards Source'!R72,"M:SS"),TEXT('All Tandem Standards Source'!R72,"H:MM:SS"))</f>
        <v>1:19:10</v>
      </c>
      <c r="G71" s="53" t="str">
        <f>IF('All Tandem Standards Source'!V72&lt;1/24,TEXT('All Tandem Standards Source'!V72,"M:SS"),TEXT('All Tandem Standards Source'!V72,"H:MM:SS"))</f>
        <v>2:47:38</v>
      </c>
      <c r="H71" s="54" t="str">
        <f>TEXT('All Tandem Standards Source'!Z72,"0.00")</f>
        <v>75.21</v>
      </c>
      <c r="I71" s="54" t="str">
        <f>TEXT('All Tandem Standards Source'!AD72,"0.00")</f>
        <v>113.71</v>
      </c>
      <c r="J71" s="57" t="str">
        <f>IF('All Tandem Standards Source'!C72&lt;1/24,TEXT('All Tandem Standards Source'!C72,"M:SS"),TEXT('All Tandem Standards Source'!C72,"H:MM:SS"))</f>
        <v>16:43</v>
      </c>
      <c r="K71" s="57" t="str">
        <f>IF('All Tandem Standards Source'!G72&lt;1/24,TEXT('All Tandem Standards Source'!G72,"M:SS"),TEXT('All Tandem Standards Source'!G72,"H:MM:SS"))</f>
        <v>25:12</v>
      </c>
      <c r="L71" s="57" t="str">
        <f>IF('All Tandem Standards Source'!K72&lt;1/24,TEXT('All Tandem Standards Source'!K72,"M:SS"),TEXT('All Tandem Standards Source'!K72,"H:MM:SS"))</f>
        <v>42:27</v>
      </c>
      <c r="M71" s="57" t="str">
        <f>IF('All Tandem Standards Source'!O72&lt;1/24,TEXT('All Tandem Standards Source'!O72,"M:SS"),TEXT('All Tandem Standards Source'!O72,"H:MM:SS"))</f>
        <v>51:13</v>
      </c>
      <c r="N71" s="57" t="str">
        <f>IF('All Tandem Standards Source'!S72&lt;1/24,TEXT('All Tandem Standards Source'!S72,"M:SS"),TEXT('All Tandem Standards Source'!S72,"H:MM:SS"))</f>
        <v>1:27:14</v>
      </c>
      <c r="O71" s="57" t="str">
        <f>IF('All Tandem Standards Source'!W72&lt;1/24,TEXT('All Tandem Standards Source'!W72,"M:SS"),TEXT('All Tandem Standards Source'!W72,"H:MM:SS"))</f>
        <v>3:04:50</v>
      </c>
      <c r="P71" s="58" t="str">
        <f>TEXT('All Tandem Standards Source'!AA72,"0.00")</f>
        <v>65.66</v>
      </c>
      <c r="Q71" s="58" t="str">
        <f>TEXT('All Tandem Standards Source'!AE72,"0.00")</f>
        <v>102.41</v>
      </c>
      <c r="R71" s="50" t="str">
        <f>IF('All Tandem Standards Source'!D72&lt;1/24,TEXT('All Tandem Standards Source'!D72,"M:SS"),TEXT('All Tandem Standards Source'!D72,"H:MM:SS"))</f>
        <v>16:20</v>
      </c>
      <c r="S71" s="50" t="str">
        <f>IF('All Tandem Standards Source'!H72&lt;1/24,TEXT('All Tandem Standards Source'!H72,"M:SS"),TEXT('All Tandem Standards Source'!H72,"H:MM:SS"))</f>
        <v>24:38</v>
      </c>
      <c r="T71" s="50" t="str">
        <f>IF('All Tandem Standards Source'!L72&lt;1/24,TEXT('All Tandem Standards Source'!L72,"M:SS"),TEXT('All Tandem Standards Source'!L72,"H:MM:SS"))</f>
        <v>41:29</v>
      </c>
      <c r="U71" s="50" t="str">
        <f>IF('All Tandem Standards Source'!P72&lt;1/24,TEXT('All Tandem Standards Source'!P72,"M:SS"),TEXT('All Tandem Standards Source'!P72,"H:MM:SS"))</f>
        <v>50:03</v>
      </c>
      <c r="V71" s="50" t="str">
        <f>IF('All Tandem Standards Source'!T72&lt;1/24,TEXT('All Tandem Standards Source'!T72,"M:SS"),TEXT('All Tandem Standards Source'!T72,"H:MM:SS"))</f>
        <v>1:25:14</v>
      </c>
      <c r="W71" s="50" t="str">
        <f>IF('All Tandem Standards Source'!X72&lt;1/24,TEXT('All Tandem Standards Source'!X72,"M:SS"),TEXT('All Tandem Standards Source'!X72,"H:MM:SS"))</f>
        <v>3:00:34</v>
      </c>
      <c r="X71" s="51" t="str">
        <f>TEXT('All Tandem Standards Source'!AB72,"0.00")</f>
        <v>67.88</v>
      </c>
      <c r="Y71" s="51" t="str">
        <f>TEXT('All Tandem Standards Source'!AF72,"0.00")</f>
        <v>105.09</v>
      </c>
      <c r="Z71" s="55" t="str">
        <f>IF('All Tandem Standards Source'!E72&lt;1/24,TEXT('All Tandem Standards Source'!E72,"M:SS"),TEXT('All Tandem Standards Source'!E72,"H:MM:SS"))</f>
        <v>18:01</v>
      </c>
      <c r="AA71" s="55" t="str">
        <f>IF('All Tandem Standards Source'!I72&lt;1/24,TEXT('All Tandem Standards Source'!I72,"M:SS"),TEXT('All Tandem Standards Source'!I72,"H:MM:SS"))</f>
        <v>27:11</v>
      </c>
      <c r="AB71" s="55" t="str">
        <f>IF('All Tandem Standards Source'!M72&lt;1/24,TEXT('All Tandem Standards Source'!M72,"M:SS"),TEXT('All Tandem Standards Source'!M72,"H:MM:SS"))</f>
        <v>45:47</v>
      </c>
      <c r="AC71" s="55" t="str">
        <f>IF('All Tandem Standards Source'!Q72&lt;1/24,TEXT('All Tandem Standards Source'!Q72,"M:SS"),TEXT('All Tandem Standards Source'!Q72,"H:MM:SS"))</f>
        <v>55:14</v>
      </c>
      <c r="AD71" s="55" t="str">
        <f>IF('All Tandem Standards Source'!U72&lt;1/24,TEXT('All Tandem Standards Source'!U72,"M:SS"),TEXT('All Tandem Standards Source'!U72,"H:MM:SS"))</f>
        <v>1:34:05</v>
      </c>
      <c r="AE71" s="55" t="str">
        <f>IF('All Tandem Standards Source'!Y72&lt;1/24,TEXT('All Tandem Standards Source'!Y72,"M:SS"),TEXT('All Tandem Standards Source'!Y72,"H:MM:SS"))</f>
        <v>3:19:24</v>
      </c>
      <c r="AF71" s="56" t="str">
        <f>TEXT('All Tandem Standards Source'!AC72,"0.00")</f>
        <v>58.73</v>
      </c>
      <c r="AG71" s="56" t="str">
        <f>TEXT('All Tandem Standards Source'!AG72,"0.00")</f>
        <v>93.82</v>
      </c>
    </row>
    <row r="72" spans="1:33" x14ac:dyDescent="0.25">
      <c r="A72" s="17">
        <v>79</v>
      </c>
      <c r="B72" s="53" t="str">
        <f>IF('All Tandem Standards Source'!B73&lt;1/24,TEXT('All Tandem Standards Source'!B73,"M:SS"),TEXT('All Tandem Standards Source'!B73,"H:MM:SS"))</f>
        <v>15:19</v>
      </c>
      <c r="C72" s="53" t="str">
        <f>IF('All Tandem Standards Source'!F73&lt;1/24,TEXT('All Tandem Standards Source'!F73,"M:SS"),TEXT('All Tandem Standards Source'!F73,"H:MM:SS"))</f>
        <v>23:06</v>
      </c>
      <c r="D72" s="53" t="str">
        <f>IF('All Tandem Standards Source'!J73&lt;1/24,TEXT('All Tandem Standards Source'!J73,"M:SS"),TEXT('All Tandem Standards Source'!J73,"H:MM:SS"))</f>
        <v>38:54</v>
      </c>
      <c r="E72" s="53" t="str">
        <f>IF('All Tandem Standards Source'!N73&lt;1/24,TEXT('All Tandem Standards Source'!N73,"M:SS"),TEXT('All Tandem Standards Source'!N73,"H:MM:SS"))</f>
        <v>46:56</v>
      </c>
      <c r="F72" s="53" t="str">
        <f>IF('All Tandem Standards Source'!R73&lt;1/24,TEXT('All Tandem Standards Source'!R73,"M:SS"),TEXT('All Tandem Standards Source'!R73,"H:MM:SS"))</f>
        <v>1:19:59</v>
      </c>
      <c r="G72" s="53" t="str">
        <f>IF('All Tandem Standards Source'!V73&lt;1/24,TEXT('All Tandem Standards Source'!V73,"M:SS"),TEXT('All Tandem Standards Source'!V73,"H:MM:SS"))</f>
        <v>2:49:36</v>
      </c>
      <c r="H72" s="54" t="str">
        <f>TEXT('All Tandem Standards Source'!Z73,"0.00")</f>
        <v>73.57</v>
      </c>
      <c r="I72" s="54" t="str">
        <f>TEXT('All Tandem Standards Source'!AD73,"0.00")</f>
        <v>110.62</v>
      </c>
      <c r="J72" s="57" t="str">
        <f>IF('All Tandem Standards Source'!C73&lt;1/24,TEXT('All Tandem Standards Source'!C73,"M:SS"),TEXT('All Tandem Standards Source'!C73,"H:MM:SS"))</f>
        <v>16:53</v>
      </c>
      <c r="K72" s="57" t="str">
        <f>IF('All Tandem Standards Source'!G73&lt;1/24,TEXT('All Tandem Standards Source'!G73,"M:SS"),TEXT('All Tandem Standards Source'!G73,"H:MM:SS"))</f>
        <v>25:27</v>
      </c>
      <c r="L72" s="57" t="str">
        <f>IF('All Tandem Standards Source'!K73&lt;1/24,TEXT('All Tandem Standards Source'!K73,"M:SS"),TEXT('All Tandem Standards Source'!K73,"H:MM:SS"))</f>
        <v>42:52</v>
      </c>
      <c r="M72" s="57" t="str">
        <f>IF('All Tandem Standards Source'!O73&lt;1/24,TEXT('All Tandem Standards Source'!O73,"M:SS"),TEXT('All Tandem Standards Source'!O73,"H:MM:SS"))</f>
        <v>51:44</v>
      </c>
      <c r="N72" s="57" t="str">
        <f>IF('All Tandem Standards Source'!S73&lt;1/24,TEXT('All Tandem Standards Source'!S73,"M:SS"),TEXT('All Tandem Standards Source'!S73,"H:MM:SS"))</f>
        <v>1:28:09</v>
      </c>
      <c r="O72" s="57" t="str">
        <f>IF('All Tandem Standards Source'!W73&lt;1/24,TEXT('All Tandem Standards Source'!W73,"M:SS"),TEXT('All Tandem Standards Source'!W73,"H:MM:SS"))</f>
        <v>3:07:02</v>
      </c>
      <c r="P72" s="58" t="str">
        <f>TEXT('All Tandem Standards Source'!AA73,"0.00")</f>
        <v>64.19</v>
      </c>
      <c r="Q72" s="58" t="str">
        <f>TEXT('All Tandem Standards Source'!AE73,"0.00")</f>
        <v>99.62</v>
      </c>
      <c r="R72" s="50" t="str">
        <f>IF('All Tandem Standards Source'!D73&lt;1/24,TEXT('All Tandem Standards Source'!D73,"M:SS"),TEXT('All Tandem Standards Source'!D73,"H:MM:SS"))</f>
        <v>16:29</v>
      </c>
      <c r="S72" s="50" t="str">
        <f>IF('All Tandem Standards Source'!H73&lt;1/24,TEXT('All Tandem Standards Source'!H73,"M:SS"),TEXT('All Tandem Standards Source'!H73,"H:MM:SS"))</f>
        <v>24:52</v>
      </c>
      <c r="T72" s="50" t="str">
        <f>IF('All Tandem Standards Source'!L73&lt;1/24,TEXT('All Tandem Standards Source'!L73,"M:SS"),TEXT('All Tandem Standards Source'!L73,"H:MM:SS"))</f>
        <v>41:53</v>
      </c>
      <c r="U72" s="50" t="str">
        <f>IF('All Tandem Standards Source'!P73&lt;1/24,TEXT('All Tandem Standards Source'!P73,"M:SS"),TEXT('All Tandem Standards Source'!P73,"H:MM:SS"))</f>
        <v>50:33</v>
      </c>
      <c r="V72" s="50" t="str">
        <f>IF('All Tandem Standards Source'!T73&lt;1/24,TEXT('All Tandem Standards Source'!T73,"M:SS"),TEXT('All Tandem Standards Source'!T73,"H:MM:SS"))</f>
        <v>1:26:07</v>
      </c>
      <c r="W72" s="50" t="str">
        <f>IF('All Tandem Standards Source'!X73&lt;1/24,TEXT('All Tandem Standards Source'!X73,"M:SS"),TEXT('All Tandem Standards Source'!X73,"H:MM:SS"))</f>
        <v>3:02:42</v>
      </c>
      <c r="X72" s="51" t="str">
        <f>TEXT('All Tandem Standards Source'!AB73,"0.00")</f>
        <v>66.38</v>
      </c>
      <c r="Y72" s="51" t="str">
        <f>TEXT('All Tandem Standards Source'!AF73,"0.00")</f>
        <v>102.23</v>
      </c>
      <c r="Z72" s="55" t="str">
        <f>IF('All Tandem Standards Source'!E73&lt;1/24,TEXT('All Tandem Standards Source'!E73,"M:SS"),TEXT('All Tandem Standards Source'!E73,"H:MM:SS"))</f>
        <v>18:12</v>
      </c>
      <c r="AA72" s="55" t="str">
        <f>IF('All Tandem Standards Source'!I73&lt;1/24,TEXT('All Tandem Standards Source'!I73,"M:SS"),TEXT('All Tandem Standards Source'!I73,"H:MM:SS"))</f>
        <v>27:27</v>
      </c>
      <c r="AB72" s="55" t="str">
        <f>IF('All Tandem Standards Source'!M73&lt;1/24,TEXT('All Tandem Standards Source'!M73,"M:SS"),TEXT('All Tandem Standards Source'!M73,"H:MM:SS"))</f>
        <v>46:14</v>
      </c>
      <c r="AC72" s="55" t="str">
        <f>IF('All Tandem Standards Source'!Q73&lt;1/24,TEXT('All Tandem Standards Source'!Q73,"M:SS"),TEXT('All Tandem Standards Source'!Q73,"H:MM:SS"))</f>
        <v>55:48</v>
      </c>
      <c r="AD72" s="55" t="str">
        <f>IF('All Tandem Standards Source'!U73&lt;1/24,TEXT('All Tandem Standards Source'!U73,"M:SS"),TEXT('All Tandem Standards Source'!U73,"H:MM:SS"))</f>
        <v>1:35:05</v>
      </c>
      <c r="AE72" s="55" t="str">
        <f>IF('All Tandem Standards Source'!Y73&lt;1/24,TEXT('All Tandem Standards Source'!Y73,"M:SS"),TEXT('All Tandem Standards Source'!Y73,"H:MM:SS"))</f>
        <v>3:21:49</v>
      </c>
      <c r="AF72" s="56" t="str">
        <f>TEXT('All Tandem Standards Source'!AC73,"0.00")</f>
        <v>57.39</v>
      </c>
      <c r="AG72" s="56" t="str">
        <f>TEXT('All Tandem Standards Source'!AG73,"0.00")</f>
        <v>91.24</v>
      </c>
    </row>
    <row r="73" spans="1:33" x14ac:dyDescent="0.25">
      <c r="A73" s="17">
        <v>80</v>
      </c>
      <c r="B73" s="53" t="str">
        <f>IF('All Tandem Standards Source'!B74&lt;1/24,TEXT('All Tandem Standards Source'!B74,"M:SS"),TEXT('All Tandem Standards Source'!B74,"H:MM:SS"))</f>
        <v>15:28</v>
      </c>
      <c r="C73" s="53" t="str">
        <f>IF('All Tandem Standards Source'!F74&lt;1/24,TEXT('All Tandem Standards Source'!F74,"M:SS"),TEXT('All Tandem Standards Source'!F74,"H:MM:SS"))</f>
        <v>23:19</v>
      </c>
      <c r="D73" s="53" t="str">
        <f>IF('All Tandem Standards Source'!J74&lt;1/24,TEXT('All Tandem Standards Source'!J74,"M:SS"),TEXT('All Tandem Standards Source'!J74,"H:MM:SS"))</f>
        <v>39:18</v>
      </c>
      <c r="E73" s="53" t="str">
        <f>IF('All Tandem Standards Source'!N74&lt;1/24,TEXT('All Tandem Standards Source'!N74,"M:SS"),TEXT('All Tandem Standards Source'!N74,"H:MM:SS"))</f>
        <v>47:25</v>
      </c>
      <c r="F73" s="53" t="str">
        <f>IF('All Tandem Standards Source'!R74&lt;1/24,TEXT('All Tandem Standards Source'!R74,"M:SS"),TEXT('All Tandem Standards Source'!R74,"H:MM:SS"))</f>
        <v>1:20:49</v>
      </c>
      <c r="G73" s="53" t="str">
        <f>IF('All Tandem Standards Source'!V74&lt;1/24,TEXT('All Tandem Standards Source'!V74,"M:SS"),TEXT('All Tandem Standards Source'!V74,"H:MM:SS"))</f>
        <v>2:51:39</v>
      </c>
      <c r="H73" s="54" t="str">
        <f>TEXT('All Tandem Standards Source'!Z74,"0.00")</f>
        <v>71.90</v>
      </c>
      <c r="I73" s="54" t="str">
        <f>TEXT('All Tandem Standards Source'!AD74,"0.00")</f>
        <v>107.47</v>
      </c>
      <c r="J73" s="57" t="str">
        <f>IF('All Tandem Standards Source'!C74&lt;1/24,TEXT('All Tandem Standards Source'!C74,"M:SS"),TEXT('All Tandem Standards Source'!C74,"H:MM:SS"))</f>
        <v>17:02</v>
      </c>
      <c r="K73" s="57" t="str">
        <f>IF('All Tandem Standards Source'!G74&lt;1/24,TEXT('All Tandem Standards Source'!G74,"M:SS"),TEXT('All Tandem Standards Source'!G74,"H:MM:SS"))</f>
        <v>25:42</v>
      </c>
      <c r="L73" s="57" t="str">
        <f>IF('All Tandem Standards Source'!K74&lt;1/24,TEXT('All Tandem Standards Source'!K74,"M:SS"),TEXT('All Tandem Standards Source'!K74,"H:MM:SS"))</f>
        <v>43:19</v>
      </c>
      <c r="M73" s="57" t="str">
        <f>IF('All Tandem Standards Source'!O74&lt;1/24,TEXT('All Tandem Standards Source'!O74,"M:SS"),TEXT('All Tandem Standards Source'!O74,"H:MM:SS"))</f>
        <v>52:16</v>
      </c>
      <c r="N73" s="57" t="str">
        <f>IF('All Tandem Standards Source'!S74&lt;1/24,TEXT('All Tandem Standards Source'!S74,"M:SS"),TEXT('All Tandem Standards Source'!S74,"H:MM:SS"))</f>
        <v>1:29:07</v>
      </c>
      <c r="O73" s="57" t="str">
        <f>IF('All Tandem Standards Source'!W74&lt;1/24,TEXT('All Tandem Standards Source'!W74,"M:SS"),TEXT('All Tandem Standards Source'!W74,"H:MM:SS"))</f>
        <v>3:09:22</v>
      </c>
      <c r="P73" s="58" t="str">
        <f>TEXT('All Tandem Standards Source'!AA74,"0.00")</f>
        <v>62.71</v>
      </c>
      <c r="Q73" s="58" t="str">
        <f>TEXT('All Tandem Standards Source'!AE74,"0.00")</f>
        <v>96.78</v>
      </c>
      <c r="R73" s="50" t="str">
        <f>IF('All Tandem Standards Source'!D74&lt;1/24,TEXT('All Tandem Standards Source'!D74,"M:SS"),TEXT('All Tandem Standards Source'!D74,"H:MM:SS"))</f>
        <v>16:39</v>
      </c>
      <c r="S73" s="50" t="str">
        <f>IF('All Tandem Standards Source'!H74&lt;1/24,TEXT('All Tandem Standards Source'!H74,"M:SS"),TEXT('All Tandem Standards Source'!H74,"H:MM:SS"))</f>
        <v>25:07</v>
      </c>
      <c r="T73" s="50" t="str">
        <f>IF('All Tandem Standards Source'!L74&lt;1/24,TEXT('All Tandem Standards Source'!L74,"M:SS"),TEXT('All Tandem Standards Source'!L74,"H:MM:SS"))</f>
        <v>42:19</v>
      </c>
      <c r="U73" s="50" t="str">
        <f>IF('All Tandem Standards Source'!P74&lt;1/24,TEXT('All Tandem Standards Source'!P74,"M:SS"),TEXT('All Tandem Standards Source'!P74,"H:MM:SS"))</f>
        <v>51:03</v>
      </c>
      <c r="V73" s="50" t="str">
        <f>IF('All Tandem Standards Source'!T74&lt;1/24,TEXT('All Tandem Standards Source'!T74,"M:SS"),TEXT('All Tandem Standards Source'!T74,"H:MM:SS"))</f>
        <v>1:27:03</v>
      </c>
      <c r="W73" s="50" t="str">
        <f>IF('All Tandem Standards Source'!X74&lt;1/24,TEXT('All Tandem Standards Source'!X74,"M:SS"),TEXT('All Tandem Standards Source'!X74,"H:MM:SS"))</f>
        <v>3:04:58</v>
      </c>
      <c r="X73" s="51" t="str">
        <f>TEXT('All Tandem Standards Source'!AB74,"0.00")</f>
        <v>64.84</v>
      </c>
      <c r="Y73" s="51" t="str">
        <f>TEXT('All Tandem Standards Source'!AF74,"0.00")</f>
        <v>99.33</v>
      </c>
      <c r="Z73" s="55" t="str">
        <f>IF('All Tandem Standards Source'!E74&lt;1/24,TEXT('All Tandem Standards Source'!E74,"M:SS"),TEXT('All Tandem Standards Source'!E74,"H:MM:SS"))</f>
        <v>18:23</v>
      </c>
      <c r="AA73" s="55" t="str">
        <f>IF('All Tandem Standards Source'!I74&lt;1/24,TEXT('All Tandem Standards Source'!I74,"M:SS"),TEXT('All Tandem Standards Source'!I74,"H:MM:SS"))</f>
        <v>27:43</v>
      </c>
      <c r="AB73" s="55" t="str">
        <f>IF('All Tandem Standards Source'!M74&lt;1/24,TEXT('All Tandem Standards Source'!M74,"M:SS"),TEXT('All Tandem Standards Source'!M74,"H:MM:SS"))</f>
        <v>46:43</v>
      </c>
      <c r="AC73" s="55" t="str">
        <f>IF('All Tandem Standards Source'!Q74&lt;1/24,TEXT('All Tandem Standards Source'!Q74,"M:SS"),TEXT('All Tandem Standards Source'!Q74,"H:MM:SS"))</f>
        <v>56:23</v>
      </c>
      <c r="AD73" s="55" t="str">
        <f>IF('All Tandem Standards Source'!U74&lt;1/24,TEXT('All Tandem Standards Source'!U74,"M:SS"),TEXT('All Tandem Standards Source'!U74,"H:MM:SS"))</f>
        <v>1:36:08</v>
      </c>
      <c r="AE73" s="55" t="str">
        <f>IF('All Tandem Standards Source'!Y74&lt;1/24,TEXT('All Tandem Standards Source'!Y74,"M:SS"),TEXT('All Tandem Standards Source'!Y74,"H:MM:SS"))</f>
        <v>3:24:22</v>
      </c>
      <c r="AF73" s="56" t="str">
        <f>TEXT('All Tandem Standards Source'!AC74,"0.00")</f>
        <v>56.03</v>
      </c>
      <c r="AG73" s="56" t="str">
        <f>TEXT('All Tandem Standards Source'!AG74,"0.00")</f>
        <v>88.62</v>
      </c>
    </row>
    <row r="74" spans="1:33" x14ac:dyDescent="0.25">
      <c r="A74" s="17">
        <v>81</v>
      </c>
      <c r="B74" s="53" t="str">
        <f>IF('All Tandem Standards Source'!B75&lt;1/24,TEXT('All Tandem Standards Source'!B75,"M:SS"),TEXT('All Tandem Standards Source'!B75,"H:MM:SS"))</f>
        <v>15:37</v>
      </c>
      <c r="C74" s="53" t="str">
        <f>IF('All Tandem Standards Source'!F75&lt;1/24,TEXT('All Tandem Standards Source'!F75,"M:SS"),TEXT('All Tandem Standards Source'!F75,"H:MM:SS"))</f>
        <v>23:33</v>
      </c>
      <c r="D74" s="53" t="str">
        <f>IF('All Tandem Standards Source'!J75&lt;1/24,TEXT('All Tandem Standards Source'!J75,"M:SS"),TEXT('All Tandem Standards Source'!J75,"H:MM:SS"))</f>
        <v>39:42</v>
      </c>
      <c r="E74" s="53" t="str">
        <f>IF('All Tandem Standards Source'!N75&lt;1/24,TEXT('All Tandem Standards Source'!N75,"M:SS"),TEXT('All Tandem Standards Source'!N75,"H:MM:SS"))</f>
        <v>47:54</v>
      </c>
      <c r="F74" s="53" t="str">
        <f>IF('All Tandem Standards Source'!R75&lt;1/24,TEXT('All Tandem Standards Source'!R75,"M:SS"),TEXT('All Tandem Standards Source'!R75,"H:MM:SS"))</f>
        <v>1:21:43</v>
      </c>
      <c r="G74" s="53" t="str">
        <f>IF('All Tandem Standards Source'!V75&lt;1/24,TEXT('All Tandem Standards Source'!V75,"M:SS"),TEXT('All Tandem Standards Source'!V75,"H:MM:SS"))</f>
        <v>2:53:50</v>
      </c>
      <c r="H74" s="54" t="str">
        <f>TEXT('All Tandem Standards Source'!Z75,"0.00")</f>
        <v>70.20</v>
      </c>
      <c r="I74" s="54" t="str">
        <f>TEXT('All Tandem Standards Source'!AD75,"0.00")</f>
        <v>104.28</v>
      </c>
      <c r="J74" s="57" t="str">
        <f>IF('All Tandem Standards Source'!C75&lt;1/24,TEXT('All Tandem Standards Source'!C75,"M:SS"),TEXT('All Tandem Standards Source'!C75,"H:MM:SS"))</f>
        <v>17:13</v>
      </c>
      <c r="K74" s="57" t="str">
        <f>IF('All Tandem Standards Source'!G75&lt;1/24,TEXT('All Tandem Standards Source'!G75,"M:SS"),TEXT('All Tandem Standards Source'!G75,"H:MM:SS"))</f>
        <v>25:58</v>
      </c>
      <c r="L74" s="57" t="str">
        <f>IF('All Tandem Standards Source'!K75&lt;1/24,TEXT('All Tandem Standards Source'!K75,"M:SS"),TEXT('All Tandem Standards Source'!K75,"H:MM:SS"))</f>
        <v>43:46</v>
      </c>
      <c r="M74" s="57" t="str">
        <f>IF('All Tandem Standards Source'!O75&lt;1/24,TEXT('All Tandem Standards Source'!O75,"M:SS"),TEXT('All Tandem Standards Source'!O75,"H:MM:SS"))</f>
        <v>52:49</v>
      </c>
      <c r="N74" s="57" t="str">
        <f>IF('All Tandem Standards Source'!S75&lt;1/24,TEXT('All Tandem Standards Source'!S75,"M:SS"),TEXT('All Tandem Standards Source'!S75,"H:MM:SS"))</f>
        <v>1:30:07</v>
      </c>
      <c r="O74" s="57" t="str">
        <f>IF('All Tandem Standards Source'!W75&lt;1/24,TEXT('All Tandem Standards Source'!W75,"M:SS"),TEXT('All Tandem Standards Source'!W75,"H:MM:SS"))</f>
        <v>3:11:48</v>
      </c>
      <c r="P74" s="58" t="str">
        <f>TEXT('All Tandem Standards Source'!AA75,"0.00")</f>
        <v>61.19</v>
      </c>
      <c r="Q74" s="58" t="str">
        <f>TEXT('All Tandem Standards Source'!AE75,"0.00")</f>
        <v>93.90</v>
      </c>
      <c r="R74" s="50" t="str">
        <f>IF('All Tandem Standards Source'!D75&lt;1/24,TEXT('All Tandem Standards Source'!D75,"M:SS"),TEXT('All Tandem Standards Source'!D75,"H:MM:SS"))</f>
        <v>16:49</v>
      </c>
      <c r="S74" s="50" t="str">
        <f>IF('All Tandem Standards Source'!H75&lt;1/24,TEXT('All Tandem Standards Source'!H75,"M:SS"),TEXT('All Tandem Standards Source'!H75,"H:MM:SS"))</f>
        <v>25:22</v>
      </c>
      <c r="T74" s="50" t="str">
        <f>IF('All Tandem Standards Source'!L75&lt;1/24,TEXT('All Tandem Standards Source'!L75,"M:SS"),TEXT('All Tandem Standards Source'!L75,"H:MM:SS"))</f>
        <v>42:46</v>
      </c>
      <c r="U74" s="50" t="str">
        <f>IF('All Tandem Standards Source'!P75&lt;1/24,TEXT('All Tandem Standards Source'!P75,"M:SS"),TEXT('All Tandem Standards Source'!P75,"H:MM:SS"))</f>
        <v>51:36</v>
      </c>
      <c r="V74" s="50" t="str">
        <f>IF('All Tandem Standards Source'!T75&lt;1/24,TEXT('All Tandem Standards Source'!T75,"M:SS"),TEXT('All Tandem Standards Source'!T75,"H:MM:SS"))</f>
        <v>1:28:01</v>
      </c>
      <c r="W74" s="50" t="str">
        <f>IF('All Tandem Standards Source'!X75&lt;1/24,TEXT('All Tandem Standards Source'!X75,"M:SS"),TEXT('All Tandem Standards Source'!X75,"H:MM:SS"))</f>
        <v>3:07:21</v>
      </c>
      <c r="X74" s="51" t="str">
        <f>TEXT('All Tandem Standards Source'!AB75,"0.00")</f>
        <v>63.28</v>
      </c>
      <c r="Y74" s="51" t="str">
        <f>TEXT('All Tandem Standards Source'!AF75,"0.00")</f>
        <v>96.37</v>
      </c>
      <c r="Z74" s="55" t="str">
        <f>IF('All Tandem Standards Source'!E75&lt;1/24,TEXT('All Tandem Standards Source'!E75,"M:SS"),TEXT('All Tandem Standards Source'!E75,"H:MM:SS"))</f>
        <v>18:34</v>
      </c>
      <c r="AA74" s="55" t="str">
        <f>IF('All Tandem Standards Source'!I75&lt;1/24,TEXT('All Tandem Standards Source'!I75,"M:SS"),TEXT('All Tandem Standards Source'!I75,"H:MM:SS"))</f>
        <v>28:00</v>
      </c>
      <c r="AB74" s="55" t="str">
        <f>IF('All Tandem Standards Source'!M75&lt;1/24,TEXT('All Tandem Standards Source'!M75,"M:SS"),TEXT('All Tandem Standards Source'!M75,"H:MM:SS"))</f>
        <v>47:13</v>
      </c>
      <c r="AC74" s="55" t="str">
        <f>IF('All Tandem Standards Source'!Q75&lt;1/24,TEXT('All Tandem Standards Source'!Q75,"M:SS"),TEXT('All Tandem Standards Source'!Q75,"H:MM:SS"))</f>
        <v>56:59</v>
      </c>
      <c r="AD74" s="55" t="str">
        <f>IF('All Tandem Standards Source'!U75&lt;1/24,TEXT('All Tandem Standards Source'!U75,"M:SS"),TEXT('All Tandem Standards Source'!U75,"H:MM:SS"))</f>
        <v>1:37:14</v>
      </c>
      <c r="AE74" s="55" t="str">
        <f>IF('All Tandem Standards Source'!Y75&lt;1/24,TEXT('All Tandem Standards Source'!Y75,"M:SS"),TEXT('All Tandem Standards Source'!Y75,"H:MM:SS"))</f>
        <v>3:27:02</v>
      </c>
      <c r="AF74" s="56" t="str">
        <f>TEXT('All Tandem Standards Source'!AC75,"0.00")</f>
        <v>54.64</v>
      </c>
      <c r="AG74" s="56" t="str">
        <f>TEXT('All Tandem Standards Source'!AG75,"0.00")</f>
        <v>85.97</v>
      </c>
    </row>
    <row r="75" spans="1:33" x14ac:dyDescent="0.25">
      <c r="A75" s="17">
        <v>82</v>
      </c>
      <c r="B75" s="53" t="str">
        <f>IF('All Tandem Standards Source'!B76&lt;1/24,TEXT('All Tandem Standards Source'!B76,"M:SS"),TEXT('All Tandem Standards Source'!B76,"H:MM:SS"))</f>
        <v>15:47</v>
      </c>
      <c r="C75" s="53" t="str">
        <f>IF('All Tandem Standards Source'!F76&lt;1/24,TEXT('All Tandem Standards Source'!F76,"M:SS"),TEXT('All Tandem Standards Source'!F76,"H:MM:SS"))</f>
        <v>23:48</v>
      </c>
      <c r="D75" s="53" t="str">
        <f>IF('All Tandem Standards Source'!J76&lt;1/24,TEXT('All Tandem Standards Source'!J76,"M:SS"),TEXT('All Tandem Standards Source'!J76,"H:MM:SS"))</f>
        <v>40:07</v>
      </c>
      <c r="E75" s="53" t="str">
        <f>IF('All Tandem Standards Source'!N76&lt;1/24,TEXT('All Tandem Standards Source'!N76,"M:SS"),TEXT('All Tandem Standards Source'!N76,"H:MM:SS"))</f>
        <v>48:25</v>
      </c>
      <c r="F75" s="53" t="str">
        <f>IF('All Tandem Standards Source'!R76&lt;1/24,TEXT('All Tandem Standards Source'!R76,"M:SS"),TEXT('All Tandem Standards Source'!R76,"H:MM:SS"))</f>
        <v>1:22:39</v>
      </c>
      <c r="G75" s="53" t="str">
        <f>IF('All Tandem Standards Source'!V76&lt;1/24,TEXT('All Tandem Standards Source'!V76,"M:SS"),TEXT('All Tandem Standards Source'!V76,"H:MM:SS"))</f>
        <v>2:56:08</v>
      </c>
      <c r="H75" s="54" t="str">
        <f>TEXT('All Tandem Standards Source'!Z76,"0.00")</f>
        <v>68.46</v>
      </c>
      <c r="I75" s="54" t="str">
        <f>TEXT('All Tandem Standards Source'!AD76,"0.00")</f>
        <v>101.05</v>
      </c>
      <c r="J75" s="57" t="str">
        <f>IF('All Tandem Standards Source'!C76&lt;1/24,TEXT('All Tandem Standards Source'!C76,"M:SS"),TEXT('All Tandem Standards Source'!C76,"H:MM:SS"))</f>
        <v>17:24</v>
      </c>
      <c r="K75" s="57" t="str">
        <f>IF('All Tandem Standards Source'!G76&lt;1/24,TEXT('All Tandem Standards Source'!G76,"M:SS"),TEXT('All Tandem Standards Source'!G76,"H:MM:SS"))</f>
        <v>26:14</v>
      </c>
      <c r="L75" s="57" t="str">
        <f>IF('All Tandem Standards Source'!K76&lt;1/24,TEXT('All Tandem Standards Source'!K76,"M:SS"),TEXT('All Tandem Standards Source'!K76,"H:MM:SS"))</f>
        <v>44:15</v>
      </c>
      <c r="M75" s="57" t="str">
        <f>IF('All Tandem Standards Source'!O76&lt;1/24,TEXT('All Tandem Standards Source'!O76,"M:SS"),TEXT('All Tandem Standards Source'!O76,"H:MM:SS"))</f>
        <v>53:24</v>
      </c>
      <c r="N75" s="57" t="str">
        <f>IF('All Tandem Standards Source'!S76&lt;1/24,TEXT('All Tandem Standards Source'!S76,"M:SS"),TEXT('All Tandem Standards Source'!S76,"H:MM:SS"))</f>
        <v>1:31:10</v>
      </c>
      <c r="O75" s="57" t="str">
        <f>IF('All Tandem Standards Source'!W76&lt;1/24,TEXT('All Tandem Standards Source'!W76,"M:SS"),TEXT('All Tandem Standards Source'!W76,"H:MM:SS"))</f>
        <v>3:14:24</v>
      </c>
      <c r="P75" s="58" t="str">
        <f>TEXT('All Tandem Standards Source'!AA76,"0.00")</f>
        <v>59.64</v>
      </c>
      <c r="Q75" s="58" t="str">
        <f>TEXT('All Tandem Standards Source'!AE76,"0.00")</f>
        <v>90.97</v>
      </c>
      <c r="R75" s="50" t="str">
        <f>IF('All Tandem Standards Source'!D76&lt;1/24,TEXT('All Tandem Standards Source'!D76,"M:SS"),TEXT('All Tandem Standards Source'!D76,"H:MM:SS"))</f>
        <v>17:00</v>
      </c>
      <c r="S75" s="50" t="str">
        <f>IF('All Tandem Standards Source'!H76&lt;1/24,TEXT('All Tandem Standards Source'!H76,"M:SS"),TEXT('All Tandem Standards Source'!H76,"H:MM:SS"))</f>
        <v>25:38</v>
      </c>
      <c r="T75" s="50" t="str">
        <f>IF('All Tandem Standards Source'!L76&lt;1/24,TEXT('All Tandem Standards Source'!L76,"M:SS"),TEXT('All Tandem Standards Source'!L76,"H:MM:SS"))</f>
        <v>43:13</v>
      </c>
      <c r="U75" s="50" t="str">
        <f>IF('All Tandem Standards Source'!P76&lt;1/24,TEXT('All Tandem Standards Source'!P76,"M:SS"),TEXT('All Tandem Standards Source'!P76,"H:MM:SS"))</f>
        <v>52:10</v>
      </c>
      <c r="V75" s="50" t="str">
        <f>IF('All Tandem Standards Source'!T76&lt;1/24,TEXT('All Tandem Standards Source'!T76,"M:SS"),TEXT('All Tandem Standards Source'!T76,"H:MM:SS"))</f>
        <v>1:29:03</v>
      </c>
      <c r="W75" s="50" t="str">
        <f>IF('All Tandem Standards Source'!X76&lt;1/24,TEXT('All Tandem Standards Source'!X76,"M:SS"),TEXT('All Tandem Standards Source'!X76,"H:MM:SS"))</f>
        <v>3:09:51</v>
      </c>
      <c r="X75" s="51" t="str">
        <f>TEXT('All Tandem Standards Source'!AB76,"0.00")</f>
        <v>61.70</v>
      </c>
      <c r="Y75" s="51" t="str">
        <f>TEXT('All Tandem Standards Source'!AF76,"0.00")</f>
        <v>93.37</v>
      </c>
      <c r="Z75" s="55" t="str">
        <f>IF('All Tandem Standards Source'!E76&lt;1/24,TEXT('All Tandem Standards Source'!E76,"M:SS"),TEXT('All Tandem Standards Source'!E76,"H:MM:SS"))</f>
        <v>18:46</v>
      </c>
      <c r="AA75" s="55" t="str">
        <f>IF('All Tandem Standards Source'!I76&lt;1/24,TEXT('All Tandem Standards Source'!I76,"M:SS"),TEXT('All Tandem Standards Source'!I76,"H:MM:SS"))</f>
        <v>28:19</v>
      </c>
      <c r="AB75" s="55" t="str">
        <f>IF('All Tandem Standards Source'!M76&lt;1/24,TEXT('All Tandem Standards Source'!M76,"M:SS"),TEXT('All Tandem Standards Source'!M76,"H:MM:SS"))</f>
        <v>47:45</v>
      </c>
      <c r="AC75" s="55" t="str">
        <f>IF('All Tandem Standards Source'!Q76&lt;1/24,TEXT('All Tandem Standards Source'!Q76,"M:SS"),TEXT('All Tandem Standards Source'!Q76,"H:MM:SS"))</f>
        <v>57:37</v>
      </c>
      <c r="AD75" s="55" t="str">
        <f>IF('All Tandem Standards Source'!U76&lt;1/24,TEXT('All Tandem Standards Source'!U76,"M:SS"),TEXT('All Tandem Standards Source'!U76,"H:MM:SS"))</f>
        <v>1:38:23</v>
      </c>
      <c r="AE75" s="55" t="str">
        <f>IF('All Tandem Standards Source'!Y76&lt;1/24,TEXT('All Tandem Standards Source'!Y76,"M:SS"),TEXT('All Tandem Standards Source'!Y76,"H:MM:SS"))</f>
        <v>3:29:53</v>
      </c>
      <c r="AF75" s="56" t="str">
        <f>TEXT('All Tandem Standards Source'!AC76,"0.00")</f>
        <v>53.23</v>
      </c>
      <c r="AG75" s="56" t="str">
        <f>TEXT('All Tandem Standards Source'!AG76,"0.00")</f>
        <v>83.26</v>
      </c>
    </row>
    <row r="76" spans="1:33" x14ac:dyDescent="0.25">
      <c r="A76" s="17">
        <v>83</v>
      </c>
      <c r="B76" s="53" t="str">
        <f>IF('All Tandem Standards Source'!B77&lt;1/24,TEXT('All Tandem Standards Source'!B77,"M:SS"),TEXT('All Tandem Standards Source'!B77,"H:MM:SS"))</f>
        <v>15:57</v>
      </c>
      <c r="C76" s="53" t="str">
        <f>IF('All Tandem Standards Source'!F77&lt;1/24,TEXT('All Tandem Standards Source'!F77,"M:SS"),TEXT('All Tandem Standards Source'!F77,"H:MM:SS"))</f>
        <v>24:03</v>
      </c>
      <c r="D76" s="53" t="str">
        <f>IF('All Tandem Standards Source'!J77&lt;1/24,TEXT('All Tandem Standards Source'!J77,"M:SS"),TEXT('All Tandem Standards Source'!J77,"H:MM:SS"))</f>
        <v>40:34</v>
      </c>
      <c r="E76" s="53" t="str">
        <f>IF('All Tandem Standards Source'!N77&lt;1/24,TEXT('All Tandem Standards Source'!N77,"M:SS"),TEXT('All Tandem Standards Source'!N77,"H:MM:SS"))</f>
        <v>48:58</v>
      </c>
      <c r="F76" s="53" t="str">
        <f>IF('All Tandem Standards Source'!R77&lt;1/24,TEXT('All Tandem Standards Source'!R77,"M:SS"),TEXT('All Tandem Standards Source'!R77,"H:MM:SS"))</f>
        <v>1:23:37</v>
      </c>
      <c r="G76" s="53" t="str">
        <f>IF('All Tandem Standards Source'!V77&lt;1/24,TEXT('All Tandem Standards Source'!V77,"M:SS"),TEXT('All Tandem Standards Source'!V77,"H:MM:SS"))</f>
        <v>2:58:33</v>
      </c>
      <c r="H76" s="54" t="str">
        <f>TEXT('All Tandem Standards Source'!Z77,"0.00")</f>
        <v>66.70</v>
      </c>
      <c r="I76" s="54" t="str">
        <f>TEXT('All Tandem Standards Source'!AD77,"0.00")</f>
        <v>97.76</v>
      </c>
      <c r="J76" s="57" t="str">
        <f>IF('All Tandem Standards Source'!C77&lt;1/24,TEXT('All Tandem Standards Source'!C77,"M:SS"),TEXT('All Tandem Standards Source'!C77,"H:MM:SS"))</f>
        <v>17:35</v>
      </c>
      <c r="K76" s="57" t="str">
        <f>IF('All Tandem Standards Source'!G77&lt;1/24,TEXT('All Tandem Standards Source'!G77,"M:SS"),TEXT('All Tandem Standards Source'!G77,"H:MM:SS"))</f>
        <v>26:32</v>
      </c>
      <c r="L76" s="57" t="str">
        <f>IF('All Tandem Standards Source'!K77&lt;1/24,TEXT('All Tandem Standards Source'!K77,"M:SS"),TEXT('All Tandem Standards Source'!K77,"H:MM:SS"))</f>
        <v>44:45</v>
      </c>
      <c r="M76" s="57" t="str">
        <f>IF('All Tandem Standards Source'!O77&lt;1/24,TEXT('All Tandem Standards Source'!O77,"M:SS"),TEXT('All Tandem Standards Source'!O77,"H:MM:SS"))</f>
        <v>54:01</v>
      </c>
      <c r="N76" s="57" t="str">
        <f>IF('All Tandem Standards Source'!S77&lt;1/24,TEXT('All Tandem Standards Source'!S77,"M:SS"),TEXT('All Tandem Standards Source'!S77,"H:MM:SS"))</f>
        <v>1:32:16</v>
      </c>
      <c r="O76" s="57" t="str">
        <f>IF('All Tandem Standards Source'!W77&lt;1/24,TEXT('All Tandem Standards Source'!W77,"M:SS"),TEXT('All Tandem Standards Source'!W77,"H:MM:SS"))</f>
        <v>3:17:08</v>
      </c>
      <c r="P76" s="58" t="str">
        <f>TEXT('All Tandem Standards Source'!AA77,"0.00")</f>
        <v>58.07</v>
      </c>
      <c r="Q76" s="58" t="str">
        <f>TEXT('All Tandem Standards Source'!AE77,"0.00")</f>
        <v>88.00</v>
      </c>
      <c r="R76" s="50" t="str">
        <f>IF('All Tandem Standards Source'!D77&lt;1/24,TEXT('All Tandem Standards Source'!D77,"M:SS"),TEXT('All Tandem Standards Source'!D77,"H:MM:SS"))</f>
        <v>17:11</v>
      </c>
      <c r="S76" s="50" t="str">
        <f>IF('All Tandem Standards Source'!H77&lt;1/24,TEXT('All Tandem Standards Source'!H77,"M:SS"),TEXT('All Tandem Standards Source'!H77,"H:MM:SS"))</f>
        <v>25:55</v>
      </c>
      <c r="T76" s="50" t="str">
        <f>IF('All Tandem Standards Source'!L77&lt;1/24,TEXT('All Tandem Standards Source'!L77,"M:SS"),TEXT('All Tandem Standards Source'!L77,"H:MM:SS"))</f>
        <v>43:43</v>
      </c>
      <c r="U76" s="50" t="str">
        <f>IF('All Tandem Standards Source'!P77&lt;1/24,TEXT('All Tandem Standards Source'!P77,"M:SS"),TEXT('All Tandem Standards Source'!P77,"H:MM:SS"))</f>
        <v>52:46</v>
      </c>
      <c r="V76" s="50" t="str">
        <f>IF('All Tandem Standards Source'!T77&lt;1/24,TEXT('All Tandem Standards Source'!T77,"M:SS"),TEXT('All Tandem Standards Source'!T77,"H:MM:SS"))</f>
        <v>1:30:08</v>
      </c>
      <c r="W76" s="50" t="str">
        <f>IF('All Tandem Standards Source'!X77&lt;1/24,TEXT('All Tandem Standards Source'!X77,"M:SS"),TEXT('All Tandem Standards Source'!X77,"H:MM:SS"))</f>
        <v>3:12:31</v>
      </c>
      <c r="X76" s="51" t="str">
        <f>TEXT('All Tandem Standards Source'!AB77,"0.00")</f>
        <v>60.08</v>
      </c>
      <c r="Y76" s="51" t="str">
        <f>TEXT('All Tandem Standards Source'!AF77,"0.00")</f>
        <v>90.33</v>
      </c>
      <c r="Z76" s="55" t="str">
        <f>IF('All Tandem Standards Source'!E77&lt;1/24,TEXT('All Tandem Standards Source'!E77,"M:SS"),TEXT('All Tandem Standards Source'!E77,"H:MM:SS"))</f>
        <v>18:59</v>
      </c>
      <c r="AA76" s="55" t="str">
        <f>IF('All Tandem Standards Source'!I77&lt;1/24,TEXT('All Tandem Standards Source'!I77,"M:SS"),TEXT('All Tandem Standards Source'!I77,"H:MM:SS"))</f>
        <v>28:38</v>
      </c>
      <c r="AB76" s="55" t="str">
        <f>IF('All Tandem Standards Source'!M77&lt;1/24,TEXT('All Tandem Standards Source'!M77,"M:SS"),TEXT('All Tandem Standards Source'!M77,"H:MM:SS"))</f>
        <v>48:17</v>
      </c>
      <c r="AC76" s="55" t="str">
        <f>IF('All Tandem Standards Source'!Q77&lt;1/24,TEXT('All Tandem Standards Source'!Q77,"M:SS"),TEXT('All Tandem Standards Source'!Q77,"H:MM:SS"))</f>
        <v>58:18</v>
      </c>
      <c r="AD76" s="55" t="str">
        <f>IF('All Tandem Standards Source'!U77&lt;1/24,TEXT('All Tandem Standards Source'!U77,"M:SS"),TEXT('All Tandem Standards Source'!U77,"H:MM:SS"))</f>
        <v>1:39:36</v>
      </c>
      <c r="AE76" s="55" t="str">
        <f>IF('All Tandem Standards Source'!Y77&lt;1/24,TEXT('All Tandem Standards Source'!Y77,"M:SS"),TEXT('All Tandem Standards Source'!Y77,"H:MM:SS"))</f>
        <v>3:32:52</v>
      </c>
      <c r="AF76" s="56" t="str">
        <f>TEXT('All Tandem Standards Source'!AC77,"0.00")</f>
        <v>51.78</v>
      </c>
      <c r="AG76" s="56" t="str">
        <f>TEXT('All Tandem Standards Source'!AG77,"0.00")</f>
        <v>80.52</v>
      </c>
    </row>
    <row r="77" spans="1:33" x14ac:dyDescent="0.25">
      <c r="A77" s="17">
        <v>84</v>
      </c>
      <c r="B77" s="53" t="str">
        <f>IF('All Tandem Standards Source'!B78&lt;1/24,TEXT('All Tandem Standards Source'!B78,"M:SS"),TEXT('All Tandem Standards Source'!B78,"H:MM:SS"))</f>
        <v>16:07</v>
      </c>
      <c r="C77" s="53" t="str">
        <f>IF('All Tandem Standards Source'!F78&lt;1/24,TEXT('All Tandem Standards Source'!F78,"M:SS"),TEXT('All Tandem Standards Source'!F78,"H:MM:SS"))</f>
        <v>24:20</v>
      </c>
      <c r="D77" s="53" t="str">
        <f>IF('All Tandem Standards Source'!J78&lt;1/24,TEXT('All Tandem Standards Source'!J78,"M:SS"),TEXT('All Tandem Standards Source'!J78,"H:MM:SS"))</f>
        <v>41:02</v>
      </c>
      <c r="E77" s="53" t="str">
        <f>IF('All Tandem Standards Source'!N78&lt;1/24,TEXT('All Tandem Standards Source'!N78,"M:SS"),TEXT('All Tandem Standards Source'!N78,"H:MM:SS"))</f>
        <v>49:33</v>
      </c>
      <c r="F77" s="53" t="str">
        <f>IF('All Tandem Standards Source'!R78&lt;1/24,TEXT('All Tandem Standards Source'!R78,"M:SS"),TEXT('All Tandem Standards Source'!R78,"H:MM:SS"))</f>
        <v>1:24:39</v>
      </c>
      <c r="G77" s="53" t="str">
        <f>IF('All Tandem Standards Source'!V78&lt;1/24,TEXT('All Tandem Standards Source'!V78,"M:SS"),TEXT('All Tandem Standards Source'!V78,"H:MM:SS"))</f>
        <v>3:01:07</v>
      </c>
      <c r="H77" s="54" t="str">
        <f>TEXT('All Tandem Standards Source'!Z78,"0.00")</f>
        <v>64.91</v>
      </c>
      <c r="I77" s="54" t="str">
        <f>TEXT('All Tandem Standards Source'!AD78,"0.00")</f>
        <v>94.43</v>
      </c>
      <c r="J77" s="57" t="str">
        <f>IF('All Tandem Standards Source'!C78&lt;1/24,TEXT('All Tandem Standards Source'!C78,"M:SS"),TEXT('All Tandem Standards Source'!C78,"H:MM:SS"))</f>
        <v>17:47</v>
      </c>
      <c r="K77" s="57" t="str">
        <f>IF('All Tandem Standards Source'!G78&lt;1/24,TEXT('All Tandem Standards Source'!G78,"M:SS"),TEXT('All Tandem Standards Source'!G78,"H:MM:SS"))</f>
        <v>26:50</v>
      </c>
      <c r="L77" s="57" t="str">
        <f>IF('All Tandem Standards Source'!K78&lt;1/24,TEXT('All Tandem Standards Source'!K78,"M:SS"),TEXT('All Tandem Standards Source'!K78,"H:MM:SS"))</f>
        <v>45:16</v>
      </c>
      <c r="M77" s="57" t="str">
        <f>IF('All Tandem Standards Source'!O78&lt;1/24,TEXT('All Tandem Standards Source'!O78,"M:SS"),TEXT('All Tandem Standards Source'!O78,"H:MM:SS"))</f>
        <v>54:40</v>
      </c>
      <c r="N77" s="57" t="str">
        <f>IF('All Tandem Standards Source'!S78&lt;1/24,TEXT('All Tandem Standards Source'!S78,"M:SS"),TEXT('All Tandem Standards Source'!S78,"H:MM:SS"))</f>
        <v>1:33:26</v>
      </c>
      <c r="O77" s="57" t="str">
        <f>IF('All Tandem Standards Source'!W78&lt;1/24,TEXT('All Tandem Standards Source'!W78,"M:SS"),TEXT('All Tandem Standards Source'!W78,"H:MM:SS"))</f>
        <v>3:20:01</v>
      </c>
      <c r="P77" s="58" t="str">
        <f>TEXT('All Tandem Standards Source'!AA78,"0.00")</f>
        <v>56.47</v>
      </c>
      <c r="Q77" s="58" t="str">
        <f>TEXT('All Tandem Standards Source'!AE78,"0.00")</f>
        <v>84.99</v>
      </c>
      <c r="R77" s="50" t="str">
        <f>IF('All Tandem Standards Source'!D78&lt;1/24,TEXT('All Tandem Standards Source'!D78,"M:SS"),TEXT('All Tandem Standards Source'!D78,"H:MM:SS"))</f>
        <v>17:22</v>
      </c>
      <c r="S77" s="50" t="str">
        <f>IF('All Tandem Standards Source'!H78&lt;1/24,TEXT('All Tandem Standards Source'!H78,"M:SS"),TEXT('All Tandem Standards Source'!H78,"H:MM:SS"))</f>
        <v>26:13</v>
      </c>
      <c r="T77" s="50" t="str">
        <f>IF('All Tandem Standards Source'!L78&lt;1/24,TEXT('All Tandem Standards Source'!L78,"M:SS"),TEXT('All Tandem Standards Source'!L78,"H:MM:SS"))</f>
        <v>44:13</v>
      </c>
      <c r="U77" s="50" t="str">
        <f>IF('All Tandem Standards Source'!P78&lt;1/24,TEXT('All Tandem Standards Source'!P78,"M:SS"),TEXT('All Tandem Standards Source'!P78,"H:MM:SS"))</f>
        <v>53:24</v>
      </c>
      <c r="V77" s="50" t="str">
        <f>IF('All Tandem Standards Source'!T78&lt;1/24,TEXT('All Tandem Standards Source'!T78,"M:SS"),TEXT('All Tandem Standards Source'!T78,"H:MM:SS"))</f>
        <v>1:31:15</v>
      </c>
      <c r="W77" s="50" t="str">
        <f>IF('All Tandem Standards Source'!X78&lt;1/24,TEXT('All Tandem Standards Source'!X78,"M:SS"),TEXT('All Tandem Standards Source'!X78,"H:MM:SS"))</f>
        <v>3:15:20</v>
      </c>
      <c r="X77" s="51" t="str">
        <f>TEXT('All Tandem Standards Source'!AB78,"0.00")</f>
        <v>58.43</v>
      </c>
      <c r="Y77" s="51" t="str">
        <f>TEXT('All Tandem Standards Source'!AF78,"0.00")</f>
        <v>87.24</v>
      </c>
      <c r="Z77" s="55" t="str">
        <f>IF('All Tandem Standards Source'!E78&lt;1/24,TEXT('All Tandem Standards Source'!E78,"M:SS"),TEXT('All Tandem Standards Source'!E78,"H:MM:SS"))</f>
        <v>19:12</v>
      </c>
      <c r="AA77" s="55" t="str">
        <f>IF('All Tandem Standards Source'!I78&lt;1/24,TEXT('All Tandem Standards Source'!I78,"M:SS"),TEXT('All Tandem Standards Source'!I78,"H:MM:SS"))</f>
        <v>28:58</v>
      </c>
      <c r="AB77" s="55" t="str">
        <f>IF('All Tandem Standards Source'!M78&lt;1/24,TEXT('All Tandem Standards Source'!M78,"M:SS"),TEXT('All Tandem Standards Source'!M78,"H:MM:SS"))</f>
        <v>48:52</v>
      </c>
      <c r="AC77" s="55" t="str">
        <f>IF('All Tandem Standards Source'!Q78&lt;1/24,TEXT('All Tandem Standards Source'!Q78,"M:SS"),TEXT('All Tandem Standards Source'!Q78,"H:MM:SS"))</f>
        <v>59:00</v>
      </c>
      <c r="AD77" s="55" t="str">
        <f>IF('All Tandem Standards Source'!U78&lt;1/24,TEXT('All Tandem Standards Source'!U78,"M:SS"),TEXT('All Tandem Standards Source'!U78,"H:MM:SS"))</f>
        <v>1:40:52</v>
      </c>
      <c r="AE77" s="55" t="str">
        <f>IF('All Tandem Standards Source'!Y78&lt;1/24,TEXT('All Tandem Standards Source'!Y78,"M:SS"),TEXT('All Tandem Standards Source'!Y78,"H:MM:SS"))</f>
        <v>3:36:02</v>
      </c>
      <c r="AF77" s="56" t="str">
        <f>TEXT('All Tandem Standards Source'!AC78,"0.00")</f>
        <v>50.32</v>
      </c>
      <c r="AG77" s="56" t="str">
        <f>TEXT('All Tandem Standards Source'!AG78,"0.00")</f>
        <v>77.73</v>
      </c>
    </row>
    <row r="78" spans="1:33" x14ac:dyDescent="0.25">
      <c r="A78" s="17">
        <v>85</v>
      </c>
      <c r="B78" s="53" t="str">
        <f>IF('All Tandem Standards Source'!B79&lt;1/24,TEXT('All Tandem Standards Source'!B79,"M:SS"),TEXT('All Tandem Standards Source'!B79,"H:MM:SS"))</f>
        <v>16:18</v>
      </c>
      <c r="C78" s="53" t="str">
        <f>IF('All Tandem Standards Source'!F79&lt;1/24,TEXT('All Tandem Standards Source'!F79,"M:SS"),TEXT('All Tandem Standards Source'!F79,"H:MM:SS"))</f>
        <v>24:36</v>
      </c>
      <c r="D78" s="53" t="str">
        <f>IF('All Tandem Standards Source'!J79&lt;1/24,TEXT('All Tandem Standards Source'!J79,"M:SS"),TEXT('All Tandem Standards Source'!J79,"H:MM:SS"))</f>
        <v>41:31</v>
      </c>
      <c r="E78" s="53" t="str">
        <f>IF('All Tandem Standards Source'!N79&lt;1/24,TEXT('All Tandem Standards Source'!N79,"M:SS"),TEXT('All Tandem Standards Source'!N79,"H:MM:SS"))</f>
        <v>50:08</v>
      </c>
      <c r="F78" s="53" t="str">
        <f>IF('All Tandem Standards Source'!R79&lt;1/24,TEXT('All Tandem Standards Source'!R79,"M:SS"),TEXT('All Tandem Standards Source'!R79,"H:MM:SS"))</f>
        <v>1:25:45</v>
      </c>
      <c r="G78" s="53" t="str">
        <f>IF('All Tandem Standards Source'!V79&lt;1/24,TEXT('All Tandem Standards Source'!V79,"M:SS"),TEXT('All Tandem Standards Source'!V79,"H:MM:SS"))</f>
        <v>3:03:51</v>
      </c>
      <c r="H78" s="54" t="str">
        <f>TEXT('All Tandem Standards Source'!Z79,"0.00")</f>
        <v>63.08</v>
      </c>
      <c r="I78" s="54" t="str">
        <f>TEXT('All Tandem Standards Source'!AD79,"0.00")</f>
        <v>91.05</v>
      </c>
      <c r="J78" s="57" t="str">
        <f>IF('All Tandem Standards Source'!C79&lt;1/24,TEXT('All Tandem Standards Source'!C79,"M:SS"),TEXT('All Tandem Standards Source'!C79,"H:MM:SS"))</f>
        <v>18:00</v>
      </c>
      <c r="K78" s="57" t="str">
        <f>IF('All Tandem Standards Source'!G79&lt;1/24,TEXT('All Tandem Standards Source'!G79,"M:SS"),TEXT('All Tandem Standards Source'!G79,"H:MM:SS"))</f>
        <v>27:09</v>
      </c>
      <c r="L78" s="57" t="str">
        <f>IF('All Tandem Standards Source'!K79&lt;1/24,TEXT('All Tandem Standards Source'!K79,"M:SS"),TEXT('All Tandem Standards Source'!K79,"H:MM:SS"))</f>
        <v>45:49</v>
      </c>
      <c r="M78" s="57" t="str">
        <f>IF('All Tandem Standards Source'!O79&lt;1/24,TEXT('All Tandem Standards Source'!O79,"M:SS"),TEXT('All Tandem Standards Source'!O79,"H:MM:SS"))</f>
        <v>55:20</v>
      </c>
      <c r="N78" s="57" t="str">
        <f>IF('All Tandem Standards Source'!S79&lt;1/24,TEXT('All Tandem Standards Source'!S79,"M:SS"),TEXT('All Tandem Standards Source'!S79,"H:MM:SS"))</f>
        <v>1:34:39</v>
      </c>
      <c r="O78" s="57" t="str">
        <f>IF('All Tandem Standards Source'!W79&lt;1/24,TEXT('All Tandem Standards Source'!W79,"M:SS"),TEXT('All Tandem Standards Source'!W79,"H:MM:SS"))</f>
        <v>3:23:06</v>
      </c>
      <c r="P78" s="58" t="str">
        <f>TEXT('All Tandem Standards Source'!AA79,"0.00")</f>
        <v>54.83</v>
      </c>
      <c r="Q78" s="58" t="str">
        <f>TEXT('All Tandem Standards Source'!AE79,"0.00")</f>
        <v>81.92</v>
      </c>
      <c r="R78" s="50" t="str">
        <f>IF('All Tandem Standards Source'!D79&lt;1/24,TEXT('All Tandem Standards Source'!D79,"M:SS"),TEXT('All Tandem Standards Source'!D79,"H:MM:SS"))</f>
        <v>17:35</v>
      </c>
      <c r="S78" s="50" t="str">
        <f>IF('All Tandem Standards Source'!H79&lt;1/24,TEXT('All Tandem Standards Source'!H79,"M:SS"),TEXT('All Tandem Standards Source'!H79,"H:MM:SS"))</f>
        <v>26:31</v>
      </c>
      <c r="T78" s="50" t="str">
        <f>IF('All Tandem Standards Source'!L79&lt;1/24,TEXT('All Tandem Standards Source'!L79,"M:SS"),TEXT('All Tandem Standards Source'!L79,"H:MM:SS"))</f>
        <v>44:45</v>
      </c>
      <c r="U78" s="50" t="str">
        <f>IF('All Tandem Standards Source'!P79&lt;1/24,TEXT('All Tandem Standards Source'!P79,"M:SS"),TEXT('All Tandem Standards Source'!P79,"H:MM:SS"))</f>
        <v>54:03</v>
      </c>
      <c r="V78" s="50" t="str">
        <f>IF('All Tandem Standards Source'!T79&lt;1/24,TEXT('All Tandem Standards Source'!T79,"M:SS"),TEXT('All Tandem Standards Source'!T79,"H:MM:SS"))</f>
        <v>1:32:26</v>
      </c>
      <c r="W78" s="50" t="str">
        <f>IF('All Tandem Standards Source'!X79&lt;1/24,TEXT('All Tandem Standards Source'!X79,"M:SS"),TEXT('All Tandem Standards Source'!X79,"H:MM:SS"))</f>
        <v>3:18:19</v>
      </c>
      <c r="X78" s="51" t="str">
        <f>TEXT('All Tandem Standards Source'!AB79,"0.00")</f>
        <v>56.76</v>
      </c>
      <c r="Y78" s="51" t="str">
        <f>TEXT('All Tandem Standards Source'!AF79,"0.00")</f>
        <v>84.10</v>
      </c>
      <c r="Z78" s="55" t="str">
        <f>IF('All Tandem Standards Source'!E79&lt;1/24,TEXT('All Tandem Standards Source'!E79,"M:SS"),TEXT('All Tandem Standards Source'!E79,"H:MM:SS"))</f>
        <v>19:25</v>
      </c>
      <c r="AA78" s="55" t="str">
        <f>IF('All Tandem Standards Source'!I79&lt;1/24,TEXT('All Tandem Standards Source'!I79,"M:SS"),TEXT('All Tandem Standards Source'!I79,"H:MM:SS"))</f>
        <v>29:19</v>
      </c>
      <c r="AB78" s="55" t="str">
        <f>IF('All Tandem Standards Source'!M79&lt;1/24,TEXT('All Tandem Standards Source'!M79,"M:SS"),TEXT('All Tandem Standards Source'!M79,"H:MM:SS"))</f>
        <v>49:28</v>
      </c>
      <c r="AC78" s="55" t="str">
        <f>IF('All Tandem Standards Source'!Q79&lt;1/24,TEXT('All Tandem Standards Source'!Q79,"M:SS"),TEXT('All Tandem Standards Source'!Q79,"H:MM:SS"))</f>
        <v>59:45</v>
      </c>
      <c r="AD78" s="55" t="str">
        <f>IF('All Tandem Standards Source'!U79&lt;1/24,TEXT('All Tandem Standards Source'!U79,"M:SS"),TEXT('All Tandem Standards Source'!U79,"H:MM:SS"))</f>
        <v>1:42:12</v>
      </c>
      <c r="AE78" s="55" t="str">
        <f>IF('All Tandem Standards Source'!Y79&lt;1/24,TEXT('All Tandem Standards Source'!Y79,"M:SS"),TEXT('All Tandem Standards Source'!Y79,"H:MM:SS"))</f>
        <v>3:39:24</v>
      </c>
      <c r="AF78" s="56" t="str">
        <f>TEXT('All Tandem Standards Source'!AC79,"0.00")</f>
        <v>48.82</v>
      </c>
      <c r="AG78" s="56" t="str">
        <f>TEXT('All Tandem Standards Source'!AG79,"0.00")</f>
        <v>74.90</v>
      </c>
    </row>
    <row r="79" spans="1:33" x14ac:dyDescent="0.25">
      <c r="A79" s="17">
        <v>86</v>
      </c>
      <c r="B79" s="53" t="str">
        <f>IF('All Tandem Standards Source'!B80&lt;1/24,TEXT('All Tandem Standards Source'!B80,"M:SS"),TEXT('All Tandem Standards Source'!B80,"H:MM:SS"))</f>
        <v>16:30</v>
      </c>
      <c r="C79" s="53" t="str">
        <f>IF('All Tandem Standards Source'!F80&lt;1/24,TEXT('All Tandem Standards Source'!F80,"M:SS"),TEXT('All Tandem Standards Source'!F80,"H:MM:SS"))</f>
        <v>24:54</v>
      </c>
      <c r="D79" s="53" t="str">
        <f>IF('All Tandem Standards Source'!J80&lt;1/24,TEXT('All Tandem Standards Source'!J80,"M:SS"),TEXT('All Tandem Standards Source'!J80,"H:MM:SS"))</f>
        <v>42:02</v>
      </c>
      <c r="E79" s="53" t="str">
        <f>IF('All Tandem Standards Source'!N80&lt;1/24,TEXT('All Tandem Standards Source'!N80,"M:SS"),TEXT('All Tandem Standards Source'!N80,"H:MM:SS"))</f>
        <v>50:46</v>
      </c>
      <c r="F79" s="53" t="str">
        <f>IF('All Tandem Standards Source'!R80&lt;1/24,TEXT('All Tandem Standards Source'!R80,"M:SS"),TEXT('All Tandem Standards Source'!R80,"H:MM:SS"))</f>
        <v>1:26:53</v>
      </c>
      <c r="G79" s="53" t="str">
        <f>IF('All Tandem Standards Source'!V80&lt;1/24,TEXT('All Tandem Standards Source'!V80,"M:SS"),TEXT('All Tandem Standards Source'!V80,"H:MM:SS"))</f>
        <v>3:06:45</v>
      </c>
      <c r="H79" s="54" t="str">
        <f>TEXT('All Tandem Standards Source'!Z80,"0.00")</f>
        <v>61.22</v>
      </c>
      <c r="I79" s="54" t="str">
        <f>TEXT('All Tandem Standards Source'!AD80,"0.00")</f>
        <v>87.61</v>
      </c>
      <c r="J79" s="57" t="str">
        <f>IF('All Tandem Standards Source'!C80&lt;1/24,TEXT('All Tandem Standards Source'!C80,"M:SS"),TEXT('All Tandem Standards Source'!C80,"H:MM:SS"))</f>
        <v>18:12</v>
      </c>
      <c r="K79" s="57" t="str">
        <f>IF('All Tandem Standards Source'!G80&lt;1/24,TEXT('All Tandem Standards Source'!G80,"M:SS"),TEXT('All Tandem Standards Source'!G80,"H:MM:SS"))</f>
        <v>27:29</v>
      </c>
      <c r="L79" s="57" t="str">
        <f>IF('All Tandem Standards Source'!K80&lt;1/24,TEXT('All Tandem Standards Source'!K80,"M:SS"),TEXT('All Tandem Standards Source'!K80,"H:MM:SS"))</f>
        <v>46:24</v>
      </c>
      <c r="M79" s="57" t="str">
        <f>IF('All Tandem Standards Source'!O80&lt;1/24,TEXT('All Tandem Standards Source'!O80,"M:SS"),TEXT('All Tandem Standards Source'!O80,"H:MM:SS"))</f>
        <v>56:03</v>
      </c>
      <c r="N79" s="57" t="str">
        <f>IF('All Tandem Standards Source'!S80&lt;1/24,TEXT('All Tandem Standards Source'!S80,"M:SS"),TEXT('All Tandem Standards Source'!S80,"H:MM:SS"))</f>
        <v>1:35:57</v>
      </c>
      <c r="O79" s="57" t="str">
        <f>IF('All Tandem Standards Source'!W80&lt;1/24,TEXT('All Tandem Standards Source'!W80,"M:SS"),TEXT('All Tandem Standards Source'!W80,"H:MM:SS"))</f>
        <v>3:26:22</v>
      </c>
      <c r="P79" s="58" t="str">
        <f>TEXT('All Tandem Standards Source'!AA80,"0.00")</f>
        <v>53.18</v>
      </c>
      <c r="Q79" s="58" t="str">
        <f>TEXT('All Tandem Standards Source'!AE80,"0.00")</f>
        <v>78.81</v>
      </c>
      <c r="R79" s="50" t="str">
        <f>IF('All Tandem Standards Source'!D80&lt;1/24,TEXT('All Tandem Standards Source'!D80,"M:SS"),TEXT('All Tandem Standards Source'!D80,"H:MM:SS"))</f>
        <v>17:47</v>
      </c>
      <c r="S79" s="50" t="str">
        <f>IF('All Tandem Standards Source'!H80&lt;1/24,TEXT('All Tandem Standards Source'!H80,"M:SS"),TEXT('All Tandem Standards Source'!H80,"H:MM:SS"))</f>
        <v>26:51</v>
      </c>
      <c r="T79" s="50" t="str">
        <f>IF('All Tandem Standards Source'!L80&lt;1/24,TEXT('All Tandem Standards Source'!L80,"M:SS"),TEXT('All Tandem Standards Source'!L80,"H:MM:SS"))</f>
        <v>45:19</v>
      </c>
      <c r="U79" s="50" t="str">
        <f>IF('All Tandem Standards Source'!P80&lt;1/24,TEXT('All Tandem Standards Source'!P80,"M:SS"),TEXT('All Tandem Standards Source'!P80,"H:MM:SS"))</f>
        <v>54:44</v>
      </c>
      <c r="V79" s="50" t="str">
        <f>IF('All Tandem Standards Source'!T80&lt;1/24,TEXT('All Tandem Standards Source'!T80,"M:SS"),TEXT('All Tandem Standards Source'!T80,"H:MM:SS"))</f>
        <v>1:33:42</v>
      </c>
      <c r="W79" s="50" t="str">
        <f>IF('All Tandem Standards Source'!X80&lt;1/24,TEXT('All Tandem Standards Source'!X80,"M:SS"),TEXT('All Tandem Standards Source'!X80,"H:MM:SS"))</f>
        <v>3:21:29</v>
      </c>
      <c r="X79" s="51" t="str">
        <f>TEXT('All Tandem Standards Source'!AB80,"0.00")</f>
        <v>55.05</v>
      </c>
      <c r="Y79" s="51" t="str">
        <f>TEXT('All Tandem Standards Source'!AF80,"0.00")</f>
        <v>80.92</v>
      </c>
      <c r="Z79" s="55" t="str">
        <f>IF('All Tandem Standards Source'!E80&lt;1/24,TEXT('All Tandem Standards Source'!E80,"M:SS"),TEXT('All Tandem Standards Source'!E80,"H:MM:SS"))</f>
        <v>19:39</v>
      </c>
      <c r="AA79" s="55" t="str">
        <f>IF('All Tandem Standards Source'!I80&lt;1/24,TEXT('All Tandem Standards Source'!I80,"M:SS"),TEXT('All Tandem Standards Source'!I80,"H:MM:SS"))</f>
        <v>29:41</v>
      </c>
      <c r="AB79" s="55" t="str">
        <f>IF('All Tandem Standards Source'!M80&lt;1/24,TEXT('All Tandem Standards Source'!M80,"M:SS"),TEXT('All Tandem Standards Source'!M80,"H:MM:SS"))</f>
        <v>50:06</v>
      </c>
      <c r="AC79" s="55" t="str">
        <f>IF('All Tandem Standards Source'!Q80&lt;1/24,TEXT('All Tandem Standards Source'!Q80,"M:SS"),TEXT('All Tandem Standards Source'!Q80,"H:MM:SS"))</f>
        <v>1:00:31</v>
      </c>
      <c r="AD79" s="55" t="str">
        <f>IF('All Tandem Standards Source'!U80&lt;1/24,TEXT('All Tandem Standards Source'!U80,"M:SS"),TEXT('All Tandem Standards Source'!U80,"H:MM:SS"))</f>
        <v>1:43:37</v>
      </c>
      <c r="AE79" s="55" t="str">
        <f>IF('All Tandem Standards Source'!Y80&lt;1/24,TEXT('All Tandem Standards Source'!Y80,"M:SS"),TEXT('All Tandem Standards Source'!Y80,"H:MM:SS"))</f>
        <v>3:42:59</v>
      </c>
      <c r="AF79" s="56" t="str">
        <f>TEXT('All Tandem Standards Source'!AC80,"0.00")</f>
        <v>47.30</v>
      </c>
      <c r="AG79" s="56" t="str">
        <f>TEXT('All Tandem Standards Source'!AG80,"0.00")</f>
        <v>72.01</v>
      </c>
    </row>
    <row r="80" spans="1:33" x14ac:dyDescent="0.25">
      <c r="A80" s="17">
        <v>87</v>
      </c>
      <c r="B80" s="53" t="str">
        <f>IF('All Tandem Standards Source'!B81&lt;1/24,TEXT('All Tandem Standards Source'!B81,"M:SS"),TEXT('All Tandem Standards Source'!B81,"H:MM:SS"))</f>
        <v>16:42</v>
      </c>
      <c r="C80" s="53" t="str">
        <f>IF('All Tandem Standards Source'!F81&lt;1/24,TEXT('All Tandem Standards Source'!F81,"M:SS"),TEXT('All Tandem Standards Source'!F81,"H:MM:SS"))</f>
        <v>25:13</v>
      </c>
      <c r="D80" s="53" t="str">
        <f>IF('All Tandem Standards Source'!J81&lt;1/24,TEXT('All Tandem Standards Source'!J81,"M:SS"),TEXT('All Tandem Standards Source'!J81,"H:MM:SS"))</f>
        <v>42:35</v>
      </c>
      <c r="E80" s="53" t="str">
        <f>IF('All Tandem Standards Source'!N81&lt;1/24,TEXT('All Tandem Standards Source'!N81,"M:SS"),TEXT('All Tandem Standards Source'!N81,"H:MM:SS"))</f>
        <v>51:26</v>
      </c>
      <c r="F80" s="53" t="str">
        <f>IF('All Tandem Standards Source'!R81&lt;1/24,TEXT('All Tandem Standards Source'!R81,"M:SS"),TEXT('All Tandem Standards Source'!R81,"H:MM:SS"))</f>
        <v>1:28:06</v>
      </c>
      <c r="G80" s="53" t="str">
        <f>IF('All Tandem Standards Source'!V81&lt;1/24,TEXT('All Tandem Standards Source'!V81,"M:SS"),TEXT('All Tandem Standards Source'!V81,"H:MM:SS"))</f>
        <v>3:09:50</v>
      </c>
      <c r="H80" s="54" t="str">
        <f>TEXT('All Tandem Standards Source'!Z81,"0.00")</f>
        <v>59.32</v>
      </c>
      <c r="I80" s="54" t="str">
        <f>TEXT('All Tandem Standards Source'!AD81,"0.00")</f>
        <v>84.14</v>
      </c>
      <c r="J80" s="57" t="str">
        <f>IF('All Tandem Standards Source'!C81&lt;1/24,TEXT('All Tandem Standards Source'!C81,"M:SS"),TEXT('All Tandem Standards Source'!C81,"H:MM:SS"))</f>
        <v>18:26</v>
      </c>
      <c r="K80" s="57" t="str">
        <f>IF('All Tandem Standards Source'!G81&lt;1/24,TEXT('All Tandem Standards Source'!G81,"M:SS"),TEXT('All Tandem Standards Source'!G81,"H:MM:SS"))</f>
        <v>27:50</v>
      </c>
      <c r="L80" s="57" t="str">
        <f>IF('All Tandem Standards Source'!K81&lt;1/24,TEXT('All Tandem Standards Source'!K81,"M:SS"),TEXT('All Tandem Standards Source'!K81,"H:MM:SS"))</f>
        <v>47:01</v>
      </c>
      <c r="M80" s="57" t="str">
        <f>IF('All Tandem Standards Source'!O81&lt;1/24,TEXT('All Tandem Standards Source'!O81,"M:SS"),TEXT('All Tandem Standards Source'!O81,"H:MM:SS"))</f>
        <v>56:48</v>
      </c>
      <c r="N80" s="57" t="str">
        <f>IF('All Tandem Standards Source'!S81&lt;1/24,TEXT('All Tandem Standards Source'!S81,"M:SS"),TEXT('All Tandem Standards Source'!S81,"H:MM:SS"))</f>
        <v>1:37:19</v>
      </c>
      <c r="O80" s="57" t="str">
        <f>IF('All Tandem Standards Source'!W81&lt;1/24,TEXT('All Tandem Standards Source'!W81,"M:SS"),TEXT('All Tandem Standards Source'!W81,"H:MM:SS"))</f>
        <v>3:29:50</v>
      </c>
      <c r="P80" s="58" t="str">
        <f>TEXT('All Tandem Standards Source'!AA81,"0.00")</f>
        <v>51.48</v>
      </c>
      <c r="Q80" s="58" t="str">
        <f>TEXT('All Tandem Standards Source'!AE81,"0.00")</f>
        <v>75.65</v>
      </c>
      <c r="R80" s="50" t="str">
        <f>IF('All Tandem Standards Source'!D81&lt;1/24,TEXT('All Tandem Standards Source'!D81,"M:SS"),TEXT('All Tandem Standards Source'!D81,"H:MM:SS"))</f>
        <v>18:00</v>
      </c>
      <c r="S80" s="50" t="str">
        <f>IF('All Tandem Standards Source'!H81&lt;1/24,TEXT('All Tandem Standards Source'!H81,"M:SS"),TEXT('All Tandem Standards Source'!H81,"H:MM:SS"))</f>
        <v>27:11</v>
      </c>
      <c r="T80" s="50" t="str">
        <f>IF('All Tandem Standards Source'!L81&lt;1/24,TEXT('All Tandem Standards Source'!L81,"M:SS"),TEXT('All Tandem Standards Source'!L81,"H:MM:SS"))</f>
        <v>45:55</v>
      </c>
      <c r="U80" s="50" t="str">
        <f>IF('All Tandem Standards Source'!P81&lt;1/24,TEXT('All Tandem Standards Source'!P81,"M:SS"),TEXT('All Tandem Standards Source'!P81,"H:MM:SS"))</f>
        <v>55:28</v>
      </c>
      <c r="V80" s="50" t="str">
        <f>IF('All Tandem Standards Source'!T81&lt;1/24,TEXT('All Tandem Standards Source'!T81,"M:SS"),TEXT('All Tandem Standards Source'!T81,"H:MM:SS"))</f>
        <v>1:35:01</v>
      </c>
      <c r="W80" s="50" t="str">
        <f>IF('All Tandem Standards Source'!X81&lt;1/24,TEXT('All Tandem Standards Source'!X81,"M:SS"),TEXT('All Tandem Standards Source'!X81,"H:MM:SS"))</f>
        <v>3:24:52</v>
      </c>
      <c r="X80" s="51" t="str">
        <f>TEXT('All Tandem Standards Source'!AB81,"0.00")</f>
        <v>53.31</v>
      </c>
      <c r="Y80" s="51" t="str">
        <f>TEXT('All Tandem Standards Source'!AF81,"0.00")</f>
        <v>77.69</v>
      </c>
      <c r="Z80" s="55" t="str">
        <f>IF('All Tandem Standards Source'!E81&lt;1/24,TEXT('All Tandem Standards Source'!E81,"M:SS"),TEXT('All Tandem Standards Source'!E81,"H:MM:SS"))</f>
        <v>19:55</v>
      </c>
      <c r="AA80" s="55" t="str">
        <f>IF('All Tandem Standards Source'!I81&lt;1/24,TEXT('All Tandem Standards Source'!I81,"M:SS"),TEXT('All Tandem Standards Source'!I81,"H:MM:SS"))</f>
        <v>30:04</v>
      </c>
      <c r="AB80" s="55" t="str">
        <f>IF('All Tandem Standards Source'!M81&lt;1/24,TEXT('All Tandem Standards Source'!M81,"M:SS"),TEXT('All Tandem Standards Source'!M81,"H:MM:SS"))</f>
        <v>50:47</v>
      </c>
      <c r="AC80" s="55" t="str">
        <f>IF('All Tandem Standards Source'!Q81&lt;1/24,TEXT('All Tandem Standards Source'!Q81,"M:SS"),TEXT('All Tandem Standards Source'!Q81,"H:MM:SS"))</f>
        <v>1:01:21</v>
      </c>
      <c r="AD80" s="55" t="str">
        <f>IF('All Tandem Standards Source'!U81&lt;1/24,TEXT('All Tandem Standards Source'!U81,"M:SS"),TEXT('All Tandem Standards Source'!U81,"H:MM:SS"))</f>
        <v>1:45:07</v>
      </c>
      <c r="AE80" s="55" t="str">
        <f>IF('All Tandem Standards Source'!Y81&lt;1/24,TEXT('All Tandem Standards Source'!Y81,"M:SS"),TEXT('All Tandem Standards Source'!Y81,"H:MM:SS"))</f>
        <v>3:46:48</v>
      </c>
      <c r="AF80" s="56" t="str">
        <f>TEXT('All Tandem Standards Source'!AC81,"0.00")</f>
        <v>45.75</v>
      </c>
      <c r="AG80" s="56" t="str">
        <f>TEXT('All Tandem Standards Source'!AG81,"0.00")</f>
        <v>69.09</v>
      </c>
    </row>
    <row r="81" spans="1:33" x14ac:dyDescent="0.25">
      <c r="A81" s="17">
        <v>88</v>
      </c>
      <c r="B81" s="53" t="str">
        <f>IF('All Tandem Standards Source'!B82&lt;1/24,TEXT('All Tandem Standards Source'!B82,"M:SS"),TEXT('All Tandem Standards Source'!B82,"H:MM:SS"))</f>
        <v>16:55</v>
      </c>
      <c r="C81" s="53" t="str">
        <f>IF('All Tandem Standards Source'!F82&lt;1/24,TEXT('All Tandem Standards Source'!F82,"M:SS"),TEXT('All Tandem Standards Source'!F82,"H:MM:SS"))</f>
        <v>25:33</v>
      </c>
      <c r="D81" s="53" t="str">
        <f>IF('All Tandem Standards Source'!J82&lt;1/24,TEXT('All Tandem Standards Source'!J82,"M:SS"),TEXT('All Tandem Standards Source'!J82,"H:MM:SS"))</f>
        <v>43:09</v>
      </c>
      <c r="E81" s="53" t="str">
        <f>IF('All Tandem Standards Source'!N82&lt;1/24,TEXT('All Tandem Standards Source'!N82,"M:SS"),TEXT('All Tandem Standards Source'!N82,"H:MM:SS"))</f>
        <v>52:08</v>
      </c>
      <c r="F81" s="53" t="str">
        <f>IF('All Tandem Standards Source'!R82&lt;1/24,TEXT('All Tandem Standards Source'!R82,"M:SS"),TEXT('All Tandem Standards Source'!R82,"H:MM:SS"))</f>
        <v>1:29:23</v>
      </c>
      <c r="G81" s="53" t="str">
        <f>IF('All Tandem Standards Source'!V82&lt;1/24,TEXT('All Tandem Standards Source'!V82,"M:SS"),TEXT('All Tandem Standards Source'!V82,"H:MM:SS"))</f>
        <v>3:13:08</v>
      </c>
      <c r="H81" s="54" t="str">
        <f>TEXT('All Tandem Standards Source'!Z82,"0.00")</f>
        <v>57.39</v>
      </c>
      <c r="I81" s="54" t="str">
        <f>TEXT('All Tandem Standards Source'!AD82,"0.00")</f>
        <v>80.61</v>
      </c>
      <c r="J81" s="57" t="str">
        <f>IF('All Tandem Standards Source'!C82&lt;1/24,TEXT('All Tandem Standards Source'!C82,"M:SS"),TEXT('All Tandem Standards Source'!C82,"H:MM:SS"))</f>
        <v>18:41</v>
      </c>
      <c r="K81" s="57" t="str">
        <f>IF('All Tandem Standards Source'!G82&lt;1/24,TEXT('All Tandem Standards Source'!G82,"M:SS"),TEXT('All Tandem Standards Source'!G82,"H:MM:SS"))</f>
        <v>28:12</v>
      </c>
      <c r="L81" s="57" t="str">
        <f>IF('All Tandem Standards Source'!K82&lt;1/24,TEXT('All Tandem Standards Source'!K82,"M:SS"),TEXT('All Tandem Standards Source'!K82,"H:MM:SS"))</f>
        <v>47:39</v>
      </c>
      <c r="M81" s="57" t="str">
        <f>IF('All Tandem Standards Source'!O82&lt;1/24,TEXT('All Tandem Standards Source'!O82,"M:SS"),TEXT('All Tandem Standards Source'!O82,"H:MM:SS"))</f>
        <v>57:35</v>
      </c>
      <c r="N81" s="57" t="str">
        <f>IF('All Tandem Standards Source'!S82&lt;1/24,TEXT('All Tandem Standards Source'!S82,"M:SS"),TEXT('All Tandem Standards Source'!S82,"H:MM:SS"))</f>
        <v>1:38:46</v>
      </c>
      <c r="O81" s="57" t="str">
        <f>IF('All Tandem Standards Source'!W82&lt;1/24,TEXT('All Tandem Standards Source'!W82,"M:SS"),TEXT('All Tandem Standards Source'!W82,"H:MM:SS"))</f>
        <v>3:33:34</v>
      </c>
      <c r="P81" s="58" t="str">
        <f>TEXT('All Tandem Standards Source'!AA82,"0.00")</f>
        <v>49.76</v>
      </c>
      <c r="Q81" s="58" t="str">
        <f>TEXT('All Tandem Standards Source'!AE82,"0.00")</f>
        <v>72.45</v>
      </c>
      <c r="R81" s="50" t="str">
        <f>IF('All Tandem Standards Source'!D82&lt;1/24,TEXT('All Tandem Standards Source'!D82,"M:SS"),TEXT('All Tandem Standards Source'!D82,"H:MM:SS"))</f>
        <v>18:14</v>
      </c>
      <c r="S81" s="50" t="str">
        <f>IF('All Tandem Standards Source'!H82&lt;1/24,TEXT('All Tandem Standards Source'!H82,"M:SS"),TEXT('All Tandem Standards Source'!H82,"H:MM:SS"))</f>
        <v>27:33</v>
      </c>
      <c r="T81" s="50" t="str">
        <f>IF('All Tandem Standards Source'!L82&lt;1/24,TEXT('All Tandem Standards Source'!L82,"M:SS"),TEXT('All Tandem Standards Source'!L82,"H:MM:SS"))</f>
        <v>46:32</v>
      </c>
      <c r="U81" s="50" t="str">
        <f>IF('All Tandem Standards Source'!P82&lt;1/24,TEXT('All Tandem Standards Source'!P82,"M:SS"),TEXT('All Tandem Standards Source'!P82,"H:MM:SS"))</f>
        <v>56:14</v>
      </c>
      <c r="V81" s="50" t="str">
        <f>IF('All Tandem Standards Source'!T82&lt;1/24,TEXT('All Tandem Standards Source'!T82,"M:SS"),TEXT('All Tandem Standards Source'!T82,"H:MM:SS"))</f>
        <v>1:36:26</v>
      </c>
      <c r="W81" s="50" t="str">
        <f>IF('All Tandem Standards Source'!X82&lt;1/24,TEXT('All Tandem Standards Source'!X82,"M:SS"),TEXT('All Tandem Standards Source'!X82,"H:MM:SS"))</f>
        <v>3:28:29</v>
      </c>
      <c r="X81" s="51" t="str">
        <f>TEXT('All Tandem Standards Source'!AB82,"0.00")</f>
        <v>51.54</v>
      </c>
      <c r="Y81" s="51" t="str">
        <f>TEXT('All Tandem Standards Source'!AF82,"0.00")</f>
        <v>74.41</v>
      </c>
      <c r="Z81" s="55" t="str">
        <f>IF('All Tandem Standards Source'!E82&lt;1/24,TEXT('All Tandem Standards Source'!E82,"M:SS"),TEXT('All Tandem Standards Source'!E82,"H:MM:SS"))</f>
        <v>20:11</v>
      </c>
      <c r="AA81" s="55" t="str">
        <f>IF('All Tandem Standards Source'!I82&lt;1/24,TEXT('All Tandem Standards Source'!I82,"M:SS"),TEXT('All Tandem Standards Source'!I82,"H:MM:SS"))</f>
        <v>30:28</v>
      </c>
      <c r="AB81" s="55" t="str">
        <f>IF('All Tandem Standards Source'!M82&lt;1/24,TEXT('All Tandem Standards Source'!M82,"M:SS"),TEXT('All Tandem Standards Source'!M82,"H:MM:SS"))</f>
        <v>51:29</v>
      </c>
      <c r="AC81" s="55" t="str">
        <f>IF('All Tandem Standards Source'!Q82&lt;1/24,TEXT('All Tandem Standards Source'!Q82,"M:SS"),TEXT('All Tandem Standards Source'!Q82,"H:MM:SS"))</f>
        <v>1:02:12</v>
      </c>
      <c r="AD81" s="55" t="str">
        <f>IF('All Tandem Standards Source'!U82&lt;1/24,TEXT('All Tandem Standards Source'!U82,"M:SS"),TEXT('All Tandem Standards Source'!U82,"H:MM:SS"))</f>
        <v>1:46:42</v>
      </c>
      <c r="AE81" s="55" t="str">
        <f>IF('All Tandem Standards Source'!Y82&lt;1/24,TEXT('All Tandem Standards Source'!Y82,"M:SS"),TEXT('All Tandem Standards Source'!Y82,"H:MM:SS"))</f>
        <v>3:50:52</v>
      </c>
      <c r="AF81" s="56" t="str">
        <f>TEXT('All Tandem Standards Source'!AC82,"0.00")</f>
        <v>44.17</v>
      </c>
      <c r="AG81" s="56" t="str">
        <f>TEXT('All Tandem Standards Source'!AG82,"0.00")</f>
        <v>66.12</v>
      </c>
    </row>
    <row r="82" spans="1:33" x14ac:dyDescent="0.25">
      <c r="A82" s="17">
        <v>89</v>
      </c>
      <c r="B82" s="53" t="str">
        <f>IF('All Tandem Standards Source'!B83&lt;1/24,TEXT('All Tandem Standards Source'!B83,"M:SS"),TEXT('All Tandem Standards Source'!B83,"H:MM:SS"))</f>
        <v>17:09</v>
      </c>
      <c r="C82" s="53" t="str">
        <f>IF('All Tandem Standards Source'!F83&lt;1/24,TEXT('All Tandem Standards Source'!F83,"M:SS"),TEXT('All Tandem Standards Source'!F83,"H:MM:SS"))</f>
        <v>25:53</v>
      </c>
      <c r="D82" s="53" t="str">
        <f>IF('All Tandem Standards Source'!J83&lt;1/24,TEXT('All Tandem Standards Source'!J83,"M:SS"),TEXT('All Tandem Standards Source'!J83,"H:MM:SS"))</f>
        <v>43:45</v>
      </c>
      <c r="E82" s="53" t="str">
        <f>IF('All Tandem Standards Source'!N83&lt;1/24,TEXT('All Tandem Standards Source'!N83,"M:SS"),TEXT('All Tandem Standards Source'!N83,"H:MM:SS"))</f>
        <v>52:52</v>
      </c>
      <c r="F82" s="53" t="str">
        <f>IF('All Tandem Standards Source'!R83&lt;1/24,TEXT('All Tandem Standards Source'!R83,"M:SS"),TEXT('All Tandem Standards Source'!R83,"H:MM:SS"))</f>
        <v>1:30:44</v>
      </c>
      <c r="G82" s="53" t="str">
        <f>IF('All Tandem Standards Source'!V83&lt;1/24,TEXT('All Tandem Standards Source'!V83,"M:SS"),TEXT('All Tandem Standards Source'!V83,"H:MM:SS"))</f>
        <v>3:16:40</v>
      </c>
      <c r="H82" s="54" t="str">
        <f>TEXT('All Tandem Standards Source'!Z83,"0.00")</f>
        <v>55.43</v>
      </c>
      <c r="I82" s="54" t="str">
        <f>TEXT('All Tandem Standards Source'!AD83,"0.00")</f>
        <v>77.03</v>
      </c>
      <c r="J82" s="57" t="str">
        <f>IF('All Tandem Standards Source'!C83&lt;1/24,TEXT('All Tandem Standards Source'!C83,"M:SS"),TEXT('All Tandem Standards Source'!C83,"H:MM:SS"))</f>
        <v>18:56</v>
      </c>
      <c r="K82" s="57" t="str">
        <f>IF('All Tandem Standards Source'!G83&lt;1/24,TEXT('All Tandem Standards Source'!G83,"M:SS"),TEXT('All Tandem Standards Source'!G83,"H:MM:SS"))</f>
        <v>28:36</v>
      </c>
      <c r="L82" s="57" t="str">
        <f>IF('All Tandem Standards Source'!K83&lt;1/24,TEXT('All Tandem Standards Source'!K83,"M:SS"),TEXT('All Tandem Standards Source'!K83,"H:MM:SS"))</f>
        <v>48:20</v>
      </c>
      <c r="M82" s="57" t="str">
        <f>IF('All Tandem Standards Source'!O83&lt;1/24,TEXT('All Tandem Standards Source'!O83,"M:SS"),TEXT('All Tandem Standards Source'!O83,"H:MM:SS"))</f>
        <v>58:25</v>
      </c>
      <c r="N82" s="57" t="str">
        <f>IF('All Tandem Standards Source'!S83&lt;1/24,TEXT('All Tandem Standards Source'!S83,"M:SS"),TEXT('All Tandem Standards Source'!S83,"H:MM:SS"))</f>
        <v>1:40:17</v>
      </c>
      <c r="O82" s="57" t="str">
        <f>IF('All Tandem Standards Source'!W83&lt;1/24,TEXT('All Tandem Standards Source'!W83,"M:SS"),TEXT('All Tandem Standards Source'!W83,"H:MM:SS"))</f>
        <v>3:37:33</v>
      </c>
      <c r="P82" s="58" t="str">
        <f>TEXT('All Tandem Standards Source'!AA83,"0.00")</f>
        <v>48.00</v>
      </c>
      <c r="Q82" s="58" t="str">
        <f>TEXT('All Tandem Standards Source'!AE83,"0.00")</f>
        <v>69.20</v>
      </c>
      <c r="R82" s="50" t="str">
        <f>IF('All Tandem Standards Source'!D83&lt;1/24,TEXT('All Tandem Standards Source'!D83,"M:SS"),TEXT('All Tandem Standards Source'!D83,"H:MM:SS"))</f>
        <v>18:29</v>
      </c>
      <c r="S82" s="50" t="str">
        <f>IF('All Tandem Standards Source'!H83&lt;1/24,TEXT('All Tandem Standards Source'!H83,"M:SS"),TEXT('All Tandem Standards Source'!H83,"H:MM:SS"))</f>
        <v>27:56</v>
      </c>
      <c r="T82" s="50" t="str">
        <f>IF('All Tandem Standards Source'!L83&lt;1/24,TEXT('All Tandem Standards Source'!L83,"M:SS"),TEXT('All Tandem Standards Source'!L83,"H:MM:SS"))</f>
        <v>47:12</v>
      </c>
      <c r="U82" s="50" t="str">
        <f>IF('All Tandem Standards Source'!P83&lt;1/24,TEXT('All Tandem Standards Source'!P83,"M:SS"),TEXT('All Tandem Standards Source'!P83,"H:MM:SS"))</f>
        <v>57:03</v>
      </c>
      <c r="V82" s="50" t="str">
        <f>IF('All Tandem Standards Source'!T83&lt;1/24,TEXT('All Tandem Standards Source'!T83,"M:SS"),TEXT('All Tandem Standards Source'!T83,"H:MM:SS"))</f>
        <v>1:37:55</v>
      </c>
      <c r="W82" s="50" t="str">
        <f>IF('All Tandem Standards Source'!X83&lt;1/24,TEXT('All Tandem Standards Source'!X83,"M:SS"),TEXT('All Tandem Standards Source'!X83,"H:MM:SS"))</f>
        <v>3:32:22</v>
      </c>
      <c r="X82" s="51" t="str">
        <f>TEXT('All Tandem Standards Source'!AB83,"0.00")</f>
        <v>49.74</v>
      </c>
      <c r="Y82" s="51" t="str">
        <f>TEXT('All Tandem Standards Source'!AF83,"0.00")</f>
        <v>71.07</v>
      </c>
      <c r="Z82" s="55" t="str">
        <f>IF('All Tandem Standards Source'!E83&lt;1/24,TEXT('All Tandem Standards Source'!E83,"M:SS"),TEXT('All Tandem Standards Source'!E83,"H:MM:SS"))</f>
        <v>20:27</v>
      </c>
      <c r="AA82" s="55" t="str">
        <f>IF('All Tandem Standards Source'!I83&lt;1/24,TEXT('All Tandem Standards Source'!I83,"M:SS"),TEXT('All Tandem Standards Source'!I83,"H:MM:SS"))</f>
        <v>30:54</v>
      </c>
      <c r="AB82" s="55" t="str">
        <f>IF('All Tandem Standards Source'!M83&lt;1/24,TEXT('All Tandem Standards Source'!M83,"M:SS"),TEXT('All Tandem Standards Source'!M83,"H:MM:SS"))</f>
        <v>52:13</v>
      </c>
      <c r="AC82" s="55" t="str">
        <f>IF('All Tandem Standards Source'!Q83&lt;1/24,TEXT('All Tandem Standards Source'!Q83,"M:SS"),TEXT('All Tandem Standards Source'!Q83,"H:MM:SS"))</f>
        <v>1:03:07</v>
      </c>
      <c r="AD82" s="55" t="str">
        <f>IF('All Tandem Standards Source'!U83&lt;1/24,TEXT('All Tandem Standards Source'!U83,"M:SS"),TEXT('All Tandem Standards Source'!U83,"H:MM:SS"))</f>
        <v>1:48:23</v>
      </c>
      <c r="AE82" s="55" t="str">
        <f>IF('All Tandem Standards Source'!Y83&lt;1/24,TEXT('All Tandem Standards Source'!Y83,"M:SS"),TEXT('All Tandem Standards Source'!Y83,"H:MM:SS"))</f>
        <v>3:55:14</v>
      </c>
      <c r="AF82" s="56" t="str">
        <f>TEXT('All Tandem Standards Source'!AC83,"0.00")</f>
        <v>42.56</v>
      </c>
      <c r="AG82" s="56" t="str">
        <f>TEXT('All Tandem Standards Source'!AG83,"0.00")</f>
        <v>63.10</v>
      </c>
    </row>
    <row r="83" spans="1:33" x14ac:dyDescent="0.25">
      <c r="A83" s="17">
        <v>90</v>
      </c>
      <c r="B83" s="53" t="str">
        <f>IF('All Tandem Standards Source'!B84&lt;1/24,TEXT('All Tandem Standards Source'!B84,"M:SS"),TEXT('All Tandem Standards Source'!B84,"H:MM:SS"))</f>
        <v>17:23</v>
      </c>
      <c r="C83" s="53" t="str">
        <f>IF('All Tandem Standards Source'!F84&lt;1/24,TEXT('All Tandem Standards Source'!F84,"M:SS"),TEXT('All Tandem Standards Source'!F84,"H:MM:SS"))</f>
        <v>26:15</v>
      </c>
      <c r="D83" s="53" t="str">
        <f>IF('All Tandem Standards Source'!J84&lt;1/24,TEXT('All Tandem Standards Source'!J84,"M:SS"),TEXT('All Tandem Standards Source'!J84,"H:MM:SS"))</f>
        <v>44:24</v>
      </c>
      <c r="E83" s="53" t="str">
        <f>IF('All Tandem Standards Source'!N84&lt;1/24,TEXT('All Tandem Standards Source'!N84,"M:SS"),TEXT('All Tandem Standards Source'!N84,"H:MM:SS"))</f>
        <v>53:39</v>
      </c>
      <c r="F83" s="53" t="str">
        <f>IF('All Tandem Standards Source'!R84&lt;1/24,TEXT('All Tandem Standards Source'!R84,"M:SS"),TEXT('All Tandem Standards Source'!R84,"H:MM:SS"))</f>
        <v>1:32:11</v>
      </c>
      <c r="G83" s="53" t="str">
        <f>IF('All Tandem Standards Source'!V84&lt;1/24,TEXT('All Tandem Standards Source'!V84,"M:SS"),TEXT('All Tandem Standards Source'!V84,"H:MM:SS"))</f>
        <v>3:20:27</v>
      </c>
      <c r="H83" s="54" t="str">
        <f>TEXT('All Tandem Standards Source'!Z84,"0.00")</f>
        <v>53.42</v>
      </c>
      <c r="I83" s="54" t="str">
        <f>TEXT('All Tandem Standards Source'!AD84,"0.00")</f>
        <v>73.40</v>
      </c>
      <c r="J83" s="57" t="str">
        <f>IF('All Tandem Standards Source'!C84&lt;1/24,TEXT('All Tandem Standards Source'!C84,"M:SS"),TEXT('All Tandem Standards Source'!C84,"H:MM:SS"))</f>
        <v>19:12</v>
      </c>
      <c r="K83" s="57" t="str">
        <f>IF('All Tandem Standards Source'!G84&lt;1/24,TEXT('All Tandem Standards Source'!G84,"M:SS"),TEXT('All Tandem Standards Source'!G84,"H:MM:SS"))</f>
        <v>29:00</v>
      </c>
      <c r="L83" s="57" t="str">
        <f>IF('All Tandem Standards Source'!K84&lt;1/24,TEXT('All Tandem Standards Source'!K84,"M:SS"),TEXT('All Tandem Standards Source'!K84,"H:MM:SS"))</f>
        <v>49:03</v>
      </c>
      <c r="M83" s="57" t="str">
        <f>IF('All Tandem Standards Source'!O84&lt;1/24,TEXT('All Tandem Standards Source'!O84,"M:SS"),TEXT('All Tandem Standards Source'!O84,"H:MM:SS"))</f>
        <v>59:18</v>
      </c>
      <c r="N83" s="57" t="str">
        <f>IF('All Tandem Standards Source'!S84&lt;1/24,TEXT('All Tandem Standards Source'!S84,"M:SS"),TEXT('All Tandem Standards Source'!S84,"H:MM:SS"))</f>
        <v>1:41:55</v>
      </c>
      <c r="O83" s="57" t="str">
        <f>IF('All Tandem Standards Source'!W84&lt;1/24,TEXT('All Tandem Standards Source'!W84,"M:SS"),TEXT('All Tandem Standards Source'!W84,"H:MM:SS"))</f>
        <v>3:41:49</v>
      </c>
      <c r="P83" s="58" t="str">
        <f>TEXT('All Tandem Standards Source'!AA84,"0.00")</f>
        <v>46.21</v>
      </c>
      <c r="Q83" s="58" t="str">
        <f>TEXT('All Tandem Standards Source'!AE84,"0.00")</f>
        <v>65.89</v>
      </c>
      <c r="R83" s="50" t="str">
        <f>IF('All Tandem Standards Source'!D84&lt;1/24,TEXT('All Tandem Standards Source'!D84,"M:SS"),TEXT('All Tandem Standards Source'!D84,"H:MM:SS"))</f>
        <v>18:45</v>
      </c>
      <c r="S83" s="50" t="str">
        <f>IF('All Tandem Standards Source'!H84&lt;1/24,TEXT('All Tandem Standards Source'!H84,"M:SS"),TEXT('All Tandem Standards Source'!H84,"H:MM:SS"))</f>
        <v>28:20</v>
      </c>
      <c r="T83" s="50" t="str">
        <f>IF('All Tandem Standards Source'!L84&lt;1/24,TEXT('All Tandem Standards Source'!L84,"M:SS"),TEXT('All Tandem Standards Source'!L84,"H:MM:SS"))</f>
        <v>47:54</v>
      </c>
      <c r="U83" s="50" t="str">
        <f>IF('All Tandem Standards Source'!P84&lt;1/24,TEXT('All Tandem Standards Source'!P84,"M:SS"),TEXT('All Tandem Standards Source'!P84,"H:MM:SS"))</f>
        <v>57:54</v>
      </c>
      <c r="V83" s="50" t="str">
        <f>IF('All Tandem Standards Source'!T84&lt;1/24,TEXT('All Tandem Standards Source'!T84,"M:SS"),TEXT('All Tandem Standards Source'!T84,"H:MM:SS"))</f>
        <v>1:39:30</v>
      </c>
      <c r="W83" s="50" t="str">
        <f>IF('All Tandem Standards Source'!X84&lt;1/24,TEXT('All Tandem Standards Source'!X84,"M:SS"),TEXT('All Tandem Standards Source'!X84,"H:MM:SS"))</f>
        <v>3:36:31</v>
      </c>
      <c r="X83" s="51" t="str">
        <f>TEXT('All Tandem Standards Source'!AB84,"0.00")</f>
        <v>47.90</v>
      </c>
      <c r="Y83" s="51" t="str">
        <f>TEXT('All Tandem Standards Source'!AF84,"0.00")</f>
        <v>67.69</v>
      </c>
      <c r="Z83" s="55" t="str">
        <f>IF('All Tandem Standards Source'!E84&lt;1/24,TEXT('All Tandem Standards Source'!E84,"M:SS"),TEXT('All Tandem Standards Source'!E84,"H:MM:SS"))</f>
        <v>20:45</v>
      </c>
      <c r="AA83" s="55" t="str">
        <f>IF('All Tandem Standards Source'!I84&lt;1/24,TEXT('All Tandem Standards Source'!I84,"M:SS"),TEXT('All Tandem Standards Source'!I84,"H:MM:SS"))</f>
        <v>31:21</v>
      </c>
      <c r="AB83" s="55" t="str">
        <f>IF('All Tandem Standards Source'!M84&lt;1/24,TEXT('All Tandem Standards Source'!M84,"M:SS"),TEXT('All Tandem Standards Source'!M84,"H:MM:SS"))</f>
        <v>53:00</v>
      </c>
      <c r="AC83" s="55" t="str">
        <f>IF('All Tandem Standards Source'!Q84&lt;1/24,TEXT('All Tandem Standards Source'!Q84,"M:SS"),TEXT('All Tandem Standards Source'!Q84,"H:MM:SS"))</f>
        <v>1:04:05</v>
      </c>
      <c r="AD83" s="55" t="str">
        <f>IF('All Tandem Standards Source'!U84&lt;1/24,TEXT('All Tandem Standards Source'!U84,"M:SS"),TEXT('All Tandem Standards Source'!U84,"H:MM:SS"))</f>
        <v>1:50:10</v>
      </c>
      <c r="AE83" s="55" t="str">
        <f>IF('All Tandem Standards Source'!Y84&lt;1/24,TEXT('All Tandem Standards Source'!Y84,"M:SS"),TEXT('All Tandem Standards Source'!Y84,"H:MM:SS"))</f>
        <v>3:59:55</v>
      </c>
      <c r="AF83" s="56" t="str">
        <f>TEXT('All Tandem Standards Source'!AC84,"0.00")</f>
        <v>40.91</v>
      </c>
      <c r="AG83" s="56" t="str">
        <f>TEXT('All Tandem Standards Source'!AG84,"0.00")</f>
        <v>60.03</v>
      </c>
    </row>
    <row r="84" spans="1:33" x14ac:dyDescent="0.25">
      <c r="A84" s="17">
        <v>91</v>
      </c>
      <c r="B84" s="53" t="str">
        <f>IF('All Tandem Standards Source'!B85&lt;1/24,TEXT('All Tandem Standards Source'!B85,"M:SS"),TEXT('All Tandem Standards Source'!B85,"H:MM:SS"))</f>
        <v>17:38</v>
      </c>
      <c r="C84" s="53" t="str">
        <f>IF('All Tandem Standards Source'!F85&lt;1/24,TEXT('All Tandem Standards Source'!F85,"M:SS"),TEXT('All Tandem Standards Source'!F85,"H:MM:SS"))</f>
        <v>26:38</v>
      </c>
      <c r="D84" s="53" t="str">
        <f>IF('All Tandem Standards Source'!J85&lt;1/24,TEXT('All Tandem Standards Source'!J85,"M:SS"),TEXT('All Tandem Standards Source'!J85,"H:MM:SS"))</f>
        <v>45:04</v>
      </c>
      <c r="E84" s="53" t="str">
        <f>IF('All Tandem Standards Source'!N85&lt;1/24,TEXT('All Tandem Standards Source'!N85,"M:SS"),TEXT('All Tandem Standards Source'!N85,"H:MM:SS"))</f>
        <v>54:29</v>
      </c>
      <c r="F84" s="53" t="str">
        <f>IF('All Tandem Standards Source'!R85&lt;1/24,TEXT('All Tandem Standards Source'!R85,"M:SS"),TEXT('All Tandem Standards Source'!R85,"H:MM:SS"))</f>
        <v>1:33:43</v>
      </c>
      <c r="G84" s="53" t="str">
        <f>IF('All Tandem Standards Source'!V85&lt;1/24,TEXT('All Tandem Standards Source'!V85,"M:SS"),TEXT('All Tandem Standards Source'!V85,"H:MM:SS"))</f>
        <v>3:24:33</v>
      </c>
      <c r="H84" s="54" t="str">
        <f>TEXT('All Tandem Standards Source'!Z85,"0.00")</f>
        <v>51.39</v>
      </c>
      <c r="I84" s="54" t="str">
        <f>TEXT('All Tandem Standards Source'!AD85,"0.00")</f>
        <v>69.73</v>
      </c>
      <c r="J84" s="57" t="str">
        <f>IF('All Tandem Standards Source'!C85&lt;1/24,TEXT('All Tandem Standards Source'!C85,"M:SS"),TEXT('All Tandem Standards Source'!C85,"H:MM:SS"))</f>
        <v>19:29</v>
      </c>
      <c r="K84" s="57" t="str">
        <f>IF('All Tandem Standards Source'!G85&lt;1/24,TEXT('All Tandem Standards Source'!G85,"M:SS"),TEXT('All Tandem Standards Source'!G85,"H:MM:SS"))</f>
        <v>29:27</v>
      </c>
      <c r="L84" s="57" t="str">
        <f>IF('All Tandem Standards Source'!K85&lt;1/24,TEXT('All Tandem Standards Source'!K85,"M:SS"),TEXT('All Tandem Standards Source'!K85,"H:MM:SS"))</f>
        <v>49:49</v>
      </c>
      <c r="M84" s="57" t="str">
        <f>IF('All Tandem Standards Source'!O85&lt;1/24,TEXT('All Tandem Standards Source'!O85,"M:SS"),TEXT('All Tandem Standards Source'!O85,"H:MM:SS"))</f>
        <v>1:00:14</v>
      </c>
      <c r="N84" s="57" t="str">
        <f>IF('All Tandem Standards Source'!S85&lt;1/24,TEXT('All Tandem Standards Source'!S85,"M:SS"),TEXT('All Tandem Standards Source'!S85,"H:MM:SS"))</f>
        <v>1:43:39</v>
      </c>
      <c r="O84" s="57" t="str">
        <f>IF('All Tandem Standards Source'!W85&lt;1/24,TEXT('All Tandem Standards Source'!W85,"M:SS"),TEXT('All Tandem Standards Source'!W85,"H:MM:SS"))</f>
        <v>3:46:25</v>
      </c>
      <c r="P84" s="58" t="str">
        <f>TEXT('All Tandem Standards Source'!AA85,"0.00")</f>
        <v>44.39</v>
      </c>
      <c r="Q84" s="58" t="str">
        <f>TEXT('All Tandem Standards Source'!AE85,"0.00")</f>
        <v>62.54</v>
      </c>
      <c r="R84" s="50" t="str">
        <f>IF('All Tandem Standards Source'!D85&lt;1/24,TEXT('All Tandem Standards Source'!D85,"M:SS"),TEXT('All Tandem Standards Source'!D85,"H:MM:SS"))</f>
        <v>19:01</v>
      </c>
      <c r="S84" s="50" t="str">
        <f>IF('All Tandem Standards Source'!H85&lt;1/24,TEXT('All Tandem Standards Source'!H85,"M:SS"),TEXT('All Tandem Standards Source'!H85,"H:MM:SS"))</f>
        <v>28:45</v>
      </c>
      <c r="T84" s="50" t="str">
        <f>IF('All Tandem Standards Source'!L85&lt;1/24,TEXT('All Tandem Standards Source'!L85,"M:SS"),TEXT('All Tandem Standards Source'!L85,"H:MM:SS"))</f>
        <v>48:38</v>
      </c>
      <c r="U84" s="50" t="str">
        <f>IF('All Tandem Standards Source'!P85&lt;1/24,TEXT('All Tandem Standards Source'!P85,"M:SS"),TEXT('All Tandem Standards Source'!P85,"H:MM:SS"))</f>
        <v>58:49</v>
      </c>
      <c r="V84" s="50" t="str">
        <f>IF('All Tandem Standards Source'!T85&lt;1/24,TEXT('All Tandem Standards Source'!T85,"M:SS"),TEXT('All Tandem Standards Source'!T85,"H:MM:SS"))</f>
        <v>1:41:11</v>
      </c>
      <c r="W84" s="50" t="str">
        <f>IF('All Tandem Standards Source'!X85&lt;1/24,TEXT('All Tandem Standards Source'!X85,"M:SS"),TEXT('All Tandem Standards Source'!X85,"H:MM:SS"))</f>
        <v>3:41:00</v>
      </c>
      <c r="X84" s="51" t="str">
        <f>TEXT('All Tandem Standards Source'!AB85,"0.00")</f>
        <v>46.03</v>
      </c>
      <c r="Y84" s="51" t="str">
        <f>TEXT('All Tandem Standards Source'!AF85,"0.00")</f>
        <v>64.26</v>
      </c>
      <c r="Z84" s="55" t="str">
        <f>IF('All Tandem Standards Source'!E85&lt;1/24,TEXT('All Tandem Standards Source'!E85,"M:SS"),TEXT('All Tandem Standards Source'!E85,"H:MM:SS"))</f>
        <v>21:03</v>
      </c>
      <c r="AA84" s="55" t="str">
        <f>IF('All Tandem Standards Source'!I85&lt;1/24,TEXT('All Tandem Standards Source'!I85,"M:SS"),TEXT('All Tandem Standards Source'!I85,"H:MM:SS"))</f>
        <v>31:49</v>
      </c>
      <c r="AB84" s="55" t="str">
        <f>IF('All Tandem Standards Source'!M85&lt;1/24,TEXT('All Tandem Standards Source'!M85,"M:SS"),TEXT('All Tandem Standards Source'!M85,"H:MM:SS"))</f>
        <v>53:51</v>
      </c>
      <c r="AC84" s="55" t="str">
        <f>IF('All Tandem Standards Source'!Q85&lt;1/24,TEXT('All Tandem Standards Source'!Q85,"M:SS"),TEXT('All Tandem Standards Source'!Q85,"H:MM:SS"))</f>
        <v>1:05:07</v>
      </c>
      <c r="AD84" s="55" t="str">
        <f>IF('All Tandem Standards Source'!U85&lt;1/24,TEXT('All Tandem Standards Source'!U85,"M:SS"),TEXT('All Tandem Standards Source'!U85,"H:MM:SS"))</f>
        <v>1:52:03</v>
      </c>
      <c r="AE84" s="55" t="str">
        <f>IF('All Tandem Standards Source'!Y85&lt;1/24,TEXT('All Tandem Standards Source'!Y85,"M:SS"),TEXT('All Tandem Standards Source'!Y85,"H:MM:SS"))</f>
        <v>4:04:58</v>
      </c>
      <c r="AF84" s="56" t="str">
        <f>TEXT('All Tandem Standards Source'!AC85,"0.00")</f>
        <v>39.24</v>
      </c>
      <c r="AG84" s="56" t="str">
        <f>TEXT('All Tandem Standards Source'!AG85,"0.00")</f>
        <v>56.91</v>
      </c>
    </row>
    <row r="85" spans="1:33" x14ac:dyDescent="0.25">
      <c r="A85" s="17">
        <v>92</v>
      </c>
      <c r="B85" s="53" t="str">
        <f>IF('All Tandem Standards Source'!B86&lt;1/24,TEXT('All Tandem Standards Source'!B86,"M:SS"),TEXT('All Tandem Standards Source'!B86,"H:MM:SS"))</f>
        <v>17:54</v>
      </c>
      <c r="C85" s="53" t="str">
        <f>IF('All Tandem Standards Source'!F86&lt;1/24,TEXT('All Tandem Standards Source'!F86,"M:SS"),TEXT('All Tandem Standards Source'!F86,"H:MM:SS"))</f>
        <v>27:03</v>
      </c>
      <c r="D85" s="53" t="str">
        <f>IF('All Tandem Standards Source'!J86&lt;1/24,TEXT('All Tandem Standards Source'!J86,"M:SS"),TEXT('All Tandem Standards Source'!J86,"H:MM:SS"))</f>
        <v>45:47</v>
      </c>
      <c r="E85" s="53" t="str">
        <f>IF('All Tandem Standards Source'!N86&lt;1/24,TEXT('All Tandem Standards Source'!N86,"M:SS"),TEXT('All Tandem Standards Source'!N86,"H:MM:SS"))</f>
        <v>55:23</v>
      </c>
      <c r="F85" s="53" t="str">
        <f>IF('All Tandem Standards Source'!R86&lt;1/24,TEXT('All Tandem Standards Source'!R86,"M:SS"),TEXT('All Tandem Standards Source'!R86,"H:MM:SS"))</f>
        <v>1:35:22</v>
      </c>
      <c r="G85" s="53" t="str">
        <f>IF('All Tandem Standards Source'!V86&lt;1/24,TEXT('All Tandem Standards Source'!V86,"M:SS"),TEXT('All Tandem Standards Source'!V86,"H:MM:SS"))</f>
        <v>3:28:58</v>
      </c>
      <c r="H85" s="54" t="str">
        <f>TEXT('All Tandem Standards Source'!Z86,"0.00")</f>
        <v>49.31</v>
      </c>
      <c r="I85" s="54" t="str">
        <f>TEXT('All Tandem Standards Source'!AD86,"0.00")</f>
        <v>65.99</v>
      </c>
      <c r="J85" s="57" t="str">
        <f>IF('All Tandem Standards Source'!C86&lt;1/24,TEXT('All Tandem Standards Source'!C86,"M:SS"),TEXT('All Tandem Standards Source'!C86,"H:MM:SS"))</f>
        <v>19:47</v>
      </c>
      <c r="K85" s="57" t="str">
        <f>IF('All Tandem Standards Source'!G86&lt;1/24,TEXT('All Tandem Standards Source'!G86,"M:SS"),TEXT('All Tandem Standards Source'!G86,"H:MM:SS"))</f>
        <v>29:54</v>
      </c>
      <c r="L85" s="57" t="str">
        <f>IF('All Tandem Standards Source'!K86&lt;1/24,TEXT('All Tandem Standards Source'!K86,"M:SS"),TEXT('All Tandem Standards Source'!K86,"H:MM:SS"))</f>
        <v>50:38</v>
      </c>
      <c r="M85" s="57" t="str">
        <f>IF('All Tandem Standards Source'!O86&lt;1/24,TEXT('All Tandem Standards Source'!O86,"M:SS"),TEXT('All Tandem Standards Source'!O86,"H:MM:SS"))</f>
        <v>1:01:14</v>
      </c>
      <c r="N85" s="57" t="str">
        <f>IF('All Tandem Standards Source'!S86&lt;1/24,TEXT('All Tandem Standards Source'!S86,"M:SS"),TEXT('All Tandem Standards Source'!S86,"H:MM:SS"))</f>
        <v>1:45:30</v>
      </c>
      <c r="O85" s="57" t="str">
        <f>IF('All Tandem Standards Source'!W86&lt;1/24,TEXT('All Tandem Standards Source'!W86,"M:SS"),TEXT('All Tandem Standards Source'!W86,"H:MM:SS"))</f>
        <v>3:51:24</v>
      </c>
      <c r="P85" s="58" t="str">
        <f>TEXT('All Tandem Standards Source'!AA86,"0.00")</f>
        <v>42.53</v>
      </c>
      <c r="Q85" s="58" t="str">
        <f>TEXT('All Tandem Standards Source'!AE86,"0.00")</f>
        <v>59.13</v>
      </c>
      <c r="R85" s="50" t="str">
        <f>IF('All Tandem Standards Source'!D86&lt;1/24,TEXT('All Tandem Standards Source'!D86,"M:SS"),TEXT('All Tandem Standards Source'!D86,"H:MM:SS"))</f>
        <v>19:19</v>
      </c>
      <c r="S85" s="50" t="str">
        <f>IF('All Tandem Standards Source'!H86&lt;1/24,TEXT('All Tandem Standards Source'!H86,"M:SS"),TEXT('All Tandem Standards Source'!H86,"H:MM:SS"))</f>
        <v>29:12</v>
      </c>
      <c r="T85" s="50" t="str">
        <f>IF('All Tandem Standards Source'!L86&lt;1/24,TEXT('All Tandem Standards Source'!L86,"M:SS"),TEXT('All Tandem Standards Source'!L86,"H:MM:SS"))</f>
        <v>49:25</v>
      </c>
      <c r="U85" s="50" t="str">
        <f>IF('All Tandem Standards Source'!P86&lt;1/24,TEXT('All Tandem Standards Source'!P86,"M:SS"),TEXT('All Tandem Standards Source'!P86,"H:MM:SS"))</f>
        <v>59:47</v>
      </c>
      <c r="V85" s="50" t="str">
        <f>IF('All Tandem Standards Source'!T86&lt;1/24,TEXT('All Tandem Standards Source'!T86,"M:SS"),TEXT('All Tandem Standards Source'!T86,"H:MM:SS"))</f>
        <v>1:42:59</v>
      </c>
      <c r="W85" s="50" t="str">
        <f>IF('All Tandem Standards Source'!X86&lt;1/24,TEXT('All Tandem Standards Source'!X86,"M:SS"),TEXT('All Tandem Standards Source'!X86,"H:MM:SS"))</f>
        <v>3:45:50</v>
      </c>
      <c r="X85" s="51" t="str">
        <f>TEXT('All Tandem Standards Source'!AB86,"0.00")</f>
        <v>44.11</v>
      </c>
      <c r="Y85" s="51" t="str">
        <f>TEXT('All Tandem Standards Source'!AF86,"0.00")</f>
        <v>60.78</v>
      </c>
      <c r="Z85" s="55" t="str">
        <f>IF('All Tandem Standards Source'!E86&lt;1/24,TEXT('All Tandem Standards Source'!E86,"M:SS"),TEXT('All Tandem Standards Source'!E86,"H:MM:SS"))</f>
        <v>21:23</v>
      </c>
      <c r="AA85" s="55" t="str">
        <f>IF('All Tandem Standards Source'!I86&lt;1/24,TEXT('All Tandem Standards Source'!I86,"M:SS"),TEXT('All Tandem Standards Source'!I86,"H:MM:SS"))</f>
        <v>32:20</v>
      </c>
      <c r="AB85" s="55" t="str">
        <f>IF('All Tandem Standards Source'!M86&lt;1/24,TEXT('All Tandem Standards Source'!M86,"M:SS"),TEXT('All Tandem Standards Source'!M86,"H:MM:SS"))</f>
        <v>54:44</v>
      </c>
      <c r="AC85" s="55" t="str">
        <f>IF('All Tandem Standards Source'!Q86&lt;1/24,TEXT('All Tandem Standards Source'!Q86,"M:SS"),TEXT('All Tandem Standards Source'!Q86,"H:MM:SS"))</f>
        <v>1:06:12</v>
      </c>
      <c r="AD85" s="55" t="str">
        <f>IF('All Tandem Standards Source'!U86&lt;1/24,TEXT('All Tandem Standards Source'!U86,"M:SS"),TEXT('All Tandem Standards Source'!U86,"H:MM:SS"))</f>
        <v>1:54:05</v>
      </c>
      <c r="AE85" s="55" t="str">
        <f>IF('All Tandem Standards Source'!Y86&lt;1/24,TEXT('All Tandem Standards Source'!Y86,"M:SS"),TEXT('All Tandem Standards Source'!Y86,"H:MM:SS"))</f>
        <v>4:10:25</v>
      </c>
      <c r="AF85" s="56" t="str">
        <f>TEXT('All Tandem Standards Source'!AC86,"0.00")</f>
        <v>37.53</v>
      </c>
      <c r="AG85" s="56" t="str">
        <f>TEXT('All Tandem Standards Source'!AG86,"0.00")</f>
        <v>53.75</v>
      </c>
    </row>
    <row r="86" spans="1:33" x14ac:dyDescent="0.25">
      <c r="A86" s="17">
        <v>93</v>
      </c>
      <c r="B86" s="53" t="str">
        <f>IF('All Tandem Standards Source'!B87&lt;1/24,TEXT('All Tandem Standards Source'!B87,"M:SS"),TEXT('All Tandem Standards Source'!B87,"H:MM:SS"))</f>
        <v>18:11</v>
      </c>
      <c r="C86" s="53" t="str">
        <f>IF('All Tandem Standards Source'!F87&lt;1/24,TEXT('All Tandem Standards Source'!F87,"M:SS"),TEXT('All Tandem Standards Source'!F87,"H:MM:SS"))</f>
        <v>27:29</v>
      </c>
      <c r="D86" s="53" t="str">
        <f>IF('All Tandem Standards Source'!J87&lt;1/24,TEXT('All Tandem Standards Source'!J87,"M:SS"),TEXT('All Tandem Standards Source'!J87,"H:MM:SS"))</f>
        <v>46:33</v>
      </c>
      <c r="E86" s="53" t="str">
        <f>IF('All Tandem Standards Source'!N87&lt;1/24,TEXT('All Tandem Standards Source'!N87,"M:SS"),TEXT('All Tandem Standards Source'!N87,"H:MM:SS"))</f>
        <v>56:19</v>
      </c>
      <c r="F86" s="53" t="str">
        <f>IF('All Tandem Standards Source'!R87&lt;1/24,TEXT('All Tandem Standards Source'!R87,"M:SS"),TEXT('All Tandem Standards Source'!R87,"H:MM:SS"))</f>
        <v>1:37:07</v>
      </c>
      <c r="G86" s="53" t="str">
        <f>IF('All Tandem Standards Source'!V87&lt;1/24,TEXT('All Tandem Standards Source'!V87,"M:SS"),TEXT('All Tandem Standards Source'!V87,"H:MM:SS"))</f>
        <v>3:33:46</v>
      </c>
      <c r="H86" s="54" t="str">
        <f>TEXT('All Tandem Standards Source'!Z87,"0.00")</f>
        <v>47.18</v>
      </c>
      <c r="I86" s="54" t="str">
        <f>TEXT('All Tandem Standards Source'!AD87,"0.00")</f>
        <v>62.21</v>
      </c>
      <c r="J86" s="57" t="str">
        <f>IF('All Tandem Standards Source'!C87&lt;1/24,TEXT('All Tandem Standards Source'!C87,"M:SS"),TEXT('All Tandem Standards Source'!C87,"H:MM:SS"))</f>
        <v>20:06</v>
      </c>
      <c r="K86" s="57" t="str">
        <f>IF('All Tandem Standards Source'!G87&lt;1/24,TEXT('All Tandem Standards Source'!G87,"M:SS"),TEXT('All Tandem Standards Source'!G87,"H:MM:SS"))</f>
        <v>30:24</v>
      </c>
      <c r="L86" s="57" t="str">
        <f>IF('All Tandem Standards Source'!K87&lt;1/24,TEXT('All Tandem Standards Source'!K87,"M:SS"),TEXT('All Tandem Standards Source'!K87,"H:MM:SS"))</f>
        <v>51:29</v>
      </c>
      <c r="M86" s="57" t="str">
        <f>IF('All Tandem Standards Source'!O87&lt;1/24,TEXT('All Tandem Standards Source'!O87,"M:SS"),TEXT('All Tandem Standards Source'!O87,"H:MM:SS"))</f>
        <v>1:02:18</v>
      </c>
      <c r="N86" s="57" t="str">
        <f>IF('All Tandem Standards Source'!S87&lt;1/24,TEXT('All Tandem Standards Source'!S87,"M:SS"),TEXT('All Tandem Standards Source'!S87,"H:MM:SS"))</f>
        <v>1:47:28</v>
      </c>
      <c r="O86" s="57" t="str">
        <f>IF('All Tandem Standards Source'!W87&lt;1/24,TEXT('All Tandem Standards Source'!W87,"M:SS"),TEXT('All Tandem Standards Source'!W87,"H:MM:SS"))</f>
        <v>3:56:49</v>
      </c>
      <c r="P86" s="58" t="str">
        <f>TEXT('All Tandem Standards Source'!AA87,"0.00")</f>
        <v>40.63</v>
      </c>
      <c r="Q86" s="58" t="str">
        <f>TEXT('All Tandem Standards Source'!AE87,"0.00")</f>
        <v>55.67</v>
      </c>
      <c r="R86" s="50" t="str">
        <f>IF('All Tandem Standards Source'!D87&lt;1/24,TEXT('All Tandem Standards Source'!D87,"M:SS"),TEXT('All Tandem Standards Source'!D87,"H:MM:SS"))</f>
        <v>19:37</v>
      </c>
      <c r="S86" s="50" t="str">
        <f>IF('All Tandem Standards Source'!H87&lt;1/24,TEXT('All Tandem Standards Source'!H87,"M:SS"),TEXT('All Tandem Standards Source'!H87,"H:MM:SS"))</f>
        <v>29:40</v>
      </c>
      <c r="T86" s="50" t="str">
        <f>IF('All Tandem Standards Source'!L87&lt;1/24,TEXT('All Tandem Standards Source'!L87,"M:SS"),TEXT('All Tandem Standards Source'!L87,"H:MM:SS"))</f>
        <v>50:16</v>
      </c>
      <c r="U86" s="50" t="str">
        <f>IF('All Tandem Standards Source'!P87&lt;1/24,TEXT('All Tandem Standards Source'!P87,"M:SS"),TEXT('All Tandem Standards Source'!P87,"H:MM:SS"))</f>
        <v>1:00:49</v>
      </c>
      <c r="V86" s="50" t="str">
        <f>IF('All Tandem Standards Source'!T87&lt;1/24,TEXT('All Tandem Standards Source'!T87,"M:SS"),TEXT('All Tandem Standards Source'!T87,"H:MM:SS"))</f>
        <v>1:44:54</v>
      </c>
      <c r="W86" s="50" t="str">
        <f>IF('All Tandem Standards Source'!X87&lt;1/24,TEXT('All Tandem Standards Source'!X87,"M:SS"),TEXT('All Tandem Standards Source'!X87,"H:MM:SS"))</f>
        <v>3:51:06</v>
      </c>
      <c r="X86" s="51" t="str">
        <f>TEXT('All Tandem Standards Source'!AB87,"0.00")</f>
        <v>42.16</v>
      </c>
      <c r="Y86" s="51" t="str">
        <f>TEXT('All Tandem Standards Source'!AF87,"0.00")</f>
        <v>57.24</v>
      </c>
      <c r="Z86" s="55" t="str">
        <f>IF('All Tandem Standards Source'!E87&lt;1/24,TEXT('All Tandem Standards Source'!E87,"M:SS"),TEXT('All Tandem Standards Source'!E87,"H:MM:SS"))</f>
        <v>21:44</v>
      </c>
      <c r="AA86" s="55" t="str">
        <f>IF('All Tandem Standards Source'!I87&lt;1/24,TEXT('All Tandem Standards Source'!I87,"M:SS"),TEXT('All Tandem Standards Source'!I87,"H:MM:SS"))</f>
        <v>32:52</v>
      </c>
      <c r="AB86" s="55" t="str">
        <f>IF('All Tandem Standards Source'!M87&lt;1/24,TEXT('All Tandem Standards Source'!M87,"M:SS"),TEXT('All Tandem Standards Source'!M87,"H:MM:SS"))</f>
        <v>55:40</v>
      </c>
      <c r="AC86" s="55" t="str">
        <f>IF('All Tandem Standards Source'!Q87&lt;1/24,TEXT('All Tandem Standards Source'!Q87,"M:SS"),TEXT('All Tandem Standards Source'!Q87,"H:MM:SS"))</f>
        <v>1:07:22</v>
      </c>
      <c r="AD86" s="55" t="str">
        <f>IF('All Tandem Standards Source'!U87&lt;1/24,TEXT('All Tandem Standards Source'!U87,"M:SS"),TEXT('All Tandem Standards Source'!U87,"H:MM:SS"))</f>
        <v>1:56:15</v>
      </c>
      <c r="AE86" s="55" t="str">
        <f>IF('All Tandem Standards Source'!Y87&lt;1/24,TEXT('All Tandem Standards Source'!Y87,"M:SS"),TEXT('All Tandem Standards Source'!Y87,"H:MM:SS"))</f>
        <v>4:16:21</v>
      </c>
      <c r="AF86" s="56" t="str">
        <f>TEXT('All Tandem Standards Source'!AC87,"0.00")</f>
        <v>35.79</v>
      </c>
      <c r="AG86" s="56" t="str">
        <f>TEXT('All Tandem Standards Source'!AG87,"0.00")</f>
        <v>50.53</v>
      </c>
    </row>
    <row r="87" spans="1:33" x14ac:dyDescent="0.25">
      <c r="A87" s="17">
        <v>94</v>
      </c>
      <c r="B87" s="53" t="str">
        <f>IF('All Tandem Standards Source'!B88&lt;1/24,TEXT('All Tandem Standards Source'!B88,"M:SS"),TEXT('All Tandem Standards Source'!B88,"H:MM:SS"))</f>
        <v>18:29</v>
      </c>
      <c r="C87" s="53" t="str">
        <f>IF('All Tandem Standards Source'!F88&lt;1/24,TEXT('All Tandem Standards Source'!F88,"M:SS"),TEXT('All Tandem Standards Source'!F88,"H:MM:SS"))</f>
        <v>27:57</v>
      </c>
      <c r="D87" s="53" t="str">
        <f>IF('All Tandem Standards Source'!J88&lt;1/24,TEXT('All Tandem Standards Source'!J88,"M:SS"),TEXT('All Tandem Standards Source'!J88,"H:MM:SS"))</f>
        <v>47:22</v>
      </c>
      <c r="E87" s="53" t="str">
        <f>IF('All Tandem Standards Source'!N88&lt;1/24,TEXT('All Tandem Standards Source'!N88,"M:SS"),TEXT('All Tandem Standards Source'!N88,"H:MM:SS"))</f>
        <v>57:19</v>
      </c>
      <c r="F87" s="53" t="str">
        <f>IF('All Tandem Standards Source'!R88&lt;1/24,TEXT('All Tandem Standards Source'!R88,"M:SS"),TEXT('All Tandem Standards Source'!R88,"H:MM:SS"))</f>
        <v>1:39:00</v>
      </c>
      <c r="G87" s="53" t="str">
        <f>IF('All Tandem Standards Source'!V88&lt;1/24,TEXT('All Tandem Standards Source'!V88,"M:SS"),TEXT('All Tandem Standards Source'!V88,"H:MM:SS"))</f>
        <v>3:39:00</v>
      </c>
      <c r="H87" s="54" t="str">
        <f>TEXT('All Tandem Standards Source'!Z88,"0.00")</f>
        <v>45.02</v>
      </c>
      <c r="I87" s="54" t="str">
        <f>TEXT('All Tandem Standards Source'!AD88,"0.00")</f>
        <v>58.36</v>
      </c>
      <c r="J87" s="57" t="str">
        <f>IF('All Tandem Standards Source'!C88&lt;1/24,TEXT('All Tandem Standards Source'!C88,"M:SS"),TEXT('All Tandem Standards Source'!C88,"H:MM:SS"))</f>
        <v>20:26</v>
      </c>
      <c r="K87" s="57" t="str">
        <f>IF('All Tandem Standards Source'!G88&lt;1/24,TEXT('All Tandem Standards Source'!G88,"M:SS"),TEXT('All Tandem Standards Source'!G88,"H:MM:SS"))</f>
        <v>30:55</v>
      </c>
      <c r="L87" s="57" t="str">
        <f>IF('All Tandem Standards Source'!K88&lt;1/24,TEXT('All Tandem Standards Source'!K88,"M:SS"),TEXT('All Tandem Standards Source'!K88,"H:MM:SS"))</f>
        <v>52:24</v>
      </c>
      <c r="M87" s="57" t="str">
        <f>IF('All Tandem Standards Source'!O88&lt;1/24,TEXT('All Tandem Standards Source'!O88,"M:SS"),TEXT('All Tandem Standards Source'!O88,"H:MM:SS"))</f>
        <v>1:03:26</v>
      </c>
      <c r="N87" s="57" t="str">
        <f>IF('All Tandem Standards Source'!S88&lt;1/24,TEXT('All Tandem Standards Source'!S88,"M:SS"),TEXT('All Tandem Standards Source'!S88,"H:MM:SS"))</f>
        <v>1:49:36</v>
      </c>
      <c r="O87" s="57" t="str">
        <f>IF('All Tandem Standards Source'!W88&lt;1/24,TEXT('All Tandem Standards Source'!W88,"M:SS"),TEXT('All Tandem Standards Source'!W88,"H:MM:SS"))</f>
        <v>4:02:43</v>
      </c>
      <c r="P87" s="58" t="str">
        <f>TEXT('All Tandem Standards Source'!AA88,"0.00")</f>
        <v>38.69</v>
      </c>
      <c r="Q87" s="58" t="str">
        <f>TEXT('All Tandem Standards Source'!AE88,"0.00")</f>
        <v>52.15</v>
      </c>
      <c r="R87" s="50" t="str">
        <f>IF('All Tandem Standards Source'!D88&lt;1/24,TEXT('All Tandem Standards Source'!D88,"M:SS"),TEXT('All Tandem Standards Source'!D88,"H:MM:SS"))</f>
        <v>19:58</v>
      </c>
      <c r="S87" s="50" t="str">
        <f>IF('All Tandem Standards Source'!H88&lt;1/24,TEXT('All Tandem Standards Source'!H88,"M:SS"),TEXT('All Tandem Standards Source'!H88,"H:MM:SS"))</f>
        <v>30:11</v>
      </c>
      <c r="T87" s="50" t="str">
        <f>IF('All Tandem Standards Source'!L88&lt;1/24,TEXT('All Tandem Standards Source'!L88,"M:SS"),TEXT('All Tandem Standards Source'!L88,"H:MM:SS"))</f>
        <v>51:09</v>
      </c>
      <c r="U87" s="50" t="str">
        <f>IF('All Tandem Standards Source'!P88&lt;1/24,TEXT('All Tandem Standards Source'!P88,"M:SS"),TEXT('All Tandem Standards Source'!P88,"H:MM:SS"))</f>
        <v>1:01:55</v>
      </c>
      <c r="V87" s="50" t="str">
        <f>IF('All Tandem Standards Source'!T88&lt;1/24,TEXT('All Tandem Standards Source'!T88,"M:SS"),TEXT('All Tandem Standards Source'!T88,"H:MM:SS"))</f>
        <v>1:46:58</v>
      </c>
      <c r="W87" s="50" t="str">
        <f>IF('All Tandem Standards Source'!X88&lt;1/24,TEXT('All Tandem Standards Source'!X88,"M:SS"),TEXT('All Tandem Standards Source'!X88,"H:MM:SS"))</f>
        <v>3:56:50</v>
      </c>
      <c r="X87" s="51" t="str">
        <f>TEXT('All Tandem Standards Source'!AB88,"0.00")</f>
        <v>40.17</v>
      </c>
      <c r="Y87" s="51" t="str">
        <f>TEXT('All Tandem Standards Source'!AF88,"0.00")</f>
        <v>53.65</v>
      </c>
      <c r="Z87" s="55" t="str">
        <f>IF('All Tandem Standards Source'!E88&lt;1/24,TEXT('All Tandem Standards Source'!E88,"M:SS"),TEXT('All Tandem Standards Source'!E88,"H:MM:SS"))</f>
        <v>22:06</v>
      </c>
      <c r="AA87" s="55" t="str">
        <f>IF('All Tandem Standards Source'!I88&lt;1/24,TEXT('All Tandem Standards Source'!I88,"M:SS"),TEXT('All Tandem Standards Source'!I88,"H:MM:SS"))</f>
        <v>33:26</v>
      </c>
      <c r="AB87" s="55" t="str">
        <f>IF('All Tandem Standards Source'!M88&lt;1/24,TEXT('All Tandem Standards Source'!M88,"M:SS"),TEXT('All Tandem Standards Source'!M88,"H:MM:SS"))</f>
        <v>56:41</v>
      </c>
      <c r="AC87" s="55" t="str">
        <f>IF('All Tandem Standards Source'!Q88&lt;1/24,TEXT('All Tandem Standards Source'!Q88,"M:SS"),TEXT('All Tandem Standards Source'!Q88,"H:MM:SS"))</f>
        <v>1:08:37</v>
      </c>
      <c r="AD87" s="55" t="str">
        <f>IF('All Tandem Standards Source'!U88&lt;1/24,TEXT('All Tandem Standards Source'!U88,"M:SS"),TEXT('All Tandem Standards Source'!U88,"H:MM:SS"))</f>
        <v>1:58:34</v>
      </c>
      <c r="AE87" s="55" t="str">
        <f>IF('All Tandem Standards Source'!Y88&lt;1/24,TEXT('All Tandem Standards Source'!Y88,"M:SS"),TEXT('All Tandem Standards Source'!Y88,"H:MM:SS"))</f>
        <v>4:22:49</v>
      </c>
      <c r="AF87" s="56" t="str">
        <f>TEXT('All Tandem Standards Source'!AC88,"0.00")</f>
        <v>34.01</v>
      </c>
      <c r="AG87" s="56" t="str">
        <f>TEXT('All Tandem Standards Source'!AG88,"0.00")</f>
        <v>47.25</v>
      </c>
    </row>
    <row r="88" spans="1:33" x14ac:dyDescent="0.25">
      <c r="A88" s="17">
        <v>95</v>
      </c>
      <c r="B88" s="53" t="str">
        <f>IF('All Tandem Standards Source'!B89&lt;1/24,TEXT('All Tandem Standards Source'!B89,"M:SS"),TEXT('All Tandem Standards Source'!B89,"H:MM:SS"))</f>
        <v>18:48</v>
      </c>
      <c r="C88" s="53" t="str">
        <f>IF('All Tandem Standards Source'!F89&lt;1/24,TEXT('All Tandem Standards Source'!F89,"M:SS"),TEXT('All Tandem Standards Source'!F89,"H:MM:SS"))</f>
        <v>28:26</v>
      </c>
      <c r="D88" s="53" t="str">
        <f>IF('All Tandem Standards Source'!J89&lt;1/24,TEXT('All Tandem Standards Source'!J89,"M:SS"),TEXT('All Tandem Standards Source'!J89,"H:MM:SS"))</f>
        <v>48:14</v>
      </c>
      <c r="E88" s="53" t="str">
        <f>IF('All Tandem Standards Source'!N89&lt;1/24,TEXT('All Tandem Standards Source'!N89,"M:SS"),TEXT('All Tandem Standards Source'!N89,"H:MM:SS"))</f>
        <v>58:24</v>
      </c>
      <c r="F88" s="53" t="str">
        <f>IF('All Tandem Standards Source'!R89&lt;1/24,TEXT('All Tandem Standards Source'!R89,"M:SS"),TEXT('All Tandem Standards Source'!R89,"H:MM:SS"))</f>
        <v>1:41:01</v>
      </c>
      <c r="G88" s="53" t="str">
        <f>IF('All Tandem Standards Source'!V89&lt;1/24,TEXT('All Tandem Standards Source'!V89,"M:SS"),TEXT('All Tandem Standards Source'!V89,"H:MM:SS"))</f>
        <v>3:44:44</v>
      </c>
      <c r="H88" s="54" t="str">
        <f>TEXT('All Tandem Standards Source'!Z89,"0.00")</f>
        <v>42.81</v>
      </c>
      <c r="I88" s="54" t="str">
        <f>TEXT('All Tandem Standards Source'!AD89,"0.00")</f>
        <v>54.47</v>
      </c>
      <c r="J88" s="57" t="str">
        <f>IF('All Tandem Standards Source'!C89&lt;1/24,TEXT('All Tandem Standards Source'!C89,"M:SS"),TEXT('All Tandem Standards Source'!C89,"H:MM:SS"))</f>
        <v>20:48</v>
      </c>
      <c r="K88" s="57" t="str">
        <f>IF('All Tandem Standards Source'!G89&lt;1/24,TEXT('All Tandem Standards Source'!G89,"M:SS"),TEXT('All Tandem Standards Source'!G89,"H:MM:SS"))</f>
        <v>31:29</v>
      </c>
      <c r="L88" s="57" t="str">
        <f>IF('All Tandem Standards Source'!K89&lt;1/24,TEXT('All Tandem Standards Source'!K89,"M:SS"),TEXT('All Tandem Standards Source'!K89,"H:MM:SS"))</f>
        <v>53:24</v>
      </c>
      <c r="M88" s="57" t="str">
        <f>IF('All Tandem Standards Source'!O89&lt;1/24,TEXT('All Tandem Standards Source'!O89,"M:SS"),TEXT('All Tandem Standards Source'!O89,"H:MM:SS"))</f>
        <v>1:04:39</v>
      </c>
      <c r="N88" s="57" t="str">
        <f>IF('All Tandem Standards Source'!S89&lt;1/24,TEXT('All Tandem Standards Source'!S89,"M:SS"),TEXT('All Tandem Standards Source'!S89,"H:MM:SS"))</f>
        <v>1:51:53</v>
      </c>
      <c r="O88" s="57" t="str">
        <f>IF('All Tandem Standards Source'!W89&lt;1/24,TEXT('All Tandem Standards Source'!W89,"M:SS"),TEXT('All Tandem Standards Source'!W89,"H:MM:SS"))</f>
        <v>4:09:11</v>
      </c>
      <c r="P88" s="58" t="str">
        <f>TEXT('All Tandem Standards Source'!AA89,"0.00")</f>
        <v>36.71</v>
      </c>
      <c r="Q88" s="58" t="str">
        <f>TEXT('All Tandem Standards Source'!AE89,"0.00")</f>
        <v>48.58</v>
      </c>
      <c r="R88" s="50" t="str">
        <f>IF('All Tandem Standards Source'!D89&lt;1/24,TEXT('All Tandem Standards Source'!D89,"M:SS"),TEXT('All Tandem Standards Source'!D89,"H:MM:SS"))</f>
        <v>20:18</v>
      </c>
      <c r="S88" s="50" t="str">
        <f>IF('All Tandem Standards Source'!H89&lt;1/24,TEXT('All Tandem Standards Source'!H89,"M:SS"),TEXT('All Tandem Standards Source'!H89,"H:MM:SS"))</f>
        <v>30:43</v>
      </c>
      <c r="T88" s="50" t="str">
        <f>IF('All Tandem Standards Source'!L89&lt;1/24,TEXT('All Tandem Standards Source'!L89,"M:SS"),TEXT('All Tandem Standards Source'!L89,"H:MM:SS"))</f>
        <v>52:07</v>
      </c>
      <c r="U88" s="50" t="str">
        <f>IF('All Tandem Standards Source'!P89&lt;1/24,TEXT('All Tandem Standards Source'!P89,"M:SS"),TEXT('All Tandem Standards Source'!P89,"H:MM:SS"))</f>
        <v>1:03:06</v>
      </c>
      <c r="V88" s="50" t="str">
        <f>IF('All Tandem Standards Source'!T89&lt;1/24,TEXT('All Tandem Standards Source'!T89,"M:SS"),TEXT('All Tandem Standards Source'!T89,"H:MM:SS"))</f>
        <v>1:49:11</v>
      </c>
      <c r="W88" s="50" t="str">
        <f>IF('All Tandem Standards Source'!X89&lt;1/24,TEXT('All Tandem Standards Source'!X89,"M:SS"),TEXT('All Tandem Standards Source'!X89,"H:MM:SS"))</f>
        <v>4:03:07</v>
      </c>
      <c r="X88" s="51" t="str">
        <f>TEXT('All Tandem Standards Source'!AB89,"0.00")</f>
        <v>38.14</v>
      </c>
      <c r="Y88" s="51" t="str">
        <f>TEXT('All Tandem Standards Source'!AF89,"0.00")</f>
        <v>50.00</v>
      </c>
      <c r="Z88" s="55" t="str">
        <f>IF('All Tandem Standards Source'!E89&lt;1/24,TEXT('All Tandem Standards Source'!E89,"M:SS"),TEXT('All Tandem Standards Source'!E89,"H:MM:SS"))</f>
        <v>22:30</v>
      </c>
      <c r="AA88" s="55" t="str">
        <f>IF('All Tandem Standards Source'!I89&lt;1/24,TEXT('All Tandem Standards Source'!I89,"M:SS"),TEXT('All Tandem Standards Source'!I89,"H:MM:SS"))</f>
        <v>34:03</v>
      </c>
      <c r="AB88" s="55" t="str">
        <f>IF('All Tandem Standards Source'!M89&lt;1/24,TEXT('All Tandem Standards Source'!M89,"M:SS"),TEXT('All Tandem Standards Source'!M89,"H:MM:SS"))</f>
        <v>57:46</v>
      </c>
      <c r="AC88" s="55" t="str">
        <f>IF('All Tandem Standards Source'!Q89&lt;1/24,TEXT('All Tandem Standards Source'!Q89,"M:SS"),TEXT('All Tandem Standards Source'!Q89,"H:MM:SS"))</f>
        <v>1:09:57</v>
      </c>
      <c r="AD88" s="55" t="str">
        <f>IF('All Tandem Standards Source'!U89&lt;1/24,TEXT('All Tandem Standards Source'!U89,"M:SS"),TEXT('All Tandem Standards Source'!U89,"H:MM:SS"))</f>
        <v>2:01:04</v>
      </c>
      <c r="AE88" s="55" t="str">
        <f>IF('All Tandem Standards Source'!Y89&lt;1/24,TEXT('All Tandem Standards Source'!Y89,"M:SS"),TEXT('All Tandem Standards Source'!Y89,"H:MM:SS"))</f>
        <v>4:29:54</v>
      </c>
      <c r="AF88" s="56" t="str">
        <f>TEXT('All Tandem Standards Source'!AC89,"0.00")</f>
        <v>32.19</v>
      </c>
      <c r="AG88" s="56" t="str">
        <f>TEXT('All Tandem Standards Source'!AG89,"0.00")</f>
        <v>43.92</v>
      </c>
    </row>
    <row r="89" spans="1:33" x14ac:dyDescent="0.25">
      <c r="A89" s="17">
        <v>96</v>
      </c>
      <c r="B89" s="53" t="str">
        <f>IF('All Tandem Standards Source'!B90&lt;1/24,TEXT('All Tandem Standards Source'!B90,"M:SS"),TEXT('All Tandem Standards Source'!B90,"H:MM:SS"))</f>
        <v>19:09</v>
      </c>
      <c r="C89" s="53" t="str">
        <f>IF('All Tandem Standards Source'!F90&lt;1/24,TEXT('All Tandem Standards Source'!F90,"M:SS"),TEXT('All Tandem Standards Source'!F90,"H:MM:SS"))</f>
        <v>28:58</v>
      </c>
      <c r="D89" s="53" t="str">
        <f>IF('All Tandem Standards Source'!J90&lt;1/24,TEXT('All Tandem Standards Source'!J90,"M:SS"),TEXT('All Tandem Standards Source'!J90,"H:MM:SS"))</f>
        <v>49:10</v>
      </c>
      <c r="E89" s="53" t="str">
        <f>IF('All Tandem Standards Source'!N90&lt;1/24,TEXT('All Tandem Standards Source'!N90,"M:SS"),TEXT('All Tandem Standards Source'!N90,"H:MM:SS"))</f>
        <v>59:34</v>
      </c>
      <c r="F89" s="53" t="str">
        <f>IF('All Tandem Standards Source'!R90&lt;1/24,TEXT('All Tandem Standards Source'!R90,"M:SS"),TEXT('All Tandem Standards Source'!R90,"H:MM:SS"))</f>
        <v>1:43:13</v>
      </c>
      <c r="G89" s="53" t="str">
        <f>IF('All Tandem Standards Source'!V90&lt;1/24,TEXT('All Tandem Standards Source'!V90,"M:SS"),TEXT('All Tandem Standards Source'!V90,"H:MM:SS"))</f>
        <v>3:51:04</v>
      </c>
      <c r="H89" s="54" t="str">
        <f>TEXT('All Tandem Standards Source'!Z90,"0.00")</f>
        <v>40.56</v>
      </c>
      <c r="I89" s="54" t="str">
        <f>TEXT('All Tandem Standards Source'!AD90,"0.00")</f>
        <v>50.52</v>
      </c>
      <c r="J89" s="57" t="str">
        <f>IF('All Tandem Standards Source'!C90&lt;1/24,TEXT('All Tandem Standards Source'!C90,"M:SS"),TEXT('All Tandem Standards Source'!C90,"H:MM:SS"))</f>
        <v>21:12</v>
      </c>
      <c r="K89" s="57" t="str">
        <f>IF('All Tandem Standards Source'!G90&lt;1/24,TEXT('All Tandem Standards Source'!G90,"M:SS"),TEXT('All Tandem Standards Source'!G90,"H:MM:SS"))</f>
        <v>32:04</v>
      </c>
      <c r="L89" s="57" t="str">
        <f>IF('All Tandem Standards Source'!K90&lt;1/24,TEXT('All Tandem Standards Source'!K90,"M:SS"),TEXT('All Tandem Standards Source'!K90,"H:MM:SS"))</f>
        <v>54:27</v>
      </c>
      <c r="M89" s="57" t="str">
        <f>IF('All Tandem Standards Source'!O90&lt;1/24,TEXT('All Tandem Standards Source'!O90,"M:SS"),TEXT('All Tandem Standards Source'!O90,"H:MM:SS"))</f>
        <v>1:05:57</v>
      </c>
      <c r="N89" s="57" t="str">
        <f>IF('All Tandem Standards Source'!S90&lt;1/24,TEXT('All Tandem Standards Source'!S90,"M:SS"),TEXT('All Tandem Standards Source'!S90,"H:MM:SS"))</f>
        <v>1:54:21</v>
      </c>
      <c r="O89" s="57" t="str">
        <f>IF('All Tandem Standards Source'!W90&lt;1/24,TEXT('All Tandem Standards Source'!W90,"M:SS"),TEXT('All Tandem Standards Source'!W90,"H:MM:SS"))</f>
        <v>4:16:19</v>
      </c>
      <c r="P89" s="58" t="str">
        <f>TEXT('All Tandem Standards Source'!AA90,"0.00")</f>
        <v>34.68</v>
      </c>
      <c r="Q89" s="58" t="str">
        <f>TEXT('All Tandem Standards Source'!AE90,"0.00")</f>
        <v>44.95</v>
      </c>
      <c r="R89" s="50" t="str">
        <f>IF('All Tandem Standards Source'!D90&lt;1/24,TEXT('All Tandem Standards Source'!D90,"M:SS"),TEXT('All Tandem Standards Source'!D90,"H:MM:SS"))</f>
        <v>20:41</v>
      </c>
      <c r="S89" s="50" t="str">
        <f>IF('All Tandem Standards Source'!H90&lt;1/24,TEXT('All Tandem Standards Source'!H90,"M:SS"),TEXT('All Tandem Standards Source'!H90,"H:MM:SS"))</f>
        <v>31:18</v>
      </c>
      <c r="T89" s="50" t="str">
        <f>IF('All Tandem Standards Source'!L90&lt;1/24,TEXT('All Tandem Standards Source'!L90,"M:SS"),TEXT('All Tandem Standards Source'!L90,"H:MM:SS"))</f>
        <v>53:08</v>
      </c>
      <c r="U89" s="50" t="str">
        <f>IF('All Tandem Standards Source'!P90&lt;1/24,TEXT('All Tandem Standards Source'!P90,"M:SS"),TEXT('All Tandem Standards Source'!P90,"H:MM:SS"))</f>
        <v>1:04:22</v>
      </c>
      <c r="V89" s="50" t="str">
        <f>IF('All Tandem Standards Source'!T90&lt;1/24,TEXT('All Tandem Standards Source'!T90,"M:SS"),TEXT('All Tandem Standards Source'!T90,"H:MM:SS"))</f>
        <v>1:51:35</v>
      </c>
      <c r="W89" s="50" t="str">
        <f>IF('All Tandem Standards Source'!X90&lt;1/24,TEXT('All Tandem Standards Source'!X90,"M:SS"),TEXT('All Tandem Standards Source'!X90,"H:MM:SS"))</f>
        <v>4:10:03</v>
      </c>
      <c r="X89" s="51" t="str">
        <f>TEXT('All Tandem Standards Source'!AB90,"0.00")</f>
        <v>36.07</v>
      </c>
      <c r="Y89" s="51" t="str">
        <f>TEXT('All Tandem Standards Source'!AF90,"0.00")</f>
        <v>46.30</v>
      </c>
      <c r="Z89" s="55" t="str">
        <f>IF('All Tandem Standards Source'!E90&lt;1/24,TEXT('All Tandem Standards Source'!E90,"M:SS"),TEXT('All Tandem Standards Source'!E90,"H:MM:SS"))</f>
        <v>22:56</v>
      </c>
      <c r="AA89" s="55" t="str">
        <f>IF('All Tandem Standards Source'!I90&lt;1/24,TEXT('All Tandem Standards Source'!I90,"M:SS"),TEXT('All Tandem Standards Source'!I90,"H:MM:SS"))</f>
        <v>34:42</v>
      </c>
      <c r="AB89" s="55" t="str">
        <f>IF('All Tandem Standards Source'!M90&lt;1/24,TEXT('All Tandem Standards Source'!M90,"M:SS"),TEXT('All Tandem Standards Source'!M90,"H:MM:SS"))</f>
        <v>58:55</v>
      </c>
      <c r="AC89" s="55" t="str">
        <f>IF('All Tandem Standards Source'!Q90&lt;1/24,TEXT('All Tandem Standards Source'!Q90,"M:SS"),TEXT('All Tandem Standards Source'!Q90,"H:MM:SS"))</f>
        <v>1:11:22</v>
      </c>
      <c r="AD89" s="55" t="str">
        <f>IF('All Tandem Standards Source'!U90&lt;1/24,TEXT('All Tandem Standards Source'!U90,"M:SS"),TEXT('All Tandem Standards Source'!U90,"H:MM:SS"))</f>
        <v>2:03:47</v>
      </c>
      <c r="AE89" s="55" t="str">
        <f>IF('All Tandem Standards Source'!Y90&lt;1/24,TEXT('All Tandem Standards Source'!Y90,"M:SS"),TEXT('All Tandem Standards Source'!Y90,"H:MM:SS"))</f>
        <v>4:37:42</v>
      </c>
      <c r="AF89" s="56" t="str">
        <f>TEXT('All Tandem Standards Source'!AC90,"0.00")</f>
        <v>30.33</v>
      </c>
      <c r="AG89" s="56" t="str">
        <f>TEXT('All Tandem Standards Source'!AG90,"0.00")</f>
        <v>40.54</v>
      </c>
    </row>
    <row r="90" spans="1:33" x14ac:dyDescent="0.25">
      <c r="A90" s="17">
        <v>97</v>
      </c>
      <c r="B90" s="53" t="str">
        <f>IF('All Tandem Standards Source'!B91&lt;1/24,TEXT('All Tandem Standards Source'!B91,"M:SS"),TEXT('All Tandem Standards Source'!B91,"H:MM:SS"))</f>
        <v>19:31</v>
      </c>
      <c r="C90" s="53" t="str">
        <f>IF('All Tandem Standards Source'!F91&lt;1/24,TEXT('All Tandem Standards Source'!F91,"M:SS"),TEXT('All Tandem Standards Source'!F91,"H:MM:SS"))</f>
        <v>29:32</v>
      </c>
      <c r="D90" s="53" t="str">
        <f>IF('All Tandem Standards Source'!J91&lt;1/24,TEXT('All Tandem Standards Source'!J91,"M:SS"),TEXT('All Tandem Standards Source'!J91,"H:MM:SS"))</f>
        <v>50:11</v>
      </c>
      <c r="E90" s="53" t="str">
        <f>IF('All Tandem Standards Source'!N91&lt;1/24,TEXT('All Tandem Standards Source'!N91,"M:SS"),TEXT('All Tandem Standards Source'!N91,"H:MM:SS"))</f>
        <v>1:00:48</v>
      </c>
      <c r="F90" s="53" t="str">
        <f>IF('All Tandem Standards Source'!R91&lt;1/24,TEXT('All Tandem Standards Source'!R91,"M:SS"),TEXT('All Tandem Standards Source'!R91,"H:MM:SS"))</f>
        <v>1:45:36</v>
      </c>
      <c r="G90" s="53" t="str">
        <f>IF('All Tandem Standards Source'!V91&lt;1/24,TEXT('All Tandem Standards Source'!V91,"M:SS"),TEXT('All Tandem Standards Source'!V91,"H:MM:SS"))</f>
        <v>3:58:05</v>
      </c>
      <c r="H90" s="54" t="str">
        <f>TEXT('All Tandem Standards Source'!Z91,"0.00")</f>
        <v>38.26</v>
      </c>
      <c r="I90" s="54" t="str">
        <f>TEXT('All Tandem Standards Source'!AD91,"0.00")</f>
        <v>46.51</v>
      </c>
      <c r="J90" s="57" t="str">
        <f>IF('All Tandem Standards Source'!C91&lt;1/24,TEXT('All Tandem Standards Source'!C91,"M:SS"),TEXT('All Tandem Standards Source'!C91,"H:MM:SS"))</f>
        <v>21:36</v>
      </c>
      <c r="K90" s="57" t="str">
        <f>IF('All Tandem Standards Source'!G91&lt;1/24,TEXT('All Tandem Standards Source'!G91,"M:SS"),TEXT('All Tandem Standards Source'!G91,"H:MM:SS"))</f>
        <v>32:43</v>
      </c>
      <c r="L90" s="57" t="str">
        <f>IF('All Tandem Standards Source'!K91&lt;1/24,TEXT('All Tandem Standards Source'!K91,"M:SS"),TEXT('All Tandem Standards Source'!K91,"H:MM:SS"))</f>
        <v>55:35</v>
      </c>
      <c r="M90" s="57" t="str">
        <f>IF('All Tandem Standards Source'!O91&lt;1/24,TEXT('All Tandem Standards Source'!O91,"M:SS"),TEXT('All Tandem Standards Source'!O91,"H:MM:SS"))</f>
        <v>1:07:22</v>
      </c>
      <c r="N90" s="57" t="str">
        <f>IF('All Tandem Standards Source'!S91&lt;1/24,TEXT('All Tandem Standards Source'!S91,"M:SS"),TEXT('All Tandem Standards Source'!S91,"H:MM:SS"))</f>
        <v>1:57:02</v>
      </c>
      <c r="O90" s="57" t="str">
        <f>IF('All Tandem Standards Source'!W91&lt;1/24,TEXT('All Tandem Standards Source'!W91,"M:SS"),TEXT('All Tandem Standards Source'!W91,"H:MM:SS"))</f>
        <v>4:24:13</v>
      </c>
      <c r="P90" s="58" t="str">
        <f>TEXT('All Tandem Standards Source'!AA91,"0.00")</f>
        <v>32.62</v>
      </c>
      <c r="Q90" s="58" t="str">
        <f>TEXT('All Tandem Standards Source'!AE91,"0.00")</f>
        <v>41.27</v>
      </c>
      <c r="R90" s="50" t="str">
        <f>IF('All Tandem Standards Source'!D91&lt;1/24,TEXT('All Tandem Standards Source'!D91,"M:SS"),TEXT('All Tandem Standards Source'!D91,"H:MM:SS"))</f>
        <v>21:05</v>
      </c>
      <c r="S90" s="50" t="str">
        <f>IF('All Tandem Standards Source'!H91&lt;1/24,TEXT('All Tandem Standards Source'!H91,"M:SS"),TEXT('All Tandem Standards Source'!H91,"H:MM:SS"))</f>
        <v>31:56</v>
      </c>
      <c r="T90" s="50" t="str">
        <f>IF('All Tandem Standards Source'!L91&lt;1/24,TEXT('All Tandem Standards Source'!L91,"M:SS"),TEXT('All Tandem Standards Source'!L91,"H:MM:SS"))</f>
        <v>54:14</v>
      </c>
      <c r="U90" s="50" t="str">
        <f>IF('All Tandem Standards Source'!P91&lt;1/24,TEXT('All Tandem Standards Source'!P91,"M:SS"),TEXT('All Tandem Standards Source'!P91,"H:MM:SS"))</f>
        <v>1:05:44</v>
      </c>
      <c r="V90" s="50" t="str">
        <f>IF('All Tandem Standards Source'!T91&lt;1/24,TEXT('All Tandem Standards Source'!T91,"M:SS"),TEXT('All Tandem Standards Source'!T91,"H:MM:SS"))</f>
        <v>1:54:12</v>
      </c>
      <c r="W90" s="50" t="str">
        <f>IF('All Tandem Standards Source'!X91&lt;1/24,TEXT('All Tandem Standards Source'!X91,"M:SS"),TEXT('All Tandem Standards Source'!X91,"H:MM:SS"))</f>
        <v>4:17:44</v>
      </c>
      <c r="X90" s="51" t="str">
        <f>TEXT('All Tandem Standards Source'!AB91,"0.00")</f>
        <v>33.95</v>
      </c>
      <c r="Y90" s="51" t="str">
        <f>TEXT('All Tandem Standards Source'!AF91,"0.00")</f>
        <v>42.54</v>
      </c>
      <c r="Z90" s="55" t="str">
        <f>IF('All Tandem Standards Source'!E91&lt;1/24,TEXT('All Tandem Standards Source'!E91,"M:SS"),TEXT('All Tandem Standards Source'!E91,"H:MM:SS"))</f>
        <v>23:23</v>
      </c>
      <c r="AA90" s="55" t="str">
        <f>IF('All Tandem Standards Source'!I91&lt;1/24,TEXT('All Tandem Standards Source'!I91,"M:SS"),TEXT('All Tandem Standards Source'!I91,"H:MM:SS"))</f>
        <v>35:24</v>
      </c>
      <c r="AB90" s="55" t="str">
        <f>IF('All Tandem Standards Source'!M91&lt;1/24,TEXT('All Tandem Standards Source'!M91,"M:SS"),TEXT('All Tandem Standards Source'!M91,"H:MM:SS"))</f>
        <v>1:00:10</v>
      </c>
      <c r="AC90" s="55" t="str">
        <f>IF('All Tandem Standards Source'!Q91&lt;1/24,TEXT('All Tandem Standards Source'!Q91,"M:SS"),TEXT('All Tandem Standards Source'!Q91,"H:MM:SS"))</f>
        <v>1:12:55</v>
      </c>
      <c r="AD90" s="55" t="str">
        <f>IF('All Tandem Standards Source'!U91&lt;1/24,TEXT('All Tandem Standards Source'!U91,"M:SS"),TEXT('All Tandem Standards Source'!U91,"H:MM:SS"))</f>
        <v>2:06:43</v>
      </c>
      <c r="AE90" s="55" t="str">
        <f>IF('All Tandem Standards Source'!Y91&lt;1/24,TEXT('All Tandem Standards Source'!Y91,"M:SS"),TEXT('All Tandem Standards Source'!Y91,"H:MM:SS"))</f>
        <v>4:46:22</v>
      </c>
      <c r="AF90" s="56" t="str">
        <f>TEXT('All Tandem Standards Source'!AC91,"0.00")</f>
        <v>28.43</v>
      </c>
      <c r="AG90" s="56" t="str">
        <f>TEXT('All Tandem Standards Source'!AG91,"0.00")</f>
        <v>37.10</v>
      </c>
    </row>
    <row r="91" spans="1:33" x14ac:dyDescent="0.25">
      <c r="A91" s="17">
        <v>98</v>
      </c>
      <c r="B91" s="53" t="str">
        <f>IF('All Tandem Standards Source'!B92&lt;1/24,TEXT('All Tandem Standards Source'!B92,"M:SS"),TEXT('All Tandem Standards Source'!B92,"H:MM:SS"))</f>
        <v>19:54</v>
      </c>
      <c r="C91" s="53" t="str">
        <f>IF('All Tandem Standards Source'!F92&lt;1/24,TEXT('All Tandem Standards Source'!F92,"M:SS"),TEXT('All Tandem Standards Source'!F92,"H:MM:SS"))</f>
        <v>30:09</v>
      </c>
      <c r="D91" s="53" t="str">
        <f>IF('All Tandem Standards Source'!J92&lt;1/24,TEXT('All Tandem Standards Source'!J92,"M:SS"),TEXT('All Tandem Standards Source'!J92,"H:MM:SS"))</f>
        <v>51:16</v>
      </c>
      <c r="E91" s="53" t="str">
        <f>IF('All Tandem Standards Source'!N92&lt;1/24,TEXT('All Tandem Standards Source'!N92,"M:SS"),TEXT('All Tandem Standards Source'!N92,"H:MM:SS"))</f>
        <v>1:02:10</v>
      </c>
      <c r="F91" s="53" t="str">
        <f>IF('All Tandem Standards Source'!R92&lt;1/24,TEXT('All Tandem Standards Source'!R92,"M:SS"),TEXT('All Tandem Standards Source'!R92,"H:MM:SS"))</f>
        <v>1:48:11</v>
      </c>
      <c r="G91" s="53" t="str">
        <f>IF('All Tandem Standards Source'!V92&lt;1/24,TEXT('All Tandem Standards Source'!V92,"M:SS"),TEXT('All Tandem Standards Source'!V92,"H:MM:SS"))</f>
        <v>4:05:56</v>
      </c>
      <c r="H91" s="54" t="str">
        <f>TEXT('All Tandem Standards Source'!Z92,"0.00")</f>
        <v>35.91</v>
      </c>
      <c r="I91" s="54" t="str">
        <f>TEXT('All Tandem Standards Source'!AD92,"0.00")</f>
        <v>42.44</v>
      </c>
      <c r="J91" s="57" t="str">
        <f>IF('All Tandem Standards Source'!C92&lt;1/24,TEXT('All Tandem Standards Source'!C92,"M:SS"),TEXT('All Tandem Standards Source'!C92,"H:MM:SS"))</f>
        <v>22:03</v>
      </c>
      <c r="K91" s="57" t="str">
        <f>IF('All Tandem Standards Source'!G92&lt;1/24,TEXT('All Tandem Standards Source'!G92,"M:SS"),TEXT('All Tandem Standards Source'!G92,"H:MM:SS"))</f>
        <v>33:24</v>
      </c>
      <c r="L91" s="57" t="str">
        <f>IF('All Tandem Standards Source'!K92&lt;1/24,TEXT('All Tandem Standards Source'!K92,"M:SS"),TEXT('All Tandem Standards Source'!K92,"H:MM:SS"))</f>
        <v>56:48</v>
      </c>
      <c r="M91" s="57" t="str">
        <f>IF('All Tandem Standards Source'!O92&lt;1/24,TEXT('All Tandem Standards Source'!O92,"M:SS"),TEXT('All Tandem Standards Source'!O92,"H:MM:SS"))</f>
        <v>1:08:53</v>
      </c>
      <c r="N91" s="57" t="str">
        <f>IF('All Tandem Standards Source'!S92&lt;1/24,TEXT('All Tandem Standards Source'!S92,"M:SS"),TEXT('All Tandem Standards Source'!S92,"H:MM:SS"))</f>
        <v>1:59:57</v>
      </c>
      <c r="O91" s="57" t="str">
        <f>IF('All Tandem Standards Source'!W92&lt;1/24,TEXT('All Tandem Standards Source'!W92,"M:SS"),TEXT('All Tandem Standards Source'!W92,"H:MM:SS"))</f>
        <v>4:33:04</v>
      </c>
      <c r="P91" s="58" t="str">
        <f>TEXT('All Tandem Standards Source'!AA92,"0.00")</f>
        <v>30.51</v>
      </c>
      <c r="Q91" s="58" t="str">
        <f>TEXT('All Tandem Standards Source'!AE92,"0.00")</f>
        <v>37.52</v>
      </c>
      <c r="R91" s="50" t="str">
        <f>IF('All Tandem Standards Source'!D92&lt;1/24,TEXT('All Tandem Standards Source'!D92,"M:SS"),TEXT('All Tandem Standards Source'!D92,"H:MM:SS"))</f>
        <v>21:31</v>
      </c>
      <c r="S91" s="50" t="str">
        <f>IF('All Tandem Standards Source'!H92&lt;1/24,TEXT('All Tandem Standards Source'!H92,"M:SS"),TEXT('All Tandem Standards Source'!H92,"H:MM:SS"))</f>
        <v>32:36</v>
      </c>
      <c r="T91" s="50" t="str">
        <f>IF('All Tandem Standards Source'!L92&lt;1/24,TEXT('All Tandem Standards Source'!L92,"M:SS"),TEXT('All Tandem Standards Source'!L92,"H:MM:SS"))</f>
        <v>55:26</v>
      </c>
      <c r="U91" s="50" t="str">
        <f>IF('All Tandem Standards Source'!P92&lt;1/24,TEXT('All Tandem Standards Source'!P92,"M:SS"),TEXT('All Tandem Standards Source'!P92,"H:MM:SS"))</f>
        <v>1:07:12</v>
      </c>
      <c r="V91" s="50" t="str">
        <f>IF('All Tandem Standards Source'!T92&lt;1/24,TEXT('All Tandem Standards Source'!T92,"M:SS"),TEXT('All Tandem Standards Source'!T92,"H:MM:SS"))</f>
        <v>1:57:02</v>
      </c>
      <c r="W91" s="50" t="str">
        <f>IF('All Tandem Standards Source'!X92&lt;1/24,TEXT('All Tandem Standards Source'!X92,"M:SS"),TEXT('All Tandem Standards Source'!X92,"H:MM:SS"))</f>
        <v>4:26:20</v>
      </c>
      <c r="X91" s="51" t="str">
        <f>TEXT('All Tandem Standards Source'!AB92,"0.00")</f>
        <v>31.78</v>
      </c>
      <c r="Y91" s="51" t="str">
        <f>TEXT('All Tandem Standards Source'!AF92,"0.00")</f>
        <v>38.71</v>
      </c>
      <c r="Z91" s="55" t="str">
        <f>IF('All Tandem Standards Source'!E92&lt;1/24,TEXT('All Tandem Standards Source'!E92,"M:SS"),TEXT('All Tandem Standards Source'!E92,"H:MM:SS"))</f>
        <v>23:52</v>
      </c>
      <c r="AA91" s="55" t="str">
        <f>IF('All Tandem Standards Source'!I92&lt;1/24,TEXT('All Tandem Standards Source'!I92,"M:SS"),TEXT('All Tandem Standards Source'!I92,"H:MM:SS"))</f>
        <v>36:09</v>
      </c>
      <c r="AB91" s="55" t="str">
        <f>IF('All Tandem Standards Source'!M92&lt;1/24,TEXT('All Tandem Standards Source'!M92,"M:SS"),TEXT('All Tandem Standards Source'!M92,"H:MM:SS"))</f>
        <v>1:01:30</v>
      </c>
      <c r="AC91" s="55" t="str">
        <f>IF('All Tandem Standards Source'!Q92&lt;1/24,TEXT('All Tandem Standards Source'!Q92,"M:SS"),TEXT('All Tandem Standards Source'!Q92,"H:MM:SS"))</f>
        <v>1:14:35</v>
      </c>
      <c r="AD91" s="55" t="str">
        <f>IF('All Tandem Standards Source'!U92&lt;1/24,TEXT('All Tandem Standards Source'!U92,"M:SS"),TEXT('All Tandem Standards Source'!U92,"H:MM:SS"))</f>
        <v>2:09:55</v>
      </c>
      <c r="AE91" s="55" t="str">
        <f>IF('All Tandem Standards Source'!Y92&lt;1/24,TEXT('All Tandem Standards Source'!Y92,"M:SS"),TEXT('All Tandem Standards Source'!Y92,"H:MM:SS"))</f>
        <v>4:56:03</v>
      </c>
      <c r="AF91" s="56" t="str">
        <f>TEXT('All Tandem Standards Source'!AC92,"0.00")</f>
        <v>26.48</v>
      </c>
      <c r="AG91" s="56" t="str">
        <f>TEXT('All Tandem Standards Source'!AG92,"0.00")</f>
        <v>33.59</v>
      </c>
    </row>
    <row r="92" spans="1:33" x14ac:dyDescent="0.25">
      <c r="A92" s="17">
        <v>99</v>
      </c>
      <c r="B92" s="53" t="str">
        <f>IF('All Tandem Standards Source'!B93&lt;1/24,TEXT('All Tandem Standards Source'!B93,"M:SS"),TEXT('All Tandem Standards Source'!B93,"H:MM:SS"))</f>
        <v>20:20</v>
      </c>
      <c r="C92" s="53" t="str">
        <f>IF('All Tandem Standards Source'!F93&lt;1/24,TEXT('All Tandem Standards Source'!F93,"M:SS"),TEXT('All Tandem Standards Source'!F93,"H:MM:SS"))</f>
        <v>30:48</v>
      </c>
      <c r="D92" s="53" t="str">
        <f>IF('All Tandem Standards Source'!J93&lt;1/24,TEXT('All Tandem Standards Source'!J93,"M:SS"),TEXT('All Tandem Standards Source'!J93,"H:MM:SS"))</f>
        <v>52:27</v>
      </c>
      <c r="E92" s="53" t="str">
        <f>IF('All Tandem Standards Source'!N93&lt;1/24,TEXT('All Tandem Standards Source'!N93,"M:SS"),TEXT('All Tandem Standards Source'!N93,"H:MM:SS"))</f>
        <v>1:03:37</v>
      </c>
      <c r="F92" s="53" t="str">
        <f>IF('All Tandem Standards Source'!R93&lt;1/24,TEXT('All Tandem Standards Source'!R93,"M:SS"),TEXT('All Tandem Standards Source'!R93,"H:MM:SS"))</f>
        <v>1:51:01</v>
      </c>
      <c r="G92" s="53" t="str">
        <f>IF('All Tandem Standards Source'!V93&lt;1/24,TEXT('All Tandem Standards Source'!V93,"M:SS"),TEXT('All Tandem Standards Source'!V93,"H:MM:SS"))</f>
        <v>4:14:46</v>
      </c>
      <c r="H92" s="54" t="str">
        <f>TEXT('All Tandem Standards Source'!Z93,"0.00")</f>
        <v>33.50</v>
      </c>
      <c r="I92" s="54" t="str">
        <f>TEXT('All Tandem Standards Source'!AD93,"0.00")</f>
        <v>38.31</v>
      </c>
      <c r="J92" s="57" t="str">
        <f>IF('All Tandem Standards Source'!C93&lt;1/24,TEXT('All Tandem Standards Source'!C93,"M:SS"),TEXT('All Tandem Standards Source'!C93,"H:MM:SS"))</f>
        <v>22:32</v>
      </c>
      <c r="K92" s="57" t="str">
        <f>IF('All Tandem Standards Source'!G93&lt;1/24,TEXT('All Tandem Standards Source'!G93,"M:SS"),TEXT('All Tandem Standards Source'!G93,"H:MM:SS"))</f>
        <v>34:09</v>
      </c>
      <c r="L92" s="57" t="str">
        <f>IF('All Tandem Standards Source'!K93&lt;1/24,TEXT('All Tandem Standards Source'!K93,"M:SS"),TEXT('All Tandem Standards Source'!K93,"H:MM:SS"))</f>
        <v>58:08</v>
      </c>
      <c r="M92" s="57" t="str">
        <f>IF('All Tandem Standards Source'!O93&lt;1/24,TEXT('All Tandem Standards Source'!O93,"M:SS"),TEXT('All Tandem Standards Source'!O93,"H:MM:SS"))</f>
        <v>1:10:32</v>
      </c>
      <c r="N92" s="57" t="str">
        <f>IF('All Tandem Standards Source'!S93&lt;1/24,TEXT('All Tandem Standards Source'!S93,"M:SS"),TEXT('All Tandem Standards Source'!S93,"H:MM:SS"))</f>
        <v>2:03:09</v>
      </c>
      <c r="O92" s="57" t="str">
        <f>IF('All Tandem Standards Source'!W93&lt;1/24,TEXT('All Tandem Standards Source'!W93,"M:SS"),TEXT('All Tandem Standards Source'!W93,"H:MM:SS"))</f>
        <v>4:43:02</v>
      </c>
      <c r="P92" s="58" t="str">
        <f>TEXT('All Tandem Standards Source'!AA93,"0.00")</f>
        <v>28.35</v>
      </c>
      <c r="Q92" s="58" t="str">
        <f>TEXT('All Tandem Standards Source'!AE93,"0.00")</f>
        <v>33.71</v>
      </c>
      <c r="R92" s="50" t="str">
        <f>IF('All Tandem Standards Source'!D93&lt;1/24,TEXT('All Tandem Standards Source'!D93,"M:SS"),TEXT('All Tandem Standards Source'!D93,"H:MM:SS"))</f>
        <v>21:59</v>
      </c>
      <c r="S92" s="50" t="str">
        <f>IF('All Tandem Standards Source'!H93&lt;1/24,TEXT('All Tandem Standards Source'!H93,"M:SS"),TEXT('All Tandem Standards Source'!H93,"H:MM:SS"))</f>
        <v>33:19</v>
      </c>
      <c r="T92" s="50" t="str">
        <f>IF('All Tandem Standards Source'!L93&lt;1/24,TEXT('All Tandem Standards Source'!L93,"M:SS"),TEXT('All Tandem Standards Source'!L93,"H:MM:SS"))</f>
        <v>56:43</v>
      </c>
      <c r="U92" s="50" t="str">
        <f>IF('All Tandem Standards Source'!P93&lt;1/24,TEXT('All Tandem Standards Source'!P93,"M:SS"),TEXT('All Tandem Standards Source'!P93,"H:MM:SS"))</f>
        <v>1:08:49</v>
      </c>
      <c r="V92" s="50" t="str">
        <f>IF('All Tandem Standards Source'!T93&lt;1/24,TEXT('All Tandem Standards Source'!T93,"M:SS"),TEXT('All Tandem Standards Source'!T93,"H:MM:SS"))</f>
        <v>2:00:08</v>
      </c>
      <c r="W92" s="50" t="str">
        <f>IF('All Tandem Standards Source'!X93&lt;1/24,TEXT('All Tandem Standards Source'!X93,"M:SS"),TEXT('All Tandem Standards Source'!X93,"H:MM:SS"))</f>
        <v>4:36:01</v>
      </c>
      <c r="X92" s="51" t="str">
        <f>TEXT('All Tandem Standards Source'!AB93,"0.00")</f>
        <v>29.56</v>
      </c>
      <c r="Y92" s="51" t="str">
        <f>TEXT('All Tandem Standards Source'!AF93,"0.00")</f>
        <v>34.83</v>
      </c>
      <c r="Z92" s="55" t="str">
        <f>IF('All Tandem Standards Source'!E93&lt;1/24,TEXT('All Tandem Standards Source'!E93,"M:SS"),TEXT('All Tandem Standards Source'!E93,"H:MM:SS"))</f>
        <v>24:24</v>
      </c>
      <c r="AA92" s="55" t="str">
        <f>IF('All Tandem Standards Source'!I93&lt;1/24,TEXT('All Tandem Standards Source'!I93,"M:SS"),TEXT('All Tandem Standards Source'!I93,"H:MM:SS"))</f>
        <v>36:58</v>
      </c>
      <c r="AB92" s="55" t="str">
        <f>IF('All Tandem Standards Source'!M93&lt;1/24,TEXT('All Tandem Standards Source'!M93,"M:SS"),TEXT('All Tandem Standards Source'!M93,"H:MM:SS"))</f>
        <v>1:02:57</v>
      </c>
      <c r="AC92" s="55" t="str">
        <f>IF('All Tandem Standards Source'!Q93&lt;1/24,TEXT('All Tandem Standards Source'!Q93,"M:SS"),TEXT('All Tandem Standards Source'!Q93,"H:MM:SS"))</f>
        <v>1:16:24</v>
      </c>
      <c r="AD92" s="55" t="str">
        <f>IF('All Tandem Standards Source'!U93&lt;1/24,TEXT('All Tandem Standards Source'!U93,"M:SS"),TEXT('All Tandem Standards Source'!U93,"H:MM:SS"))</f>
        <v>2:13:25</v>
      </c>
      <c r="AE92" s="55" t="str">
        <f>IF('All Tandem Standards Source'!Y93&lt;1/24,TEXT('All Tandem Standards Source'!Y93,"M:SS"),TEXT('All Tandem Standards Source'!Y93,"H:MM:SS"))</f>
        <v>5:06:59</v>
      </c>
      <c r="AF92" s="56" t="str">
        <f>TEXT('All Tandem Standards Source'!AC93,"0.00")</f>
        <v>24.50</v>
      </c>
      <c r="AG92" s="56" t="str">
        <f>TEXT('All Tandem Standards Source'!AG93,"0.00")</f>
        <v>30.02</v>
      </c>
    </row>
  </sheetData>
  <sheetProtection sheet="1" objects="1" scenarios="1"/>
  <mergeCells count="4">
    <mergeCell ref="B1:I1"/>
    <mergeCell ref="J1:Q1"/>
    <mergeCell ref="R1:Y1"/>
    <mergeCell ref="Z1:AG1"/>
  </mergeCells>
  <pageMargins left="0.70866141732283461" right="0.70866141732283461" top="0.74803149606299213" bottom="0.74803149606299213" header="0.31496062992125984" footer="0.31496062992125984"/>
  <pageSetup paperSize="9" scale="45" orientation="landscape" r:id="rId1"/>
  <headerFooter>
    <oddHeader>&amp;C&amp;A</oddHeader>
    <oddFooter>&amp;L&amp;F&amp;CPage &amp;P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CF9BB-A3CB-4A14-96C3-8C5FDEE8565E}">
  <sheetPr codeName="Sheet1">
    <pageSetUpPr fitToPage="1"/>
  </sheetPr>
  <dimension ref="A1:B27"/>
  <sheetViews>
    <sheetView zoomScale="90" zoomScaleNormal="90" workbookViewId="0"/>
  </sheetViews>
  <sheetFormatPr defaultColWidth="8.7109375" defaultRowHeight="15" x14ac:dyDescent="0.25"/>
  <cols>
    <col min="1" max="1" width="10.140625" style="32" customWidth="1"/>
    <col min="2" max="2" width="175.7109375" style="38" customWidth="1"/>
    <col min="3" max="3" width="10.140625" style="32" customWidth="1"/>
    <col min="4" max="16384" width="8.7109375" style="32"/>
  </cols>
  <sheetData>
    <row r="1" spans="1:2" x14ac:dyDescent="0.25">
      <c r="A1" s="37" t="s">
        <v>21</v>
      </c>
      <c r="B1" s="38" t="s">
        <v>49</v>
      </c>
    </row>
    <row r="2" spans="1:2" x14ac:dyDescent="0.25">
      <c r="A2" s="37" t="s">
        <v>9</v>
      </c>
      <c r="B2" s="38">
        <v>2024</v>
      </c>
    </row>
    <row r="3" spans="1:2" x14ac:dyDescent="0.25">
      <c r="A3" s="37" t="s">
        <v>22</v>
      </c>
      <c r="B3" s="39">
        <v>45343</v>
      </c>
    </row>
    <row r="4" spans="1:2" x14ac:dyDescent="0.25">
      <c r="A4" s="37" t="s">
        <v>10</v>
      </c>
      <c r="B4" s="38" t="s">
        <v>11</v>
      </c>
    </row>
    <row r="6" spans="1:2" x14ac:dyDescent="0.25">
      <c r="A6" s="37" t="s">
        <v>23</v>
      </c>
    </row>
    <row r="7" spans="1:2" ht="30" x14ac:dyDescent="0.25">
      <c r="B7" s="40" t="s">
        <v>53</v>
      </c>
    </row>
    <row r="8" spans="1:2" x14ac:dyDescent="0.25">
      <c r="B8" s="40" t="s">
        <v>74</v>
      </c>
    </row>
    <row r="9" spans="1:2" x14ac:dyDescent="0.25">
      <c r="B9" s="40" t="s">
        <v>73</v>
      </c>
    </row>
    <row r="10" spans="1:2" x14ac:dyDescent="0.25">
      <c r="B10" s="40" t="s">
        <v>71</v>
      </c>
    </row>
    <row r="11" spans="1:2" ht="30" x14ac:dyDescent="0.25">
      <c r="B11" s="40" t="s">
        <v>72</v>
      </c>
    </row>
    <row r="12" spans="1:2" x14ac:dyDescent="0.25">
      <c r="B12" s="40" t="s">
        <v>54</v>
      </c>
    </row>
    <row r="13" spans="1:2" x14ac:dyDescent="0.25">
      <c r="B13" s="38" t="s">
        <v>70</v>
      </c>
    </row>
    <row r="15" spans="1:2" x14ac:dyDescent="0.25">
      <c r="A15" s="37" t="s">
        <v>35</v>
      </c>
    </row>
    <row r="16" spans="1:2" x14ac:dyDescent="0.25">
      <c r="B16" s="40" t="s">
        <v>36</v>
      </c>
    </row>
    <row r="17" spans="1:2" x14ac:dyDescent="0.25">
      <c r="B17" s="40" t="s">
        <v>37</v>
      </c>
    </row>
    <row r="18" spans="1:2" x14ac:dyDescent="0.25">
      <c r="B18" s="40" t="s">
        <v>38</v>
      </c>
    </row>
    <row r="19" spans="1:2" x14ac:dyDescent="0.25">
      <c r="B19" s="40" t="s">
        <v>39</v>
      </c>
    </row>
    <row r="20" spans="1:2" x14ac:dyDescent="0.25">
      <c r="B20" s="41"/>
    </row>
    <row r="21" spans="1:2" x14ac:dyDescent="0.25">
      <c r="A21" s="37" t="s">
        <v>24</v>
      </c>
      <c r="B21" s="41"/>
    </row>
    <row r="22" spans="1:2" x14ac:dyDescent="0.25">
      <c r="B22" s="40" t="s">
        <v>51</v>
      </c>
    </row>
    <row r="23" spans="1:2" x14ac:dyDescent="0.25">
      <c r="B23" s="40" t="s">
        <v>41</v>
      </c>
    </row>
    <row r="24" spans="1:2" x14ac:dyDescent="0.25">
      <c r="B24" s="40" t="s">
        <v>42</v>
      </c>
    </row>
    <row r="26" spans="1:2" x14ac:dyDescent="0.25">
      <c r="A26" s="32" t="s">
        <v>59</v>
      </c>
    </row>
    <row r="27" spans="1:2" x14ac:dyDescent="0.25">
      <c r="A27" s="32" t="s">
        <v>25</v>
      </c>
    </row>
  </sheetData>
  <sheetProtection algorithmName="SHA-512" hashValue="VOTUmbUigHyqL3p3sMYAQM0odocpA9zwHuzWIkMtGxhfbmdz34FCqDmALWWsYqoRSiHqJJoElz1K4rMsu7q8Fw==" saltValue="Ft41TEv6nT/54ouou1OQ/A==" spinCount="100000" sheet="1" objects="1" scenarios="1"/>
  <pageMargins left="0.70866141732283472" right="0.70866141732283472" top="0.74803149606299213" bottom="0.74803149606299213" header="0.31496062992125984" footer="0.31496062992125984"/>
  <pageSetup paperSize="9" scale="70" orientation="landscape" r:id="rId1"/>
  <headerFooter>
    <oddHeader>&amp;C&amp;A</oddHeader>
    <oddFooter>&amp;L&amp;F&amp;CPage &amp;P of &amp;N&amp;R&amp;D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56BAC-D968-4F0A-94B5-81EDA6B84A3A}">
  <sheetPr codeName="Sheet2">
    <pageSetUpPr fitToPage="1"/>
  </sheetPr>
  <dimension ref="A1:AG93"/>
  <sheetViews>
    <sheetView zoomScale="50" zoomScaleNormal="50"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15" customWidth="1"/>
    <col min="2" max="25" width="9.7109375" customWidth="1"/>
  </cols>
  <sheetData>
    <row r="1" spans="1:33" x14ac:dyDescent="0.25">
      <c r="A1" s="13" t="s">
        <v>34</v>
      </c>
      <c r="B1" s="14">
        <v>10</v>
      </c>
      <c r="C1" s="14">
        <v>10</v>
      </c>
      <c r="D1" s="14">
        <v>10</v>
      </c>
      <c r="E1" s="14">
        <v>10</v>
      </c>
      <c r="F1" s="14">
        <v>15</v>
      </c>
      <c r="G1" s="14">
        <v>15</v>
      </c>
      <c r="H1" s="14">
        <v>15</v>
      </c>
      <c r="I1" s="14">
        <v>15</v>
      </c>
      <c r="J1" s="14">
        <v>25</v>
      </c>
      <c r="K1" s="14">
        <v>25</v>
      </c>
      <c r="L1" s="14">
        <v>25</v>
      </c>
      <c r="M1" s="14">
        <v>25</v>
      </c>
      <c r="N1" s="14">
        <v>30</v>
      </c>
      <c r="O1" s="14">
        <v>30</v>
      </c>
      <c r="P1" s="14">
        <v>30</v>
      </c>
      <c r="Q1" s="14">
        <v>30</v>
      </c>
      <c r="R1" s="14">
        <v>50</v>
      </c>
      <c r="S1" s="14">
        <v>50</v>
      </c>
      <c r="T1" s="14">
        <v>50</v>
      </c>
      <c r="U1" s="14">
        <v>50</v>
      </c>
      <c r="V1" s="14">
        <v>100</v>
      </c>
      <c r="W1" s="14">
        <v>100</v>
      </c>
      <c r="X1" s="14">
        <v>100</v>
      </c>
      <c r="Y1" s="14">
        <v>100</v>
      </c>
      <c r="Z1" s="14">
        <v>12</v>
      </c>
      <c r="AA1" s="14">
        <v>12</v>
      </c>
      <c r="AB1" s="14">
        <v>12</v>
      </c>
      <c r="AC1" s="14">
        <v>12</v>
      </c>
      <c r="AD1" s="15">
        <v>24</v>
      </c>
      <c r="AE1" s="14">
        <v>24</v>
      </c>
      <c r="AF1" s="14">
        <v>24</v>
      </c>
      <c r="AG1" s="14">
        <v>24</v>
      </c>
    </row>
    <row r="2" spans="1:33" x14ac:dyDescent="0.25">
      <c r="A2" s="13" t="s">
        <v>8</v>
      </c>
      <c r="B2" s="16" t="s">
        <v>7</v>
      </c>
      <c r="C2" s="16" t="s">
        <v>7</v>
      </c>
      <c r="D2" s="16" t="s">
        <v>7</v>
      </c>
      <c r="E2" s="16" t="s">
        <v>7</v>
      </c>
      <c r="F2" s="16" t="s">
        <v>7</v>
      </c>
      <c r="G2" s="16" t="s">
        <v>7</v>
      </c>
      <c r="H2" s="16" t="s">
        <v>7</v>
      </c>
      <c r="I2" s="16" t="s">
        <v>7</v>
      </c>
      <c r="J2" s="16" t="s">
        <v>7</v>
      </c>
      <c r="K2" s="16" t="s">
        <v>7</v>
      </c>
      <c r="L2" s="16" t="s">
        <v>7</v>
      </c>
      <c r="M2" s="16" t="s">
        <v>7</v>
      </c>
      <c r="N2" s="16" t="s">
        <v>7</v>
      </c>
      <c r="O2" s="16" t="s">
        <v>7</v>
      </c>
      <c r="P2" s="16" t="s">
        <v>7</v>
      </c>
      <c r="Q2" s="16" t="s">
        <v>7</v>
      </c>
      <c r="R2" s="16" t="s">
        <v>7</v>
      </c>
      <c r="S2" s="16" t="s">
        <v>7</v>
      </c>
      <c r="T2" s="16" t="s">
        <v>7</v>
      </c>
      <c r="U2" s="16" t="s">
        <v>7</v>
      </c>
      <c r="V2" s="16" t="s">
        <v>7</v>
      </c>
      <c r="W2" s="16" t="s">
        <v>7</v>
      </c>
      <c r="X2" s="16" t="s">
        <v>7</v>
      </c>
      <c r="Y2" s="16" t="s">
        <v>7</v>
      </c>
      <c r="Z2" s="14" t="s">
        <v>12</v>
      </c>
      <c r="AA2" s="14" t="s">
        <v>12</v>
      </c>
      <c r="AB2" s="14" t="s">
        <v>12</v>
      </c>
      <c r="AC2" s="14" t="s">
        <v>12</v>
      </c>
      <c r="AD2" s="14" t="s">
        <v>12</v>
      </c>
      <c r="AE2" s="14" t="s">
        <v>12</v>
      </c>
      <c r="AF2" s="14" t="s">
        <v>12</v>
      </c>
      <c r="AG2" s="14" t="s">
        <v>12</v>
      </c>
    </row>
    <row r="3" spans="1:33" x14ac:dyDescent="0.25">
      <c r="A3" s="13" t="s">
        <v>48</v>
      </c>
      <c r="B3" s="14" t="s">
        <v>43</v>
      </c>
      <c r="C3" s="14" t="s">
        <v>4</v>
      </c>
      <c r="D3" s="14" t="s">
        <v>43</v>
      </c>
      <c r="E3" s="14" t="s">
        <v>4</v>
      </c>
      <c r="F3" s="14" t="s">
        <v>43</v>
      </c>
      <c r="G3" s="14" t="s">
        <v>4</v>
      </c>
      <c r="H3" s="14" t="s">
        <v>43</v>
      </c>
      <c r="I3" s="14" t="s">
        <v>4</v>
      </c>
      <c r="J3" s="14" t="s">
        <v>43</v>
      </c>
      <c r="K3" s="14" t="s">
        <v>4</v>
      </c>
      <c r="L3" s="14" t="s">
        <v>43</v>
      </c>
      <c r="M3" s="14" t="s">
        <v>4</v>
      </c>
      <c r="N3" s="14" t="s">
        <v>43</v>
      </c>
      <c r="O3" s="14" t="s">
        <v>4</v>
      </c>
      <c r="P3" s="14" t="s">
        <v>43</v>
      </c>
      <c r="Q3" s="14" t="s">
        <v>4</v>
      </c>
      <c r="R3" s="14" t="s">
        <v>43</v>
      </c>
      <c r="S3" s="14" t="s">
        <v>4</v>
      </c>
      <c r="T3" s="14" t="s">
        <v>43</v>
      </c>
      <c r="U3" s="14" t="s">
        <v>4</v>
      </c>
      <c r="V3" s="14" t="s">
        <v>43</v>
      </c>
      <c r="W3" s="14" t="s">
        <v>4</v>
      </c>
      <c r="X3" s="14" t="s">
        <v>43</v>
      </c>
      <c r="Y3" s="14" t="s">
        <v>4</v>
      </c>
      <c r="Z3" s="14" t="s">
        <v>43</v>
      </c>
      <c r="AA3" s="14" t="s">
        <v>4</v>
      </c>
      <c r="AB3" s="14" t="s">
        <v>43</v>
      </c>
      <c r="AC3" s="14" t="s">
        <v>4</v>
      </c>
      <c r="AD3" s="14" t="s">
        <v>43</v>
      </c>
      <c r="AE3" s="14" t="s">
        <v>4</v>
      </c>
      <c r="AF3" s="14" t="s">
        <v>43</v>
      </c>
      <c r="AG3" s="14" t="s">
        <v>4</v>
      </c>
    </row>
    <row r="4" spans="1:33" x14ac:dyDescent="0.25">
      <c r="A4" s="13" t="s">
        <v>6</v>
      </c>
      <c r="B4" s="14" t="s">
        <v>3</v>
      </c>
      <c r="C4" s="14" t="s">
        <v>3</v>
      </c>
      <c r="D4" s="14" t="s">
        <v>2</v>
      </c>
      <c r="E4" s="14" t="s">
        <v>2</v>
      </c>
      <c r="F4" s="14" t="s">
        <v>3</v>
      </c>
      <c r="G4" s="14" t="s">
        <v>3</v>
      </c>
      <c r="H4" s="14" t="s">
        <v>2</v>
      </c>
      <c r="I4" s="14" t="s">
        <v>2</v>
      </c>
      <c r="J4" s="14" t="s">
        <v>3</v>
      </c>
      <c r="K4" s="14" t="s">
        <v>3</v>
      </c>
      <c r="L4" s="14" t="s">
        <v>2</v>
      </c>
      <c r="M4" s="14" t="s">
        <v>2</v>
      </c>
      <c r="N4" s="14" t="s">
        <v>3</v>
      </c>
      <c r="O4" s="14" t="s">
        <v>3</v>
      </c>
      <c r="P4" s="14" t="s">
        <v>2</v>
      </c>
      <c r="Q4" s="14" t="s">
        <v>2</v>
      </c>
      <c r="R4" s="14" t="s">
        <v>3</v>
      </c>
      <c r="S4" s="14" t="s">
        <v>3</v>
      </c>
      <c r="T4" s="14" t="s">
        <v>2</v>
      </c>
      <c r="U4" s="14" t="s">
        <v>2</v>
      </c>
      <c r="V4" s="14" t="s">
        <v>3</v>
      </c>
      <c r="W4" s="14" t="s">
        <v>3</v>
      </c>
      <c r="X4" s="14" t="s">
        <v>2</v>
      </c>
      <c r="Y4" s="14" t="s">
        <v>2</v>
      </c>
      <c r="Z4" s="14" t="s">
        <v>3</v>
      </c>
      <c r="AA4" s="14" t="s">
        <v>3</v>
      </c>
      <c r="AB4" s="14" t="s">
        <v>2</v>
      </c>
      <c r="AC4" s="14" t="s">
        <v>2</v>
      </c>
      <c r="AD4" s="14" t="s">
        <v>3</v>
      </c>
      <c r="AE4" s="14" t="s">
        <v>3</v>
      </c>
      <c r="AF4" s="14" t="s">
        <v>2</v>
      </c>
      <c r="AG4" s="14" t="s">
        <v>2</v>
      </c>
    </row>
    <row r="5" spans="1:33" hidden="1" x14ac:dyDescent="0.25">
      <c r="A5" s="17">
        <v>11</v>
      </c>
      <c r="B5" s="33">
        <v>7.6620370370370366E-3</v>
      </c>
      <c r="C5" s="33">
        <v>1.0254629629629631E-2</v>
      </c>
      <c r="D5" s="33">
        <v>9.7106481481481453E-3</v>
      </c>
      <c r="E5" s="33">
        <v>1.2557870370370369E-2</v>
      </c>
      <c r="F5" s="33"/>
      <c r="G5" s="33"/>
      <c r="H5" s="33"/>
      <c r="I5" s="33"/>
      <c r="J5" s="33"/>
      <c r="K5" s="33"/>
      <c r="L5" s="33"/>
      <c r="M5" s="33"/>
      <c r="N5" s="33"/>
      <c r="O5" s="33"/>
      <c r="P5" s="33"/>
      <c r="Q5" s="33"/>
      <c r="R5" s="33"/>
      <c r="S5" s="33"/>
      <c r="T5" s="33"/>
      <c r="U5" s="33"/>
      <c r="V5" s="33"/>
      <c r="W5" s="33"/>
      <c r="X5" s="33"/>
      <c r="Y5" s="33"/>
      <c r="Z5" s="34"/>
      <c r="AA5" s="34"/>
      <c r="AB5" s="34"/>
      <c r="AC5" s="34"/>
      <c r="AD5" s="34"/>
      <c r="AE5" s="34"/>
      <c r="AF5" s="34"/>
      <c r="AG5" s="34"/>
    </row>
    <row r="6" spans="1:33" hidden="1" x14ac:dyDescent="0.25">
      <c r="A6" s="17">
        <v>12</v>
      </c>
      <c r="B6" s="33">
        <v>4.3518518518518498E-3</v>
      </c>
      <c r="C6" s="33">
        <v>6.5856481481481495E-3</v>
      </c>
      <c r="D6" s="33">
        <v>6.0879629629629617E-3</v>
      </c>
      <c r="E6" s="33">
        <v>8.5300925925925926E-3</v>
      </c>
      <c r="F6" s="33">
        <v>6.8287037037037014E-3</v>
      </c>
      <c r="G6" s="33">
        <v>1.0219907407407403E-2</v>
      </c>
      <c r="H6" s="33">
        <v>9.4675925925925865E-3</v>
      </c>
      <c r="I6" s="33">
        <v>1.3171296296296296E-2</v>
      </c>
      <c r="J6" s="33">
        <v>1.2465277777777783E-2</v>
      </c>
      <c r="K6" s="33">
        <v>1.8275462962962959E-2</v>
      </c>
      <c r="L6" s="33">
        <v>1.6979166666666663E-2</v>
      </c>
      <c r="M6" s="33">
        <v>2.3333333333333338E-2</v>
      </c>
      <c r="N6" s="33">
        <v>1.5694444444444441E-2</v>
      </c>
      <c r="O6" s="33">
        <v>2.2766203703703705E-2</v>
      </c>
      <c r="P6" s="33">
        <v>2.1203703703703711E-2</v>
      </c>
      <c r="Q6" s="33">
        <v>2.8923611111111108E-2</v>
      </c>
      <c r="R6" s="33">
        <v>3.2233796296296302E-2</v>
      </c>
      <c r="S6" s="33">
        <v>4.4814814814814835E-2</v>
      </c>
      <c r="T6" s="33">
        <v>4.2071759259259267E-2</v>
      </c>
      <c r="U6" s="33">
        <v>5.5856481481481479E-2</v>
      </c>
      <c r="V6" s="33">
        <v>0.134525462962963</v>
      </c>
      <c r="W6" s="33">
        <v>0.16811342592592596</v>
      </c>
      <c r="X6" s="33">
        <v>0.16136574074074075</v>
      </c>
      <c r="Y6" s="33">
        <v>0.19817129629629629</v>
      </c>
      <c r="Z6" s="34">
        <v>68.460000000000008</v>
      </c>
      <c r="AA6" s="34">
        <v>91.16</v>
      </c>
      <c r="AB6" s="34">
        <v>85.52000000000001</v>
      </c>
      <c r="AC6" s="34">
        <v>106.68</v>
      </c>
      <c r="AD6" s="34">
        <v>91.150000000000034</v>
      </c>
      <c r="AE6" s="34">
        <v>126.07</v>
      </c>
      <c r="AF6" s="34">
        <v>117.65999999999997</v>
      </c>
      <c r="AG6" s="34">
        <v>151.10999999999999</v>
      </c>
    </row>
    <row r="7" spans="1:33" hidden="1" x14ac:dyDescent="0.25">
      <c r="A7" s="17">
        <v>13</v>
      </c>
      <c r="B7" s="33">
        <v>2.6157407407407414E-3</v>
      </c>
      <c r="C7" s="33">
        <v>4.65277777777778E-3</v>
      </c>
      <c r="D7" s="33">
        <v>4.1782407407407393E-3</v>
      </c>
      <c r="E7" s="33">
        <v>6.4120370370370355E-3</v>
      </c>
      <c r="F7" s="33">
        <v>4.0740740740740737E-3</v>
      </c>
      <c r="G7" s="33">
        <v>7.1527777777777753E-3</v>
      </c>
      <c r="H7" s="33">
        <v>6.4467592592592528E-3</v>
      </c>
      <c r="I7" s="33">
        <v>9.826388888888888E-3</v>
      </c>
      <c r="J7" s="33">
        <v>7.3611111111111169E-3</v>
      </c>
      <c r="K7" s="33">
        <v>1.25925925925926E-2</v>
      </c>
      <c r="L7" s="33">
        <v>1.1377314814814819E-2</v>
      </c>
      <c r="M7" s="33">
        <v>1.7118055555555574E-2</v>
      </c>
      <c r="N7" s="33">
        <v>9.2013888888888978E-3</v>
      </c>
      <c r="O7" s="33">
        <v>1.5555555555555559E-2</v>
      </c>
      <c r="P7" s="33">
        <v>1.4097222222222219E-2</v>
      </c>
      <c r="Q7" s="33">
        <v>2.1030092592592586E-2</v>
      </c>
      <c r="R7" s="33">
        <v>1.8356481481481488E-2</v>
      </c>
      <c r="S7" s="33">
        <v>2.9398148148148145E-2</v>
      </c>
      <c r="T7" s="33">
        <v>2.6874999999999996E-2</v>
      </c>
      <c r="U7" s="33">
        <v>3.8958333333333345E-2</v>
      </c>
      <c r="V7" s="33">
        <v>6.5474537037037012E-2</v>
      </c>
      <c r="W7" s="33">
        <v>9.1388888888888881E-2</v>
      </c>
      <c r="X7" s="33">
        <v>8.5717592592592567E-2</v>
      </c>
      <c r="Y7" s="33">
        <v>0.11412037037037034</v>
      </c>
      <c r="Z7" s="34">
        <v>46.609999999999985</v>
      </c>
      <c r="AA7" s="34">
        <v>70.550000000000011</v>
      </c>
      <c r="AB7" s="34">
        <v>64.75</v>
      </c>
      <c r="AC7" s="34">
        <v>87.18</v>
      </c>
      <c r="AD7" s="34">
        <v>62.949999999999989</v>
      </c>
      <c r="AE7" s="34">
        <v>98.57</v>
      </c>
      <c r="AF7" s="34">
        <v>90.07</v>
      </c>
      <c r="AG7" s="34">
        <v>124.31</v>
      </c>
    </row>
    <row r="8" spans="1:33" hidden="1" x14ac:dyDescent="0.25">
      <c r="A8" s="17">
        <v>14</v>
      </c>
      <c r="B8" s="33">
        <v>1.5509259259259243E-3</v>
      </c>
      <c r="C8" s="33">
        <v>3.4722222222222238E-3</v>
      </c>
      <c r="D8" s="33">
        <v>3.0208333333333302E-3</v>
      </c>
      <c r="E8" s="33">
        <v>5.1273148148148137E-3</v>
      </c>
      <c r="F8" s="33">
        <v>2.4189814814814803E-3</v>
      </c>
      <c r="G8" s="33">
        <v>5.3240740740740748E-3</v>
      </c>
      <c r="H8" s="33">
        <v>4.6412037037037064E-3</v>
      </c>
      <c r="I8" s="33">
        <v>7.8125000000000035E-3</v>
      </c>
      <c r="J8" s="33">
        <v>4.3518518518518567E-3</v>
      </c>
      <c r="K8" s="33">
        <v>9.2592592592592657E-3</v>
      </c>
      <c r="L8" s="33">
        <v>8.0902777777777796E-3</v>
      </c>
      <c r="M8" s="33">
        <v>1.3460648148148159E-2</v>
      </c>
      <c r="N8" s="33">
        <v>5.4282407407407404E-3</v>
      </c>
      <c r="O8" s="33">
        <v>1.1354166666666679E-2</v>
      </c>
      <c r="P8" s="33">
        <v>9.9537037037037007E-3</v>
      </c>
      <c r="Q8" s="33">
        <v>1.6435185185185178E-2</v>
      </c>
      <c r="R8" s="33">
        <v>1.0648148148148157E-2</v>
      </c>
      <c r="S8" s="33">
        <v>2.0833333333333343E-2</v>
      </c>
      <c r="T8" s="33">
        <v>1.8425925925925929E-2</v>
      </c>
      <c r="U8" s="33">
        <v>2.958333333333335E-2</v>
      </c>
      <c r="V8" s="33">
        <v>3.5474537037037068E-2</v>
      </c>
      <c r="W8" s="33">
        <v>5.8055555555555555E-2</v>
      </c>
      <c r="X8" s="33">
        <v>5.2858796296296279E-2</v>
      </c>
      <c r="Y8" s="33">
        <v>7.7604166666666669E-2</v>
      </c>
      <c r="Z8" s="34">
        <v>30.22999999999999</v>
      </c>
      <c r="AA8" s="34">
        <v>55.180000000000007</v>
      </c>
      <c r="AB8" s="34">
        <v>49.22999999999999</v>
      </c>
      <c r="AC8" s="34">
        <v>72.690000000000026</v>
      </c>
      <c r="AD8" s="34">
        <v>41.25</v>
      </c>
      <c r="AE8" s="34">
        <v>77.490000000000009</v>
      </c>
      <c r="AF8" s="34">
        <v>68.899999999999977</v>
      </c>
      <c r="AG8" s="34">
        <v>103.82</v>
      </c>
    </row>
    <row r="9" spans="1:33" hidden="1" x14ac:dyDescent="0.25">
      <c r="A9" s="17">
        <v>15</v>
      </c>
      <c r="B9" s="33">
        <v>8.7962962962962951E-4</v>
      </c>
      <c r="C9" s="33">
        <v>2.731481481481484E-3</v>
      </c>
      <c r="D9" s="33">
        <v>2.2800925925925905E-3</v>
      </c>
      <c r="E9" s="33">
        <v>4.3055555555555555E-3</v>
      </c>
      <c r="F9" s="33">
        <v>1.3773148148148139E-3</v>
      </c>
      <c r="G9" s="33">
        <v>4.1550925925925887E-3</v>
      </c>
      <c r="H9" s="33">
        <v>3.4953703703703674E-3</v>
      </c>
      <c r="I9" s="33">
        <v>6.5393518518518552E-3</v>
      </c>
      <c r="J9" s="33">
        <v>2.4652777777777815E-3</v>
      </c>
      <c r="K9" s="33">
        <v>7.1527777777777857E-3</v>
      </c>
      <c r="L9" s="33">
        <v>6.0185185185185203E-3</v>
      </c>
      <c r="M9" s="33">
        <v>1.1157407407407414E-2</v>
      </c>
      <c r="N9" s="33">
        <v>3.0555555555555544E-3</v>
      </c>
      <c r="O9" s="33">
        <v>8.7268518518518606E-3</v>
      </c>
      <c r="P9" s="33">
        <v>7.3611111111111099E-3</v>
      </c>
      <c r="Q9" s="33">
        <v>1.3553240740740741E-2</v>
      </c>
      <c r="R9" s="33">
        <v>5.9490740740740788E-3</v>
      </c>
      <c r="S9" s="33">
        <v>1.5601851851851867E-2</v>
      </c>
      <c r="T9" s="33">
        <v>1.3275462962962961E-2</v>
      </c>
      <c r="U9" s="33">
        <v>2.3854166666666676E-2</v>
      </c>
      <c r="V9" s="33">
        <v>1.9097222222222238E-2</v>
      </c>
      <c r="W9" s="33">
        <v>3.9849537037037031E-2</v>
      </c>
      <c r="X9" s="33">
        <v>3.4907407407407415E-2</v>
      </c>
      <c r="Y9" s="33">
        <v>5.7662037037037012E-2</v>
      </c>
      <c r="Z9" s="34">
        <v>18.159999999999997</v>
      </c>
      <c r="AA9" s="34">
        <v>43.880000000000024</v>
      </c>
      <c r="AB9" s="34">
        <v>37.830000000000013</v>
      </c>
      <c r="AC9" s="34">
        <v>62.060000000000031</v>
      </c>
      <c r="AD9" s="34">
        <v>24.96999999999997</v>
      </c>
      <c r="AE9" s="34">
        <v>61.70999999999998</v>
      </c>
      <c r="AF9" s="34">
        <v>53.04000000000002</v>
      </c>
      <c r="AG9" s="34">
        <v>88.509999999999991</v>
      </c>
    </row>
    <row r="10" spans="1:33" hidden="1" x14ac:dyDescent="0.25">
      <c r="A10" s="17">
        <v>16</v>
      </c>
      <c r="B10" s="33">
        <v>4.5138888888888659E-4</v>
      </c>
      <c r="C10" s="33">
        <v>2.2453703703703733E-3</v>
      </c>
      <c r="D10" s="33">
        <v>1.8055555555555533E-3</v>
      </c>
      <c r="E10" s="33">
        <v>3.773148148148147E-3</v>
      </c>
      <c r="F10" s="33">
        <v>6.9444444444444198E-4</v>
      </c>
      <c r="G10" s="33">
        <v>3.4027777777777754E-3</v>
      </c>
      <c r="H10" s="33">
        <v>2.7546296296296242E-3</v>
      </c>
      <c r="I10" s="33">
        <v>5.717592592592597E-3</v>
      </c>
      <c r="J10" s="33">
        <v>1.2500000000000011E-3</v>
      </c>
      <c r="K10" s="33">
        <v>5.7986111111111155E-3</v>
      </c>
      <c r="L10" s="33">
        <v>4.6875000000000042E-3</v>
      </c>
      <c r="M10" s="33">
        <v>9.675925925925935E-3</v>
      </c>
      <c r="N10" s="33">
        <v>1.5509259259259278E-3</v>
      </c>
      <c r="O10" s="33">
        <v>7.0486111111111166E-3</v>
      </c>
      <c r="P10" s="33">
        <v>5.70601851851852E-3</v>
      </c>
      <c r="Q10" s="33">
        <v>1.1712962962962953E-2</v>
      </c>
      <c r="R10" s="33">
        <v>2.9976851851851866E-3</v>
      </c>
      <c r="S10" s="33">
        <v>1.2326388888888901E-2</v>
      </c>
      <c r="T10" s="33">
        <v>1.0046296296296303E-2</v>
      </c>
      <c r="U10" s="33">
        <v>2.0254629629629636E-2</v>
      </c>
      <c r="V10" s="33">
        <v>9.4212962962963165E-3</v>
      </c>
      <c r="W10" s="33">
        <v>2.9097222222222219E-2</v>
      </c>
      <c r="X10" s="33">
        <v>2.4317129629629591E-2</v>
      </c>
      <c r="Y10" s="33">
        <v>4.589120370370367E-2</v>
      </c>
      <c r="Z10" s="34">
        <v>9.6100000000000136</v>
      </c>
      <c r="AA10" s="34">
        <v>35.890000000000015</v>
      </c>
      <c r="AB10" s="34">
        <v>29.760000000000019</v>
      </c>
      <c r="AC10" s="34">
        <v>54.550000000000011</v>
      </c>
      <c r="AD10" s="34">
        <v>13.270000000000039</v>
      </c>
      <c r="AE10" s="34">
        <v>50.390000000000043</v>
      </c>
      <c r="AF10" s="34">
        <v>41.670000000000016</v>
      </c>
      <c r="AG10" s="34">
        <v>77.550000000000011</v>
      </c>
    </row>
    <row r="11" spans="1:33" hidden="1" x14ac:dyDescent="0.25">
      <c r="A11" s="17">
        <v>17</v>
      </c>
      <c r="B11" s="33">
        <v>1.7361111111111049E-4</v>
      </c>
      <c r="C11" s="33">
        <v>1.9444444444444466E-3</v>
      </c>
      <c r="D11" s="33">
        <v>1.5162037037037002E-3</v>
      </c>
      <c r="E11" s="33">
        <v>3.4490740740740732E-3</v>
      </c>
      <c r="F11" s="33">
        <v>2.777777777777761E-4</v>
      </c>
      <c r="G11" s="33">
        <v>2.9398148148148152E-3</v>
      </c>
      <c r="H11" s="33">
        <v>2.2916666666666641E-3</v>
      </c>
      <c r="I11" s="33">
        <v>5.2083333333333322E-3</v>
      </c>
      <c r="J11" s="33">
        <v>5.0925925925926485E-4</v>
      </c>
      <c r="K11" s="33">
        <v>4.9768518518518573E-3</v>
      </c>
      <c r="L11" s="33">
        <v>3.8773148148148195E-3</v>
      </c>
      <c r="M11" s="33">
        <v>8.7731481481481549E-3</v>
      </c>
      <c r="N11" s="33">
        <v>6.2500000000000056E-4</v>
      </c>
      <c r="O11" s="33">
        <v>6.0185185185185203E-3</v>
      </c>
      <c r="P11" s="33">
        <v>4.6990740740740708E-3</v>
      </c>
      <c r="Q11" s="33">
        <v>1.0590277777777768E-2</v>
      </c>
      <c r="R11" s="33">
        <v>1.2037037037037068E-3</v>
      </c>
      <c r="S11" s="33">
        <v>1.0335648148148163E-2</v>
      </c>
      <c r="T11" s="33">
        <v>8.0787037037036991E-3</v>
      </c>
      <c r="U11" s="33">
        <v>1.8078703703703708E-2</v>
      </c>
      <c r="V11" s="33">
        <v>3.7500000000000033E-3</v>
      </c>
      <c r="W11" s="33">
        <v>2.2800925925925947E-2</v>
      </c>
      <c r="X11" s="33">
        <v>1.8101851851851841E-2</v>
      </c>
      <c r="Y11" s="33">
        <v>3.8981481481481478E-2</v>
      </c>
      <c r="Z11" s="34">
        <v>3.9900000000000091</v>
      </c>
      <c r="AA11" s="34">
        <v>30.640000000000015</v>
      </c>
      <c r="AB11" s="34">
        <v>24.47</v>
      </c>
      <c r="AC11" s="34">
        <v>49.630000000000024</v>
      </c>
      <c r="AD11" s="34">
        <v>5.5200000000000387</v>
      </c>
      <c r="AE11" s="34">
        <v>42.900000000000034</v>
      </c>
      <c r="AF11" s="34">
        <v>34.139999999999986</v>
      </c>
      <c r="AG11" s="34">
        <v>70.31</v>
      </c>
    </row>
    <row r="12" spans="1:33" hidden="1" x14ac:dyDescent="0.25">
      <c r="A12" s="17">
        <v>18</v>
      </c>
      <c r="B12" s="33">
        <v>3.4722222222220711E-5</v>
      </c>
      <c r="C12" s="33">
        <v>1.7824074074074096E-3</v>
      </c>
      <c r="D12" s="33">
        <v>1.3541666666666632E-3</v>
      </c>
      <c r="E12" s="33">
        <v>3.2754629629629627E-3</v>
      </c>
      <c r="F12" s="33">
        <v>5.7870370370367852E-5</v>
      </c>
      <c r="G12" s="33">
        <v>2.6967592592592599E-3</v>
      </c>
      <c r="H12" s="33">
        <v>2.0486111111111087E-3</v>
      </c>
      <c r="I12" s="33">
        <v>4.9421296296296331E-3</v>
      </c>
      <c r="J12" s="33">
        <v>1.1574074074074264E-4</v>
      </c>
      <c r="K12" s="33">
        <v>4.5370370370370408E-3</v>
      </c>
      <c r="L12" s="33">
        <v>3.4375000000000031E-3</v>
      </c>
      <c r="M12" s="33">
        <v>8.2986111111111177E-3</v>
      </c>
      <c r="N12" s="33">
        <v>1.3888888888888978E-4</v>
      </c>
      <c r="O12" s="33">
        <v>5.4745370370370416E-3</v>
      </c>
      <c r="P12" s="33">
        <v>4.1550925925925922E-3</v>
      </c>
      <c r="Q12" s="33">
        <v>9.9884259259259145E-3</v>
      </c>
      <c r="R12" s="33">
        <v>2.6620370370371294E-4</v>
      </c>
      <c r="S12" s="33">
        <v>9.2824074074074198E-3</v>
      </c>
      <c r="T12" s="33">
        <v>7.0486111111111166E-3</v>
      </c>
      <c r="U12" s="33">
        <v>1.6932870370370376E-2</v>
      </c>
      <c r="V12" s="33">
        <v>8.2175925925925819E-4</v>
      </c>
      <c r="W12" s="33">
        <v>1.9548611111111114E-2</v>
      </c>
      <c r="X12" s="33">
        <v>1.489583333333333E-2</v>
      </c>
      <c r="Y12" s="33">
        <v>3.541666666666668E-2</v>
      </c>
      <c r="Z12" s="34">
        <v>0.89000000000001478</v>
      </c>
      <c r="AA12" s="34">
        <v>27.760000000000019</v>
      </c>
      <c r="AB12" s="34">
        <v>21.550000000000011</v>
      </c>
      <c r="AC12" s="34">
        <v>46.920000000000016</v>
      </c>
      <c r="AD12" s="34">
        <v>1.2300000000000182</v>
      </c>
      <c r="AE12" s="34">
        <v>38.75</v>
      </c>
      <c r="AF12" s="34">
        <v>29.979999999999961</v>
      </c>
      <c r="AG12" s="34">
        <v>66.300000000000011</v>
      </c>
    </row>
    <row r="13" spans="1:33" hidden="1" x14ac:dyDescent="0.25">
      <c r="A13" s="17">
        <v>19</v>
      </c>
      <c r="B13" s="33">
        <v>0</v>
      </c>
      <c r="C13" s="33">
        <v>1.7476851851851855E-3</v>
      </c>
      <c r="D13" s="33">
        <v>1.307870370370369E-3</v>
      </c>
      <c r="E13" s="33">
        <v>3.2291666666666649E-3</v>
      </c>
      <c r="F13" s="33">
        <v>0</v>
      </c>
      <c r="G13" s="33">
        <v>2.627314814814815E-3</v>
      </c>
      <c r="H13" s="33">
        <v>1.9791666666666638E-3</v>
      </c>
      <c r="I13" s="33">
        <v>4.8611111111111112E-3</v>
      </c>
      <c r="J13" s="33">
        <v>0</v>
      </c>
      <c r="K13" s="33">
        <v>4.4212962962962982E-3</v>
      </c>
      <c r="L13" s="33">
        <v>3.3217592592592604E-3</v>
      </c>
      <c r="M13" s="33">
        <v>8.1597222222222279E-3</v>
      </c>
      <c r="N13" s="33">
        <v>0</v>
      </c>
      <c r="O13" s="33">
        <v>5.3240740740740783E-3</v>
      </c>
      <c r="P13" s="33">
        <v>4.0046296296296288E-3</v>
      </c>
      <c r="Q13" s="33">
        <v>9.8263888888888845E-3</v>
      </c>
      <c r="R13" s="33">
        <v>0</v>
      </c>
      <c r="S13" s="33">
        <v>8.9930555555555597E-3</v>
      </c>
      <c r="T13" s="33">
        <v>6.7592592592592565E-3</v>
      </c>
      <c r="U13" s="33">
        <v>1.6608796296296302E-2</v>
      </c>
      <c r="V13" s="33">
        <v>0</v>
      </c>
      <c r="W13" s="33">
        <v>1.8634259259259267E-2</v>
      </c>
      <c r="X13" s="33">
        <v>1.4004629629629617E-2</v>
      </c>
      <c r="Y13" s="33">
        <v>3.4421296296296283E-2</v>
      </c>
      <c r="Z13" s="34">
        <v>0</v>
      </c>
      <c r="AA13" s="34">
        <v>26.930000000000007</v>
      </c>
      <c r="AB13" s="34">
        <v>20.72</v>
      </c>
      <c r="AC13" s="34">
        <v>46.150000000000006</v>
      </c>
      <c r="AD13" s="34">
        <v>0</v>
      </c>
      <c r="AE13" s="34">
        <v>37.56</v>
      </c>
      <c r="AF13" s="34">
        <v>28.779999999999973</v>
      </c>
      <c r="AG13" s="34">
        <v>65.149999999999977</v>
      </c>
    </row>
    <row r="14" spans="1:33" hidden="1" x14ac:dyDescent="0.25">
      <c r="A14" s="17">
        <v>20</v>
      </c>
      <c r="B14" s="33">
        <v>0</v>
      </c>
      <c r="C14" s="33">
        <v>1.7476851851851855E-3</v>
      </c>
      <c r="D14" s="33">
        <v>1.307870370370369E-3</v>
      </c>
      <c r="E14" s="33">
        <v>3.2291666666666649E-3</v>
      </c>
      <c r="F14" s="33">
        <v>0</v>
      </c>
      <c r="G14" s="33">
        <v>2.627314814814815E-3</v>
      </c>
      <c r="H14" s="33">
        <v>1.9791666666666638E-3</v>
      </c>
      <c r="I14" s="33">
        <v>4.8611111111111112E-3</v>
      </c>
      <c r="J14" s="33">
        <v>0</v>
      </c>
      <c r="K14" s="33">
        <v>4.4212962962962982E-3</v>
      </c>
      <c r="L14" s="33">
        <v>3.3217592592592604E-3</v>
      </c>
      <c r="M14" s="33">
        <v>8.1597222222222279E-3</v>
      </c>
      <c r="N14" s="33">
        <v>0</v>
      </c>
      <c r="O14" s="33">
        <v>5.3240740740740783E-3</v>
      </c>
      <c r="P14" s="33">
        <v>4.0046296296296288E-3</v>
      </c>
      <c r="Q14" s="33">
        <v>9.8263888888888845E-3</v>
      </c>
      <c r="R14" s="33">
        <v>0</v>
      </c>
      <c r="S14" s="33">
        <v>8.9930555555555597E-3</v>
      </c>
      <c r="T14" s="33">
        <v>6.7592592592592565E-3</v>
      </c>
      <c r="U14" s="33">
        <v>1.6608796296296302E-2</v>
      </c>
      <c r="V14" s="33">
        <v>0</v>
      </c>
      <c r="W14" s="33">
        <v>1.8634259259259267E-2</v>
      </c>
      <c r="X14" s="33">
        <v>1.4004629629629617E-2</v>
      </c>
      <c r="Y14" s="33">
        <v>3.4421296296296283E-2</v>
      </c>
      <c r="Z14" s="34">
        <v>0</v>
      </c>
      <c r="AA14" s="34">
        <v>26.930000000000007</v>
      </c>
      <c r="AB14" s="34">
        <v>20.72</v>
      </c>
      <c r="AC14" s="34">
        <v>46.150000000000006</v>
      </c>
      <c r="AD14" s="34">
        <v>0</v>
      </c>
      <c r="AE14" s="34">
        <v>37.56</v>
      </c>
      <c r="AF14" s="34">
        <v>28.779999999999973</v>
      </c>
      <c r="AG14" s="34">
        <v>65.149999999999977</v>
      </c>
    </row>
    <row r="15" spans="1:33" hidden="1" x14ac:dyDescent="0.25">
      <c r="A15" s="17">
        <v>21</v>
      </c>
      <c r="B15" s="33">
        <v>0</v>
      </c>
      <c r="C15" s="33">
        <v>1.7476851851851855E-3</v>
      </c>
      <c r="D15" s="33">
        <v>1.307870370370369E-3</v>
      </c>
      <c r="E15" s="33">
        <v>3.2291666666666649E-3</v>
      </c>
      <c r="F15" s="33">
        <v>0</v>
      </c>
      <c r="G15" s="33">
        <v>2.627314814814815E-3</v>
      </c>
      <c r="H15" s="33">
        <v>1.9791666666666638E-3</v>
      </c>
      <c r="I15" s="33">
        <v>4.8611111111111112E-3</v>
      </c>
      <c r="J15" s="33">
        <v>0</v>
      </c>
      <c r="K15" s="33">
        <v>4.4212962962962982E-3</v>
      </c>
      <c r="L15" s="33">
        <v>3.3217592592592604E-3</v>
      </c>
      <c r="M15" s="33">
        <v>8.1597222222222279E-3</v>
      </c>
      <c r="N15" s="33">
        <v>0</v>
      </c>
      <c r="O15" s="33">
        <v>5.3240740740740783E-3</v>
      </c>
      <c r="P15" s="33">
        <v>4.0046296296296288E-3</v>
      </c>
      <c r="Q15" s="33">
        <v>9.8263888888888845E-3</v>
      </c>
      <c r="R15" s="33">
        <v>0</v>
      </c>
      <c r="S15" s="33">
        <v>8.9930555555555597E-3</v>
      </c>
      <c r="T15" s="33">
        <v>6.7592592592592565E-3</v>
      </c>
      <c r="U15" s="33">
        <v>1.6608796296296302E-2</v>
      </c>
      <c r="V15" s="33">
        <v>0</v>
      </c>
      <c r="W15" s="33">
        <v>1.8634259259259267E-2</v>
      </c>
      <c r="X15" s="33">
        <v>1.4004629629629617E-2</v>
      </c>
      <c r="Y15" s="33">
        <v>3.4421296296296283E-2</v>
      </c>
      <c r="Z15" s="34">
        <v>0</v>
      </c>
      <c r="AA15" s="34">
        <v>26.930000000000007</v>
      </c>
      <c r="AB15" s="34">
        <v>20.72</v>
      </c>
      <c r="AC15" s="34">
        <v>46.150000000000006</v>
      </c>
      <c r="AD15" s="34">
        <v>0</v>
      </c>
      <c r="AE15" s="34">
        <v>37.56</v>
      </c>
      <c r="AF15" s="34">
        <v>28.779999999999973</v>
      </c>
      <c r="AG15" s="34">
        <v>65.149999999999977</v>
      </c>
    </row>
    <row r="16" spans="1:33" hidden="1" x14ac:dyDescent="0.25">
      <c r="A16" s="17">
        <v>22</v>
      </c>
      <c r="B16" s="33">
        <v>0</v>
      </c>
      <c r="C16" s="33">
        <v>1.7476851851851855E-3</v>
      </c>
      <c r="D16" s="33">
        <v>1.307870370370369E-3</v>
      </c>
      <c r="E16" s="33">
        <v>3.2291666666666649E-3</v>
      </c>
      <c r="F16" s="33">
        <v>0</v>
      </c>
      <c r="G16" s="33">
        <v>2.627314814814815E-3</v>
      </c>
      <c r="H16" s="33">
        <v>1.9791666666666638E-3</v>
      </c>
      <c r="I16" s="33">
        <v>4.8611111111111112E-3</v>
      </c>
      <c r="J16" s="33">
        <v>0</v>
      </c>
      <c r="K16" s="33">
        <v>4.4212962962962982E-3</v>
      </c>
      <c r="L16" s="33">
        <v>3.3217592592592604E-3</v>
      </c>
      <c r="M16" s="33">
        <v>8.1597222222222279E-3</v>
      </c>
      <c r="N16" s="33">
        <v>0</v>
      </c>
      <c r="O16" s="33">
        <v>5.3240740740740783E-3</v>
      </c>
      <c r="P16" s="33">
        <v>4.0046296296296288E-3</v>
      </c>
      <c r="Q16" s="33">
        <v>9.8263888888888845E-3</v>
      </c>
      <c r="R16" s="33">
        <v>0</v>
      </c>
      <c r="S16" s="33">
        <v>8.9930555555555597E-3</v>
      </c>
      <c r="T16" s="33">
        <v>6.7592592592592565E-3</v>
      </c>
      <c r="U16" s="33">
        <v>1.6608796296296302E-2</v>
      </c>
      <c r="V16" s="33">
        <v>0</v>
      </c>
      <c r="W16" s="33">
        <v>1.8634259259259267E-2</v>
      </c>
      <c r="X16" s="33">
        <v>1.4004629629629617E-2</v>
      </c>
      <c r="Y16" s="33">
        <v>3.4421296296296283E-2</v>
      </c>
      <c r="Z16" s="34">
        <v>0</v>
      </c>
      <c r="AA16" s="34">
        <v>26.930000000000007</v>
      </c>
      <c r="AB16" s="34">
        <v>20.72</v>
      </c>
      <c r="AC16" s="34">
        <v>46.150000000000006</v>
      </c>
      <c r="AD16" s="34">
        <v>0</v>
      </c>
      <c r="AE16" s="34">
        <v>37.56</v>
      </c>
      <c r="AF16" s="34">
        <v>28.779999999999973</v>
      </c>
      <c r="AG16" s="34">
        <v>65.149999999999977</v>
      </c>
    </row>
    <row r="17" spans="1:33" hidden="1" x14ac:dyDescent="0.25">
      <c r="A17" s="17">
        <v>23</v>
      </c>
      <c r="B17" s="33">
        <v>0</v>
      </c>
      <c r="C17" s="33">
        <v>1.7476851851851855E-3</v>
      </c>
      <c r="D17" s="33">
        <v>1.307870370370369E-3</v>
      </c>
      <c r="E17" s="33">
        <v>3.2291666666666649E-3</v>
      </c>
      <c r="F17" s="33">
        <v>0</v>
      </c>
      <c r="G17" s="33">
        <v>2.627314814814815E-3</v>
      </c>
      <c r="H17" s="33">
        <v>1.9791666666666638E-3</v>
      </c>
      <c r="I17" s="33">
        <v>4.8611111111111112E-3</v>
      </c>
      <c r="J17" s="33">
        <v>0</v>
      </c>
      <c r="K17" s="33">
        <v>4.4212962962962982E-3</v>
      </c>
      <c r="L17" s="33">
        <v>3.3217592592592604E-3</v>
      </c>
      <c r="M17" s="33">
        <v>8.1597222222222279E-3</v>
      </c>
      <c r="N17" s="33">
        <v>0</v>
      </c>
      <c r="O17" s="33">
        <v>5.3240740740740783E-3</v>
      </c>
      <c r="P17" s="33">
        <v>4.0046296296296288E-3</v>
      </c>
      <c r="Q17" s="33">
        <v>9.8263888888888845E-3</v>
      </c>
      <c r="R17" s="33">
        <v>0</v>
      </c>
      <c r="S17" s="33">
        <v>8.9930555555555597E-3</v>
      </c>
      <c r="T17" s="33">
        <v>6.7592592592592565E-3</v>
      </c>
      <c r="U17" s="33">
        <v>1.6608796296296302E-2</v>
      </c>
      <c r="V17" s="33">
        <v>0</v>
      </c>
      <c r="W17" s="33">
        <v>1.8634259259259267E-2</v>
      </c>
      <c r="X17" s="33">
        <v>1.4004629629629617E-2</v>
      </c>
      <c r="Y17" s="33">
        <v>3.4421296296296283E-2</v>
      </c>
      <c r="Z17" s="34">
        <v>0</v>
      </c>
      <c r="AA17" s="34">
        <v>26.930000000000007</v>
      </c>
      <c r="AB17" s="34">
        <v>20.72</v>
      </c>
      <c r="AC17" s="34">
        <v>46.150000000000006</v>
      </c>
      <c r="AD17" s="34">
        <v>0</v>
      </c>
      <c r="AE17" s="34">
        <v>37.56</v>
      </c>
      <c r="AF17" s="34">
        <v>28.779999999999973</v>
      </c>
      <c r="AG17" s="34">
        <v>65.149999999999977</v>
      </c>
    </row>
    <row r="18" spans="1:33" ht="14.1" hidden="1" customHeight="1" x14ac:dyDescent="0.25">
      <c r="A18" s="17">
        <v>24</v>
      </c>
      <c r="B18" s="33">
        <v>0</v>
      </c>
      <c r="C18" s="33">
        <v>1.7476851851851855E-3</v>
      </c>
      <c r="D18" s="33">
        <v>1.307870370370369E-3</v>
      </c>
      <c r="E18" s="33">
        <v>3.2291666666666649E-3</v>
      </c>
      <c r="F18" s="33">
        <v>0</v>
      </c>
      <c r="G18" s="33">
        <v>2.627314814814815E-3</v>
      </c>
      <c r="H18" s="33">
        <v>1.9791666666666638E-3</v>
      </c>
      <c r="I18" s="33">
        <v>4.8611111111111112E-3</v>
      </c>
      <c r="J18" s="33">
        <v>0</v>
      </c>
      <c r="K18" s="33">
        <v>4.4212962962962982E-3</v>
      </c>
      <c r="L18" s="33">
        <v>3.3217592592592604E-3</v>
      </c>
      <c r="M18" s="33">
        <v>8.1597222222222279E-3</v>
      </c>
      <c r="N18" s="33">
        <v>0</v>
      </c>
      <c r="O18" s="33">
        <v>5.3240740740740783E-3</v>
      </c>
      <c r="P18" s="33">
        <v>4.0046296296296288E-3</v>
      </c>
      <c r="Q18" s="33">
        <v>9.8263888888888845E-3</v>
      </c>
      <c r="R18" s="33">
        <v>0</v>
      </c>
      <c r="S18" s="33">
        <v>8.9930555555555597E-3</v>
      </c>
      <c r="T18" s="33">
        <v>6.7592592592592565E-3</v>
      </c>
      <c r="U18" s="33">
        <v>1.6608796296296302E-2</v>
      </c>
      <c r="V18" s="33">
        <v>0</v>
      </c>
      <c r="W18" s="33">
        <v>1.8634259259259267E-2</v>
      </c>
      <c r="X18" s="33">
        <v>1.4004629629629617E-2</v>
      </c>
      <c r="Y18" s="33">
        <v>3.4421296296296283E-2</v>
      </c>
      <c r="Z18" s="34">
        <v>0</v>
      </c>
      <c r="AA18" s="34">
        <v>26.930000000000007</v>
      </c>
      <c r="AB18" s="34">
        <v>20.72</v>
      </c>
      <c r="AC18" s="34">
        <v>46.150000000000006</v>
      </c>
      <c r="AD18" s="34">
        <v>0</v>
      </c>
      <c r="AE18" s="34">
        <v>37.56</v>
      </c>
      <c r="AF18" s="34">
        <v>28.779999999999973</v>
      </c>
      <c r="AG18" s="34">
        <v>65.149999999999977</v>
      </c>
    </row>
    <row r="19" spans="1:33" hidden="1" x14ac:dyDescent="0.25">
      <c r="A19" s="17">
        <v>25</v>
      </c>
      <c r="B19" s="33">
        <v>0</v>
      </c>
      <c r="C19" s="33">
        <v>1.7476851851851855E-3</v>
      </c>
      <c r="D19" s="33">
        <v>1.307870370370369E-3</v>
      </c>
      <c r="E19" s="33">
        <v>3.2291666666666649E-3</v>
      </c>
      <c r="F19" s="33">
        <v>0</v>
      </c>
      <c r="G19" s="33">
        <v>2.627314814814815E-3</v>
      </c>
      <c r="H19" s="33">
        <v>1.9791666666666638E-3</v>
      </c>
      <c r="I19" s="33">
        <v>4.8611111111111112E-3</v>
      </c>
      <c r="J19" s="33">
        <v>0</v>
      </c>
      <c r="K19" s="33">
        <v>4.4212962962962982E-3</v>
      </c>
      <c r="L19" s="33">
        <v>3.3217592592592604E-3</v>
      </c>
      <c r="M19" s="33">
        <v>8.1597222222222279E-3</v>
      </c>
      <c r="N19" s="33">
        <v>0</v>
      </c>
      <c r="O19" s="33">
        <v>5.3240740740740783E-3</v>
      </c>
      <c r="P19" s="33">
        <v>4.0046296296296288E-3</v>
      </c>
      <c r="Q19" s="33">
        <v>9.8263888888888845E-3</v>
      </c>
      <c r="R19" s="33">
        <v>0</v>
      </c>
      <c r="S19" s="33">
        <v>8.9930555555555597E-3</v>
      </c>
      <c r="T19" s="33">
        <v>6.7592592592592565E-3</v>
      </c>
      <c r="U19" s="33">
        <v>1.6608796296296302E-2</v>
      </c>
      <c r="V19" s="33">
        <v>0</v>
      </c>
      <c r="W19" s="33">
        <v>1.8634259259259267E-2</v>
      </c>
      <c r="X19" s="33">
        <v>1.4004629629629617E-2</v>
      </c>
      <c r="Y19" s="33">
        <v>3.4421296296296283E-2</v>
      </c>
      <c r="Z19" s="34">
        <v>0</v>
      </c>
      <c r="AA19" s="34">
        <v>26.930000000000007</v>
      </c>
      <c r="AB19" s="34">
        <v>20.72</v>
      </c>
      <c r="AC19" s="34">
        <v>46.150000000000006</v>
      </c>
      <c r="AD19" s="34">
        <v>0</v>
      </c>
      <c r="AE19" s="34">
        <v>37.56</v>
      </c>
      <c r="AF19" s="34">
        <v>28.779999999999973</v>
      </c>
      <c r="AG19" s="34">
        <v>65.149999999999977</v>
      </c>
    </row>
    <row r="20" spans="1:33" hidden="1" x14ac:dyDescent="0.25">
      <c r="A20" s="17">
        <v>26</v>
      </c>
      <c r="B20" s="33">
        <v>0</v>
      </c>
      <c r="C20" s="33">
        <v>1.7476851851851855E-3</v>
      </c>
      <c r="D20" s="33">
        <v>1.307870370370369E-3</v>
      </c>
      <c r="E20" s="33">
        <v>3.2291666666666649E-3</v>
      </c>
      <c r="F20" s="33">
        <v>0</v>
      </c>
      <c r="G20" s="33">
        <v>2.627314814814815E-3</v>
      </c>
      <c r="H20" s="33">
        <v>1.9791666666666638E-3</v>
      </c>
      <c r="I20" s="33">
        <v>4.8611111111111112E-3</v>
      </c>
      <c r="J20" s="33">
        <v>0</v>
      </c>
      <c r="K20" s="33">
        <v>4.4212962962962982E-3</v>
      </c>
      <c r="L20" s="33">
        <v>3.3217592592592604E-3</v>
      </c>
      <c r="M20" s="33">
        <v>8.1597222222222279E-3</v>
      </c>
      <c r="N20" s="33">
        <v>0</v>
      </c>
      <c r="O20" s="33">
        <v>5.3240740740740783E-3</v>
      </c>
      <c r="P20" s="33">
        <v>4.0046296296296288E-3</v>
      </c>
      <c r="Q20" s="33">
        <v>9.8263888888888845E-3</v>
      </c>
      <c r="R20" s="33">
        <v>0</v>
      </c>
      <c r="S20" s="33">
        <v>8.9930555555555597E-3</v>
      </c>
      <c r="T20" s="33">
        <v>6.7592592592592565E-3</v>
      </c>
      <c r="U20" s="33">
        <v>1.6608796296296302E-2</v>
      </c>
      <c r="V20" s="33">
        <v>0</v>
      </c>
      <c r="W20" s="33">
        <v>1.8634259259259267E-2</v>
      </c>
      <c r="X20" s="33">
        <v>1.4004629629629617E-2</v>
      </c>
      <c r="Y20" s="33">
        <v>3.4421296296296283E-2</v>
      </c>
      <c r="Z20" s="34">
        <v>0</v>
      </c>
      <c r="AA20" s="34">
        <v>26.930000000000007</v>
      </c>
      <c r="AB20" s="34">
        <v>20.72</v>
      </c>
      <c r="AC20" s="34">
        <v>46.150000000000006</v>
      </c>
      <c r="AD20" s="34">
        <v>0</v>
      </c>
      <c r="AE20" s="34">
        <v>37.56</v>
      </c>
      <c r="AF20" s="34">
        <v>28.779999999999973</v>
      </c>
      <c r="AG20" s="34">
        <v>65.149999999999977</v>
      </c>
    </row>
    <row r="21" spans="1:33" hidden="1" x14ac:dyDescent="0.25">
      <c r="A21" s="17">
        <v>27</v>
      </c>
      <c r="B21" s="33">
        <v>0</v>
      </c>
      <c r="C21" s="33">
        <v>1.7476851851851855E-3</v>
      </c>
      <c r="D21" s="33">
        <v>1.307870370370369E-3</v>
      </c>
      <c r="E21" s="33">
        <v>3.2291666666666649E-3</v>
      </c>
      <c r="F21" s="33">
        <v>0</v>
      </c>
      <c r="G21" s="33">
        <v>2.627314814814815E-3</v>
      </c>
      <c r="H21" s="33">
        <v>1.9791666666666638E-3</v>
      </c>
      <c r="I21" s="33">
        <v>4.8611111111111112E-3</v>
      </c>
      <c r="J21" s="33">
        <v>0</v>
      </c>
      <c r="K21" s="33">
        <v>4.4212962962962982E-3</v>
      </c>
      <c r="L21" s="33">
        <v>3.3217592592592604E-3</v>
      </c>
      <c r="M21" s="33">
        <v>8.1597222222222279E-3</v>
      </c>
      <c r="N21" s="33">
        <v>0</v>
      </c>
      <c r="O21" s="33">
        <v>5.3240740740740783E-3</v>
      </c>
      <c r="P21" s="33">
        <v>4.0046296296296288E-3</v>
      </c>
      <c r="Q21" s="33">
        <v>9.8263888888888845E-3</v>
      </c>
      <c r="R21" s="33">
        <v>0</v>
      </c>
      <c r="S21" s="33">
        <v>8.9930555555555597E-3</v>
      </c>
      <c r="T21" s="33">
        <v>6.7592592592592565E-3</v>
      </c>
      <c r="U21" s="33">
        <v>1.6608796296296302E-2</v>
      </c>
      <c r="V21" s="33">
        <v>0</v>
      </c>
      <c r="W21" s="33">
        <v>1.8634259259259267E-2</v>
      </c>
      <c r="X21" s="33">
        <v>1.4004629629629617E-2</v>
      </c>
      <c r="Y21" s="33">
        <v>3.4421296296296283E-2</v>
      </c>
      <c r="Z21" s="34">
        <v>0</v>
      </c>
      <c r="AA21" s="34">
        <v>26.930000000000007</v>
      </c>
      <c r="AB21" s="34">
        <v>20.72</v>
      </c>
      <c r="AC21" s="34">
        <v>46.150000000000006</v>
      </c>
      <c r="AD21" s="34">
        <v>0</v>
      </c>
      <c r="AE21" s="34">
        <v>37.56</v>
      </c>
      <c r="AF21" s="34">
        <v>28.779999999999973</v>
      </c>
      <c r="AG21" s="34">
        <v>65.149999999999977</v>
      </c>
    </row>
    <row r="22" spans="1:33" hidden="1" x14ac:dyDescent="0.25">
      <c r="A22" s="17">
        <v>28</v>
      </c>
      <c r="B22" s="33">
        <v>0</v>
      </c>
      <c r="C22" s="33">
        <v>1.7476851851851855E-3</v>
      </c>
      <c r="D22" s="33">
        <v>1.307870370370369E-3</v>
      </c>
      <c r="E22" s="33">
        <v>3.2291666666666649E-3</v>
      </c>
      <c r="F22" s="33">
        <v>0</v>
      </c>
      <c r="G22" s="33">
        <v>2.627314814814815E-3</v>
      </c>
      <c r="H22" s="33">
        <v>1.9791666666666638E-3</v>
      </c>
      <c r="I22" s="33">
        <v>4.8611111111111112E-3</v>
      </c>
      <c r="J22" s="33">
        <v>0</v>
      </c>
      <c r="K22" s="33">
        <v>4.4212962962962982E-3</v>
      </c>
      <c r="L22" s="33">
        <v>3.3217592592592604E-3</v>
      </c>
      <c r="M22" s="33">
        <v>8.1597222222222279E-3</v>
      </c>
      <c r="N22" s="33">
        <v>0</v>
      </c>
      <c r="O22" s="33">
        <v>5.3240740740740783E-3</v>
      </c>
      <c r="P22" s="33">
        <v>4.0046296296296288E-3</v>
      </c>
      <c r="Q22" s="33">
        <v>9.8263888888888845E-3</v>
      </c>
      <c r="R22" s="33">
        <v>0</v>
      </c>
      <c r="S22" s="33">
        <v>8.9930555555555597E-3</v>
      </c>
      <c r="T22" s="33">
        <v>6.7592592592592565E-3</v>
      </c>
      <c r="U22" s="33">
        <v>1.6608796296296302E-2</v>
      </c>
      <c r="V22" s="33">
        <v>0</v>
      </c>
      <c r="W22" s="33">
        <v>1.8634259259259267E-2</v>
      </c>
      <c r="X22" s="33">
        <v>1.4004629629629617E-2</v>
      </c>
      <c r="Y22" s="33">
        <v>3.4421296296296283E-2</v>
      </c>
      <c r="Z22" s="34">
        <v>0</v>
      </c>
      <c r="AA22" s="34">
        <v>26.930000000000007</v>
      </c>
      <c r="AB22" s="34">
        <v>20.72</v>
      </c>
      <c r="AC22" s="34">
        <v>46.150000000000006</v>
      </c>
      <c r="AD22" s="34">
        <v>0</v>
      </c>
      <c r="AE22" s="34">
        <v>37.56</v>
      </c>
      <c r="AF22" s="34">
        <v>28.779999999999973</v>
      </c>
      <c r="AG22" s="34">
        <v>65.149999999999977</v>
      </c>
    </row>
    <row r="23" spans="1:33" hidden="1" x14ac:dyDescent="0.25">
      <c r="A23" s="17">
        <v>29</v>
      </c>
      <c r="B23" s="33">
        <v>0</v>
      </c>
      <c r="C23" s="33">
        <v>1.7476851851851855E-3</v>
      </c>
      <c r="D23" s="33">
        <v>1.307870370370369E-3</v>
      </c>
      <c r="E23" s="33">
        <v>3.2291666666666649E-3</v>
      </c>
      <c r="F23" s="33">
        <v>0</v>
      </c>
      <c r="G23" s="33">
        <v>2.627314814814815E-3</v>
      </c>
      <c r="H23" s="33">
        <v>1.9791666666666638E-3</v>
      </c>
      <c r="I23" s="33">
        <v>4.8611111111111112E-3</v>
      </c>
      <c r="J23" s="33">
        <v>0</v>
      </c>
      <c r="K23" s="33">
        <v>4.4212962962962982E-3</v>
      </c>
      <c r="L23" s="33">
        <v>3.3217592592592604E-3</v>
      </c>
      <c r="M23" s="33">
        <v>8.1597222222222279E-3</v>
      </c>
      <c r="N23" s="33">
        <v>0</v>
      </c>
      <c r="O23" s="33">
        <v>5.3240740740740783E-3</v>
      </c>
      <c r="P23" s="33">
        <v>4.0046296296296288E-3</v>
      </c>
      <c r="Q23" s="33">
        <v>9.8263888888888845E-3</v>
      </c>
      <c r="R23" s="33">
        <v>0</v>
      </c>
      <c r="S23" s="33">
        <v>8.9930555555555597E-3</v>
      </c>
      <c r="T23" s="33">
        <v>6.7592592592592565E-3</v>
      </c>
      <c r="U23" s="33">
        <v>1.6608796296296302E-2</v>
      </c>
      <c r="V23" s="33">
        <v>0</v>
      </c>
      <c r="W23" s="33">
        <v>1.8634259259259267E-2</v>
      </c>
      <c r="X23" s="33">
        <v>1.4004629629629617E-2</v>
      </c>
      <c r="Y23" s="33">
        <v>3.4421296296296283E-2</v>
      </c>
      <c r="Z23" s="34">
        <v>0</v>
      </c>
      <c r="AA23" s="34">
        <v>26.930000000000007</v>
      </c>
      <c r="AB23" s="34">
        <v>20.72</v>
      </c>
      <c r="AC23" s="34">
        <v>46.150000000000006</v>
      </c>
      <c r="AD23" s="34">
        <v>0</v>
      </c>
      <c r="AE23" s="34">
        <v>37.56</v>
      </c>
      <c r="AF23" s="34">
        <v>28.779999999999973</v>
      </c>
      <c r="AG23" s="34">
        <v>65.149999999999977</v>
      </c>
    </row>
    <row r="24" spans="1:33" hidden="1" x14ac:dyDescent="0.25">
      <c r="A24" s="17">
        <v>30</v>
      </c>
      <c r="B24" s="33">
        <v>0</v>
      </c>
      <c r="C24" s="33">
        <v>1.7476851851851855E-3</v>
      </c>
      <c r="D24" s="33">
        <v>1.307870370370369E-3</v>
      </c>
      <c r="E24" s="33">
        <v>3.2291666666666649E-3</v>
      </c>
      <c r="F24" s="33">
        <v>0</v>
      </c>
      <c r="G24" s="33">
        <v>2.627314814814815E-3</v>
      </c>
      <c r="H24" s="33">
        <v>1.9791666666666638E-3</v>
      </c>
      <c r="I24" s="33">
        <v>4.8611111111111112E-3</v>
      </c>
      <c r="J24" s="33">
        <v>0</v>
      </c>
      <c r="K24" s="33">
        <v>4.4212962962962982E-3</v>
      </c>
      <c r="L24" s="33">
        <v>3.3217592592592604E-3</v>
      </c>
      <c r="M24" s="33">
        <v>8.1597222222222279E-3</v>
      </c>
      <c r="N24" s="33">
        <v>0</v>
      </c>
      <c r="O24" s="33">
        <v>5.3240740740740783E-3</v>
      </c>
      <c r="P24" s="33">
        <v>4.0046296296296288E-3</v>
      </c>
      <c r="Q24" s="33">
        <v>9.8263888888888845E-3</v>
      </c>
      <c r="R24" s="33">
        <v>0</v>
      </c>
      <c r="S24" s="33">
        <v>8.9930555555555597E-3</v>
      </c>
      <c r="T24" s="33">
        <v>6.7592592592592565E-3</v>
      </c>
      <c r="U24" s="33">
        <v>1.6608796296296302E-2</v>
      </c>
      <c r="V24" s="33">
        <v>0</v>
      </c>
      <c r="W24" s="33">
        <v>1.8634259259259267E-2</v>
      </c>
      <c r="X24" s="33">
        <v>1.4004629629629617E-2</v>
      </c>
      <c r="Y24" s="33">
        <v>3.4421296296296283E-2</v>
      </c>
      <c r="Z24" s="34">
        <v>0</v>
      </c>
      <c r="AA24" s="34">
        <v>26.930000000000007</v>
      </c>
      <c r="AB24" s="34">
        <v>20.72</v>
      </c>
      <c r="AC24" s="34">
        <v>46.150000000000006</v>
      </c>
      <c r="AD24" s="34">
        <v>0</v>
      </c>
      <c r="AE24" s="34">
        <v>37.56</v>
      </c>
      <c r="AF24" s="34">
        <v>28.779999999999973</v>
      </c>
      <c r="AG24" s="34">
        <v>65.149999999999977</v>
      </c>
    </row>
    <row r="25" spans="1:33" hidden="1" x14ac:dyDescent="0.25">
      <c r="A25" s="17">
        <v>31</v>
      </c>
      <c r="B25" s="33">
        <v>0</v>
      </c>
      <c r="C25" s="33">
        <v>1.7476851851851855E-3</v>
      </c>
      <c r="D25" s="33">
        <v>1.307870370370369E-3</v>
      </c>
      <c r="E25" s="33">
        <v>3.2291666666666649E-3</v>
      </c>
      <c r="F25" s="33">
        <v>0</v>
      </c>
      <c r="G25" s="33">
        <v>2.627314814814815E-3</v>
      </c>
      <c r="H25" s="33">
        <v>1.9791666666666638E-3</v>
      </c>
      <c r="I25" s="33">
        <v>4.8611111111111112E-3</v>
      </c>
      <c r="J25" s="33">
        <v>0</v>
      </c>
      <c r="K25" s="33">
        <v>4.4212962962962982E-3</v>
      </c>
      <c r="L25" s="33">
        <v>3.3217592592592604E-3</v>
      </c>
      <c r="M25" s="33">
        <v>8.1597222222222279E-3</v>
      </c>
      <c r="N25" s="33">
        <v>0</v>
      </c>
      <c r="O25" s="33">
        <v>5.3240740740740783E-3</v>
      </c>
      <c r="P25" s="33">
        <v>4.0046296296296288E-3</v>
      </c>
      <c r="Q25" s="33">
        <v>9.8263888888888845E-3</v>
      </c>
      <c r="R25" s="33">
        <v>0</v>
      </c>
      <c r="S25" s="33">
        <v>8.9930555555555597E-3</v>
      </c>
      <c r="T25" s="33">
        <v>6.7592592592592565E-3</v>
      </c>
      <c r="U25" s="33">
        <v>1.6608796296296302E-2</v>
      </c>
      <c r="V25" s="33">
        <v>0</v>
      </c>
      <c r="W25" s="33">
        <v>1.8634259259259267E-2</v>
      </c>
      <c r="X25" s="33">
        <v>1.4004629629629617E-2</v>
      </c>
      <c r="Y25" s="33">
        <v>3.4421296296296283E-2</v>
      </c>
      <c r="Z25" s="34">
        <v>0</v>
      </c>
      <c r="AA25" s="34">
        <v>26.930000000000007</v>
      </c>
      <c r="AB25" s="34">
        <v>20.72</v>
      </c>
      <c r="AC25" s="34">
        <v>46.150000000000006</v>
      </c>
      <c r="AD25" s="34">
        <v>0</v>
      </c>
      <c r="AE25" s="34">
        <v>37.56</v>
      </c>
      <c r="AF25" s="34">
        <v>28.779999999999973</v>
      </c>
      <c r="AG25" s="34">
        <v>65.149999999999977</v>
      </c>
    </row>
    <row r="26" spans="1:33" hidden="1" x14ac:dyDescent="0.25">
      <c r="A26" s="17">
        <v>32</v>
      </c>
      <c r="B26" s="33">
        <v>0</v>
      </c>
      <c r="C26" s="33">
        <v>1.7476851851851855E-3</v>
      </c>
      <c r="D26" s="33">
        <v>1.307870370370369E-3</v>
      </c>
      <c r="E26" s="33">
        <v>3.2291666666666649E-3</v>
      </c>
      <c r="F26" s="33">
        <v>0</v>
      </c>
      <c r="G26" s="33">
        <v>2.627314814814815E-3</v>
      </c>
      <c r="H26" s="33">
        <v>1.9791666666666638E-3</v>
      </c>
      <c r="I26" s="33">
        <v>4.8611111111111112E-3</v>
      </c>
      <c r="J26" s="33">
        <v>0</v>
      </c>
      <c r="K26" s="33">
        <v>4.4212962962962982E-3</v>
      </c>
      <c r="L26" s="33">
        <v>3.3217592592592604E-3</v>
      </c>
      <c r="M26" s="33">
        <v>8.1597222222222279E-3</v>
      </c>
      <c r="N26" s="33">
        <v>0</v>
      </c>
      <c r="O26" s="33">
        <v>5.3240740740740783E-3</v>
      </c>
      <c r="P26" s="33">
        <v>4.0046296296296288E-3</v>
      </c>
      <c r="Q26" s="33">
        <v>9.8263888888888845E-3</v>
      </c>
      <c r="R26" s="33">
        <v>0</v>
      </c>
      <c r="S26" s="33">
        <v>8.9930555555555597E-3</v>
      </c>
      <c r="T26" s="33">
        <v>6.7592592592592565E-3</v>
      </c>
      <c r="U26" s="33">
        <v>1.6608796296296302E-2</v>
      </c>
      <c r="V26" s="33">
        <v>0</v>
      </c>
      <c r="W26" s="33">
        <v>1.8634259259259267E-2</v>
      </c>
      <c r="X26" s="33">
        <v>1.4004629629629617E-2</v>
      </c>
      <c r="Y26" s="33">
        <v>3.4421296296296283E-2</v>
      </c>
      <c r="Z26" s="34">
        <v>0</v>
      </c>
      <c r="AA26" s="34">
        <v>26.930000000000007</v>
      </c>
      <c r="AB26" s="34">
        <v>20.72</v>
      </c>
      <c r="AC26" s="34">
        <v>46.150000000000006</v>
      </c>
      <c r="AD26" s="34">
        <v>0</v>
      </c>
      <c r="AE26" s="34">
        <v>37.56</v>
      </c>
      <c r="AF26" s="34">
        <v>28.779999999999973</v>
      </c>
      <c r="AG26" s="34">
        <v>65.149999999999977</v>
      </c>
    </row>
    <row r="27" spans="1:33" hidden="1" x14ac:dyDescent="0.25">
      <c r="A27" s="17">
        <v>33</v>
      </c>
      <c r="B27" s="33">
        <v>0</v>
      </c>
      <c r="C27" s="33">
        <v>1.7476851851851855E-3</v>
      </c>
      <c r="D27" s="33">
        <v>1.307870370370369E-3</v>
      </c>
      <c r="E27" s="33">
        <v>3.2291666666666649E-3</v>
      </c>
      <c r="F27" s="33">
        <v>0</v>
      </c>
      <c r="G27" s="33">
        <v>2.627314814814815E-3</v>
      </c>
      <c r="H27" s="33">
        <v>1.9791666666666638E-3</v>
      </c>
      <c r="I27" s="33">
        <v>4.8611111111111112E-3</v>
      </c>
      <c r="J27" s="33">
        <v>0</v>
      </c>
      <c r="K27" s="33">
        <v>4.4212962962962982E-3</v>
      </c>
      <c r="L27" s="33">
        <v>3.3217592592592604E-3</v>
      </c>
      <c r="M27" s="33">
        <v>8.1597222222222279E-3</v>
      </c>
      <c r="N27" s="33">
        <v>0</v>
      </c>
      <c r="O27" s="33">
        <v>5.3240740740740783E-3</v>
      </c>
      <c r="P27" s="33">
        <v>4.0046296296296288E-3</v>
      </c>
      <c r="Q27" s="33">
        <v>9.8263888888888845E-3</v>
      </c>
      <c r="R27" s="33">
        <v>0</v>
      </c>
      <c r="S27" s="33">
        <v>8.9930555555555597E-3</v>
      </c>
      <c r="T27" s="33">
        <v>6.7592592592592565E-3</v>
      </c>
      <c r="U27" s="33">
        <v>1.6608796296296302E-2</v>
      </c>
      <c r="V27" s="33">
        <v>0</v>
      </c>
      <c r="W27" s="33">
        <v>1.8634259259259267E-2</v>
      </c>
      <c r="X27" s="33">
        <v>1.4004629629629617E-2</v>
      </c>
      <c r="Y27" s="33">
        <v>3.4421296296296283E-2</v>
      </c>
      <c r="Z27" s="34">
        <v>0</v>
      </c>
      <c r="AA27" s="34">
        <v>26.930000000000007</v>
      </c>
      <c r="AB27" s="34">
        <v>20.72</v>
      </c>
      <c r="AC27" s="34">
        <v>46.150000000000006</v>
      </c>
      <c r="AD27" s="34">
        <v>0</v>
      </c>
      <c r="AE27" s="34">
        <v>37.56</v>
      </c>
      <c r="AF27" s="34">
        <v>28.779999999999973</v>
      </c>
      <c r="AG27" s="34">
        <v>65.149999999999977</v>
      </c>
    </row>
    <row r="28" spans="1:33" hidden="1" x14ac:dyDescent="0.25">
      <c r="A28" s="17">
        <v>34</v>
      </c>
      <c r="B28" s="33">
        <v>0</v>
      </c>
      <c r="C28" s="33">
        <v>1.7476851851851855E-3</v>
      </c>
      <c r="D28" s="33">
        <v>1.307870370370369E-3</v>
      </c>
      <c r="E28" s="33">
        <v>3.2291666666666649E-3</v>
      </c>
      <c r="F28" s="33">
        <v>0</v>
      </c>
      <c r="G28" s="33">
        <v>2.627314814814815E-3</v>
      </c>
      <c r="H28" s="33">
        <v>1.9791666666666638E-3</v>
      </c>
      <c r="I28" s="33">
        <v>4.8611111111111112E-3</v>
      </c>
      <c r="J28" s="33">
        <v>0</v>
      </c>
      <c r="K28" s="33">
        <v>4.4212962962962982E-3</v>
      </c>
      <c r="L28" s="33">
        <v>3.3217592592592604E-3</v>
      </c>
      <c r="M28" s="33">
        <v>8.1597222222222279E-3</v>
      </c>
      <c r="N28" s="33">
        <v>0</v>
      </c>
      <c r="O28" s="33">
        <v>5.3240740740740783E-3</v>
      </c>
      <c r="P28" s="33">
        <v>4.0046296296296288E-3</v>
      </c>
      <c r="Q28" s="33">
        <v>9.8263888888888845E-3</v>
      </c>
      <c r="R28" s="33">
        <v>0</v>
      </c>
      <c r="S28" s="33">
        <v>8.9930555555555597E-3</v>
      </c>
      <c r="T28" s="33">
        <v>6.7592592592592565E-3</v>
      </c>
      <c r="U28" s="33">
        <v>1.6608796296296302E-2</v>
      </c>
      <c r="V28" s="33">
        <v>0</v>
      </c>
      <c r="W28" s="33">
        <v>1.8634259259259267E-2</v>
      </c>
      <c r="X28" s="33">
        <v>1.4004629629629617E-2</v>
      </c>
      <c r="Y28" s="33">
        <v>3.4421296296296283E-2</v>
      </c>
      <c r="Z28" s="34">
        <v>0</v>
      </c>
      <c r="AA28" s="34">
        <v>26.930000000000007</v>
      </c>
      <c r="AB28" s="34">
        <v>20.72</v>
      </c>
      <c r="AC28" s="34">
        <v>46.150000000000006</v>
      </c>
      <c r="AD28" s="34">
        <v>0</v>
      </c>
      <c r="AE28" s="34">
        <v>37.56</v>
      </c>
      <c r="AF28" s="34">
        <v>28.779999999999973</v>
      </c>
      <c r="AG28" s="34">
        <v>65.149999999999977</v>
      </c>
    </row>
    <row r="29" spans="1:33" hidden="1" x14ac:dyDescent="0.25">
      <c r="A29" s="17">
        <v>35</v>
      </c>
      <c r="B29" s="33">
        <v>0</v>
      </c>
      <c r="C29" s="33">
        <v>1.7476851851851855E-3</v>
      </c>
      <c r="D29" s="33">
        <v>1.307870370370369E-3</v>
      </c>
      <c r="E29" s="33">
        <v>3.2291666666666649E-3</v>
      </c>
      <c r="F29" s="33">
        <v>0</v>
      </c>
      <c r="G29" s="33">
        <v>2.627314814814815E-3</v>
      </c>
      <c r="H29" s="33">
        <v>1.9791666666666638E-3</v>
      </c>
      <c r="I29" s="33">
        <v>4.8611111111111112E-3</v>
      </c>
      <c r="J29" s="33">
        <v>0</v>
      </c>
      <c r="K29" s="33">
        <v>4.4212962962962982E-3</v>
      </c>
      <c r="L29" s="33">
        <v>3.3217592592592604E-3</v>
      </c>
      <c r="M29" s="33">
        <v>8.1597222222222279E-3</v>
      </c>
      <c r="N29" s="33">
        <v>0</v>
      </c>
      <c r="O29" s="33">
        <v>5.3240740740740783E-3</v>
      </c>
      <c r="P29" s="33">
        <v>4.0046296296296288E-3</v>
      </c>
      <c r="Q29" s="33">
        <v>9.8263888888888845E-3</v>
      </c>
      <c r="R29" s="33">
        <v>0</v>
      </c>
      <c r="S29" s="33">
        <v>8.9930555555555597E-3</v>
      </c>
      <c r="T29" s="33">
        <v>6.7592592592592565E-3</v>
      </c>
      <c r="U29" s="33">
        <v>1.6608796296296302E-2</v>
      </c>
      <c r="V29" s="33">
        <v>0</v>
      </c>
      <c r="W29" s="33">
        <v>1.8634259259259267E-2</v>
      </c>
      <c r="X29" s="33">
        <v>1.4004629629629617E-2</v>
      </c>
      <c r="Y29" s="33">
        <v>3.4421296296296283E-2</v>
      </c>
      <c r="Z29" s="34">
        <v>0</v>
      </c>
      <c r="AA29" s="34">
        <v>26.930000000000007</v>
      </c>
      <c r="AB29" s="34">
        <v>20.72</v>
      </c>
      <c r="AC29" s="34">
        <v>46.150000000000006</v>
      </c>
      <c r="AD29" s="34">
        <v>0</v>
      </c>
      <c r="AE29" s="34">
        <v>37.56</v>
      </c>
      <c r="AF29" s="34">
        <v>28.779999999999973</v>
      </c>
      <c r="AG29" s="34">
        <v>65.149999999999977</v>
      </c>
    </row>
    <row r="30" spans="1:33" hidden="1" x14ac:dyDescent="0.25">
      <c r="A30" s="17">
        <v>36</v>
      </c>
      <c r="B30" s="33">
        <v>0</v>
      </c>
      <c r="C30" s="33">
        <v>1.7476851851851855E-3</v>
      </c>
      <c r="D30" s="33">
        <v>1.307870370370369E-3</v>
      </c>
      <c r="E30" s="33">
        <v>3.2291666666666649E-3</v>
      </c>
      <c r="F30" s="33">
        <v>0</v>
      </c>
      <c r="G30" s="33">
        <v>2.627314814814815E-3</v>
      </c>
      <c r="H30" s="33">
        <v>1.9791666666666638E-3</v>
      </c>
      <c r="I30" s="33">
        <v>4.8611111111111112E-3</v>
      </c>
      <c r="J30" s="33">
        <v>0</v>
      </c>
      <c r="K30" s="33">
        <v>4.4212962962962982E-3</v>
      </c>
      <c r="L30" s="33">
        <v>3.3217592592592604E-3</v>
      </c>
      <c r="M30" s="33">
        <v>8.1597222222222279E-3</v>
      </c>
      <c r="N30" s="33">
        <v>0</v>
      </c>
      <c r="O30" s="33">
        <v>5.3240740740740783E-3</v>
      </c>
      <c r="P30" s="33">
        <v>4.0046296296296288E-3</v>
      </c>
      <c r="Q30" s="33">
        <v>9.8263888888888845E-3</v>
      </c>
      <c r="R30" s="33">
        <v>0</v>
      </c>
      <c r="S30" s="33">
        <v>8.9930555555555597E-3</v>
      </c>
      <c r="T30" s="33">
        <v>6.7592592592592565E-3</v>
      </c>
      <c r="U30" s="33">
        <v>1.6608796296296302E-2</v>
      </c>
      <c r="V30" s="33">
        <v>0</v>
      </c>
      <c r="W30" s="33">
        <v>1.8634259259259267E-2</v>
      </c>
      <c r="X30" s="33">
        <v>1.4004629629629617E-2</v>
      </c>
      <c r="Y30" s="33">
        <v>3.4421296296296283E-2</v>
      </c>
      <c r="Z30" s="34">
        <v>0</v>
      </c>
      <c r="AA30" s="34">
        <v>26.930000000000007</v>
      </c>
      <c r="AB30" s="34">
        <v>20.72</v>
      </c>
      <c r="AC30" s="34">
        <v>46.150000000000006</v>
      </c>
      <c r="AD30" s="34">
        <v>0</v>
      </c>
      <c r="AE30" s="34">
        <v>37.56</v>
      </c>
      <c r="AF30" s="34">
        <v>28.779999999999973</v>
      </c>
      <c r="AG30" s="34">
        <v>65.149999999999977</v>
      </c>
    </row>
    <row r="31" spans="1:33" hidden="1" x14ac:dyDescent="0.25">
      <c r="A31" s="17">
        <v>37</v>
      </c>
      <c r="B31" s="33">
        <v>0</v>
      </c>
      <c r="C31" s="33">
        <v>1.7476851851851855E-3</v>
      </c>
      <c r="D31" s="33">
        <v>1.307870370370369E-3</v>
      </c>
      <c r="E31" s="33">
        <v>3.2291666666666649E-3</v>
      </c>
      <c r="F31" s="33">
        <v>0</v>
      </c>
      <c r="G31" s="33">
        <v>2.627314814814815E-3</v>
      </c>
      <c r="H31" s="33">
        <v>1.9791666666666638E-3</v>
      </c>
      <c r="I31" s="33">
        <v>4.8611111111111112E-3</v>
      </c>
      <c r="J31" s="33">
        <v>0</v>
      </c>
      <c r="K31" s="33">
        <v>4.4212962962962982E-3</v>
      </c>
      <c r="L31" s="33">
        <v>3.3217592592592604E-3</v>
      </c>
      <c r="M31" s="33">
        <v>8.1597222222222279E-3</v>
      </c>
      <c r="N31" s="33">
        <v>0</v>
      </c>
      <c r="O31" s="33">
        <v>5.3240740740740783E-3</v>
      </c>
      <c r="P31" s="33">
        <v>4.0046296296296288E-3</v>
      </c>
      <c r="Q31" s="33">
        <v>9.8263888888888845E-3</v>
      </c>
      <c r="R31" s="33">
        <v>0</v>
      </c>
      <c r="S31" s="33">
        <v>8.9930555555555597E-3</v>
      </c>
      <c r="T31" s="33">
        <v>6.7592592592592565E-3</v>
      </c>
      <c r="U31" s="33">
        <v>1.6608796296296302E-2</v>
      </c>
      <c r="V31" s="33">
        <v>0</v>
      </c>
      <c r="W31" s="33">
        <v>1.8634259259259267E-2</v>
      </c>
      <c r="X31" s="33">
        <v>1.4004629629629617E-2</v>
      </c>
      <c r="Y31" s="33">
        <v>3.4421296296296283E-2</v>
      </c>
      <c r="Z31" s="34">
        <v>0</v>
      </c>
      <c r="AA31" s="34">
        <v>26.930000000000007</v>
      </c>
      <c r="AB31" s="34">
        <v>20.72</v>
      </c>
      <c r="AC31" s="34">
        <v>46.150000000000006</v>
      </c>
      <c r="AD31" s="34">
        <v>0</v>
      </c>
      <c r="AE31" s="34">
        <v>37.56</v>
      </c>
      <c r="AF31" s="34">
        <v>28.779999999999973</v>
      </c>
      <c r="AG31" s="34">
        <v>65.149999999999977</v>
      </c>
    </row>
    <row r="32" spans="1:33" hidden="1" x14ac:dyDescent="0.25">
      <c r="A32" s="17">
        <v>38</v>
      </c>
      <c r="B32" s="33">
        <v>0</v>
      </c>
      <c r="C32" s="33">
        <v>1.7476851851851855E-3</v>
      </c>
      <c r="D32" s="33">
        <v>1.307870370370369E-3</v>
      </c>
      <c r="E32" s="33">
        <v>3.2291666666666649E-3</v>
      </c>
      <c r="F32" s="33">
        <v>0</v>
      </c>
      <c r="G32" s="33">
        <v>2.627314814814815E-3</v>
      </c>
      <c r="H32" s="33">
        <v>1.9791666666666638E-3</v>
      </c>
      <c r="I32" s="33">
        <v>4.8611111111111112E-3</v>
      </c>
      <c r="J32" s="33">
        <v>0</v>
      </c>
      <c r="K32" s="33">
        <v>4.4212962962962982E-3</v>
      </c>
      <c r="L32" s="33">
        <v>3.3217592592592604E-3</v>
      </c>
      <c r="M32" s="33">
        <v>8.1597222222222279E-3</v>
      </c>
      <c r="N32" s="33">
        <v>0</v>
      </c>
      <c r="O32" s="33">
        <v>5.3240740740740783E-3</v>
      </c>
      <c r="P32" s="33">
        <v>4.0046296296296288E-3</v>
      </c>
      <c r="Q32" s="33">
        <v>9.8263888888888845E-3</v>
      </c>
      <c r="R32" s="33">
        <v>0</v>
      </c>
      <c r="S32" s="33">
        <v>8.9930555555555597E-3</v>
      </c>
      <c r="T32" s="33">
        <v>6.7592592592592565E-3</v>
      </c>
      <c r="U32" s="33">
        <v>1.6608796296296302E-2</v>
      </c>
      <c r="V32" s="33">
        <v>0</v>
      </c>
      <c r="W32" s="33">
        <v>1.8634259259259267E-2</v>
      </c>
      <c r="X32" s="33">
        <v>1.4004629629629617E-2</v>
      </c>
      <c r="Y32" s="33">
        <v>3.4421296296296283E-2</v>
      </c>
      <c r="Z32" s="34">
        <v>0</v>
      </c>
      <c r="AA32" s="34">
        <v>26.930000000000007</v>
      </c>
      <c r="AB32" s="34">
        <v>20.72</v>
      </c>
      <c r="AC32" s="34">
        <v>46.150000000000006</v>
      </c>
      <c r="AD32" s="34">
        <v>0</v>
      </c>
      <c r="AE32" s="34">
        <v>37.56</v>
      </c>
      <c r="AF32" s="34">
        <v>28.779999999999973</v>
      </c>
      <c r="AG32" s="34">
        <v>65.149999999999977</v>
      </c>
    </row>
    <row r="33" spans="1:33" hidden="1" x14ac:dyDescent="0.25">
      <c r="A33" s="17">
        <v>39</v>
      </c>
      <c r="B33" s="33">
        <v>0</v>
      </c>
      <c r="C33" s="33">
        <v>1.7476851851851855E-3</v>
      </c>
      <c r="D33" s="33">
        <v>1.307870370370369E-3</v>
      </c>
      <c r="E33" s="33">
        <v>3.2291666666666649E-3</v>
      </c>
      <c r="F33" s="33">
        <v>0</v>
      </c>
      <c r="G33" s="33">
        <v>2.627314814814815E-3</v>
      </c>
      <c r="H33" s="33">
        <v>1.9791666666666638E-3</v>
      </c>
      <c r="I33" s="33">
        <v>4.8611111111111112E-3</v>
      </c>
      <c r="J33" s="33">
        <v>0</v>
      </c>
      <c r="K33" s="33">
        <v>4.4212962962962982E-3</v>
      </c>
      <c r="L33" s="33">
        <v>3.3217592592592604E-3</v>
      </c>
      <c r="M33" s="33">
        <v>8.1597222222222279E-3</v>
      </c>
      <c r="N33" s="33">
        <v>0</v>
      </c>
      <c r="O33" s="33">
        <v>5.3240740740740783E-3</v>
      </c>
      <c r="P33" s="33">
        <v>4.0046296296296288E-3</v>
      </c>
      <c r="Q33" s="33">
        <v>9.8263888888888845E-3</v>
      </c>
      <c r="R33" s="33">
        <v>0</v>
      </c>
      <c r="S33" s="33">
        <v>8.9930555555555597E-3</v>
      </c>
      <c r="T33" s="33">
        <v>6.7592592592592565E-3</v>
      </c>
      <c r="U33" s="33">
        <v>1.6608796296296302E-2</v>
      </c>
      <c r="V33" s="33">
        <v>0</v>
      </c>
      <c r="W33" s="33">
        <v>1.8634259259259267E-2</v>
      </c>
      <c r="X33" s="33">
        <v>1.4004629629629617E-2</v>
      </c>
      <c r="Y33" s="33">
        <v>3.4421296296296283E-2</v>
      </c>
      <c r="Z33" s="34">
        <v>0</v>
      </c>
      <c r="AA33" s="34">
        <v>26.930000000000007</v>
      </c>
      <c r="AB33" s="34">
        <v>20.72</v>
      </c>
      <c r="AC33" s="34">
        <v>46.150000000000006</v>
      </c>
      <c r="AD33" s="34">
        <v>0</v>
      </c>
      <c r="AE33" s="34">
        <v>37.56</v>
      </c>
      <c r="AF33" s="34">
        <v>28.779999999999973</v>
      </c>
      <c r="AG33" s="34">
        <v>65.149999999999977</v>
      </c>
    </row>
    <row r="34" spans="1:33" x14ac:dyDescent="0.25">
      <c r="A34" s="17">
        <v>40</v>
      </c>
      <c r="B34" s="26">
        <v>0</v>
      </c>
      <c r="C34" s="26">
        <v>1.7476851851851855E-3</v>
      </c>
      <c r="D34" s="26">
        <v>1.307870370370369E-3</v>
      </c>
      <c r="E34" s="26">
        <v>3.2291666666666649E-3</v>
      </c>
      <c r="F34" s="26">
        <v>0</v>
      </c>
      <c r="G34" s="26">
        <v>2.627314814814815E-3</v>
      </c>
      <c r="H34" s="26">
        <v>1.9791666666666638E-3</v>
      </c>
      <c r="I34" s="26">
        <v>4.8611111111111112E-3</v>
      </c>
      <c r="J34" s="26">
        <v>0</v>
      </c>
      <c r="K34" s="26">
        <v>4.4212962962962982E-3</v>
      </c>
      <c r="L34" s="26">
        <v>3.3217592592592604E-3</v>
      </c>
      <c r="M34" s="26">
        <v>8.1597222222222279E-3</v>
      </c>
      <c r="N34" s="26">
        <v>0</v>
      </c>
      <c r="O34" s="26">
        <v>5.3240740740740783E-3</v>
      </c>
      <c r="P34" s="26">
        <v>4.0046296296296288E-3</v>
      </c>
      <c r="Q34" s="26">
        <v>9.8263888888888845E-3</v>
      </c>
      <c r="R34" s="26">
        <v>0</v>
      </c>
      <c r="S34" s="26">
        <v>8.9930555555555597E-3</v>
      </c>
      <c r="T34" s="26">
        <v>6.7592592592592565E-3</v>
      </c>
      <c r="U34" s="26">
        <v>1.6608796296296302E-2</v>
      </c>
      <c r="V34" s="26">
        <v>0</v>
      </c>
      <c r="W34" s="26">
        <v>1.8634259259259267E-2</v>
      </c>
      <c r="X34" s="26">
        <v>1.4004629629629617E-2</v>
      </c>
      <c r="Y34" s="26">
        <v>3.4421296296296283E-2</v>
      </c>
      <c r="Z34" s="27">
        <v>0</v>
      </c>
      <c r="AA34" s="27">
        <v>26.930000000000007</v>
      </c>
      <c r="AB34" s="27">
        <v>20.72</v>
      </c>
      <c r="AC34" s="27">
        <v>46.150000000000006</v>
      </c>
      <c r="AD34" s="27">
        <v>0</v>
      </c>
      <c r="AE34" s="27">
        <v>37.56</v>
      </c>
      <c r="AF34" s="27">
        <v>28.779999999999973</v>
      </c>
      <c r="AG34" s="27">
        <v>65.149999999999977</v>
      </c>
    </row>
    <row r="35" spans="1:33" x14ac:dyDescent="0.25">
      <c r="A35" s="17">
        <v>41</v>
      </c>
      <c r="B35" s="26">
        <v>2.3148148148147141E-5</v>
      </c>
      <c r="C35" s="26">
        <v>1.759259259259259E-3</v>
      </c>
      <c r="D35" s="26">
        <v>1.3425925925925897E-3</v>
      </c>
      <c r="E35" s="26">
        <v>3.2407407407407385E-3</v>
      </c>
      <c r="F35" s="26">
        <v>3.4722222222220711E-5</v>
      </c>
      <c r="G35" s="26">
        <v>2.6504629629629621E-3</v>
      </c>
      <c r="H35" s="26">
        <v>2.013888888888888E-3</v>
      </c>
      <c r="I35" s="26">
        <v>4.8842592592592583E-3</v>
      </c>
      <c r="J35" s="26">
        <v>6.9444444444448361E-5</v>
      </c>
      <c r="K35" s="26">
        <v>4.4560185185185189E-3</v>
      </c>
      <c r="L35" s="26">
        <v>3.3912037037037088E-3</v>
      </c>
      <c r="M35" s="26">
        <v>8.1944444444444486E-3</v>
      </c>
      <c r="N35" s="26">
        <v>9.2592592592595502E-5</v>
      </c>
      <c r="O35" s="26">
        <v>5.3703703703703726E-3</v>
      </c>
      <c r="P35" s="26">
        <v>4.0972222222222243E-3</v>
      </c>
      <c r="Q35" s="26">
        <v>9.8726851851851927E-3</v>
      </c>
      <c r="R35" s="26">
        <v>1.5046296296296335E-4</v>
      </c>
      <c r="S35" s="26">
        <v>9.0740740740740677E-3</v>
      </c>
      <c r="T35" s="26">
        <v>6.9212962962963004E-3</v>
      </c>
      <c r="U35" s="26">
        <v>1.668981481481481E-2</v>
      </c>
      <c r="V35" s="26">
        <v>3.3564814814815436E-4</v>
      </c>
      <c r="W35" s="26">
        <v>1.8831018518518511E-2</v>
      </c>
      <c r="X35" s="26">
        <v>1.4374999999999999E-2</v>
      </c>
      <c r="Y35" s="26">
        <v>3.4629629629629621E-2</v>
      </c>
      <c r="Z35" s="27">
        <v>0.71000000000000796</v>
      </c>
      <c r="AA35" s="27">
        <v>27.330000000000013</v>
      </c>
      <c r="AB35" s="27">
        <v>21.360000000000014</v>
      </c>
      <c r="AC35" s="27">
        <v>46.510000000000019</v>
      </c>
      <c r="AD35" s="27">
        <v>1.410000000000025</v>
      </c>
      <c r="AE35" s="27">
        <v>38.480000000000018</v>
      </c>
      <c r="AF35" s="27">
        <v>30.060000000000002</v>
      </c>
      <c r="AG35" s="27">
        <v>65.980000000000018</v>
      </c>
    </row>
    <row r="36" spans="1:33" x14ac:dyDescent="0.25">
      <c r="A36" s="17">
        <v>42</v>
      </c>
      <c r="B36" s="26">
        <v>5.7870370370367852E-5</v>
      </c>
      <c r="C36" s="26">
        <v>1.7708333333333326E-3</v>
      </c>
      <c r="D36" s="26">
        <v>1.3773148148148139E-3</v>
      </c>
      <c r="E36" s="26">
        <v>3.252314814814812E-3</v>
      </c>
      <c r="F36" s="26">
        <v>8.1018518518518462E-5</v>
      </c>
      <c r="G36" s="26">
        <v>2.6736111111111092E-3</v>
      </c>
      <c r="H36" s="26">
        <v>2.0717592592592593E-3</v>
      </c>
      <c r="I36" s="26">
        <v>4.9074074074074055E-3</v>
      </c>
      <c r="J36" s="26">
        <v>1.5046296296296335E-4</v>
      </c>
      <c r="K36" s="26">
        <v>4.4907407407407465E-3</v>
      </c>
      <c r="L36" s="26">
        <v>3.4837962962962973E-3</v>
      </c>
      <c r="M36" s="26">
        <v>8.2407407407407429E-3</v>
      </c>
      <c r="N36" s="26">
        <v>1.8518518518518406E-4</v>
      </c>
      <c r="O36" s="26">
        <v>5.4166666666666669E-3</v>
      </c>
      <c r="P36" s="26">
        <v>4.2013888888888865E-3</v>
      </c>
      <c r="Q36" s="26">
        <v>9.9305555555555536E-3</v>
      </c>
      <c r="R36" s="26">
        <v>3.2407407407407385E-4</v>
      </c>
      <c r="S36" s="26">
        <v>9.1550925925925897E-3</v>
      </c>
      <c r="T36" s="26">
        <v>7.1064814814814775E-3</v>
      </c>
      <c r="U36" s="26">
        <v>1.6782407407407413E-2</v>
      </c>
      <c r="V36" s="26">
        <v>7.0601851851850861E-4</v>
      </c>
      <c r="W36" s="26">
        <v>1.9039351851851849E-2</v>
      </c>
      <c r="X36" s="26">
        <v>1.4780092592592581E-2</v>
      </c>
      <c r="Y36" s="26">
        <v>3.486111111111112E-2</v>
      </c>
      <c r="Z36" s="27">
        <v>1.5200000000000102</v>
      </c>
      <c r="AA36" s="27">
        <v>27.760000000000019</v>
      </c>
      <c r="AB36" s="27">
        <v>22.099999999999994</v>
      </c>
      <c r="AC36" s="27">
        <v>46.900000000000006</v>
      </c>
      <c r="AD36" s="27">
        <v>3.0199999999999818</v>
      </c>
      <c r="AE36" s="27">
        <v>39.509999999999991</v>
      </c>
      <c r="AF36" s="27">
        <v>31.529999999999973</v>
      </c>
      <c r="AG36" s="27">
        <v>66.889999999999986</v>
      </c>
    </row>
    <row r="37" spans="1:33" x14ac:dyDescent="0.25">
      <c r="A37" s="17">
        <v>43</v>
      </c>
      <c r="B37" s="26">
        <v>9.2592592592592032E-5</v>
      </c>
      <c r="C37" s="26">
        <v>1.7939814814814797E-3</v>
      </c>
      <c r="D37" s="26">
        <v>1.4120370370370346E-3</v>
      </c>
      <c r="E37" s="26">
        <v>3.2754629629629627E-3</v>
      </c>
      <c r="F37" s="26">
        <v>1.3888888888888631E-4</v>
      </c>
      <c r="G37" s="26">
        <v>2.6967592592592564E-3</v>
      </c>
      <c r="H37" s="26">
        <v>2.1296296296296272E-3</v>
      </c>
      <c r="I37" s="26">
        <v>4.9305555555555526E-3</v>
      </c>
      <c r="J37" s="26">
        <v>2.4305555555555886E-4</v>
      </c>
      <c r="K37" s="26">
        <v>4.5254629629629672E-3</v>
      </c>
      <c r="L37" s="26">
        <v>3.5879629629629664E-3</v>
      </c>
      <c r="M37" s="26">
        <v>8.2870370370370372E-3</v>
      </c>
      <c r="N37" s="26">
        <v>3.0092592592592671E-4</v>
      </c>
      <c r="O37" s="26">
        <v>5.4629629629629611E-3</v>
      </c>
      <c r="P37" s="26">
        <v>4.3171296296296291E-3</v>
      </c>
      <c r="Q37" s="26">
        <v>9.9768518518518479E-3</v>
      </c>
      <c r="R37" s="26">
        <v>5.0925925925926485E-4</v>
      </c>
      <c r="S37" s="26">
        <v>9.2476851851851921E-3</v>
      </c>
      <c r="T37" s="26">
        <v>7.3148148148148157E-3</v>
      </c>
      <c r="U37" s="26">
        <v>1.6886574074074068E-2</v>
      </c>
      <c r="V37" s="26">
        <v>1.1342592592592515E-3</v>
      </c>
      <c r="W37" s="26">
        <v>1.9247685185185187E-2</v>
      </c>
      <c r="X37" s="26">
        <v>1.5254629629629618E-2</v>
      </c>
      <c r="Y37" s="26">
        <v>3.5092592592592592E-2</v>
      </c>
      <c r="Z37" s="27">
        <v>2.4300000000000068</v>
      </c>
      <c r="AA37" s="27">
        <v>28.230000000000018</v>
      </c>
      <c r="AB37" s="27">
        <v>22.930000000000007</v>
      </c>
      <c r="AC37" s="27">
        <v>47.31</v>
      </c>
      <c r="AD37" s="27">
        <v>4.8199999999999932</v>
      </c>
      <c r="AE37" s="27">
        <v>40.629999999999995</v>
      </c>
      <c r="AF37" s="27">
        <v>33.180000000000007</v>
      </c>
      <c r="AG37" s="27">
        <v>67.899999999999977</v>
      </c>
    </row>
    <row r="38" spans="1:33" x14ac:dyDescent="0.25">
      <c r="A38" s="17">
        <v>44</v>
      </c>
      <c r="B38" s="26">
        <v>1.2731481481481274E-4</v>
      </c>
      <c r="C38" s="26">
        <v>1.8055555555555533E-3</v>
      </c>
      <c r="D38" s="26">
        <v>1.4583333333333323E-3</v>
      </c>
      <c r="E38" s="26">
        <v>3.2870370370370362E-3</v>
      </c>
      <c r="F38" s="26">
        <v>1.9675925925925764E-4</v>
      </c>
      <c r="G38" s="26">
        <v>2.719907407407407E-3</v>
      </c>
      <c r="H38" s="26">
        <v>2.199074074074072E-3</v>
      </c>
      <c r="I38" s="26">
        <v>4.9537037037036998E-3</v>
      </c>
      <c r="J38" s="26">
        <v>3.3564814814815436E-4</v>
      </c>
      <c r="K38" s="26">
        <v>4.5717592592592615E-3</v>
      </c>
      <c r="L38" s="26">
        <v>3.6921296296296355E-3</v>
      </c>
      <c r="M38" s="26">
        <v>8.3333333333333384E-3</v>
      </c>
      <c r="N38" s="26">
        <v>4.1666666666666935E-4</v>
      </c>
      <c r="O38" s="26">
        <v>5.5208333333333359E-3</v>
      </c>
      <c r="P38" s="26">
        <v>4.4560185185185189E-3</v>
      </c>
      <c r="Q38" s="26">
        <v>1.0034722222222223E-2</v>
      </c>
      <c r="R38" s="26">
        <v>7.1759259259258912E-4</v>
      </c>
      <c r="S38" s="26">
        <v>9.3402777777777807E-3</v>
      </c>
      <c r="T38" s="26">
        <v>7.5462962962963009E-3</v>
      </c>
      <c r="U38" s="26">
        <v>1.6990740740740737E-2</v>
      </c>
      <c r="V38" s="26">
        <v>1.6087962962962887E-3</v>
      </c>
      <c r="W38" s="26">
        <v>1.9490740740740753E-2</v>
      </c>
      <c r="X38" s="26">
        <v>1.5763888888888883E-2</v>
      </c>
      <c r="Y38" s="26">
        <v>3.5358796296296291E-2</v>
      </c>
      <c r="Z38" s="27">
        <v>3.4300000000000068</v>
      </c>
      <c r="AA38" s="27">
        <v>28.740000000000009</v>
      </c>
      <c r="AB38" s="27">
        <v>23.840000000000003</v>
      </c>
      <c r="AC38" s="27">
        <v>47.77000000000001</v>
      </c>
      <c r="AD38" s="27">
        <v>6.8000000000000114</v>
      </c>
      <c r="AE38" s="27">
        <v>41.870000000000005</v>
      </c>
      <c r="AF38" s="27">
        <v>34.990000000000009</v>
      </c>
      <c r="AG38" s="27">
        <v>69</v>
      </c>
    </row>
    <row r="39" spans="1:33" x14ac:dyDescent="0.25">
      <c r="A39" s="17">
        <v>45</v>
      </c>
      <c r="B39" s="26">
        <v>1.7361111111111049E-4</v>
      </c>
      <c r="C39" s="26">
        <v>1.8171296296296269E-3</v>
      </c>
      <c r="D39" s="26">
        <v>1.5046296296296301E-3</v>
      </c>
      <c r="E39" s="26">
        <v>3.3101851851851834E-3</v>
      </c>
      <c r="F39" s="26">
        <v>2.6620370370370253E-4</v>
      </c>
      <c r="G39" s="26">
        <v>2.7430555555555541E-3</v>
      </c>
      <c r="H39" s="26">
        <v>2.2685185185185169E-3</v>
      </c>
      <c r="I39" s="26">
        <v>4.9884259259259274E-3</v>
      </c>
      <c r="J39" s="26">
        <v>4.5138888888889006E-4</v>
      </c>
      <c r="K39" s="26">
        <v>4.6180555555555558E-3</v>
      </c>
      <c r="L39" s="26">
        <v>3.8078703703703712E-3</v>
      </c>
      <c r="M39" s="26">
        <v>8.3796296296296327E-3</v>
      </c>
      <c r="N39" s="26">
        <v>5.5555555555555913E-4</v>
      </c>
      <c r="O39" s="26">
        <v>5.5787037037037038E-3</v>
      </c>
      <c r="P39" s="26">
        <v>4.6064814814814822E-3</v>
      </c>
      <c r="Q39" s="26">
        <v>1.0104166666666664E-2</v>
      </c>
      <c r="R39" s="26">
        <v>9.490740740740744E-4</v>
      </c>
      <c r="S39" s="26">
        <v>9.4444444444444497E-3</v>
      </c>
      <c r="T39" s="26">
        <v>7.8009259259259195E-3</v>
      </c>
      <c r="U39" s="26">
        <v>1.7106481481481486E-2</v>
      </c>
      <c r="V39" s="26">
        <v>2.1296296296296202E-3</v>
      </c>
      <c r="W39" s="26">
        <v>1.9745370370370358E-2</v>
      </c>
      <c r="X39" s="26">
        <v>1.6331018518518509E-2</v>
      </c>
      <c r="Y39" s="26">
        <v>3.5636574074074084E-2</v>
      </c>
      <c r="Z39" s="27">
        <v>4.5200000000000102</v>
      </c>
      <c r="AA39" s="27">
        <v>29.300000000000011</v>
      </c>
      <c r="AB39" s="27">
        <v>24.840000000000003</v>
      </c>
      <c r="AC39" s="27">
        <v>48.27000000000001</v>
      </c>
      <c r="AD39" s="27">
        <v>8.9599999999999795</v>
      </c>
      <c r="AE39" s="27">
        <v>43.21999999999997</v>
      </c>
      <c r="AF39" s="27">
        <v>36.96999999999997</v>
      </c>
      <c r="AG39" s="27">
        <v>70.20999999999998</v>
      </c>
    </row>
    <row r="40" spans="1:33" x14ac:dyDescent="0.25">
      <c r="A40" s="17">
        <v>46</v>
      </c>
      <c r="B40" s="26">
        <v>2.1990740740740478E-4</v>
      </c>
      <c r="C40" s="26">
        <v>1.8402777777777775E-3</v>
      </c>
      <c r="D40" s="26">
        <v>1.5509259259259243E-3</v>
      </c>
      <c r="E40" s="26">
        <v>3.3333333333333305E-3</v>
      </c>
      <c r="F40" s="26">
        <v>3.3564814814814742E-4</v>
      </c>
      <c r="G40" s="26">
        <v>2.7777777777777748E-3</v>
      </c>
      <c r="H40" s="26">
        <v>2.3379629629629618E-3</v>
      </c>
      <c r="I40" s="26">
        <v>5.0231481481481481E-3</v>
      </c>
      <c r="J40" s="26">
        <v>5.671296296296327E-4</v>
      </c>
      <c r="K40" s="26">
        <v>4.6759259259259306E-3</v>
      </c>
      <c r="L40" s="26">
        <v>3.946759259259261E-3</v>
      </c>
      <c r="M40" s="26">
        <v>8.4375000000000006E-3</v>
      </c>
      <c r="N40" s="26">
        <v>6.9444444444444198E-4</v>
      </c>
      <c r="O40" s="26">
        <v>5.6365740740740716E-3</v>
      </c>
      <c r="P40" s="26">
        <v>4.7569444444444456E-3</v>
      </c>
      <c r="Q40" s="26">
        <v>1.0173611111111105E-2</v>
      </c>
      <c r="R40" s="26">
        <v>1.2037037037037068E-3</v>
      </c>
      <c r="S40" s="26">
        <v>9.5601851851851855E-3</v>
      </c>
      <c r="T40" s="26">
        <v>8.0787037037036991E-3</v>
      </c>
      <c r="U40" s="26">
        <v>1.7233796296296303E-2</v>
      </c>
      <c r="V40" s="26">
        <v>2.6851851851851793E-3</v>
      </c>
      <c r="W40" s="26">
        <v>2.0046296296296284E-2</v>
      </c>
      <c r="X40" s="26">
        <v>1.6944444444444456E-2</v>
      </c>
      <c r="Y40" s="26">
        <v>3.5960648148148144E-2</v>
      </c>
      <c r="Z40" s="27">
        <v>5.6899999999999977</v>
      </c>
      <c r="AA40" s="27">
        <v>29.920000000000016</v>
      </c>
      <c r="AB40" s="27">
        <v>25.909999999999997</v>
      </c>
      <c r="AC40" s="27">
        <v>48.819999999999993</v>
      </c>
      <c r="AD40" s="27">
        <v>11.279999999999973</v>
      </c>
      <c r="AE40" s="27">
        <v>44.699999999999989</v>
      </c>
      <c r="AF40" s="27">
        <v>39.100000000000023</v>
      </c>
      <c r="AG40" s="27">
        <v>71.529999999999973</v>
      </c>
    </row>
    <row r="41" spans="1:33" x14ac:dyDescent="0.25">
      <c r="A41" s="17">
        <v>47</v>
      </c>
      <c r="B41" s="26">
        <v>2.6620370370370253E-4</v>
      </c>
      <c r="C41" s="26">
        <v>1.8634259259259246E-3</v>
      </c>
      <c r="D41" s="26">
        <v>1.6087962962962957E-3</v>
      </c>
      <c r="E41" s="26">
        <v>3.3564814814814811E-3</v>
      </c>
      <c r="F41" s="26">
        <v>4.0509259259259231E-4</v>
      </c>
      <c r="G41" s="26">
        <v>2.812499999999999E-3</v>
      </c>
      <c r="H41" s="26">
        <v>2.4189814814814803E-3</v>
      </c>
      <c r="I41" s="26">
        <v>5.0578703703703688E-3</v>
      </c>
      <c r="J41" s="26">
        <v>6.9444444444444892E-4</v>
      </c>
      <c r="K41" s="26">
        <v>4.7337962962962984E-3</v>
      </c>
      <c r="L41" s="26">
        <v>4.0856481481481507E-3</v>
      </c>
      <c r="M41" s="26">
        <v>8.5069444444444489E-3</v>
      </c>
      <c r="N41" s="26">
        <v>8.564814814814789E-4</v>
      </c>
      <c r="O41" s="26">
        <v>5.7175925925925936E-3</v>
      </c>
      <c r="P41" s="26">
        <v>4.9305555555555561E-3</v>
      </c>
      <c r="Q41" s="26">
        <v>1.0254629629629627E-2</v>
      </c>
      <c r="R41" s="26">
        <v>1.4814814814814864E-3</v>
      </c>
      <c r="S41" s="26">
        <v>9.6990740740740683E-3</v>
      </c>
      <c r="T41" s="26">
        <v>8.3796296296296258E-3</v>
      </c>
      <c r="U41" s="26">
        <v>1.7384259259259266E-2</v>
      </c>
      <c r="V41" s="26">
        <v>3.2986111111110994E-3</v>
      </c>
      <c r="W41" s="26">
        <v>2.0370370370370372E-2</v>
      </c>
      <c r="X41" s="26">
        <v>1.7615740740740737E-2</v>
      </c>
      <c r="Y41" s="26">
        <v>3.6319444444444432E-2</v>
      </c>
      <c r="Z41" s="27">
        <v>6.9500000000000171</v>
      </c>
      <c r="AA41" s="27">
        <v>30.610000000000014</v>
      </c>
      <c r="AB41" s="27">
        <v>27.060000000000002</v>
      </c>
      <c r="AC41" s="27">
        <v>49.430000000000007</v>
      </c>
      <c r="AD41" s="27">
        <v>13.769999999999982</v>
      </c>
      <c r="AE41" s="27">
        <v>46.319999999999993</v>
      </c>
      <c r="AF41" s="27">
        <v>41.370000000000005</v>
      </c>
      <c r="AG41" s="27">
        <v>72.96999999999997</v>
      </c>
    </row>
    <row r="42" spans="1:33" x14ac:dyDescent="0.25">
      <c r="A42" s="17">
        <v>48</v>
      </c>
      <c r="B42" s="26">
        <v>3.2407407407407385E-4</v>
      </c>
      <c r="C42" s="26">
        <v>1.8865740740740718E-3</v>
      </c>
      <c r="D42" s="26">
        <v>1.666666666666667E-3</v>
      </c>
      <c r="E42" s="26">
        <v>3.3912037037037018E-3</v>
      </c>
      <c r="F42" s="26">
        <v>4.8611111111111077E-4</v>
      </c>
      <c r="G42" s="26">
        <v>2.8472222222222197E-3</v>
      </c>
      <c r="H42" s="26">
        <v>2.5115740740740723E-3</v>
      </c>
      <c r="I42" s="26">
        <v>5.1041666666666631E-3</v>
      </c>
      <c r="J42" s="26">
        <v>8.333333333333387E-4</v>
      </c>
      <c r="K42" s="26">
        <v>4.8032407407407468E-3</v>
      </c>
      <c r="L42" s="26">
        <v>4.2361111111111141E-3</v>
      </c>
      <c r="M42" s="26">
        <v>8.5879629629629639E-3</v>
      </c>
      <c r="N42" s="26">
        <v>1.0185185185185228E-3</v>
      </c>
      <c r="O42" s="26">
        <v>5.7986111111111086E-3</v>
      </c>
      <c r="P42" s="26">
        <v>5.1157407407407401E-3</v>
      </c>
      <c r="Q42" s="26">
        <v>1.034722222222223E-2</v>
      </c>
      <c r="R42" s="26">
        <v>1.7708333333333326E-3</v>
      </c>
      <c r="S42" s="26">
        <v>9.8495370370370317E-3</v>
      </c>
      <c r="T42" s="26">
        <v>8.692129629629633E-3</v>
      </c>
      <c r="U42" s="26">
        <v>1.7546296296296296E-2</v>
      </c>
      <c r="V42" s="26">
        <v>3.9467592592592471E-3</v>
      </c>
      <c r="W42" s="26">
        <v>2.0740740740740726E-2</v>
      </c>
      <c r="X42" s="26">
        <v>1.833333333333334E-2</v>
      </c>
      <c r="Y42" s="26">
        <v>3.6724537037037042E-2</v>
      </c>
      <c r="Z42" s="27">
        <v>8.2800000000000011</v>
      </c>
      <c r="AA42" s="27">
        <v>31.360000000000014</v>
      </c>
      <c r="AB42" s="27">
        <v>28.28</v>
      </c>
      <c r="AC42" s="27">
        <v>50.099999999999994</v>
      </c>
      <c r="AD42" s="27">
        <v>16.410000000000025</v>
      </c>
      <c r="AE42" s="27">
        <v>48.069999999999993</v>
      </c>
      <c r="AF42" s="27">
        <v>43.79000000000002</v>
      </c>
      <c r="AG42" s="27">
        <v>74.54000000000002</v>
      </c>
    </row>
    <row r="43" spans="1:33" x14ac:dyDescent="0.25">
      <c r="A43" s="17">
        <v>49</v>
      </c>
      <c r="B43" s="26">
        <v>3.819444444444417E-4</v>
      </c>
      <c r="C43" s="26">
        <v>1.9212962962962959E-3</v>
      </c>
      <c r="D43" s="26">
        <v>1.7245370370370348E-3</v>
      </c>
      <c r="E43" s="26">
        <v>3.414351851851849E-3</v>
      </c>
      <c r="F43" s="26">
        <v>5.787037037037028E-4</v>
      </c>
      <c r="G43" s="26">
        <v>2.8935185185185175E-3</v>
      </c>
      <c r="H43" s="26">
        <v>2.6041666666666644E-3</v>
      </c>
      <c r="I43" s="26">
        <v>5.1504629629629643E-3</v>
      </c>
      <c r="J43" s="26">
        <v>9.8379629629630205E-4</v>
      </c>
      <c r="K43" s="26">
        <v>4.8842592592592618E-3</v>
      </c>
      <c r="L43" s="26">
        <v>4.398148148148151E-3</v>
      </c>
      <c r="M43" s="26">
        <v>8.6689814814814858E-3</v>
      </c>
      <c r="N43" s="26">
        <v>1.2037037037037068E-3</v>
      </c>
      <c r="O43" s="26">
        <v>5.9027777777777776E-3</v>
      </c>
      <c r="P43" s="26">
        <v>5.3124999999999978E-3</v>
      </c>
      <c r="Q43" s="26">
        <v>1.0462962962962966E-2</v>
      </c>
      <c r="R43" s="26">
        <v>2.0833333333333398E-3</v>
      </c>
      <c r="S43" s="26">
        <v>1.0023148148148142E-2</v>
      </c>
      <c r="T43" s="26">
        <v>9.0277777777777735E-3</v>
      </c>
      <c r="U43" s="26">
        <v>1.7743055555555554E-2</v>
      </c>
      <c r="V43" s="26">
        <v>4.6412037037036891E-3</v>
      </c>
      <c r="W43" s="26">
        <v>2.1157407407407403E-2</v>
      </c>
      <c r="X43" s="26">
        <v>1.9085648148148143E-2</v>
      </c>
      <c r="Y43" s="26">
        <v>3.7187500000000012E-2</v>
      </c>
      <c r="Z43" s="27">
        <v>9.6899999999999977</v>
      </c>
      <c r="AA43" s="27">
        <v>32.180000000000007</v>
      </c>
      <c r="AB43" s="27">
        <v>29.569999999999993</v>
      </c>
      <c r="AC43" s="27">
        <v>50.849999999999994</v>
      </c>
      <c r="AD43" s="27">
        <v>19.20999999999998</v>
      </c>
      <c r="AE43" s="27">
        <v>49.96999999999997</v>
      </c>
      <c r="AF43" s="27">
        <v>46.339999999999975</v>
      </c>
      <c r="AG43" s="27">
        <v>76.25</v>
      </c>
    </row>
    <row r="44" spans="1:33" x14ac:dyDescent="0.25">
      <c r="A44" s="17">
        <v>50</v>
      </c>
      <c r="B44" s="26">
        <v>4.3981481481481302E-4</v>
      </c>
      <c r="C44" s="26">
        <v>1.9560185185185167E-3</v>
      </c>
      <c r="D44" s="26">
        <v>1.7939814814814797E-3</v>
      </c>
      <c r="E44" s="26">
        <v>3.4606481481481467E-3</v>
      </c>
      <c r="F44" s="26">
        <v>6.7129629629629484E-4</v>
      </c>
      <c r="G44" s="26">
        <v>2.9513888888888888E-3</v>
      </c>
      <c r="H44" s="26">
        <v>2.7083333333333334E-3</v>
      </c>
      <c r="I44" s="26">
        <v>5.2083333333333322E-3</v>
      </c>
      <c r="J44" s="26">
        <v>1.1342592592592654E-3</v>
      </c>
      <c r="K44" s="26">
        <v>4.9768518518518573E-3</v>
      </c>
      <c r="L44" s="26">
        <v>4.5717592592592615E-3</v>
      </c>
      <c r="M44" s="26">
        <v>8.773148148148148E-3</v>
      </c>
      <c r="N44" s="26">
        <v>1.3888888888888909E-3</v>
      </c>
      <c r="O44" s="26">
        <v>6.0069444444444467E-3</v>
      </c>
      <c r="P44" s="26">
        <v>5.5208333333333359E-3</v>
      </c>
      <c r="Q44" s="26">
        <v>1.0578703703703701E-2</v>
      </c>
      <c r="R44" s="26">
        <v>2.4074074074074137E-3</v>
      </c>
      <c r="S44" s="26">
        <v>1.023148148148148E-2</v>
      </c>
      <c r="T44" s="26">
        <v>9.3981481481481416E-3</v>
      </c>
      <c r="U44" s="26">
        <v>1.7962962962962958E-2</v>
      </c>
      <c r="V44" s="26">
        <v>5.3819444444444531E-3</v>
      </c>
      <c r="W44" s="26">
        <v>2.163194444444444E-2</v>
      </c>
      <c r="X44" s="26">
        <v>1.9907407407407401E-2</v>
      </c>
      <c r="Y44" s="26">
        <v>3.7708333333333344E-2</v>
      </c>
      <c r="Z44" s="27">
        <v>11.180000000000007</v>
      </c>
      <c r="AA44" s="27">
        <v>33.099999999999994</v>
      </c>
      <c r="AB44" s="27">
        <v>30.920000000000016</v>
      </c>
      <c r="AC44" s="27">
        <v>51.66</v>
      </c>
      <c r="AD44" s="27">
        <v>22.139999999999986</v>
      </c>
      <c r="AE44" s="27">
        <v>52.029999999999973</v>
      </c>
      <c r="AF44" s="27">
        <v>49.029999999999973</v>
      </c>
      <c r="AG44" s="27">
        <v>78.100000000000023</v>
      </c>
    </row>
    <row r="45" spans="1:33" x14ac:dyDescent="0.25">
      <c r="A45" s="17">
        <v>51</v>
      </c>
      <c r="B45" s="26">
        <v>4.9768518518518434E-4</v>
      </c>
      <c r="C45" s="26">
        <v>2.0023148148148144E-3</v>
      </c>
      <c r="D45" s="26">
        <v>1.8634259259259246E-3</v>
      </c>
      <c r="E45" s="26">
        <v>3.5069444444444445E-3</v>
      </c>
      <c r="F45" s="26">
        <v>7.6388888888888687E-4</v>
      </c>
      <c r="G45" s="26">
        <v>3.0092592592592567E-3</v>
      </c>
      <c r="H45" s="26">
        <v>2.812499999999999E-3</v>
      </c>
      <c r="I45" s="26">
        <v>5.2777777777777736E-3</v>
      </c>
      <c r="J45" s="26">
        <v>1.3078703703703759E-3</v>
      </c>
      <c r="K45" s="26">
        <v>5.0810185185185194E-3</v>
      </c>
      <c r="L45" s="26">
        <v>4.745370370370372E-3</v>
      </c>
      <c r="M45" s="26">
        <v>8.8888888888888906E-3</v>
      </c>
      <c r="N45" s="26">
        <v>1.5856481481481485E-3</v>
      </c>
      <c r="O45" s="26">
        <v>6.1342592592592629E-3</v>
      </c>
      <c r="P45" s="26">
        <v>5.7407407407407407E-3</v>
      </c>
      <c r="Q45" s="26">
        <v>1.0717592592592598E-2</v>
      </c>
      <c r="R45" s="26">
        <v>2.7546296296296346E-3</v>
      </c>
      <c r="S45" s="26">
        <v>1.0451388888888885E-2</v>
      </c>
      <c r="T45" s="26">
        <v>9.7800925925925902E-3</v>
      </c>
      <c r="U45" s="26">
        <v>1.8206018518518524E-2</v>
      </c>
      <c r="V45" s="26">
        <v>6.1689814814814836E-3</v>
      </c>
      <c r="W45" s="26">
        <v>2.2164351851851838E-2</v>
      </c>
      <c r="X45" s="26">
        <v>2.0763888888888887E-2</v>
      </c>
      <c r="Y45" s="26">
        <v>3.8287037037037036E-2</v>
      </c>
      <c r="Z45" s="27">
        <v>12.730000000000018</v>
      </c>
      <c r="AA45" s="27">
        <v>34.099999999999994</v>
      </c>
      <c r="AB45" s="27">
        <v>32.349999999999994</v>
      </c>
      <c r="AC45" s="27">
        <v>52.56</v>
      </c>
      <c r="AD45" s="27">
        <v>25.20999999999998</v>
      </c>
      <c r="AE45" s="27">
        <v>54.259999999999991</v>
      </c>
      <c r="AF45" s="27">
        <v>51.839999999999975</v>
      </c>
      <c r="AG45" s="27">
        <v>80.100000000000023</v>
      </c>
    </row>
    <row r="46" spans="1:33" x14ac:dyDescent="0.25">
      <c r="A46" s="17">
        <v>52</v>
      </c>
      <c r="B46" s="26">
        <v>5.6712962962962923E-4</v>
      </c>
      <c r="C46" s="26">
        <v>2.0370370370370351E-3</v>
      </c>
      <c r="D46" s="26">
        <v>1.9444444444444431E-3</v>
      </c>
      <c r="E46" s="26">
        <v>3.5532407407407388E-3</v>
      </c>
      <c r="F46" s="26">
        <v>8.6805555555555594E-4</v>
      </c>
      <c r="G46" s="26">
        <v>3.0787037037037016E-3</v>
      </c>
      <c r="H46" s="26">
        <v>2.9282407407407382E-3</v>
      </c>
      <c r="I46" s="26">
        <v>5.3587962962962955E-3</v>
      </c>
      <c r="J46" s="26">
        <v>1.4814814814814864E-3</v>
      </c>
      <c r="K46" s="26">
        <v>5.1967592592592621E-3</v>
      </c>
      <c r="L46" s="26">
        <v>4.9421296296296297E-3</v>
      </c>
      <c r="M46" s="26">
        <v>9.0162037037037068E-3</v>
      </c>
      <c r="N46" s="26">
        <v>1.7939814814814797E-3</v>
      </c>
      <c r="O46" s="26">
        <v>6.2847222222222263E-3</v>
      </c>
      <c r="P46" s="26">
        <v>5.972222222222226E-3</v>
      </c>
      <c r="Q46" s="26">
        <v>1.0879629629629628E-2</v>
      </c>
      <c r="R46" s="26">
        <v>3.1250000000000028E-3</v>
      </c>
      <c r="S46" s="26">
        <v>1.0717592592592598E-2</v>
      </c>
      <c r="T46" s="26">
        <v>1.0185185185185186E-2</v>
      </c>
      <c r="U46" s="26">
        <v>1.849537037037037E-2</v>
      </c>
      <c r="V46" s="26">
        <v>6.9907407407407418E-3</v>
      </c>
      <c r="W46" s="26">
        <v>2.2777777777777786E-2</v>
      </c>
      <c r="X46" s="26">
        <v>2.1666666666666667E-2</v>
      </c>
      <c r="Y46" s="26">
        <v>3.8958333333333345E-2</v>
      </c>
      <c r="Z46" s="27">
        <v>14.360000000000014</v>
      </c>
      <c r="AA46" s="27">
        <v>35.19</v>
      </c>
      <c r="AB46" s="27">
        <v>33.830000000000013</v>
      </c>
      <c r="AC46" s="27">
        <v>53.550000000000011</v>
      </c>
      <c r="AD46" s="27">
        <v>28.420000000000016</v>
      </c>
      <c r="AE46" s="27">
        <v>56.649999999999977</v>
      </c>
      <c r="AF46" s="27">
        <v>54.779999999999973</v>
      </c>
      <c r="AG46" s="27">
        <v>82.259999999999991</v>
      </c>
    </row>
    <row r="47" spans="1:33" x14ac:dyDescent="0.25">
      <c r="A47" s="17">
        <v>53</v>
      </c>
      <c r="B47" s="26">
        <v>6.3657407407407413E-4</v>
      </c>
      <c r="C47" s="26">
        <v>2.0949074074074064E-3</v>
      </c>
      <c r="D47" s="26">
        <v>2.013888888888888E-3</v>
      </c>
      <c r="E47" s="26">
        <v>3.6111111111111101E-3</v>
      </c>
      <c r="F47" s="26">
        <v>9.7222222222222154E-4</v>
      </c>
      <c r="G47" s="26">
        <v>3.15972222222222E-3</v>
      </c>
      <c r="H47" s="26">
        <v>3.0439814814814808E-3</v>
      </c>
      <c r="I47" s="26">
        <v>5.4398148148148105E-3</v>
      </c>
      <c r="J47" s="26">
        <v>1.6666666666666705E-3</v>
      </c>
      <c r="K47" s="26">
        <v>5.3356481481481519E-3</v>
      </c>
      <c r="L47" s="26">
        <v>5.1388888888888942E-3</v>
      </c>
      <c r="M47" s="26">
        <v>9.1666666666666702E-3</v>
      </c>
      <c r="N47" s="26">
        <v>2.025462962962965E-3</v>
      </c>
      <c r="O47" s="26">
        <v>6.4467592592592632E-3</v>
      </c>
      <c r="P47" s="26">
        <v>6.2152777777777779E-3</v>
      </c>
      <c r="Q47" s="26">
        <v>1.1064814814814819E-2</v>
      </c>
      <c r="R47" s="26">
        <v>3.518518518518518E-3</v>
      </c>
      <c r="S47" s="26">
        <v>1.1006944444444444E-2</v>
      </c>
      <c r="T47" s="26">
        <v>1.0601851851851848E-2</v>
      </c>
      <c r="U47" s="26">
        <v>1.8807870370370364E-2</v>
      </c>
      <c r="V47" s="26">
        <v>7.8703703703703609E-3</v>
      </c>
      <c r="W47" s="26">
        <v>2.3460648148148133E-2</v>
      </c>
      <c r="X47" s="26">
        <v>2.2627314814814808E-2</v>
      </c>
      <c r="Y47" s="26">
        <v>3.9699074074074081E-2</v>
      </c>
      <c r="Z47" s="27">
        <v>16.050000000000011</v>
      </c>
      <c r="AA47" s="27">
        <v>36.390000000000015</v>
      </c>
      <c r="AB47" s="27">
        <v>35.379999999999995</v>
      </c>
      <c r="AC47" s="27">
        <v>54.640000000000015</v>
      </c>
      <c r="AD47" s="27">
        <v>31.759999999999991</v>
      </c>
      <c r="AE47" s="27">
        <v>59.21999999999997</v>
      </c>
      <c r="AF47" s="27">
        <v>57.839999999999975</v>
      </c>
      <c r="AG47" s="27">
        <v>84.589999999999975</v>
      </c>
    </row>
    <row r="48" spans="1:33" x14ac:dyDescent="0.25">
      <c r="A48" s="17">
        <v>54</v>
      </c>
      <c r="B48" s="26">
        <v>7.1759259259259259E-4</v>
      </c>
      <c r="C48" s="26">
        <v>2.1527777777777778E-3</v>
      </c>
      <c r="D48" s="26">
        <v>2.0949074074074064E-3</v>
      </c>
      <c r="E48" s="26">
        <v>3.6689814814814814E-3</v>
      </c>
      <c r="F48" s="26">
        <v>1.0879629629629607E-3</v>
      </c>
      <c r="G48" s="26">
        <v>3.252314814814812E-3</v>
      </c>
      <c r="H48" s="26">
        <v>3.1712962962962936E-3</v>
      </c>
      <c r="I48" s="26">
        <v>5.5439814814814796E-3</v>
      </c>
      <c r="J48" s="26">
        <v>1.8518518518518545E-3</v>
      </c>
      <c r="K48" s="26">
        <v>5.4861111111111152E-3</v>
      </c>
      <c r="L48" s="26">
        <v>5.3472222222222254E-3</v>
      </c>
      <c r="M48" s="26">
        <v>9.3287037037037071E-3</v>
      </c>
      <c r="N48" s="26">
        <v>2.2569444444444434E-3</v>
      </c>
      <c r="O48" s="26">
        <v>6.6319444444444473E-3</v>
      </c>
      <c r="P48" s="26">
        <v>6.4699074074074103E-3</v>
      </c>
      <c r="Q48" s="26">
        <v>1.1261574074074077E-2</v>
      </c>
      <c r="R48" s="26">
        <v>3.9236111111111138E-3</v>
      </c>
      <c r="S48" s="26">
        <v>1.1331018518518518E-2</v>
      </c>
      <c r="T48" s="26">
        <v>1.1053240740740738E-2</v>
      </c>
      <c r="U48" s="26">
        <v>1.9178240740740746E-2</v>
      </c>
      <c r="V48" s="26">
        <v>8.7847222222222077E-3</v>
      </c>
      <c r="W48" s="26">
        <v>2.4224537037037031E-2</v>
      </c>
      <c r="X48" s="26">
        <v>2.3634259259259272E-2</v>
      </c>
      <c r="Y48" s="26">
        <v>4.0543981481481473E-2</v>
      </c>
      <c r="Z48" s="27">
        <v>17.810000000000002</v>
      </c>
      <c r="AA48" s="27">
        <v>37.69</v>
      </c>
      <c r="AB48" s="27">
        <v>36.990000000000009</v>
      </c>
      <c r="AC48" s="27">
        <v>55.819999999999993</v>
      </c>
      <c r="AD48" s="27">
        <v>35.230000000000018</v>
      </c>
      <c r="AE48" s="27">
        <v>61.980000000000018</v>
      </c>
      <c r="AF48" s="27">
        <v>61.009999999999991</v>
      </c>
      <c r="AG48" s="27">
        <v>87.089999999999975</v>
      </c>
    </row>
    <row r="49" spans="1:33" x14ac:dyDescent="0.25">
      <c r="A49" s="17">
        <v>55</v>
      </c>
      <c r="B49" s="26">
        <v>7.9861111111111105E-4</v>
      </c>
      <c r="C49" s="26">
        <v>2.2222222222222227E-3</v>
      </c>
      <c r="D49" s="26">
        <v>2.1874999999999985E-3</v>
      </c>
      <c r="E49" s="26">
        <v>3.7499999999999999E-3</v>
      </c>
      <c r="F49" s="26">
        <v>1.2037037037037034E-3</v>
      </c>
      <c r="G49" s="26">
        <v>3.3564814814814811E-3</v>
      </c>
      <c r="H49" s="26">
        <v>3.2986111111111098E-3</v>
      </c>
      <c r="I49" s="26">
        <v>5.6481481481481487E-3</v>
      </c>
      <c r="J49" s="26">
        <v>2.0601851851851857E-3</v>
      </c>
      <c r="K49" s="26">
        <v>5.6597222222222257E-3</v>
      </c>
      <c r="L49" s="26">
        <v>5.5671296296296302E-3</v>
      </c>
      <c r="M49" s="26">
        <v>9.5254629629629647E-3</v>
      </c>
      <c r="N49" s="26">
        <v>2.5000000000000022E-3</v>
      </c>
      <c r="O49" s="26">
        <v>6.8402777777777785E-3</v>
      </c>
      <c r="P49" s="26">
        <v>6.7361111111111094E-3</v>
      </c>
      <c r="Q49" s="26">
        <v>1.1493055555555562E-2</v>
      </c>
      <c r="R49" s="26">
        <v>4.3518518518518567E-3</v>
      </c>
      <c r="S49" s="26">
        <v>1.1712962962962967E-2</v>
      </c>
      <c r="T49" s="26">
        <v>1.1516203703703709E-2</v>
      </c>
      <c r="U49" s="26">
        <v>1.9583333333333328E-2</v>
      </c>
      <c r="V49" s="26">
        <v>9.7569444444444431E-3</v>
      </c>
      <c r="W49" s="26">
        <v>2.5081018518518516E-2</v>
      </c>
      <c r="X49" s="26">
        <v>2.4687500000000001E-2</v>
      </c>
      <c r="Y49" s="26">
        <v>4.148148148148148E-2</v>
      </c>
      <c r="Z49" s="27">
        <v>19.640000000000015</v>
      </c>
      <c r="AA49" s="27">
        <v>39.110000000000014</v>
      </c>
      <c r="AB49" s="27">
        <v>38.650000000000006</v>
      </c>
      <c r="AC49" s="27">
        <v>57.110000000000014</v>
      </c>
      <c r="AD49" s="27">
        <v>38.819999999999993</v>
      </c>
      <c r="AE49" s="27">
        <v>64.930000000000007</v>
      </c>
      <c r="AF49" s="27">
        <v>64.300000000000011</v>
      </c>
      <c r="AG49" s="27">
        <v>89.769999999999982</v>
      </c>
    </row>
    <row r="50" spans="1:33" x14ac:dyDescent="0.25">
      <c r="A50" s="17">
        <v>56</v>
      </c>
      <c r="B50" s="26">
        <v>8.7962962962962951E-4</v>
      </c>
      <c r="C50" s="26">
        <v>2.2916666666666641E-3</v>
      </c>
      <c r="D50" s="26">
        <v>2.2685185185185169E-3</v>
      </c>
      <c r="E50" s="26">
        <v>3.8310185185185183E-3</v>
      </c>
      <c r="F50" s="26">
        <v>1.3310185185185161E-3</v>
      </c>
      <c r="G50" s="26">
        <v>3.4606481481481467E-3</v>
      </c>
      <c r="H50" s="26">
        <v>3.4374999999999996E-3</v>
      </c>
      <c r="I50" s="26">
        <v>5.7754629629629649E-3</v>
      </c>
      <c r="J50" s="26">
        <v>2.2685185185185239E-3</v>
      </c>
      <c r="K50" s="26">
        <v>5.8564814814814833E-3</v>
      </c>
      <c r="L50" s="26">
        <v>5.7986111111111155E-3</v>
      </c>
      <c r="M50" s="26">
        <v>9.7337962962963029E-3</v>
      </c>
      <c r="N50" s="26">
        <v>2.7546296296296277E-3</v>
      </c>
      <c r="O50" s="26">
        <v>7.0833333333333373E-3</v>
      </c>
      <c r="P50" s="26">
        <v>7.013888888888889E-3</v>
      </c>
      <c r="Q50" s="26">
        <v>1.1759259259259261E-2</v>
      </c>
      <c r="R50" s="26">
        <v>4.8032407407407468E-3</v>
      </c>
      <c r="S50" s="26">
        <v>1.2129629629629629E-2</v>
      </c>
      <c r="T50" s="26">
        <v>1.2013888888888893E-2</v>
      </c>
      <c r="U50" s="26">
        <v>2.0034722222222218E-2</v>
      </c>
      <c r="V50" s="26">
        <v>1.0763888888888878E-2</v>
      </c>
      <c r="W50" s="26">
        <v>2.6041666666666657E-2</v>
      </c>
      <c r="X50" s="26">
        <v>2.5798611111111119E-2</v>
      </c>
      <c r="Y50" s="26">
        <v>4.2523148148148143E-2</v>
      </c>
      <c r="Z50" s="27">
        <v>21.52000000000001</v>
      </c>
      <c r="AA50" s="27">
        <v>40.650000000000006</v>
      </c>
      <c r="AB50" s="27">
        <v>40.379999999999995</v>
      </c>
      <c r="AC50" s="27">
        <v>58.510000000000019</v>
      </c>
      <c r="AD50" s="27">
        <v>42.519999999999982</v>
      </c>
      <c r="AE50" s="27">
        <v>68.069999999999993</v>
      </c>
      <c r="AF50" s="27">
        <v>67.699999999999989</v>
      </c>
      <c r="AG50" s="27">
        <v>92.639999999999986</v>
      </c>
    </row>
    <row r="51" spans="1:33" x14ac:dyDescent="0.25">
      <c r="A51" s="17">
        <v>57</v>
      </c>
      <c r="B51" s="26">
        <v>9.6064814814814797E-4</v>
      </c>
      <c r="C51" s="26">
        <v>2.3842592592592596E-3</v>
      </c>
      <c r="D51" s="26">
        <v>2.361111111111109E-3</v>
      </c>
      <c r="E51" s="26">
        <v>3.9236111111111104E-3</v>
      </c>
      <c r="F51" s="26">
        <v>1.4583333333333323E-3</v>
      </c>
      <c r="G51" s="26">
        <v>3.5879629629629629E-3</v>
      </c>
      <c r="H51" s="26">
        <v>3.5763888888888859E-3</v>
      </c>
      <c r="I51" s="26">
        <v>5.9143518518518477E-3</v>
      </c>
      <c r="J51" s="26">
        <v>2.4884259259259287E-3</v>
      </c>
      <c r="K51" s="26">
        <v>6.0763888888888951E-3</v>
      </c>
      <c r="L51" s="26">
        <v>6.0416666666666674E-3</v>
      </c>
      <c r="M51" s="26">
        <v>9.9768518518518548E-3</v>
      </c>
      <c r="N51" s="26">
        <v>3.0208333333333337E-3</v>
      </c>
      <c r="O51" s="26">
        <v>7.3495370370370433E-3</v>
      </c>
      <c r="P51" s="26">
        <v>7.3148148148148157E-3</v>
      </c>
      <c r="Q51" s="26">
        <v>1.2048611111111107E-2</v>
      </c>
      <c r="R51" s="26">
        <v>5.2662037037037035E-3</v>
      </c>
      <c r="S51" s="26">
        <v>1.25925925925926E-2</v>
      </c>
      <c r="T51" s="26">
        <v>1.2523148148148144E-2</v>
      </c>
      <c r="U51" s="26">
        <v>2.0543981481481483E-2</v>
      </c>
      <c r="V51" s="26">
        <v>1.1828703703703702E-2</v>
      </c>
      <c r="W51" s="26">
        <v>2.7106481481481481E-2</v>
      </c>
      <c r="X51" s="26">
        <v>2.6956018518518504E-2</v>
      </c>
      <c r="Y51" s="26">
        <v>4.3692129629629622E-2</v>
      </c>
      <c r="Z51" s="27">
        <v>23.47</v>
      </c>
      <c r="AA51" s="27">
        <v>42.319999999999993</v>
      </c>
      <c r="AB51" s="27">
        <v>42.16</v>
      </c>
      <c r="AC51" s="27">
        <v>60.03</v>
      </c>
      <c r="AD51" s="27">
        <v>46.350000000000023</v>
      </c>
      <c r="AE51" s="27">
        <v>71.420000000000016</v>
      </c>
      <c r="AF51" s="27">
        <v>71.199999999999989</v>
      </c>
      <c r="AG51" s="27">
        <v>95.69</v>
      </c>
    </row>
    <row r="52" spans="1:33" x14ac:dyDescent="0.25">
      <c r="A52" s="17">
        <v>58</v>
      </c>
      <c r="B52" s="26">
        <v>1.05324074074074E-3</v>
      </c>
      <c r="C52" s="26">
        <v>2.4768518518518516E-3</v>
      </c>
      <c r="D52" s="26">
        <v>2.465277777777778E-3</v>
      </c>
      <c r="E52" s="26">
        <v>4.027777777777776E-3</v>
      </c>
      <c r="F52" s="26">
        <v>1.5856481481481485E-3</v>
      </c>
      <c r="G52" s="26">
        <v>3.7384259259259263E-3</v>
      </c>
      <c r="H52" s="26">
        <v>3.7268518518518493E-3</v>
      </c>
      <c r="I52" s="26">
        <v>6.0763888888888846E-3</v>
      </c>
      <c r="J52" s="26">
        <v>2.7199074074074139E-3</v>
      </c>
      <c r="K52" s="26">
        <v>6.319444444444447E-3</v>
      </c>
      <c r="L52" s="26">
        <v>6.2962962962962998E-3</v>
      </c>
      <c r="M52" s="26">
        <v>1.0243055555555561E-2</v>
      </c>
      <c r="N52" s="26">
        <v>3.2986111111111133E-3</v>
      </c>
      <c r="O52" s="26">
        <v>7.65046296296297E-3</v>
      </c>
      <c r="P52" s="26">
        <v>7.6157407407407424E-3</v>
      </c>
      <c r="Q52" s="26">
        <v>1.2372685185185181E-2</v>
      </c>
      <c r="R52" s="26">
        <v>5.7523148148148212E-3</v>
      </c>
      <c r="S52" s="26">
        <v>1.3113425925925931E-2</v>
      </c>
      <c r="T52" s="26">
        <v>1.3055555555555556E-2</v>
      </c>
      <c r="U52" s="26">
        <v>2.1122685185185189E-2</v>
      </c>
      <c r="V52" s="26">
        <v>1.2939814814814821E-2</v>
      </c>
      <c r="W52" s="26">
        <v>2.8287037037037027E-2</v>
      </c>
      <c r="X52" s="26">
        <v>2.8171296296296305E-2</v>
      </c>
      <c r="Y52" s="26">
        <v>4.4988425925925918E-2</v>
      </c>
      <c r="Z52" s="27">
        <v>25.480000000000018</v>
      </c>
      <c r="AA52" s="27">
        <v>44.110000000000014</v>
      </c>
      <c r="AB52" s="27">
        <v>43.990000000000009</v>
      </c>
      <c r="AC52" s="27">
        <v>61.66</v>
      </c>
      <c r="AD52" s="27">
        <v>50.279999999999973</v>
      </c>
      <c r="AE52" s="27">
        <v>74.96999999999997</v>
      </c>
      <c r="AF52" s="27">
        <v>74.81</v>
      </c>
      <c r="AG52" s="27">
        <v>98.949999999999989</v>
      </c>
    </row>
    <row r="53" spans="1:33" x14ac:dyDescent="0.25">
      <c r="A53" s="17">
        <v>59</v>
      </c>
      <c r="B53" s="26">
        <v>1.145833333333332E-3</v>
      </c>
      <c r="C53" s="26">
        <v>2.5810185185185172E-3</v>
      </c>
      <c r="D53" s="26">
        <v>2.5694444444444436E-3</v>
      </c>
      <c r="E53" s="26">
        <v>4.1435185185185186E-3</v>
      </c>
      <c r="F53" s="26">
        <v>1.7361111111111084E-3</v>
      </c>
      <c r="G53" s="26">
        <v>3.9004629629629632E-3</v>
      </c>
      <c r="H53" s="26">
        <v>3.8773148148148126E-3</v>
      </c>
      <c r="I53" s="26">
        <v>6.2500000000000021E-3</v>
      </c>
      <c r="J53" s="26">
        <v>2.9629629629629659E-3</v>
      </c>
      <c r="K53" s="26">
        <v>6.5972222222222265E-3</v>
      </c>
      <c r="L53" s="26">
        <v>6.5625000000000058E-3</v>
      </c>
      <c r="M53" s="26">
        <v>1.0543981481481488E-2</v>
      </c>
      <c r="N53" s="26">
        <v>3.59953703703704E-3</v>
      </c>
      <c r="O53" s="26">
        <v>7.9745370370370439E-3</v>
      </c>
      <c r="P53" s="26">
        <v>7.9398148148148162E-3</v>
      </c>
      <c r="Q53" s="26">
        <v>1.2731481481481483E-2</v>
      </c>
      <c r="R53" s="26">
        <v>6.2615740740740722E-3</v>
      </c>
      <c r="S53" s="26">
        <v>1.3692129629629624E-2</v>
      </c>
      <c r="T53" s="26">
        <v>1.3622685185185182E-2</v>
      </c>
      <c r="U53" s="26">
        <v>2.1747685185185189E-2</v>
      </c>
      <c r="V53" s="26">
        <v>1.4097222222222233E-2</v>
      </c>
      <c r="W53" s="26">
        <v>2.9594907407407417E-2</v>
      </c>
      <c r="X53" s="26">
        <v>2.944444444444444E-2</v>
      </c>
      <c r="Y53" s="26">
        <v>4.6423611111111096E-2</v>
      </c>
      <c r="Z53" s="27">
        <v>27.550000000000011</v>
      </c>
      <c r="AA53" s="27">
        <v>46.039999999999992</v>
      </c>
      <c r="AB53" s="27">
        <v>45.879999999999995</v>
      </c>
      <c r="AC53" s="27">
        <v>63.430000000000007</v>
      </c>
      <c r="AD53" s="27">
        <v>54.329999999999984</v>
      </c>
      <c r="AE53" s="27">
        <v>78.740000000000009</v>
      </c>
      <c r="AF53" s="27">
        <v>78.519999999999982</v>
      </c>
      <c r="AG53" s="27">
        <v>102.39999999999998</v>
      </c>
    </row>
    <row r="54" spans="1:33" x14ac:dyDescent="0.25">
      <c r="A54" s="17">
        <v>60</v>
      </c>
      <c r="B54" s="26">
        <v>1.2384259259259241E-3</v>
      </c>
      <c r="C54" s="26">
        <v>2.6967592592592564E-3</v>
      </c>
      <c r="D54" s="26">
        <v>2.6736111111111092E-3</v>
      </c>
      <c r="E54" s="26">
        <v>4.2708333333333313E-3</v>
      </c>
      <c r="F54" s="26">
        <v>1.8749999999999982E-3</v>
      </c>
      <c r="G54" s="26">
        <v>4.0740740740740737E-3</v>
      </c>
      <c r="H54" s="26">
        <v>4.039351851851853E-3</v>
      </c>
      <c r="I54" s="26">
        <v>6.4351851851851861E-3</v>
      </c>
      <c r="J54" s="26">
        <v>3.2060185185185247E-3</v>
      </c>
      <c r="K54" s="26">
        <v>6.8981481481481532E-3</v>
      </c>
      <c r="L54" s="26">
        <v>6.8287037037037049E-3</v>
      </c>
      <c r="M54" s="26">
        <v>1.0868055555555561E-2</v>
      </c>
      <c r="N54" s="26">
        <v>3.9004629629629667E-3</v>
      </c>
      <c r="O54" s="26">
        <v>8.344907407407412E-3</v>
      </c>
      <c r="P54" s="26">
        <v>8.2638888888888901E-3</v>
      </c>
      <c r="Q54" s="26">
        <v>1.3136574074074078E-2</v>
      </c>
      <c r="R54" s="26">
        <v>6.7939814814814842E-3</v>
      </c>
      <c r="S54" s="26">
        <v>1.4328703703703705E-2</v>
      </c>
      <c r="T54" s="26">
        <v>1.4201388888888888E-2</v>
      </c>
      <c r="U54" s="26">
        <v>2.2453703703703698E-2</v>
      </c>
      <c r="V54" s="26">
        <v>1.5312500000000007E-2</v>
      </c>
      <c r="W54" s="26">
        <v>3.1041666666666662E-2</v>
      </c>
      <c r="X54" s="26">
        <v>3.0775462962962963E-2</v>
      </c>
      <c r="Y54" s="26">
        <v>4.8009259259259252E-2</v>
      </c>
      <c r="Z54" s="27">
        <v>29.670000000000016</v>
      </c>
      <c r="AA54" s="27">
        <v>48.110000000000014</v>
      </c>
      <c r="AB54" s="27">
        <v>47.819999999999993</v>
      </c>
      <c r="AC54" s="27">
        <v>65.319999999999993</v>
      </c>
      <c r="AD54" s="27">
        <v>58.490000000000009</v>
      </c>
      <c r="AE54" s="27">
        <v>82.71999999999997</v>
      </c>
      <c r="AF54" s="27">
        <v>82.339999999999975</v>
      </c>
      <c r="AG54" s="27">
        <v>106.06</v>
      </c>
    </row>
    <row r="55" spans="1:33" x14ac:dyDescent="0.25">
      <c r="A55" s="17">
        <v>61</v>
      </c>
      <c r="B55" s="26">
        <v>1.3425925925925897E-3</v>
      </c>
      <c r="C55" s="26">
        <v>2.8240740740740726E-3</v>
      </c>
      <c r="D55" s="26">
        <v>2.7777777777777748E-3</v>
      </c>
      <c r="E55" s="26">
        <v>4.4097222222222211E-3</v>
      </c>
      <c r="F55" s="26">
        <v>2.0370370370370351E-3</v>
      </c>
      <c r="G55" s="26">
        <v>4.2708333333333313E-3</v>
      </c>
      <c r="H55" s="26">
        <v>4.2013888888888899E-3</v>
      </c>
      <c r="I55" s="26">
        <v>6.6550925925925909E-3</v>
      </c>
      <c r="J55" s="26">
        <v>3.4722222222222238E-3</v>
      </c>
      <c r="K55" s="26">
        <v>7.2337962962963007E-3</v>
      </c>
      <c r="L55" s="26">
        <v>7.118055555555558E-3</v>
      </c>
      <c r="M55" s="26">
        <v>1.1238425925925929E-2</v>
      </c>
      <c r="N55" s="26">
        <v>4.212962962962967E-3</v>
      </c>
      <c r="O55" s="26">
        <v>8.7500000000000078E-3</v>
      </c>
      <c r="P55" s="26">
        <v>8.611111111111111E-3</v>
      </c>
      <c r="Q55" s="26">
        <v>1.3576388888888888E-2</v>
      </c>
      <c r="R55" s="26">
        <v>7.3495370370370433E-3</v>
      </c>
      <c r="S55" s="26">
        <v>1.5034722222222227E-2</v>
      </c>
      <c r="T55" s="26">
        <v>1.4814814814814808E-2</v>
      </c>
      <c r="U55" s="26">
        <v>2.3229166666666662E-2</v>
      </c>
      <c r="V55" s="26">
        <v>1.6574074074074074E-2</v>
      </c>
      <c r="W55" s="26">
        <v>3.2638888888888884E-2</v>
      </c>
      <c r="X55" s="26">
        <v>3.2164351851851847E-2</v>
      </c>
      <c r="Y55" s="26">
        <v>4.9756944444444451E-2</v>
      </c>
      <c r="Z55" s="27">
        <v>31.849999999999994</v>
      </c>
      <c r="AA55" s="27">
        <v>50.319999999999993</v>
      </c>
      <c r="AB55" s="27">
        <v>49.819999999999993</v>
      </c>
      <c r="AC55" s="27">
        <v>67.349999999999994</v>
      </c>
      <c r="AD55" s="27">
        <v>62.75</v>
      </c>
      <c r="AE55" s="27">
        <v>86.920000000000016</v>
      </c>
      <c r="AF55" s="27">
        <v>86.25</v>
      </c>
      <c r="AG55" s="27">
        <v>109.92000000000002</v>
      </c>
    </row>
    <row r="56" spans="1:33" x14ac:dyDescent="0.25">
      <c r="A56" s="17">
        <v>62</v>
      </c>
      <c r="B56" s="26">
        <v>1.4467592592592587E-3</v>
      </c>
      <c r="C56" s="26">
        <v>2.9629629629629624E-3</v>
      </c>
      <c r="D56" s="26">
        <v>2.8935185185185175E-3</v>
      </c>
      <c r="E56" s="26">
        <v>4.5601851851851845E-3</v>
      </c>
      <c r="F56" s="26">
        <v>2.1874999999999985E-3</v>
      </c>
      <c r="G56" s="26">
        <v>4.4907407407407361E-3</v>
      </c>
      <c r="H56" s="26">
        <v>4.3750000000000004E-3</v>
      </c>
      <c r="I56" s="26">
        <v>6.8981481481481498E-3</v>
      </c>
      <c r="J56" s="26">
        <v>3.7384259259259298E-3</v>
      </c>
      <c r="K56" s="26">
        <v>7.6041666666666688E-3</v>
      </c>
      <c r="L56" s="26">
        <v>7.4189814814814847E-3</v>
      </c>
      <c r="M56" s="26">
        <v>1.1643518518518518E-2</v>
      </c>
      <c r="N56" s="26">
        <v>4.5486111111111144E-3</v>
      </c>
      <c r="O56" s="26">
        <v>9.201388888888884E-3</v>
      </c>
      <c r="P56" s="26">
        <v>8.9814814814814792E-3</v>
      </c>
      <c r="Q56" s="26">
        <v>1.4074074074074072E-2</v>
      </c>
      <c r="R56" s="26">
        <v>7.9282407407407357E-3</v>
      </c>
      <c r="S56" s="26">
        <v>1.5821759259259258E-2</v>
      </c>
      <c r="T56" s="26">
        <v>1.545138888888889E-2</v>
      </c>
      <c r="U56" s="26">
        <v>2.4085648148148148E-2</v>
      </c>
      <c r="V56" s="26">
        <v>1.7905092592592597E-2</v>
      </c>
      <c r="W56" s="26">
        <v>3.4386574074074083E-2</v>
      </c>
      <c r="X56" s="26">
        <v>3.3611111111111119E-2</v>
      </c>
      <c r="Y56" s="26">
        <v>5.1678240740740733E-2</v>
      </c>
      <c r="Z56" s="27">
        <v>34.090000000000003</v>
      </c>
      <c r="AA56" s="27">
        <v>52.680000000000007</v>
      </c>
      <c r="AB56" s="27">
        <v>51.860000000000014</v>
      </c>
      <c r="AC56" s="27">
        <v>69.52000000000001</v>
      </c>
      <c r="AD56" s="27">
        <v>67.12</v>
      </c>
      <c r="AE56" s="27">
        <v>91.329999999999984</v>
      </c>
      <c r="AF56" s="27">
        <v>90.25</v>
      </c>
      <c r="AG56" s="27">
        <v>114</v>
      </c>
    </row>
    <row r="57" spans="1:33" x14ac:dyDescent="0.25">
      <c r="A57" s="17">
        <v>63</v>
      </c>
      <c r="B57" s="26">
        <v>1.5509259259259243E-3</v>
      </c>
      <c r="C57" s="26">
        <v>3.1249999999999993E-3</v>
      </c>
      <c r="D57" s="26">
        <v>3.0092592592592567E-3</v>
      </c>
      <c r="E57" s="26">
        <v>4.733796296296295E-3</v>
      </c>
      <c r="F57" s="26">
        <v>2.361111111111109E-3</v>
      </c>
      <c r="G57" s="26">
        <v>4.7222222222222214E-3</v>
      </c>
      <c r="H57" s="26">
        <v>4.5601851851851845E-3</v>
      </c>
      <c r="I57" s="26">
        <v>7.1527777777777753E-3</v>
      </c>
      <c r="J57" s="26">
        <v>4.0277777777777829E-3</v>
      </c>
      <c r="K57" s="26">
        <v>8.0092592592592646E-3</v>
      </c>
      <c r="L57" s="26">
        <v>7.731481481481485E-3</v>
      </c>
      <c r="M57" s="26">
        <v>1.2094907407407408E-2</v>
      </c>
      <c r="N57" s="26">
        <v>4.8958333333333354E-3</v>
      </c>
      <c r="O57" s="26">
        <v>9.6875000000000017E-3</v>
      </c>
      <c r="P57" s="26">
        <v>9.3518518518518473E-3</v>
      </c>
      <c r="Q57" s="26">
        <v>1.4606481481481484E-2</v>
      </c>
      <c r="R57" s="26">
        <v>8.5416666666666696E-3</v>
      </c>
      <c r="S57" s="26">
        <v>1.6678240740740743E-2</v>
      </c>
      <c r="T57" s="26">
        <v>1.6111111111111118E-2</v>
      </c>
      <c r="U57" s="26">
        <v>2.5023148148148142E-2</v>
      </c>
      <c r="V57" s="26">
        <v>1.9282407407407415E-2</v>
      </c>
      <c r="W57" s="26">
        <v>3.6319444444444432E-2</v>
      </c>
      <c r="X57" s="26">
        <v>3.512731481481482E-2</v>
      </c>
      <c r="Y57" s="26">
        <v>5.3796296296296287E-2</v>
      </c>
      <c r="Z57" s="27">
        <v>36.390000000000015</v>
      </c>
      <c r="AA57" s="27">
        <v>55.19</v>
      </c>
      <c r="AB57" s="27">
        <v>53.960000000000008</v>
      </c>
      <c r="AC57" s="27">
        <v>71.830000000000013</v>
      </c>
      <c r="AD57" s="27">
        <v>71.589999999999975</v>
      </c>
      <c r="AE57" s="27">
        <v>95.980000000000018</v>
      </c>
      <c r="AF57" s="27">
        <v>94.360000000000014</v>
      </c>
      <c r="AG57" s="27">
        <v>118.28999999999999</v>
      </c>
    </row>
    <row r="58" spans="1:33" x14ac:dyDescent="0.25">
      <c r="A58" s="17">
        <v>64</v>
      </c>
      <c r="B58" s="26">
        <v>1.666666666666667E-3</v>
      </c>
      <c r="C58" s="26">
        <v>3.2986111111111098E-3</v>
      </c>
      <c r="D58" s="26">
        <v>3.1365740740740729E-3</v>
      </c>
      <c r="E58" s="26">
        <v>4.9305555555555526E-3</v>
      </c>
      <c r="F58" s="26">
        <v>2.5231481481481459E-3</v>
      </c>
      <c r="G58" s="26">
        <v>4.9884259259259274E-3</v>
      </c>
      <c r="H58" s="26">
        <v>4.7453703703703685E-3</v>
      </c>
      <c r="I58" s="26">
        <v>7.4421296296296284E-3</v>
      </c>
      <c r="J58" s="26">
        <v>4.317129629629636E-3</v>
      </c>
      <c r="K58" s="26">
        <v>8.4490740740740741E-3</v>
      </c>
      <c r="L58" s="26">
        <v>8.0439814814814853E-3</v>
      </c>
      <c r="M58" s="26">
        <v>1.2581018518518519E-2</v>
      </c>
      <c r="N58" s="26">
        <v>5.2430555555555564E-3</v>
      </c>
      <c r="O58" s="26">
        <v>1.023148148148148E-2</v>
      </c>
      <c r="P58" s="26">
        <v>9.7453703703703765E-3</v>
      </c>
      <c r="Q58" s="26">
        <v>1.5208333333333338E-2</v>
      </c>
      <c r="R58" s="26">
        <v>9.1666666666666702E-3</v>
      </c>
      <c r="S58" s="26">
        <v>1.7627314814814818E-2</v>
      </c>
      <c r="T58" s="26">
        <v>1.6793981481481479E-2</v>
      </c>
      <c r="U58" s="26">
        <v>2.6064814814814818E-2</v>
      </c>
      <c r="V58" s="26">
        <v>2.0717592592592593E-2</v>
      </c>
      <c r="W58" s="26">
        <v>3.8437499999999986E-2</v>
      </c>
      <c r="X58" s="26">
        <v>3.6701388888888881E-2</v>
      </c>
      <c r="Y58" s="26">
        <v>5.6111111111111112E-2</v>
      </c>
      <c r="Z58" s="27">
        <v>38.730000000000018</v>
      </c>
      <c r="AA58" s="27">
        <v>57.849999999999994</v>
      </c>
      <c r="AB58" s="27">
        <v>56.110000000000014</v>
      </c>
      <c r="AC58" s="27">
        <v>74.28</v>
      </c>
      <c r="AD58" s="27">
        <v>76.149999999999977</v>
      </c>
      <c r="AE58" s="27">
        <v>100.85000000000002</v>
      </c>
      <c r="AF58" s="27">
        <v>98.550000000000011</v>
      </c>
      <c r="AG58" s="27">
        <v>122.80000000000001</v>
      </c>
    </row>
    <row r="59" spans="1:33" x14ac:dyDescent="0.25">
      <c r="A59" s="17">
        <v>65</v>
      </c>
      <c r="B59" s="26">
        <v>1.7824074074074062E-3</v>
      </c>
      <c r="C59" s="26">
        <v>3.4837962962962939E-3</v>
      </c>
      <c r="D59" s="26">
        <v>3.2638888888888891E-3</v>
      </c>
      <c r="E59" s="26">
        <v>5.1388888888888873E-3</v>
      </c>
      <c r="F59" s="26">
        <v>2.7083333333333334E-3</v>
      </c>
      <c r="G59" s="26">
        <v>5.2777777777777736E-3</v>
      </c>
      <c r="H59" s="26">
        <v>4.9421296296296262E-3</v>
      </c>
      <c r="I59" s="26">
        <v>7.7546296296296287E-3</v>
      </c>
      <c r="J59" s="26">
        <v>4.6180555555555558E-3</v>
      </c>
      <c r="K59" s="26">
        <v>8.9467592592592654E-3</v>
      </c>
      <c r="L59" s="26">
        <v>8.3796296296296327E-3</v>
      </c>
      <c r="M59" s="26">
        <v>1.3125000000000005E-2</v>
      </c>
      <c r="N59" s="26">
        <v>5.6134259259259245E-3</v>
      </c>
      <c r="O59" s="26">
        <v>1.0833333333333334E-2</v>
      </c>
      <c r="P59" s="26">
        <v>1.0150462962962958E-2</v>
      </c>
      <c r="Q59" s="26">
        <v>1.5856481481481485E-2</v>
      </c>
      <c r="R59" s="26">
        <v>9.8148148148148179E-3</v>
      </c>
      <c r="S59" s="26">
        <v>1.8657407407407414E-2</v>
      </c>
      <c r="T59" s="26">
        <v>1.7511574074074068E-2</v>
      </c>
      <c r="U59" s="26">
        <v>2.719907407407407E-2</v>
      </c>
      <c r="V59" s="26">
        <v>2.2222222222222227E-2</v>
      </c>
      <c r="W59" s="26">
        <v>4.0763888888888877E-2</v>
      </c>
      <c r="X59" s="26">
        <v>3.8356481481481491E-2</v>
      </c>
      <c r="Y59" s="26">
        <v>5.8657407407407408E-2</v>
      </c>
      <c r="Z59" s="27">
        <v>41.140000000000015</v>
      </c>
      <c r="AA59" s="27">
        <v>60.680000000000007</v>
      </c>
      <c r="AB59" s="27">
        <v>58.31</v>
      </c>
      <c r="AC59" s="27">
        <v>76.88</v>
      </c>
      <c r="AD59" s="27">
        <v>80.819999999999993</v>
      </c>
      <c r="AE59" s="27">
        <v>105.94</v>
      </c>
      <c r="AF59" s="27">
        <v>102.83999999999997</v>
      </c>
      <c r="AG59" s="27">
        <v>127.53</v>
      </c>
    </row>
    <row r="60" spans="1:33" x14ac:dyDescent="0.25">
      <c r="A60" s="17">
        <v>66</v>
      </c>
      <c r="B60" s="26">
        <v>1.9097222222222224E-3</v>
      </c>
      <c r="C60" s="26">
        <v>3.7037037037037021E-3</v>
      </c>
      <c r="D60" s="26">
        <v>3.4027777777777754E-3</v>
      </c>
      <c r="E60" s="26">
        <v>5.3703703703703691E-3</v>
      </c>
      <c r="F60" s="26">
        <v>2.8935185185185175E-3</v>
      </c>
      <c r="G60" s="26">
        <v>5.5902777777777739E-3</v>
      </c>
      <c r="H60" s="26">
        <v>5.1504629629629643E-3</v>
      </c>
      <c r="I60" s="26">
        <v>8.1018518518518497E-3</v>
      </c>
      <c r="J60" s="26">
        <v>4.9421296296296297E-3</v>
      </c>
      <c r="K60" s="26">
        <v>9.490740740740744E-3</v>
      </c>
      <c r="L60" s="26">
        <v>8.7268518518518537E-3</v>
      </c>
      <c r="M60" s="26">
        <v>1.3715277777777778E-2</v>
      </c>
      <c r="N60" s="26">
        <v>6.0069444444444467E-3</v>
      </c>
      <c r="O60" s="26">
        <v>1.1481481481481481E-2</v>
      </c>
      <c r="P60" s="26">
        <v>1.0578703703703701E-2</v>
      </c>
      <c r="Q60" s="26">
        <v>1.6574074074074074E-2</v>
      </c>
      <c r="R60" s="26">
        <v>1.0497685185185179E-2</v>
      </c>
      <c r="S60" s="26">
        <v>1.9803240740740746E-2</v>
      </c>
      <c r="T60" s="26">
        <v>1.8252314814814818E-2</v>
      </c>
      <c r="U60" s="26">
        <v>2.8449074074074071E-2</v>
      </c>
      <c r="V60" s="26">
        <v>2.3796296296296288E-2</v>
      </c>
      <c r="W60" s="26">
        <v>4.3310185185185174E-2</v>
      </c>
      <c r="X60" s="26">
        <v>4.0069444444444435E-2</v>
      </c>
      <c r="Y60" s="26">
        <v>6.144675925925927E-2</v>
      </c>
      <c r="Z60" s="27">
        <v>43.59</v>
      </c>
      <c r="AA60" s="27">
        <v>63.66</v>
      </c>
      <c r="AB60" s="27">
        <v>60.550000000000011</v>
      </c>
      <c r="AC60" s="27">
        <v>79.640000000000015</v>
      </c>
      <c r="AD60" s="27">
        <v>85.589999999999975</v>
      </c>
      <c r="AE60" s="27">
        <v>111.26999999999998</v>
      </c>
      <c r="AF60" s="27">
        <v>107.21999999999997</v>
      </c>
      <c r="AG60" s="27">
        <v>132.47999999999999</v>
      </c>
    </row>
    <row r="61" spans="1:33" x14ac:dyDescent="0.25">
      <c r="A61" s="17">
        <v>67</v>
      </c>
      <c r="B61" s="26">
        <v>2.0370370370370351E-3</v>
      </c>
      <c r="C61" s="26">
        <v>3.9236111111111104E-3</v>
      </c>
      <c r="D61" s="26">
        <v>3.5416666666666652E-3</v>
      </c>
      <c r="E61" s="26">
        <v>5.6134259259259245E-3</v>
      </c>
      <c r="F61" s="26">
        <v>3.0787037037037016E-3</v>
      </c>
      <c r="G61" s="26">
        <v>5.9375000000000018E-3</v>
      </c>
      <c r="H61" s="26">
        <v>5.3587962962962955E-3</v>
      </c>
      <c r="I61" s="26">
        <v>8.4837962962962983E-3</v>
      </c>
      <c r="J61" s="26">
        <v>5.2662037037037035E-3</v>
      </c>
      <c r="K61" s="26">
        <v>1.0081018518518524E-2</v>
      </c>
      <c r="L61" s="26">
        <v>9.0972222222222288E-3</v>
      </c>
      <c r="M61" s="26">
        <v>1.4363425925925932E-2</v>
      </c>
      <c r="N61" s="26">
        <v>6.4120370370370355E-3</v>
      </c>
      <c r="O61" s="26">
        <v>1.2199074074074071E-2</v>
      </c>
      <c r="P61" s="26">
        <v>1.1018518518518525E-2</v>
      </c>
      <c r="Q61" s="26">
        <v>1.7361111111111119E-2</v>
      </c>
      <c r="R61" s="26">
        <v>1.1203703703703702E-2</v>
      </c>
      <c r="S61" s="26">
        <v>2.1053240740740747E-2</v>
      </c>
      <c r="T61" s="26">
        <v>1.9027777777777782E-2</v>
      </c>
      <c r="U61" s="26">
        <v>2.9814814814814822E-2</v>
      </c>
      <c r="V61" s="26">
        <v>2.5428240740740737E-2</v>
      </c>
      <c r="W61" s="26">
        <v>4.6099537037037036E-2</v>
      </c>
      <c r="X61" s="26">
        <v>4.1863425925925929E-2</v>
      </c>
      <c r="Y61" s="26">
        <v>6.4502314814814804E-2</v>
      </c>
      <c r="Z61" s="27">
        <v>46.110000000000014</v>
      </c>
      <c r="AA61" s="27">
        <v>66.81</v>
      </c>
      <c r="AB61" s="27">
        <v>62.849999999999994</v>
      </c>
      <c r="AC61" s="27">
        <v>82.539999999999992</v>
      </c>
      <c r="AD61" s="27">
        <v>90.449999999999989</v>
      </c>
      <c r="AE61" s="27">
        <v>116.82</v>
      </c>
      <c r="AF61" s="27">
        <v>111.69</v>
      </c>
      <c r="AG61" s="27">
        <v>137.65</v>
      </c>
    </row>
    <row r="62" spans="1:33" x14ac:dyDescent="0.25">
      <c r="A62" s="17">
        <v>68</v>
      </c>
      <c r="B62" s="26">
        <v>2.1643518518518513E-3</v>
      </c>
      <c r="C62" s="26">
        <v>4.1782407407407393E-3</v>
      </c>
      <c r="D62" s="26">
        <v>3.680555555555555E-3</v>
      </c>
      <c r="E62" s="26">
        <v>5.8912037037037041E-3</v>
      </c>
      <c r="F62" s="26">
        <v>3.2870370370370362E-3</v>
      </c>
      <c r="G62" s="26">
        <v>6.3194444444444435E-3</v>
      </c>
      <c r="H62" s="26">
        <v>5.5787037037037003E-3</v>
      </c>
      <c r="I62" s="26">
        <v>8.9120370370370343E-3</v>
      </c>
      <c r="J62" s="26">
        <v>5.6134259259259314E-3</v>
      </c>
      <c r="K62" s="26">
        <v>1.0729166666666672E-2</v>
      </c>
      <c r="L62" s="26">
        <v>9.4675925925925969E-3</v>
      </c>
      <c r="M62" s="26">
        <v>1.5069444444444448E-2</v>
      </c>
      <c r="N62" s="26">
        <v>6.8287037037037049E-3</v>
      </c>
      <c r="O62" s="26">
        <v>1.2986111111111115E-2</v>
      </c>
      <c r="P62" s="26">
        <v>1.1469907407407415E-2</v>
      </c>
      <c r="Q62" s="26">
        <v>1.8229166666666671E-2</v>
      </c>
      <c r="R62" s="26">
        <v>1.1944444444444438E-2</v>
      </c>
      <c r="S62" s="26">
        <v>2.2418981481481484E-2</v>
      </c>
      <c r="T62" s="26">
        <v>1.983796296296296E-2</v>
      </c>
      <c r="U62" s="26">
        <v>3.1307870370370375E-2</v>
      </c>
      <c r="V62" s="26">
        <v>2.7141203703703709E-2</v>
      </c>
      <c r="W62" s="26">
        <v>4.9155092592592597E-2</v>
      </c>
      <c r="X62" s="26">
        <v>4.3738425925925917E-2</v>
      </c>
      <c r="Y62" s="26">
        <v>6.7847222222222198E-2</v>
      </c>
      <c r="Z62" s="27">
        <v>48.670000000000016</v>
      </c>
      <c r="AA62" s="27">
        <v>70.12</v>
      </c>
      <c r="AB62" s="27">
        <v>65.19</v>
      </c>
      <c r="AC62" s="27">
        <v>85.610000000000014</v>
      </c>
      <c r="AD62" s="27">
        <v>95.399999999999977</v>
      </c>
      <c r="AE62" s="27">
        <v>122.6</v>
      </c>
      <c r="AF62" s="27">
        <v>116.25</v>
      </c>
      <c r="AG62" s="27">
        <v>143.05000000000001</v>
      </c>
    </row>
    <row r="63" spans="1:33" x14ac:dyDescent="0.25">
      <c r="A63" s="17">
        <v>69</v>
      </c>
      <c r="B63" s="26">
        <v>2.3032407407407411E-3</v>
      </c>
      <c r="C63" s="26">
        <v>4.3402777777777762E-3</v>
      </c>
      <c r="D63" s="26">
        <v>3.8310185185185183E-3</v>
      </c>
      <c r="E63" s="26">
        <v>6.0648148148148145E-3</v>
      </c>
      <c r="F63" s="26">
        <v>3.4953703703703674E-3</v>
      </c>
      <c r="G63" s="26">
        <v>6.5740740740740759E-3</v>
      </c>
      <c r="H63" s="26">
        <v>5.8101851851851856E-3</v>
      </c>
      <c r="I63" s="26">
        <v>9.1782407407407403E-3</v>
      </c>
      <c r="J63" s="26">
        <v>5.972222222222226E-3</v>
      </c>
      <c r="K63" s="26">
        <v>1.1145833333333334E-2</v>
      </c>
      <c r="L63" s="26">
        <v>9.8611111111111122E-3</v>
      </c>
      <c r="M63" s="26">
        <v>1.5532407407407411E-2</v>
      </c>
      <c r="N63" s="26">
        <v>7.2569444444444478E-3</v>
      </c>
      <c r="O63" s="26">
        <v>1.3495370370370366E-2</v>
      </c>
      <c r="P63" s="26">
        <v>1.1944444444444452E-2</v>
      </c>
      <c r="Q63" s="26">
        <v>1.8784722222222217E-2</v>
      </c>
      <c r="R63" s="26">
        <v>1.2708333333333335E-2</v>
      </c>
      <c r="S63" s="26">
        <v>2.3310185185185184E-2</v>
      </c>
      <c r="T63" s="26">
        <v>2.0682870370370365E-2</v>
      </c>
      <c r="U63" s="26">
        <v>3.2291666666666663E-2</v>
      </c>
      <c r="V63" s="26">
        <v>2.8923611111111108E-2</v>
      </c>
      <c r="W63" s="26">
        <v>5.1226851851851857E-2</v>
      </c>
      <c r="X63" s="26">
        <v>4.5694444444444454E-2</v>
      </c>
      <c r="Y63" s="26">
        <v>7.0127314814814795E-2</v>
      </c>
      <c r="Z63" s="27">
        <v>51.289999999999992</v>
      </c>
      <c r="AA63" s="27">
        <v>72.510000000000019</v>
      </c>
      <c r="AB63" s="27">
        <v>67.59</v>
      </c>
      <c r="AC63" s="27">
        <v>87.800000000000011</v>
      </c>
      <c r="AD63" s="27">
        <v>100.44999999999999</v>
      </c>
      <c r="AE63" s="27">
        <v>127.21000000000001</v>
      </c>
      <c r="AF63" s="27">
        <v>120.88999999999999</v>
      </c>
      <c r="AG63" s="27">
        <v>147.28</v>
      </c>
    </row>
    <row r="64" spans="1:33" x14ac:dyDescent="0.25">
      <c r="A64" s="17">
        <v>70</v>
      </c>
      <c r="B64" s="26">
        <v>2.4421296296296274E-3</v>
      </c>
      <c r="C64" s="26">
        <v>4.5023148148148132E-3</v>
      </c>
      <c r="D64" s="26">
        <v>3.9930555555555552E-3</v>
      </c>
      <c r="E64" s="26">
        <v>6.2499999999999986E-3</v>
      </c>
      <c r="F64" s="26">
        <v>3.7152777777777757E-3</v>
      </c>
      <c r="G64" s="26">
        <v>6.8171296296296278E-3</v>
      </c>
      <c r="H64" s="26">
        <v>6.0416666666666639E-3</v>
      </c>
      <c r="I64" s="26">
        <v>9.4444444444444463E-3</v>
      </c>
      <c r="J64" s="26">
        <v>6.3425925925925941E-3</v>
      </c>
      <c r="K64" s="26">
        <v>1.1562500000000003E-2</v>
      </c>
      <c r="L64" s="26">
        <v>1.0266203703703708E-2</v>
      </c>
      <c r="M64" s="26">
        <v>1.5983796296296301E-2</v>
      </c>
      <c r="N64" s="26">
        <v>7.7083333333333309E-3</v>
      </c>
      <c r="O64" s="26">
        <v>1.4004629629629631E-2</v>
      </c>
      <c r="P64" s="26">
        <v>1.2442129629629636E-2</v>
      </c>
      <c r="Q64" s="26">
        <v>1.9340277777777776E-2</v>
      </c>
      <c r="R64" s="26">
        <v>1.3506944444444446E-2</v>
      </c>
      <c r="S64" s="26">
        <v>2.4212962962962964E-2</v>
      </c>
      <c r="T64" s="26">
        <v>2.1550925925925932E-2</v>
      </c>
      <c r="U64" s="26">
        <v>3.3275462962962965E-2</v>
      </c>
      <c r="V64" s="26">
        <v>3.0787037037037029E-2</v>
      </c>
      <c r="W64" s="26">
        <v>5.3321759259259249E-2</v>
      </c>
      <c r="X64" s="26">
        <v>4.7731481481481486E-2</v>
      </c>
      <c r="Y64" s="26">
        <v>7.2418981481481487E-2</v>
      </c>
      <c r="Z64" s="27">
        <v>53.960000000000008</v>
      </c>
      <c r="AA64" s="27">
        <v>74.88</v>
      </c>
      <c r="AB64" s="27">
        <v>70.03</v>
      </c>
      <c r="AC64" s="27">
        <v>89.97</v>
      </c>
      <c r="AD64" s="27">
        <v>105.60000000000002</v>
      </c>
      <c r="AE64" s="27">
        <v>131.82</v>
      </c>
      <c r="AF64" s="27">
        <v>125.63</v>
      </c>
      <c r="AG64" s="27">
        <v>151.52000000000001</v>
      </c>
    </row>
    <row r="65" spans="1:33" x14ac:dyDescent="0.25">
      <c r="A65" s="17">
        <v>71</v>
      </c>
      <c r="B65" s="26">
        <v>2.5925925925925908E-3</v>
      </c>
      <c r="C65" s="26">
        <v>4.6643518518518501E-3</v>
      </c>
      <c r="D65" s="26">
        <v>4.1550925925925922E-3</v>
      </c>
      <c r="E65" s="26">
        <v>6.4236111111111091E-3</v>
      </c>
      <c r="F65" s="26">
        <v>3.9351851851851839E-3</v>
      </c>
      <c r="G65" s="26">
        <v>7.0717592592592603E-3</v>
      </c>
      <c r="H65" s="26">
        <v>6.2847222222222228E-3</v>
      </c>
      <c r="I65" s="26">
        <v>9.7222222222222189E-3</v>
      </c>
      <c r="J65" s="26">
        <v>6.7245370370370428E-3</v>
      </c>
      <c r="K65" s="26">
        <v>1.200231481481482E-2</v>
      </c>
      <c r="L65" s="26">
        <v>1.0694444444444451E-2</v>
      </c>
      <c r="M65" s="26">
        <v>1.6469907407407412E-2</v>
      </c>
      <c r="N65" s="26">
        <v>8.1828703703703681E-3</v>
      </c>
      <c r="O65" s="26">
        <v>1.4537037037037043E-2</v>
      </c>
      <c r="P65" s="26">
        <v>1.2962962962962968E-2</v>
      </c>
      <c r="Q65" s="26">
        <v>1.9918981481481482E-2</v>
      </c>
      <c r="R65" s="26">
        <v>1.4340277777777771E-2</v>
      </c>
      <c r="S65" s="26">
        <v>2.5150462962962958E-2</v>
      </c>
      <c r="T65" s="26">
        <v>2.2465277777777778E-2</v>
      </c>
      <c r="U65" s="26">
        <v>3.4305555555555561E-2</v>
      </c>
      <c r="V65" s="26">
        <v>3.2731481481481473E-2</v>
      </c>
      <c r="W65" s="26">
        <v>5.5520833333333325E-2</v>
      </c>
      <c r="X65" s="26">
        <v>4.9861111111111106E-2</v>
      </c>
      <c r="Y65" s="26">
        <v>7.4826388888888901E-2</v>
      </c>
      <c r="Z65" s="27">
        <v>56.680000000000007</v>
      </c>
      <c r="AA65" s="27">
        <v>77.31</v>
      </c>
      <c r="AB65" s="27">
        <v>72.53</v>
      </c>
      <c r="AC65" s="27">
        <v>92.19</v>
      </c>
      <c r="AD65" s="27">
        <v>110.82999999999998</v>
      </c>
      <c r="AE65" s="27">
        <v>136.51</v>
      </c>
      <c r="AF65" s="27">
        <v>130.44999999999999</v>
      </c>
      <c r="AG65" s="27">
        <v>155.84</v>
      </c>
    </row>
    <row r="66" spans="1:33" x14ac:dyDescent="0.25">
      <c r="A66" s="17">
        <v>72</v>
      </c>
      <c r="B66" s="26">
        <v>2.7430555555555541E-3</v>
      </c>
      <c r="C66" s="26">
        <v>4.8379629629629606E-3</v>
      </c>
      <c r="D66" s="26">
        <v>4.3171296296296291E-3</v>
      </c>
      <c r="E66" s="26">
        <v>6.6203703703703702E-3</v>
      </c>
      <c r="F66" s="26">
        <v>4.1666666666666623E-3</v>
      </c>
      <c r="G66" s="26">
        <v>7.3263888888888858E-3</v>
      </c>
      <c r="H66" s="26">
        <v>6.5509259259259218E-3</v>
      </c>
      <c r="I66" s="26">
        <v>1.0011574074074072E-2</v>
      </c>
      <c r="J66" s="26">
        <v>7.1296296296296316E-3</v>
      </c>
      <c r="K66" s="26">
        <v>1.245370370370371E-2</v>
      </c>
      <c r="L66" s="26">
        <v>1.113425925925926E-2</v>
      </c>
      <c r="M66" s="26">
        <v>1.6956018518518516E-2</v>
      </c>
      <c r="N66" s="26">
        <v>8.6689814814814858E-3</v>
      </c>
      <c r="O66" s="26">
        <v>1.5092592592592588E-2</v>
      </c>
      <c r="P66" s="26">
        <v>1.3495370370370366E-2</v>
      </c>
      <c r="Q66" s="26">
        <v>2.0532407407407402E-2</v>
      </c>
      <c r="R66" s="26">
        <v>1.5208333333333338E-2</v>
      </c>
      <c r="S66" s="26">
        <v>2.6122685185185179E-2</v>
      </c>
      <c r="T66" s="26">
        <v>2.3414351851851853E-2</v>
      </c>
      <c r="U66" s="26">
        <v>3.5381944444444452E-2</v>
      </c>
      <c r="V66" s="26">
        <v>3.4768518518518504E-2</v>
      </c>
      <c r="W66" s="26">
        <v>5.7812500000000017E-2</v>
      </c>
      <c r="X66" s="26">
        <v>5.2094907407407409E-2</v>
      </c>
      <c r="Y66" s="26">
        <v>7.7337962962962942E-2</v>
      </c>
      <c r="Z66" s="27">
        <v>59.460000000000008</v>
      </c>
      <c r="AA66" s="27">
        <v>79.78</v>
      </c>
      <c r="AB66" s="27">
        <v>75.069999999999993</v>
      </c>
      <c r="AC66" s="27">
        <v>94.45</v>
      </c>
      <c r="AD66" s="27">
        <v>116.16</v>
      </c>
      <c r="AE66" s="27">
        <v>141.30000000000001</v>
      </c>
      <c r="AF66" s="27">
        <v>135.35</v>
      </c>
      <c r="AG66" s="27">
        <v>160.22999999999999</v>
      </c>
    </row>
    <row r="67" spans="1:33" x14ac:dyDescent="0.25">
      <c r="A67" s="17">
        <v>73</v>
      </c>
      <c r="B67" s="26">
        <v>2.9050925925925911E-3</v>
      </c>
      <c r="C67" s="26">
        <v>5.0231481481481481E-3</v>
      </c>
      <c r="D67" s="26">
        <v>4.4907407407407396E-3</v>
      </c>
      <c r="E67" s="26">
        <v>6.8171296296296278E-3</v>
      </c>
      <c r="F67" s="26">
        <v>4.4097222222222211E-3</v>
      </c>
      <c r="G67" s="26">
        <v>7.6041666666666653E-3</v>
      </c>
      <c r="H67" s="26">
        <v>6.8171296296296278E-3</v>
      </c>
      <c r="I67" s="26">
        <v>1.0312499999999999E-2</v>
      </c>
      <c r="J67" s="26">
        <v>7.5462962962963009E-3</v>
      </c>
      <c r="K67" s="26">
        <v>1.2928240740740747E-2</v>
      </c>
      <c r="L67" s="26">
        <v>1.158564814814815E-2</v>
      </c>
      <c r="M67" s="26">
        <v>1.7476851851851861E-2</v>
      </c>
      <c r="N67" s="26">
        <v>9.1782407407407368E-3</v>
      </c>
      <c r="O67" s="26">
        <v>1.5659722222222228E-2</v>
      </c>
      <c r="P67" s="26">
        <v>1.4050925925925925E-2</v>
      </c>
      <c r="Q67" s="26">
        <v>2.1157407407407403E-2</v>
      </c>
      <c r="R67" s="26">
        <v>1.6111111111111118E-2</v>
      </c>
      <c r="S67" s="26">
        <v>2.7141203703703709E-2</v>
      </c>
      <c r="T67" s="26">
        <v>2.4409722222222222E-2</v>
      </c>
      <c r="U67" s="26">
        <v>3.6493055555555542E-2</v>
      </c>
      <c r="V67" s="26">
        <v>3.6898148148148152E-2</v>
      </c>
      <c r="W67" s="26">
        <v>6.0208333333333336E-2</v>
      </c>
      <c r="X67" s="26">
        <v>5.4421296296296301E-2</v>
      </c>
      <c r="Y67" s="26">
        <v>7.996527777777776E-2</v>
      </c>
      <c r="Z67" s="27">
        <v>62.289999999999992</v>
      </c>
      <c r="AA67" s="27">
        <v>82.300000000000011</v>
      </c>
      <c r="AB67" s="27">
        <v>77.66</v>
      </c>
      <c r="AC67" s="27">
        <v>96.75</v>
      </c>
      <c r="AD67" s="27">
        <v>121.57</v>
      </c>
      <c r="AE67" s="27">
        <v>146.16</v>
      </c>
      <c r="AF67" s="27">
        <v>140.34</v>
      </c>
      <c r="AG67" s="27">
        <v>164.71</v>
      </c>
    </row>
    <row r="68" spans="1:33" x14ac:dyDescent="0.25">
      <c r="A68" s="17">
        <v>74</v>
      </c>
      <c r="B68" s="26">
        <v>3.067129629629628E-3</v>
      </c>
      <c r="C68" s="26">
        <v>5.2083333333333322E-3</v>
      </c>
      <c r="D68" s="26">
        <v>4.6759259259259237E-3</v>
      </c>
      <c r="E68" s="26">
        <v>7.0254629629629625E-3</v>
      </c>
      <c r="F68" s="26">
        <v>4.6643518518518536E-3</v>
      </c>
      <c r="G68" s="26">
        <v>7.8935185185185185E-3</v>
      </c>
      <c r="H68" s="26">
        <v>7.0949074074074074E-3</v>
      </c>
      <c r="I68" s="26">
        <v>1.0624999999999999E-2</v>
      </c>
      <c r="J68" s="26">
        <v>7.9861111111111174E-3</v>
      </c>
      <c r="K68" s="26">
        <v>1.3414351851851858E-2</v>
      </c>
      <c r="L68" s="26">
        <v>1.2071759259259261E-2</v>
      </c>
      <c r="M68" s="26">
        <v>1.800925925925926E-2</v>
      </c>
      <c r="N68" s="26">
        <v>9.7106481481481488E-3</v>
      </c>
      <c r="O68" s="26">
        <v>1.6261574074074081E-2</v>
      </c>
      <c r="P68" s="26">
        <v>1.4641203703703698E-2</v>
      </c>
      <c r="Q68" s="26">
        <v>2.1817129629629631E-2</v>
      </c>
      <c r="R68" s="26">
        <v>1.7048611111111112E-2</v>
      </c>
      <c r="S68" s="26">
        <v>2.8206018518518519E-2</v>
      </c>
      <c r="T68" s="26">
        <v>2.5439814814814818E-2</v>
      </c>
      <c r="U68" s="26">
        <v>3.7650462962962955E-2</v>
      </c>
      <c r="V68" s="26">
        <v>3.9120370370370361E-2</v>
      </c>
      <c r="W68" s="26">
        <v>6.2719907407407433E-2</v>
      </c>
      <c r="X68" s="26">
        <v>5.6863425925925942E-2</v>
      </c>
      <c r="Y68" s="26">
        <v>8.2719907407407395E-2</v>
      </c>
      <c r="Z68" s="27">
        <v>65.180000000000007</v>
      </c>
      <c r="AA68" s="27">
        <v>84.87</v>
      </c>
      <c r="AB68" s="27">
        <v>80.300000000000011</v>
      </c>
      <c r="AC68" s="27">
        <v>99.100000000000009</v>
      </c>
      <c r="AD68" s="27">
        <v>127.07999999999998</v>
      </c>
      <c r="AE68" s="27">
        <v>151.10999999999999</v>
      </c>
      <c r="AF68" s="27">
        <v>145.41999999999999</v>
      </c>
      <c r="AG68" s="27">
        <v>169.26</v>
      </c>
    </row>
    <row r="69" spans="1:33" x14ac:dyDescent="0.25">
      <c r="A69" s="17">
        <v>75</v>
      </c>
      <c r="B69" s="26">
        <v>3.2407407407407385E-3</v>
      </c>
      <c r="C69" s="26">
        <v>5.4050925925925898E-3</v>
      </c>
      <c r="D69" s="26">
        <v>4.8726851851851848E-3</v>
      </c>
      <c r="E69" s="26">
        <v>7.2337962962962937E-3</v>
      </c>
      <c r="F69" s="26">
        <v>4.9305555555555526E-3</v>
      </c>
      <c r="G69" s="26">
        <v>8.1828703703703716E-3</v>
      </c>
      <c r="H69" s="26">
        <v>7.372685185185187E-3</v>
      </c>
      <c r="I69" s="26">
        <v>1.0949074074074073E-2</v>
      </c>
      <c r="J69" s="26">
        <v>8.4375000000000006E-3</v>
      </c>
      <c r="K69" s="26">
        <v>1.3923611111111116E-2</v>
      </c>
      <c r="L69" s="26">
        <v>1.2557870370370372E-2</v>
      </c>
      <c r="M69" s="26">
        <v>1.8576388888888885E-2</v>
      </c>
      <c r="N69" s="26">
        <v>1.0266203703703708E-2</v>
      </c>
      <c r="O69" s="26">
        <v>1.6886574074074082E-2</v>
      </c>
      <c r="P69" s="26">
        <v>1.5243055555555551E-2</v>
      </c>
      <c r="Q69" s="26">
        <v>2.2488425925925926E-2</v>
      </c>
      <c r="R69" s="26">
        <v>1.8032407407407414E-2</v>
      </c>
      <c r="S69" s="26">
        <v>2.9317129629629624E-2</v>
      </c>
      <c r="T69" s="26">
        <v>2.6516203703703708E-2</v>
      </c>
      <c r="U69" s="26">
        <v>3.8865740740740728E-2</v>
      </c>
      <c r="V69" s="26">
        <v>4.1458333333333319E-2</v>
      </c>
      <c r="W69" s="26">
        <v>6.5347222222222195E-2</v>
      </c>
      <c r="X69" s="26">
        <v>5.9421296296296305E-2</v>
      </c>
      <c r="Y69" s="26">
        <v>8.5590277777777751E-2</v>
      </c>
      <c r="Z69" s="27">
        <v>68.110000000000014</v>
      </c>
      <c r="AA69" s="27">
        <v>87.480000000000018</v>
      </c>
      <c r="AB69" s="27">
        <v>82.990000000000009</v>
      </c>
      <c r="AC69" s="27">
        <v>101.5</v>
      </c>
      <c r="AD69" s="27">
        <v>132.68</v>
      </c>
      <c r="AE69" s="27">
        <v>156.13999999999999</v>
      </c>
      <c r="AF69" s="27">
        <v>150.57999999999998</v>
      </c>
      <c r="AG69" s="27">
        <v>173.9</v>
      </c>
    </row>
    <row r="70" spans="1:33" x14ac:dyDescent="0.25">
      <c r="A70" s="17">
        <v>76</v>
      </c>
      <c r="B70" s="26">
        <v>3.425925925925926E-3</v>
      </c>
      <c r="C70" s="26">
        <v>5.6018518518518509E-3</v>
      </c>
      <c r="D70" s="26">
        <v>5.0694444444444424E-3</v>
      </c>
      <c r="E70" s="26">
        <v>7.453703703703702E-3</v>
      </c>
      <c r="F70" s="26">
        <v>5.2083333333333322E-3</v>
      </c>
      <c r="G70" s="26">
        <v>8.4953703703703719E-3</v>
      </c>
      <c r="H70" s="26">
        <v>7.6736111111111067E-3</v>
      </c>
      <c r="I70" s="26">
        <v>1.128472222222222E-2</v>
      </c>
      <c r="J70" s="26">
        <v>8.9120370370370378E-3</v>
      </c>
      <c r="K70" s="26">
        <v>1.4456018518518521E-2</v>
      </c>
      <c r="L70" s="26">
        <v>1.3078703703703703E-2</v>
      </c>
      <c r="M70" s="26">
        <v>1.9155092592592592E-2</v>
      </c>
      <c r="N70" s="26">
        <v>1.0844907407407414E-2</v>
      </c>
      <c r="O70" s="26">
        <v>1.7534722222222229E-2</v>
      </c>
      <c r="P70" s="26">
        <v>1.5868055555555552E-2</v>
      </c>
      <c r="Q70" s="26">
        <v>2.3206018518518515E-2</v>
      </c>
      <c r="R70" s="26">
        <v>1.9062499999999996E-2</v>
      </c>
      <c r="S70" s="26">
        <v>3.0474537037037036E-2</v>
      </c>
      <c r="T70" s="26">
        <v>2.7638888888888893E-2</v>
      </c>
      <c r="U70" s="26">
        <v>4.0138888888888891E-2</v>
      </c>
      <c r="V70" s="26">
        <v>4.3900462962962961E-2</v>
      </c>
      <c r="W70" s="26">
        <v>6.8113425925925924E-2</v>
      </c>
      <c r="X70" s="26">
        <v>6.209490740740739E-2</v>
      </c>
      <c r="Y70" s="26">
        <v>8.8611111111111113E-2</v>
      </c>
      <c r="Z70" s="27">
        <v>71.110000000000014</v>
      </c>
      <c r="AA70" s="27">
        <v>90.15</v>
      </c>
      <c r="AB70" s="27">
        <v>85.730000000000018</v>
      </c>
      <c r="AC70" s="27">
        <v>103.93</v>
      </c>
      <c r="AD70" s="27">
        <v>138.35999999999999</v>
      </c>
      <c r="AE70" s="27">
        <v>161.26</v>
      </c>
      <c r="AF70" s="27">
        <v>155.82999999999998</v>
      </c>
      <c r="AG70" s="27">
        <v>178.60999999999999</v>
      </c>
    </row>
    <row r="71" spans="1:33" x14ac:dyDescent="0.25">
      <c r="A71" s="17">
        <v>77</v>
      </c>
      <c r="B71" s="26">
        <v>3.6111111111111101E-3</v>
      </c>
      <c r="C71" s="26">
        <v>5.8217592592592592E-3</v>
      </c>
      <c r="D71" s="26">
        <v>5.2662037037037035E-3</v>
      </c>
      <c r="E71" s="26">
        <v>7.6851851851851838E-3</v>
      </c>
      <c r="F71" s="26">
        <v>5.4861111111111117E-3</v>
      </c>
      <c r="G71" s="26">
        <v>8.8194444444444457E-3</v>
      </c>
      <c r="H71" s="26">
        <v>7.9976851851851806E-3</v>
      </c>
      <c r="I71" s="26">
        <v>1.1643518518518515E-2</v>
      </c>
      <c r="J71" s="26">
        <v>9.3981481481481485E-3</v>
      </c>
      <c r="K71" s="26">
        <v>1.501157407407408E-2</v>
      </c>
      <c r="L71" s="26">
        <v>1.3622685185185189E-2</v>
      </c>
      <c r="M71" s="26">
        <v>1.9768518518518526E-2</v>
      </c>
      <c r="N71" s="26">
        <v>1.1446759259259254E-2</v>
      </c>
      <c r="O71" s="26">
        <v>1.8206018518518524E-2</v>
      </c>
      <c r="P71" s="26">
        <v>1.652777777777778E-2</v>
      </c>
      <c r="Q71" s="26">
        <v>2.3946759259259265E-2</v>
      </c>
      <c r="R71" s="26">
        <v>2.0138888888888887E-2</v>
      </c>
      <c r="S71" s="26">
        <v>3.1678240740740743E-2</v>
      </c>
      <c r="T71" s="26">
        <v>2.8807870370370373E-2</v>
      </c>
      <c r="U71" s="26">
        <v>4.1458333333333347E-2</v>
      </c>
      <c r="V71" s="26">
        <v>4.6469907407407418E-2</v>
      </c>
      <c r="W71" s="26">
        <v>7.0995370370370375E-2</v>
      </c>
      <c r="X71" s="26">
        <v>6.4907407407407386E-2</v>
      </c>
      <c r="Y71" s="26">
        <v>9.1782407407407424E-2</v>
      </c>
      <c r="Z71" s="27">
        <v>74.150000000000006</v>
      </c>
      <c r="AA71" s="27">
        <v>92.87</v>
      </c>
      <c r="AB71" s="27">
        <v>88.52000000000001</v>
      </c>
      <c r="AC71" s="27">
        <v>106.42</v>
      </c>
      <c r="AD71" s="27">
        <v>144.13999999999999</v>
      </c>
      <c r="AE71" s="27">
        <v>166.46</v>
      </c>
      <c r="AF71" s="27">
        <v>161.16999999999999</v>
      </c>
      <c r="AG71" s="27">
        <v>183.4</v>
      </c>
    </row>
    <row r="72" spans="1:33" x14ac:dyDescent="0.25">
      <c r="A72" s="17">
        <v>78</v>
      </c>
      <c r="B72" s="26">
        <v>3.8078703703703677E-3</v>
      </c>
      <c r="C72" s="26">
        <v>6.0416666666666639E-3</v>
      </c>
      <c r="D72" s="26">
        <v>5.4861111111111083E-3</v>
      </c>
      <c r="E72" s="26">
        <v>7.9282407407407392E-3</v>
      </c>
      <c r="F72" s="26">
        <v>5.7870370370370385E-3</v>
      </c>
      <c r="G72" s="26">
        <v>9.1550925925925931E-3</v>
      </c>
      <c r="H72" s="26">
        <v>8.3217592592592614E-3</v>
      </c>
      <c r="I72" s="26">
        <v>1.2002314814814816E-2</v>
      </c>
      <c r="J72" s="26">
        <v>9.918981481481487E-3</v>
      </c>
      <c r="K72" s="26">
        <v>1.5590277777777779E-2</v>
      </c>
      <c r="L72" s="26">
        <v>1.4178240740740741E-2</v>
      </c>
      <c r="M72" s="26">
        <v>2.0405092592592593E-2</v>
      </c>
      <c r="N72" s="26">
        <v>1.2071759259259254E-2</v>
      </c>
      <c r="O72" s="26">
        <v>1.8923611111111113E-2</v>
      </c>
      <c r="P72" s="26">
        <v>1.7222222222222222E-2</v>
      </c>
      <c r="Q72" s="26">
        <v>2.4722222222222229E-2</v>
      </c>
      <c r="R72" s="26">
        <v>2.1250000000000005E-2</v>
      </c>
      <c r="S72" s="26">
        <v>3.2939814814814811E-2</v>
      </c>
      <c r="T72" s="26">
        <v>3.0034722222222227E-2</v>
      </c>
      <c r="U72" s="26">
        <v>4.2847222222222231E-2</v>
      </c>
      <c r="V72" s="26">
        <v>4.9166666666666664E-2</v>
      </c>
      <c r="W72" s="26">
        <v>7.403935185185187E-2</v>
      </c>
      <c r="X72" s="26">
        <v>6.7858796296296292E-2</v>
      </c>
      <c r="Y72" s="26">
        <v>9.5115740740740723E-2</v>
      </c>
      <c r="Z72" s="27">
        <v>77.260000000000019</v>
      </c>
      <c r="AA72" s="27">
        <v>95.63000000000001</v>
      </c>
      <c r="AB72" s="27">
        <v>91.360000000000014</v>
      </c>
      <c r="AC72" s="27">
        <v>108.95</v>
      </c>
      <c r="AD72" s="27">
        <v>150.01</v>
      </c>
      <c r="AE72" s="27">
        <v>171.75</v>
      </c>
      <c r="AF72" s="27">
        <v>166.59</v>
      </c>
      <c r="AG72" s="27">
        <v>188.27</v>
      </c>
    </row>
    <row r="73" spans="1:33" x14ac:dyDescent="0.25">
      <c r="A73" s="17">
        <v>79</v>
      </c>
      <c r="B73" s="26">
        <v>4.0162037037037024E-3</v>
      </c>
      <c r="C73" s="26">
        <v>6.2731481481481458E-3</v>
      </c>
      <c r="D73" s="26">
        <v>5.7060185185185165E-3</v>
      </c>
      <c r="E73" s="26">
        <v>8.1828703703703681E-3</v>
      </c>
      <c r="F73" s="26">
        <v>6.0995370370370387E-3</v>
      </c>
      <c r="G73" s="26">
        <v>9.5023148148148141E-3</v>
      </c>
      <c r="H73" s="26">
        <v>8.6574074074074088E-3</v>
      </c>
      <c r="I73" s="26">
        <v>1.2395833333333332E-2</v>
      </c>
      <c r="J73" s="26">
        <v>1.0451388888888892E-2</v>
      </c>
      <c r="K73" s="26">
        <v>1.6192129629629633E-2</v>
      </c>
      <c r="L73" s="26">
        <v>1.4768518518518521E-2</v>
      </c>
      <c r="M73" s="26">
        <v>2.1064814814814821E-2</v>
      </c>
      <c r="N73" s="26">
        <v>1.2719907407407402E-2</v>
      </c>
      <c r="O73" s="26">
        <v>1.9652777777777783E-2</v>
      </c>
      <c r="P73" s="26">
        <v>1.7939814814814811E-2</v>
      </c>
      <c r="Q73" s="26">
        <v>2.5532407407407406E-2</v>
      </c>
      <c r="R73" s="26">
        <v>2.2430555555555551E-2</v>
      </c>
      <c r="S73" s="26">
        <v>3.4259259259259267E-2</v>
      </c>
      <c r="T73" s="26">
        <v>3.1319444444444441E-2</v>
      </c>
      <c r="U73" s="26">
        <v>4.4293981481481476E-2</v>
      </c>
      <c r="V73" s="26">
        <v>5.1990740740740726E-2</v>
      </c>
      <c r="W73" s="26">
        <v>7.7233796296296314E-2</v>
      </c>
      <c r="X73" s="26">
        <v>7.0960648148148148E-2</v>
      </c>
      <c r="Y73" s="26">
        <v>9.8611111111111122E-2</v>
      </c>
      <c r="Z73" s="27">
        <v>80.420000000000016</v>
      </c>
      <c r="AA73" s="27">
        <v>98.45</v>
      </c>
      <c r="AB73" s="27">
        <v>94.25</v>
      </c>
      <c r="AC73" s="27">
        <v>111.53</v>
      </c>
      <c r="AD73" s="27">
        <v>155.96</v>
      </c>
      <c r="AE73" s="27">
        <v>177.12</v>
      </c>
      <c r="AF73" s="27">
        <v>172.09</v>
      </c>
      <c r="AG73" s="27">
        <v>193.22</v>
      </c>
    </row>
    <row r="74" spans="1:33" x14ac:dyDescent="0.25">
      <c r="A74" s="17">
        <v>80</v>
      </c>
      <c r="B74" s="26">
        <v>4.2245370370370371E-3</v>
      </c>
      <c r="C74" s="26">
        <v>6.5046296296296276E-3</v>
      </c>
      <c r="D74" s="26">
        <v>5.9374999999999983E-3</v>
      </c>
      <c r="E74" s="26">
        <v>8.4490740740740741E-3</v>
      </c>
      <c r="F74" s="26">
        <v>6.4236111111111126E-3</v>
      </c>
      <c r="G74" s="26">
        <v>9.8726851851851823E-3</v>
      </c>
      <c r="H74" s="26">
        <v>9.0162037037037034E-3</v>
      </c>
      <c r="I74" s="26">
        <v>1.2789351851851854E-2</v>
      </c>
      <c r="J74" s="26">
        <v>1.1018518518518525E-2</v>
      </c>
      <c r="K74" s="26">
        <v>1.6828703703703714E-2</v>
      </c>
      <c r="L74" s="26">
        <v>1.5381944444444448E-2</v>
      </c>
      <c r="M74" s="26">
        <v>2.1759259259259263E-2</v>
      </c>
      <c r="N74" s="26">
        <v>1.3414351851851858E-2</v>
      </c>
      <c r="O74" s="26">
        <v>2.0428240740740747E-2</v>
      </c>
      <c r="P74" s="26">
        <v>1.8680555555555561E-2</v>
      </c>
      <c r="Q74" s="26">
        <v>2.6377314814814812E-2</v>
      </c>
      <c r="R74" s="26">
        <v>2.3657407407407405E-2</v>
      </c>
      <c r="S74" s="26">
        <v>3.5648148148148151E-2</v>
      </c>
      <c r="T74" s="26">
        <v>3.2673611111111112E-2</v>
      </c>
      <c r="U74" s="26">
        <v>4.5810185185185176E-2</v>
      </c>
      <c r="V74" s="26">
        <v>5.497685185185186E-2</v>
      </c>
      <c r="W74" s="26">
        <v>8.0590277777777802E-2</v>
      </c>
      <c r="X74" s="26">
        <v>7.4236111111111086E-2</v>
      </c>
      <c r="Y74" s="26">
        <v>0.10229166666666664</v>
      </c>
      <c r="Z74" s="27">
        <v>83.63</v>
      </c>
      <c r="AA74" s="27">
        <v>101.31</v>
      </c>
      <c r="AB74" s="27">
        <v>97.2</v>
      </c>
      <c r="AC74" s="27">
        <v>114.15</v>
      </c>
      <c r="AD74" s="27">
        <v>162.01</v>
      </c>
      <c r="AE74" s="27">
        <v>182.57</v>
      </c>
      <c r="AF74" s="27">
        <v>177.68</v>
      </c>
      <c r="AG74" s="27">
        <v>198.26</v>
      </c>
    </row>
    <row r="75" spans="1:33" x14ac:dyDescent="0.25">
      <c r="A75" s="17">
        <v>81</v>
      </c>
      <c r="B75" s="26">
        <v>4.4444444444444418E-3</v>
      </c>
      <c r="C75" s="26">
        <v>6.7592592592592565E-3</v>
      </c>
      <c r="D75" s="26">
        <v>6.1805555555555537E-3</v>
      </c>
      <c r="E75" s="26">
        <v>8.7152777777777767E-3</v>
      </c>
      <c r="F75" s="26">
        <v>6.75925925925926E-3</v>
      </c>
      <c r="G75" s="26">
        <v>1.0254629629629631E-2</v>
      </c>
      <c r="H75" s="26">
        <v>9.3865740740740715E-3</v>
      </c>
      <c r="I75" s="26">
        <v>1.3206018518518516E-2</v>
      </c>
      <c r="J75" s="26">
        <v>1.1597222222222224E-2</v>
      </c>
      <c r="K75" s="26">
        <v>1.7488425925925928E-2</v>
      </c>
      <c r="L75" s="26">
        <v>1.6030092592592596E-2</v>
      </c>
      <c r="M75" s="26">
        <v>2.2476851851851852E-2</v>
      </c>
      <c r="N75" s="26">
        <v>1.4120370370370366E-2</v>
      </c>
      <c r="O75" s="26">
        <v>2.1238425925925924E-2</v>
      </c>
      <c r="P75" s="26">
        <v>1.9467592592592592E-2</v>
      </c>
      <c r="Q75" s="26">
        <v>2.7256944444444445E-2</v>
      </c>
      <c r="R75" s="26">
        <v>2.4942129629629634E-2</v>
      </c>
      <c r="S75" s="26">
        <v>3.7094907407407396E-2</v>
      </c>
      <c r="T75" s="26">
        <v>3.4074074074074062E-2</v>
      </c>
      <c r="U75" s="26">
        <v>4.7395833333333331E-2</v>
      </c>
      <c r="V75" s="26">
        <v>5.812500000000001E-2</v>
      </c>
      <c r="W75" s="26">
        <v>8.4131944444444468E-2</v>
      </c>
      <c r="X75" s="26">
        <v>7.7673611111111124E-2</v>
      </c>
      <c r="Y75" s="26">
        <v>0.10616898148148149</v>
      </c>
      <c r="Z75" s="27">
        <v>86.9</v>
      </c>
      <c r="AA75" s="27">
        <v>104.23</v>
      </c>
      <c r="AB75" s="27">
        <v>100.2</v>
      </c>
      <c r="AC75" s="27">
        <v>116.82000000000001</v>
      </c>
      <c r="AD75" s="27">
        <v>168.15</v>
      </c>
      <c r="AE75" s="27">
        <v>188.10999999999999</v>
      </c>
      <c r="AF75" s="27">
        <v>183.35999999999999</v>
      </c>
      <c r="AG75" s="27">
        <v>203.37</v>
      </c>
    </row>
    <row r="76" spans="1:33" x14ac:dyDescent="0.25">
      <c r="A76" s="17">
        <v>82</v>
      </c>
      <c r="B76" s="26">
        <v>4.6759259259259237E-3</v>
      </c>
      <c r="C76" s="26">
        <v>7.0254629629629625E-3</v>
      </c>
      <c r="D76" s="26">
        <v>6.4351851851851827E-3</v>
      </c>
      <c r="E76" s="26">
        <v>9.0046296296296298E-3</v>
      </c>
      <c r="F76" s="26">
        <v>7.1180555555555546E-3</v>
      </c>
      <c r="G76" s="26">
        <v>1.0648148148148146E-2</v>
      </c>
      <c r="H76" s="26">
        <v>9.7800925925925937E-3</v>
      </c>
      <c r="I76" s="26">
        <v>1.3645833333333333E-2</v>
      </c>
      <c r="J76" s="26">
        <v>1.2210648148148151E-2</v>
      </c>
      <c r="K76" s="26">
        <v>1.818287037037037E-2</v>
      </c>
      <c r="L76" s="26">
        <v>1.6701388888888898E-2</v>
      </c>
      <c r="M76" s="26">
        <v>2.3240740740740749E-2</v>
      </c>
      <c r="N76" s="26">
        <v>1.4872685185185183E-2</v>
      </c>
      <c r="O76" s="26">
        <v>2.208333333333333E-2</v>
      </c>
      <c r="P76" s="26">
        <v>2.028935185185185E-2</v>
      </c>
      <c r="Q76" s="26">
        <v>2.8182870370370372E-2</v>
      </c>
      <c r="R76" s="26">
        <v>2.629629629629629E-2</v>
      </c>
      <c r="S76" s="26">
        <v>3.862268518518519E-2</v>
      </c>
      <c r="T76" s="26">
        <v>3.5555555555555562E-2</v>
      </c>
      <c r="U76" s="26">
        <v>4.9062500000000009E-2</v>
      </c>
      <c r="V76" s="26">
        <v>6.144675925925927E-2</v>
      </c>
      <c r="W76" s="26">
        <v>8.7881944444444443E-2</v>
      </c>
      <c r="X76" s="26">
        <v>8.1307870370370378E-2</v>
      </c>
      <c r="Y76" s="26">
        <v>0.11027777777777778</v>
      </c>
      <c r="Z76" s="27">
        <v>90.240000000000009</v>
      </c>
      <c r="AA76" s="27">
        <v>107.2</v>
      </c>
      <c r="AB76" s="27">
        <v>103.25</v>
      </c>
      <c r="AC76" s="27">
        <v>119.54</v>
      </c>
      <c r="AD76" s="27">
        <v>174.37</v>
      </c>
      <c r="AE76" s="27">
        <v>193.74</v>
      </c>
      <c r="AF76" s="27">
        <v>189.13</v>
      </c>
      <c r="AG76" s="27">
        <v>208.57</v>
      </c>
    </row>
    <row r="77" spans="1:33" x14ac:dyDescent="0.25">
      <c r="A77" s="17">
        <v>83</v>
      </c>
      <c r="B77" s="26">
        <v>4.918981481481479E-3</v>
      </c>
      <c r="C77" s="26">
        <v>7.291666666666665E-3</v>
      </c>
      <c r="D77" s="26">
        <v>6.7013888888888887E-3</v>
      </c>
      <c r="E77" s="26">
        <v>9.305555555555553E-3</v>
      </c>
      <c r="F77" s="26">
        <v>7.4884259259259227E-3</v>
      </c>
      <c r="G77" s="26">
        <v>1.1076388888888889E-2</v>
      </c>
      <c r="H77" s="26">
        <v>1.0185185185185183E-2</v>
      </c>
      <c r="I77" s="26">
        <v>1.4108796296296296E-2</v>
      </c>
      <c r="J77" s="26">
        <v>1.2858796296296299E-2</v>
      </c>
      <c r="K77" s="26">
        <v>1.8900462962962973E-2</v>
      </c>
      <c r="L77" s="26">
        <v>1.7407407407407406E-2</v>
      </c>
      <c r="M77" s="26">
        <v>2.402777777777778E-2</v>
      </c>
      <c r="N77" s="26">
        <v>1.5659722222222228E-2</v>
      </c>
      <c r="O77" s="26">
        <v>2.2962962962962963E-2</v>
      </c>
      <c r="P77" s="26">
        <v>2.1157407407407403E-2</v>
      </c>
      <c r="Q77" s="26">
        <v>2.9155092592592594E-2</v>
      </c>
      <c r="R77" s="26">
        <v>2.7708333333333335E-2</v>
      </c>
      <c r="S77" s="26">
        <v>4.0219907407407413E-2</v>
      </c>
      <c r="T77" s="26">
        <v>3.7118055555555557E-2</v>
      </c>
      <c r="U77" s="26">
        <v>5.081018518518518E-2</v>
      </c>
      <c r="V77" s="26">
        <v>6.4953703703703708E-2</v>
      </c>
      <c r="W77" s="26">
        <v>9.182870370370369E-2</v>
      </c>
      <c r="X77" s="26">
        <v>8.5162037037037036E-2</v>
      </c>
      <c r="Y77" s="26">
        <v>0.11460648148148148</v>
      </c>
      <c r="Z77" s="27">
        <v>93.63</v>
      </c>
      <c r="AA77" s="27">
        <v>110.23</v>
      </c>
      <c r="AB77" s="27">
        <v>106.36</v>
      </c>
      <c r="AC77" s="27">
        <v>122.32000000000001</v>
      </c>
      <c r="AD77" s="27">
        <v>180.69</v>
      </c>
      <c r="AE77" s="27">
        <v>199.45</v>
      </c>
      <c r="AF77" s="27">
        <v>194.98</v>
      </c>
      <c r="AG77" s="27">
        <v>213.85</v>
      </c>
    </row>
    <row r="78" spans="1:33" x14ac:dyDescent="0.25">
      <c r="A78" s="17">
        <v>84</v>
      </c>
      <c r="B78" s="26">
        <v>5.1736111111111115E-3</v>
      </c>
      <c r="C78" s="26">
        <v>7.5810185185185182E-3</v>
      </c>
      <c r="D78" s="26">
        <v>6.9791666666666648E-3</v>
      </c>
      <c r="E78" s="26">
        <v>9.6180555555555533E-3</v>
      </c>
      <c r="F78" s="26">
        <v>7.8819444444444449E-3</v>
      </c>
      <c r="G78" s="26">
        <v>1.1516203703703706E-2</v>
      </c>
      <c r="H78" s="26">
        <v>1.0613425925925925E-2</v>
      </c>
      <c r="I78" s="26">
        <v>1.4583333333333334E-2</v>
      </c>
      <c r="J78" s="26">
        <v>1.3530092592592594E-2</v>
      </c>
      <c r="K78" s="26">
        <v>1.9664351851851856E-2</v>
      </c>
      <c r="L78" s="26">
        <v>1.8136574074074076E-2</v>
      </c>
      <c r="M78" s="26">
        <v>2.4861111111111119E-2</v>
      </c>
      <c r="N78" s="26">
        <v>1.6493055555555552E-2</v>
      </c>
      <c r="O78" s="26">
        <v>2.3900462962962971E-2</v>
      </c>
      <c r="P78" s="26">
        <v>2.2060185185185183E-2</v>
      </c>
      <c r="Q78" s="26">
        <v>3.0173611111111109E-2</v>
      </c>
      <c r="R78" s="26">
        <v>2.9201388888888888E-2</v>
      </c>
      <c r="S78" s="26">
        <v>4.1898148148148157E-2</v>
      </c>
      <c r="T78" s="26">
        <v>3.8750000000000007E-2</v>
      </c>
      <c r="U78" s="26">
        <v>5.2650462962962968E-2</v>
      </c>
      <c r="V78" s="26">
        <v>6.8668981481481456E-2</v>
      </c>
      <c r="W78" s="26">
        <v>9.6018518518518531E-2</v>
      </c>
      <c r="X78" s="26">
        <v>8.9224537037037061E-2</v>
      </c>
      <c r="Y78" s="26">
        <v>0.1191898148148148</v>
      </c>
      <c r="Z78" s="27">
        <v>97.080000000000013</v>
      </c>
      <c r="AA78" s="27">
        <v>113.31</v>
      </c>
      <c r="AB78" s="27">
        <v>109.53</v>
      </c>
      <c r="AC78" s="27">
        <v>125.14</v>
      </c>
      <c r="AD78" s="27">
        <v>187.1</v>
      </c>
      <c r="AE78" s="27">
        <v>205.25</v>
      </c>
      <c r="AF78" s="27">
        <v>200.92</v>
      </c>
      <c r="AG78" s="27">
        <v>219.21</v>
      </c>
    </row>
    <row r="79" spans="1:33" x14ac:dyDescent="0.25">
      <c r="A79" s="17">
        <v>85</v>
      </c>
      <c r="B79" s="26">
        <v>5.439814814814814E-3</v>
      </c>
      <c r="C79" s="26">
        <v>7.8819444444444449E-3</v>
      </c>
      <c r="D79" s="26">
        <v>7.2800925925925915E-3</v>
      </c>
      <c r="E79" s="26">
        <v>9.9537037037037042E-3</v>
      </c>
      <c r="F79" s="26">
        <v>8.2870370370370337E-3</v>
      </c>
      <c r="G79" s="26">
        <v>1.1967592592592589E-2</v>
      </c>
      <c r="H79" s="26">
        <v>1.1053240740740742E-2</v>
      </c>
      <c r="I79" s="26">
        <v>1.5092592592592591E-2</v>
      </c>
      <c r="J79" s="26">
        <v>1.4236111111111116E-2</v>
      </c>
      <c r="K79" s="26">
        <v>2.0462962962962968E-2</v>
      </c>
      <c r="L79" s="26">
        <v>1.891203703703704E-2</v>
      </c>
      <c r="M79" s="26">
        <v>2.5740740740740738E-2</v>
      </c>
      <c r="N79" s="26">
        <v>1.7349537037037038E-2</v>
      </c>
      <c r="O79" s="26">
        <v>2.4872685185185192E-2</v>
      </c>
      <c r="P79" s="26">
        <v>2.3009259259259257E-2</v>
      </c>
      <c r="Q79" s="26">
        <v>3.125E-2</v>
      </c>
      <c r="R79" s="26">
        <v>3.0775462962962963E-2</v>
      </c>
      <c r="S79" s="26">
        <v>4.3668981481481489E-2</v>
      </c>
      <c r="T79" s="26">
        <v>4.0462962962962951E-2</v>
      </c>
      <c r="U79" s="26">
        <v>5.4594907407407411E-2</v>
      </c>
      <c r="V79" s="26">
        <v>7.2615740740740758E-2</v>
      </c>
      <c r="W79" s="26">
        <v>0.10046296296296295</v>
      </c>
      <c r="X79" s="26">
        <v>9.3553240740740756E-2</v>
      </c>
      <c r="Y79" s="26">
        <v>0.12406249999999999</v>
      </c>
      <c r="Z79" s="27">
        <v>100.59</v>
      </c>
      <c r="AA79" s="27">
        <v>116.45</v>
      </c>
      <c r="AB79" s="27">
        <v>112.75</v>
      </c>
      <c r="AC79" s="27">
        <v>128.01</v>
      </c>
      <c r="AD79" s="27">
        <v>193.6</v>
      </c>
      <c r="AE79" s="27">
        <v>211.15</v>
      </c>
      <c r="AF79" s="27">
        <v>206.96</v>
      </c>
      <c r="AG79" s="27">
        <v>224.66</v>
      </c>
    </row>
    <row r="80" spans="1:33" x14ac:dyDescent="0.25">
      <c r="A80" s="17">
        <v>86</v>
      </c>
      <c r="B80" s="26">
        <v>5.7175925925925901E-3</v>
      </c>
      <c r="C80" s="26">
        <v>8.1944444444444417E-3</v>
      </c>
      <c r="D80" s="26">
        <v>7.5810185185185182E-3</v>
      </c>
      <c r="E80" s="26">
        <v>1.0289351851851852E-2</v>
      </c>
      <c r="F80" s="26">
        <v>8.7152777777777767E-3</v>
      </c>
      <c r="G80" s="26">
        <v>1.2453703703703699E-2</v>
      </c>
      <c r="H80" s="26">
        <v>1.1527777777777779E-2</v>
      </c>
      <c r="I80" s="26">
        <v>1.5624999999999997E-2</v>
      </c>
      <c r="J80" s="26">
        <v>1.4988425925925926E-2</v>
      </c>
      <c r="K80" s="26">
        <v>2.1307870370370373E-2</v>
      </c>
      <c r="L80" s="26">
        <v>1.9733796296296298E-2</v>
      </c>
      <c r="M80" s="26">
        <v>2.6655092592592598E-2</v>
      </c>
      <c r="N80" s="26">
        <v>1.8263888888888885E-2</v>
      </c>
      <c r="O80" s="26">
        <v>2.5902777777777775E-2</v>
      </c>
      <c r="P80" s="26">
        <v>2.4004629629629626E-2</v>
      </c>
      <c r="Q80" s="26">
        <v>3.2372685185185185E-2</v>
      </c>
      <c r="R80" s="26">
        <v>3.2430555555555546E-2</v>
      </c>
      <c r="S80" s="26">
        <v>4.5543981481481477E-2</v>
      </c>
      <c r="T80" s="26">
        <v>4.2280092592592605E-2</v>
      </c>
      <c r="U80" s="26">
        <v>5.664351851851851E-2</v>
      </c>
      <c r="V80" s="26">
        <v>7.6805555555555544E-2</v>
      </c>
      <c r="W80" s="26">
        <v>0.10518518518518519</v>
      </c>
      <c r="X80" s="26">
        <v>9.8136574074074084E-2</v>
      </c>
      <c r="Y80" s="26">
        <v>0.12923611111111113</v>
      </c>
      <c r="Z80" s="27">
        <v>104.17</v>
      </c>
      <c r="AA80" s="27">
        <v>119.64</v>
      </c>
      <c r="AB80" s="27">
        <v>116.03</v>
      </c>
      <c r="AC80" s="27">
        <v>130.94</v>
      </c>
      <c r="AD80" s="27">
        <v>200.2</v>
      </c>
      <c r="AE80" s="27">
        <v>217.13</v>
      </c>
      <c r="AF80" s="27">
        <v>213.07999999999998</v>
      </c>
      <c r="AG80" s="27">
        <v>230.2</v>
      </c>
    </row>
    <row r="81" spans="1:33" x14ac:dyDescent="0.25">
      <c r="A81" s="17">
        <v>87</v>
      </c>
      <c r="B81" s="26">
        <v>6.0185185185185168E-3</v>
      </c>
      <c r="C81" s="26">
        <v>8.5300925925925926E-3</v>
      </c>
      <c r="D81" s="26">
        <v>7.905092592592592E-3</v>
      </c>
      <c r="E81" s="26">
        <v>1.065972222222222E-2</v>
      </c>
      <c r="F81" s="26">
        <v>9.1666666666666667E-3</v>
      </c>
      <c r="G81" s="26">
        <v>1.2962962962962964E-2</v>
      </c>
      <c r="H81" s="26">
        <v>1.201388888888889E-2</v>
      </c>
      <c r="I81" s="26">
        <v>1.6180555555555556E-2</v>
      </c>
      <c r="J81" s="26">
        <v>1.576388888888889E-2</v>
      </c>
      <c r="K81" s="26">
        <v>2.2187500000000006E-2</v>
      </c>
      <c r="L81" s="26">
        <v>2.0590277777777784E-2</v>
      </c>
      <c r="M81" s="26">
        <v>2.762731481481482E-2</v>
      </c>
      <c r="N81" s="26">
        <v>1.922453703703704E-2</v>
      </c>
      <c r="O81" s="26">
        <v>2.6990740740740746E-2</v>
      </c>
      <c r="P81" s="26">
        <v>2.5057870370370369E-2</v>
      </c>
      <c r="Q81" s="26">
        <v>3.3564814814814811E-2</v>
      </c>
      <c r="R81" s="26">
        <v>3.4178240740740745E-2</v>
      </c>
      <c r="S81" s="26">
        <v>4.7511574074074081E-2</v>
      </c>
      <c r="T81" s="26">
        <v>4.4201388888888887E-2</v>
      </c>
      <c r="U81" s="26">
        <v>5.8807870370370358E-2</v>
      </c>
      <c r="V81" s="26">
        <v>8.127314814814815E-2</v>
      </c>
      <c r="W81" s="26">
        <v>0.11021990740740742</v>
      </c>
      <c r="X81" s="26">
        <v>0.10303240740740741</v>
      </c>
      <c r="Y81" s="26">
        <v>0.13475694444444444</v>
      </c>
      <c r="Z81" s="27">
        <v>107.82000000000001</v>
      </c>
      <c r="AA81" s="27">
        <v>122.9</v>
      </c>
      <c r="AB81" s="27">
        <v>119.38000000000001</v>
      </c>
      <c r="AC81" s="27">
        <v>133.92000000000002</v>
      </c>
      <c r="AD81" s="27">
        <v>206.88</v>
      </c>
      <c r="AE81" s="27">
        <v>223.2</v>
      </c>
      <c r="AF81" s="27">
        <v>219.29</v>
      </c>
      <c r="AG81" s="27">
        <v>235.82</v>
      </c>
    </row>
    <row r="82" spans="1:33" x14ac:dyDescent="0.25">
      <c r="A82" s="17">
        <v>88</v>
      </c>
      <c r="B82" s="26">
        <v>6.3310185185185171E-3</v>
      </c>
      <c r="C82" s="26">
        <v>8.8773148148148136E-3</v>
      </c>
      <c r="D82" s="26">
        <v>8.2407407407407395E-3</v>
      </c>
      <c r="E82" s="26">
        <v>1.1041666666666665E-2</v>
      </c>
      <c r="F82" s="26">
        <v>9.6412037037037039E-3</v>
      </c>
      <c r="G82" s="26">
        <v>1.3495370370370369E-2</v>
      </c>
      <c r="H82" s="26">
        <v>1.2534722222222221E-2</v>
      </c>
      <c r="I82" s="26">
        <v>1.6759259259259255E-2</v>
      </c>
      <c r="J82" s="26">
        <v>1.6597222222222228E-2</v>
      </c>
      <c r="K82" s="26">
        <v>2.3113425925925933E-2</v>
      </c>
      <c r="L82" s="26">
        <v>2.1493055555555564E-2</v>
      </c>
      <c r="M82" s="26">
        <v>2.8645833333333336E-2</v>
      </c>
      <c r="N82" s="26">
        <v>2.0243055555555556E-2</v>
      </c>
      <c r="O82" s="26">
        <v>2.8124999999999997E-2</v>
      </c>
      <c r="P82" s="26">
        <v>2.6168981481481488E-2</v>
      </c>
      <c r="Q82" s="26">
        <v>3.4814814814814812E-2</v>
      </c>
      <c r="R82" s="26">
        <v>3.6041666666666666E-2</v>
      </c>
      <c r="S82" s="26">
        <v>4.9606481481481474E-2</v>
      </c>
      <c r="T82" s="26">
        <v>4.6238425925925919E-2</v>
      </c>
      <c r="U82" s="26">
        <v>6.1087962962962955E-2</v>
      </c>
      <c r="V82" s="26">
        <v>8.6041666666666655E-2</v>
      </c>
      <c r="W82" s="26">
        <v>0.11560185185185187</v>
      </c>
      <c r="X82" s="26">
        <v>0.10826388888888891</v>
      </c>
      <c r="Y82" s="26">
        <v>0.14064814814814816</v>
      </c>
      <c r="Z82" s="27">
        <v>111.53</v>
      </c>
      <c r="AA82" s="27">
        <v>126.21000000000001</v>
      </c>
      <c r="AB82" s="27">
        <v>122.78</v>
      </c>
      <c r="AC82" s="27">
        <v>136.96</v>
      </c>
      <c r="AD82" s="27">
        <v>213.67</v>
      </c>
      <c r="AE82" s="27">
        <v>229.35999999999999</v>
      </c>
      <c r="AF82" s="27">
        <v>225.6</v>
      </c>
      <c r="AG82" s="27">
        <v>241.54</v>
      </c>
    </row>
    <row r="83" spans="1:33" x14ac:dyDescent="0.25">
      <c r="A83" s="17">
        <v>89</v>
      </c>
      <c r="B83" s="26">
        <v>6.6550925925925909E-3</v>
      </c>
      <c r="C83" s="26">
        <v>9.2476851851851852E-3</v>
      </c>
      <c r="D83" s="26">
        <v>8.5995370370370375E-3</v>
      </c>
      <c r="E83" s="26">
        <v>1.1446759259259257E-2</v>
      </c>
      <c r="F83" s="26">
        <v>1.0138888888888888E-2</v>
      </c>
      <c r="G83" s="26">
        <v>1.4062500000000002E-2</v>
      </c>
      <c r="H83" s="26">
        <v>1.3090277777777774E-2</v>
      </c>
      <c r="I83" s="26">
        <v>1.7384259259259256E-2</v>
      </c>
      <c r="J83" s="26">
        <v>1.7465277777777781E-2</v>
      </c>
      <c r="K83" s="26">
        <v>2.4097222222222221E-2</v>
      </c>
      <c r="L83" s="26">
        <v>2.2453703703703705E-2</v>
      </c>
      <c r="M83" s="26">
        <v>2.9722222222222226E-2</v>
      </c>
      <c r="N83" s="26">
        <v>2.1307870370370366E-2</v>
      </c>
      <c r="O83" s="26">
        <v>2.9340277777777785E-2</v>
      </c>
      <c r="P83" s="26">
        <v>2.7349537037037033E-2</v>
      </c>
      <c r="Q83" s="26">
        <v>3.6134259259259255E-2</v>
      </c>
      <c r="R83" s="26">
        <v>3.7997685185185176E-2</v>
      </c>
      <c r="S83" s="26">
        <v>5.1817129629629644E-2</v>
      </c>
      <c r="T83" s="26">
        <v>4.83912037037037E-2</v>
      </c>
      <c r="U83" s="26">
        <v>6.351851851851853E-2</v>
      </c>
      <c r="V83" s="26">
        <v>9.1157407407407381E-2</v>
      </c>
      <c r="W83" s="26">
        <v>0.12136574074074072</v>
      </c>
      <c r="X83" s="26">
        <v>0.11386574074074071</v>
      </c>
      <c r="Y83" s="26">
        <v>0.1469560185185185</v>
      </c>
      <c r="Z83" s="27">
        <v>115.31</v>
      </c>
      <c r="AA83" s="27">
        <v>129.59</v>
      </c>
      <c r="AB83" s="27">
        <v>126.25</v>
      </c>
      <c r="AC83" s="27">
        <v>140.06</v>
      </c>
      <c r="AD83" s="27">
        <v>220.55</v>
      </c>
      <c r="AE83" s="27">
        <v>235.62</v>
      </c>
      <c r="AF83" s="27">
        <v>232.01</v>
      </c>
      <c r="AG83" s="27">
        <v>247.34</v>
      </c>
    </row>
    <row r="84" spans="1:33" x14ac:dyDescent="0.25">
      <c r="A84" s="17">
        <v>90</v>
      </c>
      <c r="B84" s="26">
        <v>6.9907407407407383E-3</v>
      </c>
      <c r="C84" s="26">
        <v>9.6296296296296269E-3</v>
      </c>
      <c r="D84" s="26">
        <v>8.9814814814814792E-3</v>
      </c>
      <c r="E84" s="26">
        <v>1.1863425925925923E-2</v>
      </c>
      <c r="F84" s="26">
        <v>1.0671296296296293E-2</v>
      </c>
      <c r="G84" s="26">
        <v>1.4652777777777775E-2</v>
      </c>
      <c r="H84" s="26">
        <v>1.366898148148148E-2</v>
      </c>
      <c r="I84" s="26">
        <v>1.8032407407407403E-2</v>
      </c>
      <c r="J84" s="26">
        <v>1.8391203703703708E-2</v>
      </c>
      <c r="K84" s="26">
        <v>2.5138888888888898E-2</v>
      </c>
      <c r="L84" s="26">
        <v>2.3460648148148154E-2</v>
      </c>
      <c r="M84" s="26">
        <v>3.0856481481481478E-2</v>
      </c>
      <c r="N84" s="26">
        <v>2.2442129629629631E-2</v>
      </c>
      <c r="O84" s="26">
        <v>3.0613425925925933E-2</v>
      </c>
      <c r="P84" s="26">
        <v>2.8587962962962968E-2</v>
      </c>
      <c r="Q84" s="26">
        <v>3.7534722222222219E-2</v>
      </c>
      <c r="R84" s="26">
        <v>4.0092592592592596E-2</v>
      </c>
      <c r="S84" s="26">
        <v>5.4166666666666669E-2</v>
      </c>
      <c r="T84" s="26">
        <v>5.0671296296296298E-2</v>
      </c>
      <c r="U84" s="26">
        <v>6.6099537037037026E-2</v>
      </c>
      <c r="V84" s="26">
        <v>9.6643518518518517E-2</v>
      </c>
      <c r="W84" s="26">
        <v>0.1275462962962963</v>
      </c>
      <c r="X84" s="26">
        <v>0.11987268518518521</v>
      </c>
      <c r="Y84" s="26">
        <v>0.15372685185185184</v>
      </c>
      <c r="Z84" s="27">
        <v>119.16000000000001</v>
      </c>
      <c r="AA84" s="27">
        <v>133.03</v>
      </c>
      <c r="AB84" s="27">
        <v>129.79000000000002</v>
      </c>
      <c r="AC84" s="27">
        <v>143.22</v>
      </c>
      <c r="AD84" s="27">
        <v>227.53</v>
      </c>
      <c r="AE84" s="27">
        <v>241.98000000000002</v>
      </c>
      <c r="AF84" s="27">
        <v>238.51</v>
      </c>
      <c r="AG84" s="27">
        <v>253.24</v>
      </c>
    </row>
    <row r="85" spans="1:33" x14ac:dyDescent="0.25">
      <c r="A85" s="17">
        <v>91</v>
      </c>
      <c r="B85" s="26">
        <v>7.3611111111111099E-3</v>
      </c>
      <c r="C85" s="26">
        <v>1.0046296296296296E-2</v>
      </c>
      <c r="D85" s="26">
        <v>9.3749999999999979E-3</v>
      </c>
      <c r="E85" s="26">
        <v>1.2314814814814813E-2</v>
      </c>
      <c r="F85" s="26">
        <v>1.1226851851851852E-2</v>
      </c>
      <c r="G85" s="26">
        <v>1.5289351851851849E-2</v>
      </c>
      <c r="H85" s="26">
        <v>1.4282407407407407E-2</v>
      </c>
      <c r="I85" s="26">
        <v>1.8726851851851852E-2</v>
      </c>
      <c r="J85" s="26">
        <v>1.936342592592593E-2</v>
      </c>
      <c r="K85" s="26">
        <v>2.6238425925925936E-2</v>
      </c>
      <c r="L85" s="26">
        <v>2.4537037037037045E-2</v>
      </c>
      <c r="M85" s="26">
        <v>3.2071759259259265E-2</v>
      </c>
      <c r="N85" s="26">
        <v>2.3645833333333338E-2</v>
      </c>
      <c r="O85" s="26">
        <v>3.1967592592592589E-2</v>
      </c>
      <c r="P85" s="26">
        <v>2.990740740740741E-2</v>
      </c>
      <c r="Q85" s="26">
        <v>3.9016203703703706E-2</v>
      </c>
      <c r="R85" s="26">
        <v>4.2314814814814805E-2</v>
      </c>
      <c r="S85" s="26">
        <v>5.6678240740740737E-2</v>
      </c>
      <c r="T85" s="26">
        <v>5.3101851851851845E-2</v>
      </c>
      <c r="U85" s="26">
        <v>6.8842592592592594E-2</v>
      </c>
      <c r="V85" s="26">
        <v>0.10255787037037037</v>
      </c>
      <c r="W85" s="26">
        <v>0.13421296296296295</v>
      </c>
      <c r="X85" s="26">
        <v>0.12635416666666668</v>
      </c>
      <c r="Y85" s="26">
        <v>0.16103009259259257</v>
      </c>
      <c r="Z85" s="27">
        <v>123.08000000000001</v>
      </c>
      <c r="AA85" s="27">
        <v>136.54000000000002</v>
      </c>
      <c r="AB85" s="27">
        <v>133.38999999999999</v>
      </c>
      <c r="AC85" s="27">
        <v>146.44</v>
      </c>
      <c r="AD85" s="27">
        <v>234.6</v>
      </c>
      <c r="AE85" s="27">
        <v>248.43</v>
      </c>
      <c r="AF85" s="27">
        <v>245.11</v>
      </c>
      <c r="AG85" s="27">
        <v>259.24</v>
      </c>
    </row>
    <row r="86" spans="1:33" x14ac:dyDescent="0.25">
      <c r="A86" s="17">
        <v>92</v>
      </c>
      <c r="B86" s="26">
        <v>7.7430555555555551E-3</v>
      </c>
      <c r="C86" s="26">
        <v>1.0474537037037036E-2</v>
      </c>
      <c r="D86" s="26">
        <v>9.8032407407407408E-3</v>
      </c>
      <c r="E86" s="26">
        <v>1.278935185185185E-2</v>
      </c>
      <c r="F86" s="26">
        <v>1.1817129629629625E-2</v>
      </c>
      <c r="G86" s="26">
        <v>1.594907407407407E-2</v>
      </c>
      <c r="H86" s="26">
        <v>1.4930555555555555E-2</v>
      </c>
      <c r="I86" s="26">
        <v>1.9456018518518515E-2</v>
      </c>
      <c r="J86" s="26">
        <v>2.0405092592592593E-2</v>
      </c>
      <c r="K86" s="26">
        <v>2.7418981481481482E-2</v>
      </c>
      <c r="L86" s="26">
        <v>2.5671296296296296E-2</v>
      </c>
      <c r="M86" s="26">
        <v>3.3344907407407413E-2</v>
      </c>
      <c r="N86" s="26">
        <v>2.4930555555555553E-2</v>
      </c>
      <c r="O86" s="26">
        <v>3.3414351851851848E-2</v>
      </c>
      <c r="P86" s="26">
        <v>3.1307870370370375E-2</v>
      </c>
      <c r="Q86" s="26">
        <v>4.0601851851851847E-2</v>
      </c>
      <c r="R86" s="26">
        <v>4.4687499999999991E-2</v>
      </c>
      <c r="S86" s="26">
        <v>5.935185185185185E-2</v>
      </c>
      <c r="T86" s="26">
        <v>5.570601851851853E-2</v>
      </c>
      <c r="U86" s="26">
        <v>7.1770833333333339E-2</v>
      </c>
      <c r="V86" s="26">
        <v>0.10895833333333335</v>
      </c>
      <c r="W86" s="26">
        <v>0.1414236111111111</v>
      </c>
      <c r="X86" s="26">
        <v>0.13335648148148146</v>
      </c>
      <c r="Y86" s="26">
        <v>0.16893518518518516</v>
      </c>
      <c r="Z86" s="27">
        <v>127.08000000000001</v>
      </c>
      <c r="AA86" s="27">
        <v>140.12</v>
      </c>
      <c r="AB86" s="27">
        <v>137.07</v>
      </c>
      <c r="AC86" s="27">
        <v>149.73000000000002</v>
      </c>
      <c r="AD86" s="27">
        <v>241.78</v>
      </c>
      <c r="AE86" s="27">
        <v>254.98000000000002</v>
      </c>
      <c r="AF86" s="27">
        <v>251.81</v>
      </c>
      <c r="AG86" s="27">
        <v>265.33</v>
      </c>
    </row>
    <row r="87" spans="1:33" x14ac:dyDescent="0.25">
      <c r="A87" s="17">
        <v>93</v>
      </c>
      <c r="B87" s="26">
        <v>8.159722222222221E-3</v>
      </c>
      <c r="C87" s="26">
        <v>1.0937499999999999E-2</v>
      </c>
      <c r="D87" s="26">
        <v>1.0243055555555554E-2</v>
      </c>
      <c r="E87" s="26">
        <v>1.3298611111111108E-2</v>
      </c>
      <c r="F87" s="26">
        <v>1.2453703703703699E-2</v>
      </c>
      <c r="G87" s="26">
        <v>1.6666666666666666E-2</v>
      </c>
      <c r="H87" s="26">
        <v>1.5613425925925923E-2</v>
      </c>
      <c r="I87" s="26">
        <v>2.0231481481481479E-2</v>
      </c>
      <c r="J87" s="26">
        <v>2.1516203703703711E-2</v>
      </c>
      <c r="K87" s="26">
        <v>2.8657407407407416E-2</v>
      </c>
      <c r="L87" s="26">
        <v>2.6886574074074084E-2</v>
      </c>
      <c r="M87" s="26">
        <v>3.471064814814815E-2</v>
      </c>
      <c r="N87" s="26">
        <v>2.6296296296296304E-2</v>
      </c>
      <c r="O87" s="26">
        <v>3.4953703703703709E-2</v>
      </c>
      <c r="P87" s="26">
        <v>3.2800925925925928E-2</v>
      </c>
      <c r="Q87" s="26">
        <v>4.2280092592592591E-2</v>
      </c>
      <c r="R87" s="26">
        <v>4.7222222222222221E-2</v>
      </c>
      <c r="S87" s="26">
        <v>6.221064814814814E-2</v>
      </c>
      <c r="T87" s="26">
        <v>5.8483796296296298E-2</v>
      </c>
      <c r="U87" s="26">
        <v>7.4907407407407395E-2</v>
      </c>
      <c r="V87" s="26">
        <v>0.11590277777777777</v>
      </c>
      <c r="W87" s="26">
        <v>0.14924768518518519</v>
      </c>
      <c r="X87" s="26">
        <v>0.14097222222222219</v>
      </c>
      <c r="Y87" s="26">
        <v>0.17751157407407406</v>
      </c>
      <c r="Z87" s="27">
        <v>131.16000000000003</v>
      </c>
      <c r="AA87" s="27">
        <v>143.77000000000001</v>
      </c>
      <c r="AB87" s="27">
        <v>140.82</v>
      </c>
      <c r="AC87" s="27">
        <v>153.08000000000001</v>
      </c>
      <c r="AD87" s="27">
        <v>249.06</v>
      </c>
      <c r="AE87" s="27">
        <v>261.64</v>
      </c>
      <c r="AF87" s="27">
        <v>258.61</v>
      </c>
      <c r="AG87" s="27">
        <v>271.52</v>
      </c>
    </row>
    <row r="88" spans="1:33" x14ac:dyDescent="0.25">
      <c r="A88" s="17">
        <v>94</v>
      </c>
      <c r="B88" s="26">
        <v>8.5879629629629604E-3</v>
      </c>
      <c r="C88" s="26">
        <v>1.142361111111111E-2</v>
      </c>
      <c r="D88" s="26">
        <v>1.0729166666666665E-2</v>
      </c>
      <c r="E88" s="26">
        <v>1.383101851851852E-2</v>
      </c>
      <c r="F88" s="26">
        <v>1.3125000000000001E-2</v>
      </c>
      <c r="G88" s="26">
        <v>1.7418981481481483E-2</v>
      </c>
      <c r="H88" s="26">
        <v>1.6354166666666666E-2</v>
      </c>
      <c r="I88" s="26">
        <v>2.1064814814814811E-2</v>
      </c>
      <c r="J88" s="26">
        <v>2.268518518518519E-2</v>
      </c>
      <c r="K88" s="26">
        <v>2.9988425925925925E-2</v>
      </c>
      <c r="L88" s="26">
        <v>2.8171296296296298E-2</v>
      </c>
      <c r="M88" s="26">
        <v>3.6168981481481489E-2</v>
      </c>
      <c r="N88" s="26">
        <v>2.7743055555555562E-2</v>
      </c>
      <c r="O88" s="26">
        <v>3.6585648148148145E-2</v>
      </c>
      <c r="P88" s="26">
        <v>3.439814814814815E-2</v>
      </c>
      <c r="Q88" s="26">
        <v>4.4085648148148152E-2</v>
      </c>
      <c r="R88" s="26">
        <v>4.9953703703703695E-2</v>
      </c>
      <c r="S88" s="26">
        <v>6.5277777777777768E-2</v>
      </c>
      <c r="T88" s="26">
        <v>6.1469907407407404E-2</v>
      </c>
      <c r="U88" s="26">
        <v>7.8263888888888883E-2</v>
      </c>
      <c r="V88" s="26">
        <v>0.12347222222222223</v>
      </c>
      <c r="W88" s="26">
        <v>0.15778935185185186</v>
      </c>
      <c r="X88" s="26">
        <v>0.14927083333333332</v>
      </c>
      <c r="Y88" s="26">
        <v>0.18686342592592595</v>
      </c>
      <c r="Z88" s="27">
        <v>135.32</v>
      </c>
      <c r="AA88" s="27">
        <v>147.5</v>
      </c>
      <c r="AB88" s="27">
        <v>144.65</v>
      </c>
      <c r="AC88" s="27">
        <v>156.5</v>
      </c>
      <c r="AD88" s="27">
        <v>256.45</v>
      </c>
      <c r="AE88" s="27">
        <v>268.39999999999998</v>
      </c>
      <c r="AF88" s="27">
        <v>265.51</v>
      </c>
      <c r="AG88" s="27">
        <v>277.82</v>
      </c>
    </row>
    <row r="89" spans="1:33" x14ac:dyDescent="0.25">
      <c r="A89" s="17">
        <v>95</v>
      </c>
      <c r="B89" s="26">
        <v>9.0509259259259241E-3</v>
      </c>
      <c r="C89" s="26">
        <v>1.1956018518518519E-2</v>
      </c>
      <c r="D89" s="26">
        <v>1.1226851851851849E-2</v>
      </c>
      <c r="E89" s="26">
        <v>1.440972222222222E-2</v>
      </c>
      <c r="F89" s="26">
        <v>1.3831018518518517E-2</v>
      </c>
      <c r="G89" s="26">
        <v>1.8229166666666668E-2</v>
      </c>
      <c r="H89" s="26">
        <v>1.712962962962963E-2</v>
      </c>
      <c r="I89" s="26">
        <v>2.1944444444444444E-2</v>
      </c>
      <c r="J89" s="26">
        <v>2.3946759259259258E-2</v>
      </c>
      <c r="K89" s="26">
        <v>3.1412037037037037E-2</v>
      </c>
      <c r="L89" s="26">
        <v>2.9560185185185182E-2</v>
      </c>
      <c r="M89" s="26">
        <v>3.7731481481481484E-2</v>
      </c>
      <c r="N89" s="26">
        <v>2.9305555555555557E-2</v>
      </c>
      <c r="O89" s="26">
        <v>3.8344907407407411E-2</v>
      </c>
      <c r="P89" s="26">
        <v>3.6099537037037041E-2</v>
      </c>
      <c r="Q89" s="26">
        <v>4.6006944444444448E-2</v>
      </c>
      <c r="R89" s="26">
        <v>5.288194444444444E-2</v>
      </c>
      <c r="S89" s="26">
        <v>6.8587962962962962E-2</v>
      </c>
      <c r="T89" s="26">
        <v>6.4687500000000009E-2</v>
      </c>
      <c r="U89" s="26">
        <v>8.188657407407407E-2</v>
      </c>
      <c r="V89" s="26">
        <v>0.13177083333333331</v>
      </c>
      <c r="W89" s="26">
        <v>0.16714120370370369</v>
      </c>
      <c r="X89" s="26">
        <v>0.15836805555555558</v>
      </c>
      <c r="Y89" s="26">
        <v>0.19710648148148149</v>
      </c>
      <c r="Z89" s="27">
        <v>139.57</v>
      </c>
      <c r="AA89" s="27">
        <v>151.31</v>
      </c>
      <c r="AB89" s="27">
        <v>148.55000000000001</v>
      </c>
      <c r="AC89" s="27">
        <v>160</v>
      </c>
      <c r="AD89" s="27">
        <v>263.94</v>
      </c>
      <c r="AE89" s="27">
        <v>275.26</v>
      </c>
      <c r="AF89" s="27">
        <v>272.52999999999997</v>
      </c>
      <c r="AG89" s="27">
        <v>284.22000000000003</v>
      </c>
    </row>
    <row r="90" spans="1:33" x14ac:dyDescent="0.25">
      <c r="A90" s="17">
        <v>96</v>
      </c>
      <c r="B90" s="26">
        <v>9.5486111111111084E-3</v>
      </c>
      <c r="C90" s="26">
        <v>1.2511574074074074E-2</v>
      </c>
      <c r="D90" s="26">
        <v>1.1770833333333331E-2</v>
      </c>
      <c r="E90" s="26">
        <v>1.5023148148148147E-2</v>
      </c>
      <c r="F90" s="26">
        <v>1.4594907407407407E-2</v>
      </c>
      <c r="G90" s="26">
        <v>1.9085648148148147E-2</v>
      </c>
      <c r="H90" s="26">
        <v>1.7974537037037035E-2</v>
      </c>
      <c r="I90" s="26">
        <v>2.2881944444444444E-2</v>
      </c>
      <c r="J90" s="26">
        <v>2.5300925925925928E-2</v>
      </c>
      <c r="K90" s="26">
        <v>3.2939814814814818E-2</v>
      </c>
      <c r="L90" s="26">
        <v>3.1041666666666669E-2</v>
      </c>
      <c r="M90" s="26">
        <v>3.9398148148148147E-2</v>
      </c>
      <c r="N90" s="26">
        <v>3.0983796296296301E-2</v>
      </c>
      <c r="O90" s="26">
        <v>4.0231481481481479E-2</v>
      </c>
      <c r="P90" s="26">
        <v>3.7939814814814815E-2</v>
      </c>
      <c r="Q90" s="26">
        <v>4.8067129629629626E-2</v>
      </c>
      <c r="R90" s="26">
        <v>5.6053240740740751E-2</v>
      </c>
      <c r="S90" s="26">
        <v>7.2164351851851855E-2</v>
      </c>
      <c r="T90" s="26">
        <v>6.8159722222222219E-2</v>
      </c>
      <c r="U90" s="26">
        <v>8.5810185185185184E-2</v>
      </c>
      <c r="V90" s="26">
        <v>0.14092592592592593</v>
      </c>
      <c r="W90" s="26">
        <v>0.1774537037037037</v>
      </c>
      <c r="X90" s="26">
        <v>0.16839120370370372</v>
      </c>
      <c r="Y90" s="26">
        <v>0.2084027777777778</v>
      </c>
      <c r="Z90" s="27">
        <v>143.9</v>
      </c>
      <c r="AA90" s="27">
        <v>155.19999999999999</v>
      </c>
      <c r="AB90" s="27">
        <v>152.54000000000002</v>
      </c>
      <c r="AC90" s="27">
        <v>163.57</v>
      </c>
      <c r="AD90" s="27">
        <v>271.53999999999996</v>
      </c>
      <c r="AE90" s="27">
        <v>282.24</v>
      </c>
      <c r="AF90" s="27">
        <v>279.64999999999998</v>
      </c>
      <c r="AG90" s="27">
        <v>290.73</v>
      </c>
    </row>
    <row r="91" spans="1:33" x14ac:dyDescent="0.25">
      <c r="A91" s="17">
        <v>97</v>
      </c>
      <c r="B91" s="26">
        <v>1.0081018518518517E-2</v>
      </c>
      <c r="C91" s="26">
        <v>1.3113425925925924E-2</v>
      </c>
      <c r="D91" s="26">
        <v>1.2361111111111111E-2</v>
      </c>
      <c r="E91" s="26">
        <v>1.5671296296296294E-2</v>
      </c>
      <c r="F91" s="26">
        <v>1.5416666666666665E-2</v>
      </c>
      <c r="G91" s="26">
        <v>2.0011574074074074E-2</v>
      </c>
      <c r="H91" s="26">
        <v>1.8877314814814816E-2</v>
      </c>
      <c r="I91" s="26">
        <v>2.390046296296296E-2</v>
      </c>
      <c r="J91" s="26">
        <v>2.6759259259259267E-2</v>
      </c>
      <c r="K91" s="26">
        <v>3.4583333333333334E-2</v>
      </c>
      <c r="L91" s="26">
        <v>3.2638888888888891E-2</v>
      </c>
      <c r="M91" s="26">
        <v>4.1203703703703708E-2</v>
      </c>
      <c r="N91" s="26">
        <v>3.2789351851851847E-2</v>
      </c>
      <c r="O91" s="26">
        <v>4.2268518518518525E-2</v>
      </c>
      <c r="P91" s="26">
        <v>3.9918981481481486E-2</v>
      </c>
      <c r="Q91" s="26">
        <v>5.0300925925925929E-2</v>
      </c>
      <c r="R91" s="26">
        <v>5.9490740740740733E-2</v>
      </c>
      <c r="S91" s="26">
        <v>7.6041666666666674E-2</v>
      </c>
      <c r="T91" s="26">
        <v>7.1932870370370383E-2</v>
      </c>
      <c r="U91" s="26">
        <v>9.0057870370370358E-2</v>
      </c>
      <c r="V91" s="26">
        <v>0.15107638888888889</v>
      </c>
      <c r="W91" s="26">
        <v>0.18890046296296295</v>
      </c>
      <c r="X91" s="26">
        <v>0.17951388888888889</v>
      </c>
      <c r="Y91" s="26">
        <v>0.22093749999999998</v>
      </c>
      <c r="Z91" s="27">
        <v>148.33000000000001</v>
      </c>
      <c r="AA91" s="27">
        <v>159.17000000000002</v>
      </c>
      <c r="AB91" s="27">
        <v>156.62</v>
      </c>
      <c r="AC91" s="27">
        <v>167.23000000000002</v>
      </c>
      <c r="AD91" s="27">
        <v>279.25</v>
      </c>
      <c r="AE91" s="27">
        <v>289.33</v>
      </c>
      <c r="AF91" s="27">
        <v>286.89</v>
      </c>
      <c r="AG91" s="27">
        <v>297.35000000000002</v>
      </c>
    </row>
    <row r="92" spans="1:33" x14ac:dyDescent="0.25">
      <c r="A92" s="17">
        <v>98</v>
      </c>
      <c r="B92" s="26">
        <v>1.0648148148148146E-2</v>
      </c>
      <c r="C92" s="26">
        <v>1.3749999999999998E-2</v>
      </c>
      <c r="D92" s="26">
        <v>1.2986111111111111E-2</v>
      </c>
      <c r="E92" s="26">
        <v>1.6377314814814817E-2</v>
      </c>
      <c r="F92" s="26">
        <v>1.6307870370370372E-2</v>
      </c>
      <c r="G92" s="26">
        <v>2.1006944444444443E-2</v>
      </c>
      <c r="H92" s="26">
        <v>1.9837962962962963E-2</v>
      </c>
      <c r="I92" s="26">
        <v>2.4988425925925924E-2</v>
      </c>
      <c r="J92" s="26">
        <v>2.8333333333333342E-2</v>
      </c>
      <c r="K92" s="26">
        <v>3.6354166666666667E-2</v>
      </c>
      <c r="L92" s="26">
        <v>3.4363425925925929E-2</v>
      </c>
      <c r="M92" s="26">
        <v>4.3136574074074084E-2</v>
      </c>
      <c r="N92" s="26">
        <v>3.4745370370370371E-2</v>
      </c>
      <c r="O92" s="26">
        <v>4.44675925925926E-2</v>
      </c>
      <c r="P92" s="26">
        <v>4.2048611111111106E-2</v>
      </c>
      <c r="Q92" s="26">
        <v>5.2708333333333329E-2</v>
      </c>
      <c r="R92" s="26">
        <v>6.3240740740740736E-2</v>
      </c>
      <c r="S92" s="26">
        <v>8.0266203703703715E-2</v>
      </c>
      <c r="T92" s="26">
        <v>7.6041666666666674E-2</v>
      </c>
      <c r="U92" s="26">
        <v>9.4675925925925913E-2</v>
      </c>
      <c r="V92" s="26">
        <v>0.16243055555555555</v>
      </c>
      <c r="W92" s="26">
        <v>0.20168981481481482</v>
      </c>
      <c r="X92" s="26">
        <v>0.19194444444444445</v>
      </c>
      <c r="Y92" s="26">
        <v>0.23495370370370369</v>
      </c>
      <c r="Z92" s="27">
        <v>152.85000000000002</v>
      </c>
      <c r="AA92" s="27">
        <v>163.23000000000002</v>
      </c>
      <c r="AB92" s="27">
        <v>160.79000000000002</v>
      </c>
      <c r="AC92" s="27">
        <v>170.97</v>
      </c>
      <c r="AD92" s="27">
        <v>287.08</v>
      </c>
      <c r="AE92" s="27">
        <v>296.53999999999996</v>
      </c>
      <c r="AF92" s="27">
        <v>294.24</v>
      </c>
      <c r="AG92" s="27">
        <v>304.10000000000002</v>
      </c>
    </row>
    <row r="93" spans="1:33" x14ac:dyDescent="0.25">
      <c r="A93" s="17">
        <v>99</v>
      </c>
      <c r="B93" s="26">
        <v>1.1261574074074073E-2</v>
      </c>
      <c r="C93" s="26">
        <v>1.444444444444444E-2</v>
      </c>
      <c r="D93" s="26">
        <v>1.3657407407407403E-2</v>
      </c>
      <c r="E93" s="26">
        <v>1.71412037037037E-2</v>
      </c>
      <c r="F93" s="26">
        <v>1.7256944444444446E-2</v>
      </c>
      <c r="G93" s="26">
        <v>2.2083333333333333E-2</v>
      </c>
      <c r="H93" s="26">
        <v>2.08912037037037E-2</v>
      </c>
      <c r="I93" s="26">
        <v>2.6168981481481477E-2</v>
      </c>
      <c r="J93" s="26">
        <v>3.00462962962963E-2</v>
      </c>
      <c r="K93" s="26">
        <v>3.8275462962962963E-2</v>
      </c>
      <c r="L93" s="26">
        <v>3.622685185185185E-2</v>
      </c>
      <c r="M93" s="26">
        <v>4.5243055555555557E-2</v>
      </c>
      <c r="N93" s="26">
        <v>3.6863425925925924E-2</v>
      </c>
      <c r="O93" s="26">
        <v>4.6863425925925933E-2</v>
      </c>
      <c r="P93" s="26">
        <v>4.4374999999999998E-2</v>
      </c>
      <c r="Q93" s="26">
        <v>5.5335648148148148E-2</v>
      </c>
      <c r="R93" s="26">
        <v>6.7349537037037027E-2</v>
      </c>
      <c r="S93" s="26">
        <v>8.488425925925927E-2</v>
      </c>
      <c r="T93" s="26">
        <v>8.0532407407407414E-2</v>
      </c>
      <c r="U93" s="26">
        <v>9.9745370370370373E-2</v>
      </c>
      <c r="V93" s="26">
        <v>0.17521990740740742</v>
      </c>
      <c r="W93" s="26">
        <v>0.21611111111111111</v>
      </c>
      <c r="X93" s="26">
        <v>0.20596064814814816</v>
      </c>
      <c r="Y93" s="26">
        <v>0.25075231481481486</v>
      </c>
      <c r="Z93" s="27">
        <v>157.48000000000002</v>
      </c>
      <c r="AA93" s="27">
        <v>167.39000000000001</v>
      </c>
      <c r="AB93" s="27">
        <v>165.06</v>
      </c>
      <c r="AC93" s="27">
        <v>174.79000000000002</v>
      </c>
      <c r="AD93" s="27">
        <v>295.02</v>
      </c>
      <c r="AE93" s="27">
        <v>303.86</v>
      </c>
      <c r="AF93" s="27">
        <v>301.70999999999998</v>
      </c>
      <c r="AG93" s="27">
        <v>310.95999999999998</v>
      </c>
    </row>
  </sheetData>
  <sheetProtection sheet="1" objects="1" scenarios="1"/>
  <pageMargins left="0.70866141732283472" right="0.70866141732283472" top="0.74803149606299213" bottom="0.74803149606299213" header="0.31496062992125984" footer="0.31496062992125984"/>
  <pageSetup paperSize="9" scale="35" orientation="landscape" r:id="rId1"/>
  <headerFooter>
    <oddHeader>&amp;C&amp;A</oddHeader>
    <oddFooter>&amp;L&amp;F&amp;CPage &amp;P of &amp;N&amp;R&amp;D</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6D7D5-120C-454E-96A3-FAAE8F84A294}">
  <sheetPr codeName="Sheet16">
    <pageSetUpPr fitToPage="1"/>
  </sheetPr>
  <dimension ref="A1:AG93"/>
  <sheetViews>
    <sheetView zoomScale="50" zoomScaleNormal="50"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13.28515625" customWidth="1"/>
  </cols>
  <sheetData>
    <row r="1" spans="1:33" ht="15.95" customHeight="1" x14ac:dyDescent="0.25">
      <c r="A1" s="13" t="s">
        <v>34</v>
      </c>
      <c r="B1" s="14">
        <v>10</v>
      </c>
      <c r="C1" s="14">
        <v>10</v>
      </c>
      <c r="D1" s="14">
        <v>10</v>
      </c>
      <c r="E1" s="14">
        <v>10</v>
      </c>
      <c r="F1" s="14">
        <v>15</v>
      </c>
      <c r="G1" s="14">
        <v>15</v>
      </c>
      <c r="H1" s="14">
        <v>15</v>
      </c>
      <c r="I1" s="14">
        <v>15</v>
      </c>
      <c r="J1" s="14">
        <v>25</v>
      </c>
      <c r="K1" s="14">
        <v>25</v>
      </c>
      <c r="L1" s="14">
        <v>25</v>
      </c>
      <c r="M1" s="14">
        <v>25</v>
      </c>
      <c r="N1" s="14">
        <v>30</v>
      </c>
      <c r="O1" s="14">
        <v>30</v>
      </c>
      <c r="P1" s="14">
        <v>30</v>
      </c>
      <c r="Q1" s="14">
        <v>30</v>
      </c>
      <c r="R1" s="14">
        <v>50</v>
      </c>
      <c r="S1" s="14">
        <v>50</v>
      </c>
      <c r="T1" s="14">
        <v>50</v>
      </c>
      <c r="U1" s="14">
        <v>50</v>
      </c>
      <c r="V1" s="14">
        <v>100</v>
      </c>
      <c r="W1" s="14">
        <v>100</v>
      </c>
      <c r="X1" s="14">
        <v>100</v>
      </c>
      <c r="Y1" s="14">
        <v>100</v>
      </c>
      <c r="Z1" s="14">
        <v>12</v>
      </c>
      <c r="AA1" s="14">
        <v>12</v>
      </c>
      <c r="AB1" s="14">
        <v>12</v>
      </c>
      <c r="AC1" s="14">
        <v>12</v>
      </c>
      <c r="AD1" s="15">
        <v>24</v>
      </c>
      <c r="AE1" s="14">
        <v>24</v>
      </c>
      <c r="AF1" s="14">
        <v>24</v>
      </c>
      <c r="AG1" s="14">
        <v>24</v>
      </c>
    </row>
    <row r="2" spans="1:33" x14ac:dyDescent="0.25">
      <c r="A2" s="13" t="s">
        <v>8</v>
      </c>
      <c r="B2" s="16" t="s">
        <v>7</v>
      </c>
      <c r="C2" s="16" t="s">
        <v>7</v>
      </c>
      <c r="D2" s="16" t="s">
        <v>7</v>
      </c>
      <c r="E2" s="16" t="s">
        <v>7</v>
      </c>
      <c r="F2" s="16" t="s">
        <v>7</v>
      </c>
      <c r="G2" s="16" t="s">
        <v>7</v>
      </c>
      <c r="H2" s="16" t="s">
        <v>7</v>
      </c>
      <c r="I2" s="16" t="s">
        <v>7</v>
      </c>
      <c r="J2" s="16" t="s">
        <v>7</v>
      </c>
      <c r="K2" s="16" t="s">
        <v>7</v>
      </c>
      <c r="L2" s="16" t="s">
        <v>7</v>
      </c>
      <c r="M2" s="16" t="s">
        <v>7</v>
      </c>
      <c r="N2" s="16" t="s">
        <v>7</v>
      </c>
      <c r="O2" s="16" t="s">
        <v>7</v>
      </c>
      <c r="P2" s="16" t="s">
        <v>7</v>
      </c>
      <c r="Q2" s="16" t="s">
        <v>7</v>
      </c>
      <c r="R2" s="16" t="s">
        <v>7</v>
      </c>
      <c r="S2" s="16" t="s">
        <v>7</v>
      </c>
      <c r="T2" s="16" t="s">
        <v>7</v>
      </c>
      <c r="U2" s="16" t="s">
        <v>7</v>
      </c>
      <c r="V2" s="16" t="s">
        <v>7</v>
      </c>
      <c r="W2" s="16" t="s">
        <v>7</v>
      </c>
      <c r="X2" s="16" t="s">
        <v>7</v>
      </c>
      <c r="Y2" s="16" t="s">
        <v>7</v>
      </c>
      <c r="Z2" s="14" t="s">
        <v>12</v>
      </c>
      <c r="AA2" s="14" t="s">
        <v>12</v>
      </c>
      <c r="AB2" s="14" t="s">
        <v>12</v>
      </c>
      <c r="AC2" s="14" t="s">
        <v>12</v>
      </c>
      <c r="AD2" s="14" t="s">
        <v>12</v>
      </c>
      <c r="AE2" s="14" t="s">
        <v>12</v>
      </c>
      <c r="AF2" s="14" t="s">
        <v>12</v>
      </c>
      <c r="AG2" s="14" t="s">
        <v>12</v>
      </c>
    </row>
    <row r="3" spans="1:33" x14ac:dyDescent="0.25">
      <c r="A3" s="13" t="s">
        <v>48</v>
      </c>
      <c r="B3" s="14" t="s">
        <v>43</v>
      </c>
      <c r="C3" s="14" t="s">
        <v>4</v>
      </c>
      <c r="D3" s="14" t="s">
        <v>43</v>
      </c>
      <c r="E3" s="14" t="s">
        <v>4</v>
      </c>
      <c r="F3" s="14" t="s">
        <v>43</v>
      </c>
      <c r="G3" s="14" t="s">
        <v>4</v>
      </c>
      <c r="H3" s="14" t="s">
        <v>43</v>
      </c>
      <c r="I3" s="14" t="s">
        <v>4</v>
      </c>
      <c r="J3" s="14" t="s">
        <v>43</v>
      </c>
      <c r="K3" s="14" t="s">
        <v>4</v>
      </c>
      <c r="L3" s="14" t="s">
        <v>43</v>
      </c>
      <c r="M3" s="14" t="s">
        <v>4</v>
      </c>
      <c r="N3" s="14" t="s">
        <v>43</v>
      </c>
      <c r="O3" s="14" t="s">
        <v>4</v>
      </c>
      <c r="P3" s="14" t="s">
        <v>43</v>
      </c>
      <c r="Q3" s="14" t="s">
        <v>4</v>
      </c>
      <c r="R3" s="14" t="s">
        <v>43</v>
      </c>
      <c r="S3" s="14" t="s">
        <v>4</v>
      </c>
      <c r="T3" s="14" t="s">
        <v>43</v>
      </c>
      <c r="U3" s="14" t="s">
        <v>4</v>
      </c>
      <c r="V3" s="14" t="s">
        <v>43</v>
      </c>
      <c r="W3" s="14" t="s">
        <v>4</v>
      </c>
      <c r="X3" s="14" t="s">
        <v>43</v>
      </c>
      <c r="Y3" s="14" t="s">
        <v>4</v>
      </c>
      <c r="Z3" s="14" t="s">
        <v>43</v>
      </c>
      <c r="AA3" s="14" t="s">
        <v>4</v>
      </c>
      <c r="AB3" s="14" t="s">
        <v>43</v>
      </c>
      <c r="AC3" s="14" t="s">
        <v>4</v>
      </c>
      <c r="AD3" s="14" t="s">
        <v>43</v>
      </c>
      <c r="AE3" s="14" t="s">
        <v>4</v>
      </c>
      <c r="AF3" s="14" t="s">
        <v>43</v>
      </c>
      <c r="AG3" s="14" t="s">
        <v>4</v>
      </c>
    </row>
    <row r="4" spans="1:33" x14ac:dyDescent="0.25">
      <c r="A4" s="13" t="s">
        <v>6</v>
      </c>
      <c r="B4" s="14" t="s">
        <v>3</v>
      </c>
      <c r="C4" s="14" t="s">
        <v>3</v>
      </c>
      <c r="D4" s="14" t="s">
        <v>2</v>
      </c>
      <c r="E4" s="14" t="s">
        <v>2</v>
      </c>
      <c r="F4" s="14" t="s">
        <v>3</v>
      </c>
      <c r="G4" s="14" t="s">
        <v>3</v>
      </c>
      <c r="H4" s="14" t="s">
        <v>2</v>
      </c>
      <c r="I4" s="14" t="s">
        <v>2</v>
      </c>
      <c r="J4" s="14" t="s">
        <v>3</v>
      </c>
      <c r="K4" s="14" t="s">
        <v>3</v>
      </c>
      <c r="L4" s="14" t="s">
        <v>2</v>
      </c>
      <c r="M4" s="14" t="s">
        <v>2</v>
      </c>
      <c r="N4" s="14" t="s">
        <v>3</v>
      </c>
      <c r="O4" s="14" t="s">
        <v>3</v>
      </c>
      <c r="P4" s="14" t="s">
        <v>2</v>
      </c>
      <c r="Q4" s="14" t="s">
        <v>2</v>
      </c>
      <c r="R4" s="14" t="s">
        <v>3</v>
      </c>
      <c r="S4" s="14" t="s">
        <v>3</v>
      </c>
      <c r="T4" s="14" t="s">
        <v>2</v>
      </c>
      <c r="U4" s="14" t="s">
        <v>2</v>
      </c>
      <c r="V4" s="14" t="s">
        <v>3</v>
      </c>
      <c r="W4" s="14" t="s">
        <v>3</v>
      </c>
      <c r="X4" s="14" t="s">
        <v>2</v>
      </c>
      <c r="Y4" s="14" t="s">
        <v>2</v>
      </c>
      <c r="Z4" s="14" t="s">
        <v>3</v>
      </c>
      <c r="AA4" s="14" t="s">
        <v>3</v>
      </c>
      <c r="AB4" s="14" t="s">
        <v>2</v>
      </c>
      <c r="AC4" s="14" t="s">
        <v>2</v>
      </c>
      <c r="AD4" s="14" t="s">
        <v>3</v>
      </c>
      <c r="AE4" s="14" t="s">
        <v>3</v>
      </c>
      <c r="AF4" s="14" t="s">
        <v>2</v>
      </c>
      <c r="AG4" s="14" t="s">
        <v>33</v>
      </c>
    </row>
    <row r="5" spans="1:33" hidden="1" x14ac:dyDescent="0.25">
      <c r="A5" s="17">
        <v>11</v>
      </c>
      <c r="B5" s="33">
        <v>3.6805555555555554E-3</v>
      </c>
      <c r="C5" s="33">
        <v>4.9189814814814816E-3</v>
      </c>
      <c r="D5" s="33">
        <v>4.6643518518518518E-3</v>
      </c>
      <c r="E5" s="33">
        <v>6.030092592592593E-3</v>
      </c>
      <c r="F5" s="33"/>
      <c r="G5" s="33"/>
      <c r="H5" s="33"/>
      <c r="I5" s="33"/>
      <c r="J5" s="33"/>
      <c r="K5" s="33"/>
      <c r="L5" s="33"/>
      <c r="M5" s="33"/>
      <c r="N5" s="33"/>
      <c r="O5" s="33"/>
      <c r="P5" s="33"/>
      <c r="Q5" s="33"/>
      <c r="R5" s="33"/>
      <c r="S5" s="33"/>
      <c r="T5" s="33"/>
      <c r="U5" s="33"/>
      <c r="V5" s="33"/>
      <c r="W5" s="33"/>
      <c r="X5" s="33"/>
      <c r="Y5" s="33"/>
      <c r="Z5" s="34"/>
      <c r="AA5" s="34"/>
      <c r="AB5" s="34"/>
      <c r="AC5" s="34"/>
      <c r="AD5" s="34"/>
      <c r="AE5" s="34"/>
      <c r="AF5" s="34"/>
      <c r="AG5" s="34"/>
    </row>
    <row r="6" spans="1:33" hidden="1" x14ac:dyDescent="0.25">
      <c r="A6" s="17">
        <v>12</v>
      </c>
      <c r="B6" s="33">
        <v>2.0833333333333333E-3</v>
      </c>
      <c r="C6" s="33">
        <v>3.1597222222222222E-3</v>
      </c>
      <c r="D6" s="33">
        <v>2.9166666666666668E-3</v>
      </c>
      <c r="E6" s="33">
        <v>4.0972222222222226E-3</v>
      </c>
      <c r="F6" s="33">
        <v>3.2754629629629631E-3</v>
      </c>
      <c r="G6" s="33">
        <v>4.9074074074074072E-3</v>
      </c>
      <c r="H6" s="33">
        <v>4.5486111111111109E-3</v>
      </c>
      <c r="I6" s="33">
        <v>6.3194444444444444E-3</v>
      </c>
      <c r="J6" s="33">
        <v>5.9837962962962961E-3</v>
      </c>
      <c r="K6" s="33">
        <v>8.773148148148148E-3</v>
      </c>
      <c r="L6" s="33">
        <v>8.1481481481481474E-3</v>
      </c>
      <c r="M6" s="33">
        <v>1.1203703703703704E-2</v>
      </c>
      <c r="N6" s="33">
        <v>7.5347222222222222E-3</v>
      </c>
      <c r="O6" s="33">
        <v>1.0925925925925926E-2</v>
      </c>
      <c r="P6" s="33">
        <v>1.0173611111111111E-2</v>
      </c>
      <c r="Q6" s="33">
        <v>1.3888888888888888E-2</v>
      </c>
      <c r="R6" s="33">
        <v>1.5474537037037037E-2</v>
      </c>
      <c r="S6" s="33">
        <v>2.1516203703703704E-2</v>
      </c>
      <c r="T6" s="33">
        <v>2.0196759259259258E-2</v>
      </c>
      <c r="U6" s="33">
        <v>2.6805555555555555E-2</v>
      </c>
      <c r="V6" s="33">
        <v>6.4571759259259259E-2</v>
      </c>
      <c r="W6" s="33">
        <v>8.0694444444444444E-2</v>
      </c>
      <c r="X6" s="33">
        <v>7.7453703703703705E-2</v>
      </c>
      <c r="Y6" s="33">
        <v>9.5127314814814817E-2</v>
      </c>
      <c r="Z6" s="34">
        <v>35.599201388888886</v>
      </c>
      <c r="AA6" s="34">
        <v>47.403194444444445</v>
      </c>
      <c r="AB6" s="34">
        <v>44.470405092592593</v>
      </c>
      <c r="AC6" s="34">
        <v>55.473599537037039</v>
      </c>
      <c r="AD6" s="34">
        <v>47.397997685185182</v>
      </c>
      <c r="AE6" s="34">
        <v>65.556400462962969</v>
      </c>
      <c r="AF6" s="34">
        <v>61.183194444444446</v>
      </c>
      <c r="AG6" s="34">
        <v>78.577199074074073</v>
      </c>
    </row>
    <row r="7" spans="1:33" hidden="1" x14ac:dyDescent="0.25">
      <c r="A7" s="17">
        <v>13</v>
      </c>
      <c r="B7" s="33">
        <v>1.25E-3</v>
      </c>
      <c r="C7" s="33">
        <v>2.2337962962962962E-3</v>
      </c>
      <c r="D7" s="33">
        <v>2.0023148148148148E-3</v>
      </c>
      <c r="E7" s="33">
        <v>3.0787037037037037E-3</v>
      </c>
      <c r="F7" s="33">
        <v>1.9560185185185184E-3</v>
      </c>
      <c r="G7" s="33">
        <v>3.4375E-3</v>
      </c>
      <c r="H7" s="33">
        <v>3.0902777777777777E-3</v>
      </c>
      <c r="I7" s="33">
        <v>4.7222222222222223E-3</v>
      </c>
      <c r="J7" s="33">
        <v>3.5300925925925925E-3</v>
      </c>
      <c r="K7" s="33">
        <v>6.0416666666666665E-3</v>
      </c>
      <c r="L7" s="33">
        <v>5.4629629629629629E-3</v>
      </c>
      <c r="M7" s="33">
        <v>8.2175925925925923E-3</v>
      </c>
      <c r="N7" s="33">
        <v>4.4212962962962964E-3</v>
      </c>
      <c r="O7" s="33">
        <v>7.4652777777777781E-3</v>
      </c>
      <c r="P7" s="33">
        <v>6.7708333333333336E-3</v>
      </c>
      <c r="Q7" s="33">
        <v>1.0092592592592592E-2</v>
      </c>
      <c r="R7" s="33">
        <v>8.8078703703703704E-3</v>
      </c>
      <c r="S7" s="33">
        <v>1.4108796296296296E-2</v>
      </c>
      <c r="T7" s="33">
        <v>1.2905092592592593E-2</v>
      </c>
      <c r="U7" s="33">
        <v>1.8703703703703705E-2</v>
      </c>
      <c r="V7" s="33">
        <v>3.142361111111111E-2</v>
      </c>
      <c r="W7" s="33">
        <v>4.386574074074074E-2</v>
      </c>
      <c r="X7" s="33">
        <v>4.1145833333333333E-2</v>
      </c>
      <c r="Y7" s="33">
        <v>5.4780092592592596E-2</v>
      </c>
      <c r="Z7" s="34">
        <v>24.237199074074073</v>
      </c>
      <c r="AA7" s="34">
        <v>36.685995370370371</v>
      </c>
      <c r="AB7" s="34">
        <v>33.67</v>
      </c>
      <c r="AC7" s="34">
        <v>45.333599537037038</v>
      </c>
      <c r="AD7" s="34">
        <v>32.734004629629631</v>
      </c>
      <c r="AE7" s="34">
        <v>51.256400462962965</v>
      </c>
      <c r="AF7" s="34">
        <v>46.836400462962963</v>
      </c>
      <c r="AG7" s="34">
        <v>64.641203703703709</v>
      </c>
    </row>
    <row r="8" spans="1:33" hidden="1" x14ac:dyDescent="0.25">
      <c r="A8" s="17">
        <v>14</v>
      </c>
      <c r="B8" s="33">
        <v>7.407407407407407E-4</v>
      </c>
      <c r="C8" s="33">
        <v>1.6666666666666668E-3</v>
      </c>
      <c r="D8" s="33">
        <v>1.4467592592592592E-3</v>
      </c>
      <c r="E8" s="33">
        <v>2.4652777777777776E-3</v>
      </c>
      <c r="F8" s="33">
        <v>1.1574074074074073E-3</v>
      </c>
      <c r="G8" s="33">
        <v>2.5578703703703705E-3</v>
      </c>
      <c r="H8" s="33">
        <v>2.2222222222222222E-3</v>
      </c>
      <c r="I8" s="33">
        <v>3.7499999999999999E-3</v>
      </c>
      <c r="J8" s="33">
        <v>2.0833333333333333E-3</v>
      </c>
      <c r="K8" s="33">
        <v>4.4444444444444444E-3</v>
      </c>
      <c r="L8" s="33">
        <v>3.8888888888888888E-3</v>
      </c>
      <c r="M8" s="33">
        <v>6.4583333333333333E-3</v>
      </c>
      <c r="N8" s="33">
        <v>2.6041666666666665E-3</v>
      </c>
      <c r="O8" s="33">
        <v>5.4513888888888893E-3</v>
      </c>
      <c r="P8" s="33">
        <v>4.7800925925925927E-3</v>
      </c>
      <c r="Q8" s="33">
        <v>7.8935185185185185E-3</v>
      </c>
      <c r="R8" s="33">
        <v>5.115740740740741E-3</v>
      </c>
      <c r="S8" s="33">
        <v>0.01</v>
      </c>
      <c r="T8" s="33">
        <v>8.8425925925925929E-3</v>
      </c>
      <c r="U8" s="33">
        <v>1.4201388888888888E-2</v>
      </c>
      <c r="V8" s="33">
        <v>1.7025462962962964E-2</v>
      </c>
      <c r="W8" s="33">
        <v>2.7870370370370372E-2</v>
      </c>
      <c r="X8" s="33">
        <v>2.537037037037037E-2</v>
      </c>
      <c r="Y8" s="33">
        <v>3.7245370370370373E-2</v>
      </c>
      <c r="Z8" s="34">
        <v>15.719594907407407</v>
      </c>
      <c r="AA8" s="34">
        <v>28.693599537037038</v>
      </c>
      <c r="AB8" s="34">
        <v>25.599594907407408</v>
      </c>
      <c r="AC8" s="34">
        <v>37.798796296296295</v>
      </c>
      <c r="AD8" s="34">
        <v>21.45</v>
      </c>
      <c r="AE8" s="34">
        <v>40.294803240740741</v>
      </c>
      <c r="AF8" s="34">
        <v>35.827997685185188</v>
      </c>
      <c r="AG8" s="34">
        <v>53.986400462962962</v>
      </c>
    </row>
    <row r="9" spans="1:33" hidden="1" x14ac:dyDescent="0.25">
      <c r="A9" s="17">
        <v>15</v>
      </c>
      <c r="B9" s="33">
        <v>4.1666666666666669E-4</v>
      </c>
      <c r="C9" s="33">
        <v>1.3078703703703703E-3</v>
      </c>
      <c r="D9" s="33">
        <v>1.0995370370370371E-3</v>
      </c>
      <c r="E9" s="33">
        <v>2.0717592592592593E-3</v>
      </c>
      <c r="F9" s="33">
        <v>6.5972222222222224E-4</v>
      </c>
      <c r="G9" s="33">
        <v>1.9907407407407408E-3</v>
      </c>
      <c r="H9" s="33">
        <v>1.6782407407407408E-3</v>
      </c>
      <c r="I9" s="33">
        <v>3.1365740740740742E-3</v>
      </c>
      <c r="J9" s="33">
        <v>1.1805555555555556E-3</v>
      </c>
      <c r="K9" s="33">
        <v>3.4375E-3</v>
      </c>
      <c r="L9" s="33">
        <v>2.8935185185185184E-3</v>
      </c>
      <c r="M9" s="33">
        <v>5.3587962962962964E-3</v>
      </c>
      <c r="N9" s="33">
        <v>1.4699074074074074E-3</v>
      </c>
      <c r="O9" s="33">
        <v>4.1898148148148146E-3</v>
      </c>
      <c r="P9" s="33">
        <v>3.5300925925925925E-3</v>
      </c>
      <c r="Q9" s="33">
        <v>6.5046296296296293E-3</v>
      </c>
      <c r="R9" s="33">
        <v>2.8587962962962963E-3</v>
      </c>
      <c r="S9" s="33">
        <v>7.4884259259259262E-3</v>
      </c>
      <c r="T9" s="33">
        <v>6.3773148148148148E-3</v>
      </c>
      <c r="U9" s="33">
        <v>1.1446759259259259E-2</v>
      </c>
      <c r="V9" s="33">
        <v>9.1666666666666667E-3</v>
      </c>
      <c r="W9" s="33">
        <v>1.9131944444444444E-2</v>
      </c>
      <c r="X9" s="33">
        <v>1.6759259259259258E-2</v>
      </c>
      <c r="Y9" s="33">
        <v>2.7673611111111111E-2</v>
      </c>
      <c r="Z9" s="34">
        <v>9.443194444444444</v>
      </c>
      <c r="AA9" s="34">
        <v>22.817604166666666</v>
      </c>
      <c r="AB9" s="34">
        <v>19.671597222222221</v>
      </c>
      <c r="AC9" s="34">
        <v>32.271203703703705</v>
      </c>
      <c r="AD9" s="34">
        <v>12.984398148148149</v>
      </c>
      <c r="AE9" s="34">
        <v>32.089201388888888</v>
      </c>
      <c r="AF9" s="34">
        <v>27.58079861111111</v>
      </c>
      <c r="AG9" s="34">
        <v>46.025196759259259</v>
      </c>
    </row>
    <row r="10" spans="1:33" hidden="1" x14ac:dyDescent="0.25">
      <c r="A10" s="17">
        <v>16</v>
      </c>
      <c r="B10" s="33">
        <v>2.199074074074074E-4</v>
      </c>
      <c r="C10" s="33">
        <v>1.0763888888888889E-3</v>
      </c>
      <c r="D10" s="33">
        <v>8.6805555555555551E-4</v>
      </c>
      <c r="E10" s="33">
        <v>1.8055555555555555E-3</v>
      </c>
      <c r="F10" s="33">
        <v>3.3564814814814812E-4</v>
      </c>
      <c r="G10" s="33">
        <v>1.6319444444444445E-3</v>
      </c>
      <c r="H10" s="33">
        <v>1.3194444444444445E-3</v>
      </c>
      <c r="I10" s="33">
        <v>2.7430555555555554E-3</v>
      </c>
      <c r="J10" s="33">
        <v>6.018518518518519E-4</v>
      </c>
      <c r="K10" s="33">
        <v>2.7777777777777779E-3</v>
      </c>
      <c r="L10" s="33">
        <v>2.2453703703703702E-3</v>
      </c>
      <c r="M10" s="33">
        <v>4.6412037037037038E-3</v>
      </c>
      <c r="N10" s="33">
        <v>7.407407407407407E-4</v>
      </c>
      <c r="O10" s="33">
        <v>3.3796296296296296E-3</v>
      </c>
      <c r="P10" s="33">
        <v>2.7430555555555554E-3</v>
      </c>
      <c r="Q10" s="33">
        <v>5.6249999999999998E-3</v>
      </c>
      <c r="R10" s="33">
        <v>1.4351851851851852E-3</v>
      </c>
      <c r="S10" s="33">
        <v>5.9143518518518521E-3</v>
      </c>
      <c r="T10" s="33">
        <v>4.8263888888888887E-3</v>
      </c>
      <c r="U10" s="33">
        <v>9.7222222222222224E-3</v>
      </c>
      <c r="V10" s="33">
        <v>4.5254629629629629E-3</v>
      </c>
      <c r="W10" s="33">
        <v>1.3969907407407407E-2</v>
      </c>
      <c r="X10" s="33">
        <v>1.1666666666666667E-2</v>
      </c>
      <c r="Y10" s="33">
        <v>2.2025462962962962E-2</v>
      </c>
      <c r="Z10" s="34">
        <v>4.9971990740740742</v>
      </c>
      <c r="AA10" s="34">
        <v>18.662800925925925</v>
      </c>
      <c r="AB10" s="34">
        <v>15.475196759259259</v>
      </c>
      <c r="AC10" s="34">
        <v>28.365995370370371</v>
      </c>
      <c r="AD10" s="34">
        <v>6.9004050925925924</v>
      </c>
      <c r="AE10" s="34">
        <v>26.202800925925924</v>
      </c>
      <c r="AF10" s="34">
        <v>21.668402777777779</v>
      </c>
      <c r="AG10" s="34">
        <v>40.325995370370372</v>
      </c>
    </row>
    <row r="11" spans="1:33" hidden="1" x14ac:dyDescent="0.25">
      <c r="A11" s="17">
        <v>17</v>
      </c>
      <c r="B11" s="33">
        <v>8.1018518518518516E-5</v>
      </c>
      <c r="C11" s="33">
        <v>9.3749999999999997E-4</v>
      </c>
      <c r="D11" s="33">
        <v>7.291666666666667E-4</v>
      </c>
      <c r="E11" s="33">
        <v>1.6550925925925926E-3</v>
      </c>
      <c r="F11" s="33">
        <v>1.3888888888888889E-4</v>
      </c>
      <c r="G11" s="33">
        <v>1.4120370370370369E-3</v>
      </c>
      <c r="H11" s="33">
        <v>1.0995370370370371E-3</v>
      </c>
      <c r="I11" s="33">
        <v>2.5000000000000001E-3</v>
      </c>
      <c r="J11" s="33">
        <v>2.4305555555555555E-4</v>
      </c>
      <c r="K11" s="33">
        <v>2.3842592592592591E-3</v>
      </c>
      <c r="L11" s="33">
        <v>1.8634259259259259E-3</v>
      </c>
      <c r="M11" s="33">
        <v>4.2129629629629626E-3</v>
      </c>
      <c r="N11" s="33">
        <v>3.0092592592592595E-4</v>
      </c>
      <c r="O11" s="33">
        <v>2.8935185185185184E-3</v>
      </c>
      <c r="P11" s="33">
        <v>2.2569444444444442E-3</v>
      </c>
      <c r="Q11" s="33">
        <v>5.0810185185185186E-3</v>
      </c>
      <c r="R11" s="33">
        <v>5.7870370370370367E-4</v>
      </c>
      <c r="S11" s="33">
        <v>4.9652777777777777E-3</v>
      </c>
      <c r="T11" s="33">
        <v>3.8773148148148148E-3</v>
      </c>
      <c r="U11" s="33">
        <v>8.6805555555555559E-3</v>
      </c>
      <c r="V11" s="33">
        <v>1.8055555555555555E-3</v>
      </c>
      <c r="W11" s="33">
        <v>1.0949074074074075E-2</v>
      </c>
      <c r="X11" s="33">
        <v>8.6921296296296295E-3</v>
      </c>
      <c r="Y11" s="33">
        <v>1.8715277777777779E-2</v>
      </c>
      <c r="Z11" s="34">
        <v>2.0748032407407409</v>
      </c>
      <c r="AA11" s="34">
        <v>15.932800925925926</v>
      </c>
      <c r="AB11" s="34">
        <v>12.724398148148149</v>
      </c>
      <c r="AC11" s="34">
        <v>25.807604166666668</v>
      </c>
      <c r="AD11" s="34">
        <v>2.8704050925925926</v>
      </c>
      <c r="AE11" s="34">
        <v>22.307997685185185</v>
      </c>
      <c r="AF11" s="34">
        <v>17.752800925925925</v>
      </c>
      <c r="AG11" s="34">
        <v>36.561203703703704</v>
      </c>
    </row>
    <row r="12" spans="1:33" hidden="1" x14ac:dyDescent="0.25">
      <c r="A12" s="17">
        <v>18</v>
      </c>
      <c r="B12" s="33">
        <v>1.1574074074074073E-5</v>
      </c>
      <c r="C12" s="33">
        <v>8.564814814814815E-4</v>
      </c>
      <c r="D12" s="33">
        <v>6.4814814814814813E-4</v>
      </c>
      <c r="E12" s="33">
        <v>1.5740740740740741E-3</v>
      </c>
      <c r="F12" s="33">
        <v>2.3148148148148147E-5</v>
      </c>
      <c r="G12" s="33">
        <v>1.2962962962962963E-3</v>
      </c>
      <c r="H12" s="33">
        <v>9.837962962962962E-4</v>
      </c>
      <c r="I12" s="33">
        <v>2.3726851851851851E-3</v>
      </c>
      <c r="J12" s="33">
        <v>5.7870370370370373E-5</v>
      </c>
      <c r="K12" s="33">
        <v>2.1759259259259258E-3</v>
      </c>
      <c r="L12" s="33">
        <v>1.6550925925925926E-3</v>
      </c>
      <c r="M12" s="33">
        <v>3.9814814814814817E-3</v>
      </c>
      <c r="N12" s="33">
        <v>6.9444444444444444E-5</v>
      </c>
      <c r="O12" s="33">
        <v>2.627314814814815E-3</v>
      </c>
      <c r="P12" s="33">
        <v>1.9907407407407408E-3</v>
      </c>
      <c r="Q12" s="33">
        <v>4.7916666666666663E-3</v>
      </c>
      <c r="R12" s="33">
        <v>1.273148148148148E-4</v>
      </c>
      <c r="S12" s="33">
        <v>4.4560185185185189E-3</v>
      </c>
      <c r="T12" s="33">
        <v>3.3796296296296296E-3</v>
      </c>
      <c r="U12" s="33">
        <v>8.1250000000000003E-3</v>
      </c>
      <c r="V12" s="33">
        <v>3.9351851851851852E-4</v>
      </c>
      <c r="W12" s="33">
        <v>9.3865740740740732E-3</v>
      </c>
      <c r="X12" s="33">
        <v>7.1527777777777779E-3</v>
      </c>
      <c r="Y12" s="33">
        <v>1.7002314814814814E-2</v>
      </c>
      <c r="Z12" s="34">
        <v>0.46280092592592592</v>
      </c>
      <c r="AA12" s="34">
        <v>14.435196759259259</v>
      </c>
      <c r="AB12" s="34">
        <v>11.205995370370371</v>
      </c>
      <c r="AC12" s="34">
        <v>24.398402777777779</v>
      </c>
      <c r="AD12" s="34">
        <v>0.63959490740740743</v>
      </c>
      <c r="AE12" s="34">
        <v>20.149999999999999</v>
      </c>
      <c r="AF12" s="34">
        <v>15.589594907407408</v>
      </c>
      <c r="AG12" s="34">
        <v>34.47599537037037</v>
      </c>
    </row>
    <row r="13" spans="1:33" hidden="1" x14ac:dyDescent="0.25">
      <c r="A13" s="17">
        <v>19</v>
      </c>
      <c r="B13" s="33">
        <v>0</v>
      </c>
      <c r="C13" s="33">
        <v>8.3333333333333339E-4</v>
      </c>
      <c r="D13" s="33">
        <v>6.2500000000000001E-4</v>
      </c>
      <c r="E13" s="33">
        <v>1.5509259259259259E-3</v>
      </c>
      <c r="F13" s="33">
        <v>0</v>
      </c>
      <c r="G13" s="33">
        <v>1.261574074074074E-3</v>
      </c>
      <c r="H13" s="33">
        <v>9.4907407407407408E-4</v>
      </c>
      <c r="I13" s="33">
        <v>2.3379629629629631E-3</v>
      </c>
      <c r="J13" s="33">
        <v>0</v>
      </c>
      <c r="K13" s="33">
        <v>2.1180555555555558E-3</v>
      </c>
      <c r="L13" s="33">
        <v>1.5972222222222223E-3</v>
      </c>
      <c r="M13" s="33">
        <v>3.9120370370370368E-3</v>
      </c>
      <c r="N13" s="33">
        <v>0</v>
      </c>
      <c r="O13" s="33">
        <v>2.5578703703703705E-3</v>
      </c>
      <c r="P13" s="33">
        <v>1.9212962962962964E-3</v>
      </c>
      <c r="Q13" s="33">
        <v>4.7222222222222223E-3</v>
      </c>
      <c r="R13" s="33">
        <v>0</v>
      </c>
      <c r="S13" s="33">
        <v>4.31712962962963E-3</v>
      </c>
      <c r="T13" s="33">
        <v>3.2407407407407406E-3</v>
      </c>
      <c r="U13" s="33">
        <v>7.9745370370370369E-3</v>
      </c>
      <c r="V13" s="33">
        <v>0</v>
      </c>
      <c r="W13" s="33">
        <v>8.9467592592592585E-3</v>
      </c>
      <c r="X13" s="33">
        <v>6.7245370370370367E-3</v>
      </c>
      <c r="Y13" s="33">
        <v>1.6527777777777777E-2</v>
      </c>
      <c r="Z13" s="34">
        <v>0</v>
      </c>
      <c r="AA13" s="34">
        <v>14.003599537037037</v>
      </c>
      <c r="AB13" s="34">
        <v>10.774398148148148</v>
      </c>
      <c r="AC13" s="34">
        <v>23.997997685185187</v>
      </c>
      <c r="AD13" s="34">
        <v>0</v>
      </c>
      <c r="AE13" s="34">
        <v>19.531203703703703</v>
      </c>
      <c r="AF13" s="34">
        <v>14.965601851851853</v>
      </c>
      <c r="AG13" s="34">
        <v>33.877997685185186</v>
      </c>
    </row>
    <row r="14" spans="1:33" hidden="1" x14ac:dyDescent="0.25">
      <c r="A14" s="17">
        <v>20</v>
      </c>
      <c r="B14" s="33">
        <v>0</v>
      </c>
      <c r="C14" s="33">
        <v>8.3333333333333339E-4</v>
      </c>
      <c r="D14" s="33">
        <v>6.2500000000000001E-4</v>
      </c>
      <c r="E14" s="33">
        <v>1.5509259259259259E-3</v>
      </c>
      <c r="F14" s="33">
        <v>0</v>
      </c>
      <c r="G14" s="33">
        <v>1.261574074074074E-3</v>
      </c>
      <c r="H14" s="33">
        <v>9.4907407407407408E-4</v>
      </c>
      <c r="I14" s="33">
        <v>2.3379629629629631E-3</v>
      </c>
      <c r="J14" s="33">
        <v>0</v>
      </c>
      <c r="K14" s="33">
        <v>2.1180555555555558E-3</v>
      </c>
      <c r="L14" s="33">
        <v>1.5972222222222223E-3</v>
      </c>
      <c r="M14" s="33">
        <v>3.9120370370370368E-3</v>
      </c>
      <c r="N14" s="33">
        <v>0</v>
      </c>
      <c r="O14" s="33">
        <v>2.5578703703703705E-3</v>
      </c>
      <c r="P14" s="33">
        <v>1.9212962962962964E-3</v>
      </c>
      <c r="Q14" s="33">
        <v>4.7222222222222223E-3</v>
      </c>
      <c r="R14" s="33">
        <v>0</v>
      </c>
      <c r="S14" s="33">
        <v>4.31712962962963E-3</v>
      </c>
      <c r="T14" s="33">
        <v>3.2407407407407406E-3</v>
      </c>
      <c r="U14" s="33">
        <v>7.9745370370370369E-3</v>
      </c>
      <c r="V14" s="33">
        <v>0</v>
      </c>
      <c r="W14" s="33">
        <v>8.9467592592592585E-3</v>
      </c>
      <c r="X14" s="33">
        <v>6.7245370370370367E-3</v>
      </c>
      <c r="Y14" s="33">
        <v>1.6527777777777777E-2</v>
      </c>
      <c r="Z14" s="34">
        <v>0</v>
      </c>
      <c r="AA14" s="34">
        <v>14.003599537037037</v>
      </c>
      <c r="AB14" s="34">
        <v>10.774398148148148</v>
      </c>
      <c r="AC14" s="34">
        <v>23.997997685185187</v>
      </c>
      <c r="AD14" s="34">
        <v>0</v>
      </c>
      <c r="AE14" s="34">
        <v>19.531203703703703</v>
      </c>
      <c r="AF14" s="34">
        <v>14.965601851851853</v>
      </c>
      <c r="AG14" s="34">
        <v>33.877997685185186</v>
      </c>
    </row>
    <row r="15" spans="1:33" hidden="1" x14ac:dyDescent="0.25">
      <c r="A15" s="17">
        <v>21</v>
      </c>
      <c r="B15" s="33">
        <v>0</v>
      </c>
      <c r="C15" s="33">
        <v>8.3333333333333339E-4</v>
      </c>
      <c r="D15" s="33">
        <v>6.2500000000000001E-4</v>
      </c>
      <c r="E15" s="33">
        <v>1.5509259259259259E-3</v>
      </c>
      <c r="F15" s="33">
        <v>0</v>
      </c>
      <c r="G15" s="33">
        <v>1.261574074074074E-3</v>
      </c>
      <c r="H15" s="33">
        <v>9.4907407407407408E-4</v>
      </c>
      <c r="I15" s="33">
        <v>2.3379629629629631E-3</v>
      </c>
      <c r="J15" s="33">
        <v>0</v>
      </c>
      <c r="K15" s="33">
        <v>2.1180555555555558E-3</v>
      </c>
      <c r="L15" s="33">
        <v>1.5972222222222223E-3</v>
      </c>
      <c r="M15" s="33">
        <v>3.9120370370370368E-3</v>
      </c>
      <c r="N15" s="33">
        <v>0</v>
      </c>
      <c r="O15" s="33">
        <v>2.5578703703703705E-3</v>
      </c>
      <c r="P15" s="33">
        <v>1.9212962962962964E-3</v>
      </c>
      <c r="Q15" s="33">
        <v>4.7222222222222223E-3</v>
      </c>
      <c r="R15" s="33">
        <v>0</v>
      </c>
      <c r="S15" s="33">
        <v>4.31712962962963E-3</v>
      </c>
      <c r="T15" s="33">
        <v>3.2407407407407406E-3</v>
      </c>
      <c r="U15" s="33">
        <v>7.9745370370370369E-3</v>
      </c>
      <c r="V15" s="33">
        <v>0</v>
      </c>
      <c r="W15" s="33">
        <v>8.9467592592592585E-3</v>
      </c>
      <c r="X15" s="33">
        <v>6.7245370370370367E-3</v>
      </c>
      <c r="Y15" s="33">
        <v>1.6527777777777777E-2</v>
      </c>
      <c r="Z15" s="34">
        <v>0</v>
      </c>
      <c r="AA15" s="34">
        <v>14.003599537037037</v>
      </c>
      <c r="AB15" s="34">
        <v>10.774398148148148</v>
      </c>
      <c r="AC15" s="34">
        <v>23.997997685185187</v>
      </c>
      <c r="AD15" s="34">
        <v>0</v>
      </c>
      <c r="AE15" s="34">
        <v>19.531203703703703</v>
      </c>
      <c r="AF15" s="34">
        <v>14.965601851851853</v>
      </c>
      <c r="AG15" s="34">
        <v>33.877997685185186</v>
      </c>
    </row>
    <row r="16" spans="1:33" hidden="1" x14ac:dyDescent="0.25">
      <c r="A16" s="17">
        <v>22</v>
      </c>
      <c r="B16" s="33">
        <v>0</v>
      </c>
      <c r="C16" s="33">
        <v>8.3333333333333339E-4</v>
      </c>
      <c r="D16" s="33">
        <v>6.2500000000000001E-4</v>
      </c>
      <c r="E16" s="33">
        <v>1.5509259259259259E-3</v>
      </c>
      <c r="F16" s="33">
        <v>0</v>
      </c>
      <c r="G16" s="33">
        <v>1.261574074074074E-3</v>
      </c>
      <c r="H16" s="33">
        <v>9.4907407407407408E-4</v>
      </c>
      <c r="I16" s="33">
        <v>2.3379629629629631E-3</v>
      </c>
      <c r="J16" s="33">
        <v>0</v>
      </c>
      <c r="K16" s="33">
        <v>2.1180555555555558E-3</v>
      </c>
      <c r="L16" s="33">
        <v>1.5972222222222223E-3</v>
      </c>
      <c r="M16" s="33">
        <v>3.9120370370370368E-3</v>
      </c>
      <c r="N16" s="33">
        <v>0</v>
      </c>
      <c r="O16" s="33">
        <v>2.5578703703703705E-3</v>
      </c>
      <c r="P16" s="33">
        <v>1.9212962962962964E-3</v>
      </c>
      <c r="Q16" s="33">
        <v>4.7222222222222223E-3</v>
      </c>
      <c r="R16" s="33">
        <v>0</v>
      </c>
      <c r="S16" s="33">
        <v>4.31712962962963E-3</v>
      </c>
      <c r="T16" s="33">
        <v>3.2407407407407406E-3</v>
      </c>
      <c r="U16" s="33">
        <v>7.9745370370370369E-3</v>
      </c>
      <c r="V16" s="33">
        <v>0</v>
      </c>
      <c r="W16" s="33">
        <v>8.9467592592592585E-3</v>
      </c>
      <c r="X16" s="33">
        <v>6.7245370370370367E-3</v>
      </c>
      <c r="Y16" s="33">
        <v>1.6527777777777777E-2</v>
      </c>
      <c r="Z16" s="34">
        <v>0</v>
      </c>
      <c r="AA16" s="34">
        <v>14.003599537037037</v>
      </c>
      <c r="AB16" s="34">
        <v>10.774398148148148</v>
      </c>
      <c r="AC16" s="34">
        <v>23.997997685185187</v>
      </c>
      <c r="AD16" s="34">
        <v>0</v>
      </c>
      <c r="AE16" s="34">
        <v>19.531203703703703</v>
      </c>
      <c r="AF16" s="34">
        <v>14.965601851851853</v>
      </c>
      <c r="AG16" s="34">
        <v>33.877997685185186</v>
      </c>
    </row>
    <row r="17" spans="1:33" hidden="1" x14ac:dyDescent="0.25">
      <c r="A17" s="17">
        <v>23</v>
      </c>
      <c r="B17" s="33">
        <v>0</v>
      </c>
      <c r="C17" s="33">
        <v>8.3333333333333339E-4</v>
      </c>
      <c r="D17" s="33">
        <v>6.2500000000000001E-4</v>
      </c>
      <c r="E17" s="33">
        <v>1.5509259259259259E-3</v>
      </c>
      <c r="F17" s="33">
        <v>0</v>
      </c>
      <c r="G17" s="33">
        <v>1.261574074074074E-3</v>
      </c>
      <c r="H17" s="33">
        <v>9.4907407407407408E-4</v>
      </c>
      <c r="I17" s="33">
        <v>2.3379629629629631E-3</v>
      </c>
      <c r="J17" s="33">
        <v>0</v>
      </c>
      <c r="K17" s="33">
        <v>2.1180555555555558E-3</v>
      </c>
      <c r="L17" s="33">
        <v>1.5972222222222223E-3</v>
      </c>
      <c r="M17" s="33">
        <v>3.9120370370370368E-3</v>
      </c>
      <c r="N17" s="33">
        <v>0</v>
      </c>
      <c r="O17" s="33">
        <v>2.5578703703703705E-3</v>
      </c>
      <c r="P17" s="33">
        <v>1.9212962962962964E-3</v>
      </c>
      <c r="Q17" s="33">
        <v>4.7222222222222223E-3</v>
      </c>
      <c r="R17" s="33">
        <v>0</v>
      </c>
      <c r="S17" s="33">
        <v>4.31712962962963E-3</v>
      </c>
      <c r="T17" s="33">
        <v>3.2407407407407406E-3</v>
      </c>
      <c r="U17" s="33">
        <v>7.9745370370370369E-3</v>
      </c>
      <c r="V17" s="33">
        <v>0</v>
      </c>
      <c r="W17" s="33">
        <v>8.9467592592592585E-3</v>
      </c>
      <c r="X17" s="33">
        <v>6.7245370370370367E-3</v>
      </c>
      <c r="Y17" s="33">
        <v>1.6527777777777777E-2</v>
      </c>
      <c r="Z17" s="34">
        <v>0</v>
      </c>
      <c r="AA17" s="34">
        <v>14.003599537037037</v>
      </c>
      <c r="AB17" s="34">
        <v>10.774398148148148</v>
      </c>
      <c r="AC17" s="34">
        <v>23.997997685185187</v>
      </c>
      <c r="AD17" s="34">
        <v>0</v>
      </c>
      <c r="AE17" s="34">
        <v>19.531203703703703</v>
      </c>
      <c r="AF17" s="34">
        <v>14.965601851851853</v>
      </c>
      <c r="AG17" s="34">
        <v>33.877997685185186</v>
      </c>
    </row>
    <row r="18" spans="1:33" hidden="1" x14ac:dyDescent="0.25">
      <c r="A18" s="17">
        <v>24</v>
      </c>
      <c r="B18" s="33">
        <v>0</v>
      </c>
      <c r="C18" s="33">
        <v>8.3333333333333339E-4</v>
      </c>
      <c r="D18" s="33">
        <v>6.2500000000000001E-4</v>
      </c>
      <c r="E18" s="33">
        <v>1.5509259259259259E-3</v>
      </c>
      <c r="F18" s="33">
        <v>0</v>
      </c>
      <c r="G18" s="33">
        <v>1.261574074074074E-3</v>
      </c>
      <c r="H18" s="33">
        <v>9.4907407407407408E-4</v>
      </c>
      <c r="I18" s="33">
        <v>2.3379629629629631E-3</v>
      </c>
      <c r="J18" s="33">
        <v>0</v>
      </c>
      <c r="K18" s="33">
        <v>2.1180555555555558E-3</v>
      </c>
      <c r="L18" s="33">
        <v>1.5972222222222223E-3</v>
      </c>
      <c r="M18" s="33">
        <v>3.9120370370370368E-3</v>
      </c>
      <c r="N18" s="33">
        <v>0</v>
      </c>
      <c r="O18" s="33">
        <v>2.5578703703703705E-3</v>
      </c>
      <c r="P18" s="33">
        <v>1.9212962962962964E-3</v>
      </c>
      <c r="Q18" s="33">
        <v>4.7222222222222223E-3</v>
      </c>
      <c r="R18" s="33">
        <v>0</v>
      </c>
      <c r="S18" s="33">
        <v>4.31712962962963E-3</v>
      </c>
      <c r="T18" s="33">
        <v>3.2407407407407406E-3</v>
      </c>
      <c r="U18" s="33">
        <v>7.9745370370370369E-3</v>
      </c>
      <c r="V18" s="33">
        <v>0</v>
      </c>
      <c r="W18" s="33">
        <v>8.9467592592592585E-3</v>
      </c>
      <c r="X18" s="33">
        <v>6.7245370370370367E-3</v>
      </c>
      <c r="Y18" s="33">
        <v>1.6527777777777777E-2</v>
      </c>
      <c r="Z18" s="34">
        <v>0</v>
      </c>
      <c r="AA18" s="34">
        <v>14.003599537037037</v>
      </c>
      <c r="AB18" s="34">
        <v>10.774398148148148</v>
      </c>
      <c r="AC18" s="34">
        <v>23.997997685185187</v>
      </c>
      <c r="AD18" s="34">
        <v>0</v>
      </c>
      <c r="AE18" s="34">
        <v>19.531203703703703</v>
      </c>
      <c r="AF18" s="34">
        <v>14.965601851851853</v>
      </c>
      <c r="AG18" s="34">
        <v>33.877997685185186</v>
      </c>
    </row>
    <row r="19" spans="1:33" hidden="1" x14ac:dyDescent="0.25">
      <c r="A19" s="17">
        <v>25</v>
      </c>
      <c r="B19" s="33">
        <v>0</v>
      </c>
      <c r="C19" s="33">
        <v>8.3333333333333339E-4</v>
      </c>
      <c r="D19" s="33">
        <v>6.2500000000000001E-4</v>
      </c>
      <c r="E19" s="33">
        <v>1.5509259259259259E-3</v>
      </c>
      <c r="F19" s="33">
        <v>0</v>
      </c>
      <c r="G19" s="33">
        <v>1.261574074074074E-3</v>
      </c>
      <c r="H19" s="33">
        <v>9.4907407407407408E-4</v>
      </c>
      <c r="I19" s="33">
        <v>2.3379629629629631E-3</v>
      </c>
      <c r="J19" s="33">
        <v>0</v>
      </c>
      <c r="K19" s="33">
        <v>2.1180555555555558E-3</v>
      </c>
      <c r="L19" s="33">
        <v>1.5972222222222223E-3</v>
      </c>
      <c r="M19" s="33">
        <v>3.9120370370370368E-3</v>
      </c>
      <c r="N19" s="33">
        <v>0</v>
      </c>
      <c r="O19" s="33">
        <v>2.5578703703703705E-3</v>
      </c>
      <c r="P19" s="33">
        <v>1.9212962962962964E-3</v>
      </c>
      <c r="Q19" s="33">
        <v>4.7222222222222223E-3</v>
      </c>
      <c r="R19" s="33">
        <v>0</v>
      </c>
      <c r="S19" s="33">
        <v>4.31712962962963E-3</v>
      </c>
      <c r="T19" s="33">
        <v>3.2407407407407406E-3</v>
      </c>
      <c r="U19" s="33">
        <v>7.9745370370370369E-3</v>
      </c>
      <c r="V19" s="33">
        <v>0</v>
      </c>
      <c r="W19" s="33">
        <v>8.9467592592592585E-3</v>
      </c>
      <c r="X19" s="33">
        <v>6.7245370370370367E-3</v>
      </c>
      <c r="Y19" s="33">
        <v>1.6527777777777777E-2</v>
      </c>
      <c r="Z19" s="34">
        <v>0</v>
      </c>
      <c r="AA19" s="34">
        <v>14.003599537037037</v>
      </c>
      <c r="AB19" s="34">
        <v>10.774398148148148</v>
      </c>
      <c r="AC19" s="34">
        <v>23.997997685185187</v>
      </c>
      <c r="AD19" s="34">
        <v>0</v>
      </c>
      <c r="AE19" s="34">
        <v>19.531203703703703</v>
      </c>
      <c r="AF19" s="34">
        <v>14.965601851851853</v>
      </c>
      <c r="AG19" s="34">
        <v>33.877997685185186</v>
      </c>
    </row>
    <row r="20" spans="1:33" hidden="1" x14ac:dyDescent="0.25">
      <c r="A20" s="17">
        <v>26</v>
      </c>
      <c r="B20" s="33">
        <v>0</v>
      </c>
      <c r="C20" s="33">
        <v>8.3333333333333339E-4</v>
      </c>
      <c r="D20" s="33">
        <v>6.2500000000000001E-4</v>
      </c>
      <c r="E20" s="33">
        <v>1.5509259259259259E-3</v>
      </c>
      <c r="F20" s="33">
        <v>0</v>
      </c>
      <c r="G20" s="33">
        <v>1.261574074074074E-3</v>
      </c>
      <c r="H20" s="33">
        <v>9.4907407407407408E-4</v>
      </c>
      <c r="I20" s="33">
        <v>2.3379629629629631E-3</v>
      </c>
      <c r="J20" s="33">
        <v>0</v>
      </c>
      <c r="K20" s="33">
        <v>2.1180555555555558E-3</v>
      </c>
      <c r="L20" s="33">
        <v>1.5972222222222223E-3</v>
      </c>
      <c r="M20" s="33">
        <v>3.9120370370370368E-3</v>
      </c>
      <c r="N20" s="33">
        <v>0</v>
      </c>
      <c r="O20" s="33">
        <v>2.5578703703703705E-3</v>
      </c>
      <c r="P20" s="33">
        <v>1.9212962962962964E-3</v>
      </c>
      <c r="Q20" s="33">
        <v>4.7222222222222223E-3</v>
      </c>
      <c r="R20" s="33">
        <v>0</v>
      </c>
      <c r="S20" s="33">
        <v>4.31712962962963E-3</v>
      </c>
      <c r="T20" s="33">
        <v>3.2407407407407406E-3</v>
      </c>
      <c r="U20" s="33">
        <v>7.9745370370370369E-3</v>
      </c>
      <c r="V20" s="33">
        <v>0</v>
      </c>
      <c r="W20" s="33">
        <v>8.9467592592592585E-3</v>
      </c>
      <c r="X20" s="33">
        <v>6.7245370370370367E-3</v>
      </c>
      <c r="Y20" s="33">
        <v>1.6527777777777777E-2</v>
      </c>
      <c r="Z20" s="34">
        <v>0</v>
      </c>
      <c r="AA20" s="34">
        <v>14.003599537037037</v>
      </c>
      <c r="AB20" s="34">
        <v>10.774398148148148</v>
      </c>
      <c r="AC20" s="34">
        <v>23.997997685185187</v>
      </c>
      <c r="AD20" s="34">
        <v>0</v>
      </c>
      <c r="AE20" s="34">
        <v>19.531203703703703</v>
      </c>
      <c r="AF20" s="34">
        <v>14.965601851851853</v>
      </c>
      <c r="AG20" s="34">
        <v>33.877997685185186</v>
      </c>
    </row>
    <row r="21" spans="1:33" hidden="1" x14ac:dyDescent="0.25">
      <c r="A21" s="17">
        <v>27</v>
      </c>
      <c r="B21" s="33">
        <v>0</v>
      </c>
      <c r="C21" s="33">
        <v>8.3333333333333339E-4</v>
      </c>
      <c r="D21" s="33">
        <v>6.2500000000000001E-4</v>
      </c>
      <c r="E21" s="33">
        <v>1.5509259259259259E-3</v>
      </c>
      <c r="F21" s="33">
        <v>0</v>
      </c>
      <c r="G21" s="33">
        <v>1.261574074074074E-3</v>
      </c>
      <c r="H21" s="33">
        <v>9.4907407407407408E-4</v>
      </c>
      <c r="I21" s="33">
        <v>2.3379629629629631E-3</v>
      </c>
      <c r="J21" s="33">
        <v>0</v>
      </c>
      <c r="K21" s="33">
        <v>2.1180555555555558E-3</v>
      </c>
      <c r="L21" s="33">
        <v>1.5972222222222223E-3</v>
      </c>
      <c r="M21" s="33">
        <v>3.9120370370370368E-3</v>
      </c>
      <c r="N21" s="33">
        <v>0</v>
      </c>
      <c r="O21" s="33">
        <v>2.5578703703703705E-3</v>
      </c>
      <c r="P21" s="33">
        <v>1.9212962962962964E-3</v>
      </c>
      <c r="Q21" s="33">
        <v>4.7222222222222223E-3</v>
      </c>
      <c r="R21" s="33">
        <v>0</v>
      </c>
      <c r="S21" s="33">
        <v>4.31712962962963E-3</v>
      </c>
      <c r="T21" s="33">
        <v>3.2407407407407406E-3</v>
      </c>
      <c r="U21" s="33">
        <v>7.9745370370370369E-3</v>
      </c>
      <c r="V21" s="33">
        <v>0</v>
      </c>
      <c r="W21" s="33">
        <v>8.9467592592592585E-3</v>
      </c>
      <c r="X21" s="33">
        <v>6.7245370370370367E-3</v>
      </c>
      <c r="Y21" s="33">
        <v>1.6527777777777777E-2</v>
      </c>
      <c r="Z21" s="34">
        <v>0</v>
      </c>
      <c r="AA21" s="34">
        <v>14.003599537037037</v>
      </c>
      <c r="AB21" s="34">
        <v>10.774398148148148</v>
      </c>
      <c r="AC21" s="34">
        <v>23.997997685185187</v>
      </c>
      <c r="AD21" s="34">
        <v>0</v>
      </c>
      <c r="AE21" s="34">
        <v>19.531203703703703</v>
      </c>
      <c r="AF21" s="34">
        <v>14.965601851851853</v>
      </c>
      <c r="AG21" s="34">
        <v>33.877997685185186</v>
      </c>
    </row>
    <row r="22" spans="1:33" hidden="1" x14ac:dyDescent="0.25">
      <c r="A22" s="17">
        <v>28</v>
      </c>
      <c r="B22" s="33">
        <v>0</v>
      </c>
      <c r="C22" s="33">
        <v>8.3333333333333339E-4</v>
      </c>
      <c r="D22" s="33">
        <v>6.2500000000000001E-4</v>
      </c>
      <c r="E22" s="33">
        <v>1.5509259259259259E-3</v>
      </c>
      <c r="F22" s="33">
        <v>0</v>
      </c>
      <c r="G22" s="33">
        <v>1.261574074074074E-3</v>
      </c>
      <c r="H22" s="33">
        <v>9.4907407407407408E-4</v>
      </c>
      <c r="I22" s="33">
        <v>2.3379629629629631E-3</v>
      </c>
      <c r="J22" s="33">
        <v>0</v>
      </c>
      <c r="K22" s="33">
        <v>2.1180555555555558E-3</v>
      </c>
      <c r="L22" s="33">
        <v>1.5972222222222223E-3</v>
      </c>
      <c r="M22" s="33">
        <v>3.9120370370370368E-3</v>
      </c>
      <c r="N22" s="33">
        <v>0</v>
      </c>
      <c r="O22" s="33">
        <v>2.5578703703703705E-3</v>
      </c>
      <c r="P22" s="33">
        <v>1.9212962962962964E-3</v>
      </c>
      <c r="Q22" s="33">
        <v>4.7222222222222223E-3</v>
      </c>
      <c r="R22" s="33">
        <v>0</v>
      </c>
      <c r="S22" s="33">
        <v>4.31712962962963E-3</v>
      </c>
      <c r="T22" s="33">
        <v>3.2407407407407406E-3</v>
      </c>
      <c r="U22" s="33">
        <v>7.9745370370370369E-3</v>
      </c>
      <c r="V22" s="33">
        <v>0</v>
      </c>
      <c r="W22" s="33">
        <v>8.9467592592592585E-3</v>
      </c>
      <c r="X22" s="33">
        <v>6.7245370370370367E-3</v>
      </c>
      <c r="Y22" s="33">
        <v>1.6527777777777777E-2</v>
      </c>
      <c r="Z22" s="34">
        <v>0</v>
      </c>
      <c r="AA22" s="34">
        <v>14.003599537037037</v>
      </c>
      <c r="AB22" s="34">
        <v>10.774398148148148</v>
      </c>
      <c r="AC22" s="34">
        <v>23.997997685185187</v>
      </c>
      <c r="AD22" s="34">
        <v>0</v>
      </c>
      <c r="AE22" s="34">
        <v>19.531203703703703</v>
      </c>
      <c r="AF22" s="34">
        <v>14.965601851851853</v>
      </c>
      <c r="AG22" s="34">
        <v>33.877997685185186</v>
      </c>
    </row>
    <row r="23" spans="1:33" hidden="1" x14ac:dyDescent="0.25">
      <c r="A23" s="17">
        <v>29</v>
      </c>
      <c r="B23" s="33">
        <v>0</v>
      </c>
      <c r="C23" s="33">
        <v>8.3333333333333339E-4</v>
      </c>
      <c r="D23" s="33">
        <v>6.2500000000000001E-4</v>
      </c>
      <c r="E23" s="33">
        <v>1.5509259259259259E-3</v>
      </c>
      <c r="F23" s="33">
        <v>0</v>
      </c>
      <c r="G23" s="33">
        <v>1.261574074074074E-3</v>
      </c>
      <c r="H23" s="33">
        <v>9.4907407407407408E-4</v>
      </c>
      <c r="I23" s="33">
        <v>2.3379629629629631E-3</v>
      </c>
      <c r="J23" s="33">
        <v>0</v>
      </c>
      <c r="K23" s="33">
        <v>2.1180555555555558E-3</v>
      </c>
      <c r="L23" s="33">
        <v>1.5972222222222223E-3</v>
      </c>
      <c r="M23" s="33">
        <v>3.9120370370370368E-3</v>
      </c>
      <c r="N23" s="33">
        <v>0</v>
      </c>
      <c r="O23" s="33">
        <v>2.5578703703703705E-3</v>
      </c>
      <c r="P23" s="33">
        <v>1.9212962962962964E-3</v>
      </c>
      <c r="Q23" s="33">
        <v>4.7222222222222223E-3</v>
      </c>
      <c r="R23" s="33">
        <v>0</v>
      </c>
      <c r="S23" s="33">
        <v>4.31712962962963E-3</v>
      </c>
      <c r="T23" s="33">
        <v>3.2407407407407406E-3</v>
      </c>
      <c r="U23" s="33">
        <v>7.9745370370370369E-3</v>
      </c>
      <c r="V23" s="33">
        <v>0</v>
      </c>
      <c r="W23" s="33">
        <v>8.9467592592592585E-3</v>
      </c>
      <c r="X23" s="33">
        <v>6.7245370370370367E-3</v>
      </c>
      <c r="Y23" s="33">
        <v>1.6527777777777777E-2</v>
      </c>
      <c r="Z23" s="34">
        <v>0</v>
      </c>
      <c r="AA23" s="34">
        <v>14.003599537037037</v>
      </c>
      <c r="AB23" s="34">
        <v>10.774398148148148</v>
      </c>
      <c r="AC23" s="34">
        <v>23.997997685185187</v>
      </c>
      <c r="AD23" s="34">
        <v>0</v>
      </c>
      <c r="AE23" s="34">
        <v>19.531203703703703</v>
      </c>
      <c r="AF23" s="34">
        <v>14.965601851851853</v>
      </c>
      <c r="AG23" s="34">
        <v>33.877997685185186</v>
      </c>
    </row>
    <row r="24" spans="1:33" hidden="1" x14ac:dyDescent="0.25">
      <c r="A24" s="17">
        <v>30</v>
      </c>
      <c r="B24" s="33">
        <v>0</v>
      </c>
      <c r="C24" s="33">
        <v>8.3333333333333339E-4</v>
      </c>
      <c r="D24" s="33">
        <v>6.2500000000000001E-4</v>
      </c>
      <c r="E24" s="33">
        <v>1.5509259259259259E-3</v>
      </c>
      <c r="F24" s="33">
        <v>0</v>
      </c>
      <c r="G24" s="33">
        <v>1.261574074074074E-3</v>
      </c>
      <c r="H24" s="33">
        <v>9.4907407407407408E-4</v>
      </c>
      <c r="I24" s="33">
        <v>2.3379629629629631E-3</v>
      </c>
      <c r="J24" s="33">
        <v>0</v>
      </c>
      <c r="K24" s="33">
        <v>2.1180555555555558E-3</v>
      </c>
      <c r="L24" s="33">
        <v>1.5972222222222223E-3</v>
      </c>
      <c r="M24" s="33">
        <v>3.9120370370370368E-3</v>
      </c>
      <c r="N24" s="33">
        <v>0</v>
      </c>
      <c r="O24" s="33">
        <v>2.5578703703703705E-3</v>
      </c>
      <c r="P24" s="33">
        <v>1.9212962962962964E-3</v>
      </c>
      <c r="Q24" s="33">
        <v>4.7222222222222223E-3</v>
      </c>
      <c r="R24" s="33">
        <v>0</v>
      </c>
      <c r="S24" s="33">
        <v>4.31712962962963E-3</v>
      </c>
      <c r="T24" s="33">
        <v>3.2407407407407406E-3</v>
      </c>
      <c r="U24" s="33">
        <v>7.9745370370370369E-3</v>
      </c>
      <c r="V24" s="33">
        <v>0</v>
      </c>
      <c r="W24" s="33">
        <v>8.9467592592592585E-3</v>
      </c>
      <c r="X24" s="33">
        <v>6.7245370370370367E-3</v>
      </c>
      <c r="Y24" s="33">
        <v>1.6527777777777777E-2</v>
      </c>
      <c r="Z24" s="34">
        <v>0</v>
      </c>
      <c r="AA24" s="34">
        <v>14.003599537037037</v>
      </c>
      <c r="AB24" s="34">
        <v>10.774398148148148</v>
      </c>
      <c r="AC24" s="34">
        <v>23.997997685185187</v>
      </c>
      <c r="AD24" s="34">
        <v>0</v>
      </c>
      <c r="AE24" s="34">
        <v>19.531203703703703</v>
      </c>
      <c r="AF24" s="34">
        <v>14.965601851851853</v>
      </c>
      <c r="AG24" s="34">
        <v>33.877997685185186</v>
      </c>
    </row>
    <row r="25" spans="1:33" hidden="1" x14ac:dyDescent="0.25">
      <c r="A25" s="17">
        <v>31</v>
      </c>
      <c r="B25" s="33">
        <v>0</v>
      </c>
      <c r="C25" s="33">
        <v>8.3333333333333339E-4</v>
      </c>
      <c r="D25" s="33">
        <v>6.2500000000000001E-4</v>
      </c>
      <c r="E25" s="33">
        <v>1.5509259259259259E-3</v>
      </c>
      <c r="F25" s="33">
        <v>0</v>
      </c>
      <c r="G25" s="33">
        <v>1.261574074074074E-3</v>
      </c>
      <c r="H25" s="33">
        <v>9.4907407407407408E-4</v>
      </c>
      <c r="I25" s="33">
        <v>2.3379629629629631E-3</v>
      </c>
      <c r="J25" s="33">
        <v>0</v>
      </c>
      <c r="K25" s="33">
        <v>2.1180555555555558E-3</v>
      </c>
      <c r="L25" s="33">
        <v>1.5972222222222223E-3</v>
      </c>
      <c r="M25" s="33">
        <v>3.9120370370370368E-3</v>
      </c>
      <c r="N25" s="33">
        <v>0</v>
      </c>
      <c r="O25" s="33">
        <v>2.5578703703703705E-3</v>
      </c>
      <c r="P25" s="33">
        <v>1.9212962962962964E-3</v>
      </c>
      <c r="Q25" s="33">
        <v>4.7222222222222223E-3</v>
      </c>
      <c r="R25" s="33">
        <v>0</v>
      </c>
      <c r="S25" s="33">
        <v>4.31712962962963E-3</v>
      </c>
      <c r="T25" s="33">
        <v>3.2407407407407406E-3</v>
      </c>
      <c r="U25" s="33">
        <v>7.9745370370370369E-3</v>
      </c>
      <c r="V25" s="33">
        <v>0</v>
      </c>
      <c r="W25" s="33">
        <v>8.9467592592592585E-3</v>
      </c>
      <c r="X25" s="33">
        <v>6.7245370370370367E-3</v>
      </c>
      <c r="Y25" s="33">
        <v>1.6527777777777777E-2</v>
      </c>
      <c r="Z25" s="34">
        <v>0</v>
      </c>
      <c r="AA25" s="34">
        <v>14.003599537037037</v>
      </c>
      <c r="AB25" s="34">
        <v>10.774398148148148</v>
      </c>
      <c r="AC25" s="34">
        <v>23.997997685185187</v>
      </c>
      <c r="AD25" s="34">
        <v>0</v>
      </c>
      <c r="AE25" s="34">
        <v>19.531203703703703</v>
      </c>
      <c r="AF25" s="34">
        <v>14.965601851851853</v>
      </c>
      <c r="AG25" s="34">
        <v>33.877997685185186</v>
      </c>
    </row>
    <row r="26" spans="1:33" hidden="1" x14ac:dyDescent="0.25">
      <c r="A26" s="17">
        <v>32</v>
      </c>
      <c r="B26" s="33">
        <v>0</v>
      </c>
      <c r="C26" s="33">
        <v>8.3333333333333339E-4</v>
      </c>
      <c r="D26" s="33">
        <v>6.2500000000000001E-4</v>
      </c>
      <c r="E26" s="33">
        <v>1.5509259259259259E-3</v>
      </c>
      <c r="F26" s="33">
        <v>0</v>
      </c>
      <c r="G26" s="33">
        <v>1.261574074074074E-3</v>
      </c>
      <c r="H26" s="33">
        <v>9.4907407407407408E-4</v>
      </c>
      <c r="I26" s="33">
        <v>2.3379629629629631E-3</v>
      </c>
      <c r="J26" s="33">
        <v>0</v>
      </c>
      <c r="K26" s="33">
        <v>2.1180555555555558E-3</v>
      </c>
      <c r="L26" s="33">
        <v>1.5972222222222223E-3</v>
      </c>
      <c r="M26" s="33">
        <v>3.9120370370370368E-3</v>
      </c>
      <c r="N26" s="33">
        <v>0</v>
      </c>
      <c r="O26" s="33">
        <v>2.5578703703703705E-3</v>
      </c>
      <c r="P26" s="33">
        <v>1.9212962962962964E-3</v>
      </c>
      <c r="Q26" s="33">
        <v>4.7222222222222223E-3</v>
      </c>
      <c r="R26" s="33">
        <v>0</v>
      </c>
      <c r="S26" s="33">
        <v>4.31712962962963E-3</v>
      </c>
      <c r="T26" s="33">
        <v>3.2407407407407406E-3</v>
      </c>
      <c r="U26" s="33">
        <v>7.9745370370370369E-3</v>
      </c>
      <c r="V26" s="33">
        <v>0</v>
      </c>
      <c r="W26" s="33">
        <v>8.9467592592592585E-3</v>
      </c>
      <c r="X26" s="33">
        <v>6.7245370370370367E-3</v>
      </c>
      <c r="Y26" s="33">
        <v>1.6527777777777777E-2</v>
      </c>
      <c r="Z26" s="34">
        <v>0</v>
      </c>
      <c r="AA26" s="34">
        <v>14.003599537037037</v>
      </c>
      <c r="AB26" s="34">
        <v>10.774398148148148</v>
      </c>
      <c r="AC26" s="34">
        <v>23.997997685185187</v>
      </c>
      <c r="AD26" s="34">
        <v>0</v>
      </c>
      <c r="AE26" s="34">
        <v>19.531203703703703</v>
      </c>
      <c r="AF26" s="34">
        <v>14.965601851851853</v>
      </c>
      <c r="AG26" s="34">
        <v>33.877997685185186</v>
      </c>
    </row>
    <row r="27" spans="1:33" hidden="1" x14ac:dyDescent="0.25">
      <c r="A27" s="17">
        <v>33</v>
      </c>
      <c r="B27" s="33">
        <v>0</v>
      </c>
      <c r="C27" s="33">
        <v>8.3333333333333339E-4</v>
      </c>
      <c r="D27" s="33">
        <v>6.2500000000000001E-4</v>
      </c>
      <c r="E27" s="33">
        <v>1.5509259259259259E-3</v>
      </c>
      <c r="F27" s="33">
        <v>0</v>
      </c>
      <c r="G27" s="33">
        <v>1.261574074074074E-3</v>
      </c>
      <c r="H27" s="33">
        <v>9.4907407407407408E-4</v>
      </c>
      <c r="I27" s="33">
        <v>2.3379629629629631E-3</v>
      </c>
      <c r="J27" s="33">
        <v>0</v>
      </c>
      <c r="K27" s="33">
        <v>2.1180555555555558E-3</v>
      </c>
      <c r="L27" s="33">
        <v>1.5972222222222223E-3</v>
      </c>
      <c r="M27" s="33">
        <v>3.9120370370370368E-3</v>
      </c>
      <c r="N27" s="33">
        <v>0</v>
      </c>
      <c r="O27" s="33">
        <v>2.5578703703703705E-3</v>
      </c>
      <c r="P27" s="33">
        <v>1.9212962962962964E-3</v>
      </c>
      <c r="Q27" s="33">
        <v>4.7222222222222223E-3</v>
      </c>
      <c r="R27" s="33">
        <v>0</v>
      </c>
      <c r="S27" s="33">
        <v>4.31712962962963E-3</v>
      </c>
      <c r="T27" s="33">
        <v>3.2407407407407406E-3</v>
      </c>
      <c r="U27" s="33">
        <v>7.9745370370370369E-3</v>
      </c>
      <c r="V27" s="33">
        <v>0</v>
      </c>
      <c r="W27" s="33">
        <v>8.9467592592592585E-3</v>
      </c>
      <c r="X27" s="33">
        <v>6.7245370370370367E-3</v>
      </c>
      <c r="Y27" s="33">
        <v>1.6527777777777777E-2</v>
      </c>
      <c r="Z27" s="34">
        <v>0</v>
      </c>
      <c r="AA27" s="34">
        <v>14.003599537037037</v>
      </c>
      <c r="AB27" s="34">
        <v>10.774398148148148</v>
      </c>
      <c r="AC27" s="34">
        <v>23.997997685185187</v>
      </c>
      <c r="AD27" s="34">
        <v>0</v>
      </c>
      <c r="AE27" s="34">
        <v>19.531203703703703</v>
      </c>
      <c r="AF27" s="34">
        <v>14.965601851851853</v>
      </c>
      <c r="AG27" s="34">
        <v>33.877997685185186</v>
      </c>
    </row>
    <row r="28" spans="1:33" hidden="1" x14ac:dyDescent="0.25">
      <c r="A28" s="17">
        <v>34</v>
      </c>
      <c r="B28" s="33">
        <v>0</v>
      </c>
      <c r="C28" s="33">
        <v>8.3333333333333339E-4</v>
      </c>
      <c r="D28" s="33">
        <v>6.2500000000000001E-4</v>
      </c>
      <c r="E28" s="33">
        <v>1.5509259259259259E-3</v>
      </c>
      <c r="F28" s="33">
        <v>0</v>
      </c>
      <c r="G28" s="33">
        <v>1.261574074074074E-3</v>
      </c>
      <c r="H28" s="33">
        <v>9.4907407407407408E-4</v>
      </c>
      <c r="I28" s="33">
        <v>2.3379629629629631E-3</v>
      </c>
      <c r="J28" s="33">
        <v>0</v>
      </c>
      <c r="K28" s="33">
        <v>2.1180555555555558E-3</v>
      </c>
      <c r="L28" s="33">
        <v>1.5972222222222223E-3</v>
      </c>
      <c r="M28" s="33">
        <v>3.9120370370370368E-3</v>
      </c>
      <c r="N28" s="33">
        <v>0</v>
      </c>
      <c r="O28" s="33">
        <v>2.5578703703703705E-3</v>
      </c>
      <c r="P28" s="33">
        <v>1.9212962962962964E-3</v>
      </c>
      <c r="Q28" s="33">
        <v>4.7222222222222223E-3</v>
      </c>
      <c r="R28" s="33">
        <v>0</v>
      </c>
      <c r="S28" s="33">
        <v>4.31712962962963E-3</v>
      </c>
      <c r="T28" s="33">
        <v>3.2407407407407406E-3</v>
      </c>
      <c r="U28" s="33">
        <v>7.9745370370370369E-3</v>
      </c>
      <c r="V28" s="33">
        <v>0</v>
      </c>
      <c r="W28" s="33">
        <v>8.9467592592592585E-3</v>
      </c>
      <c r="X28" s="33">
        <v>6.7245370370370367E-3</v>
      </c>
      <c r="Y28" s="33">
        <v>1.6527777777777777E-2</v>
      </c>
      <c r="Z28" s="34">
        <v>0</v>
      </c>
      <c r="AA28" s="34">
        <v>14.003599537037037</v>
      </c>
      <c r="AB28" s="34">
        <v>10.774398148148148</v>
      </c>
      <c r="AC28" s="34">
        <v>23.997997685185187</v>
      </c>
      <c r="AD28" s="34">
        <v>0</v>
      </c>
      <c r="AE28" s="34">
        <v>19.531203703703703</v>
      </c>
      <c r="AF28" s="34">
        <v>14.965601851851853</v>
      </c>
      <c r="AG28" s="34">
        <v>33.877997685185186</v>
      </c>
    </row>
    <row r="29" spans="1:33" hidden="1" x14ac:dyDescent="0.25">
      <c r="A29" s="17">
        <v>35</v>
      </c>
      <c r="B29" s="33">
        <v>0</v>
      </c>
      <c r="C29" s="33">
        <v>8.3333333333333339E-4</v>
      </c>
      <c r="D29" s="33">
        <v>6.2500000000000001E-4</v>
      </c>
      <c r="E29" s="33">
        <v>1.5509259259259259E-3</v>
      </c>
      <c r="F29" s="33">
        <v>0</v>
      </c>
      <c r="G29" s="33">
        <v>1.261574074074074E-3</v>
      </c>
      <c r="H29" s="33">
        <v>9.4907407407407408E-4</v>
      </c>
      <c r="I29" s="33">
        <v>2.3379629629629631E-3</v>
      </c>
      <c r="J29" s="33">
        <v>0</v>
      </c>
      <c r="K29" s="33">
        <v>2.1180555555555558E-3</v>
      </c>
      <c r="L29" s="33">
        <v>1.5972222222222223E-3</v>
      </c>
      <c r="M29" s="33">
        <v>3.9120370370370368E-3</v>
      </c>
      <c r="N29" s="33">
        <v>0</v>
      </c>
      <c r="O29" s="33">
        <v>2.5578703703703705E-3</v>
      </c>
      <c r="P29" s="33">
        <v>1.9212962962962964E-3</v>
      </c>
      <c r="Q29" s="33">
        <v>4.7222222222222223E-3</v>
      </c>
      <c r="R29" s="33">
        <v>0</v>
      </c>
      <c r="S29" s="33">
        <v>4.31712962962963E-3</v>
      </c>
      <c r="T29" s="33">
        <v>3.2407407407407406E-3</v>
      </c>
      <c r="U29" s="33">
        <v>7.9745370370370369E-3</v>
      </c>
      <c r="V29" s="33">
        <v>0</v>
      </c>
      <c r="W29" s="33">
        <v>8.9467592592592585E-3</v>
      </c>
      <c r="X29" s="33">
        <v>6.7245370370370367E-3</v>
      </c>
      <c r="Y29" s="33">
        <v>1.6527777777777777E-2</v>
      </c>
      <c r="Z29" s="34">
        <v>0</v>
      </c>
      <c r="AA29" s="34">
        <v>14.003599537037037</v>
      </c>
      <c r="AB29" s="34">
        <v>10.774398148148148</v>
      </c>
      <c r="AC29" s="34">
        <v>23.997997685185187</v>
      </c>
      <c r="AD29" s="34">
        <v>0</v>
      </c>
      <c r="AE29" s="34">
        <v>19.531203703703703</v>
      </c>
      <c r="AF29" s="34">
        <v>14.965601851851853</v>
      </c>
      <c r="AG29" s="34">
        <v>33.877997685185186</v>
      </c>
    </row>
    <row r="30" spans="1:33" hidden="1" x14ac:dyDescent="0.25">
      <c r="A30" s="17">
        <v>36</v>
      </c>
      <c r="B30" s="33">
        <v>0</v>
      </c>
      <c r="C30" s="33">
        <v>8.3333333333333339E-4</v>
      </c>
      <c r="D30" s="33">
        <v>6.2500000000000001E-4</v>
      </c>
      <c r="E30" s="33">
        <v>1.5509259259259259E-3</v>
      </c>
      <c r="F30" s="33">
        <v>0</v>
      </c>
      <c r="G30" s="33">
        <v>1.261574074074074E-3</v>
      </c>
      <c r="H30" s="33">
        <v>9.4907407407407408E-4</v>
      </c>
      <c r="I30" s="33">
        <v>2.3379629629629631E-3</v>
      </c>
      <c r="J30" s="33">
        <v>0</v>
      </c>
      <c r="K30" s="33">
        <v>2.1180555555555558E-3</v>
      </c>
      <c r="L30" s="33">
        <v>1.5972222222222223E-3</v>
      </c>
      <c r="M30" s="33">
        <v>3.9120370370370368E-3</v>
      </c>
      <c r="N30" s="33">
        <v>0</v>
      </c>
      <c r="O30" s="33">
        <v>2.5578703703703705E-3</v>
      </c>
      <c r="P30" s="33">
        <v>1.9212962962962964E-3</v>
      </c>
      <c r="Q30" s="33">
        <v>4.7222222222222223E-3</v>
      </c>
      <c r="R30" s="33">
        <v>0</v>
      </c>
      <c r="S30" s="33">
        <v>4.31712962962963E-3</v>
      </c>
      <c r="T30" s="33">
        <v>3.2407407407407406E-3</v>
      </c>
      <c r="U30" s="33">
        <v>7.9745370370370369E-3</v>
      </c>
      <c r="V30" s="33">
        <v>0</v>
      </c>
      <c r="W30" s="33">
        <v>8.9467592592592585E-3</v>
      </c>
      <c r="X30" s="33">
        <v>6.7245370370370367E-3</v>
      </c>
      <c r="Y30" s="33">
        <v>1.6527777777777777E-2</v>
      </c>
      <c r="Z30" s="34">
        <v>0</v>
      </c>
      <c r="AA30" s="34">
        <v>14.003599537037037</v>
      </c>
      <c r="AB30" s="34">
        <v>10.774398148148148</v>
      </c>
      <c r="AC30" s="34">
        <v>23.997997685185187</v>
      </c>
      <c r="AD30" s="34">
        <v>0</v>
      </c>
      <c r="AE30" s="34">
        <v>19.531203703703703</v>
      </c>
      <c r="AF30" s="34">
        <v>14.965601851851853</v>
      </c>
      <c r="AG30" s="34">
        <v>33.877997685185186</v>
      </c>
    </row>
    <row r="31" spans="1:33" hidden="1" x14ac:dyDescent="0.25">
      <c r="A31" s="17">
        <v>37</v>
      </c>
      <c r="B31" s="33">
        <v>0</v>
      </c>
      <c r="C31" s="33">
        <v>8.3333333333333339E-4</v>
      </c>
      <c r="D31" s="33">
        <v>6.2500000000000001E-4</v>
      </c>
      <c r="E31" s="33">
        <v>1.5509259259259259E-3</v>
      </c>
      <c r="F31" s="33">
        <v>0</v>
      </c>
      <c r="G31" s="33">
        <v>1.261574074074074E-3</v>
      </c>
      <c r="H31" s="33">
        <v>9.4907407407407408E-4</v>
      </c>
      <c r="I31" s="33">
        <v>2.3379629629629631E-3</v>
      </c>
      <c r="J31" s="33">
        <v>0</v>
      </c>
      <c r="K31" s="33">
        <v>2.1180555555555558E-3</v>
      </c>
      <c r="L31" s="33">
        <v>1.5972222222222223E-3</v>
      </c>
      <c r="M31" s="33">
        <v>3.9120370370370368E-3</v>
      </c>
      <c r="N31" s="33">
        <v>0</v>
      </c>
      <c r="O31" s="33">
        <v>2.5578703703703705E-3</v>
      </c>
      <c r="P31" s="33">
        <v>1.9212962962962964E-3</v>
      </c>
      <c r="Q31" s="33">
        <v>4.7222222222222223E-3</v>
      </c>
      <c r="R31" s="33">
        <v>0</v>
      </c>
      <c r="S31" s="33">
        <v>4.31712962962963E-3</v>
      </c>
      <c r="T31" s="33">
        <v>3.2407407407407406E-3</v>
      </c>
      <c r="U31" s="33">
        <v>7.9745370370370369E-3</v>
      </c>
      <c r="V31" s="33">
        <v>0</v>
      </c>
      <c r="W31" s="33">
        <v>8.9467592592592585E-3</v>
      </c>
      <c r="X31" s="33">
        <v>6.7245370370370367E-3</v>
      </c>
      <c r="Y31" s="33">
        <v>1.6527777777777777E-2</v>
      </c>
      <c r="Z31" s="34">
        <v>0</v>
      </c>
      <c r="AA31" s="34">
        <v>14.003599537037037</v>
      </c>
      <c r="AB31" s="34">
        <v>10.774398148148148</v>
      </c>
      <c r="AC31" s="34">
        <v>23.997997685185187</v>
      </c>
      <c r="AD31" s="34">
        <v>0</v>
      </c>
      <c r="AE31" s="34">
        <v>19.531203703703703</v>
      </c>
      <c r="AF31" s="34">
        <v>14.965601851851853</v>
      </c>
      <c r="AG31" s="34">
        <v>33.877997685185186</v>
      </c>
    </row>
    <row r="32" spans="1:33" hidden="1" x14ac:dyDescent="0.25">
      <c r="A32" s="17">
        <v>38</v>
      </c>
      <c r="B32" s="33">
        <v>0</v>
      </c>
      <c r="C32" s="33">
        <v>8.3333333333333339E-4</v>
      </c>
      <c r="D32" s="33">
        <v>6.2500000000000001E-4</v>
      </c>
      <c r="E32" s="33">
        <v>1.5509259259259259E-3</v>
      </c>
      <c r="F32" s="33">
        <v>0</v>
      </c>
      <c r="G32" s="33">
        <v>1.261574074074074E-3</v>
      </c>
      <c r="H32" s="33">
        <v>9.4907407407407408E-4</v>
      </c>
      <c r="I32" s="33">
        <v>2.3379629629629631E-3</v>
      </c>
      <c r="J32" s="33">
        <v>0</v>
      </c>
      <c r="K32" s="33">
        <v>2.1180555555555558E-3</v>
      </c>
      <c r="L32" s="33">
        <v>1.5972222222222223E-3</v>
      </c>
      <c r="M32" s="33">
        <v>3.9120370370370368E-3</v>
      </c>
      <c r="N32" s="33">
        <v>0</v>
      </c>
      <c r="O32" s="33">
        <v>2.5578703703703705E-3</v>
      </c>
      <c r="P32" s="33">
        <v>1.9212962962962964E-3</v>
      </c>
      <c r="Q32" s="33">
        <v>4.7222222222222223E-3</v>
      </c>
      <c r="R32" s="33">
        <v>0</v>
      </c>
      <c r="S32" s="33">
        <v>4.31712962962963E-3</v>
      </c>
      <c r="T32" s="33">
        <v>3.2407407407407406E-3</v>
      </c>
      <c r="U32" s="33">
        <v>7.9745370370370369E-3</v>
      </c>
      <c r="V32" s="33">
        <v>0</v>
      </c>
      <c r="W32" s="33">
        <v>8.9467592592592585E-3</v>
      </c>
      <c r="X32" s="33">
        <v>6.7245370370370367E-3</v>
      </c>
      <c r="Y32" s="33">
        <v>1.6527777777777777E-2</v>
      </c>
      <c r="Z32" s="34">
        <v>0</v>
      </c>
      <c r="AA32" s="34">
        <v>14.003599537037037</v>
      </c>
      <c r="AB32" s="34">
        <v>10.774398148148148</v>
      </c>
      <c r="AC32" s="34">
        <v>23.997997685185187</v>
      </c>
      <c r="AD32" s="34">
        <v>0</v>
      </c>
      <c r="AE32" s="34">
        <v>19.531203703703703</v>
      </c>
      <c r="AF32" s="34">
        <v>14.965601851851853</v>
      </c>
      <c r="AG32" s="34">
        <v>33.877997685185186</v>
      </c>
    </row>
    <row r="33" spans="1:33" hidden="1" x14ac:dyDescent="0.25">
      <c r="A33" s="17">
        <v>39</v>
      </c>
      <c r="B33" s="33">
        <v>0</v>
      </c>
      <c r="C33" s="33">
        <v>8.3333333333333339E-4</v>
      </c>
      <c r="D33" s="33">
        <v>6.2500000000000001E-4</v>
      </c>
      <c r="E33" s="33">
        <v>1.5509259259259259E-3</v>
      </c>
      <c r="F33" s="33">
        <v>0</v>
      </c>
      <c r="G33" s="33">
        <v>1.261574074074074E-3</v>
      </c>
      <c r="H33" s="33">
        <v>9.4907407407407408E-4</v>
      </c>
      <c r="I33" s="33">
        <v>2.3379629629629631E-3</v>
      </c>
      <c r="J33" s="33">
        <v>0</v>
      </c>
      <c r="K33" s="33">
        <v>2.1180555555555558E-3</v>
      </c>
      <c r="L33" s="33">
        <v>1.5972222222222223E-3</v>
      </c>
      <c r="M33" s="33">
        <v>3.9120370370370368E-3</v>
      </c>
      <c r="N33" s="33">
        <v>0</v>
      </c>
      <c r="O33" s="33">
        <v>2.5578703703703705E-3</v>
      </c>
      <c r="P33" s="33">
        <v>1.9212962962962964E-3</v>
      </c>
      <c r="Q33" s="33">
        <v>4.7222222222222223E-3</v>
      </c>
      <c r="R33" s="33">
        <v>0</v>
      </c>
      <c r="S33" s="33">
        <v>4.31712962962963E-3</v>
      </c>
      <c r="T33" s="33">
        <v>3.2407407407407406E-3</v>
      </c>
      <c r="U33" s="33">
        <v>7.9745370370370369E-3</v>
      </c>
      <c r="V33" s="33">
        <v>0</v>
      </c>
      <c r="W33" s="33">
        <v>8.9467592592592585E-3</v>
      </c>
      <c r="X33" s="33">
        <v>6.7245370370370367E-3</v>
      </c>
      <c r="Y33" s="33">
        <v>1.6527777777777777E-2</v>
      </c>
      <c r="Z33" s="34">
        <v>0</v>
      </c>
      <c r="AA33" s="34">
        <v>14.003599537037037</v>
      </c>
      <c r="AB33" s="34">
        <v>10.774398148148148</v>
      </c>
      <c r="AC33" s="34">
        <v>23.997997685185187</v>
      </c>
      <c r="AD33" s="34">
        <v>0</v>
      </c>
      <c r="AE33" s="34">
        <v>19.531203703703703</v>
      </c>
      <c r="AF33" s="34">
        <v>14.965601851851853</v>
      </c>
      <c r="AG33" s="34">
        <v>33.877997685185186</v>
      </c>
    </row>
    <row r="34" spans="1:33" x14ac:dyDescent="0.25">
      <c r="A34" s="17">
        <v>40</v>
      </c>
      <c r="B34" s="26">
        <v>0</v>
      </c>
      <c r="C34" s="26">
        <v>8.3333333333333339E-4</v>
      </c>
      <c r="D34" s="26">
        <v>6.2500000000000001E-4</v>
      </c>
      <c r="E34" s="26">
        <v>1.5509259259259259E-3</v>
      </c>
      <c r="F34" s="26">
        <v>0</v>
      </c>
      <c r="G34" s="26">
        <v>1.261574074074074E-3</v>
      </c>
      <c r="H34" s="26">
        <v>9.4907407407407408E-4</v>
      </c>
      <c r="I34" s="26">
        <v>2.3379629629629631E-3</v>
      </c>
      <c r="J34" s="26">
        <v>0</v>
      </c>
      <c r="K34" s="26">
        <v>2.1180555555555558E-3</v>
      </c>
      <c r="L34" s="26">
        <v>1.5972222222222223E-3</v>
      </c>
      <c r="M34" s="26">
        <v>3.9120370370370368E-3</v>
      </c>
      <c r="N34" s="26">
        <v>0</v>
      </c>
      <c r="O34" s="26">
        <v>2.5578703703703705E-3</v>
      </c>
      <c r="P34" s="26">
        <v>1.9212962962962964E-3</v>
      </c>
      <c r="Q34" s="26">
        <v>4.7222222222222223E-3</v>
      </c>
      <c r="R34" s="26">
        <v>0</v>
      </c>
      <c r="S34" s="26">
        <v>4.31712962962963E-3</v>
      </c>
      <c r="T34" s="26">
        <v>3.2407407407407406E-3</v>
      </c>
      <c r="U34" s="26">
        <v>7.9745370370370369E-3</v>
      </c>
      <c r="V34" s="26">
        <v>0</v>
      </c>
      <c r="W34" s="26">
        <v>8.9467592592592585E-3</v>
      </c>
      <c r="X34" s="26">
        <v>6.7245370370370367E-3</v>
      </c>
      <c r="Y34" s="26">
        <v>1.6527777777777777E-2</v>
      </c>
      <c r="Z34" s="27">
        <v>0</v>
      </c>
      <c r="AA34" s="27">
        <v>14.003599537037037</v>
      </c>
      <c r="AB34" s="27">
        <v>10.774398148148148</v>
      </c>
      <c r="AC34" s="27">
        <v>23.997997685185187</v>
      </c>
      <c r="AD34" s="27">
        <v>0</v>
      </c>
      <c r="AE34" s="27">
        <v>19.531203703703703</v>
      </c>
      <c r="AF34" s="27">
        <v>14.965601851851853</v>
      </c>
      <c r="AG34" s="27">
        <v>33.877997685185186</v>
      </c>
    </row>
    <row r="35" spans="1:33" x14ac:dyDescent="0.25">
      <c r="A35" s="17">
        <v>41</v>
      </c>
      <c r="B35" s="26">
        <v>1.1574074074074073E-5</v>
      </c>
      <c r="C35" s="26">
        <v>8.4490740740740739E-4</v>
      </c>
      <c r="D35" s="26">
        <v>6.4814814814814813E-4</v>
      </c>
      <c r="E35" s="26">
        <v>1.5509259259259259E-3</v>
      </c>
      <c r="F35" s="26">
        <v>1.1574074074074073E-5</v>
      </c>
      <c r="G35" s="26">
        <v>1.2731481481481483E-3</v>
      </c>
      <c r="H35" s="26">
        <v>9.7222222222222219E-4</v>
      </c>
      <c r="I35" s="26">
        <v>2.3495370370370371E-3</v>
      </c>
      <c r="J35" s="26">
        <v>3.4722222222222222E-5</v>
      </c>
      <c r="K35" s="26">
        <v>2.1412037037037038E-3</v>
      </c>
      <c r="L35" s="26">
        <v>1.6319444444444445E-3</v>
      </c>
      <c r="M35" s="26">
        <v>3.9351851851851848E-3</v>
      </c>
      <c r="N35" s="26">
        <v>4.6296296296296294E-5</v>
      </c>
      <c r="O35" s="26">
        <v>2.5810185185185185E-3</v>
      </c>
      <c r="P35" s="26">
        <v>1.9675925925925924E-3</v>
      </c>
      <c r="Q35" s="26">
        <v>4.7337962962962967E-3</v>
      </c>
      <c r="R35" s="26">
        <v>6.9444444444444444E-5</v>
      </c>
      <c r="S35" s="26">
        <v>4.3518518518518515E-3</v>
      </c>
      <c r="T35" s="26">
        <v>3.3217592592592591E-3</v>
      </c>
      <c r="U35" s="26">
        <v>8.0092592592592594E-3</v>
      </c>
      <c r="V35" s="26">
        <v>1.6203703703703703E-4</v>
      </c>
      <c r="W35" s="26">
        <v>9.0393518518518522E-3</v>
      </c>
      <c r="X35" s="26">
        <v>6.898148148148148E-3</v>
      </c>
      <c r="Y35" s="26">
        <v>1.6620370370370369E-2</v>
      </c>
      <c r="Z35" s="27">
        <v>0.36920138888888887</v>
      </c>
      <c r="AA35" s="27">
        <v>14.211597222222222</v>
      </c>
      <c r="AB35" s="27">
        <v>11.107199074074074</v>
      </c>
      <c r="AC35" s="27">
        <v>24.185196759259259</v>
      </c>
      <c r="AD35" s="27">
        <v>0.73319444444444448</v>
      </c>
      <c r="AE35" s="27">
        <v>20.009594907407408</v>
      </c>
      <c r="AF35" s="27">
        <v>15.631203703703704</v>
      </c>
      <c r="AG35" s="27">
        <v>34.309594907407408</v>
      </c>
    </row>
    <row r="36" spans="1:33" x14ac:dyDescent="0.25">
      <c r="A36" s="17">
        <v>42</v>
      </c>
      <c r="B36" s="26">
        <v>2.3148148148148147E-5</v>
      </c>
      <c r="C36" s="26">
        <v>8.4490740740740739E-4</v>
      </c>
      <c r="D36" s="26">
        <v>6.5972222222222224E-4</v>
      </c>
      <c r="E36" s="26">
        <v>1.5625000000000001E-3</v>
      </c>
      <c r="F36" s="26">
        <v>3.4722222222222222E-5</v>
      </c>
      <c r="G36" s="26">
        <v>1.2847222222222223E-3</v>
      </c>
      <c r="H36" s="26">
        <v>9.9537037037037042E-4</v>
      </c>
      <c r="I36" s="26">
        <v>2.3611111111111111E-3</v>
      </c>
      <c r="J36" s="26">
        <v>6.9444444444444444E-5</v>
      </c>
      <c r="K36" s="26">
        <v>2.1527777777777778E-3</v>
      </c>
      <c r="L36" s="26">
        <v>1.6666666666666668E-3</v>
      </c>
      <c r="M36" s="26">
        <v>3.9583333333333337E-3</v>
      </c>
      <c r="N36" s="26">
        <v>9.2592592592592588E-5</v>
      </c>
      <c r="O36" s="26">
        <v>2.6041666666666665E-3</v>
      </c>
      <c r="P36" s="26">
        <v>2.0138888888888888E-3</v>
      </c>
      <c r="Q36" s="26">
        <v>4.7685185185185183E-3</v>
      </c>
      <c r="R36" s="26">
        <v>1.5046296296296297E-4</v>
      </c>
      <c r="S36" s="26">
        <v>4.3981481481481484E-3</v>
      </c>
      <c r="T36" s="26">
        <v>3.414351851851852E-3</v>
      </c>
      <c r="U36" s="26">
        <v>8.0555555555555554E-3</v>
      </c>
      <c r="V36" s="26">
        <v>3.3564814814814812E-4</v>
      </c>
      <c r="W36" s="26">
        <v>9.1435185185185178E-3</v>
      </c>
      <c r="X36" s="26">
        <v>7.0949074074074074E-3</v>
      </c>
      <c r="Y36" s="26">
        <v>1.6736111111111111E-2</v>
      </c>
      <c r="Z36" s="27">
        <v>0.79040509259259262</v>
      </c>
      <c r="AA36" s="27">
        <v>14.435196759259259</v>
      </c>
      <c r="AB36" s="27">
        <v>11.492002314814815</v>
      </c>
      <c r="AC36" s="27">
        <v>24.387997685185184</v>
      </c>
      <c r="AD36" s="27">
        <v>1.5704050925925925</v>
      </c>
      <c r="AE36" s="27">
        <v>20.545196759259259</v>
      </c>
      <c r="AF36" s="27">
        <v>16.39560185185185</v>
      </c>
      <c r="AG36" s="27">
        <v>34.782800925925926</v>
      </c>
    </row>
    <row r="37" spans="1:33" x14ac:dyDescent="0.25">
      <c r="A37" s="17">
        <v>43</v>
      </c>
      <c r="B37" s="26">
        <v>4.6296296296296294E-5</v>
      </c>
      <c r="C37" s="26">
        <v>8.564814814814815E-4</v>
      </c>
      <c r="D37" s="26">
        <v>6.8287037037037036E-4</v>
      </c>
      <c r="E37" s="26">
        <v>1.5740740740740741E-3</v>
      </c>
      <c r="F37" s="26">
        <v>6.9444444444444444E-5</v>
      </c>
      <c r="G37" s="26">
        <v>1.2962962962962963E-3</v>
      </c>
      <c r="H37" s="26">
        <v>1.0185185185185184E-3</v>
      </c>
      <c r="I37" s="26">
        <v>2.3611111111111111E-3</v>
      </c>
      <c r="J37" s="26">
        <v>1.1574074074074075E-4</v>
      </c>
      <c r="K37" s="26">
        <v>2.1759259259259258E-3</v>
      </c>
      <c r="L37" s="26">
        <v>1.724537037037037E-3</v>
      </c>
      <c r="M37" s="26">
        <v>3.9814814814814817E-3</v>
      </c>
      <c r="N37" s="26">
        <v>1.3888888888888889E-4</v>
      </c>
      <c r="O37" s="26">
        <v>2.627314814814815E-3</v>
      </c>
      <c r="P37" s="26">
        <v>2.0717592592592593E-3</v>
      </c>
      <c r="Q37" s="26">
        <v>4.7916666666666663E-3</v>
      </c>
      <c r="R37" s="26">
        <v>2.4305555555555555E-4</v>
      </c>
      <c r="S37" s="26">
        <v>4.4444444444444444E-3</v>
      </c>
      <c r="T37" s="26">
        <v>3.5069444444444445E-3</v>
      </c>
      <c r="U37" s="26">
        <v>8.1018518518518514E-3</v>
      </c>
      <c r="V37" s="26">
        <v>5.4398148148148144E-4</v>
      </c>
      <c r="W37" s="26">
        <v>9.2361111111111116E-3</v>
      </c>
      <c r="X37" s="26">
        <v>7.3263888888888892E-3</v>
      </c>
      <c r="Y37" s="26">
        <v>1.6840277777777777E-2</v>
      </c>
      <c r="Z37" s="27">
        <v>1.263599537037037</v>
      </c>
      <c r="AA37" s="27">
        <v>14.679594907407408</v>
      </c>
      <c r="AB37" s="27">
        <v>11.923599537037036</v>
      </c>
      <c r="AC37" s="27">
        <v>24.601203703703703</v>
      </c>
      <c r="AD37" s="27">
        <v>2.5064004629629628</v>
      </c>
      <c r="AE37" s="27">
        <v>21.127604166666668</v>
      </c>
      <c r="AF37" s="27">
        <v>17.253599537037037</v>
      </c>
      <c r="AG37" s="27">
        <v>35.307997685185185</v>
      </c>
    </row>
    <row r="38" spans="1:33" x14ac:dyDescent="0.25">
      <c r="A38" s="17">
        <v>44</v>
      </c>
      <c r="B38" s="26">
        <v>5.7870370370370373E-5</v>
      </c>
      <c r="C38" s="26">
        <v>8.6805555555555551E-4</v>
      </c>
      <c r="D38" s="26">
        <v>6.9444444444444447E-4</v>
      </c>
      <c r="E38" s="26">
        <v>1.5740740740740741E-3</v>
      </c>
      <c r="F38" s="26">
        <v>9.2592592592592588E-5</v>
      </c>
      <c r="G38" s="26">
        <v>1.3078703703703703E-3</v>
      </c>
      <c r="H38" s="26">
        <v>1.0532407407407407E-3</v>
      </c>
      <c r="I38" s="26">
        <v>2.3726851851851851E-3</v>
      </c>
      <c r="J38" s="26">
        <v>1.6203703703703703E-4</v>
      </c>
      <c r="K38" s="26">
        <v>2.1990740740740742E-3</v>
      </c>
      <c r="L38" s="26">
        <v>1.7708333333333332E-3</v>
      </c>
      <c r="M38" s="26">
        <v>4.0046296296296297E-3</v>
      </c>
      <c r="N38" s="26">
        <v>1.9675925925925926E-4</v>
      </c>
      <c r="O38" s="26">
        <v>2.650462962962963E-3</v>
      </c>
      <c r="P38" s="26">
        <v>2.1412037037037038E-3</v>
      </c>
      <c r="Q38" s="26">
        <v>4.8148148148148152E-3</v>
      </c>
      <c r="R38" s="26">
        <v>3.4722222222222224E-4</v>
      </c>
      <c r="S38" s="26">
        <v>4.4791666666666669E-3</v>
      </c>
      <c r="T38" s="26">
        <v>3.6226851851851854E-3</v>
      </c>
      <c r="U38" s="26">
        <v>8.1597222222222227E-3</v>
      </c>
      <c r="V38" s="26">
        <v>7.7546296296296293E-4</v>
      </c>
      <c r="W38" s="26">
        <v>9.3518518518518525E-3</v>
      </c>
      <c r="X38" s="26">
        <v>7.5694444444444446E-3</v>
      </c>
      <c r="Y38" s="26">
        <v>1.6967592592592593E-2</v>
      </c>
      <c r="Z38" s="27">
        <v>1.783599537037037</v>
      </c>
      <c r="AA38" s="27">
        <v>14.944803240740741</v>
      </c>
      <c r="AB38" s="27">
        <v>12.396805555555556</v>
      </c>
      <c r="AC38" s="27">
        <v>24.840405092592594</v>
      </c>
      <c r="AD38" s="27">
        <v>3.5359953703703701</v>
      </c>
      <c r="AE38" s="27">
        <v>21.772395833333334</v>
      </c>
      <c r="AF38" s="27">
        <v>18.19480324074074</v>
      </c>
      <c r="AG38" s="27">
        <v>35.880000000000003</v>
      </c>
    </row>
    <row r="39" spans="1:33" x14ac:dyDescent="0.25">
      <c r="A39" s="17">
        <v>45</v>
      </c>
      <c r="B39" s="26">
        <v>8.1018518518518516E-5</v>
      </c>
      <c r="C39" s="26">
        <v>8.6805555555555551E-4</v>
      </c>
      <c r="D39" s="26">
        <v>7.1759259259259259E-4</v>
      </c>
      <c r="E39" s="26">
        <v>1.5856481481481481E-3</v>
      </c>
      <c r="F39" s="26">
        <v>1.273148148148148E-4</v>
      </c>
      <c r="G39" s="26">
        <v>1.3194444444444445E-3</v>
      </c>
      <c r="H39" s="26">
        <v>1.0879629629629629E-3</v>
      </c>
      <c r="I39" s="26">
        <v>2.3958333333333331E-3</v>
      </c>
      <c r="J39" s="26">
        <v>2.199074074074074E-4</v>
      </c>
      <c r="K39" s="26">
        <v>2.2222222222222222E-3</v>
      </c>
      <c r="L39" s="26">
        <v>1.8287037037037037E-3</v>
      </c>
      <c r="M39" s="26">
        <v>4.0277777777777777E-3</v>
      </c>
      <c r="N39" s="26">
        <v>2.6620370370370372E-4</v>
      </c>
      <c r="O39" s="26">
        <v>2.673611111111111E-3</v>
      </c>
      <c r="P39" s="26">
        <v>2.2106481481481482E-3</v>
      </c>
      <c r="Q39" s="26">
        <v>4.8495370370370368E-3</v>
      </c>
      <c r="R39" s="26">
        <v>4.5138888888888887E-4</v>
      </c>
      <c r="S39" s="26">
        <v>4.5370370370370373E-3</v>
      </c>
      <c r="T39" s="26">
        <v>3.7499999999999999E-3</v>
      </c>
      <c r="U39" s="26">
        <v>8.2060185185185187E-3</v>
      </c>
      <c r="V39" s="26">
        <v>1.0185185185185184E-3</v>
      </c>
      <c r="W39" s="26">
        <v>9.479166666666667E-3</v>
      </c>
      <c r="X39" s="26">
        <v>7.8356481481481489E-3</v>
      </c>
      <c r="Y39" s="26">
        <v>1.7106481481481483E-2</v>
      </c>
      <c r="Z39" s="27">
        <v>2.3504050925925926</v>
      </c>
      <c r="AA39" s="27">
        <v>15.23599537037037</v>
      </c>
      <c r="AB39" s="27">
        <v>12.916805555555555</v>
      </c>
      <c r="AC39" s="27">
        <v>25.100405092592592</v>
      </c>
      <c r="AD39" s="27">
        <v>4.6592013888888886</v>
      </c>
      <c r="AE39" s="27">
        <v>22.474398148148147</v>
      </c>
      <c r="AF39" s="27">
        <v>19.224398148148147</v>
      </c>
      <c r="AG39" s="27">
        <v>36.50920138888889</v>
      </c>
    </row>
    <row r="40" spans="1:33" x14ac:dyDescent="0.25">
      <c r="A40" s="17">
        <v>46</v>
      </c>
      <c r="B40" s="26">
        <v>1.0416666666666667E-4</v>
      </c>
      <c r="C40" s="26">
        <v>8.7962962962962962E-4</v>
      </c>
      <c r="D40" s="26">
        <v>7.407407407407407E-4</v>
      </c>
      <c r="E40" s="26">
        <v>1.5972222222222223E-3</v>
      </c>
      <c r="F40" s="26">
        <v>1.6203703703703703E-4</v>
      </c>
      <c r="G40" s="26">
        <v>1.3310185185185185E-3</v>
      </c>
      <c r="H40" s="26">
        <v>1.1226851851851851E-3</v>
      </c>
      <c r="I40" s="26">
        <v>2.4074074074074076E-3</v>
      </c>
      <c r="J40" s="26">
        <v>2.7777777777777778E-4</v>
      </c>
      <c r="K40" s="26">
        <v>2.2453703703703702E-3</v>
      </c>
      <c r="L40" s="26">
        <v>1.8981481481481482E-3</v>
      </c>
      <c r="M40" s="26">
        <v>4.0509259259259257E-3</v>
      </c>
      <c r="N40" s="26">
        <v>3.3564814814814812E-4</v>
      </c>
      <c r="O40" s="26">
        <v>2.7083333333333334E-3</v>
      </c>
      <c r="P40" s="26">
        <v>2.2800925925925927E-3</v>
      </c>
      <c r="Q40" s="26">
        <v>4.8842592592592592E-3</v>
      </c>
      <c r="R40" s="26">
        <v>5.7870370370370367E-4</v>
      </c>
      <c r="S40" s="26">
        <v>4.5833333333333334E-3</v>
      </c>
      <c r="T40" s="26">
        <v>3.8773148148148148E-3</v>
      </c>
      <c r="U40" s="26">
        <v>8.2754629629629636E-3</v>
      </c>
      <c r="V40" s="26">
        <v>1.2847222222222223E-3</v>
      </c>
      <c r="W40" s="26">
        <v>9.618055555555555E-3</v>
      </c>
      <c r="X40" s="26">
        <v>8.1365740740740738E-3</v>
      </c>
      <c r="Y40" s="26">
        <v>1.7256944444444443E-2</v>
      </c>
      <c r="Z40" s="27">
        <v>2.9587962962962964</v>
      </c>
      <c r="AA40" s="27">
        <v>15.558402777777777</v>
      </c>
      <c r="AB40" s="27">
        <v>13.473194444444445</v>
      </c>
      <c r="AC40" s="27">
        <v>25.386400462962964</v>
      </c>
      <c r="AD40" s="27">
        <v>5.865601851851852</v>
      </c>
      <c r="AE40" s="27">
        <v>23.244004629629629</v>
      </c>
      <c r="AF40" s="27">
        <v>20.332002314814815</v>
      </c>
      <c r="AG40" s="27">
        <v>37.195601851851855</v>
      </c>
    </row>
    <row r="41" spans="1:33" x14ac:dyDescent="0.25">
      <c r="A41" s="17">
        <v>47</v>
      </c>
      <c r="B41" s="26">
        <v>1.273148148148148E-4</v>
      </c>
      <c r="C41" s="26">
        <v>8.9120370370370373E-4</v>
      </c>
      <c r="D41" s="26">
        <v>7.7546296296296293E-4</v>
      </c>
      <c r="E41" s="26">
        <v>1.6087962962962963E-3</v>
      </c>
      <c r="F41" s="26">
        <v>1.9675925925925926E-4</v>
      </c>
      <c r="G41" s="26">
        <v>1.3541666666666667E-3</v>
      </c>
      <c r="H41" s="26">
        <v>1.1574074074074073E-3</v>
      </c>
      <c r="I41" s="26">
        <v>2.4305555555555556E-3</v>
      </c>
      <c r="J41" s="26">
        <v>3.3564814814814812E-4</v>
      </c>
      <c r="K41" s="26">
        <v>2.2685185185185187E-3</v>
      </c>
      <c r="L41" s="26">
        <v>1.9560185185185184E-3</v>
      </c>
      <c r="M41" s="26">
        <v>4.0856481481481481E-3</v>
      </c>
      <c r="N41" s="26">
        <v>4.1666666666666669E-4</v>
      </c>
      <c r="O41" s="26">
        <v>2.7430555555555554E-3</v>
      </c>
      <c r="P41" s="26">
        <v>2.3611111111111111E-3</v>
      </c>
      <c r="Q41" s="26">
        <v>4.9189814814814816E-3</v>
      </c>
      <c r="R41" s="26">
        <v>7.0601851851851847E-4</v>
      </c>
      <c r="S41" s="26">
        <v>4.6527777777777774E-3</v>
      </c>
      <c r="T41" s="26">
        <v>4.0277777777777777E-3</v>
      </c>
      <c r="U41" s="26">
        <v>8.3449074074074068E-3</v>
      </c>
      <c r="V41" s="26">
        <v>1.5856481481481481E-3</v>
      </c>
      <c r="W41" s="26">
        <v>9.780092592592592E-3</v>
      </c>
      <c r="X41" s="26">
        <v>8.4606481481481477E-3</v>
      </c>
      <c r="Y41" s="26">
        <v>1.7430555555555557E-2</v>
      </c>
      <c r="Z41" s="27">
        <v>3.6140046296296298</v>
      </c>
      <c r="AA41" s="27">
        <v>15.917199074074073</v>
      </c>
      <c r="AB41" s="27">
        <v>14.071203703703704</v>
      </c>
      <c r="AC41" s="27">
        <v>25.703599537037036</v>
      </c>
      <c r="AD41" s="27">
        <v>7.1604050925925922</v>
      </c>
      <c r="AE41" s="27">
        <v>24.086400462962963</v>
      </c>
      <c r="AF41" s="27">
        <v>21.512395833333333</v>
      </c>
      <c r="AG41" s="27">
        <v>37.944398148148146</v>
      </c>
    </row>
    <row r="42" spans="1:33" x14ac:dyDescent="0.25">
      <c r="A42" s="17">
        <v>48</v>
      </c>
      <c r="B42" s="26">
        <v>1.5046296296296297E-4</v>
      </c>
      <c r="C42" s="26">
        <v>9.0277777777777774E-4</v>
      </c>
      <c r="D42" s="26">
        <v>7.9861111111111116E-4</v>
      </c>
      <c r="E42" s="26">
        <v>1.6319444444444445E-3</v>
      </c>
      <c r="F42" s="26">
        <v>2.3148148148148149E-4</v>
      </c>
      <c r="G42" s="26">
        <v>1.3657407407407407E-3</v>
      </c>
      <c r="H42" s="26">
        <v>1.2037037037037038E-3</v>
      </c>
      <c r="I42" s="26">
        <v>2.4537037037037036E-3</v>
      </c>
      <c r="J42" s="26">
        <v>4.0509259259259258E-4</v>
      </c>
      <c r="K42" s="26">
        <v>2.3032407407407407E-3</v>
      </c>
      <c r="L42" s="26">
        <v>2.0370370370370369E-3</v>
      </c>
      <c r="M42" s="26">
        <v>4.1203703703703706E-3</v>
      </c>
      <c r="N42" s="26">
        <v>4.861111111111111E-4</v>
      </c>
      <c r="O42" s="26">
        <v>2.7777777777777779E-3</v>
      </c>
      <c r="P42" s="26">
        <v>2.4537037037037036E-3</v>
      </c>
      <c r="Q42" s="26">
        <v>4.9652777777777777E-3</v>
      </c>
      <c r="R42" s="26">
        <v>8.4490740740740739E-4</v>
      </c>
      <c r="S42" s="26">
        <v>4.7222222222222223E-3</v>
      </c>
      <c r="T42" s="26">
        <v>4.1666666666666666E-3</v>
      </c>
      <c r="U42" s="26">
        <v>8.4259259259259253E-3</v>
      </c>
      <c r="V42" s="26">
        <v>1.8981481481481482E-3</v>
      </c>
      <c r="W42" s="26">
        <v>9.9537037037037042E-3</v>
      </c>
      <c r="X42" s="26">
        <v>8.7962962962962968E-3</v>
      </c>
      <c r="Y42" s="26">
        <v>1.7627314814814814E-2</v>
      </c>
      <c r="Z42" s="27">
        <v>4.3056018518518515</v>
      </c>
      <c r="AA42" s="27">
        <v>16.307199074074074</v>
      </c>
      <c r="AB42" s="27">
        <v>14.705601851851851</v>
      </c>
      <c r="AC42" s="27">
        <v>26.052002314814814</v>
      </c>
      <c r="AD42" s="27">
        <v>8.5331944444444439</v>
      </c>
      <c r="AE42" s="27">
        <v>24.996400462962963</v>
      </c>
      <c r="AF42" s="27">
        <v>22.770798611111111</v>
      </c>
      <c r="AG42" s="27">
        <v>38.760798611111113</v>
      </c>
    </row>
    <row r="43" spans="1:33" x14ac:dyDescent="0.25">
      <c r="A43" s="17">
        <v>49</v>
      </c>
      <c r="B43" s="26">
        <v>1.8518518518518518E-4</v>
      </c>
      <c r="C43" s="26">
        <v>9.2592592592592596E-4</v>
      </c>
      <c r="D43" s="26">
        <v>8.3333333333333339E-4</v>
      </c>
      <c r="E43" s="26">
        <v>1.6435185185185185E-3</v>
      </c>
      <c r="F43" s="26">
        <v>2.7777777777777778E-4</v>
      </c>
      <c r="G43" s="26">
        <v>1.3888888888888889E-3</v>
      </c>
      <c r="H43" s="26">
        <v>1.25E-3</v>
      </c>
      <c r="I43" s="26">
        <v>2.476851851851852E-3</v>
      </c>
      <c r="J43" s="26">
        <v>4.7453703703703704E-4</v>
      </c>
      <c r="K43" s="26">
        <v>2.3495370370370371E-3</v>
      </c>
      <c r="L43" s="26">
        <v>2.1064814814814813E-3</v>
      </c>
      <c r="M43" s="26">
        <v>4.1666666666666666E-3</v>
      </c>
      <c r="N43" s="26">
        <v>5.7870370370370367E-4</v>
      </c>
      <c r="O43" s="26">
        <v>2.8356481481481483E-3</v>
      </c>
      <c r="P43" s="26">
        <v>2.5462962962962965E-3</v>
      </c>
      <c r="Q43" s="26">
        <v>5.0231481481481481E-3</v>
      </c>
      <c r="R43" s="26">
        <v>9.9537037037037042E-4</v>
      </c>
      <c r="S43" s="26">
        <v>4.8148148148148152E-3</v>
      </c>
      <c r="T43" s="26">
        <v>4.3287037037037035E-3</v>
      </c>
      <c r="U43" s="26">
        <v>8.518518518518519E-3</v>
      </c>
      <c r="V43" s="26">
        <v>2.2222222222222222E-3</v>
      </c>
      <c r="W43" s="26">
        <v>1.0150462962962964E-2</v>
      </c>
      <c r="X43" s="26">
        <v>9.1666666666666667E-3</v>
      </c>
      <c r="Y43" s="26">
        <v>1.7847222222222223E-2</v>
      </c>
      <c r="Z43" s="27">
        <v>5.0387962962962964</v>
      </c>
      <c r="AA43" s="27">
        <v>16.733599537037037</v>
      </c>
      <c r="AB43" s="27">
        <v>15.376400462962962</v>
      </c>
      <c r="AC43" s="27">
        <v>26.442002314814815</v>
      </c>
      <c r="AD43" s="27">
        <v>9.9892013888888886</v>
      </c>
      <c r="AE43" s="27">
        <v>25.984398148148149</v>
      </c>
      <c r="AF43" s="27">
        <v>24.096805555555555</v>
      </c>
      <c r="AG43" s="27">
        <v>39.65</v>
      </c>
    </row>
    <row r="44" spans="1:33" x14ac:dyDescent="0.25">
      <c r="A44" s="17">
        <v>50</v>
      </c>
      <c r="B44" s="26">
        <v>2.0833333333333335E-4</v>
      </c>
      <c r="C44" s="26">
        <v>9.3749999999999997E-4</v>
      </c>
      <c r="D44" s="26">
        <v>8.564814814814815E-4</v>
      </c>
      <c r="E44" s="26">
        <v>1.6666666666666668E-3</v>
      </c>
      <c r="F44" s="26">
        <v>3.2407407407407406E-4</v>
      </c>
      <c r="G44" s="26">
        <v>1.4120370370370369E-3</v>
      </c>
      <c r="H44" s="26">
        <v>1.2962962962962963E-3</v>
      </c>
      <c r="I44" s="26">
        <v>2.5000000000000001E-3</v>
      </c>
      <c r="J44" s="26">
        <v>5.4398148148148144E-4</v>
      </c>
      <c r="K44" s="26">
        <v>2.3842592592592591E-3</v>
      </c>
      <c r="L44" s="26">
        <v>2.1990740740740742E-3</v>
      </c>
      <c r="M44" s="26">
        <v>4.2129629629629626E-3</v>
      </c>
      <c r="N44" s="26">
        <v>6.7129629629629625E-4</v>
      </c>
      <c r="O44" s="26">
        <v>2.8819444444444444E-3</v>
      </c>
      <c r="P44" s="26">
        <v>2.650462962962963E-3</v>
      </c>
      <c r="Q44" s="26">
        <v>5.0810185185185186E-3</v>
      </c>
      <c r="R44" s="26">
        <v>1.1574074074074073E-3</v>
      </c>
      <c r="S44" s="26">
        <v>4.9074074074074072E-3</v>
      </c>
      <c r="T44" s="26">
        <v>4.5138888888888885E-3</v>
      </c>
      <c r="U44" s="26">
        <v>8.6226851851851846E-3</v>
      </c>
      <c r="V44" s="26">
        <v>2.5810185185185185E-3</v>
      </c>
      <c r="W44" s="26">
        <v>1.0381944444444444E-2</v>
      </c>
      <c r="X44" s="26">
        <v>9.5601851851851855E-3</v>
      </c>
      <c r="Y44" s="26">
        <v>1.8101851851851852E-2</v>
      </c>
      <c r="Z44" s="27">
        <v>5.813599537037037</v>
      </c>
      <c r="AA44" s="27">
        <v>17.212002314814814</v>
      </c>
      <c r="AB44" s="27">
        <v>16.078402777777779</v>
      </c>
      <c r="AC44" s="27">
        <v>26.863194444444446</v>
      </c>
      <c r="AD44" s="27">
        <v>11.512800925925927</v>
      </c>
      <c r="AE44" s="27">
        <v>27.055601851851851</v>
      </c>
      <c r="AF44" s="27">
        <v>25.495601851851852</v>
      </c>
      <c r="AG44" s="27">
        <v>40.612002314814816</v>
      </c>
    </row>
    <row r="45" spans="1:33" x14ac:dyDescent="0.25">
      <c r="A45" s="17">
        <v>51</v>
      </c>
      <c r="B45" s="26">
        <v>2.4305555555555555E-4</v>
      </c>
      <c r="C45" s="26">
        <v>9.6064814814814819E-4</v>
      </c>
      <c r="D45" s="26">
        <v>8.9120370370370373E-4</v>
      </c>
      <c r="E45" s="26">
        <v>1.6782407407407408E-3</v>
      </c>
      <c r="F45" s="26">
        <v>3.7037037037037035E-4</v>
      </c>
      <c r="G45" s="26">
        <v>1.4467592592592592E-3</v>
      </c>
      <c r="H45" s="26">
        <v>1.3541666666666667E-3</v>
      </c>
      <c r="I45" s="26">
        <v>2.5347222222222221E-3</v>
      </c>
      <c r="J45" s="26">
        <v>6.2500000000000001E-4</v>
      </c>
      <c r="K45" s="26">
        <v>2.4421296296296296E-3</v>
      </c>
      <c r="L45" s="26">
        <v>2.2800925925925927E-3</v>
      </c>
      <c r="M45" s="26">
        <v>4.2708333333333331E-3</v>
      </c>
      <c r="N45" s="26">
        <v>7.6388888888888893E-4</v>
      </c>
      <c r="O45" s="26">
        <v>2.9398148148148148E-3</v>
      </c>
      <c r="P45" s="26">
        <v>2.7546296296296294E-3</v>
      </c>
      <c r="Q45" s="26">
        <v>5.138888888888889E-3</v>
      </c>
      <c r="R45" s="26">
        <v>1.3194444444444445E-3</v>
      </c>
      <c r="S45" s="26">
        <v>5.0115740740740737E-3</v>
      </c>
      <c r="T45" s="26">
        <v>4.6990740740740743E-3</v>
      </c>
      <c r="U45" s="26">
        <v>8.7384259259259255E-3</v>
      </c>
      <c r="V45" s="26">
        <v>2.9629629629629628E-3</v>
      </c>
      <c r="W45" s="26">
        <v>1.0636574074074074E-2</v>
      </c>
      <c r="X45" s="26">
        <v>9.9652777777777778E-3</v>
      </c>
      <c r="Y45" s="26">
        <v>1.8379629629629631E-2</v>
      </c>
      <c r="Z45" s="27">
        <v>6.6195949074074072</v>
      </c>
      <c r="AA45" s="27">
        <v>17.732002314814814</v>
      </c>
      <c r="AB45" s="27">
        <v>16.822002314814814</v>
      </c>
      <c r="AC45" s="27">
        <v>27.331203703703704</v>
      </c>
      <c r="AD45" s="27">
        <v>13.10920138888889</v>
      </c>
      <c r="AE45" s="27">
        <v>28.215196759259261</v>
      </c>
      <c r="AF45" s="27">
        <v>26.956805555555555</v>
      </c>
      <c r="AG45" s="27">
        <v>41.652002314814816</v>
      </c>
    </row>
    <row r="46" spans="1:33" x14ac:dyDescent="0.25">
      <c r="A46" s="17">
        <v>52</v>
      </c>
      <c r="B46" s="26">
        <v>2.7777777777777778E-4</v>
      </c>
      <c r="C46" s="26">
        <v>9.7222222222222219E-4</v>
      </c>
      <c r="D46" s="26">
        <v>9.3749999999999997E-4</v>
      </c>
      <c r="E46" s="26">
        <v>1.7013888888888888E-3</v>
      </c>
      <c r="F46" s="26">
        <v>4.1666666666666669E-4</v>
      </c>
      <c r="G46" s="26">
        <v>1.4814814814814814E-3</v>
      </c>
      <c r="H46" s="26">
        <v>1.4004629629629629E-3</v>
      </c>
      <c r="I46" s="26">
        <v>2.5694444444444445E-3</v>
      </c>
      <c r="J46" s="26">
        <v>7.0601851851851847E-4</v>
      </c>
      <c r="K46" s="26">
        <v>2.5000000000000001E-3</v>
      </c>
      <c r="L46" s="26">
        <v>2.3726851851851851E-3</v>
      </c>
      <c r="M46" s="26">
        <v>4.3287037037037035E-3</v>
      </c>
      <c r="N46" s="26">
        <v>8.564814814814815E-4</v>
      </c>
      <c r="O46" s="26">
        <v>3.0208333333333333E-3</v>
      </c>
      <c r="P46" s="26">
        <v>2.8703703703703703E-3</v>
      </c>
      <c r="Q46" s="26">
        <v>5.2199074074074075E-3</v>
      </c>
      <c r="R46" s="26">
        <v>1.5046296296296296E-3</v>
      </c>
      <c r="S46" s="26">
        <v>5.138888888888889E-3</v>
      </c>
      <c r="T46" s="26">
        <v>4.8842592592592592E-3</v>
      </c>
      <c r="U46" s="26">
        <v>8.8773148148148153E-3</v>
      </c>
      <c r="V46" s="26">
        <v>3.3564814814814816E-3</v>
      </c>
      <c r="W46" s="26">
        <v>1.0937499999999999E-2</v>
      </c>
      <c r="X46" s="26">
        <v>1.0405092592592593E-2</v>
      </c>
      <c r="Y46" s="26">
        <v>1.8703703703703705E-2</v>
      </c>
      <c r="Z46" s="27">
        <v>7.4671990740740739</v>
      </c>
      <c r="AA46" s="27">
        <v>18.298796296296295</v>
      </c>
      <c r="AB46" s="27">
        <v>17.591597222222223</v>
      </c>
      <c r="AC46" s="27">
        <v>27.845995370370371</v>
      </c>
      <c r="AD46" s="27">
        <v>14.778402777777778</v>
      </c>
      <c r="AE46" s="27">
        <v>29.457997685185184</v>
      </c>
      <c r="AF46" s="27">
        <v>28.48560185185185</v>
      </c>
      <c r="AG46" s="27">
        <v>42.775196759259259</v>
      </c>
    </row>
    <row r="47" spans="1:33" x14ac:dyDescent="0.25">
      <c r="A47" s="17">
        <v>53</v>
      </c>
      <c r="B47" s="26">
        <v>3.0092592592592595E-4</v>
      </c>
      <c r="C47" s="26">
        <v>1.0069444444444444E-3</v>
      </c>
      <c r="D47" s="26">
        <v>9.7222222222222219E-4</v>
      </c>
      <c r="E47" s="26">
        <v>1.736111111111111E-3</v>
      </c>
      <c r="F47" s="26">
        <v>4.6296296296296298E-4</v>
      </c>
      <c r="G47" s="26">
        <v>1.5162037037037036E-3</v>
      </c>
      <c r="H47" s="26">
        <v>1.4583333333333334E-3</v>
      </c>
      <c r="I47" s="26">
        <v>2.6157407407407405E-3</v>
      </c>
      <c r="J47" s="26">
        <v>7.9861111111111116E-4</v>
      </c>
      <c r="K47" s="26">
        <v>2.5578703703703705E-3</v>
      </c>
      <c r="L47" s="26">
        <v>2.4652777777777776E-3</v>
      </c>
      <c r="M47" s="26">
        <v>4.3981481481481484E-3</v>
      </c>
      <c r="N47" s="26">
        <v>9.7222222222222219E-4</v>
      </c>
      <c r="O47" s="26">
        <v>3.0902777777777777E-3</v>
      </c>
      <c r="P47" s="26">
        <v>2.9861111111111113E-3</v>
      </c>
      <c r="Q47" s="26">
        <v>5.3125000000000004E-3</v>
      </c>
      <c r="R47" s="26">
        <v>1.6898148148148148E-3</v>
      </c>
      <c r="S47" s="26">
        <v>5.2777777777777779E-3</v>
      </c>
      <c r="T47" s="26">
        <v>5.092592592592593E-3</v>
      </c>
      <c r="U47" s="26">
        <v>9.0277777777777769E-3</v>
      </c>
      <c r="V47" s="26">
        <v>3.7731481481481483E-3</v>
      </c>
      <c r="W47" s="26">
        <v>1.1261574074074075E-2</v>
      </c>
      <c r="X47" s="26">
        <v>1.0856481481481481E-2</v>
      </c>
      <c r="Y47" s="26">
        <v>1.9050925925925926E-2</v>
      </c>
      <c r="Z47" s="27">
        <v>8.3459953703703711</v>
      </c>
      <c r="AA47" s="27">
        <v>18.922800925925927</v>
      </c>
      <c r="AB47" s="27">
        <v>18.397604166666667</v>
      </c>
      <c r="AC47" s="27">
        <v>28.412800925925925</v>
      </c>
      <c r="AD47" s="27">
        <v>16.515196759259258</v>
      </c>
      <c r="AE47" s="27">
        <v>30.794398148148147</v>
      </c>
      <c r="AF47" s="27">
        <v>30.076805555555556</v>
      </c>
      <c r="AG47" s="27">
        <v>43.986805555555556</v>
      </c>
    </row>
    <row r="48" spans="1:33" x14ac:dyDescent="0.25">
      <c r="A48" s="17">
        <v>54</v>
      </c>
      <c r="B48" s="26">
        <v>3.4722222222222224E-4</v>
      </c>
      <c r="C48" s="26">
        <v>1.0300925925925926E-3</v>
      </c>
      <c r="D48" s="26">
        <v>1.0069444444444444E-3</v>
      </c>
      <c r="E48" s="26">
        <v>1.7592592592592592E-3</v>
      </c>
      <c r="F48" s="26">
        <v>5.2083333333333333E-4</v>
      </c>
      <c r="G48" s="26">
        <v>1.5625000000000001E-3</v>
      </c>
      <c r="H48" s="26">
        <v>1.5277777777777779E-3</v>
      </c>
      <c r="I48" s="26">
        <v>2.662037037037037E-3</v>
      </c>
      <c r="J48" s="26">
        <v>8.9120370370370373E-4</v>
      </c>
      <c r="K48" s="26">
        <v>2.638888888888889E-3</v>
      </c>
      <c r="L48" s="26">
        <v>2.5694444444444445E-3</v>
      </c>
      <c r="M48" s="26">
        <v>4.4791666666666669E-3</v>
      </c>
      <c r="N48" s="26">
        <v>1.0879629629629629E-3</v>
      </c>
      <c r="O48" s="26">
        <v>3.1828703703703702E-3</v>
      </c>
      <c r="P48" s="26">
        <v>3.1018518518518517E-3</v>
      </c>
      <c r="Q48" s="26">
        <v>5.4050925925925924E-3</v>
      </c>
      <c r="R48" s="26">
        <v>1.8865740740740742E-3</v>
      </c>
      <c r="S48" s="26">
        <v>5.4398148148148149E-3</v>
      </c>
      <c r="T48" s="26">
        <v>5.3009259259259259E-3</v>
      </c>
      <c r="U48" s="26">
        <v>9.2013888888888892E-3</v>
      </c>
      <c r="V48" s="26">
        <v>4.2129629629629626E-3</v>
      </c>
      <c r="W48" s="26">
        <v>1.1631944444444445E-2</v>
      </c>
      <c r="X48" s="26">
        <v>1.1342592592592593E-2</v>
      </c>
      <c r="Y48" s="26">
        <v>1.9456018518518518E-2</v>
      </c>
      <c r="Z48" s="27">
        <v>9.2612037037037034</v>
      </c>
      <c r="AA48" s="27">
        <v>19.598796296296296</v>
      </c>
      <c r="AB48" s="27">
        <v>19.234803240740742</v>
      </c>
      <c r="AC48" s="27">
        <v>29.026400462962965</v>
      </c>
      <c r="AD48" s="27">
        <v>18.319594907407406</v>
      </c>
      <c r="AE48" s="27">
        <v>32.22959490740741</v>
      </c>
      <c r="AF48" s="27">
        <v>31.725196759259259</v>
      </c>
      <c r="AG48" s="27">
        <v>45.286805555555553</v>
      </c>
    </row>
    <row r="49" spans="1:33" x14ac:dyDescent="0.25">
      <c r="A49" s="17">
        <v>55</v>
      </c>
      <c r="B49" s="26">
        <v>3.8194444444444446E-4</v>
      </c>
      <c r="C49" s="26">
        <v>1.0648148148148149E-3</v>
      </c>
      <c r="D49" s="26">
        <v>1.0532407407407407E-3</v>
      </c>
      <c r="E49" s="26">
        <v>1.8055555555555555E-3</v>
      </c>
      <c r="F49" s="26">
        <v>5.7870370370370367E-4</v>
      </c>
      <c r="G49" s="26">
        <v>1.6087962962962963E-3</v>
      </c>
      <c r="H49" s="26">
        <v>1.5856481481481481E-3</v>
      </c>
      <c r="I49" s="26">
        <v>2.7083333333333334E-3</v>
      </c>
      <c r="J49" s="26">
        <v>9.837962962962962E-4</v>
      </c>
      <c r="K49" s="26">
        <v>2.7199074074074074E-3</v>
      </c>
      <c r="L49" s="26">
        <v>2.673611111111111E-3</v>
      </c>
      <c r="M49" s="26">
        <v>4.5717592592592589E-3</v>
      </c>
      <c r="N49" s="26">
        <v>1.2037037037037038E-3</v>
      </c>
      <c r="O49" s="26">
        <v>3.2870370370370371E-3</v>
      </c>
      <c r="P49" s="26">
        <v>3.2291666666666666E-3</v>
      </c>
      <c r="Q49" s="26">
        <v>5.5208333333333333E-3</v>
      </c>
      <c r="R49" s="26">
        <v>2.0833333333333333E-3</v>
      </c>
      <c r="S49" s="26">
        <v>5.6249999999999998E-3</v>
      </c>
      <c r="T49" s="26">
        <v>5.5324074074074078E-3</v>
      </c>
      <c r="U49" s="26">
        <v>9.3981481481481485E-3</v>
      </c>
      <c r="V49" s="26">
        <v>4.6874999999999998E-3</v>
      </c>
      <c r="W49" s="26">
        <v>1.2037037037037037E-2</v>
      </c>
      <c r="X49" s="26">
        <v>1.1851851851851851E-2</v>
      </c>
      <c r="Y49" s="26">
        <v>1.9907407407407408E-2</v>
      </c>
      <c r="Z49" s="27">
        <v>10.212800925925926</v>
      </c>
      <c r="AA49" s="27">
        <v>20.337199074074075</v>
      </c>
      <c r="AB49" s="27">
        <v>20.097997685185184</v>
      </c>
      <c r="AC49" s="27">
        <v>29.697199074074074</v>
      </c>
      <c r="AD49" s="27">
        <v>20.186400462962961</v>
      </c>
      <c r="AE49" s="27">
        <v>33.763599537037038</v>
      </c>
      <c r="AF49" s="27">
        <v>33.435995370370371</v>
      </c>
      <c r="AG49" s="27">
        <v>46.680405092592594</v>
      </c>
    </row>
    <row r="50" spans="1:33" x14ac:dyDescent="0.25">
      <c r="A50" s="17">
        <v>56</v>
      </c>
      <c r="B50" s="26">
        <v>4.1666666666666669E-4</v>
      </c>
      <c r="C50" s="26">
        <v>1.0995370370370371E-3</v>
      </c>
      <c r="D50" s="26">
        <v>1.0879629629629629E-3</v>
      </c>
      <c r="E50" s="26">
        <v>1.8402777777777777E-3</v>
      </c>
      <c r="F50" s="26">
        <v>6.3657407407407413E-4</v>
      </c>
      <c r="G50" s="26">
        <v>1.6666666666666668E-3</v>
      </c>
      <c r="H50" s="26">
        <v>1.6550925925925926E-3</v>
      </c>
      <c r="I50" s="26">
        <v>2.7777777777777779E-3</v>
      </c>
      <c r="J50" s="26">
        <v>1.0879629629629629E-3</v>
      </c>
      <c r="K50" s="26">
        <v>2.8124999999999999E-3</v>
      </c>
      <c r="L50" s="26">
        <v>2.7777777777777779E-3</v>
      </c>
      <c r="M50" s="26">
        <v>4.6759259259259263E-3</v>
      </c>
      <c r="N50" s="26">
        <v>1.3194444444444445E-3</v>
      </c>
      <c r="O50" s="26">
        <v>3.4027777777777776E-3</v>
      </c>
      <c r="P50" s="26">
        <v>3.3680555555555556E-3</v>
      </c>
      <c r="Q50" s="26">
        <v>5.6481481481481478E-3</v>
      </c>
      <c r="R50" s="26">
        <v>2.3032407407407407E-3</v>
      </c>
      <c r="S50" s="26">
        <v>5.8217592592592592E-3</v>
      </c>
      <c r="T50" s="26">
        <v>5.7638888888888887E-3</v>
      </c>
      <c r="U50" s="26">
        <v>9.618055555555555E-3</v>
      </c>
      <c r="V50" s="26">
        <v>5.162037037037037E-3</v>
      </c>
      <c r="W50" s="26">
        <v>1.2500000000000001E-2</v>
      </c>
      <c r="X50" s="26">
        <v>1.238425925925926E-2</v>
      </c>
      <c r="Y50" s="26">
        <v>2.0416666666666666E-2</v>
      </c>
      <c r="Z50" s="27">
        <v>11.190405092592593</v>
      </c>
      <c r="AA50" s="27">
        <v>21.137997685185184</v>
      </c>
      <c r="AB50" s="27">
        <v>20.997604166666665</v>
      </c>
      <c r="AC50" s="27">
        <v>30.425196759259258</v>
      </c>
      <c r="AD50" s="27">
        <v>22.110405092592593</v>
      </c>
      <c r="AE50" s="27">
        <v>35.396400462962966</v>
      </c>
      <c r="AF50" s="27">
        <v>35.20400462962963</v>
      </c>
      <c r="AG50" s="27">
        <v>48.172800925925927</v>
      </c>
    </row>
    <row r="51" spans="1:33" x14ac:dyDescent="0.25">
      <c r="A51" s="17">
        <v>57</v>
      </c>
      <c r="B51" s="26">
        <v>4.6296296296296298E-4</v>
      </c>
      <c r="C51" s="26">
        <v>1.1458333333333333E-3</v>
      </c>
      <c r="D51" s="26">
        <v>1.1342592592592593E-3</v>
      </c>
      <c r="E51" s="26">
        <v>1.8865740740740742E-3</v>
      </c>
      <c r="F51" s="26">
        <v>6.9444444444444447E-4</v>
      </c>
      <c r="G51" s="26">
        <v>1.724537037037037E-3</v>
      </c>
      <c r="H51" s="26">
        <v>1.712962962962963E-3</v>
      </c>
      <c r="I51" s="26">
        <v>2.8356481481481483E-3</v>
      </c>
      <c r="J51" s="26">
        <v>1.1921296296296296E-3</v>
      </c>
      <c r="K51" s="26">
        <v>2.9166666666666668E-3</v>
      </c>
      <c r="L51" s="26">
        <v>2.9050925925925928E-3</v>
      </c>
      <c r="M51" s="26">
        <v>4.7916666666666663E-3</v>
      </c>
      <c r="N51" s="26">
        <v>1.4467592592592592E-3</v>
      </c>
      <c r="O51" s="26">
        <v>3.5300925925925925E-3</v>
      </c>
      <c r="P51" s="26">
        <v>3.5069444444444445E-3</v>
      </c>
      <c r="Q51" s="26">
        <v>5.7870370370370367E-3</v>
      </c>
      <c r="R51" s="26">
        <v>2.5231481481481481E-3</v>
      </c>
      <c r="S51" s="26">
        <v>6.0416666666666665E-3</v>
      </c>
      <c r="T51" s="26">
        <v>6.0069444444444441E-3</v>
      </c>
      <c r="U51" s="26">
        <v>9.8611111111111104E-3</v>
      </c>
      <c r="V51" s="26">
        <v>5.6828703703703702E-3</v>
      </c>
      <c r="W51" s="26">
        <v>1.3009259259259259E-2</v>
      </c>
      <c r="X51" s="26">
        <v>1.2939814814814815E-2</v>
      </c>
      <c r="Y51" s="26">
        <v>2.0972222222222222E-2</v>
      </c>
      <c r="Z51" s="27">
        <v>12.204398148148147</v>
      </c>
      <c r="AA51" s="27">
        <v>22.006400462962961</v>
      </c>
      <c r="AB51" s="27">
        <v>21.923194444444444</v>
      </c>
      <c r="AC51" s="27">
        <v>31.215601851851851</v>
      </c>
      <c r="AD51" s="27">
        <v>24.102002314814815</v>
      </c>
      <c r="AE51" s="27">
        <v>37.138402777777777</v>
      </c>
      <c r="AF51" s="27">
        <v>37.02400462962963</v>
      </c>
      <c r="AG51" s="27">
        <v>49.758796296296296</v>
      </c>
    </row>
    <row r="52" spans="1:33" x14ac:dyDescent="0.25">
      <c r="A52" s="17">
        <v>58</v>
      </c>
      <c r="B52" s="26">
        <v>5.0925925925925921E-4</v>
      </c>
      <c r="C52" s="26">
        <v>1.1921296296296296E-3</v>
      </c>
      <c r="D52" s="26">
        <v>1.1805555555555556E-3</v>
      </c>
      <c r="E52" s="26">
        <v>1.9328703703703704E-3</v>
      </c>
      <c r="F52" s="26">
        <v>7.6388888888888893E-4</v>
      </c>
      <c r="G52" s="26">
        <v>1.7939814814814815E-3</v>
      </c>
      <c r="H52" s="26">
        <v>1.7939814814814815E-3</v>
      </c>
      <c r="I52" s="26">
        <v>2.9166666666666668E-3</v>
      </c>
      <c r="J52" s="26">
        <v>1.3078703703703703E-3</v>
      </c>
      <c r="K52" s="26">
        <v>3.0324074074074073E-3</v>
      </c>
      <c r="L52" s="26">
        <v>3.0208333333333333E-3</v>
      </c>
      <c r="M52" s="26">
        <v>4.9189814814814816E-3</v>
      </c>
      <c r="N52" s="26">
        <v>1.5856481481481481E-3</v>
      </c>
      <c r="O52" s="26">
        <v>3.6689814814814814E-3</v>
      </c>
      <c r="P52" s="26">
        <v>3.6574074074074074E-3</v>
      </c>
      <c r="Q52" s="26">
        <v>5.9375000000000001E-3</v>
      </c>
      <c r="R52" s="26">
        <v>2.7662037037037039E-3</v>
      </c>
      <c r="S52" s="26">
        <v>6.2962962962962964E-3</v>
      </c>
      <c r="T52" s="26">
        <v>6.2615740740740739E-3</v>
      </c>
      <c r="U52" s="26">
        <v>1.0138888888888888E-2</v>
      </c>
      <c r="V52" s="26">
        <v>6.2152777777777779E-3</v>
      </c>
      <c r="W52" s="26">
        <v>1.357638888888889E-2</v>
      </c>
      <c r="X52" s="26">
        <v>1.3518518518518518E-2</v>
      </c>
      <c r="Y52" s="26">
        <v>2.1597222222222223E-2</v>
      </c>
      <c r="Z52" s="27">
        <v>13.249594907407408</v>
      </c>
      <c r="AA52" s="27">
        <v>22.937199074074073</v>
      </c>
      <c r="AB52" s="27">
        <v>22.874803240740739</v>
      </c>
      <c r="AC52" s="27">
        <v>32.063194444444441</v>
      </c>
      <c r="AD52" s="27">
        <v>26.14560185185185</v>
      </c>
      <c r="AE52" s="27">
        <v>38.984398148148145</v>
      </c>
      <c r="AF52" s="27">
        <v>38.9012037037037</v>
      </c>
      <c r="AG52" s="27">
        <v>51.45400462962963</v>
      </c>
    </row>
    <row r="53" spans="1:33" x14ac:dyDescent="0.25">
      <c r="A53" s="17">
        <v>59</v>
      </c>
      <c r="B53" s="26">
        <v>5.5555555555555556E-4</v>
      </c>
      <c r="C53" s="26">
        <v>1.238425925925926E-3</v>
      </c>
      <c r="D53" s="26">
        <v>1.238425925925926E-3</v>
      </c>
      <c r="E53" s="26">
        <v>1.9907407407407408E-3</v>
      </c>
      <c r="F53" s="26">
        <v>8.3333333333333339E-4</v>
      </c>
      <c r="G53" s="26">
        <v>1.8749999999999999E-3</v>
      </c>
      <c r="H53" s="26">
        <v>1.8634259259259259E-3</v>
      </c>
      <c r="I53" s="26">
        <v>2.9976851851851853E-3</v>
      </c>
      <c r="J53" s="26">
        <v>1.4236111111111112E-3</v>
      </c>
      <c r="K53" s="26">
        <v>3.1712962962962962E-3</v>
      </c>
      <c r="L53" s="26">
        <v>3.1481481481481482E-3</v>
      </c>
      <c r="M53" s="26">
        <v>5.0578703703703706E-3</v>
      </c>
      <c r="N53" s="26">
        <v>1.724537037037037E-3</v>
      </c>
      <c r="O53" s="26">
        <v>3.8310185185185183E-3</v>
      </c>
      <c r="P53" s="26">
        <v>3.8078703703703703E-3</v>
      </c>
      <c r="Q53" s="26">
        <v>6.1111111111111114E-3</v>
      </c>
      <c r="R53" s="26">
        <v>3.0092592592592593E-3</v>
      </c>
      <c r="S53" s="26">
        <v>6.5740740740740742E-3</v>
      </c>
      <c r="T53" s="26">
        <v>6.5393518518518517E-3</v>
      </c>
      <c r="U53" s="26">
        <v>1.0439814814814815E-2</v>
      </c>
      <c r="V53" s="26">
        <v>6.7708333333333336E-3</v>
      </c>
      <c r="W53" s="26">
        <v>1.4201388888888888E-2</v>
      </c>
      <c r="X53" s="26">
        <v>1.4131944444444445E-2</v>
      </c>
      <c r="Y53" s="26">
        <v>2.2280092592592591E-2</v>
      </c>
      <c r="Z53" s="27">
        <v>14.32599537037037</v>
      </c>
      <c r="AA53" s="27">
        <v>23.940798611111113</v>
      </c>
      <c r="AB53" s="27">
        <v>23.857604166666668</v>
      </c>
      <c r="AC53" s="27">
        <v>32.983599537037037</v>
      </c>
      <c r="AD53" s="27">
        <v>28.251597222222223</v>
      </c>
      <c r="AE53" s="27">
        <v>40.94480324074074</v>
      </c>
      <c r="AF53" s="27">
        <v>40.830405092592592</v>
      </c>
      <c r="AG53" s="27">
        <v>53.247997685185183</v>
      </c>
    </row>
    <row r="54" spans="1:33" x14ac:dyDescent="0.25">
      <c r="A54" s="17">
        <v>60</v>
      </c>
      <c r="B54" s="26">
        <v>5.9027777777777778E-4</v>
      </c>
      <c r="C54" s="26">
        <v>1.2962962962962963E-3</v>
      </c>
      <c r="D54" s="26">
        <v>1.2847222222222223E-3</v>
      </c>
      <c r="E54" s="26">
        <v>2.0486111111111113E-3</v>
      </c>
      <c r="F54" s="26">
        <v>9.0277777777777774E-4</v>
      </c>
      <c r="G54" s="26">
        <v>1.9560185185185184E-3</v>
      </c>
      <c r="H54" s="26">
        <v>1.9444444444444444E-3</v>
      </c>
      <c r="I54" s="26">
        <v>3.0902777777777777E-3</v>
      </c>
      <c r="J54" s="26">
        <v>1.5393518518518519E-3</v>
      </c>
      <c r="K54" s="26">
        <v>3.3101851851851851E-3</v>
      </c>
      <c r="L54" s="26">
        <v>3.2754629629629631E-3</v>
      </c>
      <c r="M54" s="26">
        <v>5.2199074074074075E-3</v>
      </c>
      <c r="N54" s="26">
        <v>1.8749999999999999E-3</v>
      </c>
      <c r="O54" s="26">
        <v>4.0046296296296297E-3</v>
      </c>
      <c r="P54" s="26">
        <v>3.9699074074074072E-3</v>
      </c>
      <c r="Q54" s="26">
        <v>6.3078703703703708E-3</v>
      </c>
      <c r="R54" s="26">
        <v>3.2638888888888891E-3</v>
      </c>
      <c r="S54" s="26">
        <v>6.875E-3</v>
      </c>
      <c r="T54" s="26">
        <v>6.8171296296296296E-3</v>
      </c>
      <c r="U54" s="26">
        <v>1.0775462962962962E-2</v>
      </c>
      <c r="V54" s="26">
        <v>7.3495370370370372E-3</v>
      </c>
      <c r="W54" s="26">
        <v>1.4895833333333334E-2</v>
      </c>
      <c r="X54" s="26">
        <v>1.4768518518518519E-2</v>
      </c>
      <c r="Y54" s="26">
        <v>2.3043981481481481E-2</v>
      </c>
      <c r="Z54" s="27">
        <v>15.428402777777778</v>
      </c>
      <c r="AA54" s="27">
        <v>25.017199074074075</v>
      </c>
      <c r="AB54" s="27">
        <v>24.866400462962964</v>
      </c>
      <c r="AC54" s="27">
        <v>33.966400462962966</v>
      </c>
      <c r="AD54" s="27">
        <v>30.414803240740742</v>
      </c>
      <c r="AE54" s="27">
        <v>43.014398148148146</v>
      </c>
      <c r="AF54" s="27">
        <v>42.816805555555554</v>
      </c>
      <c r="AG54" s="27">
        <v>55.1512037037037</v>
      </c>
    </row>
    <row r="55" spans="1:33" x14ac:dyDescent="0.25">
      <c r="A55" s="17">
        <v>61</v>
      </c>
      <c r="B55" s="26">
        <v>6.4814814814814813E-4</v>
      </c>
      <c r="C55" s="26">
        <v>1.3541666666666667E-3</v>
      </c>
      <c r="D55" s="26">
        <v>1.3310185185185185E-3</v>
      </c>
      <c r="E55" s="26">
        <v>2.1180555555555558E-3</v>
      </c>
      <c r="F55" s="26">
        <v>9.7222222222222219E-4</v>
      </c>
      <c r="G55" s="26">
        <v>2.0486111111111113E-3</v>
      </c>
      <c r="H55" s="26">
        <v>2.0138888888888888E-3</v>
      </c>
      <c r="I55" s="26">
        <v>3.1944444444444446E-3</v>
      </c>
      <c r="J55" s="26">
        <v>1.6666666666666668E-3</v>
      </c>
      <c r="K55" s="26">
        <v>3.472222222222222E-3</v>
      </c>
      <c r="L55" s="26">
        <v>3.414351851851852E-3</v>
      </c>
      <c r="M55" s="26">
        <v>5.3935185185185188E-3</v>
      </c>
      <c r="N55" s="26">
        <v>2.0254629629629629E-3</v>
      </c>
      <c r="O55" s="26">
        <v>4.2013888888888891E-3</v>
      </c>
      <c r="P55" s="26">
        <v>4.1319444444444442E-3</v>
      </c>
      <c r="Q55" s="26">
        <v>6.5162037037037037E-3</v>
      </c>
      <c r="R55" s="26">
        <v>3.5300925925925925E-3</v>
      </c>
      <c r="S55" s="26">
        <v>7.2222222222222219E-3</v>
      </c>
      <c r="T55" s="26">
        <v>7.1064814814814819E-3</v>
      </c>
      <c r="U55" s="26">
        <v>1.1145833333333334E-2</v>
      </c>
      <c r="V55" s="26">
        <v>7.951388888888888E-3</v>
      </c>
      <c r="W55" s="26">
        <v>1.5671296296296298E-2</v>
      </c>
      <c r="X55" s="26">
        <v>1.5439814814814814E-2</v>
      </c>
      <c r="Y55" s="26">
        <v>2.388888888888889E-2</v>
      </c>
      <c r="Z55" s="27">
        <v>16.562002314814816</v>
      </c>
      <c r="AA55" s="27">
        <v>26.166400462962962</v>
      </c>
      <c r="AB55" s="27">
        <v>25.906400462962964</v>
      </c>
      <c r="AC55" s="27">
        <v>35.022002314814813</v>
      </c>
      <c r="AD55" s="27">
        <v>32.630000000000003</v>
      </c>
      <c r="AE55" s="27">
        <v>45.19840277777778</v>
      </c>
      <c r="AF55" s="27">
        <v>44.85</v>
      </c>
      <c r="AG55" s="27">
        <v>57.158402777777781</v>
      </c>
    </row>
    <row r="56" spans="1:33" x14ac:dyDescent="0.25">
      <c r="A56" s="17">
        <v>62</v>
      </c>
      <c r="B56" s="26">
        <v>6.9444444444444447E-4</v>
      </c>
      <c r="C56" s="26">
        <v>1.4236111111111112E-3</v>
      </c>
      <c r="D56" s="26">
        <v>1.3888888888888889E-3</v>
      </c>
      <c r="E56" s="26">
        <v>2.1875000000000002E-3</v>
      </c>
      <c r="F56" s="26">
        <v>1.0532407407407407E-3</v>
      </c>
      <c r="G56" s="26">
        <v>2.1527777777777778E-3</v>
      </c>
      <c r="H56" s="26">
        <v>2.0949074074074073E-3</v>
      </c>
      <c r="I56" s="26">
        <v>3.3101851851851851E-3</v>
      </c>
      <c r="J56" s="26">
        <v>1.7939814814814815E-3</v>
      </c>
      <c r="K56" s="26">
        <v>3.6458333333333334E-3</v>
      </c>
      <c r="L56" s="26">
        <v>3.5648148148148149E-3</v>
      </c>
      <c r="M56" s="26">
        <v>5.5902777777777773E-3</v>
      </c>
      <c r="N56" s="26">
        <v>2.1875000000000002E-3</v>
      </c>
      <c r="O56" s="26">
        <v>4.4212962962962964E-3</v>
      </c>
      <c r="P56" s="26">
        <v>4.3055555555555555E-3</v>
      </c>
      <c r="Q56" s="26">
        <v>6.7592592592592591E-3</v>
      </c>
      <c r="R56" s="26">
        <v>3.8078703703703703E-3</v>
      </c>
      <c r="S56" s="26">
        <v>7.5925925925925926E-3</v>
      </c>
      <c r="T56" s="26">
        <v>7.4189814814814813E-3</v>
      </c>
      <c r="U56" s="26">
        <v>1.15625E-2</v>
      </c>
      <c r="V56" s="26">
        <v>8.5995370370370375E-3</v>
      </c>
      <c r="W56" s="26">
        <v>1.650462962962963E-2</v>
      </c>
      <c r="X56" s="26">
        <v>1.6134259259259258E-2</v>
      </c>
      <c r="Y56" s="26">
        <v>2.480324074074074E-2</v>
      </c>
      <c r="Z56" s="27">
        <v>17.726805555555554</v>
      </c>
      <c r="AA56" s="27">
        <v>27.393599537037037</v>
      </c>
      <c r="AB56" s="27">
        <v>26.967199074074074</v>
      </c>
      <c r="AC56" s="27">
        <v>36.150405092592592</v>
      </c>
      <c r="AD56" s="27">
        <v>34.902395833333337</v>
      </c>
      <c r="AE56" s="27">
        <v>47.491597222222225</v>
      </c>
      <c r="AF56" s="27">
        <v>46.93</v>
      </c>
      <c r="AG56" s="27">
        <v>59.28</v>
      </c>
    </row>
    <row r="57" spans="1:33" x14ac:dyDescent="0.25">
      <c r="A57" s="17">
        <v>63</v>
      </c>
      <c r="B57" s="26">
        <v>7.407407407407407E-4</v>
      </c>
      <c r="C57" s="26">
        <v>1.5046296296296296E-3</v>
      </c>
      <c r="D57" s="26">
        <v>1.4467592592592592E-3</v>
      </c>
      <c r="E57" s="26">
        <v>2.2685185185185187E-3</v>
      </c>
      <c r="F57" s="26">
        <v>1.1342592592592593E-3</v>
      </c>
      <c r="G57" s="26">
        <v>2.2685185185185187E-3</v>
      </c>
      <c r="H57" s="26">
        <v>2.1875000000000002E-3</v>
      </c>
      <c r="I57" s="26">
        <v>3.4375E-3</v>
      </c>
      <c r="J57" s="26">
        <v>1.9328703703703704E-3</v>
      </c>
      <c r="K57" s="26">
        <v>3.8425925925925928E-3</v>
      </c>
      <c r="L57" s="26">
        <v>3.7152777777777778E-3</v>
      </c>
      <c r="M57" s="26">
        <v>5.8101851851851856E-3</v>
      </c>
      <c r="N57" s="26">
        <v>2.3495370370370371E-3</v>
      </c>
      <c r="O57" s="26">
        <v>4.6527777777777774E-3</v>
      </c>
      <c r="P57" s="26">
        <v>4.4907407407407405E-3</v>
      </c>
      <c r="Q57" s="26">
        <v>7.013888888888889E-3</v>
      </c>
      <c r="R57" s="26">
        <v>4.0972222222222226E-3</v>
      </c>
      <c r="S57" s="26">
        <v>8.0092592592592594E-3</v>
      </c>
      <c r="T57" s="26">
        <v>7.7314814814814815E-3</v>
      </c>
      <c r="U57" s="26">
        <v>1.2013888888888888E-2</v>
      </c>
      <c r="V57" s="26">
        <v>9.2592592592592587E-3</v>
      </c>
      <c r="W57" s="26">
        <v>1.7430555555555557E-2</v>
      </c>
      <c r="X57" s="26">
        <v>1.6863425925925928E-2</v>
      </c>
      <c r="Y57" s="26">
        <v>2.582175925925926E-2</v>
      </c>
      <c r="Z57" s="27">
        <v>18.922800925925927</v>
      </c>
      <c r="AA57" s="27">
        <v>28.698796296296297</v>
      </c>
      <c r="AB57" s="27">
        <v>28.059201388888887</v>
      </c>
      <c r="AC57" s="27">
        <v>37.351597222222225</v>
      </c>
      <c r="AD57" s="27">
        <v>37.226805555555558</v>
      </c>
      <c r="AE57" s="27">
        <v>49.90959490740741</v>
      </c>
      <c r="AF57" s="27">
        <v>49.067199074074075</v>
      </c>
      <c r="AG57" s="27">
        <v>61.510798611111113</v>
      </c>
    </row>
    <row r="58" spans="1:33" x14ac:dyDescent="0.25">
      <c r="A58" s="17">
        <v>64</v>
      </c>
      <c r="B58" s="26">
        <v>7.9861111111111116E-4</v>
      </c>
      <c r="C58" s="26">
        <v>1.5856481481481481E-3</v>
      </c>
      <c r="D58" s="26">
        <v>1.5046296296296296E-3</v>
      </c>
      <c r="E58" s="26">
        <v>2.3611111111111111E-3</v>
      </c>
      <c r="F58" s="26">
        <v>1.2152777777777778E-3</v>
      </c>
      <c r="G58" s="26">
        <v>2.3958333333333331E-3</v>
      </c>
      <c r="H58" s="26">
        <v>2.2800925925925927E-3</v>
      </c>
      <c r="I58" s="26">
        <v>3.5763888888888889E-3</v>
      </c>
      <c r="J58" s="26">
        <v>2.0717592592592593E-3</v>
      </c>
      <c r="K58" s="26">
        <v>4.0509259259259257E-3</v>
      </c>
      <c r="L58" s="26">
        <v>3.8657407407407408E-3</v>
      </c>
      <c r="M58" s="26">
        <v>6.0416666666666665E-3</v>
      </c>
      <c r="N58" s="26">
        <v>2.5115740740740741E-3</v>
      </c>
      <c r="O58" s="26">
        <v>4.9074074074074072E-3</v>
      </c>
      <c r="P58" s="26">
        <v>4.6759259259259263E-3</v>
      </c>
      <c r="Q58" s="26">
        <v>7.3032407407407404E-3</v>
      </c>
      <c r="R58" s="26">
        <v>4.3981481481481484E-3</v>
      </c>
      <c r="S58" s="26">
        <v>8.4606481481481477E-3</v>
      </c>
      <c r="T58" s="26">
        <v>8.0555555555555554E-3</v>
      </c>
      <c r="U58" s="26">
        <v>1.2511574074074074E-2</v>
      </c>
      <c r="V58" s="26">
        <v>9.9421296296296289E-3</v>
      </c>
      <c r="W58" s="26">
        <v>1.8449074074074073E-2</v>
      </c>
      <c r="X58" s="26">
        <v>1.7615740740740741E-2</v>
      </c>
      <c r="Y58" s="26">
        <v>2.6932870370370371E-2</v>
      </c>
      <c r="Z58" s="27">
        <v>20.139594907407407</v>
      </c>
      <c r="AA58" s="27">
        <v>30.082002314814815</v>
      </c>
      <c r="AB58" s="27">
        <v>29.177199074074075</v>
      </c>
      <c r="AC58" s="27">
        <v>38.625601851851854</v>
      </c>
      <c r="AD58" s="27">
        <v>39.597997685185184</v>
      </c>
      <c r="AE58" s="27">
        <v>52.442002314814815</v>
      </c>
      <c r="AF58" s="27">
        <v>51.245995370370373</v>
      </c>
      <c r="AG58" s="27">
        <v>63.855995370370373</v>
      </c>
    </row>
    <row r="59" spans="1:33" x14ac:dyDescent="0.25">
      <c r="A59" s="17">
        <v>65</v>
      </c>
      <c r="B59" s="26">
        <v>8.564814814814815E-4</v>
      </c>
      <c r="C59" s="26">
        <v>1.6666666666666668E-3</v>
      </c>
      <c r="D59" s="26">
        <v>1.5625000000000001E-3</v>
      </c>
      <c r="E59" s="26">
        <v>2.4652777777777776E-3</v>
      </c>
      <c r="F59" s="26">
        <v>1.2962962962962963E-3</v>
      </c>
      <c r="G59" s="26">
        <v>2.5347222222222221E-3</v>
      </c>
      <c r="H59" s="26">
        <v>2.3726851851851851E-3</v>
      </c>
      <c r="I59" s="26">
        <v>3.7268518518518519E-3</v>
      </c>
      <c r="J59" s="26">
        <v>2.2222222222222222E-3</v>
      </c>
      <c r="K59" s="26">
        <v>4.2939814814814811E-3</v>
      </c>
      <c r="L59" s="26">
        <v>4.0277777777777777E-3</v>
      </c>
      <c r="M59" s="26">
        <v>6.2962962962962964E-3</v>
      </c>
      <c r="N59" s="26">
        <v>2.6967592592592594E-3</v>
      </c>
      <c r="O59" s="26">
        <v>5.1967592592592595E-3</v>
      </c>
      <c r="P59" s="26">
        <v>4.8726851851851848E-3</v>
      </c>
      <c r="Q59" s="26">
        <v>7.6157407407407406E-3</v>
      </c>
      <c r="R59" s="26">
        <v>4.7106481481481478E-3</v>
      </c>
      <c r="S59" s="26">
        <v>8.9583333333333338E-3</v>
      </c>
      <c r="T59" s="26">
        <v>8.4027777777777781E-3</v>
      </c>
      <c r="U59" s="26">
        <v>1.3055555555555556E-2</v>
      </c>
      <c r="V59" s="26">
        <v>1.0671296296296297E-2</v>
      </c>
      <c r="W59" s="26">
        <v>1.9571759259259261E-2</v>
      </c>
      <c r="X59" s="26">
        <v>1.8414351851851852E-2</v>
      </c>
      <c r="Y59" s="26">
        <v>2.8159722222222221E-2</v>
      </c>
      <c r="Z59" s="27">
        <v>21.392800925925926</v>
      </c>
      <c r="AA59" s="27">
        <v>31.553599537037037</v>
      </c>
      <c r="AB59" s="27">
        <v>30.321203703703702</v>
      </c>
      <c r="AC59" s="27">
        <v>39.977604166666666</v>
      </c>
      <c r="AD59" s="27">
        <v>42.026400462962961</v>
      </c>
      <c r="AE59" s="27">
        <v>55.088796296296294</v>
      </c>
      <c r="AF59" s="27">
        <v>53.476805555555558</v>
      </c>
      <c r="AG59" s="27">
        <v>66.315601851851852</v>
      </c>
    </row>
    <row r="60" spans="1:33" x14ac:dyDescent="0.25">
      <c r="A60" s="17">
        <v>66</v>
      </c>
      <c r="B60" s="26">
        <v>9.1435185185185185E-4</v>
      </c>
      <c r="C60" s="26">
        <v>1.7824074074074075E-3</v>
      </c>
      <c r="D60" s="26">
        <v>1.6319444444444445E-3</v>
      </c>
      <c r="E60" s="26">
        <v>2.5810185185185185E-3</v>
      </c>
      <c r="F60" s="26">
        <v>1.3888888888888889E-3</v>
      </c>
      <c r="G60" s="26">
        <v>2.685185185185185E-3</v>
      </c>
      <c r="H60" s="26">
        <v>2.476851851851852E-3</v>
      </c>
      <c r="I60" s="26">
        <v>3.8888888888888888E-3</v>
      </c>
      <c r="J60" s="26">
        <v>2.3726851851851851E-3</v>
      </c>
      <c r="K60" s="26">
        <v>4.5601851851851853E-3</v>
      </c>
      <c r="L60" s="26">
        <v>4.1898148148148146E-3</v>
      </c>
      <c r="M60" s="26">
        <v>6.5856481481481478E-3</v>
      </c>
      <c r="N60" s="26">
        <v>2.8819444444444444E-3</v>
      </c>
      <c r="O60" s="26">
        <v>5.5092592592592589E-3</v>
      </c>
      <c r="P60" s="26">
        <v>5.0810185185185186E-3</v>
      </c>
      <c r="Q60" s="26">
        <v>7.951388888888888E-3</v>
      </c>
      <c r="R60" s="26">
        <v>5.0347222222222225E-3</v>
      </c>
      <c r="S60" s="26">
        <v>9.5023148148148141E-3</v>
      </c>
      <c r="T60" s="26">
        <v>8.7615740740740744E-3</v>
      </c>
      <c r="U60" s="26">
        <v>1.3657407407407408E-2</v>
      </c>
      <c r="V60" s="26">
        <v>1.1423611111111112E-2</v>
      </c>
      <c r="W60" s="26">
        <v>2.0787037037037038E-2</v>
      </c>
      <c r="X60" s="26">
        <v>1.923611111111111E-2</v>
      </c>
      <c r="Y60" s="26">
        <v>2.9490740740740741E-2</v>
      </c>
      <c r="Z60" s="27">
        <v>22.666805555555555</v>
      </c>
      <c r="AA60" s="27">
        <v>33.103194444444448</v>
      </c>
      <c r="AB60" s="27">
        <v>31.485995370370372</v>
      </c>
      <c r="AC60" s="27">
        <v>41.412800925925929</v>
      </c>
      <c r="AD60" s="27">
        <v>44.506805555555559</v>
      </c>
      <c r="AE60" s="27">
        <v>57.860405092592593</v>
      </c>
      <c r="AF60" s="27">
        <v>55.754398148148148</v>
      </c>
      <c r="AG60" s="27">
        <v>68.889594907407414</v>
      </c>
    </row>
    <row r="61" spans="1:33" x14ac:dyDescent="0.25">
      <c r="A61" s="17">
        <v>67</v>
      </c>
      <c r="B61" s="26">
        <v>9.7222222222222219E-4</v>
      </c>
      <c r="C61" s="26">
        <v>1.8865740740740742E-3</v>
      </c>
      <c r="D61" s="26">
        <v>1.7013888888888888E-3</v>
      </c>
      <c r="E61" s="26">
        <v>2.6967592592592594E-3</v>
      </c>
      <c r="F61" s="26">
        <v>1.4814814814814814E-3</v>
      </c>
      <c r="G61" s="26">
        <v>2.8472222222222223E-3</v>
      </c>
      <c r="H61" s="26">
        <v>2.5694444444444445E-3</v>
      </c>
      <c r="I61" s="26">
        <v>4.0740740740740737E-3</v>
      </c>
      <c r="J61" s="26">
        <v>2.5231481481481481E-3</v>
      </c>
      <c r="K61" s="26">
        <v>4.8379629629629632E-3</v>
      </c>
      <c r="L61" s="26">
        <v>4.363425925925926E-3</v>
      </c>
      <c r="M61" s="26">
        <v>6.898148148148148E-3</v>
      </c>
      <c r="N61" s="26">
        <v>3.0787037037037037E-3</v>
      </c>
      <c r="O61" s="26">
        <v>5.8564814814814816E-3</v>
      </c>
      <c r="P61" s="26">
        <v>5.2893518518518515E-3</v>
      </c>
      <c r="Q61" s="26">
        <v>8.3333333333333332E-3</v>
      </c>
      <c r="R61" s="26">
        <v>5.3819444444444444E-3</v>
      </c>
      <c r="S61" s="26">
        <v>1.0104166666666666E-2</v>
      </c>
      <c r="T61" s="26">
        <v>9.1319444444444443E-3</v>
      </c>
      <c r="U61" s="26">
        <v>1.4305555555555556E-2</v>
      </c>
      <c r="V61" s="26">
        <v>1.2210648148148148E-2</v>
      </c>
      <c r="W61" s="26">
        <v>2.2129629629629631E-2</v>
      </c>
      <c r="X61" s="26">
        <v>2.0092592592592592E-2</v>
      </c>
      <c r="Y61" s="26">
        <v>3.0960648148148147E-2</v>
      </c>
      <c r="Z61" s="27">
        <v>23.977199074074075</v>
      </c>
      <c r="AA61" s="27">
        <v>34.741203703703704</v>
      </c>
      <c r="AB61" s="27">
        <v>32.682002314814817</v>
      </c>
      <c r="AC61" s="27">
        <v>42.92079861111111</v>
      </c>
      <c r="AD61" s="27">
        <v>47.034004629629628</v>
      </c>
      <c r="AE61" s="27">
        <v>60.74640046296296</v>
      </c>
      <c r="AF61" s="27">
        <v>58.078796296296296</v>
      </c>
      <c r="AG61" s="27">
        <v>71.577997685185181</v>
      </c>
    </row>
    <row r="62" spans="1:33" x14ac:dyDescent="0.25">
      <c r="A62" s="17">
        <v>68</v>
      </c>
      <c r="B62" s="26">
        <v>1.0416666666666667E-3</v>
      </c>
      <c r="C62" s="26">
        <v>2.0023148148148148E-3</v>
      </c>
      <c r="D62" s="26">
        <v>1.7708333333333332E-3</v>
      </c>
      <c r="E62" s="26">
        <v>2.8240740740740739E-3</v>
      </c>
      <c r="F62" s="26">
        <v>1.5740740740740741E-3</v>
      </c>
      <c r="G62" s="26">
        <v>3.0324074074074073E-3</v>
      </c>
      <c r="H62" s="26">
        <v>2.673611111111111E-3</v>
      </c>
      <c r="I62" s="26">
        <v>4.2824074074074075E-3</v>
      </c>
      <c r="J62" s="26">
        <v>2.6967592592592594E-3</v>
      </c>
      <c r="K62" s="26">
        <v>5.1504629629629626E-3</v>
      </c>
      <c r="L62" s="26">
        <v>4.5486111111111109E-3</v>
      </c>
      <c r="M62" s="26">
        <v>7.2337962962962963E-3</v>
      </c>
      <c r="N62" s="26">
        <v>3.2754629629629631E-3</v>
      </c>
      <c r="O62" s="26">
        <v>6.2384259259259259E-3</v>
      </c>
      <c r="P62" s="26">
        <v>5.5092592592592589E-3</v>
      </c>
      <c r="Q62" s="26">
        <v>8.7500000000000008E-3</v>
      </c>
      <c r="R62" s="26">
        <v>5.7291666666666663E-3</v>
      </c>
      <c r="S62" s="26">
        <v>1.0763888888888889E-2</v>
      </c>
      <c r="T62" s="26">
        <v>9.525462962962963E-3</v>
      </c>
      <c r="U62" s="26">
        <v>1.5023148148148148E-2</v>
      </c>
      <c r="V62" s="26">
        <v>1.3032407407407407E-2</v>
      </c>
      <c r="W62" s="26">
        <v>2.3599537037037037E-2</v>
      </c>
      <c r="X62" s="26">
        <v>2.0995370370370369E-2</v>
      </c>
      <c r="Y62" s="26">
        <v>3.2569444444444443E-2</v>
      </c>
      <c r="Z62" s="27">
        <v>25.308402777777779</v>
      </c>
      <c r="AA62" s="27">
        <v>36.462395833333332</v>
      </c>
      <c r="AB62" s="27">
        <v>33.898796296296297</v>
      </c>
      <c r="AC62" s="27">
        <v>44.517199074074071</v>
      </c>
      <c r="AD62" s="27">
        <v>49.607997685185182</v>
      </c>
      <c r="AE62" s="27">
        <v>63.752002314814817</v>
      </c>
      <c r="AF62" s="27">
        <v>60.45</v>
      </c>
      <c r="AG62" s="27">
        <v>74.385995370370367</v>
      </c>
    </row>
    <row r="63" spans="1:33" x14ac:dyDescent="0.25">
      <c r="A63" s="17">
        <v>69</v>
      </c>
      <c r="B63" s="26">
        <v>1.1111111111111111E-3</v>
      </c>
      <c r="C63" s="26">
        <v>2.0833333333333333E-3</v>
      </c>
      <c r="D63" s="26">
        <v>1.8402777777777777E-3</v>
      </c>
      <c r="E63" s="26">
        <v>2.9166666666666668E-3</v>
      </c>
      <c r="F63" s="26">
        <v>1.6782407407407408E-3</v>
      </c>
      <c r="G63" s="26">
        <v>3.1597222222222222E-3</v>
      </c>
      <c r="H63" s="26">
        <v>2.7893518518518519E-3</v>
      </c>
      <c r="I63" s="26">
        <v>4.409722222222222E-3</v>
      </c>
      <c r="J63" s="26">
        <v>2.8703703703703703E-3</v>
      </c>
      <c r="K63" s="26">
        <v>5.347222222222222E-3</v>
      </c>
      <c r="L63" s="26">
        <v>4.7337962962962967E-3</v>
      </c>
      <c r="M63" s="26">
        <v>7.4537037037037037E-3</v>
      </c>
      <c r="N63" s="26">
        <v>3.4837962962962965E-3</v>
      </c>
      <c r="O63" s="26">
        <v>6.4814814814814813E-3</v>
      </c>
      <c r="P63" s="26">
        <v>5.7291666666666663E-3</v>
      </c>
      <c r="Q63" s="26">
        <v>9.0162037037037034E-3</v>
      </c>
      <c r="R63" s="26">
        <v>6.099537037037037E-3</v>
      </c>
      <c r="S63" s="26">
        <v>1.119212962962963E-2</v>
      </c>
      <c r="T63" s="26">
        <v>9.9305555555555553E-3</v>
      </c>
      <c r="U63" s="26">
        <v>1.5497685185185186E-2</v>
      </c>
      <c r="V63" s="26">
        <v>1.3888888888888888E-2</v>
      </c>
      <c r="W63" s="26">
        <v>2.4583333333333332E-2</v>
      </c>
      <c r="X63" s="26">
        <v>2.193287037037037E-2</v>
      </c>
      <c r="Y63" s="26">
        <v>3.3657407407407407E-2</v>
      </c>
      <c r="Z63" s="27">
        <v>26.67079861111111</v>
      </c>
      <c r="AA63" s="27">
        <v>37.705196759259259</v>
      </c>
      <c r="AB63" s="27">
        <v>35.146805555555552</v>
      </c>
      <c r="AC63" s="27">
        <v>45.65599537037037</v>
      </c>
      <c r="AD63" s="27">
        <v>52.234004629629631</v>
      </c>
      <c r="AE63" s="27">
        <v>66.149201388888883</v>
      </c>
      <c r="AF63" s="27">
        <v>62.862800925925924</v>
      </c>
      <c r="AG63" s="27">
        <v>76.585601851851848</v>
      </c>
    </row>
    <row r="64" spans="1:33" x14ac:dyDescent="0.25">
      <c r="A64" s="17">
        <v>70</v>
      </c>
      <c r="B64" s="26">
        <v>1.1689814814814816E-3</v>
      </c>
      <c r="C64" s="26">
        <v>2.1643518518518518E-3</v>
      </c>
      <c r="D64" s="26">
        <v>1.9212962962962964E-3</v>
      </c>
      <c r="E64" s="26">
        <v>2.9976851851851853E-3</v>
      </c>
      <c r="F64" s="26">
        <v>1.7824074074074075E-3</v>
      </c>
      <c r="G64" s="26">
        <v>3.2754629629629631E-3</v>
      </c>
      <c r="H64" s="26">
        <v>2.9050925925925928E-3</v>
      </c>
      <c r="I64" s="26">
        <v>4.5370370370370373E-3</v>
      </c>
      <c r="J64" s="26">
        <v>3.0439814814814813E-3</v>
      </c>
      <c r="K64" s="26">
        <v>5.5555555555555558E-3</v>
      </c>
      <c r="L64" s="26">
        <v>4.9305555555555552E-3</v>
      </c>
      <c r="M64" s="26">
        <v>7.6736111111111111E-3</v>
      </c>
      <c r="N64" s="26">
        <v>3.7037037037037038E-3</v>
      </c>
      <c r="O64" s="26">
        <v>6.7245370370370367E-3</v>
      </c>
      <c r="P64" s="26">
        <v>5.9722222222222225E-3</v>
      </c>
      <c r="Q64" s="26">
        <v>9.2824074074074076E-3</v>
      </c>
      <c r="R64" s="26">
        <v>6.4814814814814813E-3</v>
      </c>
      <c r="S64" s="26">
        <v>1.1620370370370371E-2</v>
      </c>
      <c r="T64" s="26">
        <v>1.0347222222222223E-2</v>
      </c>
      <c r="U64" s="26">
        <v>1.5972222222222221E-2</v>
      </c>
      <c r="V64" s="26">
        <v>1.4780092592592593E-2</v>
      </c>
      <c r="W64" s="26">
        <v>2.5590277777777778E-2</v>
      </c>
      <c r="X64" s="26">
        <v>2.2916666666666665E-2</v>
      </c>
      <c r="Y64" s="26">
        <v>3.4756944444444444E-2</v>
      </c>
      <c r="Z64" s="27">
        <v>28.059201388888887</v>
      </c>
      <c r="AA64" s="27">
        <v>38.937604166666667</v>
      </c>
      <c r="AB64" s="27">
        <v>36.415601851851854</v>
      </c>
      <c r="AC64" s="27">
        <v>46.784398148148149</v>
      </c>
      <c r="AD64" s="27">
        <v>54.912002314814814</v>
      </c>
      <c r="AE64" s="27">
        <v>68.546400462962964</v>
      </c>
      <c r="AF64" s="27">
        <v>65.32760416666666</v>
      </c>
      <c r="AG64" s="27">
        <v>78.790405092592593</v>
      </c>
    </row>
    <row r="65" spans="1:33" x14ac:dyDescent="0.25">
      <c r="A65" s="17">
        <v>71</v>
      </c>
      <c r="B65" s="26">
        <v>1.25E-3</v>
      </c>
      <c r="C65" s="26">
        <v>2.2337962962962962E-3</v>
      </c>
      <c r="D65" s="26">
        <v>1.9907407407407408E-3</v>
      </c>
      <c r="E65" s="26">
        <v>3.0787037037037037E-3</v>
      </c>
      <c r="F65" s="26">
        <v>1.8865740740740742E-3</v>
      </c>
      <c r="G65" s="26">
        <v>3.3912037037037036E-3</v>
      </c>
      <c r="H65" s="26">
        <v>3.0208333333333333E-3</v>
      </c>
      <c r="I65" s="26">
        <v>4.6643518518518518E-3</v>
      </c>
      <c r="J65" s="26">
        <v>3.2291666666666666E-3</v>
      </c>
      <c r="K65" s="26">
        <v>5.7638888888888887E-3</v>
      </c>
      <c r="L65" s="26">
        <v>5.138888888888889E-3</v>
      </c>
      <c r="M65" s="26">
        <v>7.905092592592592E-3</v>
      </c>
      <c r="N65" s="26">
        <v>3.9236111111111112E-3</v>
      </c>
      <c r="O65" s="26">
        <v>6.9791666666666665E-3</v>
      </c>
      <c r="P65" s="26">
        <v>6.2268518518518515E-3</v>
      </c>
      <c r="Q65" s="26">
        <v>9.5601851851851855E-3</v>
      </c>
      <c r="R65" s="26">
        <v>6.8865740740740745E-3</v>
      </c>
      <c r="S65" s="26">
        <v>1.207175925925926E-2</v>
      </c>
      <c r="T65" s="26">
        <v>1.0787037037037038E-2</v>
      </c>
      <c r="U65" s="26">
        <v>1.6469907407407409E-2</v>
      </c>
      <c r="V65" s="26">
        <v>1.5706018518518518E-2</v>
      </c>
      <c r="W65" s="26">
        <v>2.6655092592592591E-2</v>
      </c>
      <c r="X65" s="26">
        <v>2.3935185185185184E-2</v>
      </c>
      <c r="Y65" s="26">
        <v>3.591435185185185E-2</v>
      </c>
      <c r="Z65" s="27">
        <v>29.473599537037035</v>
      </c>
      <c r="AA65" s="27">
        <v>40.201203703703705</v>
      </c>
      <c r="AB65" s="27">
        <v>37.715601851851851</v>
      </c>
      <c r="AC65" s="27">
        <v>47.938796296296296</v>
      </c>
      <c r="AD65" s="27">
        <v>57.631597222222226</v>
      </c>
      <c r="AE65" s="27">
        <v>70.985196759259253</v>
      </c>
      <c r="AF65" s="27">
        <v>67.834004629629632</v>
      </c>
      <c r="AG65" s="27">
        <v>81.03680555555556</v>
      </c>
    </row>
    <row r="66" spans="1:33" x14ac:dyDescent="0.25">
      <c r="A66" s="17">
        <v>72</v>
      </c>
      <c r="B66" s="26">
        <v>1.3194444444444445E-3</v>
      </c>
      <c r="C66" s="26">
        <v>2.3263888888888887E-3</v>
      </c>
      <c r="D66" s="26">
        <v>2.0717592592592593E-3</v>
      </c>
      <c r="E66" s="26">
        <v>3.1828703703703702E-3</v>
      </c>
      <c r="F66" s="26">
        <v>2.0023148148148148E-3</v>
      </c>
      <c r="G66" s="26">
        <v>3.5185185185185185E-3</v>
      </c>
      <c r="H66" s="26">
        <v>3.1481481481481482E-3</v>
      </c>
      <c r="I66" s="26">
        <v>4.8032407407407407E-3</v>
      </c>
      <c r="J66" s="26">
        <v>3.425925925925926E-3</v>
      </c>
      <c r="K66" s="26">
        <v>5.9722222222222225E-3</v>
      </c>
      <c r="L66" s="26">
        <v>5.347222222222222E-3</v>
      </c>
      <c r="M66" s="26">
        <v>8.1365740740740738E-3</v>
      </c>
      <c r="N66" s="26">
        <v>4.1666666666666666E-3</v>
      </c>
      <c r="O66" s="26">
        <v>7.2453703703703708E-3</v>
      </c>
      <c r="P66" s="26">
        <v>6.4814814814814813E-3</v>
      </c>
      <c r="Q66" s="26">
        <v>9.8611111111111104E-3</v>
      </c>
      <c r="R66" s="26">
        <v>7.3032407407407404E-3</v>
      </c>
      <c r="S66" s="26">
        <v>1.2534722222222221E-2</v>
      </c>
      <c r="T66" s="26">
        <v>1.1238425925925926E-2</v>
      </c>
      <c r="U66" s="26">
        <v>1.6979166666666667E-2</v>
      </c>
      <c r="V66" s="26">
        <v>1.6689814814814814E-2</v>
      </c>
      <c r="W66" s="26">
        <v>2.7754629629629629E-2</v>
      </c>
      <c r="X66" s="26">
        <v>2.5000000000000001E-2</v>
      </c>
      <c r="Y66" s="26">
        <v>3.7118055555555557E-2</v>
      </c>
      <c r="Z66" s="27">
        <v>30.91920138888889</v>
      </c>
      <c r="AA66" s="27">
        <v>41.485601851851854</v>
      </c>
      <c r="AB66" s="27">
        <v>39.036400462962966</v>
      </c>
      <c r="AC66" s="27">
        <v>49.114004629629626</v>
      </c>
      <c r="AD66" s="27">
        <v>60.403194444444445</v>
      </c>
      <c r="AE66" s="27">
        <v>73.47599537037037</v>
      </c>
      <c r="AF66" s="27">
        <v>70.382002314814812</v>
      </c>
      <c r="AG66" s="27">
        <v>83.319594907407406</v>
      </c>
    </row>
    <row r="67" spans="1:33" x14ac:dyDescent="0.25">
      <c r="A67" s="17">
        <v>73</v>
      </c>
      <c r="B67" s="26">
        <v>1.3888888888888889E-3</v>
      </c>
      <c r="C67" s="26">
        <v>2.4074074074074076E-3</v>
      </c>
      <c r="D67" s="26">
        <v>2.1527777777777778E-3</v>
      </c>
      <c r="E67" s="26">
        <v>3.2754629629629631E-3</v>
      </c>
      <c r="F67" s="26">
        <v>2.1180555555555558E-3</v>
      </c>
      <c r="G67" s="26">
        <v>3.6458333333333334E-3</v>
      </c>
      <c r="H67" s="26">
        <v>3.2754629629629631E-3</v>
      </c>
      <c r="I67" s="26">
        <v>4.9537037037037041E-3</v>
      </c>
      <c r="J67" s="26">
        <v>3.6226851851851854E-3</v>
      </c>
      <c r="K67" s="26">
        <v>6.2037037037037035E-3</v>
      </c>
      <c r="L67" s="26">
        <v>5.5555555555555558E-3</v>
      </c>
      <c r="M67" s="26">
        <v>8.3912037037037045E-3</v>
      </c>
      <c r="N67" s="26">
        <v>4.409722222222222E-3</v>
      </c>
      <c r="O67" s="26">
        <v>7.5115740740740742E-3</v>
      </c>
      <c r="P67" s="26">
        <v>6.7476851851851856E-3</v>
      </c>
      <c r="Q67" s="26">
        <v>1.0150462962962964E-2</v>
      </c>
      <c r="R67" s="26">
        <v>7.7314814814814815E-3</v>
      </c>
      <c r="S67" s="26">
        <v>1.3032407407407407E-2</v>
      </c>
      <c r="T67" s="26">
        <v>1.1712962962962963E-2</v>
      </c>
      <c r="U67" s="26">
        <v>1.7511574074074075E-2</v>
      </c>
      <c r="V67" s="26">
        <v>1.7708333333333333E-2</v>
      </c>
      <c r="W67" s="26">
        <v>2.8900462962962965E-2</v>
      </c>
      <c r="X67" s="26">
        <v>2.6122685185185186E-2</v>
      </c>
      <c r="Y67" s="26">
        <v>3.8379629629629632E-2</v>
      </c>
      <c r="Z67" s="27">
        <v>32.390798611111109</v>
      </c>
      <c r="AA67" s="27">
        <v>42.79599537037037</v>
      </c>
      <c r="AB67" s="27">
        <v>40.383194444444442</v>
      </c>
      <c r="AC67" s="27">
        <v>50.31</v>
      </c>
      <c r="AD67" s="27">
        <v>63.216400462962966</v>
      </c>
      <c r="AE67" s="27">
        <v>76.003194444444446</v>
      </c>
      <c r="AF67" s="27">
        <v>72.976805555555558</v>
      </c>
      <c r="AG67" s="27">
        <v>85.649201388888883</v>
      </c>
    </row>
    <row r="68" spans="1:33" x14ac:dyDescent="0.25">
      <c r="A68" s="17">
        <v>74</v>
      </c>
      <c r="B68" s="26">
        <v>1.4699074074074074E-3</v>
      </c>
      <c r="C68" s="26">
        <v>2.5000000000000001E-3</v>
      </c>
      <c r="D68" s="26">
        <v>2.2453703703703702E-3</v>
      </c>
      <c r="E68" s="26">
        <v>3.3680555555555556E-3</v>
      </c>
      <c r="F68" s="26">
        <v>2.2337962962962962E-3</v>
      </c>
      <c r="G68" s="26">
        <v>3.7847222222222223E-3</v>
      </c>
      <c r="H68" s="26">
        <v>3.4027777777777776E-3</v>
      </c>
      <c r="I68" s="26">
        <v>5.1041666666666666E-3</v>
      </c>
      <c r="J68" s="26">
        <v>3.8310185185185183E-3</v>
      </c>
      <c r="K68" s="26">
        <v>6.4351851851851853E-3</v>
      </c>
      <c r="L68" s="26">
        <v>5.7986111111111112E-3</v>
      </c>
      <c r="M68" s="26">
        <v>8.6458333333333335E-3</v>
      </c>
      <c r="N68" s="26">
        <v>4.6643518518518518E-3</v>
      </c>
      <c r="O68" s="26">
        <v>7.8009259259259256E-3</v>
      </c>
      <c r="P68" s="26">
        <v>7.0254629629629634E-3</v>
      </c>
      <c r="Q68" s="26">
        <v>1.0474537037037037E-2</v>
      </c>
      <c r="R68" s="26">
        <v>8.1828703703703699E-3</v>
      </c>
      <c r="S68" s="26">
        <v>1.3541666666666667E-2</v>
      </c>
      <c r="T68" s="26">
        <v>1.2210648148148148E-2</v>
      </c>
      <c r="U68" s="26">
        <v>1.8067129629629631E-2</v>
      </c>
      <c r="V68" s="26">
        <v>1.8773148148148146E-2</v>
      </c>
      <c r="W68" s="26">
        <v>3.0104166666666668E-2</v>
      </c>
      <c r="X68" s="26">
        <v>2.7291666666666665E-2</v>
      </c>
      <c r="Y68" s="26">
        <v>3.9710648148148148E-2</v>
      </c>
      <c r="Z68" s="27">
        <v>33.893599537037034</v>
      </c>
      <c r="AA68" s="27">
        <v>44.132395833333334</v>
      </c>
      <c r="AB68" s="27">
        <v>41.755995370370371</v>
      </c>
      <c r="AC68" s="27">
        <v>51.532002314814818</v>
      </c>
      <c r="AD68" s="27">
        <v>66.081597222222229</v>
      </c>
      <c r="AE68" s="27">
        <v>78.577199074074073</v>
      </c>
      <c r="AF68" s="27">
        <v>75.618402777777774</v>
      </c>
      <c r="AG68" s="27">
        <v>88.015196759259254</v>
      </c>
    </row>
    <row r="69" spans="1:33" x14ac:dyDescent="0.25">
      <c r="A69" s="17">
        <v>75</v>
      </c>
      <c r="B69" s="26">
        <v>1.5509259259259259E-3</v>
      </c>
      <c r="C69" s="26">
        <v>2.5925925925925925E-3</v>
      </c>
      <c r="D69" s="26">
        <v>2.3379629629629631E-3</v>
      </c>
      <c r="E69" s="26">
        <v>3.472222222222222E-3</v>
      </c>
      <c r="F69" s="26">
        <v>2.3611111111111111E-3</v>
      </c>
      <c r="G69" s="26">
        <v>3.9236111111111112E-3</v>
      </c>
      <c r="H69" s="26">
        <v>3.5416666666666665E-3</v>
      </c>
      <c r="I69" s="26">
        <v>5.2546296296296299E-3</v>
      </c>
      <c r="J69" s="26">
        <v>4.0509259259259257E-3</v>
      </c>
      <c r="K69" s="26">
        <v>6.6782407407407407E-3</v>
      </c>
      <c r="L69" s="26">
        <v>6.030092592592593E-3</v>
      </c>
      <c r="M69" s="26">
        <v>8.9120370370370378E-3</v>
      </c>
      <c r="N69" s="26">
        <v>4.9305555555555552E-3</v>
      </c>
      <c r="O69" s="26">
        <v>8.1018518518518514E-3</v>
      </c>
      <c r="P69" s="26">
        <v>7.3148148148148148E-3</v>
      </c>
      <c r="Q69" s="26">
        <v>1.0798611111111111E-2</v>
      </c>
      <c r="R69" s="26">
        <v>8.6574074074074071E-3</v>
      </c>
      <c r="S69" s="26">
        <v>1.4074074074074074E-2</v>
      </c>
      <c r="T69" s="26">
        <v>1.2731481481481481E-2</v>
      </c>
      <c r="U69" s="26">
        <v>1.8657407407407407E-2</v>
      </c>
      <c r="V69" s="26">
        <v>1.9895833333333335E-2</v>
      </c>
      <c r="W69" s="26">
        <v>3.1365740740740743E-2</v>
      </c>
      <c r="X69" s="26">
        <v>2.8518518518518519E-2</v>
      </c>
      <c r="Y69" s="26">
        <v>4.1087962962962965E-2</v>
      </c>
      <c r="Z69" s="27">
        <v>35.417199074074077</v>
      </c>
      <c r="AA69" s="27">
        <v>45.489594907407408</v>
      </c>
      <c r="AB69" s="27">
        <v>43.15480324074074</v>
      </c>
      <c r="AC69" s="27">
        <v>52.78</v>
      </c>
      <c r="AD69" s="27">
        <v>68.993599537037042</v>
      </c>
      <c r="AE69" s="27">
        <v>81.192800925925923</v>
      </c>
      <c r="AF69" s="27">
        <v>78.301597222222227</v>
      </c>
      <c r="AG69" s="27">
        <v>90.42799768518519</v>
      </c>
    </row>
    <row r="70" spans="1:33" x14ac:dyDescent="0.25">
      <c r="A70" s="17">
        <v>76</v>
      </c>
      <c r="B70" s="26">
        <v>1.6435185185185185E-3</v>
      </c>
      <c r="C70" s="26">
        <v>2.685185185185185E-3</v>
      </c>
      <c r="D70" s="26">
        <v>2.4305555555555556E-3</v>
      </c>
      <c r="E70" s="26">
        <v>3.5763888888888889E-3</v>
      </c>
      <c r="F70" s="26">
        <v>2.5000000000000001E-3</v>
      </c>
      <c r="G70" s="26">
        <v>4.0740740740740737E-3</v>
      </c>
      <c r="H70" s="26">
        <v>3.6805555555555554E-3</v>
      </c>
      <c r="I70" s="26">
        <v>5.4166666666666669E-3</v>
      </c>
      <c r="J70" s="26">
        <v>4.2824074074074075E-3</v>
      </c>
      <c r="K70" s="26">
        <v>6.9444444444444441E-3</v>
      </c>
      <c r="L70" s="26">
        <v>6.2731481481481484E-3</v>
      </c>
      <c r="M70" s="26">
        <v>9.1898148148148156E-3</v>
      </c>
      <c r="N70" s="26">
        <v>5.208333333333333E-3</v>
      </c>
      <c r="O70" s="26">
        <v>8.4143518518518517E-3</v>
      </c>
      <c r="P70" s="26">
        <v>7.6157407407407406E-3</v>
      </c>
      <c r="Q70" s="26">
        <v>1.1134259259259259E-2</v>
      </c>
      <c r="R70" s="26">
        <v>9.1550925925925931E-3</v>
      </c>
      <c r="S70" s="26">
        <v>1.462962962962963E-2</v>
      </c>
      <c r="T70" s="26">
        <v>1.3263888888888889E-2</v>
      </c>
      <c r="U70" s="26">
        <v>1.9270833333333334E-2</v>
      </c>
      <c r="V70" s="26">
        <v>2.1076388888888888E-2</v>
      </c>
      <c r="W70" s="26">
        <v>3.2696759259259259E-2</v>
      </c>
      <c r="X70" s="26">
        <v>2.9803240740740741E-2</v>
      </c>
      <c r="Y70" s="26">
        <v>4.2534722222222224E-2</v>
      </c>
      <c r="Z70" s="27">
        <v>36.977199074074072</v>
      </c>
      <c r="AA70" s="27">
        <v>46.877997685185186</v>
      </c>
      <c r="AB70" s="27">
        <v>44.579594907407404</v>
      </c>
      <c r="AC70" s="27">
        <v>54.043599537037039</v>
      </c>
      <c r="AD70" s="27">
        <v>71.947199074074078</v>
      </c>
      <c r="AE70" s="27">
        <v>83.855196759259258</v>
      </c>
      <c r="AF70" s="27">
        <v>81.031597222222217</v>
      </c>
      <c r="AG70" s="27">
        <v>92.87719907407407</v>
      </c>
    </row>
    <row r="71" spans="1:33" x14ac:dyDescent="0.25">
      <c r="A71" s="17">
        <v>77</v>
      </c>
      <c r="B71" s="26">
        <v>1.736111111111111E-3</v>
      </c>
      <c r="C71" s="26">
        <v>2.7893518518518519E-3</v>
      </c>
      <c r="D71" s="26">
        <v>2.5231481481481481E-3</v>
      </c>
      <c r="E71" s="26">
        <v>3.6921296296296298E-3</v>
      </c>
      <c r="F71" s="26">
        <v>2.638888888888889E-3</v>
      </c>
      <c r="G71" s="26">
        <v>4.2361111111111115E-3</v>
      </c>
      <c r="H71" s="26">
        <v>3.8425925925925928E-3</v>
      </c>
      <c r="I71" s="26">
        <v>5.5902777777777773E-3</v>
      </c>
      <c r="J71" s="26">
        <v>4.5138888888888885E-3</v>
      </c>
      <c r="K71" s="26">
        <v>7.2106481481481483E-3</v>
      </c>
      <c r="L71" s="26">
        <v>6.5393518518518517E-3</v>
      </c>
      <c r="M71" s="26">
        <v>9.4907407407407406E-3</v>
      </c>
      <c r="N71" s="26">
        <v>5.4976851851851853E-3</v>
      </c>
      <c r="O71" s="26">
        <v>8.7384259259259255E-3</v>
      </c>
      <c r="P71" s="26">
        <v>7.9282407407407409E-3</v>
      </c>
      <c r="Q71" s="26">
        <v>1.1493055555555555E-2</v>
      </c>
      <c r="R71" s="26">
        <v>9.6643518518518511E-3</v>
      </c>
      <c r="S71" s="26">
        <v>1.5208333333333334E-2</v>
      </c>
      <c r="T71" s="26">
        <v>1.3831018518518519E-2</v>
      </c>
      <c r="U71" s="26">
        <v>1.9895833333333335E-2</v>
      </c>
      <c r="V71" s="26">
        <v>2.2303240740740742E-2</v>
      </c>
      <c r="W71" s="26">
        <v>3.4074074074074076E-2</v>
      </c>
      <c r="X71" s="26">
        <v>3.1157407407407408E-2</v>
      </c>
      <c r="Y71" s="26">
        <v>4.4050925925925924E-2</v>
      </c>
      <c r="Z71" s="27">
        <v>38.557997685185185</v>
      </c>
      <c r="AA71" s="27">
        <v>48.29239583333333</v>
      </c>
      <c r="AB71" s="27">
        <v>46.030405092592595</v>
      </c>
      <c r="AC71" s="27">
        <v>55.33840277777778</v>
      </c>
      <c r="AD71" s="27">
        <v>74.952800925925928</v>
      </c>
      <c r="AE71" s="27">
        <v>86.559201388888894</v>
      </c>
      <c r="AF71" s="27">
        <v>83.808402777777772</v>
      </c>
      <c r="AG71" s="27">
        <v>95.367997685185188</v>
      </c>
    </row>
    <row r="72" spans="1:33" x14ac:dyDescent="0.25">
      <c r="A72" s="17">
        <v>78</v>
      </c>
      <c r="B72" s="26">
        <v>1.8287037037037037E-3</v>
      </c>
      <c r="C72" s="26">
        <v>2.9050925925925928E-3</v>
      </c>
      <c r="D72" s="26">
        <v>2.638888888888889E-3</v>
      </c>
      <c r="E72" s="26">
        <v>3.8078703703703703E-3</v>
      </c>
      <c r="F72" s="26">
        <v>2.7777777777777779E-3</v>
      </c>
      <c r="G72" s="26">
        <v>4.3981481481481484E-3</v>
      </c>
      <c r="H72" s="26">
        <v>3.9930555555555552E-3</v>
      </c>
      <c r="I72" s="26">
        <v>5.7638888888888887E-3</v>
      </c>
      <c r="J72" s="26">
        <v>4.7569444444444447E-3</v>
      </c>
      <c r="K72" s="26">
        <v>7.4884259259259262E-3</v>
      </c>
      <c r="L72" s="26">
        <v>6.8055555555555551E-3</v>
      </c>
      <c r="M72" s="26">
        <v>9.7916666666666673E-3</v>
      </c>
      <c r="N72" s="26">
        <v>5.7986111111111112E-3</v>
      </c>
      <c r="O72" s="26">
        <v>9.0856481481481483E-3</v>
      </c>
      <c r="P72" s="26">
        <v>8.2638888888888883E-3</v>
      </c>
      <c r="Q72" s="26">
        <v>1.1863425925925927E-2</v>
      </c>
      <c r="R72" s="26">
        <v>1.019675925925926E-2</v>
      </c>
      <c r="S72" s="26">
        <v>1.5810185185185184E-2</v>
      </c>
      <c r="T72" s="26">
        <v>1.4421296296296297E-2</v>
      </c>
      <c r="U72" s="26">
        <v>2.056712962962963E-2</v>
      </c>
      <c r="V72" s="26">
        <v>2.3599537037037037E-2</v>
      </c>
      <c r="W72" s="26">
        <v>3.5543981481481482E-2</v>
      </c>
      <c r="X72" s="26">
        <v>3.2569444444444443E-2</v>
      </c>
      <c r="Y72" s="26">
        <v>4.565972222222222E-2</v>
      </c>
      <c r="Z72" s="27">
        <v>40.175196759259258</v>
      </c>
      <c r="AA72" s="27">
        <v>49.727604166666666</v>
      </c>
      <c r="AB72" s="27">
        <v>47.507199074074073</v>
      </c>
      <c r="AC72" s="27">
        <v>56.654004629629632</v>
      </c>
      <c r="AD72" s="27">
        <v>78.005196759259263</v>
      </c>
      <c r="AE72" s="27">
        <v>89.31</v>
      </c>
      <c r="AF72" s="27">
        <v>86.626805555555549</v>
      </c>
      <c r="AG72" s="27">
        <v>97.900405092592592</v>
      </c>
    </row>
    <row r="73" spans="1:33" x14ac:dyDescent="0.25">
      <c r="A73" s="17">
        <v>79</v>
      </c>
      <c r="B73" s="26">
        <v>1.9328703703703704E-3</v>
      </c>
      <c r="C73" s="26">
        <v>3.0092592592592593E-3</v>
      </c>
      <c r="D73" s="26">
        <v>2.7430555555555554E-3</v>
      </c>
      <c r="E73" s="26">
        <v>3.9236111111111112E-3</v>
      </c>
      <c r="F73" s="26">
        <v>2.9282407407407408E-3</v>
      </c>
      <c r="G73" s="26">
        <v>4.5601851851851853E-3</v>
      </c>
      <c r="H73" s="26">
        <v>4.1550925925925922E-3</v>
      </c>
      <c r="I73" s="26">
        <v>5.9490740740740745E-3</v>
      </c>
      <c r="J73" s="26">
        <v>5.0115740740740737E-3</v>
      </c>
      <c r="K73" s="26">
        <v>7.7777777777777776E-3</v>
      </c>
      <c r="L73" s="26">
        <v>7.083333333333333E-3</v>
      </c>
      <c r="M73" s="26">
        <v>1.0115740740740741E-2</v>
      </c>
      <c r="N73" s="26">
        <v>6.1111111111111114E-3</v>
      </c>
      <c r="O73" s="26">
        <v>9.432870370370371E-3</v>
      </c>
      <c r="P73" s="26">
        <v>8.611111111111111E-3</v>
      </c>
      <c r="Q73" s="26">
        <v>1.2256944444444445E-2</v>
      </c>
      <c r="R73" s="26">
        <v>1.0763888888888889E-2</v>
      </c>
      <c r="S73" s="26">
        <v>1.6446759259259258E-2</v>
      </c>
      <c r="T73" s="26">
        <v>1.5034722222222222E-2</v>
      </c>
      <c r="U73" s="26">
        <v>2.1261574074074075E-2</v>
      </c>
      <c r="V73" s="26">
        <v>2.4953703703703704E-2</v>
      </c>
      <c r="W73" s="26">
        <v>3.7071759259259263E-2</v>
      </c>
      <c r="X73" s="26">
        <v>3.4062500000000002E-2</v>
      </c>
      <c r="Y73" s="26">
        <v>4.7337962962962964E-2</v>
      </c>
      <c r="Z73" s="27">
        <v>41.818402777777777</v>
      </c>
      <c r="AA73" s="27">
        <v>51.194004629629632</v>
      </c>
      <c r="AB73" s="27">
        <v>49.01</v>
      </c>
      <c r="AC73" s="27">
        <v>57.995601851851852</v>
      </c>
      <c r="AD73" s="27">
        <v>81.099201388888886</v>
      </c>
      <c r="AE73" s="27">
        <v>92.102395833333333</v>
      </c>
      <c r="AF73" s="27">
        <v>89.486805555555549</v>
      </c>
      <c r="AG73" s="27">
        <v>100.47439814814815</v>
      </c>
    </row>
    <row r="74" spans="1:33" x14ac:dyDescent="0.25">
      <c r="A74" s="17">
        <v>80</v>
      </c>
      <c r="B74" s="26">
        <v>2.0254629629629629E-3</v>
      </c>
      <c r="C74" s="26">
        <v>3.1250000000000002E-3</v>
      </c>
      <c r="D74" s="26">
        <v>2.8472222222222223E-3</v>
      </c>
      <c r="E74" s="26">
        <v>4.0509259259259257E-3</v>
      </c>
      <c r="F74" s="26">
        <v>3.0787037037037037E-3</v>
      </c>
      <c r="G74" s="26">
        <v>4.7337962962962967E-3</v>
      </c>
      <c r="H74" s="26">
        <v>4.3287037037037035E-3</v>
      </c>
      <c r="I74" s="26">
        <v>6.1342592592592594E-3</v>
      </c>
      <c r="J74" s="26">
        <v>5.2893518518518515E-3</v>
      </c>
      <c r="K74" s="26">
        <v>8.0787037037037043E-3</v>
      </c>
      <c r="L74" s="26">
        <v>7.3842592592592597E-3</v>
      </c>
      <c r="M74" s="26">
        <v>1.0439814814814815E-2</v>
      </c>
      <c r="N74" s="26">
        <v>6.4351851851851853E-3</v>
      </c>
      <c r="O74" s="26">
        <v>9.8032407407407408E-3</v>
      </c>
      <c r="P74" s="26">
        <v>8.9699074074074073E-3</v>
      </c>
      <c r="Q74" s="26">
        <v>1.2662037037037038E-2</v>
      </c>
      <c r="R74" s="26">
        <v>1.1354166666666667E-2</v>
      </c>
      <c r="S74" s="26">
        <v>1.7106481481481483E-2</v>
      </c>
      <c r="T74" s="26">
        <v>1.5682870370370371E-2</v>
      </c>
      <c r="U74" s="26">
        <v>2.1990740740740741E-2</v>
      </c>
      <c r="V74" s="26">
        <v>2.6388888888888889E-2</v>
      </c>
      <c r="W74" s="26">
        <v>3.8680555555555558E-2</v>
      </c>
      <c r="X74" s="26">
        <v>3.5636574074074077E-2</v>
      </c>
      <c r="Y74" s="26">
        <v>4.9097222222222223E-2</v>
      </c>
      <c r="Z74" s="27">
        <v>43.487604166666664</v>
      </c>
      <c r="AA74" s="27">
        <v>52.681203703703702</v>
      </c>
      <c r="AB74" s="27">
        <v>50.544004629629633</v>
      </c>
      <c r="AC74" s="27">
        <v>59.357997685185182</v>
      </c>
      <c r="AD74" s="27">
        <v>84.245196759259258</v>
      </c>
      <c r="AE74" s="27">
        <v>94.936400462962965</v>
      </c>
      <c r="AF74" s="27">
        <v>92.393599537037034</v>
      </c>
      <c r="AG74" s="27">
        <v>103.09519675925925</v>
      </c>
    </row>
    <row r="75" spans="1:33" x14ac:dyDescent="0.25">
      <c r="A75" s="17">
        <v>81</v>
      </c>
      <c r="B75" s="26">
        <v>2.1296296296296298E-3</v>
      </c>
      <c r="C75" s="26">
        <v>3.2407407407407406E-3</v>
      </c>
      <c r="D75" s="26">
        <v>2.9629629629629628E-3</v>
      </c>
      <c r="E75" s="26">
        <v>4.178240740740741E-3</v>
      </c>
      <c r="F75" s="26">
        <v>3.2407407407407406E-3</v>
      </c>
      <c r="G75" s="26">
        <v>4.9189814814814816E-3</v>
      </c>
      <c r="H75" s="26">
        <v>4.5023148148148149E-3</v>
      </c>
      <c r="I75" s="26">
        <v>6.3425925925925924E-3</v>
      </c>
      <c r="J75" s="26">
        <v>5.5671296296296293E-3</v>
      </c>
      <c r="K75" s="26">
        <v>8.3912037037037045E-3</v>
      </c>
      <c r="L75" s="26">
        <v>7.6967592592592591E-3</v>
      </c>
      <c r="M75" s="26">
        <v>1.0787037037037038E-2</v>
      </c>
      <c r="N75" s="26">
        <v>6.7824074074074071E-3</v>
      </c>
      <c r="O75" s="26">
        <v>1.019675925925926E-2</v>
      </c>
      <c r="P75" s="26">
        <v>9.3402777777777772E-3</v>
      </c>
      <c r="Q75" s="26">
        <v>1.3078703703703703E-2</v>
      </c>
      <c r="R75" s="26">
        <v>1.1967592592592592E-2</v>
      </c>
      <c r="S75" s="26">
        <v>1.7800925925925925E-2</v>
      </c>
      <c r="T75" s="26">
        <v>1.6354166666666666E-2</v>
      </c>
      <c r="U75" s="26">
        <v>2.2754629629629628E-2</v>
      </c>
      <c r="V75" s="26">
        <v>2.7905092592592592E-2</v>
      </c>
      <c r="W75" s="26">
        <v>4.0381944444444443E-2</v>
      </c>
      <c r="X75" s="26">
        <v>3.7280092592592594E-2</v>
      </c>
      <c r="Y75" s="26">
        <v>5.0960648148148151E-2</v>
      </c>
      <c r="Z75" s="27">
        <v>45.187997685185188</v>
      </c>
      <c r="AA75" s="27">
        <v>54.199594907407409</v>
      </c>
      <c r="AB75" s="27">
        <v>52.104004629629628</v>
      </c>
      <c r="AC75" s="27">
        <v>60.74640046296296</v>
      </c>
      <c r="AD75" s="27">
        <v>87.437997685185181</v>
      </c>
      <c r="AE75" s="27">
        <v>97.817199074074068</v>
      </c>
      <c r="AF75" s="27">
        <v>95.347199074074069</v>
      </c>
      <c r="AG75" s="27">
        <v>105.75239583333334</v>
      </c>
    </row>
    <row r="76" spans="1:33" x14ac:dyDescent="0.25">
      <c r="A76" s="17">
        <v>82</v>
      </c>
      <c r="B76" s="26">
        <v>2.2453703703703702E-3</v>
      </c>
      <c r="C76" s="26">
        <v>3.3680555555555556E-3</v>
      </c>
      <c r="D76" s="26">
        <v>3.0902777777777777E-3</v>
      </c>
      <c r="E76" s="26">
        <v>4.31712962962963E-3</v>
      </c>
      <c r="F76" s="26">
        <v>3.414351851851852E-3</v>
      </c>
      <c r="G76" s="26">
        <v>5.115740740740741E-3</v>
      </c>
      <c r="H76" s="26">
        <v>4.6990740740740743E-3</v>
      </c>
      <c r="I76" s="26">
        <v>6.5509259259259262E-3</v>
      </c>
      <c r="J76" s="26">
        <v>5.8564814814814816E-3</v>
      </c>
      <c r="K76" s="26">
        <v>8.726851851851852E-3</v>
      </c>
      <c r="L76" s="26">
        <v>8.0208333333333329E-3</v>
      </c>
      <c r="M76" s="26">
        <v>1.1157407407407408E-2</v>
      </c>
      <c r="N76" s="26">
        <v>7.1412037037037034E-3</v>
      </c>
      <c r="O76" s="26">
        <v>1.0601851851851852E-2</v>
      </c>
      <c r="P76" s="26">
        <v>9.7337962962962959E-3</v>
      </c>
      <c r="Q76" s="26">
        <v>1.3530092592592592E-2</v>
      </c>
      <c r="R76" s="26">
        <v>1.2627314814814815E-2</v>
      </c>
      <c r="S76" s="26">
        <v>1.8541666666666668E-2</v>
      </c>
      <c r="T76" s="26">
        <v>1.7071759259259259E-2</v>
      </c>
      <c r="U76" s="26">
        <v>2.3553240740740739E-2</v>
      </c>
      <c r="V76" s="26">
        <v>2.9490740740740741E-2</v>
      </c>
      <c r="W76" s="26">
        <v>4.2187500000000003E-2</v>
      </c>
      <c r="X76" s="26">
        <v>3.9027777777777779E-2</v>
      </c>
      <c r="Y76" s="26">
        <v>5.2928240740740741E-2</v>
      </c>
      <c r="Z76" s="27">
        <v>46.924803240740744</v>
      </c>
      <c r="AA76" s="27">
        <v>55.744004629629629</v>
      </c>
      <c r="AB76" s="27">
        <v>53.69</v>
      </c>
      <c r="AC76" s="27">
        <v>62.160798611111112</v>
      </c>
      <c r="AD76" s="27">
        <v>90.67239583333334</v>
      </c>
      <c r="AE76" s="27">
        <v>100.74480324074074</v>
      </c>
      <c r="AF76" s="27">
        <v>98.34760416666667</v>
      </c>
      <c r="AG76" s="27">
        <v>108.45640046296296</v>
      </c>
    </row>
    <row r="77" spans="1:33" x14ac:dyDescent="0.25">
      <c r="A77" s="17">
        <v>83</v>
      </c>
      <c r="B77" s="26">
        <v>2.3611111111111111E-3</v>
      </c>
      <c r="C77" s="26">
        <v>3.4953703703703705E-3</v>
      </c>
      <c r="D77" s="26">
        <v>3.2175925925925926E-3</v>
      </c>
      <c r="E77" s="26">
        <v>4.4675925925925924E-3</v>
      </c>
      <c r="F77" s="26">
        <v>3.5995370370370369E-3</v>
      </c>
      <c r="G77" s="26">
        <v>5.3125000000000004E-3</v>
      </c>
      <c r="H77" s="26">
        <v>4.8842592592592592E-3</v>
      </c>
      <c r="I77" s="26">
        <v>6.7708333333333336E-3</v>
      </c>
      <c r="J77" s="26">
        <v>6.1689814814814819E-3</v>
      </c>
      <c r="K77" s="26">
        <v>9.0740740740740747E-3</v>
      </c>
      <c r="L77" s="26">
        <v>8.3564814814814821E-3</v>
      </c>
      <c r="M77" s="26">
        <v>1.1527777777777777E-2</v>
      </c>
      <c r="N77" s="26">
        <v>7.5115740740740742E-3</v>
      </c>
      <c r="O77" s="26">
        <v>1.1018518518518518E-2</v>
      </c>
      <c r="P77" s="26">
        <v>1.0150462962962964E-2</v>
      </c>
      <c r="Q77" s="26">
        <v>1.3993055555555555E-2</v>
      </c>
      <c r="R77" s="26">
        <v>1.3298611111111112E-2</v>
      </c>
      <c r="S77" s="26">
        <v>1.9305555555555555E-2</v>
      </c>
      <c r="T77" s="26">
        <v>1.7812499999999998E-2</v>
      </c>
      <c r="U77" s="26">
        <v>2.4386574074074074E-2</v>
      </c>
      <c r="V77" s="26">
        <v>3.1180555555555555E-2</v>
      </c>
      <c r="W77" s="26">
        <v>4.4074074074074071E-2</v>
      </c>
      <c r="X77" s="26">
        <v>4.0879629629629627E-2</v>
      </c>
      <c r="Y77" s="26">
        <v>5.5011574074074074E-2</v>
      </c>
      <c r="Z77" s="27">
        <v>48.687604166666667</v>
      </c>
      <c r="AA77" s="27">
        <v>57.319594907407406</v>
      </c>
      <c r="AB77" s="27">
        <v>55.307199074074077</v>
      </c>
      <c r="AC77" s="27">
        <v>63.606400462962966</v>
      </c>
      <c r="AD77" s="27">
        <v>93.958796296296299</v>
      </c>
      <c r="AE77" s="27">
        <v>103.71400462962963</v>
      </c>
      <c r="AF77" s="27">
        <v>101.38959490740741</v>
      </c>
      <c r="AG77" s="27">
        <v>111.20200231481482</v>
      </c>
    </row>
    <row r="78" spans="1:33" x14ac:dyDescent="0.25">
      <c r="A78" s="17">
        <v>84</v>
      </c>
      <c r="B78" s="26">
        <v>2.488425925925926E-3</v>
      </c>
      <c r="C78" s="26">
        <v>3.6342592592592594E-3</v>
      </c>
      <c r="D78" s="26">
        <v>3.3449074074074076E-3</v>
      </c>
      <c r="E78" s="26">
        <v>4.6180555555555558E-3</v>
      </c>
      <c r="F78" s="26">
        <v>3.7847222222222223E-3</v>
      </c>
      <c r="G78" s="26">
        <v>5.5324074074074078E-3</v>
      </c>
      <c r="H78" s="26">
        <v>5.092592592592593E-3</v>
      </c>
      <c r="I78" s="26">
        <v>7.0023148148148145E-3</v>
      </c>
      <c r="J78" s="26">
        <v>6.4930555555555557E-3</v>
      </c>
      <c r="K78" s="26">
        <v>9.4444444444444445E-3</v>
      </c>
      <c r="L78" s="26">
        <v>8.7037037037037031E-3</v>
      </c>
      <c r="M78" s="26">
        <v>1.193287037037037E-2</v>
      </c>
      <c r="N78" s="26">
        <v>7.9166666666666673E-3</v>
      </c>
      <c r="O78" s="26">
        <v>1.1469907407407408E-2</v>
      </c>
      <c r="P78" s="26">
        <v>1.0590277777777778E-2</v>
      </c>
      <c r="Q78" s="26">
        <v>1.4479166666666666E-2</v>
      </c>
      <c r="R78" s="26">
        <v>1.4016203703703704E-2</v>
      </c>
      <c r="S78" s="26">
        <v>2.011574074074074E-2</v>
      </c>
      <c r="T78" s="26">
        <v>1.8599537037037036E-2</v>
      </c>
      <c r="U78" s="26">
        <v>2.5277777777777777E-2</v>
      </c>
      <c r="V78" s="26">
        <v>3.2962962962962965E-2</v>
      </c>
      <c r="W78" s="26">
        <v>4.6087962962962963E-2</v>
      </c>
      <c r="X78" s="26">
        <v>4.2824074074074077E-2</v>
      </c>
      <c r="Y78" s="26">
        <v>5.7210648148148149E-2</v>
      </c>
      <c r="Z78" s="27">
        <v>50.48159722222222</v>
      </c>
      <c r="AA78" s="27">
        <v>58.921203703703704</v>
      </c>
      <c r="AB78" s="27">
        <v>56.955601851851853</v>
      </c>
      <c r="AC78" s="27">
        <v>65.072800925925932</v>
      </c>
      <c r="AD78" s="27">
        <v>97.292002314814809</v>
      </c>
      <c r="AE78" s="27">
        <v>106.73</v>
      </c>
      <c r="AF78" s="27">
        <v>104.47840277777777</v>
      </c>
      <c r="AG78" s="27">
        <v>113.98920138888889</v>
      </c>
    </row>
    <row r="79" spans="1:33" x14ac:dyDescent="0.25">
      <c r="A79" s="17">
        <v>85</v>
      </c>
      <c r="B79" s="26">
        <v>2.6157407407407405E-3</v>
      </c>
      <c r="C79" s="26">
        <v>3.7847222222222223E-3</v>
      </c>
      <c r="D79" s="26">
        <v>3.4953703703703705E-3</v>
      </c>
      <c r="E79" s="26">
        <v>4.7800925925925927E-3</v>
      </c>
      <c r="F79" s="26">
        <v>3.9814814814814817E-3</v>
      </c>
      <c r="G79" s="26">
        <v>5.7407407407407407E-3</v>
      </c>
      <c r="H79" s="26">
        <v>5.3009259259259259E-3</v>
      </c>
      <c r="I79" s="26">
        <v>7.2453703703703708E-3</v>
      </c>
      <c r="J79" s="26">
        <v>6.828703703703704E-3</v>
      </c>
      <c r="K79" s="26">
        <v>9.8263888888888897E-3</v>
      </c>
      <c r="L79" s="26">
        <v>9.0740740740740747E-3</v>
      </c>
      <c r="M79" s="26">
        <v>1.2361111111111111E-2</v>
      </c>
      <c r="N79" s="26">
        <v>8.3333333333333332E-3</v>
      </c>
      <c r="O79" s="26">
        <v>1.1944444444444445E-2</v>
      </c>
      <c r="P79" s="26">
        <v>1.1041666666666667E-2</v>
      </c>
      <c r="Q79" s="26">
        <v>1.4999999999999999E-2</v>
      </c>
      <c r="R79" s="26">
        <v>1.4768518518518519E-2</v>
      </c>
      <c r="S79" s="26">
        <v>2.0960648148148148E-2</v>
      </c>
      <c r="T79" s="26">
        <v>1.9421296296296298E-2</v>
      </c>
      <c r="U79" s="26">
        <v>2.6203703703703705E-2</v>
      </c>
      <c r="V79" s="26">
        <v>3.4861111111111114E-2</v>
      </c>
      <c r="W79" s="26">
        <v>4.821759259259259E-2</v>
      </c>
      <c r="X79" s="26">
        <v>4.490740740740741E-2</v>
      </c>
      <c r="Y79" s="26">
        <v>5.9548611111111108E-2</v>
      </c>
      <c r="Z79" s="27">
        <v>52.306805555555556</v>
      </c>
      <c r="AA79" s="27">
        <v>60.554004629629631</v>
      </c>
      <c r="AB79" s="27">
        <v>58.63</v>
      </c>
      <c r="AC79" s="27">
        <v>66.565196759259265</v>
      </c>
      <c r="AD79" s="27">
        <v>100.67200231481482</v>
      </c>
      <c r="AE79" s="27">
        <v>109.79799768518518</v>
      </c>
      <c r="AF79" s="27">
        <v>107.61920138888888</v>
      </c>
      <c r="AG79" s="27">
        <v>116.82319444444444</v>
      </c>
    </row>
    <row r="80" spans="1:33" x14ac:dyDescent="0.25">
      <c r="A80" s="17">
        <v>86</v>
      </c>
      <c r="B80" s="26">
        <v>2.7430555555555554E-3</v>
      </c>
      <c r="C80" s="26">
        <v>3.9351851851851848E-3</v>
      </c>
      <c r="D80" s="26">
        <v>3.6342592592592594E-3</v>
      </c>
      <c r="E80" s="26">
        <v>4.9421296296296297E-3</v>
      </c>
      <c r="F80" s="26">
        <v>4.178240740740741E-3</v>
      </c>
      <c r="G80" s="26">
        <v>5.9722222222222225E-3</v>
      </c>
      <c r="H80" s="26">
        <v>5.5324074074074078E-3</v>
      </c>
      <c r="I80" s="26">
        <v>7.4999999999999997E-3</v>
      </c>
      <c r="J80" s="26">
        <v>7.1990740740740739E-3</v>
      </c>
      <c r="K80" s="26">
        <v>1.0231481481481482E-2</v>
      </c>
      <c r="L80" s="26">
        <v>9.4675925925925934E-3</v>
      </c>
      <c r="M80" s="26">
        <v>1.2789351851851852E-2</v>
      </c>
      <c r="N80" s="26">
        <v>8.7615740740740744E-3</v>
      </c>
      <c r="O80" s="26">
        <v>1.2430555555555556E-2</v>
      </c>
      <c r="P80" s="26">
        <v>1.1527777777777777E-2</v>
      </c>
      <c r="Q80" s="26">
        <v>1.5543981481481482E-2</v>
      </c>
      <c r="R80" s="26">
        <v>1.556712962962963E-2</v>
      </c>
      <c r="S80" s="26">
        <v>2.1863425925925925E-2</v>
      </c>
      <c r="T80" s="26">
        <v>2.0289351851851854E-2</v>
      </c>
      <c r="U80" s="26">
        <v>2.71875E-2</v>
      </c>
      <c r="V80" s="26">
        <v>3.6863425925925924E-2</v>
      </c>
      <c r="W80" s="26">
        <v>5.0486111111111114E-2</v>
      </c>
      <c r="X80" s="26">
        <v>4.7106481481481478E-2</v>
      </c>
      <c r="Y80" s="26">
        <v>6.2037037037037036E-2</v>
      </c>
      <c r="Z80" s="27">
        <v>54.168402777777779</v>
      </c>
      <c r="AA80" s="27">
        <v>62.212800925925926</v>
      </c>
      <c r="AB80" s="27">
        <v>60.335601851851855</v>
      </c>
      <c r="AC80" s="27">
        <v>68.088796296296294</v>
      </c>
      <c r="AD80" s="27">
        <v>104.10400462962963</v>
      </c>
      <c r="AE80" s="27">
        <v>112.90760416666667</v>
      </c>
      <c r="AF80" s="27">
        <v>110.80159722222223</v>
      </c>
      <c r="AG80" s="27">
        <v>119.70400462962964</v>
      </c>
    </row>
    <row r="81" spans="1:33" x14ac:dyDescent="0.25">
      <c r="A81" s="17">
        <v>87</v>
      </c>
      <c r="B81" s="26">
        <v>2.8935185185185184E-3</v>
      </c>
      <c r="C81" s="26">
        <v>4.0972222222222226E-3</v>
      </c>
      <c r="D81" s="26">
        <v>3.7962962962962963E-3</v>
      </c>
      <c r="E81" s="26">
        <v>5.115740740740741E-3</v>
      </c>
      <c r="F81" s="26">
        <v>4.3981481481481484E-3</v>
      </c>
      <c r="G81" s="26">
        <v>6.2268518518518515E-3</v>
      </c>
      <c r="H81" s="26">
        <v>5.7638888888888887E-3</v>
      </c>
      <c r="I81" s="26">
        <v>7.766203703703704E-3</v>
      </c>
      <c r="J81" s="26">
        <v>7.5694444444444446E-3</v>
      </c>
      <c r="K81" s="26">
        <v>1.0648148148148148E-2</v>
      </c>
      <c r="L81" s="26">
        <v>9.8842592592592593E-3</v>
      </c>
      <c r="M81" s="26">
        <v>1.3263888888888889E-2</v>
      </c>
      <c r="N81" s="26">
        <v>9.2245370370370363E-3</v>
      </c>
      <c r="O81" s="26">
        <v>1.2951388888888889E-2</v>
      </c>
      <c r="P81" s="26">
        <v>1.2025462962962963E-2</v>
      </c>
      <c r="Q81" s="26">
        <v>1.6111111111111111E-2</v>
      </c>
      <c r="R81" s="26">
        <v>1.6400462962962964E-2</v>
      </c>
      <c r="S81" s="26">
        <v>2.2800925925925926E-2</v>
      </c>
      <c r="T81" s="26">
        <v>2.1215277777777777E-2</v>
      </c>
      <c r="U81" s="26">
        <v>2.8229166666666666E-2</v>
      </c>
      <c r="V81" s="26">
        <v>3.9016203703703706E-2</v>
      </c>
      <c r="W81" s="26">
        <v>5.2905092592592594E-2</v>
      </c>
      <c r="X81" s="26">
        <v>4.9456018518518517E-2</v>
      </c>
      <c r="Y81" s="26">
        <v>6.4687499999999995E-2</v>
      </c>
      <c r="Z81" s="27">
        <v>56.06640046296296</v>
      </c>
      <c r="AA81" s="27">
        <v>63.907997685185187</v>
      </c>
      <c r="AB81" s="27">
        <v>62.077604166666667</v>
      </c>
      <c r="AC81" s="27">
        <v>69.638402777777785</v>
      </c>
      <c r="AD81" s="27">
        <v>107.57760416666666</v>
      </c>
      <c r="AE81" s="27">
        <v>116.06400462962964</v>
      </c>
      <c r="AF81" s="27">
        <v>114.03079861111111</v>
      </c>
      <c r="AG81" s="27">
        <v>122.62640046296296</v>
      </c>
    </row>
    <row r="82" spans="1:33" x14ac:dyDescent="0.25">
      <c r="A82" s="17">
        <v>88</v>
      </c>
      <c r="B82" s="26">
        <v>3.0439814814814813E-3</v>
      </c>
      <c r="C82" s="26">
        <v>4.2592592592592595E-3</v>
      </c>
      <c r="D82" s="26">
        <v>3.9583333333333337E-3</v>
      </c>
      <c r="E82" s="26">
        <v>5.3009259259259259E-3</v>
      </c>
      <c r="F82" s="26">
        <v>4.6296296296296294E-3</v>
      </c>
      <c r="G82" s="26">
        <v>6.4814814814814813E-3</v>
      </c>
      <c r="H82" s="26">
        <v>6.0185185185185185E-3</v>
      </c>
      <c r="I82" s="26">
        <v>8.0439814814814818E-3</v>
      </c>
      <c r="J82" s="26">
        <v>7.9629629629629634E-3</v>
      </c>
      <c r="K82" s="26">
        <v>1.1099537037037036E-2</v>
      </c>
      <c r="L82" s="26">
        <v>1.03125E-2</v>
      </c>
      <c r="M82" s="26">
        <v>1.375E-2</v>
      </c>
      <c r="N82" s="26">
        <v>9.7222222222222224E-3</v>
      </c>
      <c r="O82" s="26">
        <v>1.3495370370370371E-2</v>
      </c>
      <c r="P82" s="26">
        <v>1.255787037037037E-2</v>
      </c>
      <c r="Q82" s="26">
        <v>1.6712962962962964E-2</v>
      </c>
      <c r="R82" s="26">
        <v>1.7303240740740741E-2</v>
      </c>
      <c r="S82" s="26">
        <v>2.3807870370370372E-2</v>
      </c>
      <c r="T82" s="26">
        <v>2.2199074074074072E-2</v>
      </c>
      <c r="U82" s="26">
        <v>2.931712962962963E-2</v>
      </c>
      <c r="V82" s="26">
        <v>4.1296296296296296E-2</v>
      </c>
      <c r="W82" s="26">
        <v>5.5486111111111111E-2</v>
      </c>
      <c r="X82" s="26">
        <v>5.1967592592592593E-2</v>
      </c>
      <c r="Y82" s="26">
        <v>6.7511574074074071E-2</v>
      </c>
      <c r="Z82" s="27">
        <v>57.995601851851852</v>
      </c>
      <c r="AA82" s="27">
        <v>65.629201388888887</v>
      </c>
      <c r="AB82" s="27">
        <v>63.845601851851853</v>
      </c>
      <c r="AC82" s="27">
        <v>71.219201388888891</v>
      </c>
      <c r="AD82" s="27">
        <v>111.10840277777778</v>
      </c>
      <c r="AE82" s="27">
        <v>119.26719907407407</v>
      </c>
      <c r="AF82" s="27">
        <v>117.31200231481482</v>
      </c>
      <c r="AG82" s="27">
        <v>125.60079861111112</v>
      </c>
    </row>
    <row r="83" spans="1:33" x14ac:dyDescent="0.25">
      <c r="A83" s="17">
        <v>89</v>
      </c>
      <c r="B83" s="26">
        <v>3.1944444444444446E-3</v>
      </c>
      <c r="C83" s="26">
        <v>4.4444444444444444E-3</v>
      </c>
      <c r="D83" s="26">
        <v>4.1319444444444442E-3</v>
      </c>
      <c r="E83" s="26">
        <v>5.4976851851851853E-3</v>
      </c>
      <c r="F83" s="26">
        <v>4.8611111111111112E-3</v>
      </c>
      <c r="G83" s="26">
        <v>6.7476851851851856E-3</v>
      </c>
      <c r="H83" s="26">
        <v>6.2847222222222219E-3</v>
      </c>
      <c r="I83" s="26">
        <v>8.3449074074074068E-3</v>
      </c>
      <c r="J83" s="26">
        <v>8.3796296296296292E-3</v>
      </c>
      <c r="K83" s="26">
        <v>1.15625E-2</v>
      </c>
      <c r="L83" s="26">
        <v>1.0775462962962962E-2</v>
      </c>
      <c r="M83" s="26">
        <v>1.4270833333333333E-2</v>
      </c>
      <c r="N83" s="26">
        <v>1.0231481481481482E-2</v>
      </c>
      <c r="O83" s="26">
        <v>1.4085648148148147E-2</v>
      </c>
      <c r="P83" s="26">
        <v>1.3125E-2</v>
      </c>
      <c r="Q83" s="26">
        <v>1.7349537037037038E-2</v>
      </c>
      <c r="R83" s="26">
        <v>1.8240740740740741E-2</v>
      </c>
      <c r="S83" s="26">
        <v>2.4872685185185185E-2</v>
      </c>
      <c r="T83" s="26">
        <v>2.3229166666666665E-2</v>
      </c>
      <c r="U83" s="26">
        <v>3.048611111111111E-2</v>
      </c>
      <c r="V83" s="26">
        <v>4.3749999999999997E-2</v>
      </c>
      <c r="W83" s="26">
        <v>5.8252314814814812E-2</v>
      </c>
      <c r="X83" s="26">
        <v>5.4652777777777779E-2</v>
      </c>
      <c r="Y83" s="26">
        <v>7.0543981481481485E-2</v>
      </c>
      <c r="Z83" s="27">
        <v>59.961203703703703</v>
      </c>
      <c r="AA83" s="27">
        <v>67.386805555555554</v>
      </c>
      <c r="AB83" s="27">
        <v>65.650000000000006</v>
      </c>
      <c r="AC83" s="27">
        <v>72.831203703703707</v>
      </c>
      <c r="AD83" s="27">
        <v>114.68599537037036</v>
      </c>
      <c r="AE83" s="27">
        <v>122.52239583333333</v>
      </c>
      <c r="AF83" s="27">
        <v>120.64519675925926</v>
      </c>
      <c r="AG83" s="27">
        <v>128.61680555555554</v>
      </c>
    </row>
    <row r="84" spans="1:33" x14ac:dyDescent="0.25">
      <c r="A84" s="17">
        <v>90</v>
      </c>
      <c r="B84" s="26">
        <v>3.3564814814814816E-3</v>
      </c>
      <c r="C84" s="26">
        <v>4.6180555555555558E-3</v>
      </c>
      <c r="D84" s="26">
        <v>4.3055555555555555E-3</v>
      </c>
      <c r="E84" s="26">
        <v>5.6944444444444447E-3</v>
      </c>
      <c r="F84" s="26">
        <v>5.1273148148148146E-3</v>
      </c>
      <c r="G84" s="26">
        <v>7.037037037037037E-3</v>
      </c>
      <c r="H84" s="26">
        <v>6.5624999999999998E-3</v>
      </c>
      <c r="I84" s="26">
        <v>8.6574074074074071E-3</v>
      </c>
      <c r="J84" s="26">
        <v>8.8310185185185193E-3</v>
      </c>
      <c r="K84" s="26">
        <v>1.207175925925926E-2</v>
      </c>
      <c r="L84" s="26">
        <v>1.1261574074074075E-2</v>
      </c>
      <c r="M84" s="26">
        <v>1.4814814814814815E-2</v>
      </c>
      <c r="N84" s="26">
        <v>1.0775462962962962E-2</v>
      </c>
      <c r="O84" s="26">
        <v>1.4699074074074074E-2</v>
      </c>
      <c r="P84" s="26">
        <v>1.3726851851851851E-2</v>
      </c>
      <c r="Q84" s="26">
        <v>1.8020833333333333E-2</v>
      </c>
      <c r="R84" s="26">
        <v>1.9247685185185184E-2</v>
      </c>
      <c r="S84" s="26">
        <v>2.599537037037037E-2</v>
      </c>
      <c r="T84" s="26">
        <v>2.431712962962963E-2</v>
      </c>
      <c r="U84" s="26">
        <v>3.1724537037037037E-2</v>
      </c>
      <c r="V84" s="26">
        <v>4.6388888888888889E-2</v>
      </c>
      <c r="W84" s="26">
        <v>6.1226851851851852E-2</v>
      </c>
      <c r="X84" s="26">
        <v>5.7534722222222223E-2</v>
      </c>
      <c r="Y84" s="26">
        <v>7.3784722222222224E-2</v>
      </c>
      <c r="Z84" s="27">
        <v>61.963194444444447</v>
      </c>
      <c r="AA84" s="27">
        <v>69.175601851851852</v>
      </c>
      <c r="AB84" s="27">
        <v>67.490798611111117</v>
      </c>
      <c r="AC84" s="27">
        <v>74.474398148148154</v>
      </c>
      <c r="AD84" s="27">
        <v>118.31560185185185</v>
      </c>
      <c r="AE84" s="27">
        <v>125.82959490740741</v>
      </c>
      <c r="AF84" s="27">
        <v>124.02519675925926</v>
      </c>
      <c r="AG84" s="27">
        <v>131.68480324074073</v>
      </c>
    </row>
    <row r="85" spans="1:33" x14ac:dyDescent="0.25">
      <c r="A85" s="17">
        <v>91</v>
      </c>
      <c r="B85" s="26">
        <v>3.5300925925925925E-3</v>
      </c>
      <c r="C85" s="26">
        <v>4.8263888888888887E-3</v>
      </c>
      <c r="D85" s="26">
        <v>4.5023148148148149E-3</v>
      </c>
      <c r="E85" s="26">
        <v>5.9143518518518521E-3</v>
      </c>
      <c r="F85" s="26">
        <v>5.3935185185185188E-3</v>
      </c>
      <c r="G85" s="26">
        <v>7.3379629629629628E-3</v>
      </c>
      <c r="H85" s="26">
        <v>6.851851851851852E-3</v>
      </c>
      <c r="I85" s="26">
        <v>8.9930555555555562E-3</v>
      </c>
      <c r="J85" s="26">
        <v>9.2939814814814812E-3</v>
      </c>
      <c r="K85" s="26">
        <v>1.2592592592592593E-2</v>
      </c>
      <c r="L85" s="26">
        <v>1.1782407407407408E-2</v>
      </c>
      <c r="M85" s="26">
        <v>1.5393518518518518E-2</v>
      </c>
      <c r="N85" s="26">
        <v>1.1354166666666667E-2</v>
      </c>
      <c r="O85" s="26">
        <v>1.5347222222222222E-2</v>
      </c>
      <c r="P85" s="26">
        <v>1.4351851851851852E-2</v>
      </c>
      <c r="Q85" s="26">
        <v>1.8726851851851852E-2</v>
      </c>
      <c r="R85" s="26">
        <v>2.0312500000000001E-2</v>
      </c>
      <c r="S85" s="26">
        <v>2.7210648148148147E-2</v>
      </c>
      <c r="T85" s="26">
        <v>2.5486111111111112E-2</v>
      </c>
      <c r="U85" s="26">
        <v>3.304398148148148E-2</v>
      </c>
      <c r="V85" s="26">
        <v>4.9224537037037039E-2</v>
      </c>
      <c r="W85" s="26">
        <v>6.4421296296296296E-2</v>
      </c>
      <c r="X85" s="26">
        <v>6.0648148148148145E-2</v>
      </c>
      <c r="Y85" s="26">
        <v>7.7291666666666661E-2</v>
      </c>
      <c r="Z85" s="27">
        <v>64.001597222222216</v>
      </c>
      <c r="AA85" s="27">
        <v>71.000798611111108</v>
      </c>
      <c r="AB85" s="27">
        <v>69.362800925925924</v>
      </c>
      <c r="AC85" s="27">
        <v>76.148796296296297</v>
      </c>
      <c r="AD85" s="27">
        <v>121.99200231481481</v>
      </c>
      <c r="AE85" s="27">
        <v>129.18359953703703</v>
      </c>
      <c r="AF85" s="27">
        <v>127.45719907407407</v>
      </c>
      <c r="AG85" s="27">
        <v>134.80480324074074</v>
      </c>
    </row>
    <row r="86" spans="1:33" x14ac:dyDescent="0.25">
      <c r="A86" s="17">
        <v>92</v>
      </c>
      <c r="B86" s="26">
        <v>3.7152777777777778E-3</v>
      </c>
      <c r="C86" s="26">
        <v>5.0231481481481481E-3</v>
      </c>
      <c r="D86" s="26">
        <v>4.7106481481481478E-3</v>
      </c>
      <c r="E86" s="26">
        <v>6.1342592592592594E-3</v>
      </c>
      <c r="F86" s="26">
        <v>5.6712962962962967E-3</v>
      </c>
      <c r="G86" s="26">
        <v>7.6504629629629631E-3</v>
      </c>
      <c r="H86" s="26">
        <v>7.1643518518518514E-3</v>
      </c>
      <c r="I86" s="26">
        <v>9.3402777777777772E-3</v>
      </c>
      <c r="J86" s="26">
        <v>9.7916666666666673E-3</v>
      </c>
      <c r="K86" s="26">
        <v>1.3159722222222222E-2</v>
      </c>
      <c r="L86" s="26">
        <v>1.2326388888888888E-2</v>
      </c>
      <c r="M86" s="26">
        <v>1.6006944444444445E-2</v>
      </c>
      <c r="N86" s="26">
        <v>1.1967592592592592E-2</v>
      </c>
      <c r="O86" s="26">
        <v>1.6041666666666666E-2</v>
      </c>
      <c r="P86" s="26">
        <v>1.5023148148148148E-2</v>
      </c>
      <c r="Q86" s="26">
        <v>1.9490740740740739E-2</v>
      </c>
      <c r="R86" s="26">
        <v>2.1446759259259259E-2</v>
      </c>
      <c r="S86" s="26">
        <v>2.8483796296296295E-2</v>
      </c>
      <c r="T86" s="26">
        <v>2.673611111111111E-2</v>
      </c>
      <c r="U86" s="26">
        <v>3.4444444444444444E-2</v>
      </c>
      <c r="V86" s="26">
        <v>5.230324074074074E-2</v>
      </c>
      <c r="W86" s="26">
        <v>6.7881944444444439E-2</v>
      </c>
      <c r="X86" s="26">
        <v>6.40162037037037E-2</v>
      </c>
      <c r="Y86" s="26">
        <v>8.1087962962962959E-2</v>
      </c>
      <c r="Z86" s="27">
        <v>66.081597222222229</v>
      </c>
      <c r="AA86" s="27">
        <v>72.862395833333338</v>
      </c>
      <c r="AB86" s="27">
        <v>71.276400462962968</v>
      </c>
      <c r="AC86" s="27">
        <v>77.859594907407413</v>
      </c>
      <c r="AD86" s="27">
        <v>125.72560185185185</v>
      </c>
      <c r="AE86" s="27">
        <v>132.58959490740742</v>
      </c>
      <c r="AF86" s="27">
        <v>130.94120370370371</v>
      </c>
      <c r="AG86" s="27">
        <v>137.97159722222221</v>
      </c>
    </row>
    <row r="87" spans="1:33" x14ac:dyDescent="0.25">
      <c r="A87" s="17">
        <v>93</v>
      </c>
      <c r="B87" s="26">
        <v>3.9120370370370368E-3</v>
      </c>
      <c r="C87" s="26">
        <v>5.2546296296296299E-3</v>
      </c>
      <c r="D87" s="26">
        <v>4.9189814814814816E-3</v>
      </c>
      <c r="E87" s="26">
        <v>6.3888888888888893E-3</v>
      </c>
      <c r="F87" s="26">
        <v>5.9722222222222225E-3</v>
      </c>
      <c r="G87" s="26">
        <v>7.9976851851851858E-3</v>
      </c>
      <c r="H87" s="26">
        <v>7.4999999999999997E-3</v>
      </c>
      <c r="I87" s="26">
        <v>9.7106481481481488E-3</v>
      </c>
      <c r="J87" s="26">
        <v>1.0324074074074074E-2</v>
      </c>
      <c r="K87" s="26">
        <v>1.375E-2</v>
      </c>
      <c r="L87" s="26">
        <v>1.2905092592592593E-2</v>
      </c>
      <c r="M87" s="26">
        <v>1.6666666666666666E-2</v>
      </c>
      <c r="N87" s="26">
        <v>1.2627314814814815E-2</v>
      </c>
      <c r="O87" s="26">
        <v>1.6782407407407409E-2</v>
      </c>
      <c r="P87" s="26">
        <v>1.5740740740740739E-2</v>
      </c>
      <c r="Q87" s="26">
        <v>2.0289351851851854E-2</v>
      </c>
      <c r="R87" s="26">
        <v>2.2662037037037036E-2</v>
      </c>
      <c r="S87" s="26">
        <v>2.9861111111111113E-2</v>
      </c>
      <c r="T87" s="26">
        <v>2.8067129629629629E-2</v>
      </c>
      <c r="U87" s="26">
        <v>3.5960648148148151E-2</v>
      </c>
      <c r="V87" s="26">
        <v>5.5636574074074074E-2</v>
      </c>
      <c r="W87" s="26">
        <v>7.1643518518518523E-2</v>
      </c>
      <c r="X87" s="26">
        <v>6.7662037037037034E-2</v>
      </c>
      <c r="Y87" s="26">
        <v>8.520833333333333E-2</v>
      </c>
      <c r="Z87" s="27">
        <v>68.203194444444449</v>
      </c>
      <c r="AA87" s="27">
        <v>74.760405092592592</v>
      </c>
      <c r="AB87" s="27">
        <v>73.226400462962957</v>
      </c>
      <c r="AC87" s="27">
        <v>79.601597222222225</v>
      </c>
      <c r="AD87" s="27">
        <v>129.5112037037037</v>
      </c>
      <c r="AE87" s="27">
        <v>136.05280092592594</v>
      </c>
      <c r="AF87" s="27">
        <v>134.47719907407406</v>
      </c>
      <c r="AG87" s="27">
        <v>141.19040509259258</v>
      </c>
    </row>
    <row r="88" spans="1:33" x14ac:dyDescent="0.25">
      <c r="A88" s="17">
        <v>94</v>
      </c>
      <c r="B88" s="26">
        <v>4.1203703703703706E-3</v>
      </c>
      <c r="C88" s="26">
        <v>5.4861111111111109E-3</v>
      </c>
      <c r="D88" s="26">
        <v>5.1504629629629626E-3</v>
      </c>
      <c r="E88" s="26">
        <v>6.6435185185185182E-3</v>
      </c>
      <c r="F88" s="26">
        <v>6.2962962962962964E-3</v>
      </c>
      <c r="G88" s="26">
        <v>8.3564814814814821E-3</v>
      </c>
      <c r="H88" s="26">
        <v>7.8472222222222224E-3</v>
      </c>
      <c r="I88" s="26">
        <v>1.0115740740740741E-2</v>
      </c>
      <c r="J88" s="26">
        <v>1.0891203703703703E-2</v>
      </c>
      <c r="K88" s="26">
        <v>1.4398148148148148E-2</v>
      </c>
      <c r="L88" s="26">
        <v>1.3518518518518518E-2</v>
      </c>
      <c r="M88" s="26">
        <v>1.7361111111111112E-2</v>
      </c>
      <c r="N88" s="26">
        <v>1.3321759259259259E-2</v>
      </c>
      <c r="O88" s="26">
        <v>1.755787037037037E-2</v>
      </c>
      <c r="P88" s="26">
        <v>1.6516203703703703E-2</v>
      </c>
      <c r="Q88" s="26">
        <v>2.1157407407407406E-2</v>
      </c>
      <c r="R88" s="26">
        <v>2.3981481481481482E-2</v>
      </c>
      <c r="S88" s="26">
        <v>3.1331018518518522E-2</v>
      </c>
      <c r="T88" s="26">
        <v>2.9502314814814815E-2</v>
      </c>
      <c r="U88" s="26">
        <v>3.7569444444444447E-2</v>
      </c>
      <c r="V88" s="26">
        <v>5.9270833333333335E-2</v>
      </c>
      <c r="W88" s="26">
        <v>7.5740740740740747E-2</v>
      </c>
      <c r="X88" s="26">
        <v>7.165509259259259E-2</v>
      </c>
      <c r="Y88" s="26">
        <v>8.969907407407407E-2</v>
      </c>
      <c r="Z88" s="27">
        <v>70.366400462962957</v>
      </c>
      <c r="AA88" s="27">
        <v>76.7</v>
      </c>
      <c r="AB88" s="27">
        <v>75.217997685185182</v>
      </c>
      <c r="AC88" s="27">
        <v>81.38</v>
      </c>
      <c r="AD88" s="27">
        <v>133.35400462962963</v>
      </c>
      <c r="AE88" s="27">
        <v>139.56799768518519</v>
      </c>
      <c r="AF88" s="27">
        <v>138.06519675925927</v>
      </c>
      <c r="AG88" s="27">
        <v>144.46640046296295</v>
      </c>
    </row>
    <row r="89" spans="1:33" x14ac:dyDescent="0.25">
      <c r="A89" s="17">
        <v>95</v>
      </c>
      <c r="B89" s="26">
        <v>4.340277777777778E-3</v>
      </c>
      <c r="C89" s="26">
        <v>5.7407407407407407E-3</v>
      </c>
      <c r="D89" s="26">
        <v>5.3935185185185188E-3</v>
      </c>
      <c r="E89" s="26">
        <v>6.9212962962962961E-3</v>
      </c>
      <c r="F89" s="26">
        <v>6.6435185185185182E-3</v>
      </c>
      <c r="G89" s="26">
        <v>8.7500000000000008E-3</v>
      </c>
      <c r="H89" s="26">
        <v>8.2175925925925923E-3</v>
      </c>
      <c r="I89" s="26">
        <v>1.0532407407407407E-2</v>
      </c>
      <c r="J89" s="26">
        <v>1.1493055555555555E-2</v>
      </c>
      <c r="K89" s="26">
        <v>1.5081018518518518E-2</v>
      </c>
      <c r="L89" s="26">
        <v>1.4189814814814815E-2</v>
      </c>
      <c r="M89" s="26">
        <v>1.8113425925925925E-2</v>
      </c>
      <c r="N89" s="26">
        <v>1.40625E-2</v>
      </c>
      <c r="O89" s="26">
        <v>1.8402777777777778E-2</v>
      </c>
      <c r="P89" s="26">
        <v>1.7326388888888888E-2</v>
      </c>
      <c r="Q89" s="26">
        <v>2.2083333333333333E-2</v>
      </c>
      <c r="R89" s="26">
        <v>2.5381944444444443E-2</v>
      </c>
      <c r="S89" s="26">
        <v>3.2916666666666664E-2</v>
      </c>
      <c r="T89" s="26">
        <v>3.1053240740740742E-2</v>
      </c>
      <c r="U89" s="26">
        <v>3.9305555555555559E-2</v>
      </c>
      <c r="V89" s="26">
        <v>6.3252314814814817E-2</v>
      </c>
      <c r="W89" s="26">
        <v>8.0231481481481487E-2</v>
      </c>
      <c r="X89" s="26">
        <v>7.6018518518518513E-2</v>
      </c>
      <c r="Y89" s="26">
        <v>9.4606481481481486E-2</v>
      </c>
      <c r="Z89" s="27">
        <v>72.576400462962965</v>
      </c>
      <c r="AA89" s="27">
        <v>78.681203703703702</v>
      </c>
      <c r="AB89" s="27">
        <v>77.245995370370366</v>
      </c>
      <c r="AC89" s="27">
        <v>83.2</v>
      </c>
      <c r="AD89" s="27">
        <v>137.24879629629629</v>
      </c>
      <c r="AE89" s="27">
        <v>143.13519675925926</v>
      </c>
      <c r="AF89" s="27">
        <v>141.71560185185186</v>
      </c>
      <c r="AG89" s="27">
        <v>147.79439814814816</v>
      </c>
    </row>
    <row r="90" spans="1:33" x14ac:dyDescent="0.25">
      <c r="A90" s="17">
        <v>96</v>
      </c>
      <c r="B90" s="26">
        <v>4.5833333333333334E-3</v>
      </c>
      <c r="C90" s="26">
        <v>6.0069444444444441E-3</v>
      </c>
      <c r="D90" s="26">
        <v>5.6481481481481478E-3</v>
      </c>
      <c r="E90" s="26">
        <v>7.2106481481481483E-3</v>
      </c>
      <c r="F90" s="26">
        <v>7.0023148148148145E-3</v>
      </c>
      <c r="G90" s="26">
        <v>9.1666666666666667E-3</v>
      </c>
      <c r="H90" s="26">
        <v>8.6226851851851846E-3</v>
      </c>
      <c r="I90" s="26">
        <v>1.0983796296296297E-2</v>
      </c>
      <c r="J90" s="26">
        <v>1.2141203703703704E-2</v>
      </c>
      <c r="K90" s="26">
        <v>1.5810185185185184E-2</v>
      </c>
      <c r="L90" s="26">
        <v>1.4895833333333334E-2</v>
      </c>
      <c r="M90" s="26">
        <v>1.8912037037037036E-2</v>
      </c>
      <c r="N90" s="26">
        <v>1.4872685185185185E-2</v>
      </c>
      <c r="O90" s="26">
        <v>1.9305555555555555E-2</v>
      </c>
      <c r="P90" s="26">
        <v>1.8206018518518517E-2</v>
      </c>
      <c r="Q90" s="26">
        <v>2.3067129629629628E-2</v>
      </c>
      <c r="R90" s="26">
        <v>2.6909722222222224E-2</v>
      </c>
      <c r="S90" s="26">
        <v>3.4641203703703702E-2</v>
      </c>
      <c r="T90" s="26">
        <v>3.2719907407407406E-2</v>
      </c>
      <c r="U90" s="26">
        <v>4.1192129629629627E-2</v>
      </c>
      <c r="V90" s="26">
        <v>6.7638888888888887E-2</v>
      </c>
      <c r="W90" s="26">
        <v>8.5173611111111117E-2</v>
      </c>
      <c r="X90" s="26">
        <v>8.0833333333333326E-2</v>
      </c>
      <c r="Y90" s="26">
        <v>0.10003472222222222</v>
      </c>
      <c r="Z90" s="27">
        <v>74.827997685185181</v>
      </c>
      <c r="AA90" s="27">
        <v>80.704004629629637</v>
      </c>
      <c r="AB90" s="27">
        <v>79.320798611111115</v>
      </c>
      <c r="AC90" s="27">
        <v>85.056400462962969</v>
      </c>
      <c r="AD90" s="27">
        <v>141.20079861111111</v>
      </c>
      <c r="AE90" s="27">
        <v>146.76480324074075</v>
      </c>
      <c r="AF90" s="27">
        <v>145.41799768518518</v>
      </c>
      <c r="AG90" s="27">
        <v>151.17959490740742</v>
      </c>
    </row>
    <row r="91" spans="1:33" x14ac:dyDescent="0.25">
      <c r="A91" s="17">
        <v>97</v>
      </c>
      <c r="B91" s="26">
        <v>4.8379629629629632E-3</v>
      </c>
      <c r="C91" s="26">
        <v>6.2962962962962964E-3</v>
      </c>
      <c r="D91" s="26">
        <v>5.9375000000000001E-3</v>
      </c>
      <c r="E91" s="26">
        <v>7.5231481481481477E-3</v>
      </c>
      <c r="F91" s="26">
        <v>7.3958333333333333E-3</v>
      </c>
      <c r="G91" s="26">
        <v>9.6064814814814815E-3</v>
      </c>
      <c r="H91" s="26">
        <v>9.0624999999999994E-3</v>
      </c>
      <c r="I91" s="26">
        <v>1.1469907407407408E-2</v>
      </c>
      <c r="J91" s="26">
        <v>1.2847222222222222E-2</v>
      </c>
      <c r="K91" s="26">
        <v>1.6597222222222222E-2</v>
      </c>
      <c r="L91" s="26">
        <v>1.5671296296296298E-2</v>
      </c>
      <c r="M91" s="26">
        <v>1.9780092592592592E-2</v>
      </c>
      <c r="N91" s="26">
        <v>1.5740740740740739E-2</v>
      </c>
      <c r="O91" s="26">
        <v>2.0289351851851854E-2</v>
      </c>
      <c r="P91" s="26">
        <v>1.9166666666666665E-2</v>
      </c>
      <c r="Q91" s="26">
        <v>2.4143518518518519E-2</v>
      </c>
      <c r="R91" s="26">
        <v>2.855324074074074E-2</v>
      </c>
      <c r="S91" s="26">
        <v>3.650462962962963E-2</v>
      </c>
      <c r="T91" s="26">
        <v>3.4525462962962966E-2</v>
      </c>
      <c r="U91" s="26">
        <v>4.3229166666666666E-2</v>
      </c>
      <c r="V91" s="26">
        <v>7.2511574074074076E-2</v>
      </c>
      <c r="W91" s="26">
        <v>9.0671296296296292E-2</v>
      </c>
      <c r="X91" s="26">
        <v>8.6168981481481485E-2</v>
      </c>
      <c r="Y91" s="26">
        <v>0.10605324074074074</v>
      </c>
      <c r="Z91" s="27">
        <v>77.131597222222226</v>
      </c>
      <c r="AA91" s="27">
        <v>82.76840277777778</v>
      </c>
      <c r="AB91" s="27">
        <v>81.442395833333336</v>
      </c>
      <c r="AC91" s="27">
        <v>86.959594907407407</v>
      </c>
      <c r="AD91" s="27">
        <v>145.21</v>
      </c>
      <c r="AE91" s="27">
        <v>150.45159722222223</v>
      </c>
      <c r="AF91" s="27">
        <v>149.18280092592593</v>
      </c>
      <c r="AG91" s="27">
        <v>154.62200231481481</v>
      </c>
    </row>
    <row r="92" spans="1:33" x14ac:dyDescent="0.25">
      <c r="A92" s="17">
        <v>98</v>
      </c>
      <c r="B92" s="26">
        <v>5.115740740740741E-3</v>
      </c>
      <c r="C92" s="26">
        <v>6.5972222222222222E-3</v>
      </c>
      <c r="D92" s="26">
        <v>6.2384259259259259E-3</v>
      </c>
      <c r="E92" s="26">
        <v>7.858796296296296E-3</v>
      </c>
      <c r="F92" s="26">
        <v>7.8240740740740736E-3</v>
      </c>
      <c r="G92" s="26">
        <v>1.0081018518518519E-2</v>
      </c>
      <c r="H92" s="26">
        <v>9.525462962962963E-3</v>
      </c>
      <c r="I92" s="26">
        <v>1.1990740740740741E-2</v>
      </c>
      <c r="J92" s="26">
        <v>1.3599537037037037E-2</v>
      </c>
      <c r="K92" s="26">
        <v>1.7453703703703704E-2</v>
      </c>
      <c r="L92" s="26">
        <v>1.6493055555555556E-2</v>
      </c>
      <c r="M92" s="26">
        <v>2.0706018518518519E-2</v>
      </c>
      <c r="N92" s="26">
        <v>1.667824074074074E-2</v>
      </c>
      <c r="O92" s="26">
        <v>2.1342592592592594E-2</v>
      </c>
      <c r="P92" s="26">
        <v>2.0185185185185184E-2</v>
      </c>
      <c r="Q92" s="26">
        <v>2.5300925925925925E-2</v>
      </c>
      <c r="R92" s="26">
        <v>3.0358796296296297E-2</v>
      </c>
      <c r="S92" s="26">
        <v>3.8530092592592595E-2</v>
      </c>
      <c r="T92" s="26">
        <v>3.650462962962963E-2</v>
      </c>
      <c r="U92" s="26">
        <v>4.5439814814814815E-2</v>
      </c>
      <c r="V92" s="26">
        <v>7.7962962962962956E-2</v>
      </c>
      <c r="W92" s="26">
        <v>9.6805555555555561E-2</v>
      </c>
      <c r="X92" s="26">
        <v>9.2129629629629631E-2</v>
      </c>
      <c r="Y92" s="26">
        <v>0.11277777777777778</v>
      </c>
      <c r="Z92" s="27">
        <v>79.482002314814821</v>
      </c>
      <c r="AA92" s="27">
        <v>84.879594907407409</v>
      </c>
      <c r="AB92" s="27">
        <v>83.610798611111107</v>
      </c>
      <c r="AC92" s="27">
        <v>88.904398148148147</v>
      </c>
      <c r="AD92" s="27">
        <v>149.28159722222222</v>
      </c>
      <c r="AE92" s="27">
        <v>154.20079861111111</v>
      </c>
      <c r="AF92" s="27">
        <v>153.00480324074073</v>
      </c>
      <c r="AG92" s="27">
        <v>158.13200231481483</v>
      </c>
    </row>
    <row r="93" spans="1:33" x14ac:dyDescent="0.25">
      <c r="A93" s="17">
        <v>99</v>
      </c>
      <c r="B93" s="26">
        <v>5.4050925925925924E-3</v>
      </c>
      <c r="C93" s="26">
        <v>6.9328703703703705E-3</v>
      </c>
      <c r="D93" s="26">
        <v>6.5509259259259262E-3</v>
      </c>
      <c r="E93" s="26">
        <v>8.2291666666666659E-3</v>
      </c>
      <c r="F93" s="26">
        <v>8.2870370370370372E-3</v>
      </c>
      <c r="G93" s="26">
        <v>1.0601851851851852E-2</v>
      </c>
      <c r="H93" s="26">
        <v>1.0023148148148147E-2</v>
      </c>
      <c r="I93" s="26">
        <v>1.255787037037037E-2</v>
      </c>
      <c r="J93" s="26">
        <v>1.4421296296296297E-2</v>
      </c>
      <c r="K93" s="26">
        <v>1.8368055555555554E-2</v>
      </c>
      <c r="L93" s="26">
        <v>1.7384259259259259E-2</v>
      </c>
      <c r="M93" s="26">
        <v>2.1712962962962962E-2</v>
      </c>
      <c r="N93" s="26">
        <v>1.7696759259259259E-2</v>
      </c>
      <c r="O93" s="26">
        <v>2.2499999999999999E-2</v>
      </c>
      <c r="P93" s="26">
        <v>2.1296296296296296E-2</v>
      </c>
      <c r="Q93" s="26">
        <v>2.6562499999999999E-2</v>
      </c>
      <c r="R93" s="26">
        <v>3.2326388888888891E-2</v>
      </c>
      <c r="S93" s="26">
        <v>4.0740740740740744E-2</v>
      </c>
      <c r="T93" s="26">
        <v>3.8657407407407404E-2</v>
      </c>
      <c r="U93" s="26">
        <v>4.7881944444444442E-2</v>
      </c>
      <c r="V93" s="26">
        <v>8.4108796296296293E-2</v>
      </c>
      <c r="W93" s="26">
        <v>0.10373842592592593</v>
      </c>
      <c r="X93" s="26">
        <v>9.886574074074074E-2</v>
      </c>
      <c r="Y93" s="26">
        <v>0.1203587962962963</v>
      </c>
      <c r="Z93" s="27">
        <v>81.889594907407414</v>
      </c>
      <c r="AA93" s="27">
        <v>87.042800925925931</v>
      </c>
      <c r="AB93" s="27">
        <v>85.831203703703707</v>
      </c>
      <c r="AC93" s="27">
        <v>90.890798611111109</v>
      </c>
      <c r="AD93" s="27">
        <v>153.41040509259258</v>
      </c>
      <c r="AE93" s="27">
        <v>158.00719907407407</v>
      </c>
      <c r="AF93" s="27">
        <v>156.88920138888889</v>
      </c>
      <c r="AG93" s="27">
        <v>161.69920138888889</v>
      </c>
    </row>
  </sheetData>
  <sheetProtection sheet="1" objects="1" scenarios="1"/>
  <pageMargins left="0.70866141732283472" right="0.70866141732283472" top="0.74803149606299213" bottom="0.74803149606299213" header="0.31496062992125984" footer="0.31496062992125984"/>
  <pageSetup paperSize="9" scale="35" orientation="landscape" r:id="rId1"/>
  <headerFooter>
    <oddHeader>&amp;C&amp;A</oddHeader>
    <oddFooter>&amp;L&amp;F&amp;CPage &amp;P of &amp;N&amp;R&amp;D</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1FD39-160B-44DD-BFC8-88386D4C95BF}">
  <sheetPr codeName="Sheet22">
    <pageSetUpPr fitToPage="1"/>
  </sheetPr>
  <dimension ref="A1:T16370"/>
  <sheetViews>
    <sheetView zoomScale="75" zoomScaleNormal="75" workbookViewId="0"/>
  </sheetViews>
  <sheetFormatPr defaultRowHeight="15" x14ac:dyDescent="0.25"/>
  <cols>
    <col min="1" max="1" width="4.5703125" style="3" customWidth="1"/>
    <col min="2" max="9" width="8.5703125" customWidth="1"/>
    <col min="10" max="11" width="4.5703125" customWidth="1"/>
    <col min="12" max="17" width="8.5703125" customWidth="1"/>
    <col min="18" max="19" width="8.5703125" style="8" customWidth="1"/>
  </cols>
  <sheetData>
    <row r="1" spans="1:19" s="11" customFormat="1" x14ac:dyDescent="0.25">
      <c r="A1" s="9" t="s">
        <v>1</v>
      </c>
      <c r="B1" s="10" t="s">
        <v>13</v>
      </c>
      <c r="C1" s="10" t="s">
        <v>14</v>
      </c>
      <c r="D1" s="10" t="s">
        <v>15</v>
      </c>
      <c r="E1" s="10" t="s">
        <v>16</v>
      </c>
      <c r="F1" s="10" t="s">
        <v>17</v>
      </c>
      <c r="G1" s="10" t="s">
        <v>18</v>
      </c>
      <c r="H1" s="10" t="s">
        <v>19</v>
      </c>
      <c r="I1" s="10" t="s">
        <v>20</v>
      </c>
      <c r="J1" s="12"/>
      <c r="K1" s="9" t="s">
        <v>1</v>
      </c>
      <c r="L1" s="10" t="s">
        <v>13</v>
      </c>
      <c r="M1" s="10" t="s">
        <v>14</v>
      </c>
      <c r="N1" s="10" t="s">
        <v>15</v>
      </c>
      <c r="O1" s="10" t="s">
        <v>16</v>
      </c>
      <c r="P1" s="10" t="s">
        <v>17</v>
      </c>
      <c r="Q1" s="10" t="s">
        <v>18</v>
      </c>
      <c r="R1" s="10" t="s">
        <v>19</v>
      </c>
      <c r="S1" s="10" t="s">
        <v>20</v>
      </c>
    </row>
    <row r="2" spans="1:19" x14ac:dyDescent="0.25">
      <c r="A2" s="4">
        <f>'All Solo Standards'!A33</f>
        <v>40</v>
      </c>
      <c r="B2" s="3" t="str">
        <f>'All Solo Standards'!B33</f>
        <v>26:08</v>
      </c>
      <c r="C2" s="3" t="str">
        <f>'All Solo Standards'!C33</f>
        <v>39:20</v>
      </c>
      <c r="D2" s="3" t="str">
        <f>'All Solo Standards'!D33</f>
        <v>1:06:00</v>
      </c>
      <c r="E2" s="3" t="str">
        <f>'All Solo Standards'!E33</f>
        <v>1:19:28</v>
      </c>
      <c r="F2" s="3" t="str">
        <f>'All Solo Standards'!F33</f>
        <v>2:14:19</v>
      </c>
      <c r="G2" s="3" t="str">
        <f>'All Solo Standards'!G33</f>
        <v>4:38:27</v>
      </c>
      <c r="H2" s="46" t="str">
        <f>'All Solo Standards'!H33</f>
        <v>221.90</v>
      </c>
      <c r="I2" s="46" t="str">
        <f>'All Solo Standards'!I33</f>
        <v>368.69</v>
      </c>
      <c r="K2" s="59">
        <f>'All Solo Standards'!A61</f>
        <v>68</v>
      </c>
      <c r="L2" s="3" t="str">
        <f>'All Solo Standards'!B61</f>
        <v>29:15</v>
      </c>
      <c r="M2" s="3" t="str">
        <f>'All Solo Standards'!C61</f>
        <v>44:04</v>
      </c>
      <c r="N2" s="3" t="str">
        <f>'All Solo Standards'!D61</f>
        <v>1:14:05</v>
      </c>
      <c r="O2" s="3" t="str">
        <f>'All Solo Standards'!E61</f>
        <v>1:29:18</v>
      </c>
      <c r="P2" s="3" t="str">
        <f>'All Solo Standards'!F61</f>
        <v>2:31:31</v>
      </c>
      <c r="Q2" s="3" t="str">
        <f>'All Solo Standards'!G61</f>
        <v>5:17:32</v>
      </c>
      <c r="R2" s="47" t="str">
        <f>'All Solo Standards'!H61</f>
        <v>173.23</v>
      </c>
      <c r="S2" s="47" t="str">
        <f>'All Solo Standards'!I61</f>
        <v>273.29</v>
      </c>
    </row>
    <row r="3" spans="1:19" x14ac:dyDescent="0.25">
      <c r="A3" s="4">
        <f>'All Solo Standards'!A34</f>
        <v>41</v>
      </c>
      <c r="B3" s="3" t="str">
        <f>'All Solo Standards'!B34</f>
        <v>26:10</v>
      </c>
      <c r="C3" s="3" t="str">
        <f>'All Solo Standards'!C34</f>
        <v>39:23</v>
      </c>
      <c r="D3" s="3" t="str">
        <f>'All Solo Standards'!D34</f>
        <v>1:06:06</v>
      </c>
      <c r="E3" s="3" t="str">
        <f>'All Solo Standards'!E34</f>
        <v>1:19:36</v>
      </c>
      <c r="F3" s="3" t="str">
        <f>'All Solo Standards'!F34</f>
        <v>2:14:32</v>
      </c>
      <c r="G3" s="3" t="str">
        <f>'All Solo Standards'!G34</f>
        <v>4:38:56</v>
      </c>
      <c r="H3" s="46" t="str">
        <f>'All Solo Standards'!H34</f>
        <v>221.19</v>
      </c>
      <c r="I3" s="46" t="str">
        <f>'All Solo Standards'!I34</f>
        <v>367.28</v>
      </c>
      <c r="K3" s="59">
        <f>'All Solo Standards'!A62</f>
        <v>69</v>
      </c>
      <c r="L3" s="45" t="str">
        <f>'All Solo Standards'!B62</f>
        <v>29:27</v>
      </c>
      <c r="M3" s="45" t="str">
        <f>'All Solo Standards'!C62</f>
        <v>44:22</v>
      </c>
      <c r="N3" s="45" t="str">
        <f>'All Solo Standards'!D62</f>
        <v>1:14:36</v>
      </c>
      <c r="O3" s="45" t="str">
        <f>'All Solo Standards'!E62</f>
        <v>1:29:55</v>
      </c>
      <c r="P3" s="45" t="str">
        <f>'All Solo Standards'!F62</f>
        <v>2:32:37</v>
      </c>
      <c r="Q3" s="45" t="str">
        <f>'All Solo Standards'!G62</f>
        <v>5:20:06</v>
      </c>
      <c r="R3" s="49" t="str">
        <f>'All Solo Standards'!H62</f>
        <v>170.61</v>
      </c>
      <c r="S3" s="49" t="str">
        <f>'All Solo Standards'!I62</f>
        <v>268.24</v>
      </c>
    </row>
    <row r="4" spans="1:19" x14ac:dyDescent="0.25">
      <c r="A4" s="4">
        <f>'All Solo Standards'!A35</f>
        <v>42</v>
      </c>
      <c r="B4" s="3" t="str">
        <f>'All Solo Standards'!B35</f>
        <v>26:13</v>
      </c>
      <c r="C4" s="3" t="str">
        <f>'All Solo Standards'!C35</f>
        <v>39:27</v>
      </c>
      <c r="D4" s="3" t="str">
        <f>'All Solo Standards'!D35</f>
        <v>1:06:13</v>
      </c>
      <c r="E4" s="3" t="str">
        <f>'All Solo Standards'!E35</f>
        <v>1:19:44</v>
      </c>
      <c r="F4" s="3" t="str">
        <f>'All Solo Standards'!F35</f>
        <v>2:14:47</v>
      </c>
      <c r="G4" s="3" t="str">
        <f>'All Solo Standards'!G35</f>
        <v>4:39:28</v>
      </c>
      <c r="H4" s="46" t="str">
        <f>'All Solo Standards'!H35</f>
        <v>220.38</v>
      </c>
      <c r="I4" s="46" t="str">
        <f>'All Solo Standards'!I35</f>
        <v>365.67</v>
      </c>
      <c r="K4" s="59">
        <f>'All Solo Standards'!A63</f>
        <v>70</v>
      </c>
      <c r="L4" s="3" t="str">
        <f>'All Solo Standards'!B63</f>
        <v>29:39</v>
      </c>
      <c r="M4" s="3" t="str">
        <f>'All Solo Standards'!C63</f>
        <v>44:41</v>
      </c>
      <c r="N4" s="3" t="str">
        <f>'All Solo Standards'!D63</f>
        <v>1:15:08</v>
      </c>
      <c r="O4" s="3" t="str">
        <f>'All Solo Standards'!E63</f>
        <v>1:30:34</v>
      </c>
      <c r="P4" s="3" t="str">
        <f>'All Solo Standards'!F63</f>
        <v>2:33:46</v>
      </c>
      <c r="Q4" s="3" t="str">
        <f>'All Solo Standards'!G63</f>
        <v>5:22:47</v>
      </c>
      <c r="R4" s="47" t="str">
        <f>'All Solo Standards'!H63</f>
        <v>167.94</v>
      </c>
      <c r="S4" s="47" t="str">
        <f>'All Solo Standards'!I63</f>
        <v>263.09</v>
      </c>
    </row>
    <row r="5" spans="1:19" x14ac:dyDescent="0.25">
      <c r="A5" s="4">
        <f>'All Solo Standards'!A36</f>
        <v>43</v>
      </c>
      <c r="B5" s="3" t="str">
        <f>'All Solo Standards'!B36</f>
        <v>26:16</v>
      </c>
      <c r="C5" s="3" t="str">
        <f>'All Solo Standards'!C36</f>
        <v>39:32</v>
      </c>
      <c r="D5" s="3" t="str">
        <f>'All Solo Standards'!D36</f>
        <v>1:06:21</v>
      </c>
      <c r="E5" s="3" t="str">
        <f>'All Solo Standards'!E36</f>
        <v>1:19:54</v>
      </c>
      <c r="F5" s="3" t="str">
        <f>'All Solo Standards'!F36</f>
        <v>2:15:03</v>
      </c>
      <c r="G5" s="3" t="str">
        <f>'All Solo Standards'!G36</f>
        <v>4:40:05</v>
      </c>
      <c r="H5" s="46" t="str">
        <f>'All Solo Standards'!H36</f>
        <v>219.47</v>
      </c>
      <c r="I5" s="46" t="str">
        <f>'All Solo Standards'!I36</f>
        <v>363.87</v>
      </c>
      <c r="K5" s="59">
        <f>'All Solo Standards'!A64</f>
        <v>71</v>
      </c>
      <c r="L5" s="3" t="str">
        <f>'All Solo Standards'!B64</f>
        <v>29:52</v>
      </c>
      <c r="M5" s="3" t="str">
        <f>'All Solo Standards'!C64</f>
        <v>45:00</v>
      </c>
      <c r="N5" s="3" t="str">
        <f>'All Solo Standards'!D64</f>
        <v>1:15:41</v>
      </c>
      <c r="O5" s="3" t="str">
        <f>'All Solo Standards'!E64</f>
        <v>1:31:15</v>
      </c>
      <c r="P5" s="3" t="str">
        <f>'All Solo Standards'!F64</f>
        <v>2:34:58</v>
      </c>
      <c r="Q5" s="3" t="str">
        <f>'All Solo Standards'!G64</f>
        <v>5:25:35</v>
      </c>
      <c r="R5" s="47" t="str">
        <f>'All Solo Standards'!H64</f>
        <v>165.22</v>
      </c>
      <c r="S5" s="47" t="str">
        <f>'All Solo Standards'!I64</f>
        <v>257.86</v>
      </c>
    </row>
    <row r="6" spans="1:19" x14ac:dyDescent="0.25">
      <c r="A6" s="4">
        <f>'All Solo Standards'!A37</f>
        <v>44</v>
      </c>
      <c r="B6" s="3" t="str">
        <f>'All Solo Standards'!B37</f>
        <v>26:19</v>
      </c>
      <c r="C6" s="3" t="str">
        <f>'All Solo Standards'!C37</f>
        <v>39:37</v>
      </c>
      <c r="D6" s="3" t="str">
        <f>'All Solo Standards'!D37</f>
        <v>1:06:29</v>
      </c>
      <c r="E6" s="3" t="str">
        <f>'All Solo Standards'!E37</f>
        <v>1:20:04</v>
      </c>
      <c r="F6" s="3" t="str">
        <f>'All Solo Standards'!F37</f>
        <v>2:15:21</v>
      </c>
      <c r="G6" s="3" t="str">
        <f>'All Solo Standards'!G37</f>
        <v>4:40:46</v>
      </c>
      <c r="H6" s="46" t="str">
        <f>'All Solo Standards'!H37</f>
        <v>218.47</v>
      </c>
      <c r="I6" s="46" t="str">
        <f>'All Solo Standards'!I37</f>
        <v>361.89</v>
      </c>
      <c r="K6" s="59">
        <f>'All Solo Standards'!A65</f>
        <v>72</v>
      </c>
      <c r="L6" s="3" t="str">
        <f>'All Solo Standards'!B65</f>
        <v>30:05</v>
      </c>
      <c r="M6" s="3" t="str">
        <f>'All Solo Standards'!C65</f>
        <v>45:20</v>
      </c>
      <c r="N6" s="3" t="str">
        <f>'All Solo Standards'!D65</f>
        <v>1:16:16</v>
      </c>
      <c r="O6" s="3" t="str">
        <f>'All Solo Standards'!E65</f>
        <v>1:31:57</v>
      </c>
      <c r="P6" s="3" t="str">
        <f>'All Solo Standards'!F65</f>
        <v>2:36:13</v>
      </c>
      <c r="Q6" s="3" t="str">
        <f>'All Solo Standards'!G65</f>
        <v>5:28:31</v>
      </c>
      <c r="R6" s="47" t="str">
        <f>'All Solo Standards'!H65</f>
        <v>162.44</v>
      </c>
      <c r="S6" s="47" t="str">
        <f>'All Solo Standards'!I65</f>
        <v>252.53</v>
      </c>
    </row>
    <row r="7" spans="1:19" x14ac:dyDescent="0.25">
      <c r="A7" s="4">
        <f>'All Solo Standards'!A38</f>
        <v>45</v>
      </c>
      <c r="B7" s="3" t="str">
        <f>'All Solo Standards'!B38</f>
        <v>26:23</v>
      </c>
      <c r="C7" s="3" t="str">
        <f>'All Solo Standards'!C38</f>
        <v>39:43</v>
      </c>
      <c r="D7" s="3" t="str">
        <f>'All Solo Standards'!D38</f>
        <v>1:06:39</v>
      </c>
      <c r="E7" s="3" t="str">
        <f>'All Solo Standards'!E38</f>
        <v>1:20:16</v>
      </c>
      <c r="F7" s="3" t="str">
        <f>'All Solo Standards'!F38</f>
        <v>2:15:41</v>
      </c>
      <c r="G7" s="3" t="str">
        <f>'All Solo Standards'!G38</f>
        <v>4:41:31</v>
      </c>
      <c r="H7" s="46" t="str">
        <f>'All Solo Standards'!H38</f>
        <v>217.38</v>
      </c>
      <c r="I7" s="46" t="str">
        <f>'All Solo Standards'!I38</f>
        <v>359.73</v>
      </c>
      <c r="K7" s="59">
        <f>'All Solo Standards'!A66</f>
        <v>73</v>
      </c>
      <c r="L7" s="3" t="str">
        <f>'All Solo Standards'!B66</f>
        <v>30:19</v>
      </c>
      <c r="M7" s="3" t="str">
        <f>'All Solo Standards'!C66</f>
        <v>45:41</v>
      </c>
      <c r="N7" s="3" t="str">
        <f>'All Solo Standards'!D66</f>
        <v>1:16:52</v>
      </c>
      <c r="O7" s="3" t="str">
        <f>'All Solo Standards'!E66</f>
        <v>1:32:41</v>
      </c>
      <c r="P7" s="3" t="str">
        <f>'All Solo Standards'!F66</f>
        <v>2:37:31</v>
      </c>
      <c r="Q7" s="3" t="str">
        <f>'All Solo Standards'!G66</f>
        <v>5:31:35</v>
      </c>
      <c r="R7" s="47" t="str">
        <f>'All Solo Standards'!H66</f>
        <v>159.61</v>
      </c>
      <c r="S7" s="47" t="str">
        <f>'All Solo Standards'!I66</f>
        <v>247.12</v>
      </c>
    </row>
    <row r="8" spans="1:19" x14ac:dyDescent="0.25">
      <c r="A8" s="4">
        <f>'All Solo Standards'!A39</f>
        <v>46</v>
      </c>
      <c r="B8" s="3" t="str">
        <f>'All Solo Standards'!B39</f>
        <v>26:27</v>
      </c>
      <c r="C8" s="3" t="str">
        <f>'All Solo Standards'!C39</f>
        <v>39:49</v>
      </c>
      <c r="D8" s="3" t="str">
        <f>'All Solo Standards'!D39</f>
        <v>1:06:49</v>
      </c>
      <c r="E8" s="3" t="str">
        <f>'All Solo Standards'!E39</f>
        <v>1:20:28</v>
      </c>
      <c r="F8" s="3" t="str">
        <f>'All Solo Standards'!F39</f>
        <v>2:16:03</v>
      </c>
      <c r="G8" s="3" t="str">
        <f>'All Solo Standards'!G39</f>
        <v>4:42:19</v>
      </c>
      <c r="H8" s="46" t="str">
        <f>'All Solo Standards'!H39</f>
        <v>216.21</v>
      </c>
      <c r="I8" s="46" t="str">
        <f>'All Solo Standards'!I39</f>
        <v>357.41</v>
      </c>
      <c r="K8" s="59">
        <f>'All Solo Standards'!A67</f>
        <v>74</v>
      </c>
      <c r="L8" s="3" t="str">
        <f>'All Solo Standards'!B67</f>
        <v>30:33</v>
      </c>
      <c r="M8" s="3" t="str">
        <f>'All Solo Standards'!C67</f>
        <v>46:03</v>
      </c>
      <c r="N8" s="3" t="str">
        <f>'All Solo Standards'!D67</f>
        <v>1:17:30</v>
      </c>
      <c r="O8" s="3" t="str">
        <f>'All Solo Standards'!E67</f>
        <v>1:33:27</v>
      </c>
      <c r="P8" s="3" t="str">
        <f>'All Solo Standards'!F67</f>
        <v>2:38:52</v>
      </c>
      <c r="Q8" s="3" t="str">
        <f>'All Solo Standards'!G67</f>
        <v>5:34:47</v>
      </c>
      <c r="R8" s="47" t="str">
        <f>'All Solo Standards'!H67</f>
        <v>156.72</v>
      </c>
      <c r="S8" s="47" t="str">
        <f>'All Solo Standards'!I67</f>
        <v>241.61</v>
      </c>
    </row>
    <row r="9" spans="1:19" x14ac:dyDescent="0.25">
      <c r="A9" s="4">
        <f>'All Solo Standards'!A40</f>
        <v>47</v>
      </c>
      <c r="B9" s="3" t="str">
        <f>'All Solo Standards'!B40</f>
        <v>26:31</v>
      </c>
      <c r="C9" s="3" t="str">
        <f>'All Solo Standards'!C40</f>
        <v>39:55</v>
      </c>
      <c r="D9" s="3" t="str">
        <f>'All Solo Standards'!D40</f>
        <v>1:07:00</v>
      </c>
      <c r="E9" s="3" t="str">
        <f>'All Solo Standards'!E40</f>
        <v>1:20:42</v>
      </c>
      <c r="F9" s="3" t="str">
        <f>'All Solo Standards'!F40</f>
        <v>2:16:27</v>
      </c>
      <c r="G9" s="3" t="str">
        <f>'All Solo Standards'!G40</f>
        <v>4:43:12</v>
      </c>
      <c r="H9" s="46" t="str">
        <f>'All Solo Standards'!H40</f>
        <v>214.95</v>
      </c>
      <c r="I9" s="46" t="str">
        <f>'All Solo Standards'!I40</f>
        <v>354.92</v>
      </c>
      <c r="K9" s="59">
        <f>'All Solo Standards'!A68</f>
        <v>75</v>
      </c>
      <c r="L9" s="3" t="str">
        <f>'All Solo Standards'!B68</f>
        <v>30:48</v>
      </c>
      <c r="M9" s="3" t="str">
        <f>'All Solo Standards'!C68</f>
        <v>46:26</v>
      </c>
      <c r="N9" s="3" t="str">
        <f>'All Solo Standards'!D68</f>
        <v>1:18:09</v>
      </c>
      <c r="O9" s="3" t="str">
        <f>'All Solo Standards'!E68</f>
        <v>1:34:15</v>
      </c>
      <c r="P9" s="3" t="str">
        <f>'All Solo Standards'!F68</f>
        <v>2:40:17</v>
      </c>
      <c r="Q9" s="3" t="str">
        <f>'All Solo Standards'!G68</f>
        <v>5:38:09</v>
      </c>
      <c r="R9" s="47" t="str">
        <f>'All Solo Standards'!H68</f>
        <v>153.79</v>
      </c>
      <c r="S9" s="47" t="str">
        <f>'All Solo Standards'!I68</f>
        <v>236.01</v>
      </c>
    </row>
    <row r="10" spans="1:19" x14ac:dyDescent="0.25">
      <c r="A10" s="4">
        <f>'All Solo Standards'!A41</f>
        <v>48</v>
      </c>
      <c r="B10" s="3" t="str">
        <f>'All Solo Standards'!B41</f>
        <v>26:36</v>
      </c>
      <c r="C10" s="3" t="str">
        <f>'All Solo Standards'!C41</f>
        <v>40:02</v>
      </c>
      <c r="D10" s="3" t="str">
        <f>'All Solo Standards'!D41</f>
        <v>1:07:12</v>
      </c>
      <c r="E10" s="3" t="str">
        <f>'All Solo Standards'!E41</f>
        <v>1:20:56</v>
      </c>
      <c r="F10" s="3" t="str">
        <f>'All Solo Standards'!F41</f>
        <v>2:16:52</v>
      </c>
      <c r="G10" s="3" t="str">
        <f>'All Solo Standards'!G41</f>
        <v>4:44:08</v>
      </c>
      <c r="H10" s="46" t="str">
        <f>'All Solo Standards'!H41</f>
        <v>213.62</v>
      </c>
      <c r="I10" s="46" t="str">
        <f>'All Solo Standards'!I41</f>
        <v>352.28</v>
      </c>
      <c r="K10" s="59">
        <f>'All Solo Standards'!A69</f>
        <v>76</v>
      </c>
      <c r="L10" s="3" t="str">
        <f>'All Solo Standards'!B69</f>
        <v>31:04</v>
      </c>
      <c r="M10" s="3" t="str">
        <f>'All Solo Standards'!C69</f>
        <v>46:50</v>
      </c>
      <c r="N10" s="3" t="str">
        <f>'All Solo Standards'!D69</f>
        <v>1:18:50</v>
      </c>
      <c r="O10" s="3" t="str">
        <f>'All Solo Standards'!E69</f>
        <v>1:35:05</v>
      </c>
      <c r="P10" s="3" t="str">
        <f>'All Solo Standards'!F69</f>
        <v>2:41:46</v>
      </c>
      <c r="Q10" s="3" t="str">
        <f>'All Solo Standards'!G69</f>
        <v>5:41:40</v>
      </c>
      <c r="R10" s="47" t="str">
        <f>'All Solo Standards'!H69</f>
        <v>150.79</v>
      </c>
      <c r="S10" s="47" t="str">
        <f>'All Solo Standards'!I69</f>
        <v>230.33</v>
      </c>
    </row>
    <row r="11" spans="1:19" x14ac:dyDescent="0.25">
      <c r="A11" s="4">
        <f>'All Solo Standards'!A42</f>
        <v>49</v>
      </c>
      <c r="B11" s="45" t="str">
        <f>'All Solo Standards'!B42</f>
        <v>26:41</v>
      </c>
      <c r="C11" s="45" t="str">
        <f>'All Solo Standards'!C42</f>
        <v>40:10</v>
      </c>
      <c r="D11" s="45" t="str">
        <f>'All Solo Standards'!D42</f>
        <v>1:07:25</v>
      </c>
      <c r="E11" s="45" t="str">
        <f>'All Solo Standards'!E42</f>
        <v>1:21:12</v>
      </c>
      <c r="F11" s="45" t="str">
        <f>'All Solo Standards'!F42</f>
        <v>2:17:19</v>
      </c>
      <c r="G11" s="45" t="str">
        <f>'All Solo Standards'!G42</f>
        <v>4:45:08</v>
      </c>
      <c r="H11" s="48" t="str">
        <f>'All Solo Standards'!H42</f>
        <v>212.21</v>
      </c>
      <c r="I11" s="48" t="str">
        <f>'All Solo Standards'!I42</f>
        <v>349.48</v>
      </c>
      <c r="K11" s="59">
        <f>'All Solo Standards'!A70</f>
        <v>77</v>
      </c>
      <c r="L11" s="3" t="str">
        <f>'All Solo Standards'!B70</f>
        <v>31:20</v>
      </c>
      <c r="M11" s="3" t="str">
        <f>'All Solo Standards'!C70</f>
        <v>47:14</v>
      </c>
      <c r="N11" s="3" t="str">
        <f>'All Solo Standards'!D70</f>
        <v>1:19:32</v>
      </c>
      <c r="O11" s="3" t="str">
        <f>'All Solo Standards'!E70</f>
        <v>1:35:57</v>
      </c>
      <c r="P11" s="3" t="str">
        <f>'All Solo Standards'!F70</f>
        <v>2:43:19</v>
      </c>
      <c r="Q11" s="3" t="str">
        <f>'All Solo Standards'!G70</f>
        <v>5:45:22</v>
      </c>
      <c r="R11" s="47" t="str">
        <f>'All Solo Standards'!H70</f>
        <v>147.75</v>
      </c>
      <c r="S11" s="47" t="str">
        <f>'All Solo Standards'!I70</f>
        <v>224.55</v>
      </c>
    </row>
    <row r="12" spans="1:19" x14ac:dyDescent="0.25">
      <c r="A12" s="4">
        <f>'All Solo Standards'!A43</f>
        <v>50</v>
      </c>
      <c r="B12" s="3" t="str">
        <f>'All Solo Standards'!B43</f>
        <v>26:46</v>
      </c>
      <c r="C12" s="3" t="str">
        <f>'All Solo Standards'!C43</f>
        <v>40:18</v>
      </c>
      <c r="D12" s="3" t="str">
        <f>'All Solo Standards'!D43</f>
        <v>1:07:38</v>
      </c>
      <c r="E12" s="3" t="str">
        <f>'All Solo Standards'!E43</f>
        <v>1:21:28</v>
      </c>
      <c r="F12" s="3" t="str">
        <f>'All Solo Standards'!F43</f>
        <v>2:17:47</v>
      </c>
      <c r="G12" s="3" t="str">
        <f>'All Solo Standards'!G43</f>
        <v>4:46:12</v>
      </c>
      <c r="H12" s="46" t="str">
        <f>'All Solo Standards'!H43</f>
        <v>210.72</v>
      </c>
      <c r="I12" s="46" t="str">
        <f>'All Solo Standards'!I43</f>
        <v>346.55</v>
      </c>
      <c r="K12" s="59">
        <f>'All Solo Standards'!A71</f>
        <v>78</v>
      </c>
      <c r="L12" s="3" t="str">
        <f>'All Solo Standards'!B71</f>
        <v>31:37</v>
      </c>
      <c r="M12" s="3" t="str">
        <f>'All Solo Standards'!C71</f>
        <v>47:40</v>
      </c>
      <c r="N12" s="3" t="str">
        <f>'All Solo Standards'!D71</f>
        <v>1:20:17</v>
      </c>
      <c r="O12" s="3" t="str">
        <f>'All Solo Standards'!E71</f>
        <v>1:36:51</v>
      </c>
      <c r="P12" s="3" t="str">
        <f>'All Solo Standards'!F71</f>
        <v>2:44:55</v>
      </c>
      <c r="Q12" s="3" t="str">
        <f>'All Solo Standards'!G71</f>
        <v>5:49:15</v>
      </c>
      <c r="R12" s="47" t="str">
        <f>'All Solo Standards'!H71</f>
        <v>144.64</v>
      </c>
      <c r="S12" s="47" t="str">
        <f>'All Solo Standards'!I71</f>
        <v>218.68</v>
      </c>
    </row>
    <row r="13" spans="1:19" x14ac:dyDescent="0.25">
      <c r="A13" s="4">
        <f>'All Solo Standards'!A44</f>
        <v>51</v>
      </c>
      <c r="B13" s="3" t="str">
        <f>'All Solo Standards'!B44</f>
        <v>26:51</v>
      </c>
      <c r="C13" s="3" t="str">
        <f>'All Solo Standards'!C44</f>
        <v>40:26</v>
      </c>
      <c r="D13" s="3" t="str">
        <f>'All Solo Standards'!D44</f>
        <v>1:07:53</v>
      </c>
      <c r="E13" s="3" t="str">
        <f>'All Solo Standards'!E44</f>
        <v>1:21:45</v>
      </c>
      <c r="F13" s="3" t="str">
        <f>'All Solo Standards'!F44</f>
        <v>2:18:17</v>
      </c>
      <c r="G13" s="3" t="str">
        <f>'All Solo Standards'!G44</f>
        <v>4:47:20</v>
      </c>
      <c r="H13" s="46" t="str">
        <f>'All Solo Standards'!H44</f>
        <v>209.17</v>
      </c>
      <c r="I13" s="46" t="str">
        <f>'All Solo Standards'!I44</f>
        <v>343.48</v>
      </c>
      <c r="K13" s="59">
        <f>'All Solo Standards'!A72</f>
        <v>79</v>
      </c>
      <c r="L13" s="45" t="str">
        <f>'All Solo Standards'!B72</f>
        <v>31:55</v>
      </c>
      <c r="M13" s="45" t="str">
        <f>'All Solo Standards'!C72</f>
        <v>48:07</v>
      </c>
      <c r="N13" s="45" t="str">
        <f>'All Solo Standards'!D72</f>
        <v>1:21:03</v>
      </c>
      <c r="O13" s="45" t="str">
        <f>'All Solo Standards'!E72</f>
        <v>1:37:47</v>
      </c>
      <c r="P13" s="45" t="str">
        <f>'All Solo Standards'!F72</f>
        <v>2:46:37</v>
      </c>
      <c r="Q13" s="45" t="str">
        <f>'All Solo Standards'!G72</f>
        <v>5:53:19</v>
      </c>
      <c r="R13" s="49" t="str">
        <f>'All Solo Standards'!H72</f>
        <v>141.48</v>
      </c>
      <c r="S13" s="49" t="str">
        <f>'All Solo Standards'!I72</f>
        <v>212.73</v>
      </c>
    </row>
    <row r="14" spans="1:19" x14ac:dyDescent="0.25">
      <c r="A14" s="4">
        <f>'All Solo Standards'!A45</f>
        <v>52</v>
      </c>
      <c r="B14" s="3" t="str">
        <f>'All Solo Standards'!B45</f>
        <v>26:57</v>
      </c>
      <c r="C14" s="3" t="str">
        <f>'All Solo Standards'!C45</f>
        <v>40:35</v>
      </c>
      <c r="D14" s="3" t="str">
        <f>'All Solo Standards'!D45</f>
        <v>1:08:08</v>
      </c>
      <c r="E14" s="3" t="str">
        <f>'All Solo Standards'!E45</f>
        <v>1:22:03</v>
      </c>
      <c r="F14" s="3" t="str">
        <f>'All Solo Standards'!F45</f>
        <v>2:18:49</v>
      </c>
      <c r="G14" s="3" t="str">
        <f>'All Solo Standards'!G45</f>
        <v>4:48:31</v>
      </c>
      <c r="H14" s="46" t="str">
        <f>'All Solo Standards'!H45</f>
        <v>207.54</v>
      </c>
      <c r="I14" s="46" t="str">
        <f>'All Solo Standards'!I45</f>
        <v>340.27</v>
      </c>
      <c r="K14" s="59">
        <f>'All Solo Standards'!A73</f>
        <v>80</v>
      </c>
      <c r="L14" s="3" t="str">
        <f>'All Solo Standards'!B73</f>
        <v>32:13</v>
      </c>
      <c r="M14" s="3" t="str">
        <f>'All Solo Standards'!C73</f>
        <v>48:35</v>
      </c>
      <c r="N14" s="3" t="str">
        <f>'All Solo Standards'!D73</f>
        <v>1:21:52</v>
      </c>
      <c r="O14" s="3" t="str">
        <f>'All Solo Standards'!E73</f>
        <v>1:38:47</v>
      </c>
      <c r="P14" s="3" t="str">
        <f>'All Solo Standards'!F73</f>
        <v>2:48:23</v>
      </c>
      <c r="Q14" s="3" t="str">
        <f>'All Solo Standards'!G73</f>
        <v>5:57:37</v>
      </c>
      <c r="R14" s="47" t="str">
        <f>'All Solo Standards'!H73</f>
        <v>138.27</v>
      </c>
      <c r="S14" s="47" t="str">
        <f>'All Solo Standards'!I73</f>
        <v>206.68</v>
      </c>
    </row>
    <row r="15" spans="1:19" x14ac:dyDescent="0.25">
      <c r="A15" s="4">
        <f>'All Solo Standards'!A46</f>
        <v>53</v>
      </c>
      <c r="B15" s="3" t="str">
        <f>'All Solo Standards'!B46</f>
        <v>27:03</v>
      </c>
      <c r="C15" s="3" t="str">
        <f>'All Solo Standards'!C46</f>
        <v>40:44</v>
      </c>
      <c r="D15" s="3" t="str">
        <f>'All Solo Standards'!D46</f>
        <v>1:08:24</v>
      </c>
      <c r="E15" s="3" t="str">
        <f>'All Solo Standards'!E46</f>
        <v>1:22:23</v>
      </c>
      <c r="F15" s="3" t="str">
        <f>'All Solo Standards'!F46</f>
        <v>2:19:23</v>
      </c>
      <c r="G15" s="3" t="str">
        <f>'All Solo Standards'!G46</f>
        <v>4:49:47</v>
      </c>
      <c r="H15" s="46" t="str">
        <f>'All Solo Standards'!H46</f>
        <v>205.85</v>
      </c>
      <c r="I15" s="46" t="str">
        <f>'All Solo Standards'!I46</f>
        <v>336.93</v>
      </c>
      <c r="K15" s="59">
        <f>'All Solo Standards'!A74</f>
        <v>81</v>
      </c>
      <c r="L15" s="3" t="str">
        <f>'All Solo Standards'!B74</f>
        <v>32:32</v>
      </c>
      <c r="M15" s="3" t="str">
        <f>'All Solo Standards'!C74</f>
        <v>49:04</v>
      </c>
      <c r="N15" s="3" t="str">
        <f>'All Solo Standards'!D74</f>
        <v>1:22:42</v>
      </c>
      <c r="O15" s="3" t="str">
        <f>'All Solo Standards'!E74</f>
        <v>1:39:48</v>
      </c>
      <c r="P15" s="3" t="str">
        <f>'All Solo Standards'!F74</f>
        <v>2:50:14</v>
      </c>
      <c r="Q15" s="3" t="str">
        <f>'All Solo Standards'!G74</f>
        <v>6:02:09</v>
      </c>
      <c r="R15" s="47" t="str">
        <f>'All Solo Standards'!H74</f>
        <v>135.00</v>
      </c>
      <c r="S15" s="47" t="str">
        <f>'All Solo Standards'!I74</f>
        <v>200.54</v>
      </c>
    </row>
    <row r="16" spans="1:19" x14ac:dyDescent="0.25">
      <c r="A16" s="4">
        <f>'All Solo Standards'!A47</f>
        <v>54</v>
      </c>
      <c r="B16" s="3" t="str">
        <f>'All Solo Standards'!B47</f>
        <v>27:10</v>
      </c>
      <c r="C16" s="3" t="str">
        <f>'All Solo Standards'!C47</f>
        <v>40:54</v>
      </c>
      <c r="D16" s="3" t="str">
        <f>'All Solo Standards'!D47</f>
        <v>1:08:40</v>
      </c>
      <c r="E16" s="3" t="str">
        <f>'All Solo Standards'!E47</f>
        <v>1:22:43</v>
      </c>
      <c r="F16" s="3" t="str">
        <f>'All Solo Standards'!F47</f>
        <v>2:19:58</v>
      </c>
      <c r="G16" s="3" t="str">
        <f>'All Solo Standards'!G47</f>
        <v>4:51:06</v>
      </c>
      <c r="H16" s="46" t="str">
        <f>'All Solo Standards'!H47</f>
        <v>204.09</v>
      </c>
      <c r="I16" s="46" t="str">
        <f>'All Solo Standards'!I47</f>
        <v>333.46</v>
      </c>
      <c r="K16" s="59">
        <f>'All Solo Standards'!A75</f>
        <v>82</v>
      </c>
      <c r="L16" s="3" t="str">
        <f>'All Solo Standards'!B75</f>
        <v>32:52</v>
      </c>
      <c r="M16" s="3" t="str">
        <f>'All Solo Standards'!C75</f>
        <v>49:35</v>
      </c>
      <c r="N16" s="3" t="str">
        <f>'All Solo Standards'!D75</f>
        <v>1:23:35</v>
      </c>
      <c r="O16" s="3" t="str">
        <f>'All Solo Standards'!E75</f>
        <v>1:40:53</v>
      </c>
      <c r="P16" s="3" t="str">
        <f>'All Solo Standards'!F75</f>
        <v>2:52:11</v>
      </c>
      <c r="Q16" s="3" t="str">
        <f>'All Solo Standards'!G75</f>
        <v>6:06:56</v>
      </c>
      <c r="R16" s="47" t="str">
        <f>'All Solo Standards'!H75</f>
        <v>131.66</v>
      </c>
      <c r="S16" s="47" t="str">
        <f>'All Solo Standards'!I75</f>
        <v>194.32</v>
      </c>
    </row>
    <row r="17" spans="1:20" x14ac:dyDescent="0.25">
      <c r="A17" s="4">
        <f>'All Solo Standards'!A48</f>
        <v>55</v>
      </c>
      <c r="B17" s="3" t="str">
        <f>'All Solo Standards'!B48</f>
        <v>27:17</v>
      </c>
      <c r="C17" s="3" t="str">
        <f>'All Solo Standards'!C48</f>
        <v>41:04</v>
      </c>
      <c r="D17" s="3" t="str">
        <f>'All Solo Standards'!D48</f>
        <v>1:08:58</v>
      </c>
      <c r="E17" s="3" t="str">
        <f>'All Solo Standards'!E48</f>
        <v>1:23:04</v>
      </c>
      <c r="F17" s="3" t="str">
        <f>'All Solo Standards'!F48</f>
        <v>2:20:35</v>
      </c>
      <c r="G17" s="3" t="str">
        <f>'All Solo Standards'!G48</f>
        <v>4:52:30</v>
      </c>
      <c r="H17" s="46" t="str">
        <f>'All Solo Standards'!H48</f>
        <v>202.26</v>
      </c>
      <c r="I17" s="46" t="str">
        <f>'All Solo Standards'!I48</f>
        <v>329.87</v>
      </c>
      <c r="K17" s="59">
        <f>'All Solo Standards'!A76</f>
        <v>83</v>
      </c>
      <c r="L17" s="3" t="str">
        <f>'All Solo Standards'!B76</f>
        <v>33:13</v>
      </c>
      <c r="M17" s="3" t="str">
        <f>'All Solo Standards'!C76</f>
        <v>50:07</v>
      </c>
      <c r="N17" s="3" t="str">
        <f>'All Solo Standards'!D76</f>
        <v>1:24:31</v>
      </c>
      <c r="O17" s="3" t="str">
        <f>'All Solo Standards'!E76</f>
        <v>1:42:01</v>
      </c>
      <c r="P17" s="3" t="str">
        <f>'All Solo Standards'!F76</f>
        <v>2:54:13</v>
      </c>
      <c r="Q17" s="3" t="str">
        <f>'All Solo Standards'!G76</f>
        <v>6:11:59</v>
      </c>
      <c r="R17" s="47" t="str">
        <f>'All Solo Standards'!H76</f>
        <v>128.27</v>
      </c>
      <c r="S17" s="47" t="str">
        <f>'All Solo Standards'!I76</f>
        <v>188.00</v>
      </c>
    </row>
    <row r="18" spans="1:20" x14ac:dyDescent="0.25">
      <c r="A18" s="4">
        <f>'All Solo Standards'!A49</f>
        <v>56</v>
      </c>
      <c r="B18" s="3" t="str">
        <f>'All Solo Standards'!B49</f>
        <v>27:24</v>
      </c>
      <c r="C18" s="3" t="str">
        <f>'All Solo Standards'!C49</f>
        <v>41:15</v>
      </c>
      <c r="D18" s="3" t="str">
        <f>'All Solo Standards'!D49</f>
        <v>1:09:16</v>
      </c>
      <c r="E18" s="3" t="str">
        <f>'All Solo Standards'!E49</f>
        <v>1:23:26</v>
      </c>
      <c r="F18" s="3" t="str">
        <f>'All Solo Standards'!F49</f>
        <v>2:21:14</v>
      </c>
      <c r="G18" s="3" t="str">
        <f>'All Solo Standards'!G49</f>
        <v>4:53:57</v>
      </c>
      <c r="H18" s="46" t="str">
        <f>'All Solo Standards'!H49</f>
        <v>200.38</v>
      </c>
      <c r="I18" s="46" t="str">
        <f>'All Solo Standards'!I49</f>
        <v>326.17</v>
      </c>
      <c r="K18" s="59">
        <f>'All Solo Standards'!A77</f>
        <v>84</v>
      </c>
      <c r="L18" s="3" t="str">
        <f>'All Solo Standards'!B77</f>
        <v>33:35</v>
      </c>
      <c r="M18" s="3" t="str">
        <f>'All Solo Standards'!C77</f>
        <v>50:41</v>
      </c>
      <c r="N18" s="3" t="str">
        <f>'All Solo Standards'!D77</f>
        <v>1:25:29</v>
      </c>
      <c r="O18" s="3" t="str">
        <f>'All Solo Standards'!E77</f>
        <v>1:43:13</v>
      </c>
      <c r="P18" s="3" t="str">
        <f>'All Solo Standards'!F77</f>
        <v>2:56:22</v>
      </c>
      <c r="Q18" s="3" t="str">
        <f>'All Solo Standards'!G77</f>
        <v>6:17:20</v>
      </c>
      <c r="R18" s="47" t="str">
        <f>'All Solo Standards'!H77</f>
        <v>124.82</v>
      </c>
      <c r="S18" s="47" t="str">
        <f>'All Solo Standards'!I77</f>
        <v>181.59</v>
      </c>
    </row>
    <row r="19" spans="1:20" x14ac:dyDescent="0.25">
      <c r="A19" s="4">
        <f>'All Solo Standards'!A50</f>
        <v>57</v>
      </c>
      <c r="B19" s="3" t="str">
        <f>'All Solo Standards'!B50</f>
        <v>27:31</v>
      </c>
      <c r="C19" s="3" t="str">
        <f>'All Solo Standards'!C50</f>
        <v>41:26</v>
      </c>
      <c r="D19" s="3" t="str">
        <f>'All Solo Standards'!D50</f>
        <v>1:09:35</v>
      </c>
      <c r="E19" s="3" t="str">
        <f>'All Solo Standards'!E50</f>
        <v>1:23:49</v>
      </c>
      <c r="F19" s="3" t="str">
        <f>'All Solo Standards'!F50</f>
        <v>2:21:54</v>
      </c>
      <c r="G19" s="3" t="str">
        <f>'All Solo Standards'!G50</f>
        <v>4:55:29</v>
      </c>
      <c r="H19" s="46" t="str">
        <f>'All Solo Standards'!H50</f>
        <v>198.43</v>
      </c>
      <c r="I19" s="46" t="str">
        <f>'All Solo Standards'!I50</f>
        <v>322.34</v>
      </c>
      <c r="K19" s="59">
        <f>'All Solo Standards'!A78</f>
        <v>85</v>
      </c>
      <c r="L19" s="3" t="str">
        <f>'All Solo Standards'!B78</f>
        <v>33:58</v>
      </c>
      <c r="M19" s="3" t="str">
        <f>'All Solo Standards'!C78</f>
        <v>51:16</v>
      </c>
      <c r="N19" s="3" t="str">
        <f>'All Solo Standards'!D78</f>
        <v>1:26:30</v>
      </c>
      <c r="O19" s="3" t="str">
        <f>'All Solo Standards'!E78</f>
        <v>1:44:27</v>
      </c>
      <c r="P19" s="3" t="str">
        <f>'All Solo Standards'!F78</f>
        <v>2:58:38</v>
      </c>
      <c r="Q19" s="3" t="str">
        <f>'All Solo Standards'!G78</f>
        <v>6:23:01</v>
      </c>
      <c r="R19" s="47" t="str">
        <f>'All Solo Standards'!H78</f>
        <v>121.31</v>
      </c>
      <c r="S19" s="47" t="str">
        <f>'All Solo Standards'!I78</f>
        <v>175.09</v>
      </c>
    </row>
    <row r="20" spans="1:20" x14ac:dyDescent="0.25">
      <c r="A20" s="4">
        <f>'All Solo Standards'!A51</f>
        <v>58</v>
      </c>
      <c r="B20" s="3" t="str">
        <f>'All Solo Standards'!B51</f>
        <v>27:39</v>
      </c>
      <c r="C20" s="3" t="str">
        <f>'All Solo Standards'!C51</f>
        <v>41:37</v>
      </c>
      <c r="D20" s="3" t="str">
        <f>'All Solo Standards'!D51</f>
        <v>1:09:55</v>
      </c>
      <c r="E20" s="3" t="str">
        <f>'All Solo Standards'!E51</f>
        <v>1:24:13</v>
      </c>
      <c r="F20" s="3" t="str">
        <f>'All Solo Standards'!F51</f>
        <v>2:22:36</v>
      </c>
      <c r="G20" s="3" t="str">
        <f>'All Solo Standards'!G51</f>
        <v>4:57:05</v>
      </c>
      <c r="H20" s="46" t="str">
        <f>'All Solo Standards'!H51</f>
        <v>196.42</v>
      </c>
      <c r="I20" s="46" t="str">
        <f>'All Solo Standards'!I51</f>
        <v>318.41</v>
      </c>
      <c r="K20" s="59">
        <f>'All Solo Standards'!A79</f>
        <v>86</v>
      </c>
      <c r="L20" s="3" t="str">
        <f>'All Solo Standards'!B79</f>
        <v>34:22</v>
      </c>
      <c r="M20" s="3" t="str">
        <f>'All Solo Standards'!C79</f>
        <v>51:53</v>
      </c>
      <c r="N20" s="3" t="str">
        <f>'All Solo Standards'!D79</f>
        <v>1:27:35</v>
      </c>
      <c r="O20" s="3" t="str">
        <f>'All Solo Standards'!E79</f>
        <v>1:45:46</v>
      </c>
      <c r="P20" s="3" t="str">
        <f>'All Solo Standards'!F79</f>
        <v>3:01:01</v>
      </c>
      <c r="Q20" s="3" t="str">
        <f>'All Solo Standards'!G79</f>
        <v>6:29:03</v>
      </c>
      <c r="R20" s="47" t="str">
        <f>'All Solo Standards'!H79</f>
        <v>117.73</v>
      </c>
      <c r="S20" s="47" t="str">
        <f>'All Solo Standards'!I79</f>
        <v>168.49</v>
      </c>
    </row>
    <row r="21" spans="1:20" x14ac:dyDescent="0.25">
      <c r="A21" s="4">
        <f>'All Solo Standards'!A52</f>
        <v>59</v>
      </c>
      <c r="B21" s="45" t="str">
        <f>'All Solo Standards'!B52</f>
        <v>27:47</v>
      </c>
      <c r="C21" s="45" t="str">
        <f>'All Solo Standards'!C52</f>
        <v>41:50</v>
      </c>
      <c r="D21" s="45" t="str">
        <f>'All Solo Standards'!D52</f>
        <v>1:10:16</v>
      </c>
      <c r="E21" s="45" t="str">
        <f>'All Solo Standards'!E52</f>
        <v>1:24:39</v>
      </c>
      <c r="F21" s="45" t="str">
        <f>'All Solo Standards'!F52</f>
        <v>2:23:20</v>
      </c>
      <c r="G21" s="45" t="str">
        <f>'All Solo Standards'!G52</f>
        <v>4:58:45</v>
      </c>
      <c r="H21" s="48" t="str">
        <f>'All Solo Standards'!H52</f>
        <v>194.35</v>
      </c>
      <c r="I21" s="48" t="str">
        <f>'All Solo Standards'!I52</f>
        <v>314.36</v>
      </c>
      <c r="K21" s="59">
        <f>'All Solo Standards'!A80</f>
        <v>87</v>
      </c>
      <c r="L21" s="3" t="str">
        <f>'All Solo Standards'!B80</f>
        <v>34:48</v>
      </c>
      <c r="M21" s="3" t="str">
        <f>'All Solo Standards'!C80</f>
        <v>52:32</v>
      </c>
      <c r="N21" s="3" t="str">
        <f>'All Solo Standards'!D80</f>
        <v>1:28:42</v>
      </c>
      <c r="O21" s="3" t="str">
        <f>'All Solo Standards'!E80</f>
        <v>1:47:09</v>
      </c>
      <c r="P21" s="3" t="str">
        <f>'All Solo Standards'!F80</f>
        <v>3:03:32</v>
      </c>
      <c r="Q21" s="3" t="str">
        <f>'All Solo Standards'!G80</f>
        <v>6:35:29</v>
      </c>
      <c r="R21" s="47" t="str">
        <f>'All Solo Standards'!H80</f>
        <v>114.08</v>
      </c>
      <c r="S21" s="47" t="str">
        <f>'All Solo Standards'!I80</f>
        <v>161.81</v>
      </c>
    </row>
    <row r="22" spans="1:20" x14ac:dyDescent="0.25">
      <c r="A22" s="4">
        <f>'All Solo Standards'!A53</f>
        <v>60</v>
      </c>
      <c r="B22" s="3" t="str">
        <f>'All Solo Standards'!B53</f>
        <v>27:55</v>
      </c>
      <c r="C22" s="3" t="str">
        <f>'All Solo Standards'!C53</f>
        <v>42:02</v>
      </c>
      <c r="D22" s="3" t="str">
        <f>'All Solo Standards'!D53</f>
        <v>1:10:37</v>
      </c>
      <c r="E22" s="3" t="str">
        <f>'All Solo Standards'!E53</f>
        <v>1:25:05</v>
      </c>
      <c r="F22" s="3" t="str">
        <f>'All Solo Standards'!F53</f>
        <v>2:24:06</v>
      </c>
      <c r="G22" s="3" t="str">
        <f>'All Solo Standards'!G53</f>
        <v>5:00:30</v>
      </c>
      <c r="H22" s="46" t="str">
        <f>'All Solo Standards'!H53</f>
        <v>192.23</v>
      </c>
      <c r="I22" s="46" t="str">
        <f>'All Solo Standards'!I53</f>
        <v>310.20</v>
      </c>
      <c r="K22" s="59">
        <f>'All Solo Standards'!A81</f>
        <v>88</v>
      </c>
      <c r="L22" s="3" t="str">
        <f>'All Solo Standards'!B81</f>
        <v>35:15</v>
      </c>
      <c r="M22" s="3" t="str">
        <f>'All Solo Standards'!C81</f>
        <v>53:13</v>
      </c>
      <c r="N22" s="3" t="str">
        <f>'All Solo Standards'!D81</f>
        <v>1:29:54</v>
      </c>
      <c r="O22" s="3" t="str">
        <f>'All Solo Standards'!E81</f>
        <v>1:48:37</v>
      </c>
      <c r="P22" s="3" t="str">
        <f>'All Solo Standards'!F81</f>
        <v>3:06:13</v>
      </c>
      <c r="Q22" s="3" t="str">
        <f>'All Solo Standards'!G81</f>
        <v>6:42:21</v>
      </c>
      <c r="R22" s="47" t="str">
        <f>'All Solo Standards'!H81</f>
        <v>110.37</v>
      </c>
      <c r="S22" s="47" t="str">
        <f>'All Solo Standards'!I81</f>
        <v>155.02</v>
      </c>
    </row>
    <row r="23" spans="1:20" x14ac:dyDescent="0.25">
      <c r="A23" s="4">
        <f>'All Solo Standards'!A54</f>
        <v>61</v>
      </c>
      <c r="B23" s="3" t="str">
        <f>'All Solo Standards'!B54</f>
        <v>28:04</v>
      </c>
      <c r="C23" s="3" t="str">
        <f>'All Solo Standards'!C54</f>
        <v>42:16</v>
      </c>
      <c r="D23" s="3" t="str">
        <f>'All Solo Standards'!D54</f>
        <v>1:11:00</v>
      </c>
      <c r="E23" s="3" t="str">
        <f>'All Solo Standards'!E54</f>
        <v>1:25:32</v>
      </c>
      <c r="F23" s="3" t="str">
        <f>'All Solo Standards'!F54</f>
        <v>2:24:54</v>
      </c>
      <c r="G23" s="3" t="str">
        <f>'All Solo Standards'!G54</f>
        <v>5:02:19</v>
      </c>
      <c r="H23" s="46" t="str">
        <f>'All Solo Standards'!H54</f>
        <v>190.05</v>
      </c>
      <c r="I23" s="46" t="str">
        <f>'All Solo Standards'!I54</f>
        <v>305.94</v>
      </c>
      <c r="K23" s="59">
        <f>'All Solo Standards'!A82</f>
        <v>89</v>
      </c>
      <c r="L23" s="45" t="str">
        <f>'All Solo Standards'!B82</f>
        <v>35:43</v>
      </c>
      <c r="M23" s="45" t="str">
        <f>'All Solo Standards'!C82</f>
        <v>53:56</v>
      </c>
      <c r="N23" s="45" t="str">
        <f>'All Solo Standards'!D82</f>
        <v>1:31:09</v>
      </c>
      <c r="O23" s="45" t="str">
        <f>'All Solo Standards'!E82</f>
        <v>1:50:09</v>
      </c>
      <c r="P23" s="45" t="str">
        <f>'All Solo Standards'!F82</f>
        <v>3:09:02</v>
      </c>
      <c r="Q23" s="45" t="str">
        <f>'All Solo Standards'!G82</f>
        <v>6:49:43</v>
      </c>
      <c r="R23" s="49" t="str">
        <f>'All Solo Standards'!H82</f>
        <v>106.59</v>
      </c>
      <c r="S23" s="49" t="str">
        <f>'All Solo Standards'!I82</f>
        <v>148.14</v>
      </c>
    </row>
    <row r="24" spans="1:20" x14ac:dyDescent="0.25">
      <c r="A24" s="4">
        <f>'All Solo Standards'!A55</f>
        <v>62</v>
      </c>
      <c r="B24" s="3" t="str">
        <f>'All Solo Standards'!B55</f>
        <v>28:13</v>
      </c>
      <c r="C24" s="3" t="str">
        <f>'All Solo Standards'!C55</f>
        <v>42:29</v>
      </c>
      <c r="D24" s="3" t="str">
        <f>'All Solo Standards'!D55</f>
        <v>1:11:23</v>
      </c>
      <c r="E24" s="3" t="str">
        <f>'All Solo Standards'!E55</f>
        <v>1:26:01</v>
      </c>
      <c r="F24" s="3" t="str">
        <f>'All Solo Standards'!F55</f>
        <v>2:25:44</v>
      </c>
      <c r="G24" s="3" t="str">
        <f>'All Solo Standards'!G55</f>
        <v>5:04:14</v>
      </c>
      <c r="H24" s="46" t="str">
        <f>'All Solo Standards'!H55</f>
        <v>187.81</v>
      </c>
      <c r="I24" s="46" t="str">
        <f>'All Solo Standards'!I55</f>
        <v>301.57</v>
      </c>
      <c r="K24" s="59">
        <f>'All Solo Standards'!A83</f>
        <v>90</v>
      </c>
      <c r="L24" s="3" t="str">
        <f>'All Solo Standards'!B83</f>
        <v>36:12</v>
      </c>
      <c r="M24" s="3" t="str">
        <f>'All Solo Standards'!C83</f>
        <v>54:42</v>
      </c>
      <c r="N24" s="3" t="str">
        <f>'All Solo Standards'!D83</f>
        <v>1:32:29</v>
      </c>
      <c r="O24" s="3" t="str">
        <f>'All Solo Standards'!E83</f>
        <v>1:51:47</v>
      </c>
      <c r="P24" s="3" t="str">
        <f>'All Solo Standards'!F83</f>
        <v>3:12:03</v>
      </c>
      <c r="Q24" s="3" t="str">
        <f>'All Solo Standards'!G83</f>
        <v>6:57:37</v>
      </c>
      <c r="R24" s="47" t="str">
        <f>'All Solo Standards'!H83</f>
        <v>102.74</v>
      </c>
      <c r="S24" s="47" t="str">
        <f>'All Solo Standards'!I83</f>
        <v>141.16</v>
      </c>
    </row>
    <row r="25" spans="1:20" x14ac:dyDescent="0.25">
      <c r="A25" s="4">
        <f>'All Solo Standards'!A56</f>
        <v>63</v>
      </c>
      <c r="B25" s="3" t="str">
        <f>'All Solo Standards'!B56</f>
        <v>28:22</v>
      </c>
      <c r="C25" s="3" t="str">
        <f>'All Solo Standards'!C56</f>
        <v>42:44</v>
      </c>
      <c r="D25" s="3" t="str">
        <f>'All Solo Standards'!D56</f>
        <v>1:11:48</v>
      </c>
      <c r="E25" s="3" t="str">
        <f>'All Solo Standards'!E56</f>
        <v>1:26:31</v>
      </c>
      <c r="F25" s="3" t="str">
        <f>'All Solo Standards'!F56</f>
        <v>2:26:37</v>
      </c>
      <c r="G25" s="3" t="str">
        <f>'All Solo Standards'!G56</f>
        <v>5:06:13</v>
      </c>
      <c r="H25" s="46" t="str">
        <f>'All Solo Standards'!H56</f>
        <v>185.51</v>
      </c>
      <c r="I25" s="46" t="str">
        <f>'All Solo Standards'!I56</f>
        <v>297.10</v>
      </c>
      <c r="K25" s="59">
        <f>'All Solo Standards'!A84</f>
        <v>91</v>
      </c>
      <c r="L25" s="3" t="str">
        <f>'All Solo Standards'!B84</f>
        <v>36:44</v>
      </c>
      <c r="M25" s="3" t="str">
        <f>'All Solo Standards'!C84</f>
        <v>55:30</v>
      </c>
      <c r="N25" s="3" t="str">
        <f>'All Solo Standards'!D84</f>
        <v>1:33:53</v>
      </c>
      <c r="O25" s="3" t="str">
        <f>'All Solo Standards'!E84</f>
        <v>1:53:31</v>
      </c>
      <c r="P25" s="3" t="str">
        <f>'All Solo Standards'!F84</f>
        <v>3:15:15</v>
      </c>
      <c r="Q25" s="3" t="str">
        <f>'All Solo Standards'!G84</f>
        <v>7:06:08</v>
      </c>
      <c r="R25" s="47" t="str">
        <f>'All Solo Standards'!H84</f>
        <v>98.82</v>
      </c>
      <c r="S25" s="47" t="str">
        <f>'All Solo Standards'!I84</f>
        <v>134.09</v>
      </c>
    </row>
    <row r="26" spans="1:20" x14ac:dyDescent="0.25">
      <c r="A26" s="4">
        <f>'All Solo Standards'!A57</f>
        <v>64</v>
      </c>
      <c r="B26" s="3" t="str">
        <f>'All Solo Standards'!B57</f>
        <v>28:32</v>
      </c>
      <c r="C26" s="3" t="str">
        <f>'All Solo Standards'!C57</f>
        <v>42:58</v>
      </c>
      <c r="D26" s="3" t="str">
        <f>'All Solo Standards'!D57</f>
        <v>1:12:13</v>
      </c>
      <c r="E26" s="3" t="str">
        <f>'All Solo Standards'!E57</f>
        <v>1:27:01</v>
      </c>
      <c r="F26" s="3" t="str">
        <f>'All Solo Standards'!F57</f>
        <v>2:27:31</v>
      </c>
      <c r="G26" s="3" t="str">
        <f>'All Solo Standards'!G57</f>
        <v>5:08:17</v>
      </c>
      <c r="H26" s="46" t="str">
        <f>'All Solo Standards'!H57</f>
        <v>183.17</v>
      </c>
      <c r="I26" s="46" t="str">
        <f>'All Solo Standards'!I57</f>
        <v>292.54</v>
      </c>
      <c r="K26" s="59">
        <f>'All Solo Standards'!A85</f>
        <v>92</v>
      </c>
      <c r="L26" s="3" t="str">
        <f>'All Solo Standards'!B85</f>
        <v>37:17</v>
      </c>
      <c r="M26" s="3" t="str">
        <f>'All Solo Standards'!C85</f>
        <v>56:21</v>
      </c>
      <c r="N26" s="3" t="str">
        <f>'All Solo Standards'!D85</f>
        <v>1:35:23</v>
      </c>
      <c r="O26" s="3" t="str">
        <f>'All Solo Standards'!E85</f>
        <v>1:55:22</v>
      </c>
      <c r="P26" s="3" t="str">
        <f>'All Solo Standards'!F85</f>
        <v>3:18:40</v>
      </c>
      <c r="Q26" s="3" t="str">
        <f>'All Solo Standards'!G85</f>
        <v>7:15:21</v>
      </c>
      <c r="R26" s="47" t="str">
        <f>'All Solo Standards'!H85</f>
        <v>94.82</v>
      </c>
      <c r="S26" s="47" t="str">
        <f>'All Solo Standards'!I85</f>
        <v>126.91</v>
      </c>
    </row>
    <row r="27" spans="1:20" x14ac:dyDescent="0.25">
      <c r="A27" s="4">
        <f>'All Solo Standards'!A58</f>
        <v>65</v>
      </c>
      <c r="B27" s="3" t="str">
        <f>'All Solo Standards'!B58</f>
        <v>28:42</v>
      </c>
      <c r="C27" s="3" t="str">
        <f>'All Solo Standards'!C58</f>
        <v>43:14</v>
      </c>
      <c r="D27" s="3" t="str">
        <f>'All Solo Standards'!D58</f>
        <v>1:12:39</v>
      </c>
      <c r="E27" s="3" t="str">
        <f>'All Solo Standards'!E58</f>
        <v>1:27:33</v>
      </c>
      <c r="F27" s="3" t="str">
        <f>'All Solo Standards'!F58</f>
        <v>2:28:27</v>
      </c>
      <c r="G27" s="3" t="str">
        <f>'All Solo Standards'!G58</f>
        <v>5:10:27</v>
      </c>
      <c r="H27" s="46" t="str">
        <f>'All Solo Standards'!H58</f>
        <v>180.76</v>
      </c>
      <c r="I27" s="46" t="str">
        <f>'All Solo Standards'!I58</f>
        <v>287.87</v>
      </c>
      <c r="K27" s="59">
        <f>'All Solo Standards'!A86</f>
        <v>93</v>
      </c>
      <c r="L27" s="3" t="str">
        <f>'All Solo Standards'!B86</f>
        <v>37:53</v>
      </c>
      <c r="M27" s="3" t="str">
        <f>'All Solo Standards'!C86</f>
        <v>57:16</v>
      </c>
      <c r="N27" s="3" t="str">
        <f>'All Solo Standards'!D86</f>
        <v>1:36:59</v>
      </c>
      <c r="O27" s="3" t="str">
        <f>'All Solo Standards'!E86</f>
        <v>1:57:20</v>
      </c>
      <c r="P27" s="3" t="str">
        <f>'All Solo Standards'!F86</f>
        <v>3:22:19</v>
      </c>
      <c r="Q27" s="3" t="str">
        <f>'All Solo Standards'!G86</f>
        <v>7:25:21</v>
      </c>
      <c r="R27" s="47" t="str">
        <f>'All Solo Standards'!H86</f>
        <v>90.74</v>
      </c>
      <c r="S27" s="47" t="str">
        <f>'All Solo Standards'!I86</f>
        <v>119.63</v>
      </c>
    </row>
    <row r="28" spans="1:20" x14ac:dyDescent="0.25">
      <c r="A28" s="4">
        <f>'All Solo Standards'!A59</f>
        <v>66</v>
      </c>
      <c r="B28" s="3" t="str">
        <f>'All Solo Standards'!B59</f>
        <v>28:53</v>
      </c>
      <c r="C28" s="3" t="str">
        <f>'All Solo Standards'!C59</f>
        <v>43:30</v>
      </c>
      <c r="D28" s="3" t="str">
        <f>'All Solo Standards'!D59</f>
        <v>1:13:07</v>
      </c>
      <c r="E28" s="3" t="str">
        <f>'All Solo Standards'!E59</f>
        <v>1:28:07</v>
      </c>
      <c r="F28" s="3" t="str">
        <f>'All Solo Standards'!F59</f>
        <v>2:29:26</v>
      </c>
      <c r="G28" s="3" t="str">
        <f>'All Solo Standards'!G59</f>
        <v>5:12:43</v>
      </c>
      <c r="H28" s="46" t="str">
        <f>'All Solo Standards'!H59</f>
        <v>178.31</v>
      </c>
      <c r="I28" s="46" t="str">
        <f>'All Solo Standards'!I59</f>
        <v>283.10</v>
      </c>
      <c r="K28" s="59">
        <f>'All Solo Standards'!A87</f>
        <v>94</v>
      </c>
      <c r="L28" s="3" t="str">
        <f>'All Solo Standards'!B87</f>
        <v>38:30</v>
      </c>
      <c r="M28" s="3" t="str">
        <f>'All Solo Standards'!C87</f>
        <v>58:14</v>
      </c>
      <c r="N28" s="3" t="str">
        <f>'All Solo Standards'!D87</f>
        <v>1:38:40</v>
      </c>
      <c r="O28" s="3" t="str">
        <f>'All Solo Standards'!E87</f>
        <v>1:59:25</v>
      </c>
      <c r="P28" s="3" t="str">
        <f>'All Solo Standards'!F87</f>
        <v>3:26:15</v>
      </c>
      <c r="Q28" s="3" t="str">
        <f>'All Solo Standards'!G87</f>
        <v>7:36:15</v>
      </c>
      <c r="R28" s="47" t="str">
        <f>'All Solo Standards'!H87</f>
        <v>86.58</v>
      </c>
      <c r="S28" s="47" t="str">
        <f>'All Solo Standards'!I87</f>
        <v>112.24</v>
      </c>
    </row>
    <row r="29" spans="1:20" x14ac:dyDescent="0.25">
      <c r="A29" s="4">
        <f>'All Solo Standards'!A60</f>
        <v>67</v>
      </c>
      <c r="B29" s="3" t="str">
        <f>'All Solo Standards'!B60</f>
        <v>29:04</v>
      </c>
      <c r="C29" s="3" t="str">
        <f>'All Solo Standards'!C60</f>
        <v>43:46</v>
      </c>
      <c r="D29" s="3" t="str">
        <f>'All Solo Standards'!D60</f>
        <v>1:13:35</v>
      </c>
      <c r="E29" s="3" t="str">
        <f>'All Solo Standards'!E60</f>
        <v>1:28:42</v>
      </c>
      <c r="F29" s="3" t="str">
        <f>'All Solo Standards'!F60</f>
        <v>2:30:27</v>
      </c>
      <c r="G29" s="3" t="str">
        <f>'All Solo Standards'!G60</f>
        <v>5:15:04</v>
      </c>
      <c r="H29" s="46" t="str">
        <f>'All Solo Standards'!H60</f>
        <v>175.79</v>
      </c>
      <c r="I29" s="46" t="str">
        <f>'All Solo Standards'!I60</f>
        <v>278.24</v>
      </c>
      <c r="K29" s="59">
        <f>'All Solo Standards'!A88</f>
        <v>95</v>
      </c>
      <c r="L29" s="3" t="str">
        <f>'All Solo Standards'!B88</f>
        <v>39:10</v>
      </c>
      <c r="M29" s="3" t="str">
        <f>'All Solo Standards'!C88</f>
        <v>59:15</v>
      </c>
      <c r="N29" s="3" t="str">
        <f>'All Solo Standards'!D88</f>
        <v>1:40:29</v>
      </c>
      <c r="O29" s="3" t="str">
        <f>'All Solo Standards'!E88</f>
        <v>2:01:40</v>
      </c>
      <c r="P29" s="3" t="str">
        <f>'All Solo Standards'!F88</f>
        <v>3:30:28</v>
      </c>
      <c r="Q29" s="3" t="str">
        <f>'All Solo Standards'!G88</f>
        <v>7:48:12</v>
      </c>
      <c r="R29" s="47" t="str">
        <f>'All Solo Standards'!H88</f>
        <v>82.33</v>
      </c>
      <c r="S29" s="47" t="str">
        <f>'All Solo Standards'!I88</f>
        <v>104.75</v>
      </c>
      <c r="T29" s="29">
        <f>Revision</f>
        <v>2024</v>
      </c>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row r="73" spans="1:1" x14ac:dyDescent="0.25">
      <c r="A73" s="5"/>
    </row>
    <row r="74" spans="1:1" x14ac:dyDescent="0.25">
      <c r="A74" s="5"/>
    </row>
    <row r="75" spans="1:1" x14ac:dyDescent="0.25">
      <c r="A75" s="5"/>
    </row>
    <row r="76" spans="1:1" x14ac:dyDescent="0.25">
      <c r="A76" s="5"/>
    </row>
    <row r="77" spans="1:1" x14ac:dyDescent="0.25">
      <c r="A77" s="5"/>
    </row>
    <row r="78" spans="1:1" x14ac:dyDescent="0.25">
      <c r="A78" s="5"/>
    </row>
    <row r="79" spans="1:1" x14ac:dyDescent="0.25">
      <c r="A79" s="5"/>
    </row>
    <row r="80" spans="1:1" x14ac:dyDescent="0.25">
      <c r="A80" s="5"/>
    </row>
    <row r="81" spans="1:1" x14ac:dyDescent="0.25">
      <c r="A81" s="5"/>
    </row>
    <row r="82" spans="1:1" x14ac:dyDescent="0.25">
      <c r="A82" s="5"/>
    </row>
    <row r="83" spans="1:1" x14ac:dyDescent="0.25">
      <c r="A83" s="5"/>
    </row>
    <row r="84" spans="1:1" x14ac:dyDescent="0.25">
      <c r="A84" s="5"/>
    </row>
    <row r="85" spans="1:1" x14ac:dyDescent="0.25">
      <c r="A85" s="5"/>
    </row>
    <row r="86" spans="1:1" x14ac:dyDescent="0.25">
      <c r="A86" s="5"/>
    </row>
    <row r="87" spans="1:1" x14ac:dyDescent="0.25">
      <c r="A87" s="5"/>
    </row>
    <row r="88" spans="1:1" x14ac:dyDescent="0.25">
      <c r="A88" s="5"/>
    </row>
    <row r="89" spans="1:1" x14ac:dyDescent="0.25">
      <c r="A89" s="5"/>
    </row>
    <row r="90" spans="1:1" x14ac:dyDescent="0.25">
      <c r="A90" s="5"/>
    </row>
    <row r="91" spans="1:1" x14ac:dyDescent="0.25">
      <c r="A91" s="5"/>
    </row>
    <row r="92" spans="1:1" x14ac:dyDescent="0.25">
      <c r="A92" s="5"/>
    </row>
    <row r="93" spans="1:1" x14ac:dyDescent="0.25">
      <c r="A93" s="5"/>
    </row>
    <row r="94" spans="1:1" x14ac:dyDescent="0.25">
      <c r="A94" s="5"/>
    </row>
    <row r="95" spans="1:1" x14ac:dyDescent="0.25">
      <c r="A95" s="5"/>
    </row>
    <row r="96" spans="1:1" x14ac:dyDescent="0.25">
      <c r="A96" s="5"/>
    </row>
    <row r="97" spans="1:1" x14ac:dyDescent="0.25">
      <c r="A97" s="5"/>
    </row>
    <row r="98" spans="1:1" x14ac:dyDescent="0.25">
      <c r="A98" s="5"/>
    </row>
    <row r="99" spans="1:1" x14ac:dyDescent="0.25">
      <c r="A99" s="5"/>
    </row>
    <row r="100" spans="1:1" x14ac:dyDescent="0.25">
      <c r="A100" s="5"/>
    </row>
    <row r="101" spans="1:1" x14ac:dyDescent="0.25">
      <c r="A101" s="5"/>
    </row>
    <row r="102" spans="1:1" x14ac:dyDescent="0.25">
      <c r="A102" s="5"/>
    </row>
    <row r="103" spans="1:1" x14ac:dyDescent="0.25">
      <c r="A103" s="5"/>
    </row>
    <row r="104" spans="1:1" x14ac:dyDescent="0.25">
      <c r="A104" s="5"/>
    </row>
    <row r="105" spans="1:1" x14ac:dyDescent="0.25">
      <c r="A105" s="5"/>
    </row>
    <row r="106" spans="1:1" x14ac:dyDescent="0.25">
      <c r="A106" s="5"/>
    </row>
    <row r="107" spans="1:1" x14ac:dyDescent="0.25">
      <c r="A107" s="5"/>
    </row>
    <row r="108" spans="1:1" x14ac:dyDescent="0.25">
      <c r="A108" s="5"/>
    </row>
    <row r="109" spans="1:1" x14ac:dyDescent="0.25">
      <c r="A109" s="5"/>
    </row>
    <row r="110" spans="1:1" x14ac:dyDescent="0.25">
      <c r="A110" s="5"/>
    </row>
    <row r="111" spans="1:1" x14ac:dyDescent="0.25">
      <c r="A111" s="5"/>
    </row>
    <row r="112" spans="1:1" x14ac:dyDescent="0.25">
      <c r="A112" s="5"/>
    </row>
    <row r="113" spans="1:1" x14ac:dyDescent="0.25">
      <c r="A113" s="5"/>
    </row>
    <row r="114" spans="1:1" x14ac:dyDescent="0.25">
      <c r="A114" s="5"/>
    </row>
    <row r="115" spans="1:1" x14ac:dyDescent="0.25">
      <c r="A115" s="5"/>
    </row>
    <row r="116" spans="1:1" x14ac:dyDescent="0.25">
      <c r="A116" s="5"/>
    </row>
    <row r="117" spans="1:1" x14ac:dyDescent="0.25">
      <c r="A117" s="5"/>
    </row>
    <row r="118" spans="1:1" x14ac:dyDescent="0.25">
      <c r="A118" s="5"/>
    </row>
    <row r="119" spans="1:1" x14ac:dyDescent="0.25">
      <c r="A119" s="5"/>
    </row>
    <row r="120" spans="1:1" x14ac:dyDescent="0.25">
      <c r="A120" s="5"/>
    </row>
    <row r="121" spans="1:1" x14ac:dyDescent="0.25">
      <c r="A121" s="5"/>
    </row>
    <row r="122" spans="1:1" x14ac:dyDescent="0.25">
      <c r="A122" s="5"/>
    </row>
    <row r="123" spans="1:1" x14ac:dyDescent="0.25">
      <c r="A123" s="5"/>
    </row>
    <row r="124" spans="1:1" x14ac:dyDescent="0.25">
      <c r="A124" s="5"/>
    </row>
    <row r="125" spans="1:1" x14ac:dyDescent="0.25">
      <c r="A125" s="5"/>
    </row>
    <row r="126" spans="1:1" x14ac:dyDescent="0.25">
      <c r="A126" s="5"/>
    </row>
    <row r="127" spans="1:1" x14ac:dyDescent="0.25">
      <c r="A127" s="5"/>
    </row>
    <row r="128" spans="1:1" x14ac:dyDescent="0.25">
      <c r="A128" s="5"/>
    </row>
    <row r="129" spans="1:1" x14ac:dyDescent="0.25">
      <c r="A129" s="5"/>
    </row>
    <row r="130" spans="1:1" x14ac:dyDescent="0.25">
      <c r="A130" s="5"/>
    </row>
    <row r="131" spans="1:1" x14ac:dyDescent="0.25">
      <c r="A131" s="5"/>
    </row>
    <row r="132" spans="1:1" x14ac:dyDescent="0.25">
      <c r="A132" s="5"/>
    </row>
    <row r="133" spans="1:1" x14ac:dyDescent="0.25">
      <c r="A133" s="5"/>
    </row>
    <row r="134" spans="1:1" x14ac:dyDescent="0.25">
      <c r="A134" s="5"/>
    </row>
    <row r="135" spans="1:1" x14ac:dyDescent="0.25">
      <c r="A135" s="5"/>
    </row>
    <row r="136" spans="1:1" x14ac:dyDescent="0.25">
      <c r="A136" s="5"/>
    </row>
    <row r="137" spans="1:1" x14ac:dyDescent="0.25">
      <c r="A137" s="5"/>
    </row>
    <row r="138" spans="1:1" x14ac:dyDescent="0.25">
      <c r="A138" s="5"/>
    </row>
    <row r="139" spans="1:1" x14ac:dyDescent="0.25">
      <c r="A139" s="5"/>
    </row>
    <row r="140" spans="1:1" x14ac:dyDescent="0.25">
      <c r="A140" s="5"/>
    </row>
    <row r="141" spans="1:1" x14ac:dyDescent="0.25">
      <c r="A141" s="5"/>
    </row>
    <row r="142" spans="1:1" x14ac:dyDescent="0.25">
      <c r="A142" s="5"/>
    </row>
    <row r="143" spans="1:1" x14ac:dyDescent="0.25">
      <c r="A143" s="5"/>
    </row>
    <row r="144" spans="1:1" x14ac:dyDescent="0.25">
      <c r="A144" s="5"/>
    </row>
    <row r="145" spans="1:1" x14ac:dyDescent="0.25">
      <c r="A145" s="5"/>
    </row>
    <row r="146" spans="1:1" x14ac:dyDescent="0.25">
      <c r="A146" s="5"/>
    </row>
    <row r="147" spans="1:1" x14ac:dyDescent="0.25">
      <c r="A147" s="5"/>
    </row>
    <row r="148" spans="1:1" x14ac:dyDescent="0.25">
      <c r="A148" s="5"/>
    </row>
    <row r="149" spans="1:1" x14ac:dyDescent="0.25">
      <c r="A149" s="5"/>
    </row>
    <row r="150" spans="1:1" x14ac:dyDescent="0.25">
      <c r="A150" s="5"/>
    </row>
    <row r="151" spans="1:1" x14ac:dyDescent="0.25">
      <c r="A151" s="5"/>
    </row>
    <row r="152" spans="1:1" x14ac:dyDescent="0.25">
      <c r="A152" s="5"/>
    </row>
    <row r="153" spans="1:1" x14ac:dyDescent="0.25">
      <c r="A153" s="5"/>
    </row>
    <row r="154" spans="1:1" x14ac:dyDescent="0.25">
      <c r="A154" s="5"/>
    </row>
    <row r="155" spans="1:1" x14ac:dyDescent="0.25">
      <c r="A155" s="5"/>
    </row>
    <row r="156" spans="1:1" x14ac:dyDescent="0.25">
      <c r="A156" s="5"/>
    </row>
    <row r="157" spans="1:1" x14ac:dyDescent="0.25">
      <c r="A157" s="5"/>
    </row>
    <row r="158" spans="1:1" x14ac:dyDescent="0.25">
      <c r="A158" s="5"/>
    </row>
    <row r="159" spans="1:1" x14ac:dyDescent="0.25">
      <c r="A159" s="5"/>
    </row>
    <row r="160" spans="1:1" x14ac:dyDescent="0.25">
      <c r="A160" s="5"/>
    </row>
    <row r="161" spans="1:1" x14ac:dyDescent="0.25">
      <c r="A161" s="5"/>
    </row>
    <row r="162" spans="1:1" x14ac:dyDescent="0.25">
      <c r="A162" s="5"/>
    </row>
    <row r="163" spans="1:1" x14ac:dyDescent="0.25">
      <c r="A163" s="5"/>
    </row>
    <row r="164" spans="1:1" x14ac:dyDescent="0.25">
      <c r="A164" s="5"/>
    </row>
    <row r="165" spans="1:1" x14ac:dyDescent="0.25">
      <c r="A165" s="5"/>
    </row>
    <row r="166" spans="1:1" x14ac:dyDescent="0.25">
      <c r="A166" s="5"/>
    </row>
    <row r="167" spans="1:1" x14ac:dyDescent="0.25">
      <c r="A167" s="5"/>
    </row>
    <row r="168" spans="1:1" x14ac:dyDescent="0.25">
      <c r="A168" s="5"/>
    </row>
    <row r="169" spans="1:1" x14ac:dyDescent="0.25">
      <c r="A169" s="5"/>
    </row>
    <row r="170" spans="1:1" x14ac:dyDescent="0.25">
      <c r="A170" s="5"/>
    </row>
    <row r="171" spans="1:1" x14ac:dyDescent="0.25">
      <c r="A171" s="5"/>
    </row>
    <row r="172" spans="1:1" x14ac:dyDescent="0.25">
      <c r="A172" s="5"/>
    </row>
    <row r="173" spans="1:1" x14ac:dyDescent="0.25">
      <c r="A173" s="5"/>
    </row>
    <row r="174" spans="1:1" x14ac:dyDescent="0.25">
      <c r="A174" s="5"/>
    </row>
    <row r="175" spans="1:1" x14ac:dyDescent="0.25">
      <c r="A175" s="5"/>
    </row>
    <row r="176" spans="1:1" x14ac:dyDescent="0.25">
      <c r="A176" s="5"/>
    </row>
    <row r="177" spans="1:1" x14ac:dyDescent="0.25">
      <c r="A177" s="5"/>
    </row>
    <row r="178" spans="1:1" x14ac:dyDescent="0.25">
      <c r="A178" s="5"/>
    </row>
    <row r="179" spans="1:1" x14ac:dyDescent="0.25">
      <c r="A179" s="5"/>
    </row>
    <row r="180" spans="1:1" x14ac:dyDescent="0.25">
      <c r="A180" s="5"/>
    </row>
    <row r="181" spans="1:1" x14ac:dyDescent="0.25">
      <c r="A181" s="5"/>
    </row>
    <row r="182" spans="1:1" x14ac:dyDescent="0.25">
      <c r="A182" s="5"/>
    </row>
    <row r="183" spans="1:1" x14ac:dyDescent="0.25">
      <c r="A183" s="5"/>
    </row>
    <row r="184" spans="1:1" x14ac:dyDescent="0.25">
      <c r="A184" s="5"/>
    </row>
    <row r="185" spans="1:1" x14ac:dyDescent="0.25">
      <c r="A185" s="5"/>
    </row>
    <row r="186" spans="1:1" x14ac:dyDescent="0.25">
      <c r="A186" s="5"/>
    </row>
    <row r="187" spans="1:1" x14ac:dyDescent="0.25">
      <c r="A187" s="5"/>
    </row>
    <row r="188" spans="1:1" x14ac:dyDescent="0.25">
      <c r="A188" s="5"/>
    </row>
    <row r="189" spans="1:1" x14ac:dyDescent="0.25">
      <c r="A189" s="5"/>
    </row>
    <row r="190" spans="1:1" x14ac:dyDescent="0.25">
      <c r="A190" s="5"/>
    </row>
    <row r="191" spans="1:1" x14ac:dyDescent="0.25">
      <c r="A191" s="5"/>
    </row>
    <row r="192" spans="1:1" x14ac:dyDescent="0.25">
      <c r="A192" s="5"/>
    </row>
    <row r="193" spans="1:1" x14ac:dyDescent="0.25">
      <c r="A193" s="5"/>
    </row>
    <row r="194" spans="1:1" x14ac:dyDescent="0.25">
      <c r="A194" s="5"/>
    </row>
    <row r="195" spans="1:1" x14ac:dyDescent="0.25">
      <c r="A195" s="5"/>
    </row>
    <row r="196" spans="1:1" x14ac:dyDescent="0.25">
      <c r="A196" s="5"/>
    </row>
    <row r="197" spans="1:1" x14ac:dyDescent="0.25">
      <c r="A197" s="5"/>
    </row>
    <row r="198" spans="1:1" x14ac:dyDescent="0.25">
      <c r="A198" s="5"/>
    </row>
    <row r="199" spans="1:1" x14ac:dyDescent="0.25">
      <c r="A199" s="5"/>
    </row>
    <row r="200" spans="1:1" x14ac:dyDescent="0.25">
      <c r="A200" s="5"/>
    </row>
    <row r="201" spans="1:1" x14ac:dyDescent="0.25">
      <c r="A201" s="5"/>
    </row>
    <row r="202" spans="1:1" x14ac:dyDescent="0.25">
      <c r="A202" s="5"/>
    </row>
    <row r="203" spans="1:1" x14ac:dyDescent="0.25">
      <c r="A203" s="5"/>
    </row>
    <row r="204" spans="1:1" x14ac:dyDescent="0.25">
      <c r="A204" s="5"/>
    </row>
    <row r="205" spans="1:1" x14ac:dyDescent="0.25">
      <c r="A205" s="5"/>
    </row>
    <row r="206" spans="1:1" x14ac:dyDescent="0.25">
      <c r="A206" s="5"/>
    </row>
    <row r="207" spans="1:1" x14ac:dyDescent="0.25">
      <c r="A207" s="5"/>
    </row>
    <row r="208" spans="1:1" x14ac:dyDescent="0.25">
      <c r="A208" s="5"/>
    </row>
    <row r="209" spans="1:1" x14ac:dyDescent="0.25">
      <c r="A209" s="5"/>
    </row>
    <row r="210" spans="1:1" x14ac:dyDescent="0.25">
      <c r="A210" s="5"/>
    </row>
    <row r="211" spans="1:1" x14ac:dyDescent="0.25">
      <c r="A211" s="5"/>
    </row>
    <row r="212" spans="1:1" x14ac:dyDescent="0.25">
      <c r="A212" s="5"/>
    </row>
    <row r="213" spans="1:1" x14ac:dyDescent="0.25">
      <c r="A213" s="5"/>
    </row>
    <row r="214" spans="1:1" x14ac:dyDescent="0.25">
      <c r="A214" s="5"/>
    </row>
    <row r="215" spans="1:1" x14ac:dyDescent="0.25">
      <c r="A215" s="5"/>
    </row>
    <row r="216" spans="1:1" x14ac:dyDescent="0.25">
      <c r="A216" s="5"/>
    </row>
    <row r="217" spans="1:1" x14ac:dyDescent="0.25">
      <c r="A217" s="5"/>
    </row>
    <row r="218" spans="1:1" x14ac:dyDescent="0.25">
      <c r="A218" s="5"/>
    </row>
    <row r="219" spans="1:1" x14ac:dyDescent="0.25">
      <c r="A219" s="5"/>
    </row>
    <row r="220" spans="1:1" x14ac:dyDescent="0.25">
      <c r="A220" s="5"/>
    </row>
    <row r="221" spans="1:1" x14ac:dyDescent="0.25">
      <c r="A221" s="5"/>
    </row>
    <row r="222" spans="1:1" x14ac:dyDescent="0.25">
      <c r="A222" s="5"/>
    </row>
    <row r="223" spans="1:1" x14ac:dyDescent="0.25">
      <c r="A223" s="5"/>
    </row>
    <row r="224" spans="1:1" x14ac:dyDescent="0.25">
      <c r="A224" s="5"/>
    </row>
    <row r="225" spans="1:1" x14ac:dyDescent="0.25">
      <c r="A225" s="5"/>
    </row>
    <row r="226" spans="1:1" x14ac:dyDescent="0.25">
      <c r="A226" s="5"/>
    </row>
    <row r="227" spans="1:1" x14ac:dyDescent="0.25">
      <c r="A227" s="5"/>
    </row>
    <row r="228" spans="1:1" x14ac:dyDescent="0.25">
      <c r="A228" s="5"/>
    </row>
    <row r="229" spans="1:1" x14ac:dyDescent="0.25">
      <c r="A229" s="5"/>
    </row>
    <row r="230" spans="1:1" x14ac:dyDescent="0.25">
      <c r="A230" s="5"/>
    </row>
    <row r="231" spans="1:1" x14ac:dyDescent="0.25">
      <c r="A231" s="5"/>
    </row>
    <row r="232" spans="1:1" x14ac:dyDescent="0.25">
      <c r="A232" s="5"/>
    </row>
    <row r="233" spans="1:1" x14ac:dyDescent="0.25">
      <c r="A233" s="5"/>
    </row>
    <row r="234" spans="1:1" x14ac:dyDescent="0.25">
      <c r="A234" s="5"/>
    </row>
    <row r="235" spans="1:1" x14ac:dyDescent="0.25">
      <c r="A235" s="5"/>
    </row>
    <row r="236" spans="1:1" x14ac:dyDescent="0.25">
      <c r="A236" s="5"/>
    </row>
    <row r="237" spans="1:1" x14ac:dyDescent="0.25">
      <c r="A237" s="5"/>
    </row>
    <row r="238" spans="1:1" x14ac:dyDescent="0.25">
      <c r="A238" s="5"/>
    </row>
    <row r="239" spans="1:1" x14ac:dyDescent="0.25">
      <c r="A239" s="5"/>
    </row>
    <row r="240" spans="1:1" x14ac:dyDescent="0.25">
      <c r="A240" s="5"/>
    </row>
    <row r="241" spans="1:1" x14ac:dyDescent="0.25">
      <c r="A241" s="5"/>
    </row>
    <row r="242" spans="1:1" x14ac:dyDescent="0.25">
      <c r="A242" s="5"/>
    </row>
    <row r="243" spans="1:1" x14ac:dyDescent="0.25">
      <c r="A243" s="5"/>
    </row>
    <row r="244" spans="1:1" x14ac:dyDescent="0.25">
      <c r="A244" s="5"/>
    </row>
    <row r="245" spans="1:1" x14ac:dyDescent="0.25">
      <c r="A245" s="5"/>
    </row>
    <row r="246" spans="1:1" x14ac:dyDescent="0.25">
      <c r="A246" s="5"/>
    </row>
    <row r="247" spans="1:1" x14ac:dyDescent="0.25">
      <c r="A247" s="5"/>
    </row>
    <row r="248" spans="1:1" x14ac:dyDescent="0.25">
      <c r="A248" s="5"/>
    </row>
    <row r="249" spans="1:1" x14ac:dyDescent="0.25">
      <c r="A249" s="5"/>
    </row>
    <row r="250" spans="1:1" x14ac:dyDescent="0.25">
      <c r="A250" s="5"/>
    </row>
    <row r="251" spans="1:1" x14ac:dyDescent="0.25">
      <c r="A251" s="5"/>
    </row>
    <row r="252" spans="1:1" x14ac:dyDescent="0.25">
      <c r="A252" s="5"/>
    </row>
    <row r="253" spans="1:1" x14ac:dyDescent="0.25">
      <c r="A253" s="5"/>
    </row>
    <row r="254" spans="1:1" x14ac:dyDescent="0.25">
      <c r="A254" s="5"/>
    </row>
    <row r="255" spans="1:1" x14ac:dyDescent="0.25">
      <c r="A255" s="5"/>
    </row>
    <row r="256" spans="1:1" x14ac:dyDescent="0.25">
      <c r="A256" s="5"/>
    </row>
    <row r="257" spans="1:1" x14ac:dyDescent="0.25">
      <c r="A257" s="5"/>
    </row>
    <row r="258" spans="1:1" x14ac:dyDescent="0.25">
      <c r="A258" s="5"/>
    </row>
    <row r="259" spans="1:1" x14ac:dyDescent="0.25">
      <c r="A259" s="5"/>
    </row>
    <row r="260" spans="1:1" x14ac:dyDescent="0.25">
      <c r="A260" s="5"/>
    </row>
    <row r="261" spans="1:1" x14ac:dyDescent="0.25">
      <c r="A261" s="5"/>
    </row>
    <row r="262" spans="1:1" x14ac:dyDescent="0.25">
      <c r="A262" s="5"/>
    </row>
    <row r="263" spans="1:1" x14ac:dyDescent="0.25">
      <c r="A263" s="5"/>
    </row>
    <row r="264" spans="1:1" x14ac:dyDescent="0.25">
      <c r="A264" s="5"/>
    </row>
    <row r="265" spans="1:1" x14ac:dyDescent="0.25">
      <c r="A265" s="5"/>
    </row>
    <row r="266" spans="1:1" x14ac:dyDescent="0.25">
      <c r="A266" s="5"/>
    </row>
    <row r="267" spans="1:1" x14ac:dyDescent="0.25">
      <c r="A267" s="5"/>
    </row>
    <row r="268" spans="1:1" x14ac:dyDescent="0.25">
      <c r="A268" s="5"/>
    </row>
    <row r="269" spans="1:1" x14ac:dyDescent="0.25">
      <c r="A269" s="5"/>
    </row>
    <row r="270" spans="1:1" x14ac:dyDescent="0.25">
      <c r="A270" s="5"/>
    </row>
    <row r="271" spans="1:1" x14ac:dyDescent="0.25">
      <c r="A271" s="5"/>
    </row>
    <row r="272" spans="1:1" x14ac:dyDescent="0.25">
      <c r="A272" s="5"/>
    </row>
    <row r="273" spans="1:1" x14ac:dyDescent="0.25">
      <c r="A273" s="5"/>
    </row>
    <row r="274" spans="1:1" x14ac:dyDescent="0.25">
      <c r="A274" s="5"/>
    </row>
    <row r="275" spans="1:1" x14ac:dyDescent="0.25">
      <c r="A275" s="5"/>
    </row>
    <row r="276" spans="1:1" x14ac:dyDescent="0.25">
      <c r="A276" s="5"/>
    </row>
    <row r="277" spans="1:1" x14ac:dyDescent="0.25">
      <c r="A277" s="5"/>
    </row>
    <row r="278" spans="1:1" x14ac:dyDescent="0.25">
      <c r="A278" s="5"/>
    </row>
    <row r="279" spans="1:1" x14ac:dyDescent="0.25">
      <c r="A279" s="5"/>
    </row>
    <row r="280" spans="1:1" x14ac:dyDescent="0.25">
      <c r="A280" s="5"/>
    </row>
    <row r="281" spans="1:1" x14ac:dyDescent="0.25">
      <c r="A281" s="5"/>
    </row>
    <row r="282" spans="1:1" x14ac:dyDescent="0.25">
      <c r="A282" s="5"/>
    </row>
    <row r="283" spans="1:1" x14ac:dyDescent="0.25">
      <c r="A283" s="5"/>
    </row>
    <row r="284" spans="1:1" x14ac:dyDescent="0.25">
      <c r="A284" s="5"/>
    </row>
    <row r="285" spans="1:1" x14ac:dyDescent="0.25">
      <c r="A285" s="5"/>
    </row>
    <row r="286" spans="1:1" x14ac:dyDescent="0.25">
      <c r="A286" s="5"/>
    </row>
    <row r="287" spans="1:1" x14ac:dyDescent="0.25">
      <c r="A287" s="5"/>
    </row>
    <row r="288" spans="1:1" x14ac:dyDescent="0.25">
      <c r="A288" s="5"/>
    </row>
    <row r="289" spans="1:1" x14ac:dyDescent="0.25">
      <c r="A289" s="5"/>
    </row>
    <row r="290" spans="1:1" x14ac:dyDescent="0.25">
      <c r="A290" s="5"/>
    </row>
    <row r="291" spans="1:1" x14ac:dyDescent="0.25">
      <c r="A291" s="5"/>
    </row>
    <row r="292" spans="1:1" x14ac:dyDescent="0.25">
      <c r="A292" s="5"/>
    </row>
    <row r="293" spans="1:1" x14ac:dyDescent="0.25">
      <c r="A293" s="5"/>
    </row>
    <row r="294" spans="1:1" x14ac:dyDescent="0.25">
      <c r="A294" s="5"/>
    </row>
    <row r="295" spans="1:1" x14ac:dyDescent="0.25">
      <c r="A295" s="5"/>
    </row>
    <row r="296" spans="1:1" x14ac:dyDescent="0.25">
      <c r="A296" s="5"/>
    </row>
    <row r="297" spans="1:1" x14ac:dyDescent="0.25">
      <c r="A297" s="5"/>
    </row>
    <row r="298" spans="1:1" x14ac:dyDescent="0.25">
      <c r="A298" s="5"/>
    </row>
    <row r="299" spans="1:1" x14ac:dyDescent="0.25">
      <c r="A299" s="5"/>
    </row>
    <row r="300" spans="1:1" x14ac:dyDescent="0.25">
      <c r="A300" s="5"/>
    </row>
    <row r="301" spans="1:1" x14ac:dyDescent="0.25">
      <c r="A301" s="5"/>
    </row>
    <row r="302" spans="1:1" x14ac:dyDescent="0.25">
      <c r="A302" s="5"/>
    </row>
    <row r="303" spans="1:1" x14ac:dyDescent="0.25">
      <c r="A303" s="5"/>
    </row>
    <row r="304" spans="1:1" x14ac:dyDescent="0.25">
      <c r="A304" s="5"/>
    </row>
    <row r="305" spans="1:1" x14ac:dyDescent="0.25">
      <c r="A305" s="5"/>
    </row>
    <row r="306" spans="1:1" x14ac:dyDescent="0.25">
      <c r="A306" s="5"/>
    </row>
    <row r="307" spans="1:1" x14ac:dyDescent="0.25">
      <c r="A307" s="5"/>
    </row>
    <row r="308" spans="1:1" x14ac:dyDescent="0.25">
      <c r="A308" s="5"/>
    </row>
    <row r="309" spans="1:1" x14ac:dyDescent="0.25">
      <c r="A309" s="5"/>
    </row>
    <row r="310" spans="1:1" x14ac:dyDescent="0.25">
      <c r="A310" s="5"/>
    </row>
    <row r="311" spans="1:1" x14ac:dyDescent="0.25">
      <c r="A311" s="5"/>
    </row>
    <row r="312" spans="1:1" x14ac:dyDescent="0.25">
      <c r="A312" s="5"/>
    </row>
    <row r="313" spans="1:1" x14ac:dyDescent="0.25">
      <c r="A313" s="5"/>
    </row>
    <row r="314" spans="1:1" x14ac:dyDescent="0.25">
      <c r="A314" s="5"/>
    </row>
    <row r="315" spans="1:1" x14ac:dyDescent="0.25">
      <c r="A315" s="5"/>
    </row>
    <row r="316" spans="1:1" x14ac:dyDescent="0.25">
      <c r="A316" s="5"/>
    </row>
    <row r="317" spans="1:1" x14ac:dyDescent="0.25">
      <c r="A317" s="5"/>
    </row>
    <row r="318" spans="1:1" x14ac:dyDescent="0.25">
      <c r="A318" s="5"/>
    </row>
    <row r="319" spans="1:1" x14ac:dyDescent="0.25">
      <c r="A319" s="5"/>
    </row>
    <row r="320" spans="1:1" x14ac:dyDescent="0.25">
      <c r="A320" s="5"/>
    </row>
    <row r="321" spans="1:1" x14ac:dyDescent="0.25">
      <c r="A321" s="5"/>
    </row>
    <row r="322" spans="1:1" x14ac:dyDescent="0.25">
      <c r="A322" s="5"/>
    </row>
    <row r="323" spans="1:1" x14ac:dyDescent="0.25">
      <c r="A323" s="5"/>
    </row>
    <row r="324" spans="1:1" x14ac:dyDescent="0.25">
      <c r="A324" s="5"/>
    </row>
    <row r="325" spans="1:1" x14ac:dyDescent="0.25">
      <c r="A325" s="5"/>
    </row>
    <row r="326" spans="1:1" x14ac:dyDescent="0.25">
      <c r="A326" s="5"/>
    </row>
    <row r="327" spans="1:1" x14ac:dyDescent="0.25">
      <c r="A327" s="5"/>
    </row>
    <row r="328" spans="1:1" x14ac:dyDescent="0.25">
      <c r="A328" s="5"/>
    </row>
    <row r="329" spans="1:1" x14ac:dyDescent="0.25">
      <c r="A329" s="5"/>
    </row>
    <row r="330" spans="1:1" x14ac:dyDescent="0.25">
      <c r="A330" s="5"/>
    </row>
    <row r="331" spans="1:1" x14ac:dyDescent="0.25">
      <c r="A331" s="5"/>
    </row>
    <row r="332" spans="1:1" x14ac:dyDescent="0.25">
      <c r="A332" s="5"/>
    </row>
    <row r="333" spans="1:1" x14ac:dyDescent="0.25">
      <c r="A333" s="5"/>
    </row>
    <row r="334" spans="1:1" x14ac:dyDescent="0.25">
      <c r="A334" s="5"/>
    </row>
    <row r="335" spans="1:1" x14ac:dyDescent="0.25">
      <c r="A335" s="5"/>
    </row>
    <row r="336" spans="1:1" x14ac:dyDescent="0.25">
      <c r="A336" s="5"/>
    </row>
    <row r="337" spans="1:1" x14ac:dyDescent="0.25">
      <c r="A337" s="5"/>
    </row>
    <row r="338" spans="1:1" x14ac:dyDescent="0.25">
      <c r="A338" s="5"/>
    </row>
    <row r="339" spans="1:1" x14ac:dyDescent="0.25">
      <c r="A339" s="5"/>
    </row>
    <row r="340" spans="1:1" x14ac:dyDescent="0.25">
      <c r="A340" s="5"/>
    </row>
    <row r="341" spans="1:1" x14ac:dyDescent="0.25">
      <c r="A341" s="5"/>
    </row>
    <row r="342" spans="1:1" x14ac:dyDescent="0.25">
      <c r="A342" s="5"/>
    </row>
    <row r="343" spans="1:1" x14ac:dyDescent="0.25">
      <c r="A343" s="5"/>
    </row>
    <row r="344" spans="1:1" x14ac:dyDescent="0.25">
      <c r="A344" s="5"/>
    </row>
    <row r="345" spans="1:1" x14ac:dyDescent="0.25">
      <c r="A345" s="5"/>
    </row>
    <row r="346" spans="1:1" x14ac:dyDescent="0.25">
      <c r="A346" s="5"/>
    </row>
    <row r="347" spans="1:1" x14ac:dyDescent="0.25">
      <c r="A347" s="5"/>
    </row>
    <row r="348" spans="1:1" x14ac:dyDescent="0.25">
      <c r="A348" s="5"/>
    </row>
    <row r="349" spans="1:1" x14ac:dyDescent="0.25">
      <c r="A349" s="5"/>
    </row>
    <row r="350" spans="1:1" x14ac:dyDescent="0.25">
      <c r="A350" s="5"/>
    </row>
    <row r="351" spans="1:1" x14ac:dyDescent="0.25">
      <c r="A351" s="5"/>
    </row>
    <row r="352" spans="1:1" x14ac:dyDescent="0.25">
      <c r="A352" s="5"/>
    </row>
    <row r="353" spans="1:1" x14ac:dyDescent="0.25">
      <c r="A353" s="5"/>
    </row>
    <row r="354" spans="1:1" x14ac:dyDescent="0.25">
      <c r="A354" s="5"/>
    </row>
    <row r="355" spans="1:1" x14ac:dyDescent="0.25">
      <c r="A355" s="5"/>
    </row>
    <row r="356" spans="1:1" x14ac:dyDescent="0.25">
      <c r="A356" s="5"/>
    </row>
    <row r="357" spans="1:1" x14ac:dyDescent="0.25">
      <c r="A357" s="5"/>
    </row>
    <row r="358" spans="1:1" x14ac:dyDescent="0.25">
      <c r="A358" s="5"/>
    </row>
    <row r="359" spans="1:1" x14ac:dyDescent="0.25">
      <c r="A359" s="5"/>
    </row>
    <row r="360" spans="1:1" x14ac:dyDescent="0.25">
      <c r="A360" s="5"/>
    </row>
    <row r="361" spans="1:1" x14ac:dyDescent="0.25">
      <c r="A361" s="5"/>
    </row>
    <row r="362" spans="1:1" x14ac:dyDescent="0.25">
      <c r="A362" s="5"/>
    </row>
    <row r="363" spans="1:1" x14ac:dyDescent="0.25">
      <c r="A363" s="5"/>
    </row>
    <row r="364" spans="1:1" x14ac:dyDescent="0.25">
      <c r="A364" s="5"/>
    </row>
    <row r="365" spans="1:1" x14ac:dyDescent="0.25">
      <c r="A365" s="5"/>
    </row>
    <row r="366" spans="1:1" x14ac:dyDescent="0.25">
      <c r="A366" s="5"/>
    </row>
    <row r="367" spans="1:1" x14ac:dyDescent="0.25">
      <c r="A367" s="5"/>
    </row>
    <row r="368" spans="1:1" x14ac:dyDescent="0.25">
      <c r="A368" s="5"/>
    </row>
    <row r="369" spans="1:1" x14ac:dyDescent="0.25">
      <c r="A369" s="5"/>
    </row>
    <row r="370" spans="1:1" x14ac:dyDescent="0.25">
      <c r="A370" s="5"/>
    </row>
    <row r="371" spans="1:1" x14ac:dyDescent="0.25">
      <c r="A371" s="5"/>
    </row>
    <row r="372" spans="1:1" x14ac:dyDescent="0.25">
      <c r="A372" s="5"/>
    </row>
    <row r="373" spans="1:1" x14ac:dyDescent="0.25">
      <c r="A373" s="5"/>
    </row>
    <row r="374" spans="1:1" x14ac:dyDescent="0.25">
      <c r="A374" s="5"/>
    </row>
    <row r="375" spans="1:1" x14ac:dyDescent="0.25">
      <c r="A375" s="5"/>
    </row>
    <row r="376" spans="1:1" x14ac:dyDescent="0.25">
      <c r="A376" s="5"/>
    </row>
    <row r="377" spans="1:1" x14ac:dyDescent="0.25">
      <c r="A377" s="5"/>
    </row>
    <row r="378" spans="1:1" x14ac:dyDescent="0.25">
      <c r="A378" s="5"/>
    </row>
    <row r="379" spans="1:1" x14ac:dyDescent="0.25">
      <c r="A379" s="5"/>
    </row>
    <row r="380" spans="1:1" x14ac:dyDescent="0.25">
      <c r="A380" s="5"/>
    </row>
    <row r="381" spans="1:1" x14ac:dyDescent="0.25">
      <c r="A381" s="5"/>
    </row>
    <row r="382" spans="1:1" x14ac:dyDescent="0.25">
      <c r="A382" s="5"/>
    </row>
    <row r="383" spans="1:1" x14ac:dyDescent="0.25">
      <c r="A383" s="5"/>
    </row>
    <row r="384" spans="1:1" x14ac:dyDescent="0.25">
      <c r="A384" s="5"/>
    </row>
    <row r="385" spans="1:1" x14ac:dyDescent="0.25">
      <c r="A385" s="5"/>
    </row>
    <row r="386" spans="1:1" x14ac:dyDescent="0.25">
      <c r="A386" s="5"/>
    </row>
    <row r="387" spans="1:1" x14ac:dyDescent="0.25">
      <c r="A387" s="5"/>
    </row>
    <row r="388" spans="1:1" x14ac:dyDescent="0.25">
      <c r="A388" s="5"/>
    </row>
    <row r="389" spans="1:1" x14ac:dyDescent="0.25">
      <c r="A389" s="5"/>
    </row>
    <row r="390" spans="1:1" x14ac:dyDescent="0.25">
      <c r="A390" s="5"/>
    </row>
    <row r="391" spans="1:1" x14ac:dyDescent="0.25">
      <c r="A391" s="5"/>
    </row>
    <row r="392" spans="1:1" x14ac:dyDescent="0.25">
      <c r="A392" s="5"/>
    </row>
    <row r="393" spans="1:1" x14ac:dyDescent="0.25">
      <c r="A393" s="5"/>
    </row>
    <row r="394" spans="1:1" x14ac:dyDescent="0.25">
      <c r="A394" s="5"/>
    </row>
    <row r="395" spans="1:1" x14ac:dyDescent="0.25">
      <c r="A395" s="5"/>
    </row>
    <row r="396" spans="1:1" x14ac:dyDescent="0.25">
      <c r="A396" s="5"/>
    </row>
    <row r="397" spans="1:1" x14ac:dyDescent="0.25">
      <c r="A397" s="5"/>
    </row>
    <row r="398" spans="1:1" x14ac:dyDescent="0.25">
      <c r="A398" s="5"/>
    </row>
    <row r="399" spans="1:1" x14ac:dyDescent="0.25">
      <c r="A399" s="5"/>
    </row>
    <row r="400" spans="1:1" x14ac:dyDescent="0.25">
      <c r="A400" s="5"/>
    </row>
    <row r="401" spans="1:1" x14ac:dyDescent="0.25">
      <c r="A401" s="5"/>
    </row>
    <row r="402" spans="1:1" x14ac:dyDescent="0.25">
      <c r="A402" s="5"/>
    </row>
    <row r="403" spans="1:1" x14ac:dyDescent="0.25">
      <c r="A403" s="5"/>
    </row>
    <row r="404" spans="1:1" x14ac:dyDescent="0.25">
      <c r="A404" s="5"/>
    </row>
    <row r="405" spans="1:1" x14ac:dyDescent="0.25">
      <c r="A405" s="5"/>
    </row>
    <row r="406" spans="1:1" x14ac:dyDescent="0.25">
      <c r="A406" s="5"/>
    </row>
    <row r="407" spans="1:1" x14ac:dyDescent="0.25">
      <c r="A407" s="5"/>
    </row>
    <row r="408" spans="1:1" x14ac:dyDescent="0.25">
      <c r="A408" s="5"/>
    </row>
    <row r="409" spans="1:1" x14ac:dyDescent="0.25">
      <c r="A409" s="5"/>
    </row>
    <row r="410" spans="1:1" x14ac:dyDescent="0.25">
      <c r="A410" s="5"/>
    </row>
    <row r="411" spans="1:1" x14ac:dyDescent="0.25">
      <c r="A411" s="5"/>
    </row>
    <row r="412" spans="1:1" x14ac:dyDescent="0.25">
      <c r="A412" s="5"/>
    </row>
    <row r="413" spans="1:1" x14ac:dyDescent="0.25">
      <c r="A413" s="5"/>
    </row>
    <row r="414" spans="1:1" x14ac:dyDescent="0.25">
      <c r="A414" s="5"/>
    </row>
    <row r="415" spans="1:1" x14ac:dyDescent="0.25">
      <c r="A415" s="5"/>
    </row>
    <row r="416" spans="1:1" x14ac:dyDescent="0.25">
      <c r="A416" s="5"/>
    </row>
    <row r="417" spans="1:1" x14ac:dyDescent="0.25">
      <c r="A417" s="5"/>
    </row>
    <row r="418" spans="1:1" x14ac:dyDescent="0.25">
      <c r="A418" s="5"/>
    </row>
    <row r="419" spans="1:1" x14ac:dyDescent="0.25">
      <c r="A419" s="5"/>
    </row>
    <row r="420" spans="1:1" x14ac:dyDescent="0.25">
      <c r="A420" s="5"/>
    </row>
    <row r="421" spans="1:1" x14ac:dyDescent="0.25">
      <c r="A421" s="5"/>
    </row>
    <row r="422" spans="1:1" x14ac:dyDescent="0.25">
      <c r="A422" s="5"/>
    </row>
    <row r="423" spans="1:1" x14ac:dyDescent="0.25">
      <c r="A423" s="5"/>
    </row>
    <row r="424" spans="1:1" x14ac:dyDescent="0.25">
      <c r="A424" s="5"/>
    </row>
    <row r="425" spans="1:1" x14ac:dyDescent="0.25">
      <c r="A425" s="5"/>
    </row>
    <row r="426" spans="1:1" x14ac:dyDescent="0.25">
      <c r="A426" s="5"/>
    </row>
    <row r="427" spans="1:1" x14ac:dyDescent="0.25">
      <c r="A427" s="5"/>
    </row>
    <row r="428" spans="1:1" x14ac:dyDescent="0.25">
      <c r="A428" s="5"/>
    </row>
    <row r="429" spans="1:1" x14ac:dyDescent="0.25">
      <c r="A429" s="5"/>
    </row>
    <row r="430" spans="1:1" x14ac:dyDescent="0.25">
      <c r="A430" s="5"/>
    </row>
    <row r="431" spans="1:1" x14ac:dyDescent="0.25">
      <c r="A431" s="5"/>
    </row>
    <row r="432" spans="1:1" x14ac:dyDescent="0.25">
      <c r="A432" s="5"/>
    </row>
    <row r="433" spans="1:1" x14ac:dyDescent="0.25">
      <c r="A433" s="5"/>
    </row>
    <row r="434" spans="1:1" x14ac:dyDescent="0.25">
      <c r="A434" s="5"/>
    </row>
    <row r="435" spans="1:1" x14ac:dyDescent="0.25">
      <c r="A435" s="5"/>
    </row>
    <row r="436" spans="1:1" x14ac:dyDescent="0.25">
      <c r="A436" s="5"/>
    </row>
    <row r="437" spans="1:1" x14ac:dyDescent="0.25">
      <c r="A437" s="5"/>
    </row>
    <row r="438" spans="1:1" x14ac:dyDescent="0.25">
      <c r="A438" s="5"/>
    </row>
    <row r="439" spans="1:1" x14ac:dyDescent="0.25">
      <c r="A439" s="5"/>
    </row>
    <row r="440" spans="1:1" x14ac:dyDescent="0.25">
      <c r="A440" s="5"/>
    </row>
    <row r="441" spans="1:1" x14ac:dyDescent="0.25">
      <c r="A441" s="5"/>
    </row>
    <row r="442" spans="1:1" x14ac:dyDescent="0.25">
      <c r="A442" s="5"/>
    </row>
    <row r="443" spans="1:1" x14ac:dyDescent="0.25">
      <c r="A443" s="5"/>
    </row>
    <row r="444" spans="1:1" x14ac:dyDescent="0.25">
      <c r="A444" s="5"/>
    </row>
    <row r="445" spans="1:1" x14ac:dyDescent="0.25">
      <c r="A445" s="5"/>
    </row>
    <row r="446" spans="1:1" x14ac:dyDescent="0.25">
      <c r="A446" s="5"/>
    </row>
    <row r="447" spans="1:1" x14ac:dyDescent="0.25">
      <c r="A447" s="5"/>
    </row>
    <row r="448" spans="1:1" x14ac:dyDescent="0.25">
      <c r="A448" s="5"/>
    </row>
    <row r="449" spans="1:1" x14ac:dyDescent="0.25">
      <c r="A449" s="5"/>
    </row>
    <row r="450" spans="1:1" x14ac:dyDescent="0.25">
      <c r="A450" s="5"/>
    </row>
    <row r="451" spans="1:1" x14ac:dyDescent="0.25">
      <c r="A451" s="5"/>
    </row>
    <row r="452" spans="1:1" x14ac:dyDescent="0.25">
      <c r="A452" s="5"/>
    </row>
    <row r="453" spans="1:1" x14ac:dyDescent="0.25">
      <c r="A453" s="5"/>
    </row>
    <row r="454" spans="1:1" x14ac:dyDescent="0.25">
      <c r="A454" s="5"/>
    </row>
    <row r="455" spans="1:1" x14ac:dyDescent="0.25">
      <c r="A455" s="5"/>
    </row>
    <row r="456" spans="1:1" x14ac:dyDescent="0.25">
      <c r="A456" s="5"/>
    </row>
    <row r="457" spans="1:1" x14ac:dyDescent="0.25">
      <c r="A457" s="5"/>
    </row>
    <row r="458" spans="1:1" x14ac:dyDescent="0.25">
      <c r="A458" s="5"/>
    </row>
    <row r="459" spans="1:1" x14ac:dyDescent="0.25">
      <c r="A459" s="5"/>
    </row>
    <row r="460" spans="1:1" x14ac:dyDescent="0.25">
      <c r="A460" s="5"/>
    </row>
    <row r="461" spans="1:1" x14ac:dyDescent="0.25">
      <c r="A461" s="5"/>
    </row>
    <row r="462" spans="1:1" x14ac:dyDescent="0.25">
      <c r="A462" s="5"/>
    </row>
    <row r="463" spans="1:1" x14ac:dyDescent="0.25">
      <c r="A463" s="5"/>
    </row>
    <row r="464" spans="1:1" x14ac:dyDescent="0.25">
      <c r="A464" s="5"/>
    </row>
    <row r="465" spans="1:1" x14ac:dyDescent="0.25">
      <c r="A465" s="5"/>
    </row>
    <row r="466" spans="1:1" x14ac:dyDescent="0.25">
      <c r="A466" s="5"/>
    </row>
    <row r="467" spans="1:1" x14ac:dyDescent="0.25">
      <c r="A467" s="5"/>
    </row>
    <row r="468" spans="1:1" x14ac:dyDescent="0.25">
      <c r="A468" s="5"/>
    </row>
    <row r="469" spans="1:1" x14ac:dyDescent="0.25">
      <c r="A469" s="5"/>
    </row>
    <row r="470" spans="1:1" x14ac:dyDescent="0.25">
      <c r="A470" s="5"/>
    </row>
    <row r="471" spans="1:1" x14ac:dyDescent="0.25">
      <c r="A471" s="5"/>
    </row>
    <row r="472" spans="1:1" x14ac:dyDescent="0.25">
      <c r="A472" s="5"/>
    </row>
    <row r="473" spans="1:1" x14ac:dyDescent="0.25">
      <c r="A473" s="5"/>
    </row>
    <row r="474" spans="1:1" x14ac:dyDescent="0.25">
      <c r="A474" s="5"/>
    </row>
    <row r="475" spans="1:1" x14ac:dyDescent="0.25">
      <c r="A475" s="5"/>
    </row>
    <row r="476" spans="1:1" x14ac:dyDescent="0.25">
      <c r="A476" s="5"/>
    </row>
    <row r="477" spans="1:1" x14ac:dyDescent="0.25">
      <c r="A477" s="5"/>
    </row>
    <row r="478" spans="1:1" x14ac:dyDescent="0.25">
      <c r="A478" s="5"/>
    </row>
    <row r="479" spans="1:1" x14ac:dyDescent="0.25">
      <c r="A479" s="5"/>
    </row>
    <row r="480" spans="1:1" x14ac:dyDescent="0.25">
      <c r="A480" s="5"/>
    </row>
    <row r="481" spans="1:1" x14ac:dyDescent="0.25">
      <c r="A481" s="5"/>
    </row>
    <row r="482" spans="1:1" x14ac:dyDescent="0.25">
      <c r="A482" s="5"/>
    </row>
    <row r="483" spans="1:1" x14ac:dyDescent="0.25">
      <c r="A483" s="5"/>
    </row>
    <row r="484" spans="1:1" x14ac:dyDescent="0.25">
      <c r="A484" s="5"/>
    </row>
    <row r="485" spans="1:1" x14ac:dyDescent="0.25">
      <c r="A485" s="5"/>
    </row>
    <row r="486" spans="1:1" x14ac:dyDescent="0.25">
      <c r="A486" s="5"/>
    </row>
    <row r="487" spans="1:1" x14ac:dyDescent="0.25">
      <c r="A487" s="5"/>
    </row>
    <row r="488" spans="1:1" x14ac:dyDescent="0.25">
      <c r="A488" s="5"/>
    </row>
    <row r="489" spans="1:1" x14ac:dyDescent="0.25">
      <c r="A489" s="5"/>
    </row>
    <row r="490" spans="1:1" x14ac:dyDescent="0.25">
      <c r="A490" s="5"/>
    </row>
    <row r="491" spans="1:1" x14ac:dyDescent="0.25">
      <c r="A491" s="5"/>
    </row>
    <row r="492" spans="1:1" x14ac:dyDescent="0.25">
      <c r="A492" s="5"/>
    </row>
    <row r="493" spans="1:1" x14ac:dyDescent="0.25">
      <c r="A493" s="5"/>
    </row>
    <row r="494" spans="1:1" x14ac:dyDescent="0.25">
      <c r="A494" s="5"/>
    </row>
    <row r="495" spans="1:1" x14ac:dyDescent="0.25">
      <c r="A495" s="5"/>
    </row>
    <row r="496" spans="1:1" x14ac:dyDescent="0.25">
      <c r="A496" s="5"/>
    </row>
    <row r="497" spans="1:1" x14ac:dyDescent="0.25">
      <c r="A497" s="5"/>
    </row>
    <row r="498" spans="1:1" x14ac:dyDescent="0.25">
      <c r="A498" s="5"/>
    </row>
    <row r="499" spans="1:1" x14ac:dyDescent="0.25">
      <c r="A499" s="5"/>
    </row>
    <row r="500" spans="1:1" x14ac:dyDescent="0.25">
      <c r="A500" s="5"/>
    </row>
    <row r="501" spans="1:1" x14ac:dyDescent="0.25">
      <c r="A501" s="5"/>
    </row>
    <row r="502" spans="1:1" x14ac:dyDescent="0.25">
      <c r="A502" s="5"/>
    </row>
    <row r="503" spans="1:1" x14ac:dyDescent="0.25">
      <c r="A503" s="5"/>
    </row>
    <row r="504" spans="1:1" x14ac:dyDescent="0.25">
      <c r="A504" s="5"/>
    </row>
    <row r="505" spans="1:1" x14ac:dyDescent="0.25">
      <c r="A505" s="5"/>
    </row>
    <row r="506" spans="1:1" x14ac:dyDescent="0.25">
      <c r="A506" s="5"/>
    </row>
    <row r="507" spans="1:1" x14ac:dyDescent="0.25">
      <c r="A507" s="5"/>
    </row>
    <row r="508" spans="1:1" x14ac:dyDescent="0.25">
      <c r="A508" s="5"/>
    </row>
    <row r="509" spans="1:1" x14ac:dyDescent="0.25">
      <c r="A509" s="5"/>
    </row>
    <row r="510" spans="1:1" x14ac:dyDescent="0.25">
      <c r="A510" s="5"/>
    </row>
    <row r="511" spans="1:1" x14ac:dyDescent="0.25">
      <c r="A511" s="5"/>
    </row>
    <row r="512" spans="1:1" x14ac:dyDescent="0.25">
      <c r="A512" s="5"/>
    </row>
    <row r="513" spans="1:1" x14ac:dyDescent="0.25">
      <c r="A513" s="5"/>
    </row>
    <row r="514" spans="1:1" x14ac:dyDescent="0.25">
      <c r="A514" s="5"/>
    </row>
    <row r="515" spans="1:1" x14ac:dyDescent="0.25">
      <c r="A515" s="5"/>
    </row>
    <row r="516" spans="1:1" x14ac:dyDescent="0.25">
      <c r="A516" s="5"/>
    </row>
    <row r="517" spans="1:1" x14ac:dyDescent="0.25">
      <c r="A517" s="5"/>
    </row>
    <row r="518" spans="1:1" x14ac:dyDescent="0.25">
      <c r="A518" s="5"/>
    </row>
    <row r="519" spans="1:1" x14ac:dyDescent="0.25">
      <c r="A519" s="5"/>
    </row>
    <row r="520" spans="1:1" x14ac:dyDescent="0.25">
      <c r="A520" s="5"/>
    </row>
    <row r="521" spans="1:1" x14ac:dyDescent="0.25">
      <c r="A521" s="5"/>
    </row>
    <row r="522" spans="1:1" x14ac:dyDescent="0.25">
      <c r="A522" s="5"/>
    </row>
    <row r="523" spans="1:1" x14ac:dyDescent="0.25">
      <c r="A523" s="5"/>
    </row>
    <row r="524" spans="1:1" x14ac:dyDescent="0.25">
      <c r="A524" s="5"/>
    </row>
    <row r="525" spans="1:1" x14ac:dyDescent="0.25">
      <c r="A525" s="5"/>
    </row>
    <row r="526" spans="1:1" x14ac:dyDescent="0.25">
      <c r="A526" s="5"/>
    </row>
    <row r="527" spans="1:1" x14ac:dyDescent="0.25">
      <c r="A527" s="5"/>
    </row>
    <row r="528" spans="1:1" x14ac:dyDescent="0.25">
      <c r="A528" s="5"/>
    </row>
    <row r="529" spans="1:1" x14ac:dyDescent="0.25">
      <c r="A529" s="5"/>
    </row>
    <row r="530" spans="1:1" x14ac:dyDescent="0.25">
      <c r="A530" s="5"/>
    </row>
    <row r="531" spans="1:1" x14ac:dyDescent="0.25">
      <c r="A531" s="5"/>
    </row>
    <row r="532" spans="1:1" x14ac:dyDescent="0.25">
      <c r="A532" s="5"/>
    </row>
    <row r="533" spans="1:1" x14ac:dyDescent="0.25">
      <c r="A533" s="5"/>
    </row>
    <row r="534" spans="1:1" x14ac:dyDescent="0.25">
      <c r="A534" s="5"/>
    </row>
    <row r="535" spans="1:1" x14ac:dyDescent="0.25">
      <c r="A535" s="5"/>
    </row>
    <row r="536" spans="1:1" x14ac:dyDescent="0.25">
      <c r="A536" s="5"/>
    </row>
    <row r="537" spans="1:1" x14ac:dyDescent="0.25">
      <c r="A537" s="5"/>
    </row>
    <row r="538" spans="1:1" x14ac:dyDescent="0.25">
      <c r="A538" s="5"/>
    </row>
    <row r="539" spans="1:1" x14ac:dyDescent="0.25">
      <c r="A539" s="5"/>
    </row>
    <row r="540" spans="1:1" x14ac:dyDescent="0.25">
      <c r="A540" s="5"/>
    </row>
    <row r="541" spans="1:1" x14ac:dyDescent="0.25">
      <c r="A541" s="5"/>
    </row>
    <row r="542" spans="1:1" x14ac:dyDescent="0.25">
      <c r="A542" s="5"/>
    </row>
    <row r="543" spans="1:1" x14ac:dyDescent="0.25">
      <c r="A543" s="5"/>
    </row>
    <row r="544" spans="1:1" x14ac:dyDescent="0.25">
      <c r="A544" s="5"/>
    </row>
    <row r="545" spans="1:1" x14ac:dyDescent="0.25">
      <c r="A545" s="5"/>
    </row>
    <row r="546" spans="1:1" x14ac:dyDescent="0.25">
      <c r="A546" s="5"/>
    </row>
    <row r="547" spans="1:1" x14ac:dyDescent="0.25">
      <c r="A547" s="5"/>
    </row>
    <row r="548" spans="1:1" x14ac:dyDescent="0.25">
      <c r="A548" s="5"/>
    </row>
    <row r="549" spans="1:1" x14ac:dyDescent="0.25">
      <c r="A549" s="5"/>
    </row>
    <row r="550" spans="1:1" x14ac:dyDescent="0.25">
      <c r="A550" s="5"/>
    </row>
    <row r="551" spans="1:1" x14ac:dyDescent="0.25">
      <c r="A551" s="5"/>
    </row>
    <row r="552" spans="1:1" x14ac:dyDescent="0.25">
      <c r="A552" s="5"/>
    </row>
    <row r="553" spans="1:1" x14ac:dyDescent="0.25">
      <c r="A553" s="5"/>
    </row>
    <row r="554" spans="1:1" x14ac:dyDescent="0.25">
      <c r="A554" s="5"/>
    </row>
    <row r="555" spans="1:1" x14ac:dyDescent="0.25">
      <c r="A555" s="5"/>
    </row>
    <row r="556" spans="1:1" x14ac:dyDescent="0.25">
      <c r="A556" s="5"/>
    </row>
    <row r="557" spans="1:1" x14ac:dyDescent="0.25">
      <c r="A557" s="5"/>
    </row>
    <row r="558" spans="1:1" x14ac:dyDescent="0.25">
      <c r="A558" s="5"/>
    </row>
    <row r="559" spans="1:1" x14ac:dyDescent="0.25">
      <c r="A559" s="5"/>
    </row>
    <row r="560" spans="1:1" x14ac:dyDescent="0.25">
      <c r="A560" s="5"/>
    </row>
    <row r="561" spans="1:1" x14ac:dyDescent="0.25">
      <c r="A561" s="5"/>
    </row>
    <row r="562" spans="1:1" x14ac:dyDescent="0.25">
      <c r="A562" s="5"/>
    </row>
    <row r="563" spans="1:1" x14ac:dyDescent="0.25">
      <c r="A563" s="5"/>
    </row>
    <row r="564" spans="1:1" x14ac:dyDescent="0.25">
      <c r="A564" s="5"/>
    </row>
    <row r="565" spans="1:1" x14ac:dyDescent="0.25">
      <c r="A565" s="5"/>
    </row>
    <row r="566" spans="1:1" x14ac:dyDescent="0.25">
      <c r="A566" s="5"/>
    </row>
    <row r="567" spans="1:1" x14ac:dyDescent="0.25">
      <c r="A567" s="5"/>
    </row>
    <row r="568" spans="1:1" x14ac:dyDescent="0.25">
      <c r="A568" s="5"/>
    </row>
    <row r="569" spans="1:1" x14ac:dyDescent="0.25">
      <c r="A569" s="5"/>
    </row>
    <row r="570" spans="1:1" x14ac:dyDescent="0.25">
      <c r="A570" s="5"/>
    </row>
    <row r="571" spans="1:1" x14ac:dyDescent="0.25">
      <c r="A571" s="5"/>
    </row>
    <row r="572" spans="1:1" x14ac:dyDescent="0.25">
      <c r="A572" s="5"/>
    </row>
    <row r="573" spans="1:1" x14ac:dyDescent="0.25">
      <c r="A573" s="5"/>
    </row>
    <row r="574" spans="1:1" x14ac:dyDescent="0.25">
      <c r="A574" s="5"/>
    </row>
    <row r="575" spans="1:1" x14ac:dyDescent="0.25">
      <c r="A575" s="5"/>
    </row>
    <row r="576" spans="1:1" x14ac:dyDescent="0.25">
      <c r="A576" s="5"/>
    </row>
    <row r="577" spans="1:1" x14ac:dyDescent="0.25">
      <c r="A577" s="5"/>
    </row>
    <row r="578" spans="1:1" x14ac:dyDescent="0.25">
      <c r="A578" s="5"/>
    </row>
    <row r="579" spans="1:1" x14ac:dyDescent="0.25">
      <c r="A579" s="5"/>
    </row>
    <row r="580" spans="1:1" x14ac:dyDescent="0.25">
      <c r="A580" s="5"/>
    </row>
    <row r="581" spans="1:1" x14ac:dyDescent="0.25">
      <c r="A581" s="5"/>
    </row>
    <row r="582" spans="1:1" x14ac:dyDescent="0.25">
      <c r="A582" s="5"/>
    </row>
    <row r="583" spans="1:1" x14ac:dyDescent="0.25">
      <c r="A583" s="5"/>
    </row>
    <row r="584" spans="1:1" x14ac:dyDescent="0.25">
      <c r="A584" s="5"/>
    </row>
    <row r="585" spans="1:1" x14ac:dyDescent="0.25">
      <c r="A585" s="5"/>
    </row>
    <row r="586" spans="1:1" x14ac:dyDescent="0.25">
      <c r="A586" s="5"/>
    </row>
    <row r="587" spans="1:1" x14ac:dyDescent="0.25">
      <c r="A587" s="5"/>
    </row>
    <row r="588" spans="1:1" x14ac:dyDescent="0.25">
      <c r="A588" s="5"/>
    </row>
    <row r="589" spans="1:1" x14ac:dyDescent="0.25">
      <c r="A589" s="5"/>
    </row>
    <row r="590" spans="1:1" x14ac:dyDescent="0.25">
      <c r="A590" s="5"/>
    </row>
    <row r="591" spans="1:1" x14ac:dyDescent="0.25">
      <c r="A591" s="5"/>
    </row>
    <row r="592" spans="1:1" x14ac:dyDescent="0.25">
      <c r="A592" s="5"/>
    </row>
    <row r="593" spans="1:1" x14ac:dyDescent="0.25">
      <c r="A593" s="5"/>
    </row>
    <row r="594" spans="1:1" x14ac:dyDescent="0.25">
      <c r="A594" s="5"/>
    </row>
    <row r="595" spans="1:1" x14ac:dyDescent="0.25">
      <c r="A595" s="5"/>
    </row>
    <row r="596" spans="1:1" x14ac:dyDescent="0.25">
      <c r="A596" s="5"/>
    </row>
    <row r="597" spans="1:1" x14ac:dyDescent="0.25">
      <c r="A597" s="5"/>
    </row>
    <row r="598" spans="1:1" x14ac:dyDescent="0.25">
      <c r="A598" s="5"/>
    </row>
    <row r="599" spans="1:1" x14ac:dyDescent="0.25">
      <c r="A599" s="5"/>
    </row>
    <row r="600" spans="1:1" x14ac:dyDescent="0.25">
      <c r="A600" s="5"/>
    </row>
    <row r="601" spans="1:1" x14ac:dyDescent="0.25">
      <c r="A601" s="5"/>
    </row>
    <row r="602" spans="1:1" x14ac:dyDescent="0.25">
      <c r="A602" s="5"/>
    </row>
    <row r="603" spans="1:1" x14ac:dyDescent="0.25">
      <c r="A603" s="5"/>
    </row>
    <row r="604" spans="1:1" x14ac:dyDescent="0.25">
      <c r="A604" s="5"/>
    </row>
    <row r="605" spans="1:1" x14ac:dyDescent="0.25">
      <c r="A605" s="5"/>
    </row>
    <row r="606" spans="1:1" x14ac:dyDescent="0.25">
      <c r="A606" s="5"/>
    </row>
    <row r="607" spans="1:1" x14ac:dyDescent="0.25">
      <c r="A607" s="5"/>
    </row>
    <row r="608" spans="1:1" x14ac:dyDescent="0.25">
      <c r="A608" s="5"/>
    </row>
    <row r="609" spans="1:1" x14ac:dyDescent="0.25">
      <c r="A609" s="5"/>
    </row>
    <row r="610" spans="1:1" x14ac:dyDescent="0.25">
      <c r="A610" s="5"/>
    </row>
    <row r="611" spans="1:1" x14ac:dyDescent="0.25">
      <c r="A611" s="5"/>
    </row>
    <row r="612" spans="1:1" x14ac:dyDescent="0.25">
      <c r="A612" s="5"/>
    </row>
    <row r="613" spans="1:1" x14ac:dyDescent="0.25">
      <c r="A613" s="5"/>
    </row>
    <row r="614" spans="1:1" x14ac:dyDescent="0.25">
      <c r="A614" s="5"/>
    </row>
    <row r="615" spans="1:1" x14ac:dyDescent="0.25">
      <c r="A615" s="5"/>
    </row>
    <row r="616" spans="1:1" x14ac:dyDescent="0.25">
      <c r="A616" s="5"/>
    </row>
    <row r="617" spans="1:1" x14ac:dyDescent="0.25">
      <c r="A617" s="5"/>
    </row>
    <row r="618" spans="1:1" x14ac:dyDescent="0.25">
      <c r="A618" s="5"/>
    </row>
    <row r="619" spans="1:1" x14ac:dyDescent="0.25">
      <c r="A619" s="5"/>
    </row>
    <row r="620" spans="1:1" x14ac:dyDescent="0.25">
      <c r="A620" s="5"/>
    </row>
    <row r="621" spans="1:1" x14ac:dyDescent="0.25">
      <c r="A621" s="5"/>
    </row>
    <row r="622" spans="1:1" x14ac:dyDescent="0.25">
      <c r="A622" s="5"/>
    </row>
    <row r="623" spans="1:1" x14ac:dyDescent="0.25">
      <c r="A623" s="5"/>
    </row>
    <row r="624" spans="1:1" x14ac:dyDescent="0.25">
      <c r="A624" s="5"/>
    </row>
    <row r="625" spans="1:1" x14ac:dyDescent="0.25">
      <c r="A625" s="5"/>
    </row>
    <row r="626" spans="1:1" x14ac:dyDescent="0.25">
      <c r="A626" s="5"/>
    </row>
    <row r="627" spans="1:1" x14ac:dyDescent="0.25">
      <c r="A627" s="5"/>
    </row>
    <row r="628" spans="1:1" x14ac:dyDescent="0.25">
      <c r="A628" s="5"/>
    </row>
    <row r="629" spans="1:1" x14ac:dyDescent="0.25">
      <c r="A629" s="5"/>
    </row>
    <row r="630" spans="1:1" x14ac:dyDescent="0.25">
      <c r="A630" s="5"/>
    </row>
    <row r="631" spans="1:1" x14ac:dyDescent="0.25">
      <c r="A631" s="5"/>
    </row>
    <row r="632" spans="1:1" x14ac:dyDescent="0.25">
      <c r="A632" s="5"/>
    </row>
    <row r="633" spans="1:1" x14ac:dyDescent="0.25">
      <c r="A633" s="5"/>
    </row>
    <row r="634" spans="1:1" x14ac:dyDescent="0.25">
      <c r="A634" s="5"/>
    </row>
    <row r="635" spans="1:1" x14ac:dyDescent="0.25">
      <c r="A635" s="5"/>
    </row>
    <row r="636" spans="1:1" x14ac:dyDescent="0.25">
      <c r="A636" s="5"/>
    </row>
    <row r="637" spans="1:1" x14ac:dyDescent="0.25">
      <c r="A637" s="5"/>
    </row>
    <row r="638" spans="1:1" x14ac:dyDescent="0.25">
      <c r="A638" s="5"/>
    </row>
    <row r="639" spans="1:1" x14ac:dyDescent="0.25">
      <c r="A639" s="5"/>
    </row>
    <row r="640" spans="1:1" x14ac:dyDescent="0.25">
      <c r="A640" s="5"/>
    </row>
    <row r="641" spans="1:1" x14ac:dyDescent="0.25">
      <c r="A641" s="5"/>
    </row>
    <row r="642" spans="1:1" x14ac:dyDescent="0.25">
      <c r="A642" s="5"/>
    </row>
    <row r="643" spans="1:1" x14ac:dyDescent="0.25">
      <c r="A643" s="5"/>
    </row>
    <row r="644" spans="1:1" x14ac:dyDescent="0.25">
      <c r="A644" s="5"/>
    </row>
    <row r="645" spans="1:1" x14ac:dyDescent="0.25">
      <c r="A645" s="5"/>
    </row>
    <row r="646" spans="1:1" x14ac:dyDescent="0.25">
      <c r="A646" s="5"/>
    </row>
    <row r="647" spans="1:1" x14ac:dyDescent="0.25">
      <c r="A647" s="5"/>
    </row>
    <row r="648" spans="1:1" x14ac:dyDescent="0.25">
      <c r="A648" s="5"/>
    </row>
    <row r="649" spans="1:1" x14ac:dyDescent="0.25">
      <c r="A649" s="5"/>
    </row>
    <row r="650" spans="1:1" x14ac:dyDescent="0.25">
      <c r="A650" s="5"/>
    </row>
    <row r="651" spans="1:1" x14ac:dyDescent="0.25">
      <c r="A651" s="5"/>
    </row>
    <row r="652" spans="1:1" x14ac:dyDescent="0.25">
      <c r="A652" s="5"/>
    </row>
    <row r="653" spans="1:1" x14ac:dyDescent="0.25">
      <c r="A653" s="5"/>
    </row>
    <row r="654" spans="1:1" x14ac:dyDescent="0.25">
      <c r="A654" s="5"/>
    </row>
    <row r="655" spans="1:1" x14ac:dyDescent="0.25">
      <c r="A655" s="5"/>
    </row>
    <row r="656" spans="1:1" x14ac:dyDescent="0.25">
      <c r="A656" s="5"/>
    </row>
    <row r="657" spans="1:1" x14ac:dyDescent="0.25">
      <c r="A657" s="5"/>
    </row>
    <row r="658" spans="1:1" x14ac:dyDescent="0.25">
      <c r="A658" s="5"/>
    </row>
    <row r="659" spans="1:1" x14ac:dyDescent="0.25">
      <c r="A659" s="5"/>
    </row>
    <row r="660" spans="1:1" x14ac:dyDescent="0.25">
      <c r="A660" s="5"/>
    </row>
    <row r="661" spans="1:1" x14ac:dyDescent="0.25">
      <c r="A661" s="5"/>
    </row>
    <row r="662" spans="1:1" x14ac:dyDescent="0.25">
      <c r="A662" s="5"/>
    </row>
    <row r="663" spans="1:1" x14ac:dyDescent="0.25">
      <c r="A663" s="5"/>
    </row>
    <row r="664" spans="1:1" x14ac:dyDescent="0.25">
      <c r="A664" s="5"/>
    </row>
    <row r="665" spans="1:1" x14ac:dyDescent="0.25">
      <c r="A665" s="5"/>
    </row>
    <row r="666" spans="1:1" x14ac:dyDescent="0.25">
      <c r="A666" s="5"/>
    </row>
    <row r="667" spans="1:1" x14ac:dyDescent="0.25">
      <c r="A667" s="5"/>
    </row>
    <row r="668" spans="1:1" x14ac:dyDescent="0.25">
      <c r="A668" s="5"/>
    </row>
    <row r="669" spans="1:1" x14ac:dyDescent="0.25">
      <c r="A669" s="5"/>
    </row>
    <row r="670" spans="1:1" x14ac:dyDescent="0.25">
      <c r="A670" s="5"/>
    </row>
    <row r="671" spans="1:1" x14ac:dyDescent="0.25">
      <c r="A671" s="5"/>
    </row>
    <row r="672" spans="1:1" x14ac:dyDescent="0.25">
      <c r="A672" s="5"/>
    </row>
    <row r="673" spans="1:1" x14ac:dyDescent="0.25">
      <c r="A673" s="5"/>
    </row>
    <row r="674" spans="1:1" x14ac:dyDescent="0.25">
      <c r="A674" s="5"/>
    </row>
    <row r="675" spans="1:1" x14ac:dyDescent="0.25">
      <c r="A675" s="5"/>
    </row>
    <row r="676" spans="1:1" x14ac:dyDescent="0.25">
      <c r="A676" s="5"/>
    </row>
    <row r="677" spans="1:1" x14ac:dyDescent="0.25">
      <c r="A677" s="5"/>
    </row>
    <row r="678" spans="1:1" x14ac:dyDescent="0.25">
      <c r="A678" s="5"/>
    </row>
    <row r="679" spans="1:1" x14ac:dyDescent="0.25">
      <c r="A679" s="5"/>
    </row>
    <row r="680" spans="1:1" x14ac:dyDescent="0.25">
      <c r="A680" s="5"/>
    </row>
    <row r="681" spans="1:1" x14ac:dyDescent="0.25">
      <c r="A681" s="5"/>
    </row>
    <row r="682" spans="1:1" x14ac:dyDescent="0.25">
      <c r="A682" s="5"/>
    </row>
    <row r="683" spans="1:1" x14ac:dyDescent="0.25">
      <c r="A683" s="5"/>
    </row>
    <row r="684" spans="1:1" x14ac:dyDescent="0.25">
      <c r="A684" s="5"/>
    </row>
    <row r="685" spans="1:1" x14ac:dyDescent="0.25">
      <c r="A685" s="5"/>
    </row>
    <row r="686" spans="1:1" x14ac:dyDescent="0.25">
      <c r="A686" s="5"/>
    </row>
    <row r="687" spans="1:1" x14ac:dyDescent="0.25">
      <c r="A687" s="5"/>
    </row>
    <row r="688" spans="1:1" x14ac:dyDescent="0.25">
      <c r="A688" s="5"/>
    </row>
    <row r="689" spans="1:1" x14ac:dyDescent="0.25">
      <c r="A689" s="5"/>
    </row>
    <row r="690" spans="1:1" x14ac:dyDescent="0.25">
      <c r="A690" s="5"/>
    </row>
    <row r="691" spans="1:1" x14ac:dyDescent="0.25">
      <c r="A691" s="5"/>
    </row>
    <row r="692" spans="1:1" x14ac:dyDescent="0.25">
      <c r="A692" s="5"/>
    </row>
    <row r="693" spans="1:1" x14ac:dyDescent="0.25">
      <c r="A693" s="5"/>
    </row>
    <row r="694" spans="1:1" x14ac:dyDescent="0.25">
      <c r="A694" s="5"/>
    </row>
    <row r="695" spans="1:1" x14ac:dyDescent="0.25">
      <c r="A695" s="5"/>
    </row>
    <row r="696" spans="1:1" x14ac:dyDescent="0.25">
      <c r="A696" s="5"/>
    </row>
    <row r="697" spans="1:1" x14ac:dyDescent="0.25">
      <c r="A697" s="5"/>
    </row>
    <row r="698" spans="1:1" x14ac:dyDescent="0.25">
      <c r="A698" s="5"/>
    </row>
    <row r="699" spans="1:1" x14ac:dyDescent="0.25">
      <c r="A699" s="5"/>
    </row>
    <row r="700" spans="1:1" x14ac:dyDescent="0.25">
      <c r="A700" s="5"/>
    </row>
    <row r="701" spans="1:1" x14ac:dyDescent="0.25">
      <c r="A701" s="5"/>
    </row>
    <row r="702" spans="1:1" x14ac:dyDescent="0.25">
      <c r="A702" s="5"/>
    </row>
    <row r="703" spans="1:1" x14ac:dyDescent="0.25">
      <c r="A703" s="5"/>
    </row>
    <row r="704" spans="1:1" x14ac:dyDescent="0.25">
      <c r="A704" s="5"/>
    </row>
    <row r="705" spans="1:1" x14ac:dyDescent="0.25">
      <c r="A705" s="5"/>
    </row>
    <row r="706" spans="1:1" x14ac:dyDescent="0.25">
      <c r="A706" s="5"/>
    </row>
    <row r="707" spans="1:1" x14ac:dyDescent="0.25">
      <c r="A707" s="5"/>
    </row>
    <row r="708" spans="1:1" x14ac:dyDescent="0.25">
      <c r="A708" s="5"/>
    </row>
    <row r="709" spans="1:1" x14ac:dyDescent="0.25">
      <c r="A709" s="5"/>
    </row>
    <row r="710" spans="1:1" x14ac:dyDescent="0.25">
      <c r="A710" s="5"/>
    </row>
    <row r="711" spans="1:1" x14ac:dyDescent="0.25">
      <c r="A711" s="5"/>
    </row>
    <row r="712" spans="1:1" x14ac:dyDescent="0.25">
      <c r="A712" s="5"/>
    </row>
    <row r="713" spans="1:1" x14ac:dyDescent="0.25">
      <c r="A713" s="5"/>
    </row>
    <row r="714" spans="1:1" x14ac:dyDescent="0.25">
      <c r="A714" s="5"/>
    </row>
    <row r="715" spans="1:1" x14ac:dyDescent="0.25">
      <c r="A715" s="5"/>
    </row>
    <row r="716" spans="1:1" x14ac:dyDescent="0.25">
      <c r="A716" s="5"/>
    </row>
    <row r="717" spans="1:1" x14ac:dyDescent="0.25">
      <c r="A717" s="5"/>
    </row>
    <row r="718" spans="1:1" x14ac:dyDescent="0.25">
      <c r="A718" s="5"/>
    </row>
    <row r="719" spans="1:1" x14ac:dyDescent="0.25">
      <c r="A719" s="5"/>
    </row>
    <row r="720" spans="1:1" x14ac:dyDescent="0.25">
      <c r="A720" s="5"/>
    </row>
    <row r="721" spans="1:1" x14ac:dyDescent="0.25">
      <c r="A721" s="5"/>
    </row>
    <row r="722" spans="1:1" x14ac:dyDescent="0.25">
      <c r="A722" s="5"/>
    </row>
    <row r="723" spans="1:1" x14ac:dyDescent="0.25">
      <c r="A723" s="5"/>
    </row>
    <row r="724" spans="1:1" x14ac:dyDescent="0.25">
      <c r="A724" s="5"/>
    </row>
    <row r="725" spans="1:1" x14ac:dyDescent="0.25">
      <c r="A725" s="5"/>
    </row>
    <row r="726" spans="1:1" x14ac:dyDescent="0.25">
      <c r="A726" s="5"/>
    </row>
    <row r="727" spans="1:1" x14ac:dyDescent="0.25">
      <c r="A727" s="5"/>
    </row>
    <row r="728" spans="1:1" x14ac:dyDescent="0.25">
      <c r="A728" s="5"/>
    </row>
    <row r="729" spans="1:1" x14ac:dyDescent="0.25">
      <c r="A729" s="5"/>
    </row>
    <row r="730" spans="1:1" x14ac:dyDescent="0.25">
      <c r="A730" s="5"/>
    </row>
    <row r="731" spans="1:1" x14ac:dyDescent="0.25">
      <c r="A731" s="5"/>
    </row>
    <row r="732" spans="1:1" x14ac:dyDescent="0.25">
      <c r="A732" s="5"/>
    </row>
    <row r="733" spans="1:1" x14ac:dyDescent="0.25">
      <c r="A733" s="5"/>
    </row>
    <row r="734" spans="1:1" x14ac:dyDescent="0.25">
      <c r="A734" s="5"/>
    </row>
    <row r="735" spans="1:1" x14ac:dyDescent="0.25">
      <c r="A735" s="5"/>
    </row>
    <row r="736" spans="1:1" x14ac:dyDescent="0.25">
      <c r="A736" s="5"/>
    </row>
    <row r="737" spans="1:1" x14ac:dyDescent="0.25">
      <c r="A737" s="5"/>
    </row>
    <row r="738" spans="1:1" x14ac:dyDescent="0.25">
      <c r="A738" s="5"/>
    </row>
    <row r="739" spans="1:1" x14ac:dyDescent="0.25">
      <c r="A739" s="5"/>
    </row>
    <row r="740" spans="1:1" x14ac:dyDescent="0.25">
      <c r="A740" s="5"/>
    </row>
    <row r="741" spans="1:1" x14ac:dyDescent="0.25">
      <c r="A741" s="5"/>
    </row>
    <row r="742" spans="1:1" x14ac:dyDescent="0.25">
      <c r="A742" s="5"/>
    </row>
    <row r="743" spans="1:1" x14ac:dyDescent="0.25">
      <c r="A743" s="5"/>
    </row>
    <row r="744" spans="1:1" x14ac:dyDescent="0.25">
      <c r="A744" s="5"/>
    </row>
    <row r="745" spans="1:1" x14ac:dyDescent="0.25">
      <c r="A745" s="5"/>
    </row>
    <row r="746" spans="1:1" x14ac:dyDescent="0.25">
      <c r="A746" s="5"/>
    </row>
    <row r="747" spans="1:1" x14ac:dyDescent="0.25">
      <c r="A747" s="5"/>
    </row>
    <row r="748" spans="1:1" x14ac:dyDescent="0.25">
      <c r="A748" s="5"/>
    </row>
    <row r="749" spans="1:1" x14ac:dyDescent="0.25">
      <c r="A749" s="5"/>
    </row>
    <row r="750" spans="1:1" x14ac:dyDescent="0.25">
      <c r="A750" s="5"/>
    </row>
    <row r="751" spans="1:1" x14ac:dyDescent="0.25">
      <c r="A751" s="5"/>
    </row>
    <row r="752" spans="1:1" x14ac:dyDescent="0.25">
      <c r="A752" s="5"/>
    </row>
    <row r="753" spans="1:1" x14ac:dyDescent="0.25">
      <c r="A753" s="5"/>
    </row>
    <row r="754" spans="1:1" x14ac:dyDescent="0.25">
      <c r="A754" s="5"/>
    </row>
    <row r="755" spans="1:1" x14ac:dyDescent="0.25">
      <c r="A755" s="5"/>
    </row>
    <row r="756" spans="1:1" x14ac:dyDescent="0.25">
      <c r="A756" s="5"/>
    </row>
    <row r="757" spans="1:1" x14ac:dyDescent="0.25">
      <c r="A757" s="5"/>
    </row>
    <row r="758" spans="1:1" x14ac:dyDescent="0.25">
      <c r="A758" s="5"/>
    </row>
    <row r="759" spans="1:1" x14ac:dyDescent="0.25">
      <c r="A759" s="5"/>
    </row>
    <row r="760" spans="1:1" x14ac:dyDescent="0.25">
      <c r="A760" s="5"/>
    </row>
    <row r="761" spans="1:1" x14ac:dyDescent="0.25">
      <c r="A761" s="5"/>
    </row>
    <row r="762" spans="1:1" x14ac:dyDescent="0.25">
      <c r="A762" s="5"/>
    </row>
    <row r="763" spans="1:1" x14ac:dyDescent="0.25">
      <c r="A763" s="5"/>
    </row>
    <row r="764" spans="1:1" x14ac:dyDescent="0.25">
      <c r="A764" s="5"/>
    </row>
    <row r="765" spans="1:1" x14ac:dyDescent="0.25">
      <c r="A765" s="5"/>
    </row>
    <row r="766" spans="1:1" x14ac:dyDescent="0.25">
      <c r="A766" s="5"/>
    </row>
    <row r="767" spans="1:1" x14ac:dyDescent="0.25">
      <c r="A767" s="5"/>
    </row>
    <row r="768" spans="1:1" x14ac:dyDescent="0.25">
      <c r="A768" s="5"/>
    </row>
    <row r="769" spans="1:1" x14ac:dyDescent="0.25">
      <c r="A769" s="5"/>
    </row>
    <row r="770" spans="1:1" x14ac:dyDescent="0.25">
      <c r="A770" s="5"/>
    </row>
    <row r="771" spans="1:1" x14ac:dyDescent="0.25">
      <c r="A771" s="5"/>
    </row>
    <row r="772" spans="1:1" x14ac:dyDescent="0.25">
      <c r="A772" s="5"/>
    </row>
    <row r="773" spans="1:1" x14ac:dyDescent="0.25">
      <c r="A773" s="5"/>
    </row>
    <row r="774" spans="1:1" x14ac:dyDescent="0.25">
      <c r="A774" s="5"/>
    </row>
    <row r="775" spans="1:1" x14ac:dyDescent="0.25">
      <c r="A775" s="5"/>
    </row>
    <row r="776" spans="1:1" x14ac:dyDescent="0.25">
      <c r="A776" s="5"/>
    </row>
    <row r="777" spans="1:1" x14ac:dyDescent="0.25">
      <c r="A777" s="5"/>
    </row>
    <row r="778" spans="1:1" x14ac:dyDescent="0.25">
      <c r="A778" s="5"/>
    </row>
    <row r="779" spans="1:1" x14ac:dyDescent="0.25">
      <c r="A779" s="5"/>
    </row>
    <row r="780" spans="1:1" x14ac:dyDescent="0.25">
      <c r="A780" s="5"/>
    </row>
    <row r="781" spans="1:1" x14ac:dyDescent="0.25">
      <c r="A781" s="5"/>
    </row>
    <row r="782" spans="1:1" x14ac:dyDescent="0.25">
      <c r="A782" s="5"/>
    </row>
    <row r="783" spans="1:1" x14ac:dyDescent="0.25">
      <c r="A783" s="5"/>
    </row>
    <row r="784" spans="1:1" x14ac:dyDescent="0.25">
      <c r="A784" s="5"/>
    </row>
    <row r="785" spans="1:1" x14ac:dyDescent="0.25">
      <c r="A785" s="5"/>
    </row>
    <row r="786" spans="1:1" x14ac:dyDescent="0.25">
      <c r="A786" s="5"/>
    </row>
    <row r="787" spans="1:1" x14ac:dyDescent="0.25">
      <c r="A787" s="5"/>
    </row>
    <row r="788" spans="1:1" x14ac:dyDescent="0.25">
      <c r="A788" s="5"/>
    </row>
    <row r="789" spans="1:1" x14ac:dyDescent="0.25">
      <c r="A789" s="5"/>
    </row>
    <row r="790" spans="1:1" x14ac:dyDescent="0.25">
      <c r="A790" s="5"/>
    </row>
    <row r="791" spans="1:1" x14ac:dyDescent="0.25">
      <c r="A791" s="5"/>
    </row>
    <row r="792" spans="1:1" x14ac:dyDescent="0.25">
      <c r="A792" s="5"/>
    </row>
    <row r="793" spans="1:1" x14ac:dyDescent="0.25">
      <c r="A793" s="5"/>
    </row>
    <row r="794" spans="1:1" x14ac:dyDescent="0.25">
      <c r="A794" s="5"/>
    </row>
    <row r="795" spans="1:1" x14ac:dyDescent="0.25">
      <c r="A795" s="5"/>
    </row>
    <row r="796" spans="1:1" x14ac:dyDescent="0.25">
      <c r="A796" s="5"/>
    </row>
    <row r="797" spans="1:1" x14ac:dyDescent="0.25">
      <c r="A797" s="5"/>
    </row>
    <row r="798" spans="1:1" x14ac:dyDescent="0.25">
      <c r="A798" s="5"/>
    </row>
    <row r="799" spans="1:1" x14ac:dyDescent="0.25">
      <c r="A799" s="5"/>
    </row>
    <row r="800" spans="1:1" x14ac:dyDescent="0.25">
      <c r="A800" s="5"/>
    </row>
    <row r="801" spans="1:1" x14ac:dyDescent="0.25">
      <c r="A801" s="5"/>
    </row>
    <row r="802" spans="1:1" x14ac:dyDescent="0.25">
      <c r="A802" s="5"/>
    </row>
    <row r="803" spans="1:1" x14ac:dyDescent="0.25">
      <c r="A803" s="5"/>
    </row>
    <row r="804" spans="1:1" x14ac:dyDescent="0.25">
      <c r="A804" s="5"/>
    </row>
    <row r="805" spans="1:1" x14ac:dyDescent="0.25">
      <c r="A805" s="5"/>
    </row>
    <row r="806" spans="1:1" x14ac:dyDescent="0.25">
      <c r="A806" s="5"/>
    </row>
    <row r="807" spans="1:1" x14ac:dyDescent="0.25">
      <c r="A807" s="5"/>
    </row>
    <row r="808" spans="1:1" x14ac:dyDescent="0.25">
      <c r="A808" s="5"/>
    </row>
    <row r="809" spans="1:1" x14ac:dyDescent="0.25">
      <c r="A809" s="5"/>
    </row>
    <row r="810" spans="1:1" x14ac:dyDescent="0.25">
      <c r="A810" s="5"/>
    </row>
    <row r="811" spans="1:1" x14ac:dyDescent="0.25">
      <c r="A811" s="5"/>
    </row>
    <row r="812" spans="1:1" x14ac:dyDescent="0.25">
      <c r="A812" s="5"/>
    </row>
    <row r="813" spans="1:1" x14ac:dyDescent="0.25">
      <c r="A813" s="5"/>
    </row>
    <row r="814" spans="1:1" x14ac:dyDescent="0.25">
      <c r="A814" s="5"/>
    </row>
    <row r="815" spans="1:1" x14ac:dyDescent="0.25">
      <c r="A815" s="5"/>
    </row>
    <row r="816" spans="1:1" x14ac:dyDescent="0.25">
      <c r="A816" s="5"/>
    </row>
    <row r="817" spans="1:1" x14ac:dyDescent="0.25">
      <c r="A817" s="5"/>
    </row>
    <row r="818" spans="1:1" x14ac:dyDescent="0.25">
      <c r="A818" s="5"/>
    </row>
    <row r="819" spans="1:1" x14ac:dyDescent="0.25">
      <c r="A819" s="5"/>
    </row>
    <row r="820" spans="1:1" x14ac:dyDescent="0.25">
      <c r="A820" s="5"/>
    </row>
    <row r="821" spans="1:1" x14ac:dyDescent="0.25">
      <c r="A821" s="5"/>
    </row>
    <row r="822" spans="1:1" x14ac:dyDescent="0.25">
      <c r="A822" s="5"/>
    </row>
    <row r="823" spans="1:1" x14ac:dyDescent="0.25">
      <c r="A823" s="5"/>
    </row>
    <row r="824" spans="1:1" x14ac:dyDescent="0.25">
      <c r="A824" s="5"/>
    </row>
    <row r="825" spans="1:1" x14ac:dyDescent="0.25">
      <c r="A825" s="5"/>
    </row>
    <row r="826" spans="1:1" x14ac:dyDescent="0.25">
      <c r="A826" s="5"/>
    </row>
    <row r="827" spans="1:1" x14ac:dyDescent="0.25">
      <c r="A827" s="5"/>
    </row>
    <row r="828" spans="1:1" x14ac:dyDescent="0.25">
      <c r="A828" s="5"/>
    </row>
    <row r="829" spans="1:1" x14ac:dyDescent="0.25">
      <c r="A829" s="5"/>
    </row>
    <row r="830" spans="1:1" x14ac:dyDescent="0.25">
      <c r="A830" s="5"/>
    </row>
    <row r="831" spans="1:1" x14ac:dyDescent="0.25">
      <c r="A831" s="5"/>
    </row>
    <row r="832" spans="1:1" x14ac:dyDescent="0.25">
      <c r="A832" s="5"/>
    </row>
    <row r="833" spans="1:1" x14ac:dyDescent="0.25">
      <c r="A833" s="5"/>
    </row>
    <row r="834" spans="1:1" x14ac:dyDescent="0.25">
      <c r="A834" s="5"/>
    </row>
    <row r="835" spans="1:1" x14ac:dyDescent="0.25">
      <c r="A835" s="5"/>
    </row>
    <row r="836" spans="1:1" x14ac:dyDescent="0.25">
      <c r="A836" s="5"/>
    </row>
    <row r="837" spans="1:1" x14ac:dyDescent="0.25">
      <c r="A837" s="5"/>
    </row>
    <row r="838" spans="1:1" x14ac:dyDescent="0.25">
      <c r="A838" s="5"/>
    </row>
    <row r="839" spans="1:1" x14ac:dyDescent="0.25">
      <c r="A839" s="5"/>
    </row>
    <row r="840" spans="1:1" x14ac:dyDescent="0.25">
      <c r="A840" s="5"/>
    </row>
    <row r="841" spans="1:1" x14ac:dyDescent="0.25">
      <c r="A841" s="5"/>
    </row>
    <row r="842" spans="1:1" x14ac:dyDescent="0.25">
      <c r="A842" s="5"/>
    </row>
    <row r="843" spans="1:1" x14ac:dyDescent="0.25">
      <c r="A843" s="5"/>
    </row>
    <row r="844" spans="1:1" x14ac:dyDescent="0.25">
      <c r="A844" s="5"/>
    </row>
    <row r="845" spans="1:1" x14ac:dyDescent="0.25">
      <c r="A845" s="5"/>
    </row>
    <row r="846" spans="1:1" x14ac:dyDescent="0.25">
      <c r="A846" s="5"/>
    </row>
    <row r="847" spans="1:1" x14ac:dyDescent="0.25">
      <c r="A847" s="5"/>
    </row>
    <row r="848" spans="1:1" x14ac:dyDescent="0.25">
      <c r="A848" s="5"/>
    </row>
    <row r="849" spans="1:1" x14ac:dyDescent="0.25">
      <c r="A849" s="5"/>
    </row>
    <row r="850" spans="1:1" x14ac:dyDescent="0.25">
      <c r="A850" s="5"/>
    </row>
    <row r="851" spans="1:1" x14ac:dyDescent="0.25">
      <c r="A851" s="5"/>
    </row>
    <row r="852" spans="1:1" x14ac:dyDescent="0.25">
      <c r="A852" s="5"/>
    </row>
    <row r="853" spans="1:1" x14ac:dyDescent="0.25">
      <c r="A853" s="5"/>
    </row>
    <row r="854" spans="1:1" x14ac:dyDescent="0.25">
      <c r="A854" s="5"/>
    </row>
    <row r="855" spans="1:1" x14ac:dyDescent="0.25">
      <c r="A855" s="5"/>
    </row>
    <row r="856" spans="1:1" x14ac:dyDescent="0.25">
      <c r="A856" s="5"/>
    </row>
    <row r="857" spans="1:1" x14ac:dyDescent="0.25">
      <c r="A857" s="5"/>
    </row>
    <row r="858" spans="1:1" x14ac:dyDescent="0.25">
      <c r="A858" s="5"/>
    </row>
    <row r="859" spans="1:1" x14ac:dyDescent="0.25">
      <c r="A859" s="5"/>
    </row>
    <row r="860" spans="1:1" x14ac:dyDescent="0.25">
      <c r="A860" s="5"/>
    </row>
    <row r="861" spans="1:1" x14ac:dyDescent="0.25">
      <c r="A861" s="5"/>
    </row>
    <row r="862" spans="1:1" x14ac:dyDescent="0.25">
      <c r="A862" s="5"/>
    </row>
    <row r="863" spans="1:1" x14ac:dyDescent="0.25">
      <c r="A863" s="5"/>
    </row>
    <row r="864" spans="1:1" x14ac:dyDescent="0.25">
      <c r="A864" s="5"/>
    </row>
    <row r="865" spans="1:1" x14ac:dyDescent="0.25">
      <c r="A865" s="5"/>
    </row>
    <row r="866" spans="1:1" x14ac:dyDescent="0.25">
      <c r="A866" s="5"/>
    </row>
    <row r="867" spans="1:1" x14ac:dyDescent="0.25">
      <c r="A867" s="5"/>
    </row>
    <row r="868" spans="1:1" x14ac:dyDescent="0.25">
      <c r="A868" s="5"/>
    </row>
    <row r="869" spans="1:1" x14ac:dyDescent="0.25">
      <c r="A869" s="5"/>
    </row>
    <row r="870" spans="1:1" x14ac:dyDescent="0.25">
      <c r="A870" s="5"/>
    </row>
    <row r="871" spans="1:1" x14ac:dyDescent="0.25">
      <c r="A871" s="5"/>
    </row>
    <row r="872" spans="1:1" x14ac:dyDescent="0.25">
      <c r="A872" s="5"/>
    </row>
    <row r="873" spans="1:1" x14ac:dyDescent="0.25">
      <c r="A873" s="5"/>
    </row>
    <row r="874" spans="1:1" x14ac:dyDescent="0.25">
      <c r="A874" s="5"/>
    </row>
    <row r="875" spans="1:1" x14ac:dyDescent="0.25">
      <c r="A875" s="5"/>
    </row>
    <row r="876" spans="1:1" x14ac:dyDescent="0.25">
      <c r="A876" s="5"/>
    </row>
    <row r="877" spans="1:1" x14ac:dyDescent="0.25">
      <c r="A877" s="5"/>
    </row>
    <row r="878" spans="1:1" x14ac:dyDescent="0.25">
      <c r="A878" s="5"/>
    </row>
    <row r="879" spans="1:1" x14ac:dyDescent="0.25">
      <c r="A879" s="5"/>
    </row>
    <row r="880" spans="1:1" x14ac:dyDescent="0.25">
      <c r="A880" s="5"/>
    </row>
    <row r="881" spans="1:1" x14ac:dyDescent="0.25">
      <c r="A881" s="5"/>
    </row>
    <row r="882" spans="1:1" x14ac:dyDescent="0.25">
      <c r="A882" s="5"/>
    </row>
    <row r="883" spans="1:1" x14ac:dyDescent="0.25">
      <c r="A883" s="5"/>
    </row>
    <row r="884" spans="1:1" x14ac:dyDescent="0.25">
      <c r="A884" s="5"/>
    </row>
    <row r="885" spans="1:1" x14ac:dyDescent="0.25">
      <c r="A885" s="5"/>
    </row>
    <row r="886" spans="1:1" x14ac:dyDescent="0.25">
      <c r="A886" s="5"/>
    </row>
    <row r="887" spans="1:1" x14ac:dyDescent="0.25">
      <c r="A887" s="5"/>
    </row>
    <row r="888" spans="1:1" x14ac:dyDescent="0.25">
      <c r="A888" s="5"/>
    </row>
    <row r="889" spans="1:1" x14ac:dyDescent="0.25">
      <c r="A889" s="5"/>
    </row>
    <row r="890" spans="1:1" x14ac:dyDescent="0.25">
      <c r="A890" s="5"/>
    </row>
    <row r="891" spans="1:1" x14ac:dyDescent="0.25">
      <c r="A891" s="5"/>
    </row>
    <row r="892" spans="1:1" x14ac:dyDescent="0.25">
      <c r="A892" s="5"/>
    </row>
    <row r="893" spans="1:1" x14ac:dyDescent="0.25">
      <c r="A893" s="5"/>
    </row>
    <row r="894" spans="1:1" x14ac:dyDescent="0.25">
      <c r="A894" s="5"/>
    </row>
    <row r="895" spans="1:1" x14ac:dyDescent="0.25">
      <c r="A895" s="5"/>
    </row>
    <row r="896" spans="1:1" x14ac:dyDescent="0.25">
      <c r="A896" s="5"/>
    </row>
    <row r="897" spans="1:1" x14ac:dyDescent="0.25">
      <c r="A897" s="5"/>
    </row>
    <row r="898" spans="1:1" x14ac:dyDescent="0.25">
      <c r="A898" s="5"/>
    </row>
    <row r="899" spans="1:1" x14ac:dyDescent="0.25">
      <c r="A899" s="5"/>
    </row>
    <row r="900" spans="1:1" x14ac:dyDescent="0.25">
      <c r="A900" s="5"/>
    </row>
    <row r="901" spans="1:1" x14ac:dyDescent="0.25">
      <c r="A901" s="5"/>
    </row>
    <row r="902" spans="1:1" x14ac:dyDescent="0.25">
      <c r="A902" s="5"/>
    </row>
    <row r="903" spans="1:1" x14ac:dyDescent="0.25">
      <c r="A903" s="5"/>
    </row>
    <row r="904" spans="1:1" x14ac:dyDescent="0.25">
      <c r="A904" s="5"/>
    </row>
    <row r="905" spans="1:1" x14ac:dyDescent="0.25">
      <c r="A905" s="5"/>
    </row>
    <row r="906" spans="1:1" x14ac:dyDescent="0.25">
      <c r="A906" s="5"/>
    </row>
    <row r="907" spans="1:1" x14ac:dyDescent="0.25">
      <c r="A907" s="5"/>
    </row>
    <row r="908" spans="1:1" x14ac:dyDescent="0.25">
      <c r="A908" s="5"/>
    </row>
    <row r="909" spans="1:1" x14ac:dyDescent="0.25">
      <c r="A909" s="5"/>
    </row>
    <row r="910" spans="1:1" x14ac:dyDescent="0.25">
      <c r="A910" s="5"/>
    </row>
    <row r="911" spans="1:1" x14ac:dyDescent="0.25">
      <c r="A911" s="5"/>
    </row>
    <row r="912" spans="1:1" x14ac:dyDescent="0.25">
      <c r="A912" s="5"/>
    </row>
    <row r="913" spans="1:1" x14ac:dyDescent="0.25">
      <c r="A913" s="5"/>
    </row>
    <row r="914" spans="1:1" x14ac:dyDescent="0.25">
      <c r="A914" s="5"/>
    </row>
    <row r="915" spans="1:1" x14ac:dyDescent="0.25">
      <c r="A915" s="5"/>
    </row>
    <row r="916" spans="1:1" x14ac:dyDescent="0.25">
      <c r="A916" s="5"/>
    </row>
    <row r="917" spans="1:1" x14ac:dyDescent="0.25">
      <c r="A917" s="5"/>
    </row>
    <row r="918" spans="1:1" x14ac:dyDescent="0.25">
      <c r="A918" s="5"/>
    </row>
    <row r="919" spans="1:1" x14ac:dyDescent="0.25">
      <c r="A919" s="5"/>
    </row>
    <row r="920" spans="1:1" x14ac:dyDescent="0.25">
      <c r="A920" s="5"/>
    </row>
    <row r="921" spans="1:1" x14ac:dyDescent="0.25">
      <c r="A921" s="5"/>
    </row>
    <row r="922" spans="1:1" x14ac:dyDescent="0.25">
      <c r="A922" s="5"/>
    </row>
    <row r="923" spans="1:1" x14ac:dyDescent="0.25">
      <c r="A923" s="5"/>
    </row>
    <row r="924" spans="1:1" x14ac:dyDescent="0.25">
      <c r="A924" s="5"/>
    </row>
    <row r="925" spans="1:1" x14ac:dyDescent="0.25">
      <c r="A925" s="5"/>
    </row>
    <row r="926" spans="1:1" x14ac:dyDescent="0.25">
      <c r="A926" s="5"/>
    </row>
    <row r="927" spans="1:1" x14ac:dyDescent="0.25">
      <c r="A927" s="5"/>
    </row>
    <row r="928" spans="1:1" x14ac:dyDescent="0.25">
      <c r="A928" s="5"/>
    </row>
    <row r="929" spans="1:1" x14ac:dyDescent="0.25">
      <c r="A929" s="5"/>
    </row>
    <row r="930" spans="1:1" x14ac:dyDescent="0.25">
      <c r="A930" s="5"/>
    </row>
    <row r="931" spans="1:1" x14ac:dyDescent="0.25">
      <c r="A931" s="5"/>
    </row>
    <row r="932" spans="1:1" x14ac:dyDescent="0.25">
      <c r="A932" s="5"/>
    </row>
    <row r="933" spans="1:1" x14ac:dyDescent="0.25">
      <c r="A933" s="5"/>
    </row>
    <row r="934" spans="1:1" x14ac:dyDescent="0.25">
      <c r="A934" s="5"/>
    </row>
    <row r="935" spans="1:1" x14ac:dyDescent="0.25">
      <c r="A935" s="5"/>
    </row>
    <row r="936" spans="1:1" x14ac:dyDescent="0.25">
      <c r="A936" s="5"/>
    </row>
    <row r="937" spans="1:1" x14ac:dyDescent="0.25">
      <c r="A937" s="5"/>
    </row>
    <row r="938" spans="1:1" x14ac:dyDescent="0.25">
      <c r="A938" s="5"/>
    </row>
    <row r="939" spans="1:1" x14ac:dyDescent="0.25">
      <c r="A939" s="5"/>
    </row>
    <row r="940" spans="1:1" x14ac:dyDescent="0.25">
      <c r="A940" s="5"/>
    </row>
    <row r="941" spans="1:1" x14ac:dyDescent="0.25">
      <c r="A941" s="5"/>
    </row>
    <row r="942" spans="1:1" x14ac:dyDescent="0.25">
      <c r="A942" s="5"/>
    </row>
    <row r="943" spans="1:1" x14ac:dyDescent="0.25">
      <c r="A943" s="5"/>
    </row>
    <row r="944" spans="1:1" x14ac:dyDescent="0.25">
      <c r="A944" s="5"/>
    </row>
    <row r="945" spans="1:1" x14ac:dyDescent="0.25">
      <c r="A945" s="5"/>
    </row>
    <row r="946" spans="1:1" x14ac:dyDescent="0.25">
      <c r="A946" s="5"/>
    </row>
    <row r="947" spans="1:1" x14ac:dyDescent="0.25">
      <c r="A947" s="5"/>
    </row>
    <row r="948" spans="1:1" x14ac:dyDescent="0.25">
      <c r="A948" s="5"/>
    </row>
    <row r="949" spans="1:1" x14ac:dyDescent="0.25">
      <c r="A949" s="5"/>
    </row>
    <row r="950" spans="1:1" x14ac:dyDescent="0.25">
      <c r="A950" s="5"/>
    </row>
    <row r="951" spans="1:1" x14ac:dyDescent="0.25">
      <c r="A951" s="5"/>
    </row>
    <row r="952" spans="1:1" x14ac:dyDescent="0.25">
      <c r="A952" s="5"/>
    </row>
    <row r="953" spans="1:1" x14ac:dyDescent="0.25">
      <c r="A953" s="5"/>
    </row>
    <row r="954" spans="1:1" x14ac:dyDescent="0.25">
      <c r="A954" s="5"/>
    </row>
    <row r="955" spans="1:1" x14ac:dyDescent="0.25">
      <c r="A955" s="5"/>
    </row>
    <row r="956" spans="1:1" x14ac:dyDescent="0.25">
      <c r="A956" s="5"/>
    </row>
    <row r="957" spans="1:1" x14ac:dyDescent="0.25">
      <c r="A957" s="5"/>
    </row>
    <row r="958" spans="1:1" x14ac:dyDescent="0.25">
      <c r="A958" s="5"/>
    </row>
    <row r="959" spans="1:1" x14ac:dyDescent="0.25">
      <c r="A959" s="5"/>
    </row>
    <row r="960" spans="1:1" x14ac:dyDescent="0.25">
      <c r="A960" s="5"/>
    </row>
    <row r="961" spans="1:1" x14ac:dyDescent="0.25">
      <c r="A961" s="5"/>
    </row>
    <row r="962" spans="1:1" x14ac:dyDescent="0.25">
      <c r="A962" s="5"/>
    </row>
    <row r="963" spans="1:1" x14ac:dyDescent="0.25">
      <c r="A963" s="5"/>
    </row>
    <row r="964" spans="1:1" x14ac:dyDescent="0.25">
      <c r="A964" s="5"/>
    </row>
    <row r="965" spans="1:1" x14ac:dyDescent="0.25">
      <c r="A965" s="5"/>
    </row>
    <row r="966" spans="1:1" x14ac:dyDescent="0.25">
      <c r="A966" s="5"/>
    </row>
    <row r="967" spans="1:1" x14ac:dyDescent="0.25">
      <c r="A967" s="5"/>
    </row>
    <row r="968" spans="1:1" x14ac:dyDescent="0.25">
      <c r="A968" s="5"/>
    </row>
    <row r="969" spans="1:1" x14ac:dyDescent="0.25">
      <c r="A969" s="5"/>
    </row>
    <row r="970" spans="1:1" x14ac:dyDescent="0.25">
      <c r="A970" s="5"/>
    </row>
    <row r="971" spans="1:1" x14ac:dyDescent="0.25">
      <c r="A971" s="5"/>
    </row>
    <row r="972" spans="1:1" x14ac:dyDescent="0.25">
      <c r="A972" s="5"/>
    </row>
    <row r="973" spans="1:1" x14ac:dyDescent="0.25">
      <c r="A973" s="5"/>
    </row>
    <row r="974" spans="1:1" x14ac:dyDescent="0.25">
      <c r="A974" s="5"/>
    </row>
    <row r="975" spans="1:1" x14ac:dyDescent="0.25">
      <c r="A975" s="5"/>
    </row>
    <row r="976" spans="1:1" x14ac:dyDescent="0.25">
      <c r="A976" s="5"/>
    </row>
    <row r="977" spans="1:1" x14ac:dyDescent="0.25">
      <c r="A977" s="5"/>
    </row>
    <row r="978" spans="1:1" x14ac:dyDescent="0.25">
      <c r="A978" s="5"/>
    </row>
    <row r="979" spans="1:1" x14ac:dyDescent="0.25">
      <c r="A979" s="5"/>
    </row>
    <row r="980" spans="1:1" x14ac:dyDescent="0.25">
      <c r="A980" s="5"/>
    </row>
    <row r="981" spans="1:1" x14ac:dyDescent="0.25">
      <c r="A981" s="5"/>
    </row>
    <row r="982" spans="1:1" x14ac:dyDescent="0.25">
      <c r="A982" s="5"/>
    </row>
    <row r="983" spans="1:1" x14ac:dyDescent="0.25">
      <c r="A983" s="5"/>
    </row>
    <row r="984" spans="1:1" x14ac:dyDescent="0.25">
      <c r="A984" s="5"/>
    </row>
    <row r="985" spans="1:1" x14ac:dyDescent="0.25">
      <c r="A985" s="5"/>
    </row>
    <row r="986" spans="1:1" x14ac:dyDescent="0.25">
      <c r="A986" s="5"/>
    </row>
    <row r="987" spans="1:1" x14ac:dyDescent="0.25">
      <c r="A987" s="5"/>
    </row>
    <row r="988" spans="1:1" x14ac:dyDescent="0.25">
      <c r="A988" s="5"/>
    </row>
    <row r="989" spans="1:1" x14ac:dyDescent="0.25">
      <c r="A989" s="5"/>
    </row>
    <row r="990" spans="1:1" x14ac:dyDescent="0.25">
      <c r="A990" s="5"/>
    </row>
    <row r="991" spans="1:1" x14ac:dyDescent="0.25">
      <c r="A991" s="5"/>
    </row>
    <row r="992" spans="1:1" x14ac:dyDescent="0.25">
      <c r="A992" s="5"/>
    </row>
    <row r="993" spans="1:1" x14ac:dyDescent="0.25">
      <c r="A993" s="5"/>
    </row>
    <row r="994" spans="1:1" x14ac:dyDescent="0.25">
      <c r="A994" s="5"/>
    </row>
    <row r="995" spans="1:1" x14ac:dyDescent="0.25">
      <c r="A995" s="5"/>
    </row>
    <row r="996" spans="1:1" x14ac:dyDescent="0.25">
      <c r="A996" s="5"/>
    </row>
    <row r="997" spans="1:1" x14ac:dyDescent="0.25">
      <c r="A997" s="5"/>
    </row>
    <row r="998" spans="1:1" x14ac:dyDescent="0.25">
      <c r="A998" s="5"/>
    </row>
    <row r="999" spans="1:1" x14ac:dyDescent="0.25">
      <c r="A999" s="5"/>
    </row>
    <row r="1000" spans="1:1" x14ac:dyDescent="0.25">
      <c r="A1000" s="5"/>
    </row>
    <row r="1001" spans="1:1" x14ac:dyDescent="0.25">
      <c r="A1001" s="5"/>
    </row>
    <row r="1002" spans="1:1" x14ac:dyDescent="0.25">
      <c r="A1002" s="5"/>
    </row>
    <row r="1003" spans="1:1" x14ac:dyDescent="0.25">
      <c r="A1003" s="5"/>
    </row>
    <row r="1004" spans="1:1" x14ac:dyDescent="0.25">
      <c r="A1004" s="5"/>
    </row>
    <row r="1005" spans="1:1" x14ac:dyDescent="0.25">
      <c r="A1005" s="5"/>
    </row>
    <row r="1006" spans="1:1" x14ac:dyDescent="0.25">
      <c r="A1006" s="5"/>
    </row>
    <row r="1007" spans="1:1" x14ac:dyDescent="0.25">
      <c r="A1007" s="5"/>
    </row>
    <row r="1008" spans="1:1" x14ac:dyDescent="0.25">
      <c r="A1008" s="5"/>
    </row>
    <row r="1009" spans="1:1" x14ac:dyDescent="0.25">
      <c r="A1009" s="5"/>
    </row>
    <row r="1010" spans="1:1" x14ac:dyDescent="0.25">
      <c r="A1010" s="5"/>
    </row>
    <row r="1011" spans="1:1" x14ac:dyDescent="0.25">
      <c r="A1011" s="5"/>
    </row>
    <row r="1012" spans="1:1" x14ac:dyDescent="0.25">
      <c r="A1012" s="5"/>
    </row>
    <row r="1013" spans="1:1" x14ac:dyDescent="0.25">
      <c r="A1013" s="5"/>
    </row>
    <row r="1014" spans="1:1" x14ac:dyDescent="0.25">
      <c r="A1014" s="5"/>
    </row>
    <row r="1015" spans="1:1" x14ac:dyDescent="0.25">
      <c r="A1015" s="5"/>
    </row>
    <row r="1016" spans="1:1" x14ac:dyDescent="0.25">
      <c r="A1016" s="5"/>
    </row>
    <row r="1017" spans="1:1" x14ac:dyDescent="0.25">
      <c r="A1017" s="5"/>
    </row>
    <row r="1018" spans="1:1" x14ac:dyDescent="0.25">
      <c r="A1018" s="5"/>
    </row>
    <row r="1019" spans="1:1" x14ac:dyDescent="0.25">
      <c r="A1019" s="5"/>
    </row>
    <row r="1020" spans="1:1" x14ac:dyDescent="0.25">
      <c r="A1020" s="5"/>
    </row>
    <row r="1021" spans="1:1" x14ac:dyDescent="0.25">
      <c r="A1021" s="5"/>
    </row>
    <row r="1022" spans="1:1" x14ac:dyDescent="0.25">
      <c r="A1022" s="5"/>
    </row>
    <row r="1023" spans="1:1" x14ac:dyDescent="0.25">
      <c r="A1023" s="5"/>
    </row>
    <row r="1024" spans="1:1" x14ac:dyDescent="0.25">
      <c r="A1024" s="5"/>
    </row>
    <row r="1025" spans="1:1" x14ac:dyDescent="0.25">
      <c r="A1025" s="5"/>
    </row>
    <row r="1026" spans="1:1" x14ac:dyDescent="0.25">
      <c r="A1026" s="5"/>
    </row>
    <row r="1027" spans="1:1" x14ac:dyDescent="0.25">
      <c r="A1027" s="5"/>
    </row>
    <row r="1028" spans="1:1" x14ac:dyDescent="0.25">
      <c r="A1028" s="5"/>
    </row>
    <row r="1029" spans="1:1" x14ac:dyDescent="0.25">
      <c r="A1029" s="5"/>
    </row>
    <row r="1030" spans="1:1" x14ac:dyDescent="0.25">
      <c r="A1030" s="5"/>
    </row>
    <row r="1031" spans="1:1" x14ac:dyDescent="0.25">
      <c r="A1031" s="5"/>
    </row>
    <row r="1032" spans="1:1" x14ac:dyDescent="0.25">
      <c r="A1032" s="5"/>
    </row>
    <row r="1033" spans="1:1" x14ac:dyDescent="0.25">
      <c r="A1033" s="5"/>
    </row>
    <row r="1034" spans="1:1" x14ac:dyDescent="0.25">
      <c r="A1034" s="5"/>
    </row>
    <row r="1035" spans="1:1" x14ac:dyDescent="0.25">
      <c r="A1035" s="5"/>
    </row>
    <row r="1036" spans="1:1" x14ac:dyDescent="0.25">
      <c r="A1036" s="5"/>
    </row>
    <row r="1037" spans="1:1" x14ac:dyDescent="0.25">
      <c r="A1037" s="5"/>
    </row>
    <row r="1038" spans="1:1" x14ac:dyDescent="0.25">
      <c r="A1038" s="5"/>
    </row>
    <row r="1039" spans="1:1" x14ac:dyDescent="0.25">
      <c r="A1039" s="5"/>
    </row>
    <row r="1040" spans="1:1" x14ac:dyDescent="0.25">
      <c r="A1040" s="5"/>
    </row>
    <row r="1041" spans="1:1" x14ac:dyDescent="0.25">
      <c r="A1041" s="5"/>
    </row>
    <row r="1042" spans="1:1" x14ac:dyDescent="0.25">
      <c r="A1042" s="5"/>
    </row>
    <row r="1043" spans="1:1" x14ac:dyDescent="0.25">
      <c r="A1043" s="5"/>
    </row>
    <row r="1044" spans="1:1" x14ac:dyDescent="0.25">
      <c r="A1044" s="5"/>
    </row>
    <row r="1045" spans="1:1" x14ac:dyDescent="0.25">
      <c r="A1045" s="5"/>
    </row>
    <row r="1046" spans="1:1" x14ac:dyDescent="0.25">
      <c r="A1046" s="5"/>
    </row>
    <row r="1047" spans="1:1" x14ac:dyDescent="0.25">
      <c r="A1047" s="5"/>
    </row>
    <row r="1048" spans="1:1" x14ac:dyDescent="0.25">
      <c r="A1048" s="5"/>
    </row>
    <row r="1049" spans="1:1" x14ac:dyDescent="0.25">
      <c r="A1049" s="5"/>
    </row>
    <row r="1050" spans="1:1" x14ac:dyDescent="0.25">
      <c r="A1050" s="5"/>
    </row>
    <row r="1051" spans="1:1" x14ac:dyDescent="0.25">
      <c r="A1051" s="5"/>
    </row>
    <row r="1052" spans="1:1" x14ac:dyDescent="0.25">
      <c r="A1052" s="5"/>
    </row>
    <row r="1053" spans="1:1" x14ac:dyDescent="0.25">
      <c r="A1053" s="5"/>
    </row>
    <row r="1054" spans="1:1" x14ac:dyDescent="0.25">
      <c r="A1054" s="5"/>
    </row>
    <row r="1055" spans="1:1" x14ac:dyDescent="0.25">
      <c r="A1055" s="5"/>
    </row>
    <row r="1056" spans="1:1" x14ac:dyDescent="0.25">
      <c r="A1056" s="5"/>
    </row>
    <row r="1057" spans="1:1" x14ac:dyDescent="0.25">
      <c r="A1057" s="5"/>
    </row>
    <row r="1058" spans="1:1" x14ac:dyDescent="0.25">
      <c r="A1058" s="5"/>
    </row>
    <row r="1059" spans="1:1" x14ac:dyDescent="0.25">
      <c r="A1059" s="5"/>
    </row>
    <row r="1060" spans="1:1" x14ac:dyDescent="0.25">
      <c r="A1060" s="5"/>
    </row>
    <row r="1061" spans="1:1" x14ac:dyDescent="0.25">
      <c r="A1061" s="5"/>
    </row>
    <row r="1062" spans="1:1" x14ac:dyDescent="0.25">
      <c r="A1062" s="5"/>
    </row>
    <row r="1063" spans="1:1" x14ac:dyDescent="0.25">
      <c r="A1063" s="5"/>
    </row>
    <row r="1064" spans="1:1" x14ac:dyDescent="0.25">
      <c r="A1064" s="5"/>
    </row>
    <row r="1065" spans="1:1" x14ac:dyDescent="0.25">
      <c r="A1065" s="5"/>
    </row>
    <row r="1066" spans="1:1" x14ac:dyDescent="0.25">
      <c r="A1066" s="5"/>
    </row>
    <row r="1067" spans="1:1" x14ac:dyDescent="0.25">
      <c r="A1067" s="5"/>
    </row>
    <row r="1068" spans="1:1" x14ac:dyDescent="0.25">
      <c r="A1068" s="5"/>
    </row>
    <row r="1069" spans="1:1" x14ac:dyDescent="0.25">
      <c r="A1069" s="5"/>
    </row>
    <row r="1070" spans="1:1" x14ac:dyDescent="0.25">
      <c r="A1070" s="5"/>
    </row>
    <row r="1071" spans="1:1" x14ac:dyDescent="0.25">
      <c r="A1071" s="5"/>
    </row>
    <row r="1072" spans="1:1" x14ac:dyDescent="0.25">
      <c r="A1072" s="5"/>
    </row>
    <row r="1073" spans="1:1" x14ac:dyDescent="0.25">
      <c r="A1073" s="5"/>
    </row>
    <row r="1074" spans="1:1" x14ac:dyDescent="0.25">
      <c r="A1074" s="5"/>
    </row>
    <row r="1075" spans="1:1" x14ac:dyDescent="0.25">
      <c r="A1075" s="5"/>
    </row>
    <row r="1076" spans="1:1" x14ac:dyDescent="0.25">
      <c r="A1076" s="5"/>
    </row>
    <row r="1077" spans="1:1" x14ac:dyDescent="0.25">
      <c r="A1077" s="5"/>
    </row>
    <row r="1078" spans="1:1" x14ac:dyDescent="0.25">
      <c r="A1078" s="5"/>
    </row>
    <row r="1079" spans="1:1" x14ac:dyDescent="0.25">
      <c r="A1079" s="5"/>
    </row>
    <row r="1080" spans="1:1" x14ac:dyDescent="0.25">
      <c r="A1080" s="5"/>
    </row>
    <row r="1081" spans="1:1" x14ac:dyDescent="0.25">
      <c r="A1081" s="5"/>
    </row>
    <row r="1082" spans="1:1" x14ac:dyDescent="0.25">
      <c r="A1082" s="5"/>
    </row>
    <row r="1083" spans="1:1" x14ac:dyDescent="0.25">
      <c r="A1083" s="5"/>
    </row>
    <row r="1084" spans="1:1" x14ac:dyDescent="0.25">
      <c r="A1084" s="5"/>
    </row>
    <row r="1085" spans="1:1" x14ac:dyDescent="0.25">
      <c r="A1085" s="5"/>
    </row>
    <row r="1086" spans="1:1" x14ac:dyDescent="0.25">
      <c r="A1086" s="5"/>
    </row>
    <row r="1087" spans="1:1" x14ac:dyDescent="0.25">
      <c r="A1087" s="5"/>
    </row>
    <row r="1088" spans="1:1" x14ac:dyDescent="0.25">
      <c r="A1088" s="5"/>
    </row>
    <row r="1089" spans="1:1" x14ac:dyDescent="0.25">
      <c r="A1089" s="5"/>
    </row>
    <row r="1090" spans="1:1" x14ac:dyDescent="0.25">
      <c r="A1090" s="5"/>
    </row>
    <row r="1091" spans="1:1" x14ac:dyDescent="0.25">
      <c r="A1091" s="5"/>
    </row>
    <row r="1092" spans="1:1" x14ac:dyDescent="0.25">
      <c r="A1092" s="5"/>
    </row>
    <row r="1093" spans="1:1" x14ac:dyDescent="0.25">
      <c r="A1093" s="5"/>
    </row>
    <row r="1094" spans="1:1" x14ac:dyDescent="0.25">
      <c r="A1094" s="5"/>
    </row>
    <row r="1095" spans="1:1" x14ac:dyDescent="0.25">
      <c r="A1095" s="5"/>
    </row>
    <row r="1096" spans="1:1" x14ac:dyDescent="0.25">
      <c r="A1096" s="5"/>
    </row>
    <row r="1097" spans="1:1" x14ac:dyDescent="0.25">
      <c r="A1097" s="5"/>
    </row>
    <row r="1098" spans="1:1" x14ac:dyDescent="0.25">
      <c r="A1098" s="5"/>
    </row>
    <row r="1099" spans="1:1" x14ac:dyDescent="0.25">
      <c r="A1099" s="5"/>
    </row>
    <row r="1100" spans="1:1" x14ac:dyDescent="0.25">
      <c r="A1100" s="5"/>
    </row>
    <row r="1101" spans="1:1" x14ac:dyDescent="0.25">
      <c r="A1101" s="5"/>
    </row>
    <row r="1102" spans="1:1" x14ac:dyDescent="0.25">
      <c r="A1102" s="5"/>
    </row>
    <row r="1103" spans="1:1" x14ac:dyDescent="0.25">
      <c r="A1103" s="5"/>
    </row>
    <row r="1104" spans="1:1" x14ac:dyDescent="0.25">
      <c r="A1104" s="5"/>
    </row>
    <row r="1105" spans="1:1" x14ac:dyDescent="0.25">
      <c r="A1105" s="5"/>
    </row>
    <row r="1106" spans="1:1" x14ac:dyDescent="0.25">
      <c r="A1106" s="5"/>
    </row>
    <row r="1107" spans="1:1" x14ac:dyDescent="0.25">
      <c r="A1107" s="5"/>
    </row>
    <row r="1108" spans="1:1" x14ac:dyDescent="0.25">
      <c r="A1108" s="5"/>
    </row>
    <row r="1109" spans="1:1" x14ac:dyDescent="0.25">
      <c r="A1109" s="5"/>
    </row>
    <row r="1110" spans="1:1" x14ac:dyDescent="0.25">
      <c r="A1110" s="5"/>
    </row>
    <row r="1111" spans="1:1" x14ac:dyDescent="0.25">
      <c r="A1111" s="5"/>
    </row>
    <row r="1112" spans="1:1" x14ac:dyDescent="0.25">
      <c r="A1112" s="5"/>
    </row>
    <row r="1113" spans="1:1" x14ac:dyDescent="0.25">
      <c r="A1113" s="5"/>
    </row>
    <row r="1114" spans="1:1" x14ac:dyDescent="0.25">
      <c r="A1114" s="5"/>
    </row>
    <row r="1115" spans="1:1" x14ac:dyDescent="0.25">
      <c r="A1115" s="5"/>
    </row>
    <row r="1116" spans="1:1" x14ac:dyDescent="0.25">
      <c r="A1116" s="5"/>
    </row>
    <row r="1117" spans="1:1" x14ac:dyDescent="0.25">
      <c r="A1117" s="5"/>
    </row>
    <row r="1118" spans="1:1" x14ac:dyDescent="0.25">
      <c r="A1118" s="5"/>
    </row>
    <row r="1119" spans="1:1" x14ac:dyDescent="0.25">
      <c r="A1119" s="5"/>
    </row>
    <row r="1120" spans="1:1" x14ac:dyDescent="0.25">
      <c r="A1120" s="5"/>
    </row>
    <row r="1121" spans="1:1" x14ac:dyDescent="0.25">
      <c r="A1121" s="5"/>
    </row>
    <row r="1122" spans="1:1" x14ac:dyDescent="0.25">
      <c r="A1122" s="5"/>
    </row>
    <row r="1123" spans="1:1" x14ac:dyDescent="0.25">
      <c r="A1123" s="5"/>
    </row>
    <row r="1124" spans="1:1" x14ac:dyDescent="0.25">
      <c r="A1124" s="5"/>
    </row>
    <row r="1125" spans="1:1" x14ac:dyDescent="0.25">
      <c r="A1125" s="5"/>
    </row>
    <row r="1126" spans="1:1" x14ac:dyDescent="0.25">
      <c r="A1126" s="5"/>
    </row>
    <row r="1127" spans="1:1" x14ac:dyDescent="0.25">
      <c r="A1127" s="5"/>
    </row>
    <row r="1128" spans="1:1" x14ac:dyDescent="0.25">
      <c r="A1128" s="5"/>
    </row>
    <row r="1129" spans="1:1" x14ac:dyDescent="0.25">
      <c r="A1129" s="5"/>
    </row>
    <row r="1130" spans="1:1" x14ac:dyDescent="0.25">
      <c r="A1130" s="5"/>
    </row>
    <row r="1131" spans="1:1" x14ac:dyDescent="0.25">
      <c r="A1131" s="5"/>
    </row>
    <row r="1132" spans="1:1" x14ac:dyDescent="0.25">
      <c r="A1132" s="5"/>
    </row>
    <row r="1133" spans="1:1" x14ac:dyDescent="0.25">
      <c r="A1133" s="5"/>
    </row>
    <row r="1134" spans="1:1" x14ac:dyDescent="0.25">
      <c r="A1134" s="5"/>
    </row>
    <row r="1135" spans="1:1" x14ac:dyDescent="0.25">
      <c r="A1135" s="5"/>
    </row>
    <row r="1136" spans="1:1" x14ac:dyDescent="0.25">
      <c r="A1136" s="5"/>
    </row>
    <row r="1137" spans="1:1" x14ac:dyDescent="0.25">
      <c r="A1137" s="5"/>
    </row>
    <row r="1138" spans="1:1" x14ac:dyDescent="0.25">
      <c r="A1138" s="5"/>
    </row>
    <row r="1139" spans="1:1" x14ac:dyDescent="0.25">
      <c r="A1139" s="5"/>
    </row>
    <row r="1140" spans="1:1" x14ac:dyDescent="0.25">
      <c r="A1140" s="5"/>
    </row>
    <row r="1141" spans="1:1" x14ac:dyDescent="0.25">
      <c r="A1141" s="5"/>
    </row>
    <row r="1142" spans="1:1" x14ac:dyDescent="0.25">
      <c r="A1142" s="5"/>
    </row>
    <row r="1143" spans="1:1" x14ac:dyDescent="0.25">
      <c r="A1143" s="5"/>
    </row>
    <row r="1144" spans="1:1" x14ac:dyDescent="0.25">
      <c r="A1144" s="5"/>
    </row>
    <row r="1145" spans="1:1" x14ac:dyDescent="0.25">
      <c r="A1145" s="5"/>
    </row>
    <row r="1146" spans="1:1" x14ac:dyDescent="0.25">
      <c r="A1146" s="5"/>
    </row>
    <row r="1147" spans="1:1" x14ac:dyDescent="0.25">
      <c r="A1147" s="5"/>
    </row>
    <row r="1148" spans="1:1" x14ac:dyDescent="0.25">
      <c r="A1148" s="5"/>
    </row>
    <row r="1149" spans="1:1" x14ac:dyDescent="0.25">
      <c r="A1149" s="5"/>
    </row>
    <row r="1150" spans="1:1" x14ac:dyDescent="0.25">
      <c r="A1150" s="5"/>
    </row>
    <row r="1151" spans="1:1" x14ac:dyDescent="0.25">
      <c r="A1151" s="5"/>
    </row>
    <row r="1152" spans="1:1" x14ac:dyDescent="0.25">
      <c r="A1152" s="5"/>
    </row>
    <row r="1153" spans="1:1" x14ac:dyDescent="0.25">
      <c r="A1153" s="5"/>
    </row>
    <row r="1154" spans="1:1" x14ac:dyDescent="0.25">
      <c r="A1154" s="5"/>
    </row>
    <row r="1155" spans="1:1" x14ac:dyDescent="0.25">
      <c r="A1155" s="5"/>
    </row>
    <row r="1156" spans="1:1" x14ac:dyDescent="0.25">
      <c r="A1156" s="5"/>
    </row>
    <row r="1157" spans="1:1" x14ac:dyDescent="0.25">
      <c r="A1157" s="5"/>
    </row>
    <row r="1158" spans="1:1" x14ac:dyDescent="0.25">
      <c r="A1158" s="5"/>
    </row>
    <row r="1159" spans="1:1" x14ac:dyDescent="0.25">
      <c r="A1159" s="5"/>
    </row>
    <row r="1160" spans="1:1" x14ac:dyDescent="0.25">
      <c r="A1160" s="5"/>
    </row>
    <row r="1161" spans="1:1" x14ac:dyDescent="0.25">
      <c r="A1161" s="5"/>
    </row>
    <row r="1162" spans="1:1" x14ac:dyDescent="0.25">
      <c r="A1162" s="5"/>
    </row>
    <row r="1163" spans="1:1" x14ac:dyDescent="0.25">
      <c r="A1163" s="5"/>
    </row>
    <row r="1164" spans="1:1" x14ac:dyDescent="0.25">
      <c r="A1164" s="5"/>
    </row>
    <row r="1165" spans="1:1" x14ac:dyDescent="0.25">
      <c r="A1165" s="5"/>
    </row>
    <row r="1166" spans="1:1" x14ac:dyDescent="0.25">
      <c r="A1166" s="5"/>
    </row>
    <row r="1167" spans="1:1" x14ac:dyDescent="0.25">
      <c r="A1167" s="5"/>
    </row>
    <row r="1168" spans="1:1" x14ac:dyDescent="0.25">
      <c r="A1168" s="5"/>
    </row>
    <row r="1169" spans="1:1" x14ac:dyDescent="0.25">
      <c r="A1169" s="5"/>
    </row>
    <row r="1170" spans="1:1" x14ac:dyDescent="0.25">
      <c r="A1170" s="5"/>
    </row>
    <row r="1171" spans="1:1" x14ac:dyDescent="0.25">
      <c r="A1171" s="5"/>
    </row>
    <row r="1172" spans="1:1" x14ac:dyDescent="0.25">
      <c r="A1172" s="5"/>
    </row>
    <row r="1173" spans="1:1" x14ac:dyDescent="0.25">
      <c r="A1173" s="5"/>
    </row>
    <row r="1174" spans="1:1" x14ac:dyDescent="0.25">
      <c r="A1174" s="5"/>
    </row>
    <row r="1175" spans="1:1" x14ac:dyDescent="0.25">
      <c r="A1175" s="5"/>
    </row>
    <row r="1176" spans="1:1" x14ac:dyDescent="0.25">
      <c r="A1176" s="5"/>
    </row>
    <row r="1177" spans="1:1" x14ac:dyDescent="0.25">
      <c r="A1177" s="5"/>
    </row>
    <row r="1178" spans="1:1" x14ac:dyDescent="0.25">
      <c r="A1178" s="5"/>
    </row>
    <row r="1179" spans="1:1" x14ac:dyDescent="0.25">
      <c r="A1179" s="5"/>
    </row>
    <row r="1180" spans="1:1" x14ac:dyDescent="0.25">
      <c r="A1180" s="5"/>
    </row>
    <row r="1181" spans="1:1" x14ac:dyDescent="0.25">
      <c r="A1181" s="5"/>
    </row>
    <row r="1182" spans="1:1" x14ac:dyDescent="0.25">
      <c r="A1182" s="5"/>
    </row>
    <row r="1183" spans="1:1" x14ac:dyDescent="0.25">
      <c r="A1183" s="5"/>
    </row>
    <row r="1184" spans="1:1" x14ac:dyDescent="0.25">
      <c r="A1184" s="5"/>
    </row>
    <row r="1185" spans="1:1" x14ac:dyDescent="0.25">
      <c r="A1185" s="5"/>
    </row>
    <row r="1186" spans="1:1" x14ac:dyDescent="0.25">
      <c r="A1186" s="5"/>
    </row>
    <row r="1187" spans="1:1" x14ac:dyDescent="0.25">
      <c r="A1187" s="5"/>
    </row>
    <row r="1188" spans="1:1" x14ac:dyDescent="0.25">
      <c r="A1188" s="5"/>
    </row>
    <row r="1189" spans="1:1" x14ac:dyDescent="0.25">
      <c r="A1189" s="5"/>
    </row>
    <row r="1190" spans="1:1" x14ac:dyDescent="0.25">
      <c r="A1190" s="5"/>
    </row>
    <row r="1191" spans="1:1" x14ac:dyDescent="0.25">
      <c r="A1191" s="5"/>
    </row>
    <row r="1192" spans="1:1" x14ac:dyDescent="0.25">
      <c r="A1192" s="5"/>
    </row>
    <row r="1193" spans="1:1" x14ac:dyDescent="0.25">
      <c r="A1193" s="5"/>
    </row>
    <row r="1194" spans="1:1" x14ac:dyDescent="0.25">
      <c r="A1194" s="5"/>
    </row>
    <row r="1195" spans="1:1" x14ac:dyDescent="0.25">
      <c r="A1195" s="5"/>
    </row>
    <row r="1196" spans="1:1" x14ac:dyDescent="0.25">
      <c r="A1196" s="5"/>
    </row>
    <row r="1197" spans="1:1" x14ac:dyDescent="0.25">
      <c r="A1197" s="5"/>
    </row>
    <row r="1198" spans="1:1" x14ac:dyDescent="0.25">
      <c r="A1198" s="5"/>
    </row>
    <row r="1199" spans="1:1" x14ac:dyDescent="0.25">
      <c r="A1199" s="5"/>
    </row>
    <row r="1200" spans="1:1" x14ac:dyDescent="0.25">
      <c r="A1200" s="5"/>
    </row>
    <row r="1201" spans="1:1" x14ac:dyDescent="0.25">
      <c r="A1201" s="5"/>
    </row>
    <row r="1202" spans="1:1" x14ac:dyDescent="0.25">
      <c r="A1202" s="5"/>
    </row>
    <row r="1203" spans="1:1" x14ac:dyDescent="0.25">
      <c r="A1203" s="5"/>
    </row>
    <row r="1204" spans="1:1" x14ac:dyDescent="0.25">
      <c r="A1204" s="5"/>
    </row>
    <row r="1205" spans="1:1" x14ac:dyDescent="0.25">
      <c r="A1205" s="5"/>
    </row>
    <row r="1206" spans="1:1" x14ac:dyDescent="0.25">
      <c r="A1206" s="5"/>
    </row>
    <row r="1207" spans="1:1" x14ac:dyDescent="0.25">
      <c r="A1207" s="5"/>
    </row>
    <row r="1208" spans="1:1" x14ac:dyDescent="0.25">
      <c r="A1208" s="5"/>
    </row>
    <row r="1209" spans="1:1" x14ac:dyDescent="0.25">
      <c r="A1209" s="5"/>
    </row>
    <row r="1210" spans="1:1" x14ac:dyDescent="0.25">
      <c r="A1210" s="5"/>
    </row>
    <row r="1211" spans="1:1" x14ac:dyDescent="0.25">
      <c r="A1211" s="5"/>
    </row>
    <row r="1212" spans="1:1" x14ac:dyDescent="0.25">
      <c r="A1212" s="5"/>
    </row>
    <row r="1213" spans="1:1" x14ac:dyDescent="0.25">
      <c r="A1213" s="5"/>
    </row>
    <row r="1214" spans="1:1" x14ac:dyDescent="0.25">
      <c r="A1214" s="5"/>
    </row>
    <row r="1215" spans="1:1" x14ac:dyDescent="0.25">
      <c r="A1215" s="5"/>
    </row>
    <row r="1216" spans="1:1" x14ac:dyDescent="0.25">
      <c r="A1216" s="5"/>
    </row>
    <row r="1217" spans="1:1" x14ac:dyDescent="0.25">
      <c r="A1217" s="5"/>
    </row>
    <row r="1218" spans="1:1" x14ac:dyDescent="0.25">
      <c r="A1218" s="5"/>
    </row>
    <row r="1219" spans="1:1" x14ac:dyDescent="0.25">
      <c r="A1219" s="5"/>
    </row>
    <row r="1220" spans="1:1" x14ac:dyDescent="0.25">
      <c r="A1220" s="5"/>
    </row>
    <row r="1221" spans="1:1" x14ac:dyDescent="0.25">
      <c r="A1221" s="5"/>
    </row>
    <row r="1222" spans="1:1" x14ac:dyDescent="0.25">
      <c r="A1222" s="5"/>
    </row>
    <row r="1223" spans="1:1" x14ac:dyDescent="0.25">
      <c r="A1223" s="5"/>
    </row>
    <row r="1224" spans="1:1" x14ac:dyDescent="0.25">
      <c r="A1224" s="5"/>
    </row>
    <row r="1225" spans="1:1" x14ac:dyDescent="0.25">
      <c r="A1225" s="5"/>
    </row>
    <row r="1226" spans="1:1" x14ac:dyDescent="0.25">
      <c r="A1226" s="5"/>
    </row>
    <row r="1227" spans="1:1" x14ac:dyDescent="0.25">
      <c r="A1227" s="5"/>
    </row>
    <row r="1228" spans="1:1" x14ac:dyDescent="0.25">
      <c r="A1228" s="5"/>
    </row>
    <row r="1229" spans="1:1" x14ac:dyDescent="0.25">
      <c r="A1229" s="5"/>
    </row>
    <row r="1230" spans="1:1" x14ac:dyDescent="0.25">
      <c r="A1230" s="5"/>
    </row>
    <row r="1231" spans="1:1" x14ac:dyDescent="0.25">
      <c r="A1231" s="5"/>
    </row>
    <row r="1232" spans="1:1" x14ac:dyDescent="0.25">
      <c r="A1232" s="5"/>
    </row>
    <row r="1233" spans="1:1" x14ac:dyDescent="0.25">
      <c r="A1233" s="5"/>
    </row>
    <row r="1234" spans="1:1" x14ac:dyDescent="0.25">
      <c r="A1234" s="5"/>
    </row>
    <row r="1235" spans="1:1" x14ac:dyDescent="0.25">
      <c r="A1235" s="5"/>
    </row>
    <row r="1236" spans="1:1" x14ac:dyDescent="0.25">
      <c r="A1236" s="5"/>
    </row>
    <row r="1237" spans="1:1" x14ac:dyDescent="0.25">
      <c r="A1237" s="5"/>
    </row>
    <row r="1238" spans="1:1" x14ac:dyDescent="0.25">
      <c r="A1238" s="5"/>
    </row>
    <row r="1239" spans="1:1" x14ac:dyDescent="0.25">
      <c r="A1239" s="5"/>
    </row>
    <row r="1240" spans="1:1" x14ac:dyDescent="0.25">
      <c r="A1240" s="5"/>
    </row>
    <row r="1241" spans="1:1" x14ac:dyDescent="0.25">
      <c r="A1241" s="5"/>
    </row>
    <row r="1242" spans="1:1" x14ac:dyDescent="0.25">
      <c r="A1242" s="5"/>
    </row>
    <row r="1243" spans="1:1" x14ac:dyDescent="0.25">
      <c r="A1243" s="5"/>
    </row>
    <row r="1244" spans="1:1" x14ac:dyDescent="0.25">
      <c r="A1244" s="5"/>
    </row>
    <row r="1245" spans="1:1" x14ac:dyDescent="0.25">
      <c r="A1245" s="5"/>
    </row>
    <row r="1246" spans="1:1" x14ac:dyDescent="0.25">
      <c r="A1246" s="5"/>
    </row>
    <row r="1247" spans="1:1" x14ac:dyDescent="0.25">
      <c r="A1247" s="5"/>
    </row>
    <row r="1248" spans="1:1" x14ac:dyDescent="0.25">
      <c r="A1248" s="5"/>
    </row>
    <row r="1249" spans="1:1" x14ac:dyDescent="0.25">
      <c r="A1249" s="5"/>
    </row>
    <row r="1250" spans="1:1" x14ac:dyDescent="0.25">
      <c r="A1250" s="5"/>
    </row>
    <row r="1251" spans="1:1" x14ac:dyDescent="0.25">
      <c r="A1251" s="5"/>
    </row>
    <row r="1252" spans="1:1" x14ac:dyDescent="0.25">
      <c r="A1252" s="5"/>
    </row>
    <row r="1253" spans="1:1" x14ac:dyDescent="0.25">
      <c r="A1253" s="5"/>
    </row>
    <row r="1254" spans="1:1" x14ac:dyDescent="0.25">
      <c r="A1254" s="5"/>
    </row>
    <row r="1255" spans="1:1" x14ac:dyDescent="0.25">
      <c r="A1255" s="5"/>
    </row>
    <row r="1256" spans="1:1" x14ac:dyDescent="0.25">
      <c r="A1256" s="5"/>
    </row>
    <row r="1257" spans="1:1" x14ac:dyDescent="0.25">
      <c r="A1257" s="5"/>
    </row>
    <row r="1258" spans="1:1" x14ac:dyDescent="0.25">
      <c r="A1258" s="5"/>
    </row>
    <row r="1259" spans="1:1" x14ac:dyDescent="0.25">
      <c r="A1259" s="5"/>
    </row>
    <row r="1260" spans="1:1" x14ac:dyDescent="0.25">
      <c r="A1260" s="5"/>
    </row>
    <row r="1261" spans="1:1" x14ac:dyDescent="0.25">
      <c r="A1261" s="5"/>
    </row>
    <row r="1262" spans="1:1" x14ac:dyDescent="0.25">
      <c r="A1262" s="5"/>
    </row>
    <row r="1263" spans="1:1" x14ac:dyDescent="0.25">
      <c r="A1263" s="5"/>
    </row>
    <row r="1264" spans="1:1" x14ac:dyDescent="0.25">
      <c r="A1264" s="5"/>
    </row>
    <row r="1265" spans="1:1" x14ac:dyDescent="0.25">
      <c r="A1265" s="5"/>
    </row>
    <row r="1266" spans="1:1" x14ac:dyDescent="0.25">
      <c r="A1266" s="5"/>
    </row>
    <row r="1267" spans="1:1" x14ac:dyDescent="0.25">
      <c r="A1267" s="5"/>
    </row>
    <row r="1268" spans="1:1" x14ac:dyDescent="0.25">
      <c r="A1268" s="5"/>
    </row>
    <row r="1269" spans="1:1" x14ac:dyDescent="0.25">
      <c r="A1269" s="5"/>
    </row>
    <row r="1270" spans="1:1" x14ac:dyDescent="0.25">
      <c r="A1270" s="5"/>
    </row>
    <row r="1271" spans="1:1" x14ac:dyDescent="0.25">
      <c r="A1271" s="5"/>
    </row>
    <row r="1272" spans="1:1" x14ac:dyDescent="0.25">
      <c r="A1272" s="5"/>
    </row>
    <row r="1273" spans="1:1" x14ac:dyDescent="0.25">
      <c r="A1273" s="5"/>
    </row>
    <row r="1274" spans="1:1" x14ac:dyDescent="0.25">
      <c r="A1274" s="5"/>
    </row>
    <row r="1275" spans="1:1" x14ac:dyDescent="0.25">
      <c r="A1275" s="5"/>
    </row>
    <row r="1276" spans="1:1" x14ac:dyDescent="0.25">
      <c r="A1276" s="5"/>
    </row>
    <row r="1277" spans="1:1" x14ac:dyDescent="0.25">
      <c r="A1277" s="5"/>
    </row>
    <row r="1278" spans="1:1" x14ac:dyDescent="0.25">
      <c r="A1278" s="5"/>
    </row>
    <row r="1279" spans="1:1" x14ac:dyDescent="0.25">
      <c r="A1279" s="5"/>
    </row>
    <row r="1280" spans="1:1" x14ac:dyDescent="0.25">
      <c r="A1280" s="5"/>
    </row>
    <row r="1281" spans="1:1" x14ac:dyDescent="0.25">
      <c r="A1281" s="5"/>
    </row>
    <row r="1282" spans="1:1" x14ac:dyDescent="0.25">
      <c r="A1282" s="5"/>
    </row>
    <row r="1283" spans="1:1" x14ac:dyDescent="0.25">
      <c r="A1283" s="5"/>
    </row>
    <row r="1284" spans="1:1" x14ac:dyDescent="0.25">
      <c r="A1284" s="5"/>
    </row>
    <row r="1285" spans="1:1" x14ac:dyDescent="0.25">
      <c r="A1285" s="5"/>
    </row>
    <row r="1286" spans="1:1" x14ac:dyDescent="0.25">
      <c r="A1286" s="5"/>
    </row>
    <row r="1287" spans="1:1" x14ac:dyDescent="0.25">
      <c r="A1287" s="5"/>
    </row>
    <row r="1288" spans="1:1" x14ac:dyDescent="0.25">
      <c r="A1288" s="5"/>
    </row>
    <row r="1289" spans="1:1" x14ac:dyDescent="0.25">
      <c r="A1289" s="5"/>
    </row>
    <row r="1290" spans="1:1" x14ac:dyDescent="0.25">
      <c r="A1290" s="5"/>
    </row>
    <row r="1291" spans="1:1" x14ac:dyDescent="0.25">
      <c r="A1291" s="5"/>
    </row>
    <row r="1292" spans="1:1" x14ac:dyDescent="0.25">
      <c r="A1292" s="5"/>
    </row>
    <row r="1293" spans="1:1" x14ac:dyDescent="0.25">
      <c r="A1293" s="5"/>
    </row>
    <row r="1294" spans="1:1" x14ac:dyDescent="0.25">
      <c r="A1294" s="5"/>
    </row>
    <row r="1295" spans="1:1" x14ac:dyDescent="0.25">
      <c r="A1295" s="5"/>
    </row>
    <row r="1296" spans="1:1" x14ac:dyDescent="0.25">
      <c r="A1296" s="5"/>
    </row>
    <row r="1297" spans="1:1" x14ac:dyDescent="0.25">
      <c r="A1297" s="5"/>
    </row>
    <row r="1298" spans="1:1" x14ac:dyDescent="0.25">
      <c r="A1298" s="5"/>
    </row>
    <row r="1299" spans="1:1" x14ac:dyDescent="0.25">
      <c r="A1299" s="5"/>
    </row>
    <row r="1300" spans="1:1" x14ac:dyDescent="0.25">
      <c r="A1300" s="5"/>
    </row>
    <row r="1301" spans="1:1" x14ac:dyDescent="0.25">
      <c r="A1301" s="5"/>
    </row>
    <row r="1302" spans="1:1" x14ac:dyDescent="0.25">
      <c r="A1302" s="5"/>
    </row>
    <row r="1303" spans="1:1" x14ac:dyDescent="0.25">
      <c r="A1303" s="5"/>
    </row>
    <row r="1304" spans="1:1" x14ac:dyDescent="0.25">
      <c r="A1304" s="5"/>
    </row>
    <row r="1305" spans="1:1" x14ac:dyDescent="0.25">
      <c r="A1305" s="5"/>
    </row>
    <row r="1306" spans="1:1" x14ac:dyDescent="0.25">
      <c r="A1306" s="5"/>
    </row>
    <row r="1307" spans="1:1" x14ac:dyDescent="0.25">
      <c r="A1307" s="5"/>
    </row>
    <row r="1308" spans="1:1" x14ac:dyDescent="0.25">
      <c r="A1308" s="5"/>
    </row>
    <row r="1309" spans="1:1" x14ac:dyDescent="0.25">
      <c r="A1309" s="5"/>
    </row>
    <row r="1310" spans="1:1" x14ac:dyDescent="0.25">
      <c r="A1310" s="5"/>
    </row>
    <row r="1311" spans="1:1" x14ac:dyDescent="0.25">
      <c r="A1311" s="5"/>
    </row>
    <row r="1312" spans="1:1" x14ac:dyDescent="0.25">
      <c r="A1312" s="5"/>
    </row>
    <row r="1313" spans="1:1" x14ac:dyDescent="0.25">
      <c r="A1313" s="5"/>
    </row>
    <row r="1314" spans="1:1" x14ac:dyDescent="0.25">
      <c r="A1314" s="5"/>
    </row>
    <row r="1315" spans="1:1" x14ac:dyDescent="0.25">
      <c r="A1315" s="5"/>
    </row>
    <row r="1316" spans="1:1" x14ac:dyDescent="0.25">
      <c r="A1316" s="5"/>
    </row>
    <row r="1317" spans="1:1" x14ac:dyDescent="0.25">
      <c r="A1317" s="5"/>
    </row>
    <row r="1318" spans="1:1" x14ac:dyDescent="0.25">
      <c r="A1318" s="5"/>
    </row>
    <row r="1319" spans="1:1" x14ac:dyDescent="0.25">
      <c r="A1319" s="5"/>
    </row>
    <row r="1320" spans="1:1" x14ac:dyDescent="0.25">
      <c r="A1320" s="5"/>
    </row>
    <row r="1321" spans="1:1" x14ac:dyDescent="0.25">
      <c r="A1321" s="5"/>
    </row>
    <row r="1322" spans="1:1" x14ac:dyDescent="0.25">
      <c r="A1322" s="5"/>
    </row>
    <row r="1323" spans="1:1" x14ac:dyDescent="0.25">
      <c r="A1323" s="5"/>
    </row>
    <row r="1324" spans="1:1" x14ac:dyDescent="0.25">
      <c r="A1324" s="5"/>
    </row>
    <row r="1325" spans="1:1" x14ac:dyDescent="0.25">
      <c r="A1325" s="5"/>
    </row>
    <row r="1326" spans="1:1" x14ac:dyDescent="0.25">
      <c r="A1326" s="5"/>
    </row>
    <row r="1327" spans="1:1" x14ac:dyDescent="0.25">
      <c r="A1327" s="5"/>
    </row>
    <row r="1328" spans="1:1" x14ac:dyDescent="0.25">
      <c r="A1328" s="5"/>
    </row>
    <row r="1329" spans="1:1" x14ac:dyDescent="0.25">
      <c r="A1329" s="5"/>
    </row>
    <row r="1330" spans="1:1" x14ac:dyDescent="0.25">
      <c r="A1330" s="5"/>
    </row>
    <row r="1331" spans="1:1" x14ac:dyDescent="0.25">
      <c r="A1331" s="5"/>
    </row>
    <row r="1332" spans="1:1" x14ac:dyDescent="0.25">
      <c r="A1332" s="5"/>
    </row>
    <row r="1333" spans="1:1" x14ac:dyDescent="0.25">
      <c r="A1333" s="5"/>
    </row>
    <row r="1334" spans="1:1" x14ac:dyDescent="0.25">
      <c r="A1334" s="5"/>
    </row>
    <row r="1335" spans="1:1" x14ac:dyDescent="0.25">
      <c r="A1335" s="5"/>
    </row>
    <row r="1336" spans="1:1" x14ac:dyDescent="0.25">
      <c r="A1336" s="5"/>
    </row>
    <row r="1337" spans="1:1" x14ac:dyDescent="0.25">
      <c r="A1337" s="5"/>
    </row>
    <row r="1338" spans="1:1" x14ac:dyDescent="0.25">
      <c r="A1338" s="5"/>
    </row>
    <row r="1339" spans="1:1" x14ac:dyDescent="0.25">
      <c r="A1339" s="5"/>
    </row>
    <row r="1340" spans="1:1" x14ac:dyDescent="0.25">
      <c r="A1340" s="5"/>
    </row>
    <row r="1341" spans="1:1" x14ac:dyDescent="0.25">
      <c r="A1341" s="5"/>
    </row>
    <row r="1342" spans="1:1" x14ac:dyDescent="0.25">
      <c r="A1342" s="5"/>
    </row>
    <row r="1343" spans="1:1" x14ac:dyDescent="0.25">
      <c r="A1343" s="5"/>
    </row>
    <row r="1344" spans="1:1" x14ac:dyDescent="0.25">
      <c r="A1344" s="5"/>
    </row>
    <row r="1345" spans="1:1" x14ac:dyDescent="0.25">
      <c r="A1345" s="5"/>
    </row>
    <row r="1346" spans="1:1" x14ac:dyDescent="0.25">
      <c r="A1346" s="5"/>
    </row>
    <row r="1347" spans="1:1" x14ac:dyDescent="0.25">
      <c r="A1347" s="5"/>
    </row>
    <row r="1348" spans="1:1" x14ac:dyDescent="0.25">
      <c r="A1348" s="5"/>
    </row>
    <row r="1349" spans="1:1" x14ac:dyDescent="0.25">
      <c r="A1349" s="5"/>
    </row>
    <row r="1350" spans="1:1" x14ac:dyDescent="0.25">
      <c r="A1350" s="5"/>
    </row>
    <row r="1351" spans="1:1" x14ac:dyDescent="0.25">
      <c r="A1351" s="5"/>
    </row>
    <row r="1352" spans="1:1" x14ac:dyDescent="0.25">
      <c r="A1352" s="5"/>
    </row>
    <row r="1353" spans="1:1" x14ac:dyDescent="0.25">
      <c r="A1353" s="5"/>
    </row>
    <row r="1354" spans="1:1" x14ac:dyDescent="0.25">
      <c r="A1354" s="5"/>
    </row>
    <row r="1355" spans="1:1" x14ac:dyDescent="0.25">
      <c r="A1355" s="5"/>
    </row>
    <row r="1356" spans="1:1" x14ac:dyDescent="0.25">
      <c r="A1356" s="5"/>
    </row>
    <row r="1357" spans="1:1" x14ac:dyDescent="0.25">
      <c r="A1357" s="5"/>
    </row>
    <row r="1358" spans="1:1" x14ac:dyDescent="0.25">
      <c r="A1358" s="5"/>
    </row>
    <row r="1359" spans="1:1" x14ac:dyDescent="0.25">
      <c r="A1359" s="5"/>
    </row>
    <row r="1360" spans="1:1" x14ac:dyDescent="0.25">
      <c r="A1360" s="5"/>
    </row>
    <row r="1361" spans="1:1" x14ac:dyDescent="0.25">
      <c r="A1361" s="5"/>
    </row>
    <row r="1362" spans="1:1" x14ac:dyDescent="0.25">
      <c r="A1362" s="5"/>
    </row>
    <row r="1363" spans="1:1" x14ac:dyDescent="0.25">
      <c r="A1363" s="5"/>
    </row>
    <row r="1364" spans="1:1" x14ac:dyDescent="0.25">
      <c r="A1364" s="5"/>
    </row>
    <row r="1365" spans="1:1" x14ac:dyDescent="0.25">
      <c r="A1365" s="5"/>
    </row>
    <row r="1366" spans="1:1" x14ac:dyDescent="0.25">
      <c r="A1366" s="5"/>
    </row>
    <row r="1367" spans="1:1" x14ac:dyDescent="0.25">
      <c r="A1367" s="5"/>
    </row>
    <row r="1368" spans="1:1" x14ac:dyDescent="0.25">
      <c r="A1368" s="5"/>
    </row>
    <row r="1369" spans="1:1" x14ac:dyDescent="0.25">
      <c r="A1369" s="5"/>
    </row>
    <row r="1370" spans="1:1" x14ac:dyDescent="0.25">
      <c r="A1370" s="5"/>
    </row>
    <row r="1371" spans="1:1" x14ac:dyDescent="0.25">
      <c r="A1371" s="5"/>
    </row>
    <row r="1372" spans="1:1" x14ac:dyDescent="0.25">
      <c r="A1372" s="5"/>
    </row>
    <row r="1373" spans="1:1" x14ac:dyDescent="0.25">
      <c r="A1373" s="5"/>
    </row>
    <row r="1374" spans="1:1" x14ac:dyDescent="0.25">
      <c r="A1374" s="5"/>
    </row>
    <row r="1375" spans="1:1" x14ac:dyDescent="0.25">
      <c r="A1375" s="5"/>
    </row>
    <row r="1376" spans="1:1" x14ac:dyDescent="0.25">
      <c r="A1376" s="5"/>
    </row>
    <row r="1377" spans="1:1" x14ac:dyDescent="0.25">
      <c r="A1377" s="5"/>
    </row>
    <row r="1378" spans="1:1" x14ac:dyDescent="0.25">
      <c r="A1378" s="5"/>
    </row>
    <row r="1379" spans="1:1" x14ac:dyDescent="0.25">
      <c r="A1379" s="5"/>
    </row>
    <row r="1380" spans="1:1" x14ac:dyDescent="0.25">
      <c r="A1380" s="5"/>
    </row>
    <row r="1381" spans="1:1" x14ac:dyDescent="0.25">
      <c r="A1381" s="5"/>
    </row>
    <row r="1382" spans="1:1" x14ac:dyDescent="0.25">
      <c r="A1382" s="5"/>
    </row>
    <row r="1383" spans="1:1" x14ac:dyDescent="0.25">
      <c r="A1383" s="5"/>
    </row>
    <row r="1384" spans="1:1" x14ac:dyDescent="0.25">
      <c r="A1384" s="5"/>
    </row>
    <row r="1385" spans="1:1" x14ac:dyDescent="0.25">
      <c r="A1385" s="5"/>
    </row>
    <row r="1386" spans="1:1" x14ac:dyDescent="0.25">
      <c r="A1386" s="5"/>
    </row>
    <row r="1387" spans="1:1" x14ac:dyDescent="0.25">
      <c r="A1387" s="5"/>
    </row>
    <row r="1388" spans="1:1" x14ac:dyDescent="0.25">
      <c r="A1388" s="5"/>
    </row>
    <row r="1389" spans="1:1" x14ac:dyDescent="0.25">
      <c r="A1389" s="5"/>
    </row>
    <row r="1390" spans="1:1" x14ac:dyDescent="0.25">
      <c r="A1390" s="5"/>
    </row>
    <row r="1391" spans="1:1" x14ac:dyDescent="0.25">
      <c r="A1391" s="5"/>
    </row>
    <row r="1392" spans="1:1" x14ac:dyDescent="0.25">
      <c r="A1392" s="5"/>
    </row>
    <row r="1393" spans="1:1" x14ac:dyDescent="0.25">
      <c r="A1393" s="5"/>
    </row>
    <row r="1394" spans="1:1" x14ac:dyDescent="0.25">
      <c r="A1394" s="5"/>
    </row>
    <row r="1395" spans="1:1" x14ac:dyDescent="0.25">
      <c r="A1395" s="5"/>
    </row>
    <row r="1396" spans="1:1" x14ac:dyDescent="0.25">
      <c r="A1396" s="5"/>
    </row>
    <row r="1397" spans="1:1" x14ac:dyDescent="0.25">
      <c r="A1397" s="5"/>
    </row>
    <row r="1398" spans="1:1" x14ac:dyDescent="0.25">
      <c r="A1398" s="5"/>
    </row>
    <row r="1399" spans="1:1" x14ac:dyDescent="0.25">
      <c r="A1399" s="5"/>
    </row>
    <row r="1400" spans="1:1" x14ac:dyDescent="0.25">
      <c r="A1400" s="5"/>
    </row>
    <row r="1401" spans="1:1" x14ac:dyDescent="0.25">
      <c r="A1401" s="5"/>
    </row>
    <row r="1402" spans="1:1" x14ac:dyDescent="0.25">
      <c r="A1402" s="5"/>
    </row>
    <row r="1403" spans="1:1" x14ac:dyDescent="0.25">
      <c r="A1403" s="5"/>
    </row>
    <row r="1404" spans="1:1" x14ac:dyDescent="0.25">
      <c r="A1404" s="5"/>
    </row>
    <row r="1405" spans="1:1" x14ac:dyDescent="0.25">
      <c r="A1405" s="5"/>
    </row>
    <row r="1406" spans="1:1" x14ac:dyDescent="0.25">
      <c r="A1406" s="5"/>
    </row>
    <row r="1407" spans="1:1" x14ac:dyDescent="0.25">
      <c r="A1407" s="5"/>
    </row>
    <row r="1408" spans="1:1" x14ac:dyDescent="0.25">
      <c r="A1408" s="5"/>
    </row>
    <row r="1409" spans="1:1" x14ac:dyDescent="0.25">
      <c r="A1409" s="5"/>
    </row>
    <row r="1410" spans="1:1" x14ac:dyDescent="0.25">
      <c r="A1410" s="5"/>
    </row>
    <row r="1411" spans="1:1" x14ac:dyDescent="0.25">
      <c r="A1411" s="5"/>
    </row>
    <row r="1412" spans="1:1" x14ac:dyDescent="0.25">
      <c r="A1412" s="5"/>
    </row>
    <row r="1413" spans="1:1" x14ac:dyDescent="0.25">
      <c r="A1413" s="5"/>
    </row>
    <row r="1414" spans="1:1" x14ac:dyDescent="0.25">
      <c r="A1414" s="5"/>
    </row>
    <row r="1415" spans="1:1" x14ac:dyDescent="0.25">
      <c r="A1415" s="5"/>
    </row>
    <row r="1416" spans="1:1" x14ac:dyDescent="0.25">
      <c r="A1416" s="5"/>
    </row>
    <row r="1417" spans="1:1" x14ac:dyDescent="0.25">
      <c r="A1417" s="5"/>
    </row>
    <row r="1418" spans="1:1" x14ac:dyDescent="0.25">
      <c r="A1418" s="5"/>
    </row>
    <row r="1419" spans="1:1" x14ac:dyDescent="0.25">
      <c r="A1419" s="5"/>
    </row>
    <row r="1420" spans="1:1" x14ac:dyDescent="0.25">
      <c r="A1420" s="5"/>
    </row>
    <row r="1421" spans="1:1" x14ac:dyDescent="0.25">
      <c r="A1421" s="5"/>
    </row>
    <row r="1422" spans="1:1" x14ac:dyDescent="0.25">
      <c r="A1422" s="5"/>
    </row>
    <row r="1423" spans="1:1" x14ac:dyDescent="0.25">
      <c r="A1423" s="5"/>
    </row>
    <row r="1424" spans="1:1" x14ac:dyDescent="0.25">
      <c r="A1424" s="5"/>
    </row>
    <row r="1425" spans="1:1" x14ac:dyDescent="0.25">
      <c r="A1425" s="5"/>
    </row>
    <row r="1426" spans="1:1" x14ac:dyDescent="0.25">
      <c r="A1426" s="5"/>
    </row>
    <row r="1427" spans="1:1" x14ac:dyDescent="0.25">
      <c r="A1427" s="5"/>
    </row>
    <row r="1428" spans="1:1" x14ac:dyDescent="0.25">
      <c r="A1428" s="5"/>
    </row>
    <row r="1429" spans="1:1" x14ac:dyDescent="0.25">
      <c r="A1429" s="5"/>
    </row>
    <row r="1430" spans="1:1" x14ac:dyDescent="0.25">
      <c r="A1430" s="5"/>
    </row>
    <row r="1431" spans="1:1" x14ac:dyDescent="0.25">
      <c r="A1431" s="5"/>
    </row>
    <row r="1432" spans="1:1" x14ac:dyDescent="0.25">
      <c r="A1432" s="5"/>
    </row>
    <row r="1433" spans="1:1" x14ac:dyDescent="0.25">
      <c r="A1433" s="5"/>
    </row>
    <row r="1434" spans="1:1" x14ac:dyDescent="0.25">
      <c r="A1434" s="5"/>
    </row>
    <row r="1435" spans="1:1" x14ac:dyDescent="0.25">
      <c r="A1435" s="5"/>
    </row>
    <row r="1436" spans="1:1" x14ac:dyDescent="0.25">
      <c r="A1436" s="5"/>
    </row>
    <row r="1437" spans="1:1" x14ac:dyDescent="0.25">
      <c r="A1437" s="5"/>
    </row>
    <row r="1438" spans="1:1" x14ac:dyDescent="0.25">
      <c r="A1438" s="5"/>
    </row>
    <row r="1439" spans="1:1" x14ac:dyDescent="0.25">
      <c r="A1439" s="5"/>
    </row>
    <row r="1440" spans="1:1" x14ac:dyDescent="0.25">
      <c r="A1440" s="5"/>
    </row>
    <row r="1441" spans="1:1" x14ac:dyDescent="0.25">
      <c r="A1441" s="5"/>
    </row>
    <row r="1442" spans="1:1" x14ac:dyDescent="0.25">
      <c r="A1442" s="5"/>
    </row>
    <row r="1443" spans="1:1" x14ac:dyDescent="0.25">
      <c r="A1443" s="5"/>
    </row>
    <row r="1444" spans="1:1" x14ac:dyDescent="0.25">
      <c r="A1444" s="5"/>
    </row>
    <row r="1445" spans="1:1" x14ac:dyDescent="0.25">
      <c r="A1445" s="5"/>
    </row>
    <row r="1446" spans="1:1" x14ac:dyDescent="0.25">
      <c r="A1446" s="5"/>
    </row>
    <row r="1447" spans="1:1" x14ac:dyDescent="0.25">
      <c r="A1447" s="5"/>
    </row>
    <row r="1448" spans="1:1" x14ac:dyDescent="0.25">
      <c r="A1448" s="5"/>
    </row>
    <row r="1449" spans="1:1" x14ac:dyDescent="0.25">
      <c r="A1449" s="5"/>
    </row>
    <row r="1450" spans="1:1" x14ac:dyDescent="0.25">
      <c r="A1450" s="5"/>
    </row>
    <row r="1451" spans="1:1" x14ac:dyDescent="0.25">
      <c r="A1451" s="5"/>
    </row>
    <row r="1452" spans="1:1" x14ac:dyDescent="0.25">
      <c r="A1452" s="5"/>
    </row>
    <row r="1453" spans="1:1" x14ac:dyDescent="0.25">
      <c r="A1453" s="5"/>
    </row>
    <row r="1454" spans="1:1" x14ac:dyDescent="0.25">
      <c r="A1454" s="5"/>
    </row>
    <row r="1455" spans="1:1" x14ac:dyDescent="0.25">
      <c r="A1455" s="5"/>
    </row>
    <row r="1456" spans="1:1" x14ac:dyDescent="0.25">
      <c r="A1456" s="5"/>
    </row>
    <row r="1457" spans="1:1" x14ac:dyDescent="0.25">
      <c r="A1457" s="5"/>
    </row>
    <row r="1458" spans="1:1" x14ac:dyDescent="0.25">
      <c r="A1458" s="5"/>
    </row>
    <row r="1459" spans="1:1" x14ac:dyDescent="0.25">
      <c r="A1459" s="5"/>
    </row>
    <row r="1460" spans="1:1" x14ac:dyDescent="0.25">
      <c r="A1460" s="5"/>
    </row>
    <row r="1461" spans="1:1" x14ac:dyDescent="0.25">
      <c r="A1461" s="5"/>
    </row>
    <row r="1462" spans="1:1" x14ac:dyDescent="0.25">
      <c r="A1462" s="5"/>
    </row>
    <row r="1463" spans="1:1" x14ac:dyDescent="0.25">
      <c r="A1463" s="5"/>
    </row>
    <row r="1464" spans="1:1" x14ac:dyDescent="0.25">
      <c r="A1464" s="5"/>
    </row>
    <row r="1465" spans="1:1" x14ac:dyDescent="0.25">
      <c r="A1465" s="5"/>
    </row>
    <row r="1466" spans="1:1" x14ac:dyDescent="0.25">
      <c r="A1466" s="5"/>
    </row>
    <row r="1467" spans="1:1" x14ac:dyDescent="0.25">
      <c r="A1467" s="5"/>
    </row>
    <row r="1468" spans="1:1" x14ac:dyDescent="0.25">
      <c r="A1468" s="5"/>
    </row>
    <row r="1469" spans="1:1" x14ac:dyDescent="0.25">
      <c r="A1469" s="5"/>
    </row>
    <row r="1470" spans="1:1" x14ac:dyDescent="0.25">
      <c r="A1470" s="5"/>
    </row>
    <row r="1471" spans="1:1" x14ac:dyDescent="0.25">
      <c r="A1471" s="5"/>
    </row>
    <row r="1472" spans="1:1" x14ac:dyDescent="0.25">
      <c r="A1472" s="5"/>
    </row>
    <row r="1473" spans="1:1" x14ac:dyDescent="0.25">
      <c r="A1473" s="5"/>
    </row>
    <row r="1474" spans="1:1" x14ac:dyDescent="0.25">
      <c r="A1474" s="5"/>
    </row>
    <row r="1475" spans="1:1" x14ac:dyDescent="0.25">
      <c r="A1475" s="5"/>
    </row>
    <row r="1476" spans="1:1" x14ac:dyDescent="0.25">
      <c r="A1476" s="5"/>
    </row>
    <row r="1477" spans="1:1" x14ac:dyDescent="0.25">
      <c r="A1477" s="5"/>
    </row>
    <row r="1478" spans="1:1" x14ac:dyDescent="0.25">
      <c r="A1478" s="5"/>
    </row>
    <row r="1479" spans="1:1" x14ac:dyDescent="0.25">
      <c r="A1479" s="5"/>
    </row>
    <row r="1480" spans="1:1" x14ac:dyDescent="0.25">
      <c r="A1480" s="5"/>
    </row>
    <row r="1481" spans="1:1" x14ac:dyDescent="0.25">
      <c r="A1481" s="5"/>
    </row>
    <row r="1482" spans="1:1" x14ac:dyDescent="0.25">
      <c r="A1482" s="5"/>
    </row>
    <row r="1483" spans="1:1" x14ac:dyDescent="0.25">
      <c r="A1483" s="5"/>
    </row>
    <row r="1484" spans="1:1" x14ac:dyDescent="0.25">
      <c r="A1484" s="5"/>
    </row>
    <row r="1485" spans="1:1" x14ac:dyDescent="0.25">
      <c r="A1485" s="5"/>
    </row>
    <row r="1486" spans="1:1" x14ac:dyDescent="0.25">
      <c r="A1486" s="5"/>
    </row>
    <row r="1487" spans="1:1" x14ac:dyDescent="0.25">
      <c r="A1487" s="5"/>
    </row>
    <row r="1488" spans="1:1" x14ac:dyDescent="0.25">
      <c r="A1488" s="5"/>
    </row>
    <row r="1489" spans="1:1" x14ac:dyDescent="0.25">
      <c r="A1489" s="5"/>
    </row>
    <row r="1490" spans="1:1" x14ac:dyDescent="0.25">
      <c r="A1490" s="5"/>
    </row>
    <row r="1491" spans="1:1" x14ac:dyDescent="0.25">
      <c r="A1491" s="5"/>
    </row>
    <row r="1492" spans="1:1" x14ac:dyDescent="0.25">
      <c r="A1492" s="5"/>
    </row>
    <row r="1493" spans="1:1" x14ac:dyDescent="0.25">
      <c r="A1493" s="5"/>
    </row>
    <row r="1494" spans="1:1" x14ac:dyDescent="0.25">
      <c r="A1494" s="5"/>
    </row>
    <row r="1495" spans="1:1" x14ac:dyDescent="0.25">
      <c r="A1495" s="5"/>
    </row>
    <row r="1496" spans="1:1" x14ac:dyDescent="0.25">
      <c r="A1496" s="5"/>
    </row>
    <row r="1497" spans="1:1" x14ac:dyDescent="0.25">
      <c r="A1497" s="5"/>
    </row>
    <row r="1498" spans="1:1" x14ac:dyDescent="0.25">
      <c r="A1498" s="5"/>
    </row>
    <row r="1499" spans="1:1" x14ac:dyDescent="0.25">
      <c r="A1499" s="5"/>
    </row>
    <row r="1500" spans="1:1" x14ac:dyDescent="0.25">
      <c r="A1500" s="5"/>
    </row>
    <row r="1501" spans="1:1" x14ac:dyDescent="0.25">
      <c r="A1501" s="5"/>
    </row>
    <row r="1502" spans="1:1" x14ac:dyDescent="0.25">
      <c r="A1502" s="5"/>
    </row>
    <row r="1503" spans="1:1" x14ac:dyDescent="0.25">
      <c r="A1503" s="5"/>
    </row>
    <row r="1504" spans="1:1" x14ac:dyDescent="0.25">
      <c r="A1504" s="5"/>
    </row>
    <row r="1505" spans="1:1" x14ac:dyDescent="0.25">
      <c r="A1505" s="5"/>
    </row>
    <row r="1506" spans="1:1" x14ac:dyDescent="0.25">
      <c r="A1506" s="5"/>
    </row>
    <row r="1507" spans="1:1" x14ac:dyDescent="0.25">
      <c r="A1507" s="5"/>
    </row>
    <row r="1508" spans="1:1" x14ac:dyDescent="0.25">
      <c r="A1508" s="5"/>
    </row>
    <row r="1509" spans="1:1" x14ac:dyDescent="0.25">
      <c r="A1509" s="5"/>
    </row>
    <row r="1510" spans="1:1" x14ac:dyDescent="0.25">
      <c r="A1510" s="5"/>
    </row>
    <row r="1511" spans="1:1" x14ac:dyDescent="0.25">
      <c r="A1511" s="5"/>
    </row>
    <row r="1512" spans="1:1" x14ac:dyDescent="0.25">
      <c r="A1512" s="5"/>
    </row>
    <row r="1513" spans="1:1" x14ac:dyDescent="0.25">
      <c r="A1513" s="5"/>
    </row>
    <row r="1514" spans="1:1" x14ac:dyDescent="0.25">
      <c r="A1514" s="5"/>
    </row>
    <row r="1515" spans="1:1" x14ac:dyDescent="0.25">
      <c r="A1515" s="5"/>
    </row>
    <row r="1516" spans="1:1" x14ac:dyDescent="0.25">
      <c r="A1516" s="5"/>
    </row>
    <row r="1517" spans="1:1" x14ac:dyDescent="0.25">
      <c r="A1517" s="5"/>
    </row>
    <row r="1518" spans="1:1" x14ac:dyDescent="0.25">
      <c r="A1518" s="5"/>
    </row>
    <row r="1519" spans="1:1" x14ac:dyDescent="0.25">
      <c r="A1519" s="5"/>
    </row>
    <row r="1520" spans="1:1" x14ac:dyDescent="0.25">
      <c r="A1520" s="5"/>
    </row>
    <row r="1521" spans="1:1" x14ac:dyDescent="0.25">
      <c r="A1521" s="5"/>
    </row>
    <row r="1522" spans="1:1" x14ac:dyDescent="0.25">
      <c r="A1522" s="5"/>
    </row>
    <row r="1523" spans="1:1" x14ac:dyDescent="0.25">
      <c r="A1523" s="5"/>
    </row>
    <row r="1524" spans="1:1" x14ac:dyDescent="0.25">
      <c r="A1524" s="5"/>
    </row>
    <row r="1525" spans="1:1" x14ac:dyDescent="0.25">
      <c r="A1525" s="5"/>
    </row>
    <row r="1526" spans="1:1" x14ac:dyDescent="0.25">
      <c r="A1526" s="5"/>
    </row>
    <row r="1527" spans="1:1" x14ac:dyDescent="0.25">
      <c r="A1527" s="5"/>
    </row>
    <row r="1528" spans="1:1" x14ac:dyDescent="0.25">
      <c r="A1528" s="5"/>
    </row>
    <row r="1529" spans="1:1" x14ac:dyDescent="0.25">
      <c r="A1529" s="5"/>
    </row>
    <row r="1530" spans="1:1" x14ac:dyDescent="0.25">
      <c r="A1530" s="5"/>
    </row>
    <row r="1531" spans="1:1" x14ac:dyDescent="0.25">
      <c r="A1531" s="5"/>
    </row>
    <row r="1532" spans="1:1" x14ac:dyDescent="0.25">
      <c r="A1532" s="5"/>
    </row>
    <row r="1533" spans="1:1" x14ac:dyDescent="0.25">
      <c r="A1533" s="5"/>
    </row>
    <row r="1534" spans="1:1" x14ac:dyDescent="0.25">
      <c r="A1534" s="5"/>
    </row>
    <row r="1535" spans="1:1" x14ac:dyDescent="0.25">
      <c r="A1535" s="5"/>
    </row>
    <row r="1536" spans="1:1" x14ac:dyDescent="0.25">
      <c r="A1536" s="5"/>
    </row>
    <row r="1537" spans="1:1" x14ac:dyDescent="0.25">
      <c r="A1537" s="5"/>
    </row>
    <row r="1538" spans="1:1" x14ac:dyDescent="0.25">
      <c r="A1538" s="5"/>
    </row>
    <row r="1539" spans="1:1" x14ac:dyDescent="0.25">
      <c r="A1539" s="5"/>
    </row>
    <row r="1540" spans="1:1" x14ac:dyDescent="0.25">
      <c r="A1540" s="5"/>
    </row>
    <row r="1541" spans="1:1" x14ac:dyDescent="0.25">
      <c r="A1541" s="5"/>
    </row>
    <row r="1542" spans="1:1" x14ac:dyDescent="0.25">
      <c r="A1542" s="5"/>
    </row>
    <row r="1543" spans="1:1" x14ac:dyDescent="0.25">
      <c r="A1543" s="5"/>
    </row>
    <row r="1544" spans="1:1" x14ac:dyDescent="0.25">
      <c r="A1544" s="5"/>
    </row>
    <row r="1545" spans="1:1" x14ac:dyDescent="0.25">
      <c r="A1545" s="5"/>
    </row>
    <row r="1546" spans="1:1" x14ac:dyDescent="0.25">
      <c r="A1546" s="5"/>
    </row>
    <row r="1547" spans="1:1" x14ac:dyDescent="0.25">
      <c r="A1547" s="5"/>
    </row>
    <row r="1548" spans="1:1" x14ac:dyDescent="0.25">
      <c r="A1548" s="5"/>
    </row>
    <row r="1549" spans="1:1" x14ac:dyDescent="0.25">
      <c r="A1549" s="5"/>
    </row>
    <row r="1550" spans="1:1" x14ac:dyDescent="0.25">
      <c r="A1550" s="5"/>
    </row>
    <row r="1551" spans="1:1" x14ac:dyDescent="0.25">
      <c r="A1551" s="5"/>
    </row>
    <row r="1552" spans="1:1" x14ac:dyDescent="0.25">
      <c r="A1552" s="5"/>
    </row>
    <row r="1553" spans="1:1" x14ac:dyDescent="0.25">
      <c r="A1553" s="5"/>
    </row>
    <row r="1554" spans="1:1" x14ac:dyDescent="0.25">
      <c r="A1554" s="5"/>
    </row>
    <row r="1555" spans="1:1" x14ac:dyDescent="0.25">
      <c r="A1555" s="5"/>
    </row>
    <row r="1556" spans="1:1" x14ac:dyDescent="0.25">
      <c r="A1556" s="5"/>
    </row>
    <row r="1557" spans="1:1" x14ac:dyDescent="0.25">
      <c r="A1557" s="5"/>
    </row>
    <row r="1558" spans="1:1" x14ac:dyDescent="0.25">
      <c r="A1558" s="5"/>
    </row>
    <row r="1559" spans="1:1" x14ac:dyDescent="0.25">
      <c r="A1559" s="5"/>
    </row>
    <row r="1560" spans="1:1" x14ac:dyDescent="0.25">
      <c r="A1560" s="5"/>
    </row>
    <row r="1561" spans="1:1" x14ac:dyDescent="0.25">
      <c r="A1561" s="5"/>
    </row>
    <row r="1562" spans="1:1" x14ac:dyDescent="0.25">
      <c r="A1562" s="5"/>
    </row>
    <row r="1563" spans="1:1" x14ac:dyDescent="0.25">
      <c r="A1563" s="5"/>
    </row>
    <row r="1564" spans="1:1" x14ac:dyDescent="0.25">
      <c r="A1564" s="5"/>
    </row>
    <row r="1565" spans="1:1" x14ac:dyDescent="0.25">
      <c r="A1565" s="5"/>
    </row>
    <row r="1566" spans="1:1" x14ac:dyDescent="0.25">
      <c r="A1566" s="5"/>
    </row>
    <row r="1567" spans="1:1" x14ac:dyDescent="0.25">
      <c r="A1567" s="5"/>
    </row>
    <row r="1568" spans="1:1" x14ac:dyDescent="0.25">
      <c r="A1568" s="5"/>
    </row>
    <row r="1569" spans="1:1" x14ac:dyDescent="0.25">
      <c r="A1569" s="5"/>
    </row>
    <row r="1570" spans="1:1" x14ac:dyDescent="0.25">
      <c r="A1570" s="5"/>
    </row>
    <row r="1571" spans="1:1" x14ac:dyDescent="0.25">
      <c r="A1571" s="5"/>
    </row>
    <row r="1572" spans="1:1" x14ac:dyDescent="0.25">
      <c r="A1572" s="5"/>
    </row>
    <row r="1573" spans="1:1" x14ac:dyDescent="0.25">
      <c r="A1573" s="5"/>
    </row>
    <row r="1574" spans="1:1" x14ac:dyDescent="0.25">
      <c r="A1574" s="5"/>
    </row>
    <row r="1575" spans="1:1" x14ac:dyDescent="0.25">
      <c r="A1575" s="5"/>
    </row>
    <row r="1576" spans="1:1" x14ac:dyDescent="0.25">
      <c r="A1576" s="5"/>
    </row>
    <row r="1577" spans="1:1" x14ac:dyDescent="0.25">
      <c r="A1577" s="5"/>
    </row>
    <row r="1578" spans="1:1" x14ac:dyDescent="0.25">
      <c r="A1578" s="5"/>
    </row>
    <row r="1579" spans="1:1" x14ac:dyDescent="0.25">
      <c r="A1579" s="5"/>
    </row>
    <row r="1580" spans="1:1" x14ac:dyDescent="0.25">
      <c r="A1580" s="5"/>
    </row>
    <row r="1581" spans="1:1" x14ac:dyDescent="0.25">
      <c r="A1581" s="5"/>
    </row>
    <row r="1582" spans="1:1" x14ac:dyDescent="0.25">
      <c r="A1582" s="5"/>
    </row>
    <row r="1583" spans="1:1" x14ac:dyDescent="0.25">
      <c r="A1583" s="5"/>
    </row>
    <row r="1584" spans="1:1" x14ac:dyDescent="0.25">
      <c r="A1584" s="5"/>
    </row>
    <row r="1585" spans="1:1" x14ac:dyDescent="0.25">
      <c r="A1585" s="5"/>
    </row>
    <row r="1586" spans="1:1" x14ac:dyDescent="0.25">
      <c r="A1586" s="5"/>
    </row>
    <row r="1587" spans="1:1" x14ac:dyDescent="0.25">
      <c r="A1587" s="5"/>
    </row>
    <row r="1588" spans="1:1" x14ac:dyDescent="0.25">
      <c r="A1588" s="5"/>
    </row>
    <row r="1589" spans="1:1" x14ac:dyDescent="0.25">
      <c r="A1589" s="5"/>
    </row>
    <row r="1590" spans="1:1" x14ac:dyDescent="0.25">
      <c r="A1590" s="5"/>
    </row>
    <row r="1591" spans="1:1" x14ac:dyDescent="0.25">
      <c r="A1591" s="5"/>
    </row>
    <row r="1592" spans="1:1" x14ac:dyDescent="0.25">
      <c r="A1592" s="5"/>
    </row>
    <row r="1593" spans="1:1" x14ac:dyDescent="0.25">
      <c r="A1593" s="5"/>
    </row>
    <row r="1594" spans="1:1" x14ac:dyDescent="0.25">
      <c r="A1594" s="5"/>
    </row>
    <row r="1595" spans="1:1" x14ac:dyDescent="0.25">
      <c r="A1595" s="5"/>
    </row>
    <row r="1596" spans="1:1" x14ac:dyDescent="0.25">
      <c r="A1596" s="5"/>
    </row>
    <row r="1597" spans="1:1" x14ac:dyDescent="0.25">
      <c r="A1597" s="5"/>
    </row>
    <row r="1598" spans="1:1" x14ac:dyDescent="0.25">
      <c r="A1598" s="5"/>
    </row>
    <row r="1599" spans="1:1" x14ac:dyDescent="0.25">
      <c r="A1599" s="5"/>
    </row>
    <row r="1600" spans="1:1" x14ac:dyDescent="0.25">
      <c r="A1600" s="5"/>
    </row>
    <row r="1601" spans="1:1" x14ac:dyDescent="0.25">
      <c r="A1601" s="5"/>
    </row>
    <row r="1602" spans="1:1" x14ac:dyDescent="0.25">
      <c r="A1602" s="5"/>
    </row>
    <row r="1603" spans="1:1" x14ac:dyDescent="0.25">
      <c r="A1603" s="5"/>
    </row>
    <row r="1604" spans="1:1" x14ac:dyDescent="0.25">
      <c r="A1604" s="5"/>
    </row>
    <row r="1605" spans="1:1" x14ac:dyDescent="0.25">
      <c r="A1605" s="5"/>
    </row>
    <row r="1606" spans="1:1" x14ac:dyDescent="0.25">
      <c r="A1606" s="5"/>
    </row>
    <row r="1607" spans="1:1" x14ac:dyDescent="0.25">
      <c r="A1607" s="5"/>
    </row>
    <row r="1608" spans="1:1" x14ac:dyDescent="0.25">
      <c r="A1608" s="5"/>
    </row>
    <row r="1609" spans="1:1" x14ac:dyDescent="0.25">
      <c r="A1609" s="5"/>
    </row>
    <row r="1610" spans="1:1" x14ac:dyDescent="0.25">
      <c r="A1610" s="5"/>
    </row>
    <row r="1611" spans="1:1" x14ac:dyDescent="0.25">
      <c r="A1611" s="5"/>
    </row>
    <row r="1612" spans="1:1" x14ac:dyDescent="0.25">
      <c r="A1612" s="5"/>
    </row>
    <row r="1613" spans="1:1" x14ac:dyDescent="0.25">
      <c r="A1613" s="5"/>
    </row>
    <row r="1614" spans="1:1" x14ac:dyDescent="0.25">
      <c r="A1614" s="5"/>
    </row>
    <row r="1615" spans="1:1" x14ac:dyDescent="0.25">
      <c r="A1615" s="5"/>
    </row>
    <row r="1616" spans="1:1" x14ac:dyDescent="0.25">
      <c r="A1616" s="5"/>
    </row>
    <row r="1617" spans="1:1" x14ac:dyDescent="0.25">
      <c r="A1617" s="5"/>
    </row>
    <row r="1618" spans="1:1" x14ac:dyDescent="0.25">
      <c r="A1618" s="5"/>
    </row>
    <row r="1619" spans="1:1" x14ac:dyDescent="0.25">
      <c r="A1619" s="5"/>
    </row>
    <row r="1620" spans="1:1" x14ac:dyDescent="0.25">
      <c r="A1620" s="5"/>
    </row>
    <row r="1621" spans="1:1" x14ac:dyDescent="0.25">
      <c r="A1621" s="5"/>
    </row>
    <row r="1622" spans="1:1" x14ac:dyDescent="0.25">
      <c r="A1622" s="5"/>
    </row>
    <row r="1623" spans="1:1" x14ac:dyDescent="0.25">
      <c r="A1623" s="5"/>
    </row>
    <row r="1624" spans="1:1" x14ac:dyDescent="0.25">
      <c r="A1624" s="5"/>
    </row>
    <row r="1625" spans="1:1" x14ac:dyDescent="0.25">
      <c r="A1625" s="5"/>
    </row>
    <row r="1626" spans="1:1" x14ac:dyDescent="0.25">
      <c r="A1626" s="5"/>
    </row>
    <row r="1627" spans="1:1" x14ac:dyDescent="0.25">
      <c r="A1627" s="5"/>
    </row>
    <row r="1628" spans="1:1" x14ac:dyDescent="0.25">
      <c r="A1628" s="5"/>
    </row>
    <row r="1629" spans="1:1" x14ac:dyDescent="0.25">
      <c r="A1629" s="5"/>
    </row>
    <row r="1630" spans="1:1" x14ac:dyDescent="0.25">
      <c r="A1630" s="5"/>
    </row>
    <row r="1631" spans="1:1" x14ac:dyDescent="0.25">
      <c r="A1631" s="5"/>
    </row>
    <row r="1632" spans="1:1" x14ac:dyDescent="0.25">
      <c r="A1632" s="5"/>
    </row>
    <row r="1633" spans="1:1" x14ac:dyDescent="0.25">
      <c r="A1633" s="5"/>
    </row>
    <row r="1634" spans="1:1" x14ac:dyDescent="0.25">
      <c r="A1634" s="5"/>
    </row>
    <row r="1635" spans="1:1" x14ac:dyDescent="0.25">
      <c r="A1635" s="5"/>
    </row>
    <row r="1636" spans="1:1" x14ac:dyDescent="0.25">
      <c r="A1636" s="5"/>
    </row>
    <row r="1637" spans="1:1" x14ac:dyDescent="0.25">
      <c r="A1637" s="5"/>
    </row>
    <row r="1638" spans="1:1" x14ac:dyDescent="0.25">
      <c r="A1638" s="5"/>
    </row>
    <row r="1639" spans="1:1" x14ac:dyDescent="0.25">
      <c r="A1639" s="5"/>
    </row>
    <row r="1640" spans="1:1" x14ac:dyDescent="0.25">
      <c r="A1640" s="5"/>
    </row>
    <row r="1641" spans="1:1" x14ac:dyDescent="0.25">
      <c r="A1641" s="5"/>
    </row>
    <row r="1642" spans="1:1" x14ac:dyDescent="0.25">
      <c r="A1642" s="5"/>
    </row>
    <row r="1643" spans="1:1" x14ac:dyDescent="0.25">
      <c r="A1643" s="5"/>
    </row>
    <row r="1644" spans="1:1" x14ac:dyDescent="0.25">
      <c r="A1644" s="5"/>
    </row>
    <row r="1645" spans="1:1" x14ac:dyDescent="0.25">
      <c r="A1645" s="5"/>
    </row>
    <row r="1646" spans="1:1" x14ac:dyDescent="0.25">
      <c r="A1646" s="5"/>
    </row>
    <row r="1647" spans="1:1" x14ac:dyDescent="0.25">
      <c r="A1647" s="5"/>
    </row>
    <row r="1648" spans="1:1" x14ac:dyDescent="0.25">
      <c r="A1648" s="5"/>
    </row>
    <row r="1649" spans="1:1" x14ac:dyDescent="0.25">
      <c r="A1649" s="5"/>
    </row>
    <row r="1650" spans="1:1" x14ac:dyDescent="0.25">
      <c r="A1650" s="5"/>
    </row>
    <row r="1651" spans="1:1" x14ac:dyDescent="0.25">
      <c r="A1651" s="5"/>
    </row>
    <row r="1652" spans="1:1" x14ac:dyDescent="0.25">
      <c r="A1652" s="5"/>
    </row>
    <row r="1653" spans="1:1" x14ac:dyDescent="0.25">
      <c r="A1653" s="5"/>
    </row>
    <row r="1654" spans="1:1" x14ac:dyDescent="0.25">
      <c r="A1654" s="5"/>
    </row>
    <row r="1655" spans="1:1" x14ac:dyDescent="0.25">
      <c r="A1655" s="5"/>
    </row>
    <row r="1656" spans="1:1" x14ac:dyDescent="0.25">
      <c r="A1656" s="5"/>
    </row>
    <row r="1657" spans="1:1" x14ac:dyDescent="0.25">
      <c r="A1657" s="5"/>
    </row>
    <row r="1658" spans="1:1" x14ac:dyDescent="0.25">
      <c r="A1658" s="5"/>
    </row>
    <row r="1659" spans="1:1" x14ac:dyDescent="0.25">
      <c r="A1659" s="5"/>
    </row>
    <row r="1660" spans="1:1" x14ac:dyDescent="0.25">
      <c r="A1660" s="5"/>
    </row>
    <row r="1661" spans="1:1" x14ac:dyDescent="0.25">
      <c r="A1661" s="5"/>
    </row>
    <row r="1662" spans="1:1" x14ac:dyDescent="0.25">
      <c r="A1662" s="5"/>
    </row>
    <row r="1663" spans="1:1" x14ac:dyDescent="0.25">
      <c r="A1663" s="5"/>
    </row>
    <row r="1664" spans="1:1" x14ac:dyDescent="0.25">
      <c r="A1664" s="5"/>
    </row>
    <row r="1665" spans="1:1" x14ac:dyDescent="0.25">
      <c r="A1665" s="5"/>
    </row>
    <row r="1666" spans="1:1" x14ac:dyDescent="0.25">
      <c r="A1666" s="5"/>
    </row>
    <row r="1667" spans="1:1" x14ac:dyDescent="0.25">
      <c r="A1667" s="5"/>
    </row>
    <row r="1668" spans="1:1" x14ac:dyDescent="0.25">
      <c r="A1668" s="5"/>
    </row>
    <row r="1669" spans="1:1" x14ac:dyDescent="0.25">
      <c r="A1669" s="5"/>
    </row>
    <row r="1670" spans="1:1" x14ac:dyDescent="0.25">
      <c r="A1670" s="5"/>
    </row>
    <row r="1671" spans="1:1" x14ac:dyDescent="0.25">
      <c r="A1671" s="5"/>
    </row>
    <row r="1672" spans="1:1" x14ac:dyDescent="0.25">
      <c r="A1672" s="5"/>
    </row>
    <row r="1673" spans="1:1" x14ac:dyDescent="0.25">
      <c r="A1673" s="5"/>
    </row>
    <row r="1674" spans="1:1" x14ac:dyDescent="0.25">
      <c r="A1674" s="5"/>
    </row>
    <row r="1675" spans="1:1" x14ac:dyDescent="0.25">
      <c r="A1675" s="5"/>
    </row>
    <row r="1676" spans="1:1" x14ac:dyDescent="0.25">
      <c r="A1676" s="5"/>
    </row>
    <row r="1677" spans="1:1" x14ac:dyDescent="0.25">
      <c r="A1677" s="5"/>
    </row>
    <row r="1678" spans="1:1" x14ac:dyDescent="0.25">
      <c r="A1678" s="5"/>
    </row>
    <row r="1679" spans="1:1" x14ac:dyDescent="0.25">
      <c r="A1679" s="5"/>
    </row>
    <row r="1680" spans="1:1" x14ac:dyDescent="0.25">
      <c r="A1680" s="5"/>
    </row>
    <row r="1681" spans="1:1" x14ac:dyDescent="0.25">
      <c r="A1681" s="5"/>
    </row>
    <row r="1682" spans="1:1" x14ac:dyDescent="0.25">
      <c r="A1682" s="5"/>
    </row>
    <row r="1683" spans="1:1" x14ac:dyDescent="0.25">
      <c r="A1683" s="5"/>
    </row>
    <row r="1684" spans="1:1" x14ac:dyDescent="0.25">
      <c r="A1684" s="5"/>
    </row>
    <row r="1685" spans="1:1" x14ac:dyDescent="0.25">
      <c r="A1685" s="5"/>
    </row>
    <row r="1686" spans="1:1" x14ac:dyDescent="0.25">
      <c r="A1686" s="5"/>
    </row>
    <row r="1687" spans="1:1" x14ac:dyDescent="0.25">
      <c r="A1687" s="5"/>
    </row>
    <row r="1688" spans="1:1" x14ac:dyDescent="0.25">
      <c r="A1688" s="5"/>
    </row>
    <row r="1689" spans="1:1" x14ac:dyDescent="0.25">
      <c r="A1689" s="5"/>
    </row>
    <row r="1690" spans="1:1" x14ac:dyDescent="0.25">
      <c r="A1690" s="5"/>
    </row>
    <row r="1691" spans="1:1" x14ac:dyDescent="0.25">
      <c r="A1691" s="5"/>
    </row>
    <row r="1692" spans="1:1" x14ac:dyDescent="0.25">
      <c r="A1692" s="5"/>
    </row>
    <row r="1693" spans="1:1" x14ac:dyDescent="0.25">
      <c r="A1693" s="5"/>
    </row>
    <row r="1694" spans="1:1" x14ac:dyDescent="0.25">
      <c r="A1694" s="5"/>
    </row>
    <row r="1695" spans="1:1" x14ac:dyDescent="0.25">
      <c r="A1695" s="5"/>
    </row>
    <row r="1696" spans="1:1" x14ac:dyDescent="0.25">
      <c r="A1696" s="5"/>
    </row>
    <row r="1697" spans="1:1" x14ac:dyDescent="0.25">
      <c r="A1697" s="5"/>
    </row>
    <row r="1698" spans="1:1" x14ac:dyDescent="0.25">
      <c r="A1698" s="5"/>
    </row>
    <row r="1699" spans="1:1" x14ac:dyDescent="0.25">
      <c r="A1699" s="5"/>
    </row>
    <row r="1700" spans="1:1" x14ac:dyDescent="0.25">
      <c r="A1700" s="5"/>
    </row>
    <row r="1701" spans="1:1" x14ac:dyDescent="0.25">
      <c r="A1701" s="5"/>
    </row>
    <row r="1702" spans="1:1" x14ac:dyDescent="0.25">
      <c r="A1702" s="5"/>
    </row>
    <row r="1703" spans="1:1" x14ac:dyDescent="0.25">
      <c r="A1703" s="5"/>
    </row>
    <row r="1704" spans="1:1" x14ac:dyDescent="0.25">
      <c r="A1704" s="5"/>
    </row>
    <row r="1705" spans="1:1" x14ac:dyDescent="0.25">
      <c r="A1705" s="5"/>
    </row>
    <row r="1706" spans="1:1" x14ac:dyDescent="0.25">
      <c r="A1706" s="5"/>
    </row>
    <row r="1707" spans="1:1" x14ac:dyDescent="0.25">
      <c r="A1707" s="5"/>
    </row>
    <row r="1708" spans="1:1" x14ac:dyDescent="0.25">
      <c r="A1708" s="5"/>
    </row>
    <row r="1709" spans="1:1" x14ac:dyDescent="0.25">
      <c r="A1709" s="5"/>
    </row>
    <row r="1710" spans="1:1" x14ac:dyDescent="0.25">
      <c r="A1710" s="5"/>
    </row>
    <row r="1711" spans="1:1" x14ac:dyDescent="0.25">
      <c r="A1711" s="5"/>
    </row>
    <row r="1712" spans="1:1" x14ac:dyDescent="0.25">
      <c r="A1712" s="5"/>
    </row>
    <row r="1713" spans="1:1" x14ac:dyDescent="0.25">
      <c r="A1713" s="5"/>
    </row>
    <row r="1714" spans="1:1" x14ac:dyDescent="0.25">
      <c r="A1714" s="5"/>
    </row>
    <row r="1715" spans="1:1" x14ac:dyDescent="0.25">
      <c r="A1715" s="5"/>
    </row>
    <row r="1716" spans="1:1" x14ac:dyDescent="0.25">
      <c r="A1716" s="5"/>
    </row>
    <row r="1717" spans="1:1" x14ac:dyDescent="0.25">
      <c r="A1717" s="5"/>
    </row>
    <row r="1718" spans="1:1" x14ac:dyDescent="0.25">
      <c r="A1718" s="5"/>
    </row>
    <row r="1719" spans="1:1" x14ac:dyDescent="0.25">
      <c r="A1719" s="5"/>
    </row>
    <row r="1720" spans="1:1" x14ac:dyDescent="0.25">
      <c r="A1720" s="5"/>
    </row>
    <row r="1721" spans="1:1" x14ac:dyDescent="0.25">
      <c r="A1721" s="5"/>
    </row>
    <row r="1722" spans="1:1" x14ac:dyDescent="0.25">
      <c r="A1722" s="5"/>
    </row>
    <row r="1723" spans="1:1" x14ac:dyDescent="0.25">
      <c r="A1723" s="5"/>
    </row>
    <row r="1724" spans="1:1" x14ac:dyDescent="0.25">
      <c r="A1724" s="5"/>
    </row>
    <row r="1725" spans="1:1" x14ac:dyDescent="0.25">
      <c r="A1725" s="5"/>
    </row>
    <row r="1726" spans="1:1" x14ac:dyDescent="0.25">
      <c r="A1726" s="5"/>
    </row>
    <row r="1727" spans="1:1" x14ac:dyDescent="0.25">
      <c r="A1727" s="5"/>
    </row>
    <row r="1728" spans="1:1" x14ac:dyDescent="0.25">
      <c r="A1728" s="5"/>
    </row>
    <row r="1729" spans="1:1" x14ac:dyDescent="0.25">
      <c r="A1729" s="5"/>
    </row>
    <row r="1730" spans="1:1" x14ac:dyDescent="0.25">
      <c r="A1730" s="5"/>
    </row>
    <row r="1731" spans="1:1" x14ac:dyDescent="0.25">
      <c r="A1731" s="5"/>
    </row>
    <row r="1732" spans="1:1" x14ac:dyDescent="0.25">
      <c r="A1732" s="5"/>
    </row>
    <row r="1733" spans="1:1" x14ac:dyDescent="0.25">
      <c r="A1733" s="5"/>
    </row>
    <row r="1734" spans="1:1" x14ac:dyDescent="0.25">
      <c r="A1734" s="5"/>
    </row>
    <row r="1735" spans="1:1" x14ac:dyDescent="0.25">
      <c r="A1735" s="5"/>
    </row>
    <row r="1736" spans="1:1" x14ac:dyDescent="0.25">
      <c r="A1736" s="5"/>
    </row>
    <row r="1737" spans="1:1" x14ac:dyDescent="0.25">
      <c r="A1737" s="5"/>
    </row>
    <row r="1738" spans="1:1" x14ac:dyDescent="0.25">
      <c r="A1738" s="5"/>
    </row>
    <row r="1739" spans="1:1" x14ac:dyDescent="0.25">
      <c r="A1739" s="5"/>
    </row>
    <row r="1740" spans="1:1" x14ac:dyDescent="0.25">
      <c r="A1740" s="5"/>
    </row>
    <row r="1741" spans="1:1" x14ac:dyDescent="0.25">
      <c r="A1741" s="5"/>
    </row>
    <row r="1742" spans="1:1" x14ac:dyDescent="0.25">
      <c r="A1742" s="5"/>
    </row>
    <row r="1743" spans="1:1" x14ac:dyDescent="0.25">
      <c r="A1743" s="5"/>
    </row>
    <row r="1744" spans="1:1" x14ac:dyDescent="0.25">
      <c r="A1744" s="5"/>
    </row>
    <row r="1745" spans="1:1" x14ac:dyDescent="0.25">
      <c r="A1745" s="5"/>
    </row>
    <row r="1746" spans="1:1" x14ac:dyDescent="0.25">
      <c r="A1746" s="5"/>
    </row>
    <row r="1747" spans="1:1" x14ac:dyDescent="0.25">
      <c r="A1747" s="5"/>
    </row>
    <row r="1748" spans="1:1" x14ac:dyDescent="0.25">
      <c r="A1748" s="5"/>
    </row>
    <row r="1749" spans="1:1" x14ac:dyDescent="0.25">
      <c r="A1749" s="5"/>
    </row>
    <row r="1750" spans="1:1" x14ac:dyDescent="0.25">
      <c r="A1750" s="5"/>
    </row>
    <row r="1751" spans="1:1" x14ac:dyDescent="0.25">
      <c r="A1751" s="5"/>
    </row>
    <row r="1752" spans="1:1" x14ac:dyDescent="0.25">
      <c r="A1752" s="5"/>
    </row>
    <row r="1753" spans="1:1" x14ac:dyDescent="0.25">
      <c r="A1753" s="5"/>
    </row>
    <row r="1754" spans="1:1" x14ac:dyDescent="0.25">
      <c r="A1754" s="5"/>
    </row>
    <row r="1755" spans="1:1" x14ac:dyDescent="0.25">
      <c r="A1755" s="5"/>
    </row>
    <row r="1756" spans="1:1" x14ac:dyDescent="0.25">
      <c r="A1756" s="5"/>
    </row>
    <row r="1757" spans="1:1" x14ac:dyDescent="0.25">
      <c r="A1757" s="5"/>
    </row>
    <row r="1758" spans="1:1" x14ac:dyDescent="0.25">
      <c r="A1758" s="5"/>
    </row>
    <row r="1759" spans="1:1" x14ac:dyDescent="0.25">
      <c r="A1759" s="5"/>
    </row>
    <row r="1760" spans="1:1" x14ac:dyDescent="0.25">
      <c r="A1760" s="5"/>
    </row>
    <row r="1761" spans="1:1" x14ac:dyDescent="0.25">
      <c r="A1761" s="5"/>
    </row>
    <row r="1762" spans="1:1" x14ac:dyDescent="0.25">
      <c r="A1762" s="5"/>
    </row>
    <row r="1763" spans="1:1" x14ac:dyDescent="0.25">
      <c r="A1763" s="5"/>
    </row>
    <row r="1764" spans="1:1" x14ac:dyDescent="0.25">
      <c r="A1764" s="5"/>
    </row>
    <row r="1765" spans="1:1" x14ac:dyDescent="0.25">
      <c r="A1765" s="5"/>
    </row>
    <row r="1766" spans="1:1" x14ac:dyDescent="0.25">
      <c r="A1766" s="5"/>
    </row>
    <row r="1767" spans="1:1" x14ac:dyDescent="0.25">
      <c r="A1767" s="5"/>
    </row>
    <row r="1768" spans="1:1" x14ac:dyDescent="0.25">
      <c r="A1768" s="5"/>
    </row>
    <row r="1769" spans="1:1" x14ac:dyDescent="0.25">
      <c r="A1769" s="5"/>
    </row>
    <row r="1770" spans="1:1" x14ac:dyDescent="0.25">
      <c r="A1770" s="5"/>
    </row>
    <row r="1771" spans="1:1" x14ac:dyDescent="0.25">
      <c r="A1771" s="5"/>
    </row>
    <row r="1772" spans="1:1" x14ac:dyDescent="0.25">
      <c r="A1772" s="5"/>
    </row>
    <row r="1773" spans="1:1" x14ac:dyDescent="0.25">
      <c r="A1773" s="5"/>
    </row>
    <row r="1774" spans="1:1" x14ac:dyDescent="0.25">
      <c r="A1774" s="5"/>
    </row>
    <row r="1775" spans="1:1" x14ac:dyDescent="0.25">
      <c r="A1775" s="5"/>
    </row>
    <row r="1776" spans="1:1" x14ac:dyDescent="0.25">
      <c r="A1776" s="5"/>
    </row>
    <row r="1777" spans="1:1" x14ac:dyDescent="0.25">
      <c r="A1777" s="5"/>
    </row>
    <row r="1778" spans="1:1" x14ac:dyDescent="0.25">
      <c r="A1778" s="5"/>
    </row>
    <row r="1779" spans="1:1" x14ac:dyDescent="0.25">
      <c r="A1779" s="5"/>
    </row>
    <row r="1780" spans="1:1" x14ac:dyDescent="0.25">
      <c r="A1780" s="5"/>
    </row>
    <row r="1781" spans="1:1" x14ac:dyDescent="0.25">
      <c r="A1781" s="5"/>
    </row>
    <row r="1782" spans="1:1" x14ac:dyDescent="0.25">
      <c r="A1782" s="5"/>
    </row>
    <row r="1783" spans="1:1" x14ac:dyDescent="0.25">
      <c r="A1783" s="5"/>
    </row>
    <row r="1784" spans="1:1" x14ac:dyDescent="0.25">
      <c r="A1784" s="5"/>
    </row>
    <row r="1785" spans="1:1" x14ac:dyDescent="0.25">
      <c r="A1785" s="5"/>
    </row>
    <row r="1786" spans="1:1" x14ac:dyDescent="0.25">
      <c r="A1786" s="5"/>
    </row>
    <row r="1787" spans="1:1" x14ac:dyDescent="0.25">
      <c r="A1787" s="5"/>
    </row>
    <row r="1788" spans="1:1" x14ac:dyDescent="0.25">
      <c r="A1788" s="5"/>
    </row>
    <row r="1789" spans="1:1" x14ac:dyDescent="0.25">
      <c r="A1789" s="5"/>
    </row>
    <row r="1790" spans="1:1" x14ac:dyDescent="0.25">
      <c r="A1790" s="5"/>
    </row>
    <row r="1791" spans="1:1" x14ac:dyDescent="0.25">
      <c r="A1791" s="5"/>
    </row>
    <row r="1792" spans="1:1" x14ac:dyDescent="0.25">
      <c r="A1792" s="5"/>
    </row>
    <row r="1793" spans="1:1" x14ac:dyDescent="0.25">
      <c r="A1793" s="5"/>
    </row>
    <row r="1794" spans="1:1" x14ac:dyDescent="0.25">
      <c r="A1794" s="5"/>
    </row>
    <row r="1795" spans="1:1" x14ac:dyDescent="0.25">
      <c r="A1795" s="5"/>
    </row>
    <row r="1796" spans="1:1" x14ac:dyDescent="0.25">
      <c r="A1796" s="5"/>
    </row>
    <row r="1797" spans="1:1" x14ac:dyDescent="0.25">
      <c r="A1797" s="5"/>
    </row>
    <row r="1798" spans="1:1" x14ac:dyDescent="0.25">
      <c r="A1798" s="5"/>
    </row>
    <row r="1799" spans="1:1" x14ac:dyDescent="0.25">
      <c r="A1799" s="5"/>
    </row>
    <row r="1800" spans="1:1" x14ac:dyDescent="0.25">
      <c r="A1800" s="5"/>
    </row>
    <row r="1801" spans="1:1" x14ac:dyDescent="0.25">
      <c r="A1801" s="5"/>
    </row>
    <row r="1802" spans="1:1" x14ac:dyDescent="0.25">
      <c r="A1802" s="5"/>
    </row>
    <row r="1803" spans="1:1" x14ac:dyDescent="0.25">
      <c r="A1803" s="5"/>
    </row>
    <row r="1804" spans="1:1" x14ac:dyDescent="0.25">
      <c r="A1804" s="5"/>
    </row>
    <row r="1805" spans="1:1" x14ac:dyDescent="0.25">
      <c r="A1805" s="5"/>
    </row>
    <row r="1806" spans="1:1" x14ac:dyDescent="0.25">
      <c r="A1806" s="5"/>
    </row>
    <row r="1807" spans="1:1" x14ac:dyDescent="0.25">
      <c r="A1807" s="5"/>
    </row>
    <row r="1808" spans="1:1" x14ac:dyDescent="0.25">
      <c r="A1808" s="5"/>
    </row>
    <row r="1809" spans="1:1" x14ac:dyDescent="0.25">
      <c r="A1809" s="5"/>
    </row>
    <row r="1810" spans="1:1" x14ac:dyDescent="0.25">
      <c r="A1810" s="5"/>
    </row>
    <row r="1811" spans="1:1" x14ac:dyDescent="0.25">
      <c r="A1811" s="5"/>
    </row>
    <row r="1812" spans="1:1" x14ac:dyDescent="0.25">
      <c r="A1812" s="5"/>
    </row>
    <row r="1813" spans="1:1" x14ac:dyDescent="0.25">
      <c r="A1813" s="5"/>
    </row>
    <row r="1814" spans="1:1" x14ac:dyDescent="0.25">
      <c r="A1814" s="5"/>
    </row>
    <row r="1815" spans="1:1" x14ac:dyDescent="0.25">
      <c r="A1815" s="5"/>
    </row>
    <row r="1816" spans="1:1" x14ac:dyDescent="0.25">
      <c r="A1816" s="5"/>
    </row>
    <row r="1817" spans="1:1" x14ac:dyDescent="0.25">
      <c r="A1817" s="5"/>
    </row>
    <row r="1818" spans="1:1" x14ac:dyDescent="0.25">
      <c r="A1818" s="5"/>
    </row>
    <row r="1819" spans="1:1" x14ac:dyDescent="0.25">
      <c r="A1819" s="5"/>
    </row>
    <row r="1820" spans="1:1" x14ac:dyDescent="0.25">
      <c r="A1820" s="5"/>
    </row>
    <row r="1821" spans="1:1" x14ac:dyDescent="0.25">
      <c r="A1821" s="5"/>
    </row>
    <row r="1822" spans="1:1" x14ac:dyDescent="0.25">
      <c r="A1822" s="5"/>
    </row>
    <row r="1823" spans="1:1" x14ac:dyDescent="0.25">
      <c r="A1823" s="5"/>
    </row>
    <row r="1824" spans="1:1" x14ac:dyDescent="0.25">
      <c r="A1824" s="5"/>
    </row>
    <row r="1825" spans="1:1" x14ac:dyDescent="0.25">
      <c r="A1825" s="5"/>
    </row>
    <row r="1826" spans="1:1" x14ac:dyDescent="0.25">
      <c r="A1826" s="5"/>
    </row>
    <row r="1827" spans="1:1" x14ac:dyDescent="0.25">
      <c r="A1827" s="5"/>
    </row>
    <row r="1828" spans="1:1" x14ac:dyDescent="0.25">
      <c r="A1828" s="5"/>
    </row>
    <row r="1829" spans="1:1" x14ac:dyDescent="0.25">
      <c r="A1829" s="5"/>
    </row>
    <row r="1830" spans="1:1" x14ac:dyDescent="0.25">
      <c r="A1830" s="5"/>
    </row>
    <row r="1831" spans="1:1" x14ac:dyDescent="0.25">
      <c r="A1831" s="5"/>
    </row>
    <row r="1832" spans="1:1" x14ac:dyDescent="0.25">
      <c r="A1832" s="5"/>
    </row>
    <row r="1833" spans="1:1" x14ac:dyDescent="0.25">
      <c r="A1833" s="5"/>
    </row>
    <row r="1834" spans="1:1" x14ac:dyDescent="0.25">
      <c r="A1834" s="5"/>
    </row>
    <row r="1835" spans="1:1" x14ac:dyDescent="0.25">
      <c r="A1835" s="5"/>
    </row>
    <row r="1836" spans="1:1" x14ac:dyDescent="0.25">
      <c r="A1836" s="5"/>
    </row>
    <row r="1837" spans="1:1" x14ac:dyDescent="0.25">
      <c r="A1837" s="5"/>
    </row>
    <row r="1838" spans="1:1" x14ac:dyDescent="0.25">
      <c r="A1838" s="5"/>
    </row>
    <row r="1839" spans="1:1" x14ac:dyDescent="0.25">
      <c r="A1839" s="5"/>
    </row>
    <row r="1840" spans="1:1" x14ac:dyDescent="0.25">
      <c r="A1840" s="5"/>
    </row>
    <row r="1841" spans="1:1" x14ac:dyDescent="0.25">
      <c r="A1841" s="5"/>
    </row>
    <row r="1842" spans="1:1" x14ac:dyDescent="0.25">
      <c r="A1842" s="5"/>
    </row>
    <row r="1843" spans="1:1" x14ac:dyDescent="0.25">
      <c r="A1843" s="5"/>
    </row>
    <row r="1844" spans="1:1" x14ac:dyDescent="0.25">
      <c r="A1844" s="5"/>
    </row>
    <row r="1845" spans="1:1" x14ac:dyDescent="0.25">
      <c r="A1845" s="5"/>
    </row>
    <row r="1846" spans="1:1" x14ac:dyDescent="0.25">
      <c r="A1846" s="5"/>
    </row>
    <row r="1847" spans="1:1" x14ac:dyDescent="0.25">
      <c r="A1847" s="5"/>
    </row>
    <row r="1848" spans="1:1" x14ac:dyDescent="0.25">
      <c r="A1848" s="5"/>
    </row>
    <row r="1849" spans="1:1" x14ac:dyDescent="0.25">
      <c r="A1849" s="5"/>
    </row>
    <row r="1850" spans="1:1" x14ac:dyDescent="0.25">
      <c r="A1850" s="5"/>
    </row>
    <row r="1851" spans="1:1" x14ac:dyDescent="0.25">
      <c r="A1851" s="5"/>
    </row>
    <row r="1852" spans="1:1" x14ac:dyDescent="0.25">
      <c r="A1852" s="5"/>
    </row>
    <row r="1853" spans="1:1" x14ac:dyDescent="0.25">
      <c r="A1853" s="5"/>
    </row>
    <row r="1854" spans="1:1" x14ac:dyDescent="0.25">
      <c r="A1854" s="5"/>
    </row>
    <row r="1855" spans="1:1" x14ac:dyDescent="0.25">
      <c r="A1855" s="5"/>
    </row>
    <row r="1856" spans="1:1" x14ac:dyDescent="0.25">
      <c r="A1856" s="5"/>
    </row>
    <row r="1857" spans="1:1" x14ac:dyDescent="0.25">
      <c r="A1857" s="5"/>
    </row>
    <row r="1858" spans="1:1" x14ac:dyDescent="0.25">
      <c r="A1858" s="5"/>
    </row>
    <row r="1859" spans="1:1" x14ac:dyDescent="0.25">
      <c r="A1859" s="5"/>
    </row>
    <row r="1860" spans="1:1" x14ac:dyDescent="0.25">
      <c r="A1860" s="5"/>
    </row>
    <row r="1861" spans="1:1" x14ac:dyDescent="0.25">
      <c r="A1861" s="5"/>
    </row>
    <row r="1862" spans="1:1" x14ac:dyDescent="0.25">
      <c r="A1862" s="5"/>
    </row>
    <row r="1863" spans="1:1" x14ac:dyDescent="0.25">
      <c r="A1863" s="5"/>
    </row>
    <row r="1864" spans="1:1" x14ac:dyDescent="0.25">
      <c r="A1864" s="5"/>
    </row>
    <row r="1865" spans="1:1" x14ac:dyDescent="0.25">
      <c r="A1865" s="5"/>
    </row>
    <row r="1866" spans="1:1" x14ac:dyDescent="0.25">
      <c r="A1866" s="5"/>
    </row>
    <row r="1867" spans="1:1" x14ac:dyDescent="0.25">
      <c r="A1867" s="5"/>
    </row>
    <row r="1868" spans="1:1" x14ac:dyDescent="0.25">
      <c r="A1868" s="5"/>
    </row>
    <row r="1869" spans="1:1" x14ac:dyDescent="0.25">
      <c r="A1869" s="5"/>
    </row>
    <row r="1870" spans="1:1" x14ac:dyDescent="0.25">
      <c r="A1870" s="5"/>
    </row>
    <row r="1871" spans="1:1" x14ac:dyDescent="0.25">
      <c r="A1871" s="5"/>
    </row>
    <row r="1872" spans="1:1" x14ac:dyDescent="0.25">
      <c r="A1872" s="5"/>
    </row>
    <row r="1873" spans="1:1" x14ac:dyDescent="0.25">
      <c r="A1873" s="5"/>
    </row>
    <row r="1874" spans="1:1" x14ac:dyDescent="0.25">
      <c r="A1874" s="5"/>
    </row>
    <row r="1875" spans="1:1" x14ac:dyDescent="0.25">
      <c r="A1875" s="5"/>
    </row>
    <row r="1876" spans="1:1" x14ac:dyDescent="0.25">
      <c r="A1876" s="5"/>
    </row>
    <row r="1877" spans="1:1" x14ac:dyDescent="0.25">
      <c r="A1877" s="5"/>
    </row>
    <row r="1878" spans="1:1" x14ac:dyDescent="0.25">
      <c r="A1878" s="5"/>
    </row>
    <row r="1879" spans="1:1" x14ac:dyDescent="0.25">
      <c r="A1879" s="5"/>
    </row>
    <row r="1880" spans="1:1" x14ac:dyDescent="0.25">
      <c r="A1880" s="5"/>
    </row>
    <row r="1881" spans="1:1" x14ac:dyDescent="0.25">
      <c r="A1881" s="5"/>
    </row>
    <row r="1882" spans="1:1" x14ac:dyDescent="0.25">
      <c r="A1882" s="5"/>
    </row>
    <row r="1883" spans="1:1" x14ac:dyDescent="0.25">
      <c r="A1883" s="5"/>
    </row>
    <row r="1884" spans="1:1" x14ac:dyDescent="0.25">
      <c r="A1884" s="5"/>
    </row>
    <row r="1885" spans="1:1" x14ac:dyDescent="0.25">
      <c r="A1885" s="5"/>
    </row>
    <row r="1886" spans="1:1" x14ac:dyDescent="0.25">
      <c r="A1886" s="5"/>
    </row>
    <row r="1887" spans="1:1" x14ac:dyDescent="0.25">
      <c r="A1887" s="5"/>
    </row>
    <row r="1888" spans="1:1" x14ac:dyDescent="0.25">
      <c r="A1888" s="5"/>
    </row>
    <row r="1889" spans="1:1" x14ac:dyDescent="0.25">
      <c r="A1889" s="5"/>
    </row>
    <row r="1890" spans="1:1" x14ac:dyDescent="0.25">
      <c r="A1890" s="5"/>
    </row>
    <row r="1891" spans="1:1" x14ac:dyDescent="0.25">
      <c r="A1891" s="5"/>
    </row>
    <row r="1892" spans="1:1" x14ac:dyDescent="0.25">
      <c r="A1892" s="5"/>
    </row>
    <row r="1893" spans="1:1" x14ac:dyDescent="0.25">
      <c r="A1893" s="5"/>
    </row>
    <row r="1894" spans="1:1" x14ac:dyDescent="0.25">
      <c r="A1894" s="5"/>
    </row>
    <row r="1895" spans="1:1" x14ac:dyDescent="0.25">
      <c r="A1895" s="5"/>
    </row>
    <row r="1896" spans="1:1" x14ac:dyDescent="0.25">
      <c r="A1896" s="5"/>
    </row>
    <row r="1897" spans="1:1" x14ac:dyDescent="0.25">
      <c r="A1897" s="5"/>
    </row>
    <row r="1898" spans="1:1" x14ac:dyDescent="0.25">
      <c r="A1898" s="5"/>
    </row>
    <row r="1899" spans="1:1" x14ac:dyDescent="0.25">
      <c r="A1899" s="5"/>
    </row>
    <row r="1900" spans="1:1" x14ac:dyDescent="0.25">
      <c r="A1900" s="5"/>
    </row>
    <row r="1901" spans="1:1" x14ac:dyDescent="0.25">
      <c r="A1901" s="5"/>
    </row>
    <row r="1902" spans="1:1" x14ac:dyDescent="0.25">
      <c r="A1902" s="5"/>
    </row>
    <row r="1903" spans="1:1" x14ac:dyDescent="0.25">
      <c r="A1903" s="5"/>
    </row>
    <row r="1904" spans="1:1" x14ac:dyDescent="0.25">
      <c r="A1904" s="5"/>
    </row>
    <row r="1905" spans="1:1" x14ac:dyDescent="0.25">
      <c r="A1905" s="5"/>
    </row>
    <row r="1906" spans="1:1" x14ac:dyDescent="0.25">
      <c r="A1906" s="5"/>
    </row>
    <row r="1907" spans="1:1" x14ac:dyDescent="0.25">
      <c r="A1907" s="5"/>
    </row>
    <row r="1908" spans="1:1" x14ac:dyDescent="0.25">
      <c r="A1908" s="5"/>
    </row>
    <row r="1909" spans="1:1" x14ac:dyDescent="0.25">
      <c r="A1909" s="5"/>
    </row>
    <row r="1910" spans="1:1" x14ac:dyDescent="0.25">
      <c r="A1910" s="5"/>
    </row>
    <row r="1911" spans="1:1" x14ac:dyDescent="0.25">
      <c r="A1911" s="5"/>
    </row>
    <row r="1912" spans="1:1" x14ac:dyDescent="0.25">
      <c r="A1912" s="5"/>
    </row>
    <row r="1913" spans="1:1" x14ac:dyDescent="0.25">
      <c r="A1913" s="5"/>
    </row>
    <row r="1914" spans="1:1" x14ac:dyDescent="0.25">
      <c r="A1914" s="5"/>
    </row>
    <row r="1915" spans="1:1" x14ac:dyDescent="0.25">
      <c r="A1915" s="5"/>
    </row>
    <row r="1916" spans="1:1" x14ac:dyDescent="0.25">
      <c r="A1916" s="5"/>
    </row>
    <row r="1917" spans="1:1" x14ac:dyDescent="0.25">
      <c r="A1917" s="5"/>
    </row>
    <row r="1918" spans="1:1" x14ac:dyDescent="0.25">
      <c r="A1918" s="5"/>
    </row>
    <row r="1919" spans="1:1" x14ac:dyDescent="0.25">
      <c r="A1919" s="5"/>
    </row>
    <row r="1920" spans="1:1" x14ac:dyDescent="0.25">
      <c r="A1920" s="5"/>
    </row>
    <row r="1921" spans="1:1" x14ac:dyDescent="0.25">
      <c r="A1921" s="5"/>
    </row>
    <row r="1922" spans="1:1" x14ac:dyDescent="0.25">
      <c r="A1922" s="5"/>
    </row>
    <row r="1923" spans="1:1" x14ac:dyDescent="0.25">
      <c r="A1923" s="5"/>
    </row>
    <row r="1924" spans="1:1" x14ac:dyDescent="0.25">
      <c r="A1924" s="5"/>
    </row>
    <row r="1925" spans="1:1" x14ac:dyDescent="0.25">
      <c r="A1925" s="5"/>
    </row>
    <row r="1926" spans="1:1" x14ac:dyDescent="0.25">
      <c r="A1926" s="5"/>
    </row>
    <row r="1927" spans="1:1" x14ac:dyDescent="0.25">
      <c r="A1927" s="5"/>
    </row>
    <row r="1928" spans="1:1" x14ac:dyDescent="0.25">
      <c r="A1928" s="5"/>
    </row>
    <row r="1929" spans="1:1" x14ac:dyDescent="0.25">
      <c r="A1929" s="5"/>
    </row>
    <row r="1930" spans="1:1" x14ac:dyDescent="0.25">
      <c r="A1930" s="5"/>
    </row>
    <row r="1931" spans="1:1" x14ac:dyDescent="0.25">
      <c r="A1931" s="5"/>
    </row>
    <row r="1932" spans="1:1" x14ac:dyDescent="0.25">
      <c r="A1932" s="5"/>
    </row>
    <row r="1933" spans="1:1" x14ac:dyDescent="0.25">
      <c r="A1933" s="5"/>
    </row>
    <row r="1934" spans="1:1" x14ac:dyDescent="0.25">
      <c r="A1934" s="5"/>
    </row>
    <row r="1935" spans="1:1" x14ac:dyDescent="0.25">
      <c r="A1935" s="5"/>
    </row>
    <row r="1936" spans="1:1" x14ac:dyDescent="0.25">
      <c r="A1936" s="5"/>
    </row>
    <row r="1937" spans="1:1" x14ac:dyDescent="0.25">
      <c r="A1937" s="5"/>
    </row>
    <row r="1938" spans="1:1" x14ac:dyDescent="0.25">
      <c r="A1938" s="5"/>
    </row>
    <row r="1939" spans="1:1" x14ac:dyDescent="0.25">
      <c r="A1939" s="5"/>
    </row>
    <row r="1940" spans="1:1" x14ac:dyDescent="0.25">
      <c r="A1940" s="5"/>
    </row>
    <row r="1941" spans="1:1" x14ac:dyDescent="0.25">
      <c r="A1941" s="5"/>
    </row>
    <row r="1942" spans="1:1" x14ac:dyDescent="0.25">
      <c r="A1942" s="5"/>
    </row>
    <row r="1943" spans="1:1" x14ac:dyDescent="0.25">
      <c r="A1943" s="5"/>
    </row>
    <row r="1944" spans="1:1" x14ac:dyDescent="0.25">
      <c r="A1944" s="5"/>
    </row>
    <row r="1945" spans="1:1" x14ac:dyDescent="0.25">
      <c r="A1945" s="5"/>
    </row>
    <row r="1946" spans="1:1" x14ac:dyDescent="0.25">
      <c r="A1946" s="5"/>
    </row>
    <row r="1947" spans="1:1" x14ac:dyDescent="0.25">
      <c r="A1947" s="5"/>
    </row>
    <row r="1948" spans="1:1" x14ac:dyDescent="0.25">
      <c r="A1948" s="5"/>
    </row>
    <row r="1949" spans="1:1" x14ac:dyDescent="0.25">
      <c r="A1949" s="5"/>
    </row>
    <row r="1950" spans="1:1" x14ac:dyDescent="0.25">
      <c r="A1950" s="5"/>
    </row>
    <row r="1951" spans="1:1" x14ac:dyDescent="0.25">
      <c r="A1951" s="5"/>
    </row>
    <row r="1952" spans="1:1" x14ac:dyDescent="0.25">
      <c r="A1952" s="5"/>
    </row>
    <row r="1953" spans="1:1" x14ac:dyDescent="0.25">
      <c r="A1953" s="5"/>
    </row>
    <row r="1954" spans="1:1" x14ac:dyDescent="0.25">
      <c r="A1954" s="5"/>
    </row>
    <row r="1955" spans="1:1" x14ac:dyDescent="0.25">
      <c r="A1955" s="5"/>
    </row>
    <row r="1956" spans="1:1" x14ac:dyDescent="0.25">
      <c r="A1956" s="5"/>
    </row>
    <row r="1957" spans="1:1" x14ac:dyDescent="0.25">
      <c r="A1957" s="5"/>
    </row>
    <row r="1958" spans="1:1" x14ac:dyDescent="0.25">
      <c r="A1958" s="5"/>
    </row>
    <row r="1959" spans="1:1" x14ac:dyDescent="0.25">
      <c r="A1959" s="5"/>
    </row>
    <row r="1960" spans="1:1" x14ac:dyDescent="0.25">
      <c r="A1960" s="5"/>
    </row>
    <row r="1961" spans="1:1" x14ac:dyDescent="0.25">
      <c r="A1961" s="5"/>
    </row>
    <row r="1962" spans="1:1" x14ac:dyDescent="0.25">
      <c r="A1962" s="5"/>
    </row>
    <row r="1963" spans="1:1" x14ac:dyDescent="0.25">
      <c r="A1963" s="5"/>
    </row>
    <row r="1964" spans="1:1" x14ac:dyDescent="0.25">
      <c r="A1964" s="5"/>
    </row>
    <row r="1965" spans="1:1" x14ac:dyDescent="0.25">
      <c r="A1965" s="5"/>
    </row>
    <row r="1966" spans="1:1" x14ac:dyDescent="0.25">
      <c r="A1966" s="5"/>
    </row>
    <row r="1967" spans="1:1" x14ac:dyDescent="0.25">
      <c r="A1967" s="5"/>
    </row>
    <row r="1968" spans="1:1" x14ac:dyDescent="0.25">
      <c r="A1968" s="5"/>
    </row>
    <row r="1969" spans="1:1" x14ac:dyDescent="0.25">
      <c r="A1969" s="5"/>
    </row>
    <row r="1970" spans="1:1" x14ac:dyDescent="0.25">
      <c r="A1970" s="5"/>
    </row>
    <row r="1971" spans="1:1" x14ac:dyDescent="0.25">
      <c r="A1971" s="5"/>
    </row>
    <row r="1972" spans="1:1" x14ac:dyDescent="0.25">
      <c r="A1972" s="5"/>
    </row>
    <row r="1973" spans="1:1" x14ac:dyDescent="0.25">
      <c r="A1973" s="5"/>
    </row>
    <row r="1974" spans="1:1" x14ac:dyDescent="0.25">
      <c r="A1974" s="5"/>
    </row>
    <row r="1975" spans="1:1" x14ac:dyDescent="0.25">
      <c r="A1975" s="5"/>
    </row>
    <row r="1976" spans="1:1" x14ac:dyDescent="0.25">
      <c r="A1976" s="5"/>
    </row>
    <row r="1977" spans="1:1" x14ac:dyDescent="0.25">
      <c r="A1977" s="5"/>
    </row>
    <row r="1978" spans="1:1" x14ac:dyDescent="0.25">
      <c r="A1978" s="5"/>
    </row>
    <row r="1979" spans="1:1" x14ac:dyDescent="0.25">
      <c r="A1979" s="5"/>
    </row>
    <row r="1980" spans="1:1" x14ac:dyDescent="0.25">
      <c r="A1980" s="5"/>
    </row>
    <row r="1981" spans="1:1" x14ac:dyDescent="0.25">
      <c r="A1981" s="5"/>
    </row>
    <row r="1982" spans="1:1" x14ac:dyDescent="0.25">
      <c r="A1982" s="5"/>
    </row>
    <row r="1983" spans="1:1" x14ac:dyDescent="0.25">
      <c r="A1983" s="5"/>
    </row>
    <row r="1984" spans="1:1" x14ac:dyDescent="0.25">
      <c r="A1984" s="5"/>
    </row>
    <row r="1985" spans="1:1" x14ac:dyDescent="0.25">
      <c r="A1985" s="5"/>
    </row>
    <row r="1986" spans="1:1" x14ac:dyDescent="0.25">
      <c r="A1986" s="5"/>
    </row>
    <row r="1987" spans="1:1" x14ac:dyDescent="0.25">
      <c r="A1987" s="5"/>
    </row>
    <row r="1988" spans="1:1" x14ac:dyDescent="0.25">
      <c r="A1988" s="5"/>
    </row>
    <row r="1989" spans="1:1" x14ac:dyDescent="0.25">
      <c r="A1989" s="5"/>
    </row>
    <row r="1990" spans="1:1" x14ac:dyDescent="0.25">
      <c r="A1990" s="5"/>
    </row>
    <row r="1991" spans="1:1" x14ac:dyDescent="0.25">
      <c r="A1991" s="5"/>
    </row>
    <row r="1992" spans="1:1" x14ac:dyDescent="0.25">
      <c r="A1992" s="5"/>
    </row>
    <row r="1993" spans="1:1" x14ac:dyDescent="0.25">
      <c r="A1993" s="5"/>
    </row>
    <row r="1994" spans="1:1" x14ac:dyDescent="0.25">
      <c r="A1994" s="5"/>
    </row>
    <row r="1995" spans="1:1" x14ac:dyDescent="0.25">
      <c r="A1995" s="5"/>
    </row>
    <row r="1996" spans="1:1" x14ac:dyDescent="0.25">
      <c r="A1996" s="5"/>
    </row>
    <row r="1997" spans="1:1" x14ac:dyDescent="0.25">
      <c r="A1997" s="5"/>
    </row>
    <row r="1998" spans="1:1" x14ac:dyDescent="0.25">
      <c r="A1998" s="5"/>
    </row>
    <row r="1999" spans="1:1" x14ac:dyDescent="0.25">
      <c r="A1999" s="5"/>
    </row>
    <row r="2000" spans="1:1" x14ac:dyDescent="0.25">
      <c r="A2000" s="5"/>
    </row>
    <row r="2001" spans="1:1" x14ac:dyDescent="0.25">
      <c r="A2001" s="5"/>
    </row>
    <row r="2002" spans="1:1" x14ac:dyDescent="0.25">
      <c r="A2002" s="5"/>
    </row>
    <row r="2003" spans="1:1" x14ac:dyDescent="0.25">
      <c r="A2003" s="5"/>
    </row>
    <row r="2004" spans="1:1" x14ac:dyDescent="0.25">
      <c r="A2004" s="5"/>
    </row>
    <row r="2005" spans="1:1" x14ac:dyDescent="0.25">
      <c r="A2005" s="5"/>
    </row>
    <row r="2006" spans="1:1" x14ac:dyDescent="0.25">
      <c r="A2006" s="5"/>
    </row>
    <row r="2007" spans="1:1" x14ac:dyDescent="0.25">
      <c r="A2007" s="5"/>
    </row>
    <row r="2008" spans="1:1" x14ac:dyDescent="0.25">
      <c r="A2008" s="5"/>
    </row>
    <row r="2009" spans="1:1" x14ac:dyDescent="0.25">
      <c r="A2009" s="5"/>
    </row>
    <row r="2010" spans="1:1" x14ac:dyDescent="0.25">
      <c r="A2010" s="5"/>
    </row>
    <row r="2011" spans="1:1" x14ac:dyDescent="0.25">
      <c r="A2011" s="5"/>
    </row>
    <row r="2012" spans="1:1" x14ac:dyDescent="0.25">
      <c r="A2012" s="5"/>
    </row>
    <row r="2013" spans="1:1" x14ac:dyDescent="0.25">
      <c r="A2013" s="5"/>
    </row>
    <row r="2014" spans="1:1" x14ac:dyDescent="0.25">
      <c r="A2014" s="5"/>
    </row>
    <row r="2015" spans="1:1" x14ac:dyDescent="0.25">
      <c r="A2015" s="5"/>
    </row>
    <row r="2016" spans="1:1" x14ac:dyDescent="0.25">
      <c r="A2016" s="5"/>
    </row>
    <row r="2017" spans="1:1" x14ac:dyDescent="0.25">
      <c r="A2017" s="5"/>
    </row>
    <row r="2018" spans="1:1" x14ac:dyDescent="0.25">
      <c r="A2018" s="5"/>
    </row>
    <row r="2019" spans="1:1" x14ac:dyDescent="0.25">
      <c r="A2019" s="5"/>
    </row>
    <row r="2020" spans="1:1" x14ac:dyDescent="0.25">
      <c r="A2020" s="5"/>
    </row>
    <row r="2021" spans="1:1" x14ac:dyDescent="0.25">
      <c r="A2021" s="5"/>
    </row>
    <row r="2022" spans="1:1" x14ac:dyDescent="0.25">
      <c r="A2022" s="5"/>
    </row>
    <row r="2023" spans="1:1" x14ac:dyDescent="0.25">
      <c r="A2023" s="5"/>
    </row>
    <row r="2024" spans="1:1" x14ac:dyDescent="0.25">
      <c r="A2024" s="5"/>
    </row>
    <row r="2025" spans="1:1" x14ac:dyDescent="0.25">
      <c r="A2025" s="5"/>
    </row>
    <row r="2026" spans="1:1" x14ac:dyDescent="0.25">
      <c r="A2026" s="5"/>
    </row>
    <row r="2027" spans="1:1" x14ac:dyDescent="0.25">
      <c r="A2027" s="5"/>
    </row>
    <row r="2028" spans="1:1" x14ac:dyDescent="0.25">
      <c r="A2028" s="5"/>
    </row>
    <row r="2029" spans="1:1" x14ac:dyDescent="0.25">
      <c r="A2029" s="5"/>
    </row>
    <row r="2030" spans="1:1" x14ac:dyDescent="0.25">
      <c r="A2030" s="5"/>
    </row>
    <row r="2031" spans="1:1" x14ac:dyDescent="0.25">
      <c r="A2031" s="5"/>
    </row>
    <row r="2032" spans="1:1" x14ac:dyDescent="0.25">
      <c r="A2032" s="5"/>
    </row>
    <row r="2033" spans="1:1" x14ac:dyDescent="0.25">
      <c r="A2033" s="5"/>
    </row>
    <row r="2034" spans="1:1" x14ac:dyDescent="0.25">
      <c r="A2034" s="5"/>
    </row>
    <row r="2035" spans="1:1" x14ac:dyDescent="0.25">
      <c r="A2035" s="5"/>
    </row>
    <row r="2036" spans="1:1" x14ac:dyDescent="0.25">
      <c r="A2036" s="5"/>
    </row>
    <row r="2037" spans="1:1" x14ac:dyDescent="0.25">
      <c r="A2037" s="5"/>
    </row>
    <row r="2038" spans="1:1" x14ac:dyDescent="0.25">
      <c r="A2038" s="5"/>
    </row>
    <row r="2039" spans="1:1" x14ac:dyDescent="0.25">
      <c r="A2039" s="5"/>
    </row>
    <row r="2040" spans="1:1" x14ac:dyDescent="0.25">
      <c r="A2040" s="5"/>
    </row>
    <row r="2041" spans="1:1" x14ac:dyDescent="0.25">
      <c r="A2041" s="5"/>
    </row>
    <row r="2042" spans="1:1" x14ac:dyDescent="0.25">
      <c r="A2042" s="5"/>
    </row>
    <row r="2043" spans="1:1" x14ac:dyDescent="0.25">
      <c r="A2043" s="5"/>
    </row>
    <row r="2044" spans="1:1" x14ac:dyDescent="0.25">
      <c r="A2044" s="5"/>
    </row>
    <row r="2045" spans="1:1" x14ac:dyDescent="0.25">
      <c r="A2045" s="5"/>
    </row>
    <row r="2046" spans="1:1" x14ac:dyDescent="0.25">
      <c r="A2046" s="5"/>
    </row>
    <row r="2047" spans="1:1" x14ac:dyDescent="0.25">
      <c r="A2047" s="5"/>
    </row>
    <row r="2048" spans="1:1" x14ac:dyDescent="0.25">
      <c r="A2048" s="5"/>
    </row>
    <row r="2049" spans="1:1" x14ac:dyDescent="0.25">
      <c r="A2049" s="5"/>
    </row>
    <row r="2050" spans="1:1" x14ac:dyDescent="0.25">
      <c r="A2050" s="5"/>
    </row>
    <row r="2051" spans="1:1" x14ac:dyDescent="0.25">
      <c r="A2051" s="5"/>
    </row>
    <row r="2052" spans="1:1" x14ac:dyDescent="0.25">
      <c r="A2052" s="5"/>
    </row>
    <row r="2053" spans="1:1" x14ac:dyDescent="0.25">
      <c r="A2053" s="5"/>
    </row>
    <row r="2054" spans="1:1" x14ac:dyDescent="0.25">
      <c r="A2054" s="5"/>
    </row>
    <row r="2055" spans="1:1" x14ac:dyDescent="0.25">
      <c r="A2055" s="5"/>
    </row>
    <row r="2056" spans="1:1" x14ac:dyDescent="0.25">
      <c r="A2056" s="5"/>
    </row>
    <row r="2057" spans="1:1" x14ac:dyDescent="0.25">
      <c r="A2057" s="5"/>
    </row>
    <row r="2058" spans="1:1" x14ac:dyDescent="0.25">
      <c r="A2058" s="5"/>
    </row>
    <row r="2059" spans="1:1" x14ac:dyDescent="0.25">
      <c r="A2059" s="5"/>
    </row>
    <row r="2060" spans="1:1" x14ac:dyDescent="0.25">
      <c r="A2060" s="5"/>
    </row>
    <row r="2061" spans="1:1" x14ac:dyDescent="0.25">
      <c r="A2061" s="5"/>
    </row>
    <row r="2062" spans="1:1" x14ac:dyDescent="0.25">
      <c r="A2062" s="5"/>
    </row>
    <row r="2063" spans="1:1" x14ac:dyDescent="0.25">
      <c r="A2063" s="5"/>
    </row>
    <row r="2064" spans="1:1" x14ac:dyDescent="0.25">
      <c r="A2064" s="5"/>
    </row>
    <row r="2065" spans="1:1" x14ac:dyDescent="0.25">
      <c r="A2065" s="5"/>
    </row>
    <row r="2066" spans="1:1" x14ac:dyDescent="0.25">
      <c r="A2066" s="5"/>
    </row>
    <row r="2067" spans="1:1" x14ac:dyDescent="0.25">
      <c r="A2067" s="5"/>
    </row>
    <row r="2068" spans="1:1" x14ac:dyDescent="0.25">
      <c r="A2068" s="5"/>
    </row>
    <row r="2069" spans="1:1" x14ac:dyDescent="0.25">
      <c r="A2069" s="5"/>
    </row>
    <row r="2070" spans="1:1" x14ac:dyDescent="0.25">
      <c r="A2070" s="5"/>
    </row>
    <row r="2071" spans="1:1" x14ac:dyDescent="0.25">
      <c r="A2071" s="5"/>
    </row>
    <row r="2072" spans="1:1" x14ac:dyDescent="0.25">
      <c r="A2072" s="5"/>
    </row>
    <row r="2073" spans="1:1" x14ac:dyDescent="0.25">
      <c r="A2073" s="5"/>
    </row>
    <row r="2074" spans="1:1" x14ac:dyDescent="0.25">
      <c r="A2074" s="5"/>
    </row>
    <row r="2075" spans="1:1" x14ac:dyDescent="0.25">
      <c r="A2075" s="5"/>
    </row>
    <row r="2076" spans="1:1" x14ac:dyDescent="0.25">
      <c r="A2076" s="5"/>
    </row>
    <row r="2077" spans="1:1" x14ac:dyDescent="0.25">
      <c r="A2077" s="5"/>
    </row>
    <row r="2078" spans="1:1" x14ac:dyDescent="0.25">
      <c r="A2078" s="5"/>
    </row>
    <row r="2079" spans="1:1" x14ac:dyDescent="0.25">
      <c r="A2079" s="5"/>
    </row>
    <row r="2080" spans="1:1" x14ac:dyDescent="0.25">
      <c r="A2080" s="5"/>
    </row>
    <row r="2081" spans="1:1" x14ac:dyDescent="0.25">
      <c r="A2081" s="5"/>
    </row>
    <row r="2082" spans="1:1" x14ac:dyDescent="0.25">
      <c r="A2082" s="5"/>
    </row>
    <row r="2083" spans="1:1" x14ac:dyDescent="0.25">
      <c r="A2083" s="5"/>
    </row>
    <row r="2084" spans="1:1" x14ac:dyDescent="0.25">
      <c r="A2084" s="5"/>
    </row>
    <row r="2085" spans="1:1" x14ac:dyDescent="0.25">
      <c r="A2085" s="5"/>
    </row>
    <row r="2086" spans="1:1" x14ac:dyDescent="0.25">
      <c r="A2086" s="5"/>
    </row>
    <row r="2087" spans="1:1" x14ac:dyDescent="0.25">
      <c r="A2087" s="5"/>
    </row>
    <row r="2088" spans="1:1" x14ac:dyDescent="0.25">
      <c r="A2088" s="5"/>
    </row>
    <row r="2089" spans="1:1" x14ac:dyDescent="0.25">
      <c r="A2089" s="5"/>
    </row>
    <row r="2090" spans="1:1" x14ac:dyDescent="0.25">
      <c r="A2090" s="5"/>
    </row>
    <row r="2091" spans="1:1" x14ac:dyDescent="0.25">
      <c r="A2091" s="5"/>
    </row>
    <row r="2092" spans="1:1" x14ac:dyDescent="0.25">
      <c r="A2092" s="5"/>
    </row>
    <row r="2093" spans="1:1" x14ac:dyDescent="0.25">
      <c r="A2093" s="5"/>
    </row>
    <row r="2094" spans="1:1" x14ac:dyDescent="0.25">
      <c r="A2094" s="5"/>
    </row>
    <row r="2095" spans="1:1" x14ac:dyDescent="0.25">
      <c r="A2095" s="5"/>
    </row>
    <row r="2096" spans="1:1" x14ac:dyDescent="0.25">
      <c r="A2096" s="5"/>
    </row>
    <row r="2097" spans="1:1" x14ac:dyDescent="0.25">
      <c r="A2097" s="5"/>
    </row>
    <row r="2098" spans="1:1" x14ac:dyDescent="0.25">
      <c r="A2098" s="5"/>
    </row>
    <row r="2099" spans="1:1" x14ac:dyDescent="0.25">
      <c r="A2099" s="5"/>
    </row>
    <row r="2100" spans="1:1" x14ac:dyDescent="0.25">
      <c r="A2100" s="5"/>
    </row>
    <row r="2101" spans="1:1" x14ac:dyDescent="0.25">
      <c r="A2101" s="5"/>
    </row>
    <row r="2102" spans="1:1" x14ac:dyDescent="0.25">
      <c r="A2102" s="5"/>
    </row>
    <row r="2103" spans="1:1" x14ac:dyDescent="0.25">
      <c r="A2103" s="5"/>
    </row>
    <row r="2104" spans="1:1" x14ac:dyDescent="0.25">
      <c r="A2104" s="5"/>
    </row>
    <row r="2105" spans="1:1" x14ac:dyDescent="0.25">
      <c r="A2105" s="5"/>
    </row>
    <row r="2106" spans="1:1" x14ac:dyDescent="0.25">
      <c r="A2106" s="5"/>
    </row>
    <row r="2107" spans="1:1" x14ac:dyDescent="0.25">
      <c r="A2107" s="5"/>
    </row>
    <row r="2108" spans="1:1" x14ac:dyDescent="0.25">
      <c r="A2108" s="5"/>
    </row>
    <row r="2109" spans="1:1" x14ac:dyDescent="0.25">
      <c r="A2109" s="5"/>
    </row>
    <row r="2110" spans="1:1" x14ac:dyDescent="0.25">
      <c r="A2110" s="5"/>
    </row>
    <row r="2111" spans="1:1" x14ac:dyDescent="0.25">
      <c r="A2111" s="5"/>
    </row>
    <row r="2112" spans="1:1" x14ac:dyDescent="0.25">
      <c r="A2112" s="5"/>
    </row>
    <row r="2113" spans="1:1" x14ac:dyDescent="0.25">
      <c r="A2113" s="5"/>
    </row>
    <row r="2114" spans="1:1" x14ac:dyDescent="0.25">
      <c r="A2114" s="5"/>
    </row>
    <row r="2115" spans="1:1" x14ac:dyDescent="0.25">
      <c r="A2115" s="5"/>
    </row>
    <row r="2116" spans="1:1" x14ac:dyDescent="0.25">
      <c r="A2116" s="5"/>
    </row>
    <row r="2117" spans="1:1" x14ac:dyDescent="0.25">
      <c r="A2117" s="5"/>
    </row>
    <row r="2118" spans="1:1" x14ac:dyDescent="0.25">
      <c r="A2118" s="5"/>
    </row>
    <row r="2119" spans="1:1" x14ac:dyDescent="0.25">
      <c r="A2119" s="5"/>
    </row>
    <row r="2120" spans="1:1" x14ac:dyDescent="0.25">
      <c r="A2120" s="5"/>
    </row>
    <row r="2121" spans="1:1" x14ac:dyDescent="0.25">
      <c r="A2121" s="5"/>
    </row>
    <row r="2122" spans="1:1" x14ac:dyDescent="0.25">
      <c r="A2122" s="5"/>
    </row>
    <row r="2123" spans="1:1" x14ac:dyDescent="0.25">
      <c r="A2123" s="5"/>
    </row>
    <row r="2124" spans="1:1" x14ac:dyDescent="0.25">
      <c r="A2124" s="5"/>
    </row>
    <row r="2125" spans="1:1" x14ac:dyDescent="0.25">
      <c r="A2125" s="5"/>
    </row>
    <row r="2126" spans="1:1" x14ac:dyDescent="0.25">
      <c r="A2126" s="5"/>
    </row>
    <row r="2127" spans="1:1" x14ac:dyDescent="0.25">
      <c r="A2127" s="5"/>
    </row>
    <row r="2128" spans="1:1" x14ac:dyDescent="0.25">
      <c r="A2128" s="5"/>
    </row>
    <row r="2129" spans="1:1" x14ac:dyDescent="0.25">
      <c r="A2129" s="5"/>
    </row>
    <row r="2130" spans="1:1" x14ac:dyDescent="0.25">
      <c r="A2130" s="5"/>
    </row>
    <row r="2131" spans="1:1" x14ac:dyDescent="0.25">
      <c r="A2131" s="5"/>
    </row>
    <row r="2132" spans="1:1" x14ac:dyDescent="0.25">
      <c r="A2132" s="5"/>
    </row>
    <row r="2133" spans="1:1" x14ac:dyDescent="0.25">
      <c r="A2133" s="5"/>
    </row>
    <row r="2134" spans="1:1" x14ac:dyDescent="0.25">
      <c r="A2134" s="5"/>
    </row>
    <row r="2135" spans="1:1" x14ac:dyDescent="0.25">
      <c r="A2135" s="5"/>
    </row>
    <row r="2136" spans="1:1" x14ac:dyDescent="0.25">
      <c r="A2136" s="5"/>
    </row>
    <row r="2137" spans="1:1" x14ac:dyDescent="0.25">
      <c r="A2137" s="5"/>
    </row>
    <row r="2138" spans="1:1" x14ac:dyDescent="0.25">
      <c r="A2138" s="5"/>
    </row>
    <row r="2139" spans="1:1" x14ac:dyDescent="0.25">
      <c r="A2139" s="5"/>
    </row>
    <row r="2140" spans="1:1" x14ac:dyDescent="0.25">
      <c r="A2140" s="5"/>
    </row>
    <row r="2141" spans="1:1" x14ac:dyDescent="0.25">
      <c r="A2141" s="5"/>
    </row>
    <row r="2142" spans="1:1" x14ac:dyDescent="0.25">
      <c r="A2142" s="5"/>
    </row>
    <row r="2143" spans="1:1" x14ac:dyDescent="0.25">
      <c r="A2143" s="5"/>
    </row>
    <row r="2144" spans="1:1" x14ac:dyDescent="0.25">
      <c r="A2144" s="5"/>
    </row>
    <row r="2145" spans="1:1" x14ac:dyDescent="0.25">
      <c r="A2145" s="5"/>
    </row>
    <row r="2146" spans="1:1" x14ac:dyDescent="0.25">
      <c r="A2146" s="5"/>
    </row>
    <row r="2147" spans="1:1" x14ac:dyDescent="0.25">
      <c r="A2147" s="5"/>
    </row>
    <row r="2148" spans="1:1" x14ac:dyDescent="0.25">
      <c r="A2148" s="5"/>
    </row>
    <row r="2149" spans="1:1" x14ac:dyDescent="0.25">
      <c r="A2149" s="5"/>
    </row>
    <row r="2150" spans="1:1" x14ac:dyDescent="0.25">
      <c r="A2150" s="5"/>
    </row>
    <row r="2151" spans="1:1" x14ac:dyDescent="0.25">
      <c r="A2151" s="5"/>
    </row>
    <row r="2152" spans="1:1" x14ac:dyDescent="0.25">
      <c r="A2152" s="5"/>
    </row>
    <row r="2153" spans="1:1" x14ac:dyDescent="0.25">
      <c r="A2153" s="5"/>
    </row>
    <row r="2154" spans="1:1" x14ac:dyDescent="0.25">
      <c r="A2154" s="5"/>
    </row>
    <row r="2155" spans="1:1" x14ac:dyDescent="0.25">
      <c r="A2155" s="5"/>
    </row>
    <row r="2156" spans="1:1" x14ac:dyDescent="0.25">
      <c r="A2156" s="5"/>
    </row>
    <row r="2157" spans="1:1" x14ac:dyDescent="0.25">
      <c r="A2157" s="5"/>
    </row>
    <row r="2158" spans="1:1" x14ac:dyDescent="0.25">
      <c r="A2158" s="5"/>
    </row>
    <row r="2159" spans="1:1" x14ac:dyDescent="0.25">
      <c r="A2159" s="5"/>
    </row>
    <row r="2160" spans="1:1" x14ac:dyDescent="0.25">
      <c r="A2160" s="5"/>
    </row>
    <row r="2161" spans="1:1" x14ac:dyDescent="0.25">
      <c r="A2161" s="5"/>
    </row>
    <row r="2162" spans="1:1" x14ac:dyDescent="0.25">
      <c r="A2162" s="5"/>
    </row>
    <row r="2163" spans="1:1" x14ac:dyDescent="0.25">
      <c r="A2163" s="5"/>
    </row>
    <row r="2164" spans="1:1" x14ac:dyDescent="0.25">
      <c r="A2164" s="5"/>
    </row>
    <row r="2165" spans="1:1" x14ac:dyDescent="0.25">
      <c r="A2165" s="5"/>
    </row>
    <row r="2166" spans="1:1" x14ac:dyDescent="0.25">
      <c r="A2166" s="5"/>
    </row>
    <row r="2167" spans="1:1" x14ac:dyDescent="0.25">
      <c r="A2167" s="5"/>
    </row>
    <row r="2168" spans="1:1" x14ac:dyDescent="0.25">
      <c r="A2168" s="5"/>
    </row>
    <row r="2169" spans="1:1" x14ac:dyDescent="0.25">
      <c r="A2169" s="5"/>
    </row>
    <row r="2170" spans="1:1" x14ac:dyDescent="0.25">
      <c r="A2170" s="5"/>
    </row>
    <row r="2171" spans="1:1" x14ac:dyDescent="0.25">
      <c r="A2171" s="5"/>
    </row>
    <row r="2172" spans="1:1" x14ac:dyDescent="0.25">
      <c r="A2172" s="5"/>
    </row>
    <row r="2173" spans="1:1" x14ac:dyDescent="0.25">
      <c r="A2173" s="5"/>
    </row>
    <row r="2174" spans="1:1" x14ac:dyDescent="0.25">
      <c r="A2174" s="5"/>
    </row>
    <row r="2175" spans="1:1" x14ac:dyDescent="0.25">
      <c r="A2175" s="5"/>
    </row>
    <row r="2176" spans="1:1" x14ac:dyDescent="0.25">
      <c r="A2176" s="5"/>
    </row>
    <row r="2177" spans="1:1" x14ac:dyDescent="0.25">
      <c r="A2177" s="5"/>
    </row>
    <row r="2178" spans="1:1" x14ac:dyDescent="0.25">
      <c r="A2178" s="5"/>
    </row>
    <row r="2179" spans="1:1" x14ac:dyDescent="0.25">
      <c r="A2179" s="5"/>
    </row>
    <row r="2180" spans="1:1" x14ac:dyDescent="0.25">
      <c r="A2180" s="5"/>
    </row>
    <row r="2181" spans="1:1" x14ac:dyDescent="0.25">
      <c r="A2181" s="5"/>
    </row>
    <row r="2182" spans="1:1" x14ac:dyDescent="0.25">
      <c r="A2182" s="5"/>
    </row>
    <row r="2183" spans="1:1" x14ac:dyDescent="0.25">
      <c r="A2183" s="5"/>
    </row>
    <row r="2184" spans="1:1" x14ac:dyDescent="0.25">
      <c r="A2184" s="5"/>
    </row>
    <row r="2185" spans="1:1" x14ac:dyDescent="0.25">
      <c r="A2185" s="5"/>
    </row>
    <row r="2186" spans="1:1" x14ac:dyDescent="0.25">
      <c r="A2186" s="5"/>
    </row>
    <row r="2187" spans="1:1" x14ac:dyDescent="0.25">
      <c r="A2187" s="5"/>
    </row>
    <row r="2188" spans="1:1" x14ac:dyDescent="0.25">
      <c r="A2188" s="5"/>
    </row>
    <row r="2189" spans="1:1" x14ac:dyDescent="0.25">
      <c r="A2189" s="5"/>
    </row>
    <row r="2190" spans="1:1" x14ac:dyDescent="0.25">
      <c r="A2190" s="5"/>
    </row>
    <row r="2191" spans="1:1" x14ac:dyDescent="0.25">
      <c r="A2191" s="5"/>
    </row>
    <row r="2192" spans="1:1" x14ac:dyDescent="0.25">
      <c r="A2192" s="5"/>
    </row>
    <row r="2193" spans="1:1" x14ac:dyDescent="0.25">
      <c r="A2193" s="5"/>
    </row>
    <row r="2194" spans="1:1" x14ac:dyDescent="0.25">
      <c r="A2194" s="5"/>
    </row>
    <row r="2195" spans="1:1" x14ac:dyDescent="0.25">
      <c r="A2195" s="5"/>
    </row>
    <row r="2196" spans="1:1" x14ac:dyDescent="0.25">
      <c r="A2196" s="5"/>
    </row>
    <row r="2197" spans="1:1" x14ac:dyDescent="0.25">
      <c r="A2197" s="5"/>
    </row>
    <row r="2198" spans="1:1" x14ac:dyDescent="0.25">
      <c r="A2198" s="5"/>
    </row>
    <row r="2199" spans="1:1" x14ac:dyDescent="0.25">
      <c r="A2199" s="5"/>
    </row>
    <row r="2200" spans="1:1" x14ac:dyDescent="0.25">
      <c r="A2200" s="5"/>
    </row>
    <row r="2201" spans="1:1" x14ac:dyDescent="0.25">
      <c r="A2201" s="5"/>
    </row>
    <row r="2202" spans="1:1" x14ac:dyDescent="0.25">
      <c r="A2202" s="5"/>
    </row>
    <row r="2203" spans="1:1" x14ac:dyDescent="0.25">
      <c r="A2203" s="5"/>
    </row>
    <row r="2204" spans="1:1" x14ac:dyDescent="0.25">
      <c r="A2204" s="5"/>
    </row>
    <row r="2205" spans="1:1" x14ac:dyDescent="0.25">
      <c r="A2205" s="5"/>
    </row>
    <row r="2206" spans="1:1" x14ac:dyDescent="0.25">
      <c r="A2206" s="5"/>
    </row>
    <row r="2207" spans="1:1" x14ac:dyDescent="0.25">
      <c r="A2207" s="5"/>
    </row>
    <row r="2208" spans="1:1" x14ac:dyDescent="0.25">
      <c r="A2208" s="5"/>
    </row>
    <row r="2209" spans="1:1" x14ac:dyDescent="0.25">
      <c r="A2209" s="5"/>
    </row>
    <row r="2210" spans="1:1" x14ac:dyDescent="0.25">
      <c r="A2210" s="5"/>
    </row>
    <row r="2211" spans="1:1" x14ac:dyDescent="0.25">
      <c r="A2211" s="5"/>
    </row>
    <row r="2212" spans="1:1" x14ac:dyDescent="0.25">
      <c r="A2212" s="5"/>
    </row>
    <row r="2213" spans="1:1" x14ac:dyDescent="0.25">
      <c r="A2213" s="5"/>
    </row>
    <row r="2214" spans="1:1" x14ac:dyDescent="0.25">
      <c r="A2214" s="5"/>
    </row>
    <row r="2215" spans="1:1" x14ac:dyDescent="0.25">
      <c r="A2215" s="5"/>
    </row>
    <row r="2216" spans="1:1" x14ac:dyDescent="0.25">
      <c r="A2216" s="5"/>
    </row>
    <row r="2217" spans="1:1" x14ac:dyDescent="0.25">
      <c r="A2217" s="5"/>
    </row>
    <row r="2218" spans="1:1" x14ac:dyDescent="0.25">
      <c r="A2218" s="5"/>
    </row>
    <row r="2219" spans="1:1" x14ac:dyDescent="0.25">
      <c r="A2219" s="5"/>
    </row>
    <row r="2220" spans="1:1" x14ac:dyDescent="0.25">
      <c r="A2220" s="5"/>
    </row>
    <row r="2221" spans="1:1" x14ac:dyDescent="0.25">
      <c r="A2221" s="5"/>
    </row>
    <row r="2222" spans="1:1" x14ac:dyDescent="0.25">
      <c r="A2222" s="5"/>
    </row>
    <row r="2223" spans="1:1" x14ac:dyDescent="0.25">
      <c r="A2223" s="5"/>
    </row>
    <row r="2224" spans="1:1" x14ac:dyDescent="0.25">
      <c r="A2224" s="5"/>
    </row>
    <row r="2225" spans="1:1" x14ac:dyDescent="0.25">
      <c r="A2225" s="5"/>
    </row>
    <row r="2226" spans="1:1" x14ac:dyDescent="0.25">
      <c r="A2226" s="5"/>
    </row>
    <row r="2227" spans="1:1" x14ac:dyDescent="0.25">
      <c r="A2227" s="5"/>
    </row>
    <row r="2228" spans="1:1" x14ac:dyDescent="0.25">
      <c r="A2228" s="5"/>
    </row>
    <row r="2229" spans="1:1" x14ac:dyDescent="0.25">
      <c r="A2229" s="5"/>
    </row>
    <row r="2230" spans="1:1" x14ac:dyDescent="0.25">
      <c r="A2230" s="5"/>
    </row>
    <row r="2231" spans="1:1" x14ac:dyDescent="0.25">
      <c r="A2231" s="5"/>
    </row>
    <row r="2232" spans="1:1" x14ac:dyDescent="0.25">
      <c r="A2232" s="5"/>
    </row>
    <row r="2233" spans="1:1" x14ac:dyDescent="0.25">
      <c r="A2233" s="5"/>
    </row>
    <row r="2234" spans="1:1" x14ac:dyDescent="0.25">
      <c r="A2234" s="5"/>
    </row>
    <row r="2235" spans="1:1" x14ac:dyDescent="0.25">
      <c r="A2235" s="5"/>
    </row>
    <row r="2236" spans="1:1" x14ac:dyDescent="0.25">
      <c r="A2236" s="5"/>
    </row>
    <row r="2237" spans="1:1" x14ac:dyDescent="0.25">
      <c r="A2237" s="5"/>
    </row>
    <row r="2238" spans="1:1" x14ac:dyDescent="0.25">
      <c r="A2238" s="5"/>
    </row>
    <row r="2239" spans="1:1" x14ac:dyDescent="0.25">
      <c r="A2239" s="5"/>
    </row>
    <row r="2240" spans="1:1" x14ac:dyDescent="0.25">
      <c r="A2240" s="5"/>
    </row>
    <row r="2241" spans="1:1" x14ac:dyDescent="0.25">
      <c r="A2241" s="5"/>
    </row>
    <row r="2242" spans="1:1" x14ac:dyDescent="0.25">
      <c r="A2242" s="5"/>
    </row>
    <row r="2243" spans="1:1" x14ac:dyDescent="0.25">
      <c r="A2243" s="5"/>
    </row>
    <row r="2244" spans="1:1" x14ac:dyDescent="0.25">
      <c r="A2244" s="5"/>
    </row>
    <row r="2245" spans="1:1" x14ac:dyDescent="0.25">
      <c r="A2245" s="5"/>
    </row>
    <row r="2246" spans="1:1" x14ac:dyDescent="0.25">
      <c r="A2246" s="5"/>
    </row>
    <row r="2247" spans="1:1" x14ac:dyDescent="0.25">
      <c r="A2247" s="5"/>
    </row>
    <row r="2248" spans="1:1" x14ac:dyDescent="0.25">
      <c r="A2248" s="5"/>
    </row>
    <row r="2249" spans="1:1" x14ac:dyDescent="0.25">
      <c r="A2249" s="5"/>
    </row>
    <row r="2250" spans="1:1" x14ac:dyDescent="0.25">
      <c r="A2250" s="5"/>
    </row>
    <row r="2251" spans="1:1" x14ac:dyDescent="0.25">
      <c r="A2251" s="5"/>
    </row>
    <row r="2252" spans="1:1" x14ac:dyDescent="0.25">
      <c r="A2252" s="5"/>
    </row>
    <row r="2253" spans="1:1" x14ac:dyDescent="0.25">
      <c r="A2253" s="5"/>
    </row>
    <row r="2254" spans="1:1" x14ac:dyDescent="0.25">
      <c r="A2254" s="5"/>
    </row>
    <row r="2255" spans="1:1" x14ac:dyDescent="0.25">
      <c r="A2255" s="5"/>
    </row>
    <row r="2256" spans="1:1" x14ac:dyDescent="0.25">
      <c r="A2256" s="5"/>
    </row>
    <row r="2257" spans="1:1" x14ac:dyDescent="0.25">
      <c r="A2257" s="5"/>
    </row>
    <row r="2258" spans="1:1" x14ac:dyDescent="0.25">
      <c r="A2258" s="5"/>
    </row>
    <row r="2259" spans="1:1" x14ac:dyDescent="0.25">
      <c r="A2259" s="5"/>
    </row>
    <row r="2260" spans="1:1" x14ac:dyDescent="0.25">
      <c r="A2260" s="5"/>
    </row>
    <row r="2261" spans="1:1" x14ac:dyDescent="0.25">
      <c r="A2261" s="5"/>
    </row>
    <row r="2262" spans="1:1" x14ac:dyDescent="0.25">
      <c r="A2262" s="5"/>
    </row>
    <row r="2263" spans="1:1" x14ac:dyDescent="0.25">
      <c r="A2263" s="5"/>
    </row>
    <row r="2264" spans="1:1" x14ac:dyDescent="0.25">
      <c r="A2264" s="5"/>
    </row>
    <row r="2265" spans="1:1" x14ac:dyDescent="0.25">
      <c r="A2265" s="5"/>
    </row>
    <row r="2266" spans="1:1" x14ac:dyDescent="0.25">
      <c r="A2266" s="5"/>
    </row>
    <row r="2267" spans="1:1" x14ac:dyDescent="0.25">
      <c r="A2267" s="5"/>
    </row>
    <row r="2268" spans="1:1" x14ac:dyDescent="0.25">
      <c r="A2268" s="5"/>
    </row>
    <row r="2269" spans="1:1" x14ac:dyDescent="0.25">
      <c r="A2269" s="5"/>
    </row>
    <row r="2270" spans="1:1" x14ac:dyDescent="0.25">
      <c r="A2270" s="5"/>
    </row>
    <row r="2271" spans="1:1" x14ac:dyDescent="0.25">
      <c r="A2271" s="5"/>
    </row>
    <row r="2272" spans="1:1" x14ac:dyDescent="0.25">
      <c r="A2272" s="5"/>
    </row>
    <row r="2273" spans="1:1" x14ac:dyDescent="0.25">
      <c r="A2273" s="5"/>
    </row>
    <row r="2274" spans="1:1" x14ac:dyDescent="0.25">
      <c r="A2274" s="5"/>
    </row>
    <row r="2275" spans="1:1" x14ac:dyDescent="0.25">
      <c r="A2275" s="5"/>
    </row>
    <row r="2276" spans="1:1" x14ac:dyDescent="0.25">
      <c r="A2276" s="5"/>
    </row>
    <row r="2277" spans="1:1" x14ac:dyDescent="0.25">
      <c r="A2277" s="5"/>
    </row>
    <row r="2278" spans="1:1" x14ac:dyDescent="0.25">
      <c r="A2278" s="5"/>
    </row>
    <row r="2279" spans="1:1" x14ac:dyDescent="0.25">
      <c r="A2279" s="5"/>
    </row>
    <row r="2280" spans="1:1" x14ac:dyDescent="0.25">
      <c r="A2280" s="5"/>
    </row>
    <row r="2281" spans="1:1" x14ac:dyDescent="0.25">
      <c r="A2281" s="5"/>
    </row>
    <row r="2282" spans="1:1" x14ac:dyDescent="0.25">
      <c r="A2282" s="5"/>
    </row>
    <row r="2283" spans="1:1" x14ac:dyDescent="0.25">
      <c r="A2283" s="5"/>
    </row>
    <row r="2284" spans="1:1" x14ac:dyDescent="0.25">
      <c r="A2284" s="5"/>
    </row>
    <row r="2285" spans="1:1" x14ac:dyDescent="0.25">
      <c r="A2285" s="5"/>
    </row>
    <row r="2286" spans="1:1" x14ac:dyDescent="0.25">
      <c r="A2286" s="5"/>
    </row>
    <row r="2287" spans="1:1" x14ac:dyDescent="0.25">
      <c r="A2287" s="5"/>
    </row>
    <row r="2288" spans="1:1" x14ac:dyDescent="0.25">
      <c r="A2288" s="5"/>
    </row>
    <row r="2289" spans="1:1" x14ac:dyDescent="0.25">
      <c r="A2289" s="5"/>
    </row>
    <row r="2290" spans="1:1" x14ac:dyDescent="0.25">
      <c r="A2290" s="5"/>
    </row>
    <row r="2291" spans="1:1" x14ac:dyDescent="0.25">
      <c r="A2291" s="5"/>
    </row>
    <row r="2292" spans="1:1" x14ac:dyDescent="0.25">
      <c r="A2292" s="5"/>
    </row>
    <row r="2293" spans="1:1" x14ac:dyDescent="0.25">
      <c r="A2293" s="5"/>
    </row>
    <row r="2294" spans="1:1" x14ac:dyDescent="0.25">
      <c r="A2294" s="5"/>
    </row>
    <row r="2295" spans="1:1" x14ac:dyDescent="0.25">
      <c r="A2295" s="5"/>
    </row>
    <row r="2296" spans="1:1" x14ac:dyDescent="0.25">
      <c r="A2296" s="5"/>
    </row>
    <row r="2297" spans="1:1" x14ac:dyDescent="0.25">
      <c r="A2297" s="5"/>
    </row>
    <row r="2298" spans="1:1" x14ac:dyDescent="0.25">
      <c r="A2298" s="5"/>
    </row>
    <row r="2299" spans="1:1" x14ac:dyDescent="0.25">
      <c r="A2299" s="5"/>
    </row>
    <row r="2300" spans="1:1" x14ac:dyDescent="0.25">
      <c r="A2300" s="5"/>
    </row>
    <row r="2301" spans="1:1" x14ac:dyDescent="0.25">
      <c r="A2301" s="5"/>
    </row>
    <row r="2302" spans="1:1" x14ac:dyDescent="0.25">
      <c r="A2302" s="5"/>
    </row>
    <row r="2303" spans="1:1" x14ac:dyDescent="0.25">
      <c r="A2303" s="5"/>
    </row>
    <row r="2304" spans="1:1" x14ac:dyDescent="0.25">
      <c r="A2304" s="5"/>
    </row>
    <row r="2305" spans="1:1" x14ac:dyDescent="0.25">
      <c r="A2305" s="5"/>
    </row>
    <row r="2306" spans="1:1" x14ac:dyDescent="0.25">
      <c r="A2306" s="5"/>
    </row>
    <row r="2307" spans="1:1" x14ac:dyDescent="0.25">
      <c r="A2307" s="5"/>
    </row>
    <row r="2308" spans="1:1" x14ac:dyDescent="0.25">
      <c r="A2308" s="5"/>
    </row>
    <row r="2309" spans="1:1" x14ac:dyDescent="0.25">
      <c r="A2309" s="5"/>
    </row>
    <row r="2310" spans="1:1" x14ac:dyDescent="0.25">
      <c r="A2310" s="5"/>
    </row>
    <row r="2311" spans="1:1" x14ac:dyDescent="0.25">
      <c r="A2311" s="5"/>
    </row>
    <row r="2312" spans="1:1" x14ac:dyDescent="0.25">
      <c r="A2312" s="5"/>
    </row>
    <row r="2313" spans="1:1" x14ac:dyDescent="0.25">
      <c r="A2313" s="5"/>
    </row>
    <row r="2314" spans="1:1" x14ac:dyDescent="0.25">
      <c r="A2314" s="5"/>
    </row>
    <row r="2315" spans="1:1" x14ac:dyDescent="0.25">
      <c r="A2315" s="5"/>
    </row>
    <row r="2316" spans="1:1" x14ac:dyDescent="0.25">
      <c r="A2316" s="5"/>
    </row>
    <row r="2317" spans="1:1" x14ac:dyDescent="0.25">
      <c r="A2317" s="5"/>
    </row>
    <row r="2318" spans="1:1" x14ac:dyDescent="0.25">
      <c r="A2318" s="5"/>
    </row>
    <row r="2319" spans="1:1" x14ac:dyDescent="0.25">
      <c r="A2319" s="5"/>
    </row>
    <row r="2320" spans="1:1" x14ac:dyDescent="0.25">
      <c r="A2320" s="5"/>
    </row>
    <row r="2321" spans="1:1" x14ac:dyDescent="0.25">
      <c r="A2321" s="5"/>
    </row>
    <row r="2322" spans="1:1" x14ac:dyDescent="0.25">
      <c r="A2322" s="5"/>
    </row>
    <row r="2323" spans="1:1" x14ac:dyDescent="0.25">
      <c r="A2323" s="5"/>
    </row>
    <row r="2324" spans="1:1" x14ac:dyDescent="0.25">
      <c r="A2324" s="5"/>
    </row>
    <row r="2325" spans="1:1" x14ac:dyDescent="0.25">
      <c r="A2325" s="5"/>
    </row>
    <row r="2326" spans="1:1" x14ac:dyDescent="0.25">
      <c r="A2326" s="5"/>
    </row>
    <row r="2327" spans="1:1" x14ac:dyDescent="0.25">
      <c r="A2327" s="5"/>
    </row>
    <row r="2328" spans="1:1" x14ac:dyDescent="0.25">
      <c r="A2328" s="5"/>
    </row>
    <row r="2329" spans="1:1" x14ac:dyDescent="0.25">
      <c r="A2329" s="5"/>
    </row>
    <row r="2330" spans="1:1" x14ac:dyDescent="0.25">
      <c r="A2330" s="5"/>
    </row>
    <row r="2331" spans="1:1" x14ac:dyDescent="0.25">
      <c r="A2331" s="5"/>
    </row>
    <row r="2332" spans="1:1" x14ac:dyDescent="0.25">
      <c r="A2332" s="5"/>
    </row>
    <row r="2333" spans="1:1" x14ac:dyDescent="0.25">
      <c r="A2333" s="5"/>
    </row>
    <row r="2334" spans="1:1" x14ac:dyDescent="0.25">
      <c r="A2334" s="5"/>
    </row>
    <row r="2335" spans="1:1" x14ac:dyDescent="0.25">
      <c r="A2335" s="5"/>
    </row>
    <row r="2336" spans="1:1" x14ac:dyDescent="0.25">
      <c r="A2336" s="5"/>
    </row>
    <row r="2337" spans="1:1" x14ac:dyDescent="0.25">
      <c r="A2337" s="5"/>
    </row>
    <row r="2338" spans="1:1" x14ac:dyDescent="0.25">
      <c r="A2338" s="5"/>
    </row>
    <row r="2339" spans="1:1" x14ac:dyDescent="0.25">
      <c r="A2339" s="5"/>
    </row>
    <row r="2340" spans="1:1" x14ac:dyDescent="0.25">
      <c r="A2340" s="5"/>
    </row>
    <row r="2341" spans="1:1" x14ac:dyDescent="0.25">
      <c r="A2341" s="5"/>
    </row>
    <row r="2342" spans="1:1" x14ac:dyDescent="0.25">
      <c r="A2342" s="5"/>
    </row>
    <row r="2343" spans="1:1" x14ac:dyDescent="0.25">
      <c r="A2343" s="5"/>
    </row>
    <row r="2344" spans="1:1" x14ac:dyDescent="0.25">
      <c r="A2344" s="5"/>
    </row>
    <row r="2345" spans="1:1" x14ac:dyDescent="0.25">
      <c r="A2345" s="5"/>
    </row>
    <row r="2346" spans="1:1" x14ac:dyDescent="0.25">
      <c r="A2346" s="5"/>
    </row>
    <row r="2347" spans="1:1" x14ac:dyDescent="0.25">
      <c r="A2347" s="5"/>
    </row>
    <row r="2348" spans="1:1" x14ac:dyDescent="0.25">
      <c r="A2348" s="5"/>
    </row>
    <row r="2349" spans="1:1" x14ac:dyDescent="0.25">
      <c r="A2349" s="5"/>
    </row>
    <row r="2350" spans="1:1" x14ac:dyDescent="0.25">
      <c r="A2350" s="5"/>
    </row>
    <row r="2351" spans="1:1" x14ac:dyDescent="0.25">
      <c r="A2351" s="5"/>
    </row>
    <row r="2352" spans="1:1" x14ac:dyDescent="0.25">
      <c r="A2352" s="5"/>
    </row>
    <row r="2353" spans="1:1" x14ac:dyDescent="0.25">
      <c r="A2353" s="5"/>
    </row>
    <row r="2354" spans="1:1" x14ac:dyDescent="0.25">
      <c r="A2354" s="5"/>
    </row>
    <row r="2355" spans="1:1" x14ac:dyDescent="0.25">
      <c r="A2355" s="5"/>
    </row>
    <row r="2356" spans="1:1" x14ac:dyDescent="0.25">
      <c r="A2356" s="5"/>
    </row>
    <row r="2357" spans="1:1" x14ac:dyDescent="0.25">
      <c r="A2357" s="5"/>
    </row>
    <row r="2358" spans="1:1" x14ac:dyDescent="0.25">
      <c r="A2358" s="5"/>
    </row>
    <row r="2359" spans="1:1" x14ac:dyDescent="0.25">
      <c r="A2359" s="5"/>
    </row>
    <row r="2360" spans="1:1" x14ac:dyDescent="0.25">
      <c r="A2360" s="5"/>
    </row>
    <row r="2361" spans="1:1" x14ac:dyDescent="0.25">
      <c r="A2361" s="5"/>
    </row>
    <row r="2362" spans="1:1" x14ac:dyDescent="0.25">
      <c r="A2362" s="5"/>
    </row>
    <row r="2363" spans="1:1" x14ac:dyDescent="0.25">
      <c r="A2363" s="5"/>
    </row>
    <row r="2364" spans="1:1" x14ac:dyDescent="0.25">
      <c r="A2364" s="5"/>
    </row>
    <row r="2365" spans="1:1" x14ac:dyDescent="0.25">
      <c r="A2365" s="5"/>
    </row>
    <row r="2366" spans="1:1" x14ac:dyDescent="0.25">
      <c r="A2366" s="5"/>
    </row>
    <row r="2367" spans="1:1" x14ac:dyDescent="0.25">
      <c r="A2367" s="5"/>
    </row>
    <row r="2368" spans="1:1" x14ac:dyDescent="0.25">
      <c r="A2368" s="5"/>
    </row>
    <row r="2369" spans="1:1" x14ac:dyDescent="0.25">
      <c r="A2369" s="5"/>
    </row>
    <row r="2370" spans="1:1" x14ac:dyDescent="0.25">
      <c r="A2370" s="5"/>
    </row>
    <row r="2371" spans="1:1" x14ac:dyDescent="0.25">
      <c r="A2371" s="5"/>
    </row>
    <row r="2372" spans="1:1" x14ac:dyDescent="0.25">
      <c r="A2372" s="5"/>
    </row>
    <row r="2373" spans="1:1" x14ac:dyDescent="0.25">
      <c r="A2373" s="5"/>
    </row>
    <row r="2374" spans="1:1" x14ac:dyDescent="0.25">
      <c r="A2374" s="5"/>
    </row>
    <row r="2375" spans="1:1" x14ac:dyDescent="0.25">
      <c r="A2375" s="5"/>
    </row>
    <row r="2376" spans="1:1" x14ac:dyDescent="0.25">
      <c r="A2376" s="5"/>
    </row>
    <row r="2377" spans="1:1" x14ac:dyDescent="0.25">
      <c r="A2377" s="5"/>
    </row>
    <row r="2378" spans="1:1" x14ac:dyDescent="0.25">
      <c r="A2378" s="5"/>
    </row>
    <row r="2379" spans="1:1" x14ac:dyDescent="0.25">
      <c r="A2379" s="5"/>
    </row>
    <row r="2380" spans="1:1" x14ac:dyDescent="0.25">
      <c r="A2380" s="5"/>
    </row>
    <row r="2381" spans="1:1" x14ac:dyDescent="0.25">
      <c r="A2381" s="5"/>
    </row>
    <row r="2382" spans="1:1" x14ac:dyDescent="0.25">
      <c r="A2382" s="5"/>
    </row>
    <row r="2383" spans="1:1" x14ac:dyDescent="0.25">
      <c r="A2383" s="5"/>
    </row>
    <row r="2384" spans="1:1" x14ac:dyDescent="0.25">
      <c r="A2384" s="5"/>
    </row>
    <row r="2385" spans="1:1" x14ac:dyDescent="0.25">
      <c r="A2385" s="5"/>
    </row>
    <row r="2386" spans="1:1" x14ac:dyDescent="0.25">
      <c r="A2386" s="5"/>
    </row>
    <row r="2387" spans="1:1" x14ac:dyDescent="0.25">
      <c r="A2387" s="5"/>
    </row>
    <row r="2388" spans="1:1" x14ac:dyDescent="0.25">
      <c r="A2388" s="5"/>
    </row>
    <row r="2389" spans="1:1" x14ac:dyDescent="0.25">
      <c r="A2389" s="5"/>
    </row>
    <row r="2390" spans="1:1" x14ac:dyDescent="0.25">
      <c r="A2390" s="5"/>
    </row>
    <row r="2391" spans="1:1" x14ac:dyDescent="0.25">
      <c r="A2391" s="5"/>
    </row>
    <row r="2392" spans="1:1" x14ac:dyDescent="0.25">
      <c r="A2392" s="5"/>
    </row>
    <row r="2393" spans="1:1" x14ac:dyDescent="0.25">
      <c r="A2393" s="5"/>
    </row>
    <row r="2394" spans="1:1" x14ac:dyDescent="0.25">
      <c r="A2394" s="5"/>
    </row>
    <row r="2395" spans="1:1" x14ac:dyDescent="0.25">
      <c r="A2395" s="5"/>
    </row>
    <row r="2396" spans="1:1" x14ac:dyDescent="0.25">
      <c r="A2396" s="5"/>
    </row>
    <row r="2397" spans="1:1" x14ac:dyDescent="0.25">
      <c r="A2397" s="5"/>
    </row>
    <row r="2398" spans="1:1" x14ac:dyDescent="0.25">
      <c r="A2398" s="5"/>
    </row>
    <row r="2399" spans="1:1" x14ac:dyDescent="0.25">
      <c r="A2399" s="5"/>
    </row>
    <row r="2400" spans="1:1" x14ac:dyDescent="0.25">
      <c r="A2400" s="5"/>
    </row>
    <row r="2401" spans="1:1" x14ac:dyDescent="0.25">
      <c r="A2401" s="5"/>
    </row>
    <row r="2402" spans="1:1" x14ac:dyDescent="0.25">
      <c r="A2402" s="5"/>
    </row>
    <row r="2403" spans="1:1" x14ac:dyDescent="0.25">
      <c r="A2403" s="5"/>
    </row>
    <row r="2404" spans="1:1" x14ac:dyDescent="0.25">
      <c r="A2404" s="5"/>
    </row>
    <row r="2405" spans="1:1" x14ac:dyDescent="0.25">
      <c r="A2405" s="5"/>
    </row>
    <row r="2406" spans="1:1" x14ac:dyDescent="0.25">
      <c r="A2406" s="5"/>
    </row>
    <row r="2407" spans="1:1" x14ac:dyDescent="0.25">
      <c r="A2407" s="5"/>
    </row>
    <row r="2408" spans="1:1" x14ac:dyDescent="0.25">
      <c r="A2408" s="5"/>
    </row>
    <row r="2409" spans="1:1" x14ac:dyDescent="0.25">
      <c r="A2409" s="5"/>
    </row>
    <row r="2410" spans="1:1" x14ac:dyDescent="0.25">
      <c r="A2410" s="5"/>
    </row>
    <row r="2411" spans="1:1" x14ac:dyDescent="0.25">
      <c r="A2411" s="5"/>
    </row>
    <row r="2412" spans="1:1" x14ac:dyDescent="0.25">
      <c r="A2412" s="5"/>
    </row>
    <row r="2413" spans="1:1" x14ac:dyDescent="0.25">
      <c r="A2413" s="5"/>
    </row>
    <row r="2414" spans="1:1" x14ac:dyDescent="0.25">
      <c r="A2414" s="5"/>
    </row>
    <row r="2415" spans="1:1" x14ac:dyDescent="0.25">
      <c r="A2415" s="5"/>
    </row>
    <row r="2416" spans="1:1" x14ac:dyDescent="0.25">
      <c r="A2416" s="5"/>
    </row>
    <row r="2417" spans="1:1" x14ac:dyDescent="0.25">
      <c r="A2417" s="5"/>
    </row>
    <row r="2418" spans="1:1" x14ac:dyDescent="0.25">
      <c r="A2418" s="5"/>
    </row>
    <row r="2419" spans="1:1" x14ac:dyDescent="0.25">
      <c r="A2419" s="5"/>
    </row>
    <row r="2420" spans="1:1" x14ac:dyDescent="0.25">
      <c r="A2420" s="5"/>
    </row>
    <row r="2421" spans="1:1" x14ac:dyDescent="0.25">
      <c r="A2421" s="5"/>
    </row>
    <row r="2422" spans="1:1" x14ac:dyDescent="0.25">
      <c r="A2422" s="5"/>
    </row>
    <row r="2423" spans="1:1" x14ac:dyDescent="0.25">
      <c r="A2423" s="5"/>
    </row>
    <row r="2424" spans="1:1" x14ac:dyDescent="0.25">
      <c r="A2424" s="5"/>
    </row>
    <row r="2425" spans="1:1" x14ac:dyDescent="0.25">
      <c r="A2425" s="5"/>
    </row>
    <row r="2426" spans="1:1" x14ac:dyDescent="0.25">
      <c r="A2426" s="5"/>
    </row>
    <row r="2427" spans="1:1" x14ac:dyDescent="0.25">
      <c r="A2427" s="5"/>
    </row>
    <row r="2428" spans="1:1" x14ac:dyDescent="0.25">
      <c r="A2428" s="5"/>
    </row>
    <row r="2429" spans="1:1" x14ac:dyDescent="0.25">
      <c r="A2429" s="5"/>
    </row>
    <row r="2430" spans="1:1" x14ac:dyDescent="0.25">
      <c r="A2430" s="5"/>
    </row>
    <row r="2431" spans="1:1" x14ac:dyDescent="0.25">
      <c r="A2431" s="5"/>
    </row>
    <row r="2432" spans="1:1" x14ac:dyDescent="0.25">
      <c r="A2432" s="5"/>
    </row>
    <row r="2433" spans="1:1" x14ac:dyDescent="0.25">
      <c r="A2433" s="5"/>
    </row>
    <row r="2434" spans="1:1" x14ac:dyDescent="0.25">
      <c r="A2434" s="5"/>
    </row>
    <row r="2435" spans="1:1" x14ac:dyDescent="0.25">
      <c r="A2435" s="5"/>
    </row>
    <row r="2436" spans="1:1" x14ac:dyDescent="0.25">
      <c r="A2436" s="5"/>
    </row>
    <row r="2437" spans="1:1" x14ac:dyDescent="0.25">
      <c r="A2437" s="5"/>
    </row>
    <row r="2438" spans="1:1" x14ac:dyDescent="0.25">
      <c r="A2438" s="5"/>
    </row>
    <row r="2439" spans="1:1" x14ac:dyDescent="0.25">
      <c r="A2439" s="5"/>
    </row>
    <row r="2440" spans="1:1" x14ac:dyDescent="0.25">
      <c r="A2440" s="5"/>
    </row>
    <row r="2441" spans="1:1" x14ac:dyDescent="0.25">
      <c r="A2441" s="5"/>
    </row>
    <row r="2442" spans="1:1" x14ac:dyDescent="0.25">
      <c r="A2442" s="5"/>
    </row>
    <row r="2443" spans="1:1" x14ac:dyDescent="0.25">
      <c r="A2443" s="5"/>
    </row>
    <row r="2444" spans="1:1" x14ac:dyDescent="0.25">
      <c r="A2444" s="5"/>
    </row>
    <row r="2445" spans="1:1" x14ac:dyDescent="0.25">
      <c r="A2445" s="5"/>
    </row>
    <row r="2446" spans="1:1" x14ac:dyDescent="0.25">
      <c r="A2446" s="5"/>
    </row>
    <row r="2447" spans="1:1" x14ac:dyDescent="0.25">
      <c r="A2447" s="5"/>
    </row>
    <row r="2448" spans="1:1" x14ac:dyDescent="0.25">
      <c r="A2448" s="5"/>
    </row>
    <row r="2449" spans="1:1" x14ac:dyDescent="0.25">
      <c r="A2449" s="5"/>
    </row>
    <row r="2450" spans="1:1" x14ac:dyDescent="0.25">
      <c r="A2450" s="5"/>
    </row>
    <row r="2451" spans="1:1" x14ac:dyDescent="0.25">
      <c r="A2451" s="5"/>
    </row>
    <row r="2452" spans="1:1" x14ac:dyDescent="0.25">
      <c r="A2452" s="5"/>
    </row>
    <row r="2453" spans="1:1" x14ac:dyDescent="0.25">
      <c r="A2453" s="5"/>
    </row>
    <row r="2454" spans="1:1" x14ac:dyDescent="0.25">
      <c r="A2454" s="5"/>
    </row>
    <row r="2455" spans="1:1" x14ac:dyDescent="0.25">
      <c r="A2455" s="5"/>
    </row>
    <row r="2456" spans="1:1" x14ac:dyDescent="0.25">
      <c r="A2456" s="5"/>
    </row>
    <row r="2457" spans="1:1" x14ac:dyDescent="0.25">
      <c r="A2457" s="5"/>
    </row>
    <row r="2458" spans="1:1" x14ac:dyDescent="0.25">
      <c r="A2458" s="5"/>
    </row>
    <row r="2459" spans="1:1" x14ac:dyDescent="0.25">
      <c r="A2459" s="5"/>
    </row>
    <row r="2460" spans="1:1" x14ac:dyDescent="0.25">
      <c r="A2460" s="5"/>
    </row>
    <row r="2461" spans="1:1" x14ac:dyDescent="0.25">
      <c r="A2461" s="5"/>
    </row>
    <row r="2462" spans="1:1" x14ac:dyDescent="0.25">
      <c r="A2462" s="5"/>
    </row>
    <row r="2463" spans="1:1" x14ac:dyDescent="0.25">
      <c r="A2463" s="5"/>
    </row>
    <row r="2464" spans="1:1" x14ac:dyDescent="0.25">
      <c r="A2464" s="5"/>
    </row>
    <row r="2465" spans="1:1" x14ac:dyDescent="0.25">
      <c r="A2465" s="5"/>
    </row>
    <row r="2466" spans="1:1" x14ac:dyDescent="0.25">
      <c r="A2466" s="5"/>
    </row>
    <row r="2467" spans="1:1" x14ac:dyDescent="0.25">
      <c r="A2467" s="5"/>
    </row>
    <row r="2468" spans="1:1" x14ac:dyDescent="0.25">
      <c r="A2468" s="5"/>
    </row>
    <row r="2469" spans="1:1" x14ac:dyDescent="0.25">
      <c r="A2469" s="5"/>
    </row>
    <row r="2470" spans="1:1" x14ac:dyDescent="0.25">
      <c r="A2470" s="5"/>
    </row>
    <row r="2471" spans="1:1" x14ac:dyDescent="0.25">
      <c r="A2471" s="5"/>
    </row>
    <row r="2472" spans="1:1" x14ac:dyDescent="0.25">
      <c r="A2472" s="5"/>
    </row>
    <row r="2473" spans="1:1" x14ac:dyDescent="0.25">
      <c r="A2473" s="5"/>
    </row>
    <row r="2474" spans="1:1" x14ac:dyDescent="0.25">
      <c r="A2474" s="5"/>
    </row>
    <row r="2475" spans="1:1" x14ac:dyDescent="0.25">
      <c r="A2475" s="5"/>
    </row>
    <row r="2476" spans="1:1" x14ac:dyDescent="0.25">
      <c r="A2476" s="5"/>
    </row>
    <row r="2477" spans="1:1" x14ac:dyDescent="0.25">
      <c r="A2477" s="5"/>
    </row>
    <row r="2478" spans="1:1" x14ac:dyDescent="0.25">
      <c r="A2478" s="5"/>
    </row>
    <row r="2479" spans="1:1" x14ac:dyDescent="0.25">
      <c r="A2479" s="5"/>
    </row>
    <row r="2480" spans="1:1" x14ac:dyDescent="0.25">
      <c r="A2480" s="5"/>
    </row>
    <row r="2481" spans="1:1" x14ac:dyDescent="0.25">
      <c r="A2481" s="5"/>
    </row>
    <row r="2482" spans="1:1" x14ac:dyDescent="0.25">
      <c r="A2482" s="5"/>
    </row>
    <row r="2483" spans="1:1" x14ac:dyDescent="0.25">
      <c r="A2483" s="5"/>
    </row>
    <row r="2484" spans="1:1" x14ac:dyDescent="0.25">
      <c r="A2484" s="5"/>
    </row>
    <row r="2485" spans="1:1" x14ac:dyDescent="0.25">
      <c r="A2485" s="5"/>
    </row>
    <row r="2486" spans="1:1" x14ac:dyDescent="0.25">
      <c r="A2486" s="5"/>
    </row>
    <row r="2487" spans="1:1" x14ac:dyDescent="0.25">
      <c r="A2487" s="5"/>
    </row>
    <row r="2488" spans="1:1" x14ac:dyDescent="0.25">
      <c r="A2488" s="5"/>
    </row>
    <row r="2489" spans="1:1" x14ac:dyDescent="0.25">
      <c r="A2489" s="5"/>
    </row>
    <row r="2490" spans="1:1" x14ac:dyDescent="0.25">
      <c r="A2490" s="5"/>
    </row>
    <row r="2491" spans="1:1" x14ac:dyDescent="0.25">
      <c r="A2491" s="5"/>
    </row>
    <row r="2492" spans="1:1" x14ac:dyDescent="0.25">
      <c r="A2492" s="5"/>
    </row>
    <row r="2493" spans="1:1" x14ac:dyDescent="0.25">
      <c r="A2493" s="5"/>
    </row>
    <row r="2494" spans="1:1" x14ac:dyDescent="0.25">
      <c r="A2494" s="5"/>
    </row>
    <row r="2495" spans="1:1" x14ac:dyDescent="0.25">
      <c r="A2495" s="5"/>
    </row>
    <row r="2496" spans="1:1" x14ac:dyDescent="0.25">
      <c r="A2496" s="5"/>
    </row>
    <row r="2497" spans="1:1" x14ac:dyDescent="0.25">
      <c r="A2497" s="5"/>
    </row>
    <row r="2498" spans="1:1" x14ac:dyDescent="0.25">
      <c r="A2498" s="5"/>
    </row>
    <row r="2499" spans="1:1" x14ac:dyDescent="0.25">
      <c r="A2499" s="5"/>
    </row>
    <row r="2500" spans="1:1" x14ac:dyDescent="0.25">
      <c r="A2500" s="5"/>
    </row>
    <row r="2501" spans="1:1" x14ac:dyDescent="0.25">
      <c r="A2501" s="5"/>
    </row>
    <row r="2502" spans="1:1" x14ac:dyDescent="0.25">
      <c r="A2502" s="5"/>
    </row>
    <row r="2503" spans="1:1" x14ac:dyDescent="0.25">
      <c r="A2503" s="5"/>
    </row>
    <row r="2504" spans="1:1" x14ac:dyDescent="0.25">
      <c r="A2504" s="5"/>
    </row>
    <row r="2505" spans="1:1" x14ac:dyDescent="0.25">
      <c r="A2505" s="5"/>
    </row>
    <row r="2506" spans="1:1" x14ac:dyDescent="0.25">
      <c r="A2506" s="5"/>
    </row>
    <row r="2507" spans="1:1" x14ac:dyDescent="0.25">
      <c r="A2507" s="5"/>
    </row>
    <row r="2508" spans="1:1" x14ac:dyDescent="0.25">
      <c r="A2508" s="5"/>
    </row>
    <row r="2509" spans="1:1" x14ac:dyDescent="0.25">
      <c r="A2509" s="5"/>
    </row>
    <row r="2510" spans="1:1" x14ac:dyDescent="0.25">
      <c r="A2510" s="5"/>
    </row>
    <row r="2511" spans="1:1" x14ac:dyDescent="0.25">
      <c r="A2511" s="5"/>
    </row>
    <row r="2512" spans="1:1" x14ac:dyDescent="0.25">
      <c r="A2512" s="5"/>
    </row>
    <row r="2513" spans="1:1" x14ac:dyDescent="0.25">
      <c r="A2513" s="5"/>
    </row>
    <row r="2514" spans="1:1" x14ac:dyDescent="0.25">
      <c r="A2514" s="5"/>
    </row>
    <row r="2515" spans="1:1" x14ac:dyDescent="0.25">
      <c r="A2515" s="5"/>
    </row>
    <row r="2516" spans="1:1" x14ac:dyDescent="0.25">
      <c r="A2516" s="5"/>
    </row>
    <row r="2517" spans="1:1" x14ac:dyDescent="0.25">
      <c r="A2517" s="5"/>
    </row>
    <row r="2518" spans="1:1" x14ac:dyDescent="0.25">
      <c r="A2518" s="5"/>
    </row>
    <row r="2519" spans="1:1" x14ac:dyDescent="0.25">
      <c r="A2519" s="5"/>
    </row>
    <row r="2520" spans="1:1" x14ac:dyDescent="0.25">
      <c r="A2520" s="5"/>
    </row>
    <row r="2521" spans="1:1" x14ac:dyDescent="0.25">
      <c r="A2521" s="5"/>
    </row>
    <row r="2522" spans="1:1" x14ac:dyDescent="0.25">
      <c r="A2522" s="5"/>
    </row>
    <row r="2523" spans="1:1" x14ac:dyDescent="0.25">
      <c r="A2523" s="5"/>
    </row>
    <row r="2524" spans="1:1" x14ac:dyDescent="0.25">
      <c r="A2524" s="5"/>
    </row>
    <row r="2525" spans="1:1" x14ac:dyDescent="0.25">
      <c r="A2525" s="5"/>
    </row>
    <row r="2526" spans="1:1" x14ac:dyDescent="0.25">
      <c r="A2526" s="5"/>
    </row>
    <row r="2527" spans="1:1" x14ac:dyDescent="0.25">
      <c r="A2527" s="5"/>
    </row>
    <row r="2528" spans="1:1" x14ac:dyDescent="0.25">
      <c r="A2528" s="5"/>
    </row>
    <row r="2529" spans="1:1" x14ac:dyDescent="0.25">
      <c r="A2529" s="5"/>
    </row>
    <row r="2530" spans="1:1" x14ac:dyDescent="0.25">
      <c r="A2530" s="5"/>
    </row>
    <row r="2531" spans="1:1" x14ac:dyDescent="0.25">
      <c r="A2531" s="5"/>
    </row>
    <row r="2532" spans="1:1" x14ac:dyDescent="0.25">
      <c r="A2532" s="5"/>
    </row>
    <row r="2533" spans="1:1" x14ac:dyDescent="0.25">
      <c r="A2533" s="5"/>
    </row>
    <row r="2534" spans="1:1" x14ac:dyDescent="0.25">
      <c r="A2534" s="5"/>
    </row>
    <row r="2535" spans="1:1" x14ac:dyDescent="0.25">
      <c r="A2535" s="5"/>
    </row>
    <row r="2536" spans="1:1" x14ac:dyDescent="0.25">
      <c r="A2536" s="5"/>
    </row>
    <row r="2537" spans="1:1" x14ac:dyDescent="0.25">
      <c r="A2537" s="5"/>
    </row>
    <row r="2538" spans="1:1" x14ac:dyDescent="0.25">
      <c r="A2538" s="5"/>
    </row>
    <row r="2539" spans="1:1" x14ac:dyDescent="0.25">
      <c r="A2539" s="5"/>
    </row>
    <row r="2540" spans="1:1" x14ac:dyDescent="0.25">
      <c r="A2540" s="5"/>
    </row>
    <row r="2541" spans="1:1" x14ac:dyDescent="0.25">
      <c r="A2541" s="5"/>
    </row>
    <row r="2542" spans="1:1" x14ac:dyDescent="0.25">
      <c r="A2542" s="5"/>
    </row>
    <row r="2543" spans="1:1" x14ac:dyDescent="0.25">
      <c r="A2543" s="5"/>
    </row>
    <row r="2544" spans="1:1" x14ac:dyDescent="0.25">
      <c r="A2544" s="5"/>
    </row>
    <row r="2545" spans="1:1" x14ac:dyDescent="0.25">
      <c r="A2545" s="5"/>
    </row>
    <row r="2546" spans="1:1" x14ac:dyDescent="0.25">
      <c r="A2546" s="5"/>
    </row>
    <row r="2547" spans="1:1" x14ac:dyDescent="0.25">
      <c r="A2547" s="5"/>
    </row>
    <row r="2548" spans="1:1" x14ac:dyDescent="0.25">
      <c r="A2548" s="5"/>
    </row>
    <row r="2549" spans="1:1" x14ac:dyDescent="0.25">
      <c r="A2549" s="5"/>
    </row>
    <row r="2550" spans="1:1" x14ac:dyDescent="0.25">
      <c r="A2550" s="5"/>
    </row>
    <row r="2551" spans="1:1" x14ac:dyDescent="0.25">
      <c r="A2551" s="5"/>
    </row>
    <row r="2552" spans="1:1" x14ac:dyDescent="0.25">
      <c r="A2552" s="5"/>
    </row>
    <row r="2553" spans="1:1" x14ac:dyDescent="0.25">
      <c r="A2553" s="5"/>
    </row>
    <row r="2554" spans="1:1" x14ac:dyDescent="0.25">
      <c r="A2554" s="5"/>
    </row>
    <row r="2555" spans="1:1" x14ac:dyDescent="0.25">
      <c r="A2555" s="5"/>
    </row>
    <row r="2556" spans="1:1" x14ac:dyDescent="0.25">
      <c r="A2556" s="5"/>
    </row>
    <row r="2557" spans="1:1" x14ac:dyDescent="0.25">
      <c r="A2557" s="5"/>
    </row>
    <row r="2558" spans="1:1" x14ac:dyDescent="0.25">
      <c r="A2558" s="5"/>
    </row>
    <row r="2559" spans="1:1" x14ac:dyDescent="0.25">
      <c r="A2559" s="5"/>
    </row>
    <row r="2560" spans="1:1" x14ac:dyDescent="0.25">
      <c r="A2560" s="5"/>
    </row>
    <row r="2561" spans="1:1" x14ac:dyDescent="0.25">
      <c r="A2561" s="5"/>
    </row>
    <row r="2562" spans="1:1" x14ac:dyDescent="0.25">
      <c r="A2562" s="5"/>
    </row>
    <row r="2563" spans="1:1" x14ac:dyDescent="0.25">
      <c r="A2563" s="5"/>
    </row>
    <row r="2564" spans="1:1" x14ac:dyDescent="0.25">
      <c r="A2564" s="5"/>
    </row>
    <row r="2565" spans="1:1" x14ac:dyDescent="0.25">
      <c r="A2565" s="5"/>
    </row>
    <row r="2566" spans="1:1" x14ac:dyDescent="0.25">
      <c r="A2566" s="5"/>
    </row>
    <row r="2567" spans="1:1" x14ac:dyDescent="0.25">
      <c r="A2567" s="5"/>
    </row>
    <row r="2568" spans="1:1" x14ac:dyDescent="0.25">
      <c r="A2568" s="5"/>
    </row>
    <row r="2569" spans="1:1" x14ac:dyDescent="0.25">
      <c r="A2569" s="5"/>
    </row>
    <row r="2570" spans="1:1" x14ac:dyDescent="0.25">
      <c r="A2570" s="5"/>
    </row>
    <row r="2571" spans="1:1" x14ac:dyDescent="0.25">
      <c r="A2571" s="5"/>
    </row>
    <row r="2572" spans="1:1" x14ac:dyDescent="0.25">
      <c r="A2572" s="5"/>
    </row>
    <row r="2573" spans="1:1" x14ac:dyDescent="0.25">
      <c r="A2573" s="5"/>
    </row>
    <row r="2574" spans="1:1" x14ac:dyDescent="0.25">
      <c r="A2574" s="5"/>
    </row>
    <row r="2575" spans="1:1" x14ac:dyDescent="0.25">
      <c r="A2575" s="5"/>
    </row>
    <row r="2576" spans="1:1" x14ac:dyDescent="0.25">
      <c r="A2576" s="5"/>
    </row>
    <row r="2577" spans="1:1" x14ac:dyDescent="0.25">
      <c r="A2577" s="5"/>
    </row>
    <row r="2578" spans="1:1" x14ac:dyDescent="0.25">
      <c r="A2578" s="5"/>
    </row>
    <row r="2579" spans="1:1" x14ac:dyDescent="0.25">
      <c r="A2579" s="5"/>
    </row>
    <row r="2580" spans="1:1" x14ac:dyDescent="0.25">
      <c r="A2580" s="5"/>
    </row>
    <row r="2581" spans="1:1" x14ac:dyDescent="0.25">
      <c r="A2581" s="5"/>
    </row>
    <row r="2582" spans="1:1" x14ac:dyDescent="0.25">
      <c r="A2582" s="5"/>
    </row>
    <row r="2583" spans="1:1" x14ac:dyDescent="0.25">
      <c r="A2583" s="5"/>
    </row>
    <row r="2584" spans="1:1" x14ac:dyDescent="0.25">
      <c r="A2584" s="5"/>
    </row>
    <row r="2585" spans="1:1" x14ac:dyDescent="0.25">
      <c r="A2585" s="5"/>
    </row>
    <row r="2586" spans="1:1" x14ac:dyDescent="0.25">
      <c r="A2586" s="5"/>
    </row>
    <row r="2587" spans="1:1" x14ac:dyDescent="0.25">
      <c r="A2587" s="5"/>
    </row>
    <row r="2588" spans="1:1" x14ac:dyDescent="0.25">
      <c r="A2588" s="5"/>
    </row>
    <row r="2589" spans="1:1" x14ac:dyDescent="0.25">
      <c r="A2589" s="5"/>
    </row>
    <row r="2590" spans="1:1" x14ac:dyDescent="0.25">
      <c r="A2590" s="5"/>
    </row>
    <row r="2591" spans="1:1" x14ac:dyDescent="0.25">
      <c r="A2591" s="5"/>
    </row>
    <row r="2592" spans="1:1" x14ac:dyDescent="0.25">
      <c r="A2592" s="5"/>
    </row>
    <row r="2593" spans="1:1" x14ac:dyDescent="0.25">
      <c r="A2593" s="5"/>
    </row>
    <row r="2594" spans="1:1" x14ac:dyDescent="0.25">
      <c r="A2594" s="5"/>
    </row>
    <row r="2595" spans="1:1" x14ac:dyDescent="0.25">
      <c r="A2595" s="5"/>
    </row>
    <row r="2596" spans="1:1" x14ac:dyDescent="0.25">
      <c r="A2596" s="5"/>
    </row>
    <row r="2597" spans="1:1" x14ac:dyDescent="0.25">
      <c r="A2597" s="5"/>
    </row>
    <row r="2598" spans="1:1" x14ac:dyDescent="0.25">
      <c r="A2598" s="5"/>
    </row>
    <row r="2599" spans="1:1" x14ac:dyDescent="0.25">
      <c r="A2599" s="5"/>
    </row>
    <row r="2600" spans="1:1" x14ac:dyDescent="0.25">
      <c r="A2600" s="5"/>
    </row>
    <row r="2601" spans="1:1" x14ac:dyDescent="0.25">
      <c r="A2601" s="5"/>
    </row>
    <row r="2602" spans="1:1" x14ac:dyDescent="0.25">
      <c r="A2602" s="5"/>
    </row>
    <row r="2603" spans="1:1" x14ac:dyDescent="0.25">
      <c r="A2603" s="5"/>
    </row>
    <row r="2604" spans="1:1" x14ac:dyDescent="0.25">
      <c r="A2604" s="5"/>
    </row>
    <row r="2605" spans="1:1" x14ac:dyDescent="0.25">
      <c r="A2605" s="5"/>
    </row>
    <row r="2606" spans="1:1" x14ac:dyDescent="0.25">
      <c r="A2606" s="5"/>
    </row>
    <row r="2607" spans="1:1" x14ac:dyDescent="0.25">
      <c r="A2607" s="5"/>
    </row>
    <row r="2608" spans="1:1" x14ac:dyDescent="0.25">
      <c r="A2608" s="5"/>
    </row>
    <row r="2609" spans="1:1" x14ac:dyDescent="0.25">
      <c r="A2609" s="5"/>
    </row>
    <row r="2610" spans="1:1" x14ac:dyDescent="0.25">
      <c r="A2610" s="5"/>
    </row>
    <row r="2611" spans="1:1" x14ac:dyDescent="0.25">
      <c r="A2611" s="5"/>
    </row>
    <row r="2612" spans="1:1" x14ac:dyDescent="0.25">
      <c r="A2612" s="5"/>
    </row>
    <row r="2613" spans="1:1" x14ac:dyDescent="0.25">
      <c r="A2613" s="5"/>
    </row>
    <row r="2614" spans="1:1" x14ac:dyDescent="0.25">
      <c r="A2614" s="5"/>
    </row>
    <row r="2615" spans="1:1" x14ac:dyDescent="0.25">
      <c r="A2615" s="5"/>
    </row>
    <row r="2616" spans="1:1" x14ac:dyDescent="0.25">
      <c r="A2616" s="5"/>
    </row>
    <row r="2617" spans="1:1" x14ac:dyDescent="0.25">
      <c r="A2617" s="5"/>
    </row>
    <row r="2618" spans="1:1" x14ac:dyDescent="0.25">
      <c r="A2618" s="5"/>
    </row>
    <row r="2619" spans="1:1" x14ac:dyDescent="0.25">
      <c r="A2619" s="5"/>
    </row>
    <row r="2620" spans="1:1" x14ac:dyDescent="0.25">
      <c r="A2620" s="5"/>
    </row>
    <row r="2621" spans="1:1" x14ac:dyDescent="0.25">
      <c r="A2621" s="5"/>
    </row>
    <row r="2622" spans="1:1" x14ac:dyDescent="0.25">
      <c r="A2622" s="5"/>
    </row>
    <row r="2623" spans="1:1" x14ac:dyDescent="0.25">
      <c r="A2623" s="5"/>
    </row>
    <row r="2624" spans="1:1" x14ac:dyDescent="0.25">
      <c r="A2624" s="5"/>
    </row>
    <row r="2625" spans="1:1" x14ac:dyDescent="0.25">
      <c r="A2625" s="5"/>
    </row>
    <row r="2626" spans="1:1" x14ac:dyDescent="0.25">
      <c r="A2626" s="5"/>
    </row>
    <row r="2627" spans="1:1" x14ac:dyDescent="0.25">
      <c r="A2627" s="5"/>
    </row>
    <row r="2628" spans="1:1" x14ac:dyDescent="0.25">
      <c r="A2628" s="5"/>
    </row>
    <row r="2629" spans="1:1" x14ac:dyDescent="0.25">
      <c r="A2629" s="5"/>
    </row>
    <row r="2630" spans="1:1" x14ac:dyDescent="0.25">
      <c r="A2630" s="5"/>
    </row>
    <row r="2631" spans="1:1" x14ac:dyDescent="0.25">
      <c r="A2631" s="5"/>
    </row>
    <row r="2632" spans="1:1" x14ac:dyDescent="0.25">
      <c r="A2632" s="5"/>
    </row>
    <row r="2633" spans="1:1" x14ac:dyDescent="0.25">
      <c r="A2633" s="5"/>
    </row>
    <row r="2634" spans="1:1" x14ac:dyDescent="0.25">
      <c r="A2634" s="5"/>
    </row>
    <row r="2635" spans="1:1" x14ac:dyDescent="0.25">
      <c r="A2635" s="5"/>
    </row>
    <row r="2636" spans="1:1" x14ac:dyDescent="0.25">
      <c r="A2636" s="5"/>
    </row>
    <row r="2637" spans="1:1" x14ac:dyDescent="0.25">
      <c r="A2637" s="5"/>
    </row>
    <row r="2638" spans="1:1" x14ac:dyDescent="0.25">
      <c r="A2638" s="5"/>
    </row>
    <row r="2639" spans="1:1" x14ac:dyDescent="0.25">
      <c r="A2639" s="5"/>
    </row>
    <row r="2640" spans="1:1" x14ac:dyDescent="0.25">
      <c r="A2640" s="5"/>
    </row>
    <row r="2641" spans="1:1" x14ac:dyDescent="0.25">
      <c r="A2641" s="5"/>
    </row>
    <row r="2642" spans="1:1" x14ac:dyDescent="0.25">
      <c r="A2642" s="5"/>
    </row>
    <row r="2643" spans="1:1" x14ac:dyDescent="0.25">
      <c r="A2643" s="5"/>
    </row>
    <row r="2644" spans="1:1" x14ac:dyDescent="0.25">
      <c r="A2644" s="5"/>
    </row>
    <row r="2645" spans="1:1" x14ac:dyDescent="0.25">
      <c r="A2645" s="5"/>
    </row>
    <row r="2646" spans="1:1" x14ac:dyDescent="0.25">
      <c r="A2646" s="5"/>
    </row>
    <row r="2647" spans="1:1" x14ac:dyDescent="0.25">
      <c r="A2647" s="5"/>
    </row>
    <row r="2648" spans="1:1" x14ac:dyDescent="0.25">
      <c r="A2648" s="5"/>
    </row>
    <row r="2649" spans="1:1" x14ac:dyDescent="0.25">
      <c r="A2649" s="5"/>
    </row>
    <row r="2650" spans="1:1" x14ac:dyDescent="0.25">
      <c r="A2650" s="5"/>
    </row>
    <row r="2651" spans="1:1" x14ac:dyDescent="0.25">
      <c r="A2651" s="5"/>
    </row>
    <row r="2652" spans="1:1" x14ac:dyDescent="0.25">
      <c r="A2652" s="5"/>
    </row>
    <row r="2653" spans="1:1" x14ac:dyDescent="0.25">
      <c r="A2653" s="5"/>
    </row>
    <row r="2654" spans="1:1" x14ac:dyDescent="0.25">
      <c r="A2654" s="5"/>
    </row>
    <row r="2655" spans="1:1" x14ac:dyDescent="0.25">
      <c r="A2655" s="5"/>
    </row>
    <row r="2656" spans="1:1" x14ac:dyDescent="0.25">
      <c r="A2656" s="5"/>
    </row>
    <row r="2657" spans="1:1" x14ac:dyDescent="0.25">
      <c r="A2657" s="5"/>
    </row>
    <row r="2658" spans="1:1" x14ac:dyDescent="0.25">
      <c r="A2658" s="5"/>
    </row>
    <row r="2659" spans="1:1" x14ac:dyDescent="0.25">
      <c r="A2659" s="5"/>
    </row>
    <row r="2660" spans="1:1" x14ac:dyDescent="0.25">
      <c r="A2660" s="5"/>
    </row>
    <row r="2661" spans="1:1" x14ac:dyDescent="0.25">
      <c r="A2661" s="5"/>
    </row>
    <row r="2662" spans="1:1" x14ac:dyDescent="0.25">
      <c r="A2662" s="5"/>
    </row>
    <row r="2663" spans="1:1" x14ac:dyDescent="0.25">
      <c r="A2663" s="5"/>
    </row>
    <row r="2664" spans="1:1" x14ac:dyDescent="0.25">
      <c r="A2664" s="5"/>
    </row>
    <row r="2665" spans="1:1" x14ac:dyDescent="0.25">
      <c r="A2665" s="5"/>
    </row>
    <row r="2666" spans="1:1" x14ac:dyDescent="0.25">
      <c r="A2666" s="5"/>
    </row>
    <row r="2667" spans="1:1" x14ac:dyDescent="0.25">
      <c r="A2667" s="5"/>
    </row>
    <row r="2668" spans="1:1" x14ac:dyDescent="0.25">
      <c r="A2668" s="5"/>
    </row>
    <row r="2669" spans="1:1" x14ac:dyDescent="0.25">
      <c r="A2669" s="5"/>
    </row>
    <row r="2670" spans="1:1" x14ac:dyDescent="0.25">
      <c r="A2670" s="5"/>
    </row>
    <row r="2671" spans="1:1" x14ac:dyDescent="0.25">
      <c r="A2671" s="5"/>
    </row>
    <row r="2672" spans="1:1" x14ac:dyDescent="0.25">
      <c r="A2672" s="5"/>
    </row>
    <row r="2673" spans="1:1" x14ac:dyDescent="0.25">
      <c r="A2673" s="5"/>
    </row>
    <row r="2674" spans="1:1" x14ac:dyDescent="0.25">
      <c r="A2674" s="5"/>
    </row>
    <row r="2675" spans="1:1" x14ac:dyDescent="0.25">
      <c r="A2675" s="5"/>
    </row>
    <row r="2676" spans="1:1" x14ac:dyDescent="0.25">
      <c r="A2676" s="5"/>
    </row>
    <row r="2677" spans="1:1" x14ac:dyDescent="0.25">
      <c r="A2677" s="5"/>
    </row>
    <row r="2678" spans="1:1" x14ac:dyDescent="0.25">
      <c r="A2678" s="5"/>
    </row>
    <row r="2679" spans="1:1" x14ac:dyDescent="0.25">
      <c r="A2679" s="5"/>
    </row>
    <row r="2680" spans="1:1" x14ac:dyDescent="0.25">
      <c r="A2680" s="5"/>
    </row>
    <row r="2681" spans="1:1" x14ac:dyDescent="0.25">
      <c r="A2681" s="5"/>
    </row>
    <row r="2682" spans="1:1" x14ac:dyDescent="0.25">
      <c r="A2682" s="5"/>
    </row>
    <row r="2683" spans="1:1" x14ac:dyDescent="0.25">
      <c r="A2683" s="5"/>
    </row>
    <row r="2684" spans="1:1" x14ac:dyDescent="0.25">
      <c r="A2684" s="5"/>
    </row>
    <row r="2685" spans="1:1" x14ac:dyDescent="0.25">
      <c r="A2685" s="5"/>
    </row>
    <row r="2686" spans="1:1" x14ac:dyDescent="0.25">
      <c r="A2686" s="5"/>
    </row>
    <row r="2687" spans="1:1" x14ac:dyDescent="0.25">
      <c r="A2687" s="5"/>
    </row>
    <row r="2688" spans="1:1" x14ac:dyDescent="0.25">
      <c r="A2688" s="5"/>
    </row>
    <row r="2689" spans="1:1" x14ac:dyDescent="0.25">
      <c r="A2689" s="5"/>
    </row>
    <row r="2690" spans="1:1" x14ac:dyDescent="0.25">
      <c r="A2690" s="5"/>
    </row>
    <row r="2691" spans="1:1" x14ac:dyDescent="0.25">
      <c r="A2691" s="5"/>
    </row>
    <row r="2692" spans="1:1" x14ac:dyDescent="0.25">
      <c r="A2692" s="5"/>
    </row>
    <row r="2693" spans="1:1" x14ac:dyDescent="0.25">
      <c r="A2693" s="5"/>
    </row>
    <row r="2694" spans="1:1" x14ac:dyDescent="0.25">
      <c r="A2694" s="5"/>
    </row>
    <row r="2695" spans="1:1" x14ac:dyDescent="0.25">
      <c r="A2695" s="5"/>
    </row>
    <row r="2696" spans="1:1" x14ac:dyDescent="0.25">
      <c r="A2696" s="5"/>
    </row>
    <row r="2697" spans="1:1" x14ac:dyDescent="0.25">
      <c r="A2697" s="5"/>
    </row>
    <row r="2698" spans="1:1" x14ac:dyDescent="0.25">
      <c r="A2698" s="5"/>
    </row>
    <row r="2699" spans="1:1" x14ac:dyDescent="0.25">
      <c r="A2699" s="5"/>
    </row>
    <row r="2700" spans="1:1" x14ac:dyDescent="0.25">
      <c r="A2700" s="5"/>
    </row>
    <row r="2701" spans="1:1" x14ac:dyDescent="0.25">
      <c r="A2701" s="5"/>
    </row>
    <row r="2702" spans="1:1" x14ac:dyDescent="0.25">
      <c r="A2702" s="5"/>
    </row>
    <row r="2703" spans="1:1" x14ac:dyDescent="0.25">
      <c r="A2703" s="5"/>
    </row>
    <row r="2704" spans="1:1" x14ac:dyDescent="0.25">
      <c r="A2704" s="5"/>
    </row>
    <row r="2705" spans="1:1" x14ac:dyDescent="0.25">
      <c r="A2705" s="5"/>
    </row>
    <row r="2706" spans="1:1" x14ac:dyDescent="0.25">
      <c r="A2706" s="5"/>
    </row>
    <row r="2707" spans="1:1" x14ac:dyDescent="0.25">
      <c r="A2707" s="5"/>
    </row>
    <row r="2708" spans="1:1" x14ac:dyDescent="0.25">
      <c r="A2708" s="5"/>
    </row>
    <row r="2709" spans="1:1" x14ac:dyDescent="0.25">
      <c r="A2709" s="5"/>
    </row>
    <row r="2710" spans="1:1" x14ac:dyDescent="0.25">
      <c r="A2710" s="5"/>
    </row>
    <row r="2711" spans="1:1" x14ac:dyDescent="0.25">
      <c r="A2711" s="5"/>
    </row>
    <row r="2712" spans="1:1" x14ac:dyDescent="0.25">
      <c r="A2712" s="5"/>
    </row>
    <row r="2713" spans="1:1" x14ac:dyDescent="0.25">
      <c r="A2713" s="5"/>
    </row>
    <row r="2714" spans="1:1" x14ac:dyDescent="0.25">
      <c r="A2714" s="5"/>
    </row>
    <row r="2715" spans="1:1" x14ac:dyDescent="0.25">
      <c r="A2715" s="5"/>
    </row>
    <row r="2716" spans="1:1" x14ac:dyDescent="0.25">
      <c r="A2716" s="5"/>
    </row>
    <row r="2717" spans="1:1" x14ac:dyDescent="0.25">
      <c r="A2717" s="5"/>
    </row>
    <row r="2718" spans="1:1" x14ac:dyDescent="0.25">
      <c r="A2718" s="5"/>
    </row>
    <row r="2719" spans="1:1" x14ac:dyDescent="0.25">
      <c r="A2719" s="5"/>
    </row>
    <row r="2720" spans="1:1" x14ac:dyDescent="0.25">
      <c r="A2720" s="5"/>
    </row>
    <row r="2721" spans="1:1" x14ac:dyDescent="0.25">
      <c r="A2721" s="5"/>
    </row>
    <row r="2722" spans="1:1" x14ac:dyDescent="0.25">
      <c r="A2722" s="5"/>
    </row>
    <row r="2723" spans="1:1" x14ac:dyDescent="0.25">
      <c r="A2723" s="5"/>
    </row>
    <row r="2724" spans="1:1" x14ac:dyDescent="0.25">
      <c r="A2724" s="5"/>
    </row>
    <row r="2725" spans="1:1" x14ac:dyDescent="0.25">
      <c r="A2725" s="5"/>
    </row>
    <row r="2726" spans="1:1" x14ac:dyDescent="0.25">
      <c r="A2726" s="5"/>
    </row>
    <row r="2727" spans="1:1" x14ac:dyDescent="0.25">
      <c r="A2727" s="5"/>
    </row>
    <row r="2728" spans="1:1" x14ac:dyDescent="0.25">
      <c r="A2728" s="5"/>
    </row>
    <row r="2729" spans="1:1" x14ac:dyDescent="0.25">
      <c r="A2729" s="5"/>
    </row>
    <row r="2730" spans="1:1" x14ac:dyDescent="0.25">
      <c r="A2730" s="5"/>
    </row>
    <row r="2731" spans="1:1" x14ac:dyDescent="0.25">
      <c r="A2731" s="5"/>
    </row>
    <row r="2732" spans="1:1" x14ac:dyDescent="0.25">
      <c r="A2732" s="5"/>
    </row>
    <row r="2733" spans="1:1" x14ac:dyDescent="0.25">
      <c r="A2733" s="5"/>
    </row>
    <row r="2734" spans="1:1" x14ac:dyDescent="0.25">
      <c r="A2734" s="5"/>
    </row>
    <row r="2735" spans="1:1" x14ac:dyDescent="0.25">
      <c r="A2735" s="5"/>
    </row>
    <row r="2736" spans="1:1" x14ac:dyDescent="0.25">
      <c r="A2736" s="5"/>
    </row>
    <row r="2737" spans="1:1" x14ac:dyDescent="0.25">
      <c r="A2737" s="5"/>
    </row>
    <row r="2738" spans="1:1" x14ac:dyDescent="0.25">
      <c r="A2738" s="5"/>
    </row>
    <row r="2739" spans="1:1" x14ac:dyDescent="0.25">
      <c r="A2739" s="5"/>
    </row>
    <row r="2740" spans="1:1" x14ac:dyDescent="0.25">
      <c r="A2740" s="5"/>
    </row>
    <row r="2741" spans="1:1" x14ac:dyDescent="0.25">
      <c r="A2741" s="5"/>
    </row>
    <row r="2742" spans="1:1" x14ac:dyDescent="0.25">
      <c r="A2742" s="5"/>
    </row>
    <row r="2743" spans="1:1" x14ac:dyDescent="0.25">
      <c r="A2743" s="5"/>
    </row>
    <row r="2744" spans="1:1" x14ac:dyDescent="0.25">
      <c r="A2744" s="5"/>
    </row>
    <row r="2745" spans="1:1" x14ac:dyDescent="0.25">
      <c r="A2745" s="5"/>
    </row>
    <row r="2746" spans="1:1" x14ac:dyDescent="0.25">
      <c r="A2746" s="5"/>
    </row>
    <row r="2747" spans="1:1" x14ac:dyDescent="0.25">
      <c r="A2747" s="5"/>
    </row>
    <row r="2748" spans="1:1" x14ac:dyDescent="0.25">
      <c r="A2748" s="5"/>
    </row>
    <row r="2749" spans="1:1" x14ac:dyDescent="0.25">
      <c r="A2749" s="5"/>
    </row>
    <row r="2750" spans="1:1" x14ac:dyDescent="0.25">
      <c r="A2750" s="5"/>
    </row>
    <row r="2751" spans="1:1" x14ac:dyDescent="0.25">
      <c r="A2751" s="5"/>
    </row>
    <row r="2752" spans="1:1" x14ac:dyDescent="0.25">
      <c r="A2752" s="5"/>
    </row>
    <row r="2753" spans="1:1" x14ac:dyDescent="0.25">
      <c r="A2753" s="5"/>
    </row>
    <row r="2754" spans="1:1" x14ac:dyDescent="0.25">
      <c r="A2754" s="5"/>
    </row>
    <row r="2755" spans="1:1" x14ac:dyDescent="0.25">
      <c r="A2755" s="5"/>
    </row>
    <row r="2756" spans="1:1" x14ac:dyDescent="0.25">
      <c r="A2756" s="5"/>
    </row>
    <row r="2757" spans="1:1" x14ac:dyDescent="0.25">
      <c r="A2757" s="5"/>
    </row>
    <row r="2758" spans="1:1" x14ac:dyDescent="0.25">
      <c r="A2758" s="5"/>
    </row>
    <row r="2759" spans="1:1" x14ac:dyDescent="0.25">
      <c r="A2759" s="5"/>
    </row>
    <row r="2760" spans="1:1" x14ac:dyDescent="0.25">
      <c r="A2760" s="5"/>
    </row>
    <row r="2761" spans="1:1" x14ac:dyDescent="0.25">
      <c r="A2761" s="5"/>
    </row>
    <row r="2762" spans="1:1" x14ac:dyDescent="0.25">
      <c r="A2762" s="5"/>
    </row>
    <row r="2763" spans="1:1" x14ac:dyDescent="0.25">
      <c r="A2763" s="5"/>
    </row>
    <row r="2764" spans="1:1" x14ac:dyDescent="0.25">
      <c r="A2764" s="5"/>
    </row>
    <row r="2765" spans="1:1" x14ac:dyDescent="0.25">
      <c r="A2765" s="5"/>
    </row>
    <row r="2766" spans="1:1" x14ac:dyDescent="0.25">
      <c r="A2766" s="5"/>
    </row>
    <row r="2767" spans="1:1" x14ac:dyDescent="0.25">
      <c r="A2767" s="5"/>
    </row>
    <row r="2768" spans="1:1" x14ac:dyDescent="0.25">
      <c r="A2768" s="5"/>
    </row>
    <row r="2769" spans="1:1" x14ac:dyDescent="0.25">
      <c r="A2769" s="5"/>
    </row>
    <row r="2770" spans="1:1" x14ac:dyDescent="0.25">
      <c r="A2770" s="5"/>
    </row>
    <row r="2771" spans="1:1" x14ac:dyDescent="0.25">
      <c r="A2771" s="5"/>
    </row>
    <row r="2772" spans="1:1" x14ac:dyDescent="0.25">
      <c r="A2772" s="5"/>
    </row>
    <row r="2773" spans="1:1" x14ac:dyDescent="0.25">
      <c r="A2773" s="5"/>
    </row>
    <row r="2774" spans="1:1" x14ac:dyDescent="0.25">
      <c r="A2774" s="5"/>
    </row>
    <row r="2775" spans="1:1" x14ac:dyDescent="0.25">
      <c r="A2775" s="5"/>
    </row>
    <row r="2776" spans="1:1" x14ac:dyDescent="0.25">
      <c r="A2776" s="5"/>
    </row>
    <row r="2777" spans="1:1" x14ac:dyDescent="0.25">
      <c r="A2777" s="5"/>
    </row>
    <row r="2778" spans="1:1" x14ac:dyDescent="0.25">
      <c r="A2778" s="5"/>
    </row>
    <row r="2779" spans="1:1" x14ac:dyDescent="0.25">
      <c r="A2779" s="5"/>
    </row>
    <row r="2780" spans="1:1" x14ac:dyDescent="0.25">
      <c r="A2780" s="5"/>
    </row>
    <row r="2781" spans="1:1" x14ac:dyDescent="0.25">
      <c r="A2781" s="5"/>
    </row>
    <row r="2782" spans="1:1" x14ac:dyDescent="0.25">
      <c r="A2782" s="5"/>
    </row>
    <row r="2783" spans="1:1" x14ac:dyDescent="0.25">
      <c r="A2783" s="5"/>
    </row>
    <row r="2784" spans="1:1" x14ac:dyDescent="0.25">
      <c r="A2784" s="5"/>
    </row>
    <row r="2785" spans="1:1" x14ac:dyDescent="0.25">
      <c r="A2785" s="5"/>
    </row>
    <row r="2786" spans="1:1" x14ac:dyDescent="0.25">
      <c r="A2786" s="5"/>
    </row>
    <row r="2787" spans="1:1" x14ac:dyDescent="0.25">
      <c r="A2787" s="5"/>
    </row>
    <row r="2788" spans="1:1" x14ac:dyDescent="0.25">
      <c r="A2788" s="5"/>
    </row>
    <row r="2789" spans="1:1" x14ac:dyDescent="0.25">
      <c r="A2789" s="5"/>
    </row>
    <row r="2790" spans="1:1" x14ac:dyDescent="0.25">
      <c r="A2790" s="5"/>
    </row>
    <row r="2791" spans="1:1" x14ac:dyDescent="0.25">
      <c r="A2791" s="5"/>
    </row>
    <row r="2792" spans="1:1" x14ac:dyDescent="0.25">
      <c r="A2792" s="5"/>
    </row>
    <row r="2793" spans="1:1" x14ac:dyDescent="0.25">
      <c r="A2793" s="5"/>
    </row>
    <row r="2794" spans="1:1" x14ac:dyDescent="0.25">
      <c r="A2794" s="5"/>
    </row>
    <row r="2795" spans="1:1" x14ac:dyDescent="0.25">
      <c r="A2795" s="5"/>
    </row>
    <row r="2796" spans="1:1" x14ac:dyDescent="0.25">
      <c r="A2796" s="5"/>
    </row>
    <row r="2797" spans="1:1" x14ac:dyDescent="0.25">
      <c r="A2797" s="5"/>
    </row>
    <row r="2798" spans="1:1" x14ac:dyDescent="0.25">
      <c r="A2798" s="5"/>
    </row>
    <row r="2799" spans="1:1" x14ac:dyDescent="0.25">
      <c r="A2799" s="5"/>
    </row>
    <row r="2800" spans="1:1" x14ac:dyDescent="0.25">
      <c r="A2800" s="5"/>
    </row>
    <row r="2801" spans="1:1" x14ac:dyDescent="0.25">
      <c r="A2801" s="5"/>
    </row>
    <row r="2802" spans="1:1" x14ac:dyDescent="0.25">
      <c r="A2802" s="5"/>
    </row>
    <row r="2803" spans="1:1" x14ac:dyDescent="0.25">
      <c r="A2803" s="5"/>
    </row>
    <row r="2804" spans="1:1" x14ac:dyDescent="0.25">
      <c r="A2804" s="5"/>
    </row>
    <row r="2805" spans="1:1" x14ac:dyDescent="0.25">
      <c r="A2805" s="5"/>
    </row>
    <row r="2806" spans="1:1" x14ac:dyDescent="0.25">
      <c r="A2806" s="5"/>
    </row>
    <row r="2807" spans="1:1" x14ac:dyDescent="0.25">
      <c r="A2807" s="5"/>
    </row>
    <row r="2808" spans="1:1" x14ac:dyDescent="0.25">
      <c r="A2808" s="5"/>
    </row>
    <row r="2809" spans="1:1" x14ac:dyDescent="0.25">
      <c r="A2809" s="5"/>
    </row>
    <row r="2810" spans="1:1" x14ac:dyDescent="0.25">
      <c r="A2810" s="5"/>
    </row>
    <row r="2811" spans="1:1" x14ac:dyDescent="0.25">
      <c r="A2811" s="5"/>
    </row>
    <row r="2812" spans="1:1" x14ac:dyDescent="0.25">
      <c r="A2812" s="5"/>
    </row>
    <row r="2813" spans="1:1" x14ac:dyDescent="0.25">
      <c r="A2813" s="5"/>
    </row>
    <row r="2814" spans="1:1" x14ac:dyDescent="0.25">
      <c r="A2814" s="5"/>
    </row>
    <row r="2815" spans="1:1" x14ac:dyDescent="0.25">
      <c r="A2815" s="5"/>
    </row>
    <row r="2816" spans="1:1" x14ac:dyDescent="0.25">
      <c r="A2816" s="5"/>
    </row>
    <row r="2817" spans="1:1" x14ac:dyDescent="0.25">
      <c r="A2817" s="5"/>
    </row>
    <row r="2818" spans="1:1" x14ac:dyDescent="0.25">
      <c r="A2818" s="5"/>
    </row>
    <row r="2819" spans="1:1" x14ac:dyDescent="0.25">
      <c r="A2819" s="5"/>
    </row>
    <row r="2820" spans="1:1" x14ac:dyDescent="0.25">
      <c r="A2820" s="5"/>
    </row>
    <row r="2821" spans="1:1" x14ac:dyDescent="0.25">
      <c r="A2821" s="5"/>
    </row>
    <row r="2822" spans="1:1" x14ac:dyDescent="0.25">
      <c r="A2822" s="5"/>
    </row>
    <row r="2823" spans="1:1" x14ac:dyDescent="0.25">
      <c r="A2823" s="5"/>
    </row>
    <row r="2824" spans="1:1" x14ac:dyDescent="0.25">
      <c r="A2824" s="5"/>
    </row>
    <row r="2825" spans="1:1" x14ac:dyDescent="0.25">
      <c r="A2825" s="5"/>
    </row>
    <row r="2826" spans="1:1" x14ac:dyDescent="0.25">
      <c r="A2826" s="5"/>
    </row>
    <row r="2827" spans="1:1" x14ac:dyDescent="0.25">
      <c r="A2827" s="5"/>
    </row>
    <row r="2828" spans="1:1" x14ac:dyDescent="0.25">
      <c r="A2828" s="5"/>
    </row>
    <row r="2829" spans="1:1" x14ac:dyDescent="0.25">
      <c r="A2829" s="5"/>
    </row>
    <row r="2830" spans="1:1" x14ac:dyDescent="0.25">
      <c r="A2830" s="5"/>
    </row>
    <row r="2831" spans="1:1" x14ac:dyDescent="0.25">
      <c r="A2831" s="5"/>
    </row>
    <row r="2832" spans="1:1" x14ac:dyDescent="0.25">
      <c r="A2832" s="5"/>
    </row>
    <row r="2833" spans="1:1" x14ac:dyDescent="0.25">
      <c r="A2833" s="5"/>
    </row>
    <row r="2834" spans="1:1" x14ac:dyDescent="0.25">
      <c r="A2834" s="5"/>
    </row>
    <row r="2835" spans="1:1" x14ac:dyDescent="0.25">
      <c r="A2835" s="5"/>
    </row>
    <row r="2836" spans="1:1" x14ac:dyDescent="0.25">
      <c r="A2836" s="5"/>
    </row>
    <row r="2837" spans="1:1" x14ac:dyDescent="0.25">
      <c r="A2837" s="5"/>
    </row>
    <row r="2838" spans="1:1" x14ac:dyDescent="0.25">
      <c r="A2838" s="5"/>
    </row>
    <row r="2839" spans="1:1" x14ac:dyDescent="0.25">
      <c r="A2839" s="5"/>
    </row>
    <row r="2840" spans="1:1" x14ac:dyDescent="0.25">
      <c r="A2840" s="5"/>
    </row>
    <row r="2841" spans="1:1" x14ac:dyDescent="0.25">
      <c r="A2841" s="5"/>
    </row>
    <row r="2842" spans="1:1" x14ac:dyDescent="0.25">
      <c r="A2842" s="5"/>
    </row>
    <row r="2843" spans="1:1" x14ac:dyDescent="0.25">
      <c r="A2843" s="5"/>
    </row>
    <row r="2844" spans="1:1" x14ac:dyDescent="0.25">
      <c r="A2844" s="5"/>
    </row>
    <row r="2845" spans="1:1" x14ac:dyDescent="0.25">
      <c r="A2845" s="5"/>
    </row>
    <row r="2846" spans="1:1" x14ac:dyDescent="0.25">
      <c r="A2846" s="5"/>
    </row>
    <row r="2847" spans="1:1" x14ac:dyDescent="0.25">
      <c r="A2847" s="5"/>
    </row>
    <row r="2848" spans="1:1" x14ac:dyDescent="0.25">
      <c r="A2848" s="5"/>
    </row>
    <row r="2849" spans="1:1" x14ac:dyDescent="0.25">
      <c r="A2849" s="5"/>
    </row>
    <row r="2850" spans="1:1" x14ac:dyDescent="0.25">
      <c r="A2850" s="5"/>
    </row>
    <row r="2851" spans="1:1" x14ac:dyDescent="0.25">
      <c r="A2851" s="5"/>
    </row>
    <row r="2852" spans="1:1" x14ac:dyDescent="0.25">
      <c r="A2852" s="5"/>
    </row>
    <row r="2853" spans="1:1" x14ac:dyDescent="0.25">
      <c r="A2853" s="5"/>
    </row>
    <row r="2854" spans="1:1" x14ac:dyDescent="0.25">
      <c r="A2854" s="5"/>
    </row>
    <row r="2855" spans="1:1" x14ac:dyDescent="0.25">
      <c r="A2855" s="5"/>
    </row>
    <row r="2856" spans="1:1" x14ac:dyDescent="0.25">
      <c r="A2856" s="5"/>
    </row>
    <row r="2857" spans="1:1" x14ac:dyDescent="0.25">
      <c r="A2857" s="5"/>
    </row>
    <row r="2858" spans="1:1" x14ac:dyDescent="0.25">
      <c r="A2858" s="5"/>
    </row>
    <row r="2859" spans="1:1" x14ac:dyDescent="0.25">
      <c r="A2859" s="5"/>
    </row>
    <row r="2860" spans="1:1" x14ac:dyDescent="0.25">
      <c r="A2860" s="5"/>
    </row>
    <row r="2861" spans="1:1" x14ac:dyDescent="0.25">
      <c r="A2861" s="5"/>
    </row>
    <row r="2862" spans="1:1" x14ac:dyDescent="0.25">
      <c r="A2862" s="5"/>
    </row>
    <row r="2863" spans="1:1" x14ac:dyDescent="0.25">
      <c r="A2863" s="5"/>
    </row>
    <row r="2864" spans="1:1" x14ac:dyDescent="0.25">
      <c r="A2864" s="5"/>
    </row>
    <row r="2865" spans="1:1" x14ac:dyDescent="0.25">
      <c r="A2865" s="5"/>
    </row>
    <row r="2866" spans="1:1" x14ac:dyDescent="0.25">
      <c r="A2866" s="5"/>
    </row>
    <row r="2867" spans="1:1" x14ac:dyDescent="0.25">
      <c r="A2867" s="5"/>
    </row>
    <row r="2868" spans="1:1" x14ac:dyDescent="0.25">
      <c r="A2868" s="5"/>
    </row>
    <row r="2869" spans="1:1" x14ac:dyDescent="0.25">
      <c r="A2869" s="5"/>
    </row>
    <row r="2870" spans="1:1" x14ac:dyDescent="0.25">
      <c r="A2870" s="5"/>
    </row>
    <row r="2871" spans="1:1" x14ac:dyDescent="0.25">
      <c r="A2871" s="5"/>
    </row>
    <row r="2872" spans="1:1" x14ac:dyDescent="0.25">
      <c r="A2872" s="5"/>
    </row>
    <row r="2873" spans="1:1" x14ac:dyDescent="0.25">
      <c r="A2873" s="5"/>
    </row>
    <row r="2874" spans="1:1" x14ac:dyDescent="0.25">
      <c r="A2874" s="5"/>
    </row>
    <row r="2875" spans="1:1" x14ac:dyDescent="0.25">
      <c r="A2875" s="5"/>
    </row>
    <row r="2876" spans="1:1" x14ac:dyDescent="0.25">
      <c r="A2876" s="5"/>
    </row>
    <row r="2877" spans="1:1" x14ac:dyDescent="0.25">
      <c r="A2877" s="5"/>
    </row>
    <row r="2878" spans="1:1" x14ac:dyDescent="0.25">
      <c r="A2878" s="5"/>
    </row>
    <row r="2879" spans="1:1" x14ac:dyDescent="0.25">
      <c r="A2879" s="5"/>
    </row>
    <row r="2880" spans="1:1" x14ac:dyDescent="0.25">
      <c r="A2880" s="5"/>
    </row>
    <row r="2881" spans="1:1" x14ac:dyDescent="0.25">
      <c r="A2881" s="5"/>
    </row>
    <row r="2882" spans="1:1" x14ac:dyDescent="0.25">
      <c r="A2882" s="5"/>
    </row>
    <row r="2883" spans="1:1" x14ac:dyDescent="0.25">
      <c r="A2883" s="5"/>
    </row>
    <row r="2884" spans="1:1" x14ac:dyDescent="0.25">
      <c r="A2884" s="5"/>
    </row>
    <row r="2885" spans="1:1" x14ac:dyDescent="0.25">
      <c r="A2885" s="5"/>
    </row>
    <row r="2886" spans="1:1" x14ac:dyDescent="0.25">
      <c r="A2886" s="5"/>
    </row>
    <row r="2887" spans="1:1" x14ac:dyDescent="0.25">
      <c r="A2887" s="5"/>
    </row>
    <row r="2888" spans="1:1" x14ac:dyDescent="0.25">
      <c r="A2888" s="5"/>
    </row>
    <row r="2889" spans="1:1" x14ac:dyDescent="0.25">
      <c r="A2889" s="5"/>
    </row>
    <row r="2890" spans="1:1" x14ac:dyDescent="0.25">
      <c r="A2890" s="5"/>
    </row>
    <row r="2891" spans="1:1" x14ac:dyDescent="0.25">
      <c r="A2891" s="5"/>
    </row>
    <row r="2892" spans="1:1" x14ac:dyDescent="0.25">
      <c r="A2892" s="5"/>
    </row>
    <row r="2893" spans="1:1" x14ac:dyDescent="0.25">
      <c r="A2893" s="5"/>
    </row>
    <row r="2894" spans="1:1" x14ac:dyDescent="0.25">
      <c r="A2894" s="5"/>
    </row>
    <row r="2895" spans="1:1" x14ac:dyDescent="0.25">
      <c r="A2895" s="5"/>
    </row>
    <row r="2896" spans="1:1" x14ac:dyDescent="0.25">
      <c r="A2896" s="5"/>
    </row>
    <row r="2897" spans="1:1" x14ac:dyDescent="0.25">
      <c r="A2897" s="5"/>
    </row>
    <row r="2898" spans="1:1" x14ac:dyDescent="0.25">
      <c r="A2898" s="5"/>
    </row>
    <row r="2899" spans="1:1" x14ac:dyDescent="0.25">
      <c r="A2899" s="5"/>
    </row>
    <row r="2900" spans="1:1" x14ac:dyDescent="0.25">
      <c r="A2900" s="5"/>
    </row>
    <row r="2901" spans="1:1" x14ac:dyDescent="0.25">
      <c r="A2901" s="5"/>
    </row>
    <row r="2902" spans="1:1" x14ac:dyDescent="0.25">
      <c r="A2902" s="5"/>
    </row>
    <row r="2903" spans="1:1" x14ac:dyDescent="0.25">
      <c r="A2903" s="5"/>
    </row>
    <row r="2904" spans="1:1" x14ac:dyDescent="0.25">
      <c r="A2904" s="5"/>
    </row>
    <row r="2905" spans="1:1" x14ac:dyDescent="0.25">
      <c r="A2905" s="5"/>
    </row>
    <row r="2906" spans="1:1" x14ac:dyDescent="0.25">
      <c r="A2906" s="5"/>
    </row>
    <row r="2907" spans="1:1" x14ac:dyDescent="0.25">
      <c r="A2907" s="5"/>
    </row>
    <row r="2908" spans="1:1" x14ac:dyDescent="0.25">
      <c r="A2908" s="5"/>
    </row>
    <row r="2909" spans="1:1" x14ac:dyDescent="0.25">
      <c r="A2909" s="5"/>
    </row>
    <row r="2910" spans="1:1" x14ac:dyDescent="0.25">
      <c r="A2910" s="5"/>
    </row>
    <row r="2911" spans="1:1" x14ac:dyDescent="0.25">
      <c r="A2911" s="5"/>
    </row>
    <row r="2912" spans="1:1" x14ac:dyDescent="0.25">
      <c r="A2912" s="5"/>
    </row>
    <row r="2913" spans="1:1" x14ac:dyDescent="0.25">
      <c r="A2913" s="5"/>
    </row>
    <row r="2914" spans="1:1" x14ac:dyDescent="0.25">
      <c r="A2914" s="5"/>
    </row>
    <row r="2915" spans="1:1" x14ac:dyDescent="0.25">
      <c r="A2915" s="5"/>
    </row>
    <row r="2916" spans="1:1" x14ac:dyDescent="0.25">
      <c r="A2916" s="5"/>
    </row>
    <row r="2917" spans="1:1" x14ac:dyDescent="0.25">
      <c r="A2917" s="5"/>
    </row>
    <row r="2918" spans="1:1" x14ac:dyDescent="0.25">
      <c r="A2918" s="5"/>
    </row>
    <row r="2919" spans="1:1" x14ac:dyDescent="0.25">
      <c r="A2919" s="5"/>
    </row>
    <row r="2920" spans="1:1" x14ac:dyDescent="0.25">
      <c r="A2920" s="5"/>
    </row>
    <row r="2921" spans="1:1" x14ac:dyDescent="0.25">
      <c r="A2921" s="5"/>
    </row>
    <row r="2922" spans="1:1" x14ac:dyDescent="0.25">
      <c r="A2922" s="5"/>
    </row>
    <row r="2923" spans="1:1" x14ac:dyDescent="0.25">
      <c r="A2923" s="5"/>
    </row>
    <row r="2924" spans="1:1" x14ac:dyDescent="0.25">
      <c r="A2924" s="5"/>
    </row>
    <row r="2925" spans="1:1" x14ac:dyDescent="0.25">
      <c r="A2925" s="5"/>
    </row>
    <row r="2926" spans="1:1" x14ac:dyDescent="0.25">
      <c r="A2926" s="5"/>
    </row>
    <row r="2927" spans="1:1" x14ac:dyDescent="0.25">
      <c r="A2927" s="5"/>
    </row>
    <row r="2928" spans="1:1" x14ac:dyDescent="0.25">
      <c r="A2928" s="5"/>
    </row>
    <row r="2929" spans="1:1" x14ac:dyDescent="0.25">
      <c r="A2929" s="5"/>
    </row>
    <row r="2930" spans="1:1" x14ac:dyDescent="0.25">
      <c r="A2930" s="5"/>
    </row>
    <row r="2931" spans="1:1" x14ac:dyDescent="0.25">
      <c r="A2931" s="5"/>
    </row>
    <row r="2932" spans="1:1" x14ac:dyDescent="0.25">
      <c r="A2932" s="5"/>
    </row>
    <row r="2933" spans="1:1" x14ac:dyDescent="0.25">
      <c r="A2933" s="5"/>
    </row>
    <row r="2934" spans="1:1" x14ac:dyDescent="0.25">
      <c r="A2934" s="5"/>
    </row>
    <row r="2935" spans="1:1" x14ac:dyDescent="0.25">
      <c r="A2935" s="5"/>
    </row>
    <row r="2936" spans="1:1" x14ac:dyDescent="0.25">
      <c r="A2936" s="5"/>
    </row>
    <row r="2937" spans="1:1" x14ac:dyDescent="0.25">
      <c r="A2937" s="5"/>
    </row>
    <row r="2938" spans="1:1" x14ac:dyDescent="0.25">
      <c r="A2938" s="5"/>
    </row>
    <row r="2939" spans="1:1" x14ac:dyDescent="0.25">
      <c r="A2939" s="5"/>
    </row>
    <row r="2940" spans="1:1" x14ac:dyDescent="0.25">
      <c r="A2940" s="5"/>
    </row>
    <row r="2941" spans="1:1" x14ac:dyDescent="0.25">
      <c r="A2941" s="5"/>
    </row>
    <row r="2942" spans="1:1" x14ac:dyDescent="0.25">
      <c r="A2942" s="5"/>
    </row>
    <row r="2943" spans="1:1" x14ac:dyDescent="0.25">
      <c r="A2943" s="5"/>
    </row>
    <row r="2944" spans="1:1" x14ac:dyDescent="0.25">
      <c r="A2944" s="5"/>
    </row>
    <row r="2945" spans="1:1" x14ac:dyDescent="0.25">
      <c r="A2945" s="5"/>
    </row>
    <row r="2946" spans="1:1" x14ac:dyDescent="0.25">
      <c r="A2946" s="5"/>
    </row>
    <row r="2947" spans="1:1" x14ac:dyDescent="0.25">
      <c r="A2947" s="5"/>
    </row>
    <row r="2948" spans="1:1" x14ac:dyDescent="0.25">
      <c r="A2948" s="5"/>
    </row>
    <row r="2949" spans="1:1" x14ac:dyDescent="0.25">
      <c r="A2949" s="5"/>
    </row>
    <row r="2950" spans="1:1" x14ac:dyDescent="0.25">
      <c r="A2950" s="5"/>
    </row>
    <row r="2951" spans="1:1" x14ac:dyDescent="0.25">
      <c r="A2951" s="5"/>
    </row>
    <row r="2952" spans="1:1" x14ac:dyDescent="0.25">
      <c r="A2952" s="5"/>
    </row>
    <row r="2953" spans="1:1" x14ac:dyDescent="0.25">
      <c r="A2953" s="5"/>
    </row>
    <row r="2954" spans="1:1" x14ac:dyDescent="0.25">
      <c r="A2954" s="5"/>
    </row>
    <row r="2955" spans="1:1" x14ac:dyDescent="0.25">
      <c r="A2955" s="5"/>
    </row>
    <row r="2956" spans="1:1" x14ac:dyDescent="0.25">
      <c r="A2956" s="5"/>
    </row>
    <row r="2957" spans="1:1" x14ac:dyDescent="0.25">
      <c r="A2957" s="5"/>
    </row>
    <row r="2958" spans="1:1" x14ac:dyDescent="0.25">
      <c r="A2958" s="5"/>
    </row>
    <row r="2959" spans="1:1" x14ac:dyDescent="0.25">
      <c r="A2959" s="5"/>
    </row>
    <row r="2960" spans="1:1" x14ac:dyDescent="0.25">
      <c r="A2960" s="5"/>
    </row>
    <row r="2961" spans="1:1" x14ac:dyDescent="0.25">
      <c r="A2961" s="5"/>
    </row>
    <row r="2962" spans="1:1" x14ac:dyDescent="0.25">
      <c r="A2962" s="5"/>
    </row>
    <row r="2963" spans="1:1" x14ac:dyDescent="0.25">
      <c r="A2963" s="5"/>
    </row>
    <row r="2964" spans="1:1" x14ac:dyDescent="0.25">
      <c r="A2964" s="5"/>
    </row>
    <row r="2965" spans="1:1" x14ac:dyDescent="0.25">
      <c r="A2965" s="5"/>
    </row>
    <row r="2966" spans="1:1" x14ac:dyDescent="0.25">
      <c r="A2966" s="5"/>
    </row>
    <row r="2967" spans="1:1" x14ac:dyDescent="0.25">
      <c r="A2967" s="5"/>
    </row>
    <row r="2968" spans="1:1" x14ac:dyDescent="0.25">
      <c r="A2968" s="5"/>
    </row>
    <row r="2969" spans="1:1" x14ac:dyDescent="0.25">
      <c r="A2969" s="5"/>
    </row>
    <row r="2970" spans="1:1" x14ac:dyDescent="0.25">
      <c r="A2970" s="5"/>
    </row>
    <row r="2971" spans="1:1" x14ac:dyDescent="0.25">
      <c r="A2971" s="5"/>
    </row>
    <row r="2972" spans="1:1" x14ac:dyDescent="0.25">
      <c r="A2972" s="5"/>
    </row>
    <row r="2973" spans="1:1" x14ac:dyDescent="0.25">
      <c r="A2973" s="5"/>
    </row>
    <row r="2974" spans="1:1" x14ac:dyDescent="0.25">
      <c r="A2974" s="5"/>
    </row>
    <row r="2975" spans="1:1" x14ac:dyDescent="0.25">
      <c r="A2975" s="5"/>
    </row>
    <row r="2976" spans="1:1" x14ac:dyDescent="0.25">
      <c r="A2976" s="5"/>
    </row>
    <row r="2977" spans="1:1" x14ac:dyDescent="0.25">
      <c r="A2977" s="5"/>
    </row>
    <row r="2978" spans="1:1" x14ac:dyDescent="0.25">
      <c r="A2978" s="5"/>
    </row>
    <row r="2979" spans="1:1" x14ac:dyDescent="0.25">
      <c r="A2979" s="5"/>
    </row>
    <row r="2980" spans="1:1" x14ac:dyDescent="0.25">
      <c r="A2980" s="5"/>
    </row>
    <row r="2981" spans="1:1" x14ac:dyDescent="0.25">
      <c r="A2981" s="5"/>
    </row>
    <row r="2982" spans="1:1" x14ac:dyDescent="0.25">
      <c r="A2982" s="5"/>
    </row>
    <row r="2983" spans="1:1" x14ac:dyDescent="0.25">
      <c r="A2983" s="5"/>
    </row>
    <row r="2984" spans="1:1" x14ac:dyDescent="0.25">
      <c r="A2984" s="5"/>
    </row>
    <row r="2985" spans="1:1" x14ac:dyDescent="0.25">
      <c r="A2985" s="5"/>
    </row>
    <row r="2986" spans="1:1" x14ac:dyDescent="0.25">
      <c r="A2986" s="5"/>
    </row>
    <row r="2987" spans="1:1" x14ac:dyDescent="0.25">
      <c r="A2987" s="5"/>
    </row>
    <row r="2988" spans="1:1" x14ac:dyDescent="0.25">
      <c r="A2988" s="5"/>
    </row>
    <row r="2989" spans="1:1" x14ac:dyDescent="0.25">
      <c r="A2989" s="5"/>
    </row>
    <row r="2990" spans="1:1" x14ac:dyDescent="0.25">
      <c r="A2990" s="5"/>
    </row>
    <row r="2991" spans="1:1" x14ac:dyDescent="0.25">
      <c r="A2991" s="5"/>
    </row>
    <row r="2992" spans="1:1" x14ac:dyDescent="0.25">
      <c r="A2992" s="5"/>
    </row>
    <row r="2993" spans="1:1" x14ac:dyDescent="0.25">
      <c r="A2993" s="5"/>
    </row>
    <row r="2994" spans="1:1" x14ac:dyDescent="0.25">
      <c r="A2994" s="5"/>
    </row>
    <row r="2995" spans="1:1" x14ac:dyDescent="0.25">
      <c r="A2995" s="5"/>
    </row>
    <row r="2996" spans="1:1" x14ac:dyDescent="0.25">
      <c r="A2996" s="5"/>
    </row>
    <row r="2997" spans="1:1" x14ac:dyDescent="0.25">
      <c r="A2997" s="5"/>
    </row>
    <row r="2998" spans="1:1" x14ac:dyDescent="0.25">
      <c r="A2998" s="5"/>
    </row>
    <row r="2999" spans="1:1" x14ac:dyDescent="0.25">
      <c r="A2999" s="5"/>
    </row>
    <row r="3000" spans="1:1" x14ac:dyDescent="0.25">
      <c r="A3000" s="5"/>
    </row>
    <row r="3001" spans="1:1" x14ac:dyDescent="0.25">
      <c r="A3001" s="5"/>
    </row>
    <row r="3002" spans="1:1" x14ac:dyDescent="0.25">
      <c r="A3002" s="5"/>
    </row>
    <row r="3003" spans="1:1" x14ac:dyDescent="0.25">
      <c r="A3003" s="5"/>
    </row>
    <row r="3004" spans="1:1" x14ac:dyDescent="0.25">
      <c r="A3004" s="5"/>
    </row>
    <row r="3005" spans="1:1" x14ac:dyDescent="0.25">
      <c r="A3005" s="5"/>
    </row>
    <row r="3006" spans="1:1" x14ac:dyDescent="0.25">
      <c r="A3006" s="5"/>
    </row>
    <row r="3007" spans="1:1" x14ac:dyDescent="0.25">
      <c r="A3007" s="5"/>
    </row>
    <row r="3008" spans="1:1" x14ac:dyDescent="0.25">
      <c r="A3008" s="5"/>
    </row>
    <row r="3009" spans="1:1" x14ac:dyDescent="0.25">
      <c r="A3009" s="5"/>
    </row>
    <row r="3010" spans="1:1" x14ac:dyDescent="0.25">
      <c r="A3010" s="5"/>
    </row>
    <row r="3011" spans="1:1" x14ac:dyDescent="0.25">
      <c r="A3011" s="5"/>
    </row>
    <row r="3012" spans="1:1" x14ac:dyDescent="0.25">
      <c r="A3012" s="5"/>
    </row>
    <row r="3013" spans="1:1" x14ac:dyDescent="0.25">
      <c r="A3013" s="5"/>
    </row>
    <row r="3014" spans="1:1" x14ac:dyDescent="0.25">
      <c r="A3014" s="5"/>
    </row>
    <row r="3015" spans="1:1" x14ac:dyDescent="0.25">
      <c r="A3015" s="5"/>
    </row>
    <row r="3016" spans="1:1" x14ac:dyDescent="0.25">
      <c r="A3016" s="5"/>
    </row>
    <row r="3017" spans="1:1" x14ac:dyDescent="0.25">
      <c r="A3017" s="5"/>
    </row>
    <row r="3018" spans="1:1" x14ac:dyDescent="0.25">
      <c r="A3018" s="5"/>
    </row>
    <row r="3019" spans="1:1" x14ac:dyDescent="0.25">
      <c r="A3019" s="5"/>
    </row>
    <row r="3020" spans="1:1" x14ac:dyDescent="0.25">
      <c r="A3020" s="5"/>
    </row>
    <row r="3021" spans="1:1" x14ac:dyDescent="0.25">
      <c r="A3021" s="5"/>
    </row>
    <row r="3022" spans="1:1" x14ac:dyDescent="0.25">
      <c r="A3022" s="5"/>
    </row>
    <row r="3023" spans="1:1" x14ac:dyDescent="0.25">
      <c r="A3023" s="5"/>
    </row>
    <row r="3024" spans="1:1" x14ac:dyDescent="0.25">
      <c r="A3024" s="5"/>
    </row>
    <row r="3025" spans="1:1" x14ac:dyDescent="0.25">
      <c r="A3025" s="5"/>
    </row>
    <row r="3026" spans="1:1" x14ac:dyDescent="0.25">
      <c r="A3026" s="5"/>
    </row>
    <row r="3027" spans="1:1" x14ac:dyDescent="0.25">
      <c r="A3027" s="5"/>
    </row>
    <row r="3028" spans="1:1" x14ac:dyDescent="0.25">
      <c r="A3028" s="5"/>
    </row>
    <row r="3029" spans="1:1" x14ac:dyDescent="0.25">
      <c r="A3029" s="5"/>
    </row>
    <row r="3030" spans="1:1" x14ac:dyDescent="0.25">
      <c r="A3030" s="5"/>
    </row>
    <row r="3031" spans="1:1" x14ac:dyDescent="0.25">
      <c r="A3031" s="5"/>
    </row>
    <row r="3032" spans="1:1" x14ac:dyDescent="0.25">
      <c r="A3032" s="5"/>
    </row>
    <row r="3033" spans="1:1" x14ac:dyDescent="0.25">
      <c r="A3033" s="5"/>
    </row>
    <row r="3034" spans="1:1" x14ac:dyDescent="0.25">
      <c r="A3034" s="5"/>
    </row>
    <row r="3035" spans="1:1" x14ac:dyDescent="0.25">
      <c r="A3035" s="5"/>
    </row>
    <row r="3036" spans="1:1" x14ac:dyDescent="0.25">
      <c r="A3036" s="5"/>
    </row>
    <row r="3037" spans="1:1" x14ac:dyDescent="0.25">
      <c r="A3037" s="5"/>
    </row>
    <row r="3038" spans="1:1" x14ac:dyDescent="0.25">
      <c r="A3038" s="5"/>
    </row>
    <row r="3039" spans="1:1" x14ac:dyDescent="0.25">
      <c r="A3039" s="5"/>
    </row>
    <row r="3040" spans="1:1" x14ac:dyDescent="0.25">
      <c r="A3040" s="5"/>
    </row>
    <row r="3041" spans="1:1" x14ac:dyDescent="0.25">
      <c r="A3041" s="5"/>
    </row>
    <row r="3042" spans="1:1" x14ac:dyDescent="0.25">
      <c r="A3042" s="5"/>
    </row>
    <row r="3043" spans="1:1" x14ac:dyDescent="0.25">
      <c r="A3043" s="5"/>
    </row>
    <row r="3044" spans="1:1" x14ac:dyDescent="0.25">
      <c r="A3044" s="5"/>
    </row>
    <row r="3045" spans="1:1" x14ac:dyDescent="0.25">
      <c r="A3045" s="5"/>
    </row>
    <row r="3046" spans="1:1" x14ac:dyDescent="0.25">
      <c r="A3046" s="5"/>
    </row>
    <row r="3047" spans="1:1" x14ac:dyDescent="0.25">
      <c r="A3047" s="5"/>
    </row>
    <row r="3048" spans="1:1" x14ac:dyDescent="0.25">
      <c r="A3048" s="5"/>
    </row>
    <row r="3049" spans="1:1" x14ac:dyDescent="0.25">
      <c r="A3049" s="5"/>
    </row>
    <row r="3050" spans="1:1" x14ac:dyDescent="0.25">
      <c r="A3050" s="5"/>
    </row>
    <row r="3051" spans="1:1" x14ac:dyDescent="0.25">
      <c r="A3051" s="5"/>
    </row>
    <row r="3052" spans="1:1" x14ac:dyDescent="0.25">
      <c r="A3052" s="5"/>
    </row>
    <row r="3053" spans="1:1" x14ac:dyDescent="0.25">
      <c r="A3053" s="5"/>
    </row>
    <row r="3054" spans="1:1" x14ac:dyDescent="0.25">
      <c r="A3054" s="5"/>
    </row>
    <row r="3055" spans="1:1" x14ac:dyDescent="0.25">
      <c r="A3055" s="5"/>
    </row>
    <row r="3056" spans="1:1" x14ac:dyDescent="0.25">
      <c r="A3056" s="5"/>
    </row>
    <row r="3057" spans="1:1" x14ac:dyDescent="0.25">
      <c r="A3057" s="5"/>
    </row>
    <row r="3058" spans="1:1" x14ac:dyDescent="0.25">
      <c r="A3058" s="5"/>
    </row>
    <row r="3059" spans="1:1" x14ac:dyDescent="0.25">
      <c r="A3059" s="5"/>
    </row>
    <row r="3060" spans="1:1" x14ac:dyDescent="0.25">
      <c r="A3060" s="5"/>
    </row>
    <row r="3061" spans="1:1" x14ac:dyDescent="0.25">
      <c r="A3061" s="5"/>
    </row>
    <row r="3062" spans="1:1" x14ac:dyDescent="0.25">
      <c r="A3062" s="5"/>
    </row>
    <row r="3063" spans="1:1" x14ac:dyDescent="0.25">
      <c r="A3063" s="5"/>
    </row>
    <row r="3064" spans="1:1" x14ac:dyDescent="0.25">
      <c r="A3064" s="5"/>
    </row>
    <row r="3065" spans="1:1" x14ac:dyDescent="0.25">
      <c r="A3065" s="5"/>
    </row>
    <row r="3066" spans="1:1" x14ac:dyDescent="0.25">
      <c r="A3066" s="5"/>
    </row>
    <row r="3067" spans="1:1" x14ac:dyDescent="0.25">
      <c r="A3067" s="5"/>
    </row>
    <row r="3068" spans="1:1" x14ac:dyDescent="0.25">
      <c r="A3068" s="5"/>
    </row>
    <row r="3069" spans="1:1" x14ac:dyDescent="0.25">
      <c r="A3069" s="5"/>
    </row>
    <row r="3070" spans="1:1" x14ac:dyDescent="0.25">
      <c r="A3070" s="5"/>
    </row>
    <row r="3071" spans="1:1" x14ac:dyDescent="0.25">
      <c r="A3071" s="5"/>
    </row>
    <row r="3072" spans="1:1" x14ac:dyDescent="0.25">
      <c r="A3072" s="5"/>
    </row>
    <row r="3073" spans="1:1" x14ac:dyDescent="0.25">
      <c r="A3073" s="5"/>
    </row>
    <row r="3074" spans="1:1" x14ac:dyDescent="0.25">
      <c r="A3074" s="5"/>
    </row>
    <row r="3075" spans="1:1" x14ac:dyDescent="0.25">
      <c r="A3075" s="5"/>
    </row>
    <row r="3076" spans="1:1" x14ac:dyDescent="0.25">
      <c r="A3076" s="5"/>
    </row>
    <row r="3077" spans="1:1" x14ac:dyDescent="0.25">
      <c r="A3077" s="5"/>
    </row>
    <row r="3078" spans="1:1" x14ac:dyDescent="0.25">
      <c r="A3078" s="5"/>
    </row>
    <row r="3079" spans="1:1" x14ac:dyDescent="0.25">
      <c r="A3079" s="5"/>
    </row>
    <row r="3080" spans="1:1" x14ac:dyDescent="0.25">
      <c r="A3080" s="5"/>
    </row>
    <row r="3081" spans="1:1" x14ac:dyDescent="0.25">
      <c r="A3081" s="5"/>
    </row>
    <row r="3082" spans="1:1" x14ac:dyDescent="0.25">
      <c r="A3082" s="5"/>
    </row>
    <row r="3083" spans="1:1" x14ac:dyDescent="0.25">
      <c r="A3083" s="5"/>
    </row>
    <row r="3084" spans="1:1" x14ac:dyDescent="0.25">
      <c r="A3084" s="5"/>
    </row>
    <row r="3085" spans="1:1" x14ac:dyDescent="0.25">
      <c r="A3085" s="5"/>
    </row>
    <row r="3086" spans="1:1" x14ac:dyDescent="0.25">
      <c r="A3086" s="5"/>
    </row>
    <row r="3087" spans="1:1" x14ac:dyDescent="0.25">
      <c r="A3087" s="5"/>
    </row>
    <row r="3088" spans="1:1" x14ac:dyDescent="0.25">
      <c r="A3088" s="5"/>
    </row>
    <row r="3089" spans="1:1" x14ac:dyDescent="0.25">
      <c r="A3089" s="5"/>
    </row>
    <row r="3090" spans="1:1" x14ac:dyDescent="0.25">
      <c r="A3090" s="5"/>
    </row>
    <row r="3091" spans="1:1" x14ac:dyDescent="0.25">
      <c r="A3091" s="5"/>
    </row>
    <row r="3092" spans="1:1" x14ac:dyDescent="0.25">
      <c r="A3092" s="5"/>
    </row>
    <row r="3093" spans="1:1" x14ac:dyDescent="0.25">
      <c r="A3093" s="5"/>
    </row>
    <row r="3094" spans="1:1" x14ac:dyDescent="0.25">
      <c r="A3094" s="5"/>
    </row>
    <row r="3095" spans="1:1" x14ac:dyDescent="0.25">
      <c r="A3095" s="5"/>
    </row>
    <row r="3096" spans="1:1" x14ac:dyDescent="0.25">
      <c r="A3096" s="5"/>
    </row>
    <row r="3097" spans="1:1" x14ac:dyDescent="0.25">
      <c r="A3097" s="5"/>
    </row>
    <row r="3098" spans="1:1" x14ac:dyDescent="0.25">
      <c r="A3098" s="5"/>
    </row>
    <row r="3099" spans="1:1" x14ac:dyDescent="0.25">
      <c r="A3099" s="5"/>
    </row>
    <row r="3100" spans="1:1" x14ac:dyDescent="0.25">
      <c r="A3100" s="5"/>
    </row>
    <row r="3101" spans="1:1" x14ac:dyDescent="0.25">
      <c r="A3101" s="5"/>
    </row>
    <row r="3102" spans="1:1" x14ac:dyDescent="0.25">
      <c r="A3102" s="5"/>
    </row>
    <row r="3103" spans="1:1" x14ac:dyDescent="0.25">
      <c r="A3103" s="5"/>
    </row>
    <row r="3104" spans="1:1" x14ac:dyDescent="0.25">
      <c r="A3104" s="5"/>
    </row>
    <row r="3105" spans="1:1" x14ac:dyDescent="0.25">
      <c r="A3105" s="5"/>
    </row>
    <row r="3106" spans="1:1" x14ac:dyDescent="0.25">
      <c r="A3106" s="5"/>
    </row>
    <row r="3107" spans="1:1" x14ac:dyDescent="0.25">
      <c r="A3107" s="5"/>
    </row>
    <row r="3108" spans="1:1" x14ac:dyDescent="0.25">
      <c r="A3108" s="5"/>
    </row>
    <row r="3109" spans="1:1" x14ac:dyDescent="0.25">
      <c r="A3109" s="5"/>
    </row>
    <row r="3110" spans="1:1" x14ac:dyDescent="0.25">
      <c r="A3110" s="5"/>
    </row>
    <row r="3111" spans="1:1" x14ac:dyDescent="0.25">
      <c r="A3111" s="5"/>
    </row>
    <row r="3112" spans="1:1" x14ac:dyDescent="0.25">
      <c r="A3112" s="5"/>
    </row>
    <row r="3113" spans="1:1" x14ac:dyDescent="0.25">
      <c r="A3113" s="5"/>
    </row>
    <row r="3114" spans="1:1" x14ac:dyDescent="0.25">
      <c r="A3114" s="5"/>
    </row>
    <row r="3115" spans="1:1" x14ac:dyDescent="0.25">
      <c r="A3115" s="5"/>
    </row>
    <row r="3116" spans="1:1" x14ac:dyDescent="0.25">
      <c r="A3116" s="5"/>
    </row>
    <row r="3117" spans="1:1" x14ac:dyDescent="0.25">
      <c r="A3117" s="5"/>
    </row>
    <row r="3118" spans="1:1" x14ac:dyDescent="0.25">
      <c r="A3118" s="5"/>
    </row>
    <row r="3119" spans="1:1" x14ac:dyDescent="0.25">
      <c r="A3119" s="5"/>
    </row>
    <row r="3120" spans="1:1" x14ac:dyDescent="0.25">
      <c r="A3120" s="5"/>
    </row>
    <row r="3121" spans="1:1" x14ac:dyDescent="0.25">
      <c r="A3121" s="5"/>
    </row>
    <row r="3122" spans="1:1" x14ac:dyDescent="0.25">
      <c r="A3122" s="5"/>
    </row>
    <row r="3123" spans="1:1" x14ac:dyDescent="0.25">
      <c r="A3123" s="5"/>
    </row>
    <row r="3124" spans="1:1" x14ac:dyDescent="0.25">
      <c r="A3124" s="5"/>
    </row>
    <row r="3125" spans="1:1" x14ac:dyDescent="0.25">
      <c r="A3125" s="5"/>
    </row>
    <row r="3126" spans="1:1" x14ac:dyDescent="0.25">
      <c r="A3126" s="5"/>
    </row>
    <row r="3127" spans="1:1" x14ac:dyDescent="0.25">
      <c r="A3127" s="5"/>
    </row>
    <row r="3128" spans="1:1" x14ac:dyDescent="0.25">
      <c r="A3128" s="5"/>
    </row>
    <row r="3129" spans="1:1" x14ac:dyDescent="0.25">
      <c r="A3129" s="5"/>
    </row>
    <row r="3130" spans="1:1" x14ac:dyDescent="0.25">
      <c r="A3130" s="5"/>
    </row>
    <row r="3131" spans="1:1" x14ac:dyDescent="0.25">
      <c r="A3131" s="5"/>
    </row>
    <row r="3132" spans="1:1" x14ac:dyDescent="0.25">
      <c r="A3132" s="5"/>
    </row>
    <row r="3133" spans="1:1" x14ac:dyDescent="0.25">
      <c r="A3133" s="5"/>
    </row>
    <row r="3134" spans="1:1" x14ac:dyDescent="0.25">
      <c r="A3134" s="5"/>
    </row>
    <row r="3135" spans="1:1" x14ac:dyDescent="0.25">
      <c r="A3135" s="5"/>
    </row>
    <row r="3136" spans="1:1" x14ac:dyDescent="0.25">
      <c r="A3136" s="5"/>
    </row>
    <row r="3137" spans="1:1" x14ac:dyDescent="0.25">
      <c r="A3137" s="5"/>
    </row>
    <row r="3138" spans="1:1" x14ac:dyDescent="0.25">
      <c r="A3138" s="5"/>
    </row>
    <row r="3139" spans="1:1" x14ac:dyDescent="0.25">
      <c r="A3139" s="5"/>
    </row>
    <row r="3140" spans="1:1" x14ac:dyDescent="0.25">
      <c r="A3140" s="5"/>
    </row>
    <row r="3141" spans="1:1" x14ac:dyDescent="0.25">
      <c r="A3141" s="5"/>
    </row>
    <row r="3142" spans="1:1" x14ac:dyDescent="0.25">
      <c r="A3142" s="5"/>
    </row>
    <row r="3143" spans="1:1" x14ac:dyDescent="0.25">
      <c r="A3143" s="5"/>
    </row>
    <row r="3144" spans="1:1" x14ac:dyDescent="0.25">
      <c r="A3144" s="5"/>
    </row>
    <row r="3145" spans="1:1" x14ac:dyDescent="0.25">
      <c r="A3145" s="5"/>
    </row>
    <row r="3146" spans="1:1" x14ac:dyDescent="0.25">
      <c r="A3146" s="5"/>
    </row>
    <row r="3147" spans="1:1" x14ac:dyDescent="0.25">
      <c r="A3147" s="5"/>
    </row>
    <row r="3148" spans="1:1" x14ac:dyDescent="0.25">
      <c r="A3148" s="5"/>
    </row>
    <row r="3149" spans="1:1" x14ac:dyDescent="0.25">
      <c r="A3149" s="5"/>
    </row>
    <row r="3150" spans="1:1" x14ac:dyDescent="0.25">
      <c r="A3150" s="5"/>
    </row>
    <row r="3151" spans="1:1" x14ac:dyDescent="0.25">
      <c r="A3151" s="5"/>
    </row>
    <row r="3152" spans="1:1" x14ac:dyDescent="0.25">
      <c r="A3152" s="5"/>
    </row>
    <row r="3153" spans="1:1" x14ac:dyDescent="0.25">
      <c r="A3153" s="5"/>
    </row>
    <row r="3154" spans="1:1" x14ac:dyDescent="0.25">
      <c r="A3154" s="5"/>
    </row>
    <row r="3155" spans="1:1" x14ac:dyDescent="0.25">
      <c r="A3155" s="5"/>
    </row>
    <row r="3156" spans="1:1" x14ac:dyDescent="0.25">
      <c r="A3156" s="5"/>
    </row>
    <row r="3157" spans="1:1" x14ac:dyDescent="0.25">
      <c r="A3157" s="5"/>
    </row>
    <row r="3158" spans="1:1" x14ac:dyDescent="0.25">
      <c r="A3158" s="5"/>
    </row>
    <row r="3159" spans="1:1" x14ac:dyDescent="0.25">
      <c r="A3159" s="5"/>
    </row>
    <row r="3160" spans="1:1" x14ac:dyDescent="0.25">
      <c r="A3160" s="5"/>
    </row>
    <row r="3161" spans="1:1" x14ac:dyDescent="0.25">
      <c r="A3161" s="5"/>
    </row>
    <row r="3162" spans="1:1" x14ac:dyDescent="0.25">
      <c r="A3162" s="5"/>
    </row>
    <row r="3163" spans="1:1" x14ac:dyDescent="0.25">
      <c r="A3163" s="5"/>
    </row>
    <row r="3164" spans="1:1" x14ac:dyDescent="0.25">
      <c r="A3164" s="5"/>
    </row>
    <row r="3165" spans="1:1" x14ac:dyDescent="0.25">
      <c r="A3165" s="5"/>
    </row>
    <row r="3166" spans="1:1" x14ac:dyDescent="0.25">
      <c r="A3166" s="5"/>
    </row>
    <row r="3167" spans="1:1" x14ac:dyDescent="0.25">
      <c r="A3167" s="5"/>
    </row>
    <row r="3168" spans="1:1" x14ac:dyDescent="0.25">
      <c r="A3168" s="5"/>
    </row>
    <row r="3169" spans="1:1" x14ac:dyDescent="0.25">
      <c r="A3169" s="5"/>
    </row>
    <row r="3170" spans="1:1" x14ac:dyDescent="0.25">
      <c r="A3170" s="5"/>
    </row>
    <row r="3171" spans="1:1" x14ac:dyDescent="0.25">
      <c r="A3171" s="5"/>
    </row>
    <row r="3172" spans="1:1" x14ac:dyDescent="0.25">
      <c r="A3172" s="5"/>
    </row>
    <row r="3173" spans="1:1" x14ac:dyDescent="0.25">
      <c r="A3173" s="5"/>
    </row>
    <row r="3174" spans="1:1" x14ac:dyDescent="0.25">
      <c r="A3174" s="5"/>
    </row>
    <row r="3175" spans="1:1" x14ac:dyDescent="0.25">
      <c r="A3175" s="5"/>
    </row>
    <row r="3176" spans="1:1" x14ac:dyDescent="0.25">
      <c r="A3176" s="5"/>
    </row>
    <row r="3177" spans="1:1" x14ac:dyDescent="0.25">
      <c r="A3177" s="5"/>
    </row>
    <row r="3178" spans="1:1" x14ac:dyDescent="0.25">
      <c r="A3178" s="5"/>
    </row>
    <row r="3179" spans="1:1" x14ac:dyDescent="0.25">
      <c r="A3179" s="5"/>
    </row>
    <row r="3180" spans="1:1" x14ac:dyDescent="0.25">
      <c r="A3180" s="5"/>
    </row>
    <row r="3181" spans="1:1" x14ac:dyDescent="0.25">
      <c r="A3181" s="5"/>
    </row>
    <row r="3182" spans="1:1" x14ac:dyDescent="0.25">
      <c r="A3182" s="5"/>
    </row>
    <row r="3183" spans="1:1" x14ac:dyDescent="0.25">
      <c r="A3183" s="5"/>
    </row>
    <row r="3184" spans="1:1" x14ac:dyDescent="0.25">
      <c r="A3184" s="5"/>
    </row>
    <row r="3185" spans="1:1" x14ac:dyDescent="0.25">
      <c r="A3185" s="5"/>
    </row>
    <row r="3186" spans="1:1" x14ac:dyDescent="0.25">
      <c r="A3186" s="5"/>
    </row>
    <row r="3187" spans="1:1" x14ac:dyDescent="0.25">
      <c r="A3187" s="5"/>
    </row>
    <row r="3188" spans="1:1" x14ac:dyDescent="0.25">
      <c r="A3188" s="5"/>
    </row>
    <row r="3189" spans="1:1" x14ac:dyDescent="0.25">
      <c r="A3189" s="5"/>
    </row>
    <row r="3190" spans="1:1" x14ac:dyDescent="0.25">
      <c r="A3190" s="5"/>
    </row>
    <row r="3191" spans="1:1" x14ac:dyDescent="0.25">
      <c r="A3191" s="5"/>
    </row>
    <row r="3192" spans="1:1" x14ac:dyDescent="0.25">
      <c r="A3192" s="5"/>
    </row>
    <row r="3193" spans="1:1" x14ac:dyDescent="0.25">
      <c r="A3193" s="5"/>
    </row>
    <row r="3194" spans="1:1" x14ac:dyDescent="0.25">
      <c r="A3194" s="5"/>
    </row>
    <row r="3195" spans="1:1" x14ac:dyDescent="0.25">
      <c r="A3195" s="5"/>
    </row>
    <row r="3196" spans="1:1" x14ac:dyDescent="0.25">
      <c r="A3196" s="5"/>
    </row>
    <row r="3197" spans="1:1" x14ac:dyDescent="0.25">
      <c r="A3197" s="5"/>
    </row>
    <row r="3198" spans="1:1" x14ac:dyDescent="0.25">
      <c r="A3198" s="5"/>
    </row>
    <row r="3199" spans="1:1" x14ac:dyDescent="0.25">
      <c r="A3199" s="5"/>
    </row>
    <row r="3200" spans="1:1" x14ac:dyDescent="0.25">
      <c r="A3200" s="5"/>
    </row>
    <row r="3201" spans="1:1" x14ac:dyDescent="0.25">
      <c r="A3201" s="5"/>
    </row>
    <row r="3202" spans="1:1" x14ac:dyDescent="0.25">
      <c r="A3202" s="5"/>
    </row>
    <row r="3203" spans="1:1" x14ac:dyDescent="0.25">
      <c r="A3203" s="5"/>
    </row>
    <row r="3204" spans="1:1" x14ac:dyDescent="0.25">
      <c r="A3204" s="5"/>
    </row>
    <row r="3205" spans="1:1" x14ac:dyDescent="0.25">
      <c r="A3205" s="5"/>
    </row>
    <row r="3206" spans="1:1" x14ac:dyDescent="0.25">
      <c r="A3206" s="5"/>
    </row>
    <row r="3207" spans="1:1" x14ac:dyDescent="0.25">
      <c r="A3207" s="5"/>
    </row>
    <row r="3208" spans="1:1" x14ac:dyDescent="0.25">
      <c r="A3208" s="5"/>
    </row>
    <row r="3209" spans="1:1" x14ac:dyDescent="0.25">
      <c r="A3209" s="5"/>
    </row>
    <row r="3210" spans="1:1" x14ac:dyDescent="0.25">
      <c r="A3210" s="5"/>
    </row>
    <row r="3211" spans="1:1" x14ac:dyDescent="0.25">
      <c r="A3211" s="5"/>
    </row>
    <row r="3212" spans="1:1" x14ac:dyDescent="0.25">
      <c r="A3212" s="5"/>
    </row>
    <row r="3213" spans="1:1" x14ac:dyDescent="0.25">
      <c r="A3213" s="5"/>
    </row>
    <row r="3214" spans="1:1" x14ac:dyDescent="0.25">
      <c r="A3214" s="5"/>
    </row>
    <row r="3215" spans="1:1" x14ac:dyDescent="0.25">
      <c r="A3215" s="5"/>
    </row>
    <row r="3216" spans="1:1" x14ac:dyDescent="0.25">
      <c r="A3216" s="5"/>
    </row>
    <row r="3217" spans="1:1" x14ac:dyDescent="0.25">
      <c r="A3217" s="5"/>
    </row>
    <row r="3218" spans="1:1" x14ac:dyDescent="0.25">
      <c r="A3218" s="5"/>
    </row>
    <row r="3219" spans="1:1" x14ac:dyDescent="0.25">
      <c r="A3219" s="5"/>
    </row>
    <row r="3220" spans="1:1" x14ac:dyDescent="0.25">
      <c r="A3220" s="5"/>
    </row>
    <row r="3221" spans="1:1" x14ac:dyDescent="0.25">
      <c r="A3221" s="5"/>
    </row>
    <row r="3222" spans="1:1" x14ac:dyDescent="0.25">
      <c r="A3222" s="5"/>
    </row>
    <row r="3223" spans="1:1" x14ac:dyDescent="0.25">
      <c r="A3223" s="5"/>
    </row>
    <row r="3224" spans="1:1" x14ac:dyDescent="0.25">
      <c r="A3224" s="5"/>
    </row>
    <row r="3225" spans="1:1" x14ac:dyDescent="0.25">
      <c r="A3225" s="5"/>
    </row>
    <row r="3226" spans="1:1" x14ac:dyDescent="0.25">
      <c r="A3226" s="5"/>
    </row>
    <row r="3227" spans="1:1" x14ac:dyDescent="0.25">
      <c r="A3227" s="5"/>
    </row>
    <row r="3228" spans="1:1" x14ac:dyDescent="0.25">
      <c r="A3228" s="5"/>
    </row>
    <row r="3229" spans="1:1" x14ac:dyDescent="0.25">
      <c r="A3229" s="5"/>
    </row>
    <row r="3230" spans="1:1" x14ac:dyDescent="0.25">
      <c r="A3230" s="5"/>
    </row>
    <row r="3231" spans="1:1" x14ac:dyDescent="0.25">
      <c r="A3231" s="5"/>
    </row>
    <row r="3232" spans="1:1" x14ac:dyDescent="0.25">
      <c r="A3232" s="5"/>
    </row>
    <row r="3233" spans="1:1" x14ac:dyDescent="0.25">
      <c r="A3233" s="5"/>
    </row>
    <row r="3234" spans="1:1" x14ac:dyDescent="0.25">
      <c r="A3234" s="5"/>
    </row>
    <row r="3235" spans="1:1" x14ac:dyDescent="0.25">
      <c r="A3235" s="5"/>
    </row>
    <row r="3236" spans="1:1" x14ac:dyDescent="0.25">
      <c r="A3236" s="5"/>
    </row>
    <row r="3237" spans="1:1" x14ac:dyDescent="0.25">
      <c r="A3237" s="5"/>
    </row>
    <row r="3238" spans="1:1" x14ac:dyDescent="0.25">
      <c r="A3238" s="5"/>
    </row>
    <row r="3239" spans="1:1" x14ac:dyDescent="0.25">
      <c r="A3239" s="5"/>
    </row>
    <row r="3240" spans="1:1" x14ac:dyDescent="0.25">
      <c r="A3240" s="5"/>
    </row>
    <row r="3241" spans="1:1" x14ac:dyDescent="0.25">
      <c r="A3241" s="5"/>
    </row>
    <row r="3242" spans="1:1" x14ac:dyDescent="0.25">
      <c r="A3242" s="5"/>
    </row>
    <row r="3243" spans="1:1" x14ac:dyDescent="0.25">
      <c r="A3243" s="5"/>
    </row>
    <row r="3244" spans="1:1" x14ac:dyDescent="0.25">
      <c r="A3244" s="5"/>
    </row>
    <row r="3245" spans="1:1" x14ac:dyDescent="0.25">
      <c r="A3245" s="5"/>
    </row>
    <row r="3246" spans="1:1" x14ac:dyDescent="0.25">
      <c r="A3246" s="5"/>
    </row>
    <row r="3247" spans="1:1" x14ac:dyDescent="0.25">
      <c r="A3247" s="5"/>
    </row>
    <row r="3248" spans="1:1" x14ac:dyDescent="0.25">
      <c r="A3248" s="5"/>
    </row>
    <row r="3249" spans="1:1" x14ac:dyDescent="0.25">
      <c r="A3249" s="5"/>
    </row>
    <row r="3250" spans="1:1" x14ac:dyDescent="0.25">
      <c r="A3250" s="5"/>
    </row>
    <row r="3251" spans="1:1" x14ac:dyDescent="0.25">
      <c r="A3251" s="5"/>
    </row>
    <row r="3252" spans="1:1" x14ac:dyDescent="0.25">
      <c r="A3252" s="5"/>
    </row>
    <row r="3253" spans="1:1" x14ac:dyDescent="0.25">
      <c r="A3253" s="5"/>
    </row>
    <row r="3254" spans="1:1" x14ac:dyDescent="0.25">
      <c r="A3254" s="5"/>
    </row>
    <row r="3255" spans="1:1" x14ac:dyDescent="0.25">
      <c r="A3255" s="5"/>
    </row>
    <row r="3256" spans="1:1" x14ac:dyDescent="0.25">
      <c r="A3256" s="5"/>
    </row>
    <row r="3257" spans="1:1" x14ac:dyDescent="0.25">
      <c r="A3257" s="5"/>
    </row>
    <row r="3258" spans="1:1" x14ac:dyDescent="0.25">
      <c r="A3258" s="5"/>
    </row>
    <row r="3259" spans="1:1" x14ac:dyDescent="0.25">
      <c r="A3259" s="5"/>
    </row>
    <row r="3260" spans="1:1" x14ac:dyDescent="0.25">
      <c r="A3260" s="5"/>
    </row>
    <row r="3261" spans="1:1" x14ac:dyDescent="0.25">
      <c r="A3261" s="5"/>
    </row>
    <row r="3262" spans="1:1" x14ac:dyDescent="0.25">
      <c r="A3262" s="5"/>
    </row>
    <row r="3263" spans="1:1" x14ac:dyDescent="0.25">
      <c r="A3263" s="5"/>
    </row>
    <row r="3264" spans="1:1" x14ac:dyDescent="0.25">
      <c r="A3264" s="5"/>
    </row>
    <row r="3265" spans="1:1" x14ac:dyDescent="0.25">
      <c r="A3265" s="5"/>
    </row>
    <row r="3266" spans="1:1" x14ac:dyDescent="0.25">
      <c r="A3266" s="5"/>
    </row>
    <row r="3267" spans="1:1" x14ac:dyDescent="0.25">
      <c r="A3267" s="5"/>
    </row>
    <row r="3268" spans="1:1" x14ac:dyDescent="0.25">
      <c r="A3268" s="5"/>
    </row>
    <row r="3269" spans="1:1" x14ac:dyDescent="0.25">
      <c r="A3269" s="5"/>
    </row>
    <row r="3270" spans="1:1" x14ac:dyDescent="0.25">
      <c r="A3270" s="5"/>
    </row>
    <row r="3271" spans="1:1" x14ac:dyDescent="0.25">
      <c r="A3271" s="5"/>
    </row>
    <row r="3272" spans="1:1" x14ac:dyDescent="0.25">
      <c r="A3272" s="5"/>
    </row>
    <row r="3273" spans="1:1" x14ac:dyDescent="0.25">
      <c r="A3273" s="5"/>
    </row>
    <row r="3274" spans="1:1" x14ac:dyDescent="0.25">
      <c r="A3274" s="5"/>
    </row>
    <row r="3275" spans="1:1" x14ac:dyDescent="0.25">
      <c r="A3275" s="5"/>
    </row>
    <row r="3276" spans="1:1" x14ac:dyDescent="0.25">
      <c r="A3276" s="5"/>
    </row>
    <row r="3277" spans="1:1" x14ac:dyDescent="0.25">
      <c r="A3277" s="5"/>
    </row>
    <row r="3278" spans="1:1" x14ac:dyDescent="0.25">
      <c r="A3278" s="5"/>
    </row>
    <row r="3279" spans="1:1" x14ac:dyDescent="0.25">
      <c r="A3279" s="5"/>
    </row>
    <row r="3280" spans="1:1" x14ac:dyDescent="0.25">
      <c r="A3280" s="5"/>
    </row>
    <row r="3281" spans="1:1" x14ac:dyDescent="0.25">
      <c r="A3281" s="5"/>
    </row>
    <row r="3282" spans="1:1" x14ac:dyDescent="0.25">
      <c r="A3282" s="5"/>
    </row>
    <row r="3283" spans="1:1" x14ac:dyDescent="0.25">
      <c r="A3283" s="5"/>
    </row>
    <row r="3284" spans="1:1" x14ac:dyDescent="0.25">
      <c r="A3284" s="5"/>
    </row>
    <row r="3285" spans="1:1" x14ac:dyDescent="0.25">
      <c r="A3285" s="5"/>
    </row>
    <row r="3286" spans="1:1" x14ac:dyDescent="0.25">
      <c r="A3286" s="5"/>
    </row>
    <row r="3287" spans="1:1" x14ac:dyDescent="0.25">
      <c r="A3287" s="5"/>
    </row>
    <row r="3288" spans="1:1" x14ac:dyDescent="0.25">
      <c r="A3288" s="5"/>
    </row>
    <row r="3289" spans="1:1" x14ac:dyDescent="0.25">
      <c r="A3289" s="5"/>
    </row>
    <row r="3290" spans="1:1" x14ac:dyDescent="0.25">
      <c r="A3290" s="5"/>
    </row>
    <row r="3291" spans="1:1" x14ac:dyDescent="0.25">
      <c r="A3291" s="5"/>
    </row>
    <row r="3292" spans="1:1" x14ac:dyDescent="0.25">
      <c r="A3292" s="5"/>
    </row>
    <row r="3293" spans="1:1" x14ac:dyDescent="0.25">
      <c r="A3293" s="5"/>
    </row>
    <row r="3294" spans="1:1" x14ac:dyDescent="0.25">
      <c r="A3294" s="5"/>
    </row>
    <row r="3295" spans="1:1" x14ac:dyDescent="0.25">
      <c r="A3295" s="5"/>
    </row>
    <row r="3296" spans="1:1" x14ac:dyDescent="0.25">
      <c r="A3296" s="5"/>
    </row>
    <row r="3297" spans="1:1" x14ac:dyDescent="0.25">
      <c r="A3297" s="5"/>
    </row>
    <row r="3298" spans="1:1" x14ac:dyDescent="0.25">
      <c r="A3298" s="5"/>
    </row>
    <row r="3299" spans="1:1" x14ac:dyDescent="0.25">
      <c r="A3299" s="5"/>
    </row>
    <row r="3300" spans="1:1" x14ac:dyDescent="0.25">
      <c r="A3300" s="5"/>
    </row>
    <row r="3301" spans="1:1" x14ac:dyDescent="0.25">
      <c r="A3301" s="5"/>
    </row>
    <row r="3302" spans="1:1" x14ac:dyDescent="0.25">
      <c r="A3302" s="5"/>
    </row>
    <row r="3303" spans="1:1" x14ac:dyDescent="0.25">
      <c r="A3303" s="5"/>
    </row>
    <row r="3304" spans="1:1" x14ac:dyDescent="0.25">
      <c r="A3304" s="5"/>
    </row>
    <row r="3305" spans="1:1" x14ac:dyDescent="0.25">
      <c r="A3305" s="5"/>
    </row>
    <row r="3306" spans="1:1" x14ac:dyDescent="0.25">
      <c r="A3306" s="5"/>
    </row>
    <row r="3307" spans="1:1" x14ac:dyDescent="0.25">
      <c r="A3307" s="5"/>
    </row>
    <row r="3308" spans="1:1" x14ac:dyDescent="0.25">
      <c r="A3308" s="5"/>
    </row>
    <row r="3309" spans="1:1" x14ac:dyDescent="0.25">
      <c r="A3309" s="5"/>
    </row>
    <row r="3310" spans="1:1" x14ac:dyDescent="0.25">
      <c r="A3310" s="5"/>
    </row>
    <row r="3311" spans="1:1" x14ac:dyDescent="0.25">
      <c r="A3311" s="5"/>
    </row>
    <row r="3312" spans="1:1" x14ac:dyDescent="0.25">
      <c r="A3312" s="5"/>
    </row>
    <row r="3313" spans="1:1" x14ac:dyDescent="0.25">
      <c r="A3313" s="5"/>
    </row>
    <row r="3314" spans="1:1" x14ac:dyDescent="0.25">
      <c r="A3314" s="5"/>
    </row>
    <row r="3315" spans="1:1" x14ac:dyDescent="0.25">
      <c r="A3315" s="5"/>
    </row>
    <row r="3316" spans="1:1" x14ac:dyDescent="0.25">
      <c r="A3316" s="5"/>
    </row>
    <row r="3317" spans="1:1" x14ac:dyDescent="0.25">
      <c r="A3317" s="5"/>
    </row>
    <row r="3318" spans="1:1" x14ac:dyDescent="0.25">
      <c r="A3318" s="5"/>
    </row>
    <row r="3319" spans="1:1" x14ac:dyDescent="0.25">
      <c r="A3319" s="5"/>
    </row>
    <row r="3320" spans="1:1" x14ac:dyDescent="0.25">
      <c r="A3320" s="5"/>
    </row>
    <row r="3321" spans="1:1" x14ac:dyDescent="0.25">
      <c r="A3321" s="5"/>
    </row>
    <row r="3322" spans="1:1" x14ac:dyDescent="0.25">
      <c r="A3322" s="5"/>
    </row>
    <row r="3323" spans="1:1" x14ac:dyDescent="0.25">
      <c r="A3323" s="5"/>
    </row>
    <row r="3324" spans="1:1" x14ac:dyDescent="0.25">
      <c r="A3324" s="5"/>
    </row>
    <row r="3325" spans="1:1" x14ac:dyDescent="0.25">
      <c r="A3325" s="5"/>
    </row>
    <row r="3326" spans="1:1" x14ac:dyDescent="0.25">
      <c r="A3326" s="5"/>
    </row>
    <row r="3327" spans="1:1" x14ac:dyDescent="0.25">
      <c r="A3327" s="5"/>
    </row>
    <row r="3328" spans="1:1" x14ac:dyDescent="0.25">
      <c r="A3328" s="5"/>
    </row>
    <row r="3329" spans="1:1" x14ac:dyDescent="0.25">
      <c r="A3329" s="5"/>
    </row>
    <row r="3330" spans="1:1" x14ac:dyDescent="0.25">
      <c r="A3330" s="5"/>
    </row>
    <row r="3331" spans="1:1" x14ac:dyDescent="0.25">
      <c r="A3331" s="5"/>
    </row>
    <row r="3332" spans="1:1" x14ac:dyDescent="0.25">
      <c r="A3332" s="5"/>
    </row>
    <row r="3333" spans="1:1" x14ac:dyDescent="0.25">
      <c r="A3333" s="5"/>
    </row>
    <row r="3334" spans="1:1" x14ac:dyDescent="0.25">
      <c r="A3334" s="5"/>
    </row>
    <row r="3335" spans="1:1" x14ac:dyDescent="0.25">
      <c r="A3335" s="5"/>
    </row>
    <row r="3336" spans="1:1" x14ac:dyDescent="0.25">
      <c r="A3336" s="5"/>
    </row>
    <row r="3337" spans="1:1" x14ac:dyDescent="0.25">
      <c r="A3337" s="5"/>
    </row>
    <row r="3338" spans="1:1" x14ac:dyDescent="0.25">
      <c r="A3338" s="5"/>
    </row>
    <row r="3339" spans="1:1" x14ac:dyDescent="0.25">
      <c r="A3339" s="5"/>
    </row>
    <row r="3340" spans="1:1" x14ac:dyDescent="0.25">
      <c r="A3340" s="5"/>
    </row>
    <row r="3341" spans="1:1" x14ac:dyDescent="0.25">
      <c r="A3341" s="5"/>
    </row>
    <row r="3342" spans="1:1" x14ac:dyDescent="0.25">
      <c r="A3342" s="5"/>
    </row>
    <row r="3343" spans="1:1" x14ac:dyDescent="0.25">
      <c r="A3343" s="5"/>
    </row>
    <row r="3344" spans="1:1" x14ac:dyDescent="0.25">
      <c r="A3344" s="5"/>
    </row>
    <row r="3345" spans="1:1" x14ac:dyDescent="0.25">
      <c r="A3345" s="5"/>
    </row>
    <row r="3346" spans="1:1" x14ac:dyDescent="0.25">
      <c r="A3346" s="5"/>
    </row>
    <row r="3347" spans="1:1" x14ac:dyDescent="0.25">
      <c r="A3347" s="5"/>
    </row>
    <row r="3348" spans="1:1" x14ac:dyDescent="0.25">
      <c r="A3348" s="5"/>
    </row>
    <row r="3349" spans="1:1" x14ac:dyDescent="0.25">
      <c r="A3349" s="5"/>
    </row>
    <row r="3350" spans="1:1" x14ac:dyDescent="0.25">
      <c r="A3350" s="5"/>
    </row>
    <row r="3351" spans="1:1" x14ac:dyDescent="0.25">
      <c r="A3351" s="5"/>
    </row>
    <row r="3352" spans="1:1" x14ac:dyDescent="0.25">
      <c r="A3352" s="5"/>
    </row>
    <row r="3353" spans="1:1" x14ac:dyDescent="0.25">
      <c r="A3353" s="5"/>
    </row>
    <row r="3354" spans="1:1" x14ac:dyDescent="0.25">
      <c r="A3354" s="5"/>
    </row>
    <row r="3355" spans="1:1" x14ac:dyDescent="0.25">
      <c r="A3355" s="5"/>
    </row>
    <row r="3356" spans="1:1" x14ac:dyDescent="0.25">
      <c r="A3356" s="5"/>
    </row>
    <row r="3357" spans="1:1" x14ac:dyDescent="0.25">
      <c r="A3357" s="5"/>
    </row>
    <row r="3358" spans="1:1" x14ac:dyDescent="0.25">
      <c r="A3358" s="5"/>
    </row>
    <row r="3359" spans="1:1" x14ac:dyDescent="0.25">
      <c r="A3359" s="5"/>
    </row>
    <row r="3360" spans="1:1" x14ac:dyDescent="0.25">
      <c r="A3360" s="5"/>
    </row>
    <row r="3361" spans="1:1" x14ac:dyDescent="0.25">
      <c r="A3361" s="5"/>
    </row>
    <row r="3362" spans="1:1" x14ac:dyDescent="0.25">
      <c r="A3362" s="5"/>
    </row>
    <row r="3363" spans="1:1" x14ac:dyDescent="0.25">
      <c r="A3363" s="5"/>
    </row>
    <row r="3364" spans="1:1" x14ac:dyDescent="0.25">
      <c r="A3364" s="5"/>
    </row>
    <row r="3365" spans="1:1" x14ac:dyDescent="0.25">
      <c r="A3365" s="5"/>
    </row>
    <row r="3366" spans="1:1" x14ac:dyDescent="0.25">
      <c r="A3366" s="5"/>
    </row>
    <row r="3367" spans="1:1" x14ac:dyDescent="0.25">
      <c r="A3367" s="5"/>
    </row>
    <row r="3368" spans="1:1" x14ac:dyDescent="0.25">
      <c r="A3368" s="5"/>
    </row>
    <row r="3369" spans="1:1" x14ac:dyDescent="0.25">
      <c r="A3369" s="5"/>
    </row>
    <row r="3370" spans="1:1" x14ac:dyDescent="0.25">
      <c r="A3370" s="5"/>
    </row>
    <row r="3371" spans="1:1" x14ac:dyDescent="0.25">
      <c r="A3371" s="5"/>
    </row>
    <row r="3372" spans="1:1" x14ac:dyDescent="0.25">
      <c r="A3372" s="5"/>
    </row>
    <row r="3373" spans="1:1" x14ac:dyDescent="0.25">
      <c r="A3373" s="5"/>
    </row>
    <row r="3374" spans="1:1" x14ac:dyDescent="0.25">
      <c r="A3374" s="5"/>
    </row>
    <row r="3375" spans="1:1" x14ac:dyDescent="0.25">
      <c r="A3375" s="5"/>
    </row>
    <row r="3376" spans="1:1" x14ac:dyDescent="0.25">
      <c r="A3376" s="5"/>
    </row>
    <row r="3377" spans="1:1" x14ac:dyDescent="0.25">
      <c r="A3377" s="5"/>
    </row>
    <row r="3378" spans="1:1" x14ac:dyDescent="0.25">
      <c r="A3378" s="5"/>
    </row>
    <row r="3379" spans="1:1" x14ac:dyDescent="0.25">
      <c r="A3379" s="5"/>
    </row>
    <row r="3380" spans="1:1" x14ac:dyDescent="0.25">
      <c r="A3380" s="5"/>
    </row>
    <row r="3381" spans="1:1" x14ac:dyDescent="0.25">
      <c r="A3381" s="5"/>
    </row>
    <row r="3382" spans="1:1" x14ac:dyDescent="0.25">
      <c r="A3382" s="5"/>
    </row>
    <row r="3383" spans="1:1" x14ac:dyDescent="0.25">
      <c r="A3383" s="5"/>
    </row>
    <row r="3384" spans="1:1" x14ac:dyDescent="0.25">
      <c r="A3384" s="5"/>
    </row>
    <row r="3385" spans="1:1" x14ac:dyDescent="0.25">
      <c r="A3385" s="5"/>
    </row>
    <row r="3386" spans="1:1" x14ac:dyDescent="0.25">
      <c r="A3386" s="5"/>
    </row>
    <row r="3387" spans="1:1" x14ac:dyDescent="0.25">
      <c r="A3387" s="5"/>
    </row>
    <row r="3388" spans="1:1" x14ac:dyDescent="0.25">
      <c r="A3388" s="5"/>
    </row>
    <row r="3389" spans="1:1" x14ac:dyDescent="0.25">
      <c r="A3389" s="5"/>
    </row>
    <row r="3390" spans="1:1" x14ac:dyDescent="0.25">
      <c r="A3390" s="5"/>
    </row>
    <row r="3391" spans="1:1" x14ac:dyDescent="0.25">
      <c r="A3391" s="5"/>
    </row>
    <row r="3392" spans="1:1" x14ac:dyDescent="0.25">
      <c r="A3392" s="5"/>
    </row>
    <row r="3393" spans="1:1" x14ac:dyDescent="0.25">
      <c r="A3393" s="5"/>
    </row>
    <row r="3394" spans="1:1" x14ac:dyDescent="0.25">
      <c r="A3394" s="5"/>
    </row>
    <row r="3395" spans="1:1" x14ac:dyDescent="0.25">
      <c r="A3395" s="5"/>
    </row>
    <row r="3396" spans="1:1" x14ac:dyDescent="0.25">
      <c r="A3396" s="5"/>
    </row>
    <row r="3397" spans="1:1" x14ac:dyDescent="0.25">
      <c r="A3397" s="5"/>
    </row>
    <row r="3398" spans="1:1" x14ac:dyDescent="0.25">
      <c r="A3398" s="5"/>
    </row>
    <row r="3399" spans="1:1" x14ac:dyDescent="0.25">
      <c r="A3399" s="5"/>
    </row>
    <row r="3400" spans="1:1" x14ac:dyDescent="0.25">
      <c r="A3400" s="5"/>
    </row>
    <row r="3401" spans="1:1" x14ac:dyDescent="0.25">
      <c r="A3401" s="5"/>
    </row>
    <row r="3402" spans="1:1" x14ac:dyDescent="0.25">
      <c r="A3402" s="5"/>
    </row>
    <row r="3403" spans="1:1" x14ac:dyDescent="0.25">
      <c r="A3403" s="5"/>
    </row>
    <row r="3404" spans="1:1" x14ac:dyDescent="0.25">
      <c r="A3404" s="5"/>
    </row>
    <row r="3405" spans="1:1" x14ac:dyDescent="0.25">
      <c r="A3405" s="5"/>
    </row>
    <row r="3406" spans="1:1" x14ac:dyDescent="0.25">
      <c r="A3406" s="5"/>
    </row>
    <row r="3407" spans="1:1" x14ac:dyDescent="0.25">
      <c r="A3407" s="5"/>
    </row>
    <row r="3408" spans="1:1" x14ac:dyDescent="0.25">
      <c r="A3408" s="5"/>
    </row>
    <row r="3409" spans="1:1" x14ac:dyDescent="0.25">
      <c r="A3409" s="5"/>
    </row>
    <row r="3410" spans="1:1" x14ac:dyDescent="0.25">
      <c r="A3410" s="5"/>
    </row>
    <row r="3411" spans="1:1" x14ac:dyDescent="0.25">
      <c r="A3411" s="5"/>
    </row>
    <row r="3412" spans="1:1" x14ac:dyDescent="0.25">
      <c r="A3412" s="5"/>
    </row>
    <row r="3413" spans="1:1" x14ac:dyDescent="0.25">
      <c r="A3413" s="5"/>
    </row>
    <row r="3414" spans="1:1" x14ac:dyDescent="0.25">
      <c r="A3414" s="5"/>
    </row>
    <row r="3415" spans="1:1" x14ac:dyDescent="0.25">
      <c r="A3415" s="5"/>
    </row>
    <row r="3416" spans="1:1" x14ac:dyDescent="0.25">
      <c r="A3416" s="5"/>
    </row>
    <row r="3417" spans="1:1" x14ac:dyDescent="0.25">
      <c r="A3417" s="5"/>
    </row>
    <row r="3418" spans="1:1" x14ac:dyDescent="0.25">
      <c r="A3418" s="5"/>
    </row>
    <row r="3419" spans="1:1" x14ac:dyDescent="0.25">
      <c r="A3419" s="5"/>
    </row>
    <row r="3420" spans="1:1" x14ac:dyDescent="0.25">
      <c r="A3420" s="5"/>
    </row>
    <row r="3421" spans="1:1" x14ac:dyDescent="0.25">
      <c r="A3421" s="5"/>
    </row>
    <row r="3422" spans="1:1" x14ac:dyDescent="0.25">
      <c r="A3422" s="5"/>
    </row>
    <row r="3423" spans="1:1" x14ac:dyDescent="0.25">
      <c r="A3423" s="5"/>
    </row>
    <row r="3424" spans="1:1" x14ac:dyDescent="0.25">
      <c r="A3424" s="5"/>
    </row>
    <row r="3425" spans="1:1" x14ac:dyDescent="0.25">
      <c r="A3425" s="5"/>
    </row>
    <row r="3426" spans="1:1" x14ac:dyDescent="0.25">
      <c r="A3426" s="5"/>
    </row>
    <row r="3427" spans="1:1" x14ac:dyDescent="0.25">
      <c r="A3427" s="5"/>
    </row>
    <row r="3428" spans="1:1" x14ac:dyDescent="0.25">
      <c r="A3428" s="5"/>
    </row>
    <row r="3429" spans="1:1" x14ac:dyDescent="0.25">
      <c r="A3429" s="5"/>
    </row>
    <row r="3430" spans="1:1" x14ac:dyDescent="0.25">
      <c r="A3430" s="5"/>
    </row>
    <row r="3431" spans="1:1" x14ac:dyDescent="0.25">
      <c r="A3431" s="5"/>
    </row>
    <row r="3432" spans="1:1" x14ac:dyDescent="0.25">
      <c r="A3432" s="5"/>
    </row>
    <row r="3433" spans="1:1" x14ac:dyDescent="0.25">
      <c r="A3433" s="5"/>
    </row>
    <row r="3434" spans="1:1" x14ac:dyDescent="0.25">
      <c r="A3434" s="5"/>
    </row>
    <row r="3435" spans="1:1" x14ac:dyDescent="0.25">
      <c r="A3435" s="5"/>
    </row>
    <row r="3436" spans="1:1" x14ac:dyDescent="0.25">
      <c r="A3436" s="5"/>
    </row>
    <row r="3437" spans="1:1" x14ac:dyDescent="0.25">
      <c r="A3437" s="5"/>
    </row>
    <row r="3438" spans="1:1" x14ac:dyDescent="0.25">
      <c r="A3438" s="5"/>
    </row>
    <row r="3439" spans="1:1" x14ac:dyDescent="0.25">
      <c r="A3439" s="5"/>
    </row>
    <row r="3440" spans="1:1" x14ac:dyDescent="0.25">
      <c r="A3440" s="5"/>
    </row>
    <row r="3441" spans="1:1" x14ac:dyDescent="0.25">
      <c r="A3441" s="5"/>
    </row>
    <row r="3442" spans="1:1" x14ac:dyDescent="0.25">
      <c r="A3442" s="5"/>
    </row>
    <row r="3443" spans="1:1" x14ac:dyDescent="0.25">
      <c r="A3443" s="5"/>
    </row>
    <row r="3444" spans="1:1" x14ac:dyDescent="0.25">
      <c r="A3444" s="5"/>
    </row>
    <row r="3445" spans="1:1" x14ac:dyDescent="0.25">
      <c r="A3445" s="5"/>
    </row>
    <row r="3446" spans="1:1" x14ac:dyDescent="0.25">
      <c r="A3446" s="5"/>
    </row>
    <row r="3447" spans="1:1" x14ac:dyDescent="0.25">
      <c r="A3447" s="5"/>
    </row>
    <row r="3448" spans="1:1" x14ac:dyDescent="0.25">
      <c r="A3448" s="5"/>
    </row>
    <row r="3449" spans="1:1" x14ac:dyDescent="0.25">
      <c r="A3449" s="5"/>
    </row>
    <row r="3450" spans="1:1" x14ac:dyDescent="0.25">
      <c r="A3450" s="5"/>
    </row>
    <row r="3451" spans="1:1" x14ac:dyDescent="0.25">
      <c r="A3451" s="5"/>
    </row>
    <row r="3452" spans="1:1" x14ac:dyDescent="0.25">
      <c r="A3452" s="5"/>
    </row>
    <row r="3453" spans="1:1" x14ac:dyDescent="0.25">
      <c r="A3453" s="5"/>
    </row>
    <row r="3454" spans="1:1" x14ac:dyDescent="0.25">
      <c r="A3454" s="5"/>
    </row>
    <row r="3455" spans="1:1" x14ac:dyDescent="0.25">
      <c r="A3455" s="5"/>
    </row>
    <row r="3456" spans="1:1" x14ac:dyDescent="0.25">
      <c r="A3456" s="5"/>
    </row>
    <row r="3457" spans="1:1" x14ac:dyDescent="0.25">
      <c r="A3457" s="5"/>
    </row>
    <row r="3458" spans="1:1" x14ac:dyDescent="0.25">
      <c r="A3458" s="5"/>
    </row>
    <row r="3459" spans="1:1" x14ac:dyDescent="0.25">
      <c r="A3459" s="5"/>
    </row>
    <row r="3460" spans="1:1" x14ac:dyDescent="0.25">
      <c r="A3460" s="5"/>
    </row>
    <row r="3461" spans="1:1" x14ac:dyDescent="0.25">
      <c r="A3461" s="5"/>
    </row>
    <row r="3462" spans="1:1" x14ac:dyDescent="0.25">
      <c r="A3462" s="5"/>
    </row>
    <row r="3463" spans="1:1" x14ac:dyDescent="0.25">
      <c r="A3463" s="5"/>
    </row>
    <row r="3464" spans="1:1" x14ac:dyDescent="0.25">
      <c r="A3464" s="5"/>
    </row>
    <row r="3465" spans="1:1" x14ac:dyDescent="0.25">
      <c r="A3465" s="5"/>
    </row>
    <row r="3466" spans="1:1" x14ac:dyDescent="0.25">
      <c r="A3466" s="5"/>
    </row>
    <row r="3467" spans="1:1" x14ac:dyDescent="0.25">
      <c r="A3467" s="5"/>
    </row>
    <row r="3468" spans="1:1" x14ac:dyDescent="0.25">
      <c r="A3468" s="5"/>
    </row>
    <row r="3469" spans="1:1" x14ac:dyDescent="0.25">
      <c r="A3469" s="5"/>
    </row>
    <row r="3470" spans="1:1" x14ac:dyDescent="0.25">
      <c r="A3470" s="5"/>
    </row>
    <row r="3471" spans="1:1" x14ac:dyDescent="0.25">
      <c r="A3471" s="5"/>
    </row>
    <row r="3472" spans="1:1" x14ac:dyDescent="0.25">
      <c r="A3472" s="5"/>
    </row>
    <row r="3473" spans="1:1" x14ac:dyDescent="0.25">
      <c r="A3473" s="5"/>
    </row>
    <row r="3474" spans="1:1" x14ac:dyDescent="0.25">
      <c r="A3474" s="5"/>
    </row>
    <row r="3475" spans="1:1" x14ac:dyDescent="0.25">
      <c r="A3475" s="5"/>
    </row>
    <row r="3476" spans="1:1" x14ac:dyDescent="0.25">
      <c r="A3476" s="5"/>
    </row>
    <row r="3477" spans="1:1" x14ac:dyDescent="0.25">
      <c r="A3477" s="5"/>
    </row>
    <row r="3478" spans="1:1" x14ac:dyDescent="0.25">
      <c r="A3478" s="5"/>
    </row>
    <row r="3479" spans="1:1" x14ac:dyDescent="0.25">
      <c r="A3479" s="5"/>
    </row>
    <row r="3480" spans="1:1" x14ac:dyDescent="0.25">
      <c r="A3480" s="5"/>
    </row>
    <row r="3481" spans="1:1" x14ac:dyDescent="0.25">
      <c r="A3481" s="5"/>
    </row>
    <row r="3482" spans="1:1" x14ac:dyDescent="0.25">
      <c r="A3482" s="5"/>
    </row>
    <row r="3483" spans="1:1" x14ac:dyDescent="0.25">
      <c r="A3483" s="5"/>
    </row>
    <row r="3484" spans="1:1" x14ac:dyDescent="0.25">
      <c r="A3484" s="5"/>
    </row>
    <row r="3485" spans="1:1" x14ac:dyDescent="0.25">
      <c r="A3485" s="5"/>
    </row>
    <row r="3486" spans="1:1" x14ac:dyDescent="0.25">
      <c r="A3486" s="5"/>
    </row>
    <row r="3487" spans="1:1" x14ac:dyDescent="0.25">
      <c r="A3487" s="5"/>
    </row>
    <row r="3488" spans="1:1" x14ac:dyDescent="0.25">
      <c r="A3488" s="5"/>
    </row>
    <row r="3489" spans="1:1" x14ac:dyDescent="0.25">
      <c r="A3489" s="5"/>
    </row>
    <row r="3490" spans="1:1" x14ac:dyDescent="0.25">
      <c r="A3490" s="5"/>
    </row>
    <row r="3491" spans="1:1" x14ac:dyDescent="0.25">
      <c r="A3491" s="5"/>
    </row>
    <row r="3492" spans="1:1" x14ac:dyDescent="0.25">
      <c r="A3492" s="5"/>
    </row>
    <row r="3493" spans="1:1" x14ac:dyDescent="0.25">
      <c r="A3493" s="5"/>
    </row>
    <row r="3494" spans="1:1" x14ac:dyDescent="0.25">
      <c r="A3494" s="5"/>
    </row>
    <row r="3495" spans="1:1" x14ac:dyDescent="0.25">
      <c r="A3495" s="5"/>
    </row>
    <row r="3496" spans="1:1" x14ac:dyDescent="0.25">
      <c r="A3496" s="5"/>
    </row>
    <row r="3497" spans="1:1" x14ac:dyDescent="0.25">
      <c r="A3497" s="5"/>
    </row>
    <row r="3498" spans="1:1" x14ac:dyDescent="0.25">
      <c r="A3498" s="5"/>
    </row>
    <row r="3499" spans="1:1" x14ac:dyDescent="0.25">
      <c r="A3499" s="5"/>
    </row>
    <row r="3500" spans="1:1" x14ac:dyDescent="0.25">
      <c r="A3500" s="5"/>
    </row>
    <row r="3501" spans="1:1" x14ac:dyDescent="0.25">
      <c r="A3501" s="5"/>
    </row>
    <row r="3502" spans="1:1" x14ac:dyDescent="0.25">
      <c r="A3502" s="5"/>
    </row>
    <row r="3503" spans="1:1" x14ac:dyDescent="0.25">
      <c r="A3503" s="5"/>
    </row>
    <row r="3504" spans="1:1" x14ac:dyDescent="0.25">
      <c r="A3504" s="5"/>
    </row>
    <row r="3505" spans="1:1" x14ac:dyDescent="0.25">
      <c r="A3505" s="5"/>
    </row>
    <row r="3506" spans="1:1" x14ac:dyDescent="0.25">
      <c r="A3506" s="5"/>
    </row>
    <row r="3507" spans="1:1" x14ac:dyDescent="0.25">
      <c r="A3507" s="5"/>
    </row>
    <row r="3508" spans="1:1" x14ac:dyDescent="0.25">
      <c r="A3508" s="5"/>
    </row>
    <row r="3509" spans="1:1" x14ac:dyDescent="0.25">
      <c r="A3509" s="5"/>
    </row>
    <row r="3510" spans="1:1" x14ac:dyDescent="0.25">
      <c r="A3510" s="5"/>
    </row>
    <row r="3511" spans="1:1" x14ac:dyDescent="0.25">
      <c r="A3511" s="5"/>
    </row>
    <row r="3512" spans="1:1" x14ac:dyDescent="0.25">
      <c r="A3512" s="5"/>
    </row>
    <row r="3513" spans="1:1" x14ac:dyDescent="0.25">
      <c r="A3513" s="5"/>
    </row>
    <row r="3514" spans="1:1" x14ac:dyDescent="0.25">
      <c r="A3514" s="5"/>
    </row>
    <row r="3515" spans="1:1" x14ac:dyDescent="0.25">
      <c r="A3515" s="5"/>
    </row>
    <row r="3516" spans="1:1" x14ac:dyDescent="0.25">
      <c r="A3516" s="5"/>
    </row>
    <row r="3517" spans="1:1" x14ac:dyDescent="0.25">
      <c r="A3517" s="5"/>
    </row>
    <row r="3518" spans="1:1" x14ac:dyDescent="0.25">
      <c r="A3518" s="5"/>
    </row>
    <row r="3519" spans="1:1" x14ac:dyDescent="0.25">
      <c r="A3519" s="5"/>
    </row>
    <row r="3520" spans="1:1" x14ac:dyDescent="0.25">
      <c r="A3520" s="5"/>
    </row>
    <row r="3521" spans="1:1" x14ac:dyDescent="0.25">
      <c r="A3521" s="5"/>
    </row>
    <row r="3522" spans="1:1" x14ac:dyDescent="0.25">
      <c r="A3522" s="5"/>
    </row>
    <row r="3523" spans="1:1" x14ac:dyDescent="0.25">
      <c r="A3523" s="5"/>
    </row>
    <row r="3524" spans="1:1" x14ac:dyDescent="0.25">
      <c r="A3524" s="5"/>
    </row>
    <row r="3525" spans="1:1" x14ac:dyDescent="0.25">
      <c r="A3525" s="5"/>
    </row>
    <row r="3526" spans="1:1" x14ac:dyDescent="0.25">
      <c r="A3526" s="5"/>
    </row>
    <row r="3527" spans="1:1" x14ac:dyDescent="0.25">
      <c r="A3527" s="5"/>
    </row>
    <row r="3528" spans="1:1" x14ac:dyDescent="0.25">
      <c r="A3528" s="5"/>
    </row>
    <row r="3529" spans="1:1" x14ac:dyDescent="0.25">
      <c r="A3529" s="5"/>
    </row>
    <row r="3530" spans="1:1" x14ac:dyDescent="0.25">
      <c r="A3530" s="5"/>
    </row>
    <row r="3531" spans="1:1" x14ac:dyDescent="0.25">
      <c r="A3531" s="5"/>
    </row>
    <row r="3532" spans="1:1" x14ac:dyDescent="0.25">
      <c r="A3532" s="5"/>
    </row>
    <row r="3533" spans="1:1" x14ac:dyDescent="0.25">
      <c r="A3533" s="5"/>
    </row>
    <row r="3534" spans="1:1" x14ac:dyDescent="0.25">
      <c r="A3534" s="5"/>
    </row>
    <row r="3535" spans="1:1" x14ac:dyDescent="0.25">
      <c r="A3535" s="5"/>
    </row>
    <row r="3536" spans="1:1" x14ac:dyDescent="0.25">
      <c r="A3536" s="5"/>
    </row>
    <row r="3537" spans="1:1" x14ac:dyDescent="0.25">
      <c r="A3537" s="5"/>
    </row>
    <row r="3538" spans="1:1" x14ac:dyDescent="0.25">
      <c r="A3538" s="5"/>
    </row>
    <row r="3539" spans="1:1" x14ac:dyDescent="0.25">
      <c r="A3539" s="5"/>
    </row>
    <row r="3540" spans="1:1" x14ac:dyDescent="0.25">
      <c r="A3540" s="5"/>
    </row>
    <row r="3541" spans="1:1" x14ac:dyDescent="0.25">
      <c r="A3541" s="5"/>
    </row>
    <row r="3542" spans="1:1" x14ac:dyDescent="0.25">
      <c r="A3542" s="5"/>
    </row>
    <row r="3543" spans="1:1" x14ac:dyDescent="0.25">
      <c r="A3543" s="5"/>
    </row>
    <row r="3544" spans="1:1" x14ac:dyDescent="0.25">
      <c r="A3544" s="5"/>
    </row>
    <row r="3545" spans="1:1" x14ac:dyDescent="0.25">
      <c r="A3545" s="5"/>
    </row>
    <row r="3546" spans="1:1" x14ac:dyDescent="0.25">
      <c r="A3546" s="5"/>
    </row>
    <row r="3547" spans="1:1" x14ac:dyDescent="0.25">
      <c r="A3547" s="5"/>
    </row>
    <row r="3548" spans="1:1" x14ac:dyDescent="0.25">
      <c r="A3548" s="5"/>
    </row>
    <row r="3549" spans="1:1" x14ac:dyDescent="0.25">
      <c r="A3549" s="5"/>
    </row>
    <row r="3550" spans="1:1" x14ac:dyDescent="0.25">
      <c r="A3550" s="5"/>
    </row>
    <row r="3551" spans="1:1" x14ac:dyDescent="0.25">
      <c r="A3551" s="5"/>
    </row>
    <row r="3552" spans="1:1" x14ac:dyDescent="0.25">
      <c r="A3552" s="5"/>
    </row>
    <row r="3553" spans="1:1" x14ac:dyDescent="0.25">
      <c r="A3553" s="5"/>
    </row>
    <row r="3554" spans="1:1" x14ac:dyDescent="0.25">
      <c r="A3554" s="5"/>
    </row>
    <row r="3555" spans="1:1" x14ac:dyDescent="0.25">
      <c r="A3555" s="5"/>
    </row>
    <row r="3556" spans="1:1" x14ac:dyDescent="0.25">
      <c r="A3556" s="5"/>
    </row>
    <row r="3557" spans="1:1" x14ac:dyDescent="0.25">
      <c r="A3557" s="5"/>
    </row>
    <row r="3558" spans="1:1" x14ac:dyDescent="0.25">
      <c r="A3558" s="5"/>
    </row>
    <row r="3559" spans="1:1" x14ac:dyDescent="0.25">
      <c r="A3559" s="5"/>
    </row>
    <row r="3560" spans="1:1" x14ac:dyDescent="0.25">
      <c r="A3560" s="5"/>
    </row>
    <row r="3561" spans="1:1" x14ac:dyDescent="0.25">
      <c r="A3561" s="5"/>
    </row>
    <row r="3562" spans="1:1" x14ac:dyDescent="0.25">
      <c r="A3562" s="5"/>
    </row>
    <row r="3563" spans="1:1" x14ac:dyDescent="0.25">
      <c r="A3563" s="5"/>
    </row>
    <row r="3564" spans="1:1" x14ac:dyDescent="0.25">
      <c r="A3564" s="5"/>
    </row>
    <row r="3565" spans="1:1" x14ac:dyDescent="0.25">
      <c r="A3565" s="5"/>
    </row>
    <row r="3566" spans="1:1" x14ac:dyDescent="0.25">
      <c r="A3566" s="5"/>
    </row>
    <row r="3567" spans="1:1" x14ac:dyDescent="0.25">
      <c r="A3567" s="5"/>
    </row>
    <row r="3568" spans="1:1" x14ac:dyDescent="0.25">
      <c r="A3568" s="5"/>
    </row>
    <row r="3569" spans="1:1" x14ac:dyDescent="0.25">
      <c r="A3569" s="5"/>
    </row>
    <row r="3570" spans="1:1" x14ac:dyDescent="0.25">
      <c r="A3570" s="5"/>
    </row>
    <row r="3571" spans="1:1" x14ac:dyDescent="0.25">
      <c r="A3571" s="5"/>
    </row>
    <row r="3572" spans="1:1" x14ac:dyDescent="0.25">
      <c r="A3572" s="5"/>
    </row>
    <row r="3573" spans="1:1" x14ac:dyDescent="0.25">
      <c r="A3573" s="5"/>
    </row>
    <row r="3574" spans="1:1" x14ac:dyDescent="0.25">
      <c r="A3574" s="5"/>
    </row>
    <row r="3575" spans="1:1" x14ac:dyDescent="0.25">
      <c r="A3575" s="5"/>
    </row>
    <row r="3576" spans="1:1" x14ac:dyDescent="0.25">
      <c r="A3576" s="5"/>
    </row>
    <row r="3577" spans="1:1" x14ac:dyDescent="0.25">
      <c r="A3577" s="5"/>
    </row>
    <row r="3578" spans="1:1" x14ac:dyDescent="0.25">
      <c r="A3578" s="5"/>
    </row>
    <row r="3579" spans="1:1" x14ac:dyDescent="0.25">
      <c r="A3579" s="5"/>
    </row>
    <row r="3580" spans="1:1" x14ac:dyDescent="0.25">
      <c r="A3580" s="5"/>
    </row>
    <row r="3581" spans="1:1" x14ac:dyDescent="0.25">
      <c r="A3581" s="5"/>
    </row>
    <row r="3582" spans="1:1" x14ac:dyDescent="0.25">
      <c r="A3582" s="5"/>
    </row>
    <row r="3583" spans="1:1" x14ac:dyDescent="0.25">
      <c r="A3583" s="5"/>
    </row>
    <row r="3584" spans="1:1" x14ac:dyDescent="0.25">
      <c r="A3584" s="5"/>
    </row>
    <row r="3585" spans="1:1" x14ac:dyDescent="0.25">
      <c r="A3585" s="5"/>
    </row>
    <row r="3586" spans="1:1" x14ac:dyDescent="0.25">
      <c r="A3586" s="5"/>
    </row>
    <row r="3587" spans="1:1" x14ac:dyDescent="0.25">
      <c r="A3587" s="5"/>
    </row>
    <row r="3588" spans="1:1" x14ac:dyDescent="0.25">
      <c r="A3588" s="5"/>
    </row>
    <row r="3589" spans="1:1" x14ac:dyDescent="0.25">
      <c r="A3589" s="5"/>
    </row>
    <row r="3590" spans="1:1" x14ac:dyDescent="0.25">
      <c r="A3590" s="5"/>
    </row>
    <row r="3591" spans="1:1" x14ac:dyDescent="0.25">
      <c r="A3591" s="5"/>
    </row>
    <row r="3592" spans="1:1" x14ac:dyDescent="0.25">
      <c r="A3592" s="5"/>
    </row>
    <row r="3593" spans="1:1" x14ac:dyDescent="0.25">
      <c r="A3593" s="5"/>
    </row>
    <row r="3594" spans="1:1" x14ac:dyDescent="0.25">
      <c r="A3594" s="5"/>
    </row>
    <row r="3595" spans="1:1" x14ac:dyDescent="0.25">
      <c r="A3595" s="5"/>
    </row>
    <row r="3596" spans="1:1" x14ac:dyDescent="0.25">
      <c r="A3596" s="5"/>
    </row>
    <row r="3597" spans="1:1" x14ac:dyDescent="0.25">
      <c r="A3597" s="5"/>
    </row>
    <row r="3598" spans="1:1" x14ac:dyDescent="0.25">
      <c r="A3598" s="5"/>
    </row>
    <row r="3599" spans="1:1" x14ac:dyDescent="0.25">
      <c r="A3599" s="5"/>
    </row>
    <row r="3600" spans="1:1" x14ac:dyDescent="0.25">
      <c r="A3600" s="5"/>
    </row>
    <row r="3601" spans="1:1" x14ac:dyDescent="0.25">
      <c r="A3601" s="5"/>
    </row>
    <row r="3602" spans="1:1" x14ac:dyDescent="0.25">
      <c r="A3602" s="5"/>
    </row>
    <row r="3603" spans="1:1" x14ac:dyDescent="0.25">
      <c r="A3603" s="5"/>
    </row>
    <row r="3604" spans="1:1" x14ac:dyDescent="0.25">
      <c r="A3604" s="5"/>
    </row>
    <row r="3605" spans="1:1" x14ac:dyDescent="0.25">
      <c r="A3605" s="5"/>
    </row>
    <row r="3606" spans="1:1" x14ac:dyDescent="0.25">
      <c r="A3606" s="5"/>
    </row>
    <row r="3607" spans="1:1" x14ac:dyDescent="0.25">
      <c r="A3607" s="5"/>
    </row>
    <row r="3608" spans="1:1" x14ac:dyDescent="0.25">
      <c r="A3608" s="5"/>
    </row>
    <row r="3609" spans="1:1" x14ac:dyDescent="0.25">
      <c r="A3609" s="5"/>
    </row>
    <row r="3610" spans="1:1" x14ac:dyDescent="0.25">
      <c r="A3610" s="5"/>
    </row>
    <row r="3611" spans="1:1" x14ac:dyDescent="0.25">
      <c r="A3611" s="5"/>
    </row>
    <row r="3612" spans="1:1" x14ac:dyDescent="0.25">
      <c r="A3612" s="5"/>
    </row>
    <row r="3613" spans="1:1" x14ac:dyDescent="0.25">
      <c r="A3613" s="5"/>
    </row>
    <row r="3614" spans="1:1" x14ac:dyDescent="0.25">
      <c r="A3614" s="5"/>
    </row>
    <row r="3615" spans="1:1" x14ac:dyDescent="0.25">
      <c r="A3615" s="5"/>
    </row>
    <row r="3616" spans="1:1" x14ac:dyDescent="0.25">
      <c r="A3616" s="5"/>
    </row>
    <row r="3617" spans="1:1" x14ac:dyDescent="0.25">
      <c r="A3617" s="5"/>
    </row>
    <row r="3618" spans="1:1" x14ac:dyDescent="0.25">
      <c r="A3618" s="5"/>
    </row>
    <row r="3619" spans="1:1" x14ac:dyDescent="0.25">
      <c r="A3619" s="5"/>
    </row>
    <row r="3620" spans="1:1" x14ac:dyDescent="0.25">
      <c r="A3620" s="5"/>
    </row>
    <row r="3621" spans="1:1" x14ac:dyDescent="0.25">
      <c r="A3621" s="5"/>
    </row>
    <row r="3622" spans="1:1" x14ac:dyDescent="0.25">
      <c r="A3622" s="5"/>
    </row>
    <row r="3623" spans="1:1" x14ac:dyDescent="0.25">
      <c r="A3623" s="5"/>
    </row>
    <row r="3624" spans="1:1" x14ac:dyDescent="0.25">
      <c r="A3624" s="5"/>
    </row>
    <row r="3625" spans="1:1" x14ac:dyDescent="0.25">
      <c r="A3625" s="5"/>
    </row>
    <row r="3626" spans="1:1" x14ac:dyDescent="0.25">
      <c r="A3626" s="5"/>
    </row>
    <row r="3627" spans="1:1" x14ac:dyDescent="0.25">
      <c r="A3627" s="5"/>
    </row>
    <row r="3628" spans="1:1" x14ac:dyDescent="0.25">
      <c r="A3628" s="5"/>
    </row>
    <row r="3629" spans="1:1" x14ac:dyDescent="0.25">
      <c r="A3629" s="5"/>
    </row>
    <row r="3630" spans="1:1" x14ac:dyDescent="0.25">
      <c r="A3630" s="5"/>
    </row>
    <row r="3631" spans="1:1" x14ac:dyDescent="0.25">
      <c r="A3631" s="5"/>
    </row>
    <row r="3632" spans="1:1" x14ac:dyDescent="0.25">
      <c r="A3632" s="5"/>
    </row>
    <row r="3633" spans="1:1" x14ac:dyDescent="0.25">
      <c r="A3633" s="5"/>
    </row>
    <row r="3634" spans="1:1" x14ac:dyDescent="0.25">
      <c r="A3634" s="5"/>
    </row>
    <row r="3635" spans="1:1" x14ac:dyDescent="0.25">
      <c r="A3635" s="5"/>
    </row>
    <row r="3636" spans="1:1" x14ac:dyDescent="0.25">
      <c r="A3636" s="5"/>
    </row>
    <row r="3637" spans="1:1" x14ac:dyDescent="0.25">
      <c r="A3637" s="5"/>
    </row>
    <row r="3638" spans="1:1" x14ac:dyDescent="0.25">
      <c r="A3638" s="5"/>
    </row>
    <row r="3639" spans="1:1" x14ac:dyDescent="0.25">
      <c r="A3639" s="5"/>
    </row>
    <row r="3640" spans="1:1" x14ac:dyDescent="0.25">
      <c r="A3640" s="5"/>
    </row>
    <row r="3641" spans="1:1" x14ac:dyDescent="0.25">
      <c r="A3641" s="5"/>
    </row>
    <row r="3642" spans="1:1" x14ac:dyDescent="0.25">
      <c r="A3642" s="5"/>
    </row>
    <row r="3643" spans="1:1" x14ac:dyDescent="0.25">
      <c r="A3643" s="5"/>
    </row>
    <row r="3644" spans="1:1" x14ac:dyDescent="0.25">
      <c r="A3644" s="5"/>
    </row>
    <row r="3645" spans="1:1" x14ac:dyDescent="0.25">
      <c r="A3645" s="5"/>
    </row>
    <row r="3646" spans="1:1" x14ac:dyDescent="0.25">
      <c r="A3646" s="5"/>
    </row>
    <row r="3647" spans="1:1" x14ac:dyDescent="0.25">
      <c r="A3647" s="5"/>
    </row>
    <row r="3648" spans="1:1" x14ac:dyDescent="0.25">
      <c r="A3648" s="5"/>
    </row>
    <row r="3649" spans="1:1" x14ac:dyDescent="0.25">
      <c r="A3649" s="5"/>
    </row>
    <row r="3650" spans="1:1" x14ac:dyDescent="0.25">
      <c r="A3650" s="5"/>
    </row>
    <row r="3651" spans="1:1" x14ac:dyDescent="0.25">
      <c r="A3651" s="5"/>
    </row>
    <row r="3652" spans="1:1" x14ac:dyDescent="0.25">
      <c r="A3652" s="5"/>
    </row>
    <row r="3653" spans="1:1" x14ac:dyDescent="0.25">
      <c r="A3653" s="5"/>
    </row>
    <row r="3654" spans="1:1" x14ac:dyDescent="0.25">
      <c r="A3654" s="5"/>
    </row>
    <row r="3655" spans="1:1" x14ac:dyDescent="0.25">
      <c r="A3655" s="5"/>
    </row>
    <row r="3656" spans="1:1" x14ac:dyDescent="0.25">
      <c r="A3656" s="5"/>
    </row>
    <row r="3657" spans="1:1" x14ac:dyDescent="0.25">
      <c r="A3657" s="5"/>
    </row>
    <row r="3658" spans="1:1" x14ac:dyDescent="0.25">
      <c r="A3658" s="5"/>
    </row>
    <row r="3659" spans="1:1" x14ac:dyDescent="0.25">
      <c r="A3659" s="5"/>
    </row>
    <row r="3660" spans="1:1" x14ac:dyDescent="0.25">
      <c r="A3660" s="5"/>
    </row>
    <row r="3661" spans="1:1" x14ac:dyDescent="0.25">
      <c r="A3661" s="5"/>
    </row>
    <row r="3662" spans="1:1" x14ac:dyDescent="0.25">
      <c r="A3662" s="5"/>
    </row>
    <row r="3663" spans="1:1" x14ac:dyDescent="0.25">
      <c r="A3663" s="5"/>
    </row>
    <row r="3664" spans="1:1" x14ac:dyDescent="0.25">
      <c r="A3664" s="5"/>
    </row>
    <row r="3665" spans="1:1" x14ac:dyDescent="0.25">
      <c r="A3665" s="5"/>
    </row>
    <row r="3666" spans="1:1" x14ac:dyDescent="0.25">
      <c r="A3666" s="5"/>
    </row>
    <row r="3667" spans="1:1" x14ac:dyDescent="0.25">
      <c r="A3667" s="5"/>
    </row>
    <row r="3668" spans="1:1" x14ac:dyDescent="0.25">
      <c r="A3668" s="5"/>
    </row>
    <row r="3669" spans="1:1" x14ac:dyDescent="0.25">
      <c r="A3669" s="5"/>
    </row>
    <row r="3670" spans="1:1" x14ac:dyDescent="0.25">
      <c r="A3670" s="5"/>
    </row>
    <row r="3671" spans="1:1" x14ac:dyDescent="0.25">
      <c r="A3671" s="5"/>
    </row>
    <row r="3672" spans="1:1" x14ac:dyDescent="0.25">
      <c r="A3672" s="5"/>
    </row>
    <row r="3673" spans="1:1" x14ac:dyDescent="0.25">
      <c r="A3673" s="5"/>
    </row>
    <row r="3674" spans="1:1" x14ac:dyDescent="0.25">
      <c r="A3674" s="5"/>
    </row>
    <row r="3675" spans="1:1" x14ac:dyDescent="0.25">
      <c r="A3675" s="5"/>
    </row>
    <row r="3676" spans="1:1" x14ac:dyDescent="0.25">
      <c r="A3676" s="5"/>
    </row>
    <row r="3677" spans="1:1" x14ac:dyDescent="0.25">
      <c r="A3677" s="5"/>
    </row>
    <row r="3678" spans="1:1" x14ac:dyDescent="0.25">
      <c r="A3678" s="5"/>
    </row>
    <row r="3679" spans="1:1" x14ac:dyDescent="0.25">
      <c r="A3679" s="5"/>
    </row>
    <row r="3680" spans="1:1" x14ac:dyDescent="0.25">
      <c r="A3680" s="5"/>
    </row>
    <row r="3681" spans="1:1" x14ac:dyDescent="0.25">
      <c r="A3681" s="5"/>
    </row>
    <row r="3682" spans="1:1" x14ac:dyDescent="0.25">
      <c r="A3682" s="5"/>
    </row>
    <row r="3683" spans="1:1" x14ac:dyDescent="0.25">
      <c r="A3683" s="5"/>
    </row>
    <row r="3684" spans="1:1" x14ac:dyDescent="0.25">
      <c r="A3684" s="5"/>
    </row>
    <row r="3685" spans="1:1" x14ac:dyDescent="0.25">
      <c r="A3685" s="5"/>
    </row>
    <row r="3686" spans="1:1" x14ac:dyDescent="0.25">
      <c r="A3686" s="5"/>
    </row>
    <row r="3687" spans="1:1" x14ac:dyDescent="0.25">
      <c r="A3687" s="5"/>
    </row>
    <row r="3688" spans="1:1" x14ac:dyDescent="0.25">
      <c r="A3688" s="5"/>
    </row>
    <row r="3689" spans="1:1" x14ac:dyDescent="0.25">
      <c r="A3689" s="5"/>
    </row>
    <row r="3690" spans="1:1" x14ac:dyDescent="0.25">
      <c r="A3690" s="5"/>
    </row>
    <row r="3691" spans="1:1" x14ac:dyDescent="0.25">
      <c r="A3691" s="5"/>
    </row>
    <row r="3692" spans="1:1" x14ac:dyDescent="0.25">
      <c r="A3692" s="5"/>
    </row>
    <row r="3693" spans="1:1" x14ac:dyDescent="0.25">
      <c r="A3693" s="5"/>
    </row>
    <row r="3694" spans="1:1" x14ac:dyDescent="0.25">
      <c r="A3694" s="5"/>
    </row>
    <row r="3695" spans="1:1" x14ac:dyDescent="0.25">
      <c r="A3695" s="5"/>
    </row>
    <row r="3696" spans="1:1" x14ac:dyDescent="0.25">
      <c r="A3696" s="5"/>
    </row>
    <row r="3697" spans="1:1" x14ac:dyDescent="0.25">
      <c r="A3697" s="5"/>
    </row>
    <row r="3698" spans="1:1" x14ac:dyDescent="0.25">
      <c r="A3698" s="5"/>
    </row>
    <row r="3699" spans="1:1" x14ac:dyDescent="0.25">
      <c r="A3699" s="5"/>
    </row>
    <row r="3700" spans="1:1" x14ac:dyDescent="0.25">
      <c r="A3700" s="5"/>
    </row>
    <row r="3701" spans="1:1" x14ac:dyDescent="0.25">
      <c r="A3701" s="5"/>
    </row>
    <row r="3702" spans="1:1" x14ac:dyDescent="0.25">
      <c r="A3702" s="5"/>
    </row>
    <row r="3703" spans="1:1" x14ac:dyDescent="0.25">
      <c r="A3703" s="5"/>
    </row>
    <row r="3704" spans="1:1" x14ac:dyDescent="0.25">
      <c r="A3704" s="5"/>
    </row>
    <row r="3705" spans="1:1" x14ac:dyDescent="0.25">
      <c r="A3705" s="5"/>
    </row>
    <row r="3706" spans="1:1" x14ac:dyDescent="0.25">
      <c r="A3706" s="5"/>
    </row>
    <row r="3707" spans="1:1" x14ac:dyDescent="0.25">
      <c r="A3707" s="5"/>
    </row>
    <row r="3708" spans="1:1" x14ac:dyDescent="0.25">
      <c r="A3708" s="5"/>
    </row>
    <row r="3709" spans="1:1" x14ac:dyDescent="0.25">
      <c r="A3709" s="5"/>
    </row>
    <row r="3710" spans="1:1" x14ac:dyDescent="0.25">
      <c r="A3710" s="5"/>
    </row>
    <row r="3711" spans="1:1" x14ac:dyDescent="0.25">
      <c r="A3711" s="5"/>
    </row>
    <row r="3712" spans="1:1" x14ac:dyDescent="0.25">
      <c r="A3712" s="5"/>
    </row>
    <row r="3713" spans="1:1" x14ac:dyDescent="0.25">
      <c r="A3713" s="5"/>
    </row>
    <row r="3714" spans="1:1" x14ac:dyDescent="0.25">
      <c r="A3714" s="5"/>
    </row>
    <row r="3715" spans="1:1" x14ac:dyDescent="0.25">
      <c r="A3715" s="5"/>
    </row>
    <row r="3716" spans="1:1" x14ac:dyDescent="0.25">
      <c r="A3716" s="5"/>
    </row>
    <row r="3717" spans="1:1" x14ac:dyDescent="0.25">
      <c r="A3717" s="5"/>
    </row>
    <row r="3718" spans="1:1" x14ac:dyDescent="0.25">
      <c r="A3718" s="5"/>
    </row>
    <row r="3719" spans="1:1" x14ac:dyDescent="0.25">
      <c r="A3719" s="5"/>
    </row>
    <row r="3720" spans="1:1" x14ac:dyDescent="0.25">
      <c r="A3720" s="5"/>
    </row>
    <row r="3721" spans="1:1" x14ac:dyDescent="0.25">
      <c r="A3721" s="5"/>
    </row>
    <row r="3722" spans="1:1" x14ac:dyDescent="0.25">
      <c r="A3722" s="5"/>
    </row>
    <row r="3723" spans="1:1" x14ac:dyDescent="0.25">
      <c r="A3723" s="5"/>
    </row>
    <row r="3724" spans="1:1" x14ac:dyDescent="0.25">
      <c r="A3724" s="5"/>
    </row>
    <row r="3725" spans="1:1" x14ac:dyDescent="0.25">
      <c r="A3725" s="5"/>
    </row>
    <row r="3726" spans="1:1" x14ac:dyDescent="0.25">
      <c r="A3726" s="5"/>
    </row>
    <row r="3727" spans="1:1" x14ac:dyDescent="0.25">
      <c r="A3727" s="5"/>
    </row>
    <row r="3728" spans="1:1" x14ac:dyDescent="0.25">
      <c r="A3728" s="5"/>
    </row>
    <row r="3729" spans="1:1" x14ac:dyDescent="0.25">
      <c r="A3729" s="5"/>
    </row>
    <row r="3730" spans="1:1" x14ac:dyDescent="0.25">
      <c r="A3730" s="5"/>
    </row>
    <row r="3731" spans="1:1" x14ac:dyDescent="0.25">
      <c r="A3731" s="5"/>
    </row>
    <row r="3732" spans="1:1" x14ac:dyDescent="0.25">
      <c r="A3732" s="5"/>
    </row>
    <row r="3733" spans="1:1" x14ac:dyDescent="0.25">
      <c r="A3733" s="5"/>
    </row>
    <row r="3734" spans="1:1" x14ac:dyDescent="0.25">
      <c r="A3734" s="5"/>
    </row>
    <row r="3735" spans="1:1" x14ac:dyDescent="0.25">
      <c r="A3735" s="5"/>
    </row>
    <row r="3736" spans="1:1" x14ac:dyDescent="0.25">
      <c r="A3736" s="5"/>
    </row>
    <row r="3737" spans="1:1" x14ac:dyDescent="0.25">
      <c r="A3737" s="5"/>
    </row>
    <row r="3738" spans="1:1" x14ac:dyDescent="0.25">
      <c r="A3738" s="5"/>
    </row>
    <row r="3739" spans="1:1" x14ac:dyDescent="0.25">
      <c r="A3739" s="5"/>
    </row>
    <row r="3740" spans="1:1" x14ac:dyDescent="0.25">
      <c r="A3740" s="5"/>
    </row>
    <row r="3741" spans="1:1" x14ac:dyDescent="0.25">
      <c r="A3741" s="5"/>
    </row>
    <row r="3742" spans="1:1" x14ac:dyDescent="0.25">
      <c r="A3742" s="5"/>
    </row>
    <row r="3743" spans="1:1" x14ac:dyDescent="0.25">
      <c r="A3743" s="5"/>
    </row>
    <row r="3744" spans="1:1" x14ac:dyDescent="0.25">
      <c r="A3744" s="5"/>
    </row>
    <row r="3745" spans="1:1" x14ac:dyDescent="0.25">
      <c r="A3745" s="5"/>
    </row>
    <row r="3746" spans="1:1" x14ac:dyDescent="0.25">
      <c r="A3746" s="5"/>
    </row>
    <row r="3747" spans="1:1" x14ac:dyDescent="0.25">
      <c r="A3747" s="5"/>
    </row>
    <row r="3748" spans="1:1" x14ac:dyDescent="0.25">
      <c r="A3748" s="5"/>
    </row>
    <row r="3749" spans="1:1" x14ac:dyDescent="0.25">
      <c r="A3749" s="5"/>
    </row>
    <row r="3750" spans="1:1" x14ac:dyDescent="0.25">
      <c r="A3750" s="5"/>
    </row>
    <row r="3751" spans="1:1" x14ac:dyDescent="0.25">
      <c r="A3751" s="5"/>
    </row>
    <row r="3752" spans="1:1" x14ac:dyDescent="0.25">
      <c r="A3752" s="5"/>
    </row>
    <row r="3753" spans="1:1" x14ac:dyDescent="0.25">
      <c r="A3753" s="5"/>
    </row>
    <row r="3754" spans="1:1" x14ac:dyDescent="0.25">
      <c r="A3754" s="5"/>
    </row>
    <row r="3755" spans="1:1" x14ac:dyDescent="0.25">
      <c r="A3755" s="5"/>
    </row>
    <row r="3756" spans="1:1" x14ac:dyDescent="0.25">
      <c r="A3756" s="5"/>
    </row>
    <row r="3757" spans="1:1" x14ac:dyDescent="0.25">
      <c r="A3757" s="5"/>
    </row>
    <row r="3758" spans="1:1" x14ac:dyDescent="0.25">
      <c r="A3758" s="5"/>
    </row>
    <row r="3759" spans="1:1" x14ac:dyDescent="0.25">
      <c r="A3759" s="5"/>
    </row>
    <row r="3760" spans="1:1" x14ac:dyDescent="0.25">
      <c r="A3760" s="5"/>
    </row>
    <row r="3761" spans="1:1" x14ac:dyDescent="0.25">
      <c r="A3761" s="5"/>
    </row>
    <row r="3762" spans="1:1" x14ac:dyDescent="0.25">
      <c r="A3762" s="5"/>
    </row>
    <row r="3763" spans="1:1" x14ac:dyDescent="0.25">
      <c r="A3763" s="5"/>
    </row>
    <row r="3764" spans="1:1" x14ac:dyDescent="0.25">
      <c r="A3764" s="5"/>
    </row>
    <row r="3765" spans="1:1" x14ac:dyDescent="0.25">
      <c r="A3765" s="5"/>
    </row>
    <row r="3766" spans="1:1" x14ac:dyDescent="0.25">
      <c r="A3766" s="5"/>
    </row>
    <row r="3767" spans="1:1" x14ac:dyDescent="0.25">
      <c r="A3767" s="5"/>
    </row>
    <row r="3768" spans="1:1" x14ac:dyDescent="0.25">
      <c r="A3768" s="5"/>
    </row>
    <row r="3769" spans="1:1" x14ac:dyDescent="0.25">
      <c r="A3769" s="5"/>
    </row>
    <row r="3770" spans="1:1" x14ac:dyDescent="0.25">
      <c r="A3770" s="5"/>
    </row>
    <row r="3771" spans="1:1" x14ac:dyDescent="0.25">
      <c r="A3771" s="5"/>
    </row>
    <row r="3772" spans="1:1" x14ac:dyDescent="0.25">
      <c r="A3772" s="5"/>
    </row>
    <row r="3773" spans="1:1" x14ac:dyDescent="0.25">
      <c r="A3773" s="5"/>
    </row>
    <row r="3774" spans="1:1" x14ac:dyDescent="0.25">
      <c r="A3774" s="5"/>
    </row>
    <row r="3775" spans="1:1" x14ac:dyDescent="0.25">
      <c r="A3775" s="5"/>
    </row>
    <row r="3776" spans="1:1" x14ac:dyDescent="0.25">
      <c r="A3776" s="5"/>
    </row>
    <row r="3777" spans="1:1" x14ac:dyDescent="0.25">
      <c r="A3777" s="5"/>
    </row>
    <row r="3778" spans="1:1" x14ac:dyDescent="0.25">
      <c r="A3778" s="5"/>
    </row>
    <row r="3779" spans="1:1" x14ac:dyDescent="0.25">
      <c r="A3779" s="5"/>
    </row>
    <row r="3780" spans="1:1" x14ac:dyDescent="0.25">
      <c r="A3780" s="5"/>
    </row>
    <row r="3781" spans="1:1" x14ac:dyDescent="0.25">
      <c r="A3781" s="5"/>
    </row>
    <row r="3782" spans="1:1" x14ac:dyDescent="0.25">
      <c r="A3782" s="5"/>
    </row>
    <row r="3783" spans="1:1" x14ac:dyDescent="0.25">
      <c r="A3783" s="5"/>
    </row>
    <row r="3784" spans="1:1" x14ac:dyDescent="0.25">
      <c r="A3784" s="5"/>
    </row>
    <row r="3785" spans="1:1" x14ac:dyDescent="0.25">
      <c r="A3785" s="5"/>
    </row>
    <row r="3786" spans="1:1" x14ac:dyDescent="0.25">
      <c r="A3786" s="5"/>
    </row>
    <row r="3787" spans="1:1" x14ac:dyDescent="0.25">
      <c r="A3787" s="5"/>
    </row>
    <row r="3788" spans="1:1" x14ac:dyDescent="0.25">
      <c r="A3788" s="5"/>
    </row>
    <row r="3789" spans="1:1" x14ac:dyDescent="0.25">
      <c r="A3789" s="5"/>
    </row>
    <row r="3790" spans="1:1" x14ac:dyDescent="0.25">
      <c r="A3790" s="5"/>
    </row>
    <row r="3791" spans="1:1" x14ac:dyDescent="0.25">
      <c r="A3791" s="5"/>
    </row>
    <row r="3792" spans="1:1" x14ac:dyDescent="0.25">
      <c r="A3792" s="5"/>
    </row>
    <row r="3793" spans="1:1" x14ac:dyDescent="0.25">
      <c r="A3793" s="5"/>
    </row>
    <row r="3794" spans="1:1" x14ac:dyDescent="0.25">
      <c r="A3794" s="5"/>
    </row>
    <row r="3795" spans="1:1" x14ac:dyDescent="0.25">
      <c r="A3795" s="5"/>
    </row>
    <row r="3796" spans="1:1" x14ac:dyDescent="0.25">
      <c r="A3796" s="5"/>
    </row>
    <row r="3797" spans="1:1" x14ac:dyDescent="0.25">
      <c r="A3797" s="5"/>
    </row>
    <row r="3798" spans="1:1" x14ac:dyDescent="0.25">
      <c r="A3798" s="5"/>
    </row>
    <row r="3799" spans="1:1" x14ac:dyDescent="0.25">
      <c r="A3799" s="5"/>
    </row>
    <row r="3800" spans="1:1" x14ac:dyDescent="0.25">
      <c r="A3800" s="5"/>
    </row>
    <row r="3801" spans="1:1" x14ac:dyDescent="0.25">
      <c r="A3801" s="5"/>
    </row>
    <row r="3802" spans="1:1" x14ac:dyDescent="0.25">
      <c r="A3802" s="5"/>
    </row>
    <row r="3803" spans="1:1" x14ac:dyDescent="0.25">
      <c r="A3803" s="5"/>
    </row>
    <row r="3804" spans="1:1" x14ac:dyDescent="0.25">
      <c r="A3804" s="5"/>
    </row>
    <row r="3805" spans="1:1" x14ac:dyDescent="0.25">
      <c r="A3805" s="5"/>
    </row>
    <row r="3806" spans="1:1" x14ac:dyDescent="0.25">
      <c r="A3806" s="5"/>
    </row>
    <row r="3807" spans="1:1" x14ac:dyDescent="0.25">
      <c r="A3807" s="5"/>
    </row>
    <row r="3808" spans="1:1" x14ac:dyDescent="0.25">
      <c r="A3808" s="5"/>
    </row>
    <row r="3809" spans="1:1" x14ac:dyDescent="0.25">
      <c r="A3809" s="5"/>
    </row>
    <row r="3810" spans="1:1" x14ac:dyDescent="0.25">
      <c r="A3810" s="5"/>
    </row>
    <row r="3811" spans="1:1" x14ac:dyDescent="0.25">
      <c r="A3811" s="5"/>
    </row>
    <row r="3812" spans="1:1" x14ac:dyDescent="0.25">
      <c r="A3812" s="5"/>
    </row>
    <row r="3813" spans="1:1" x14ac:dyDescent="0.25">
      <c r="A3813" s="5"/>
    </row>
    <row r="3814" spans="1:1" x14ac:dyDescent="0.25">
      <c r="A3814" s="5"/>
    </row>
    <row r="3815" spans="1:1" x14ac:dyDescent="0.25">
      <c r="A3815" s="5"/>
    </row>
    <row r="3816" spans="1:1" x14ac:dyDescent="0.25">
      <c r="A3816" s="5"/>
    </row>
    <row r="3817" spans="1:1" x14ac:dyDescent="0.25">
      <c r="A3817" s="5"/>
    </row>
    <row r="3818" spans="1:1" x14ac:dyDescent="0.25">
      <c r="A3818" s="5"/>
    </row>
    <row r="3819" spans="1:1" x14ac:dyDescent="0.25">
      <c r="A3819" s="5"/>
    </row>
    <row r="3820" spans="1:1" x14ac:dyDescent="0.25">
      <c r="A3820" s="5"/>
    </row>
    <row r="3821" spans="1:1" x14ac:dyDescent="0.25">
      <c r="A3821" s="5"/>
    </row>
    <row r="3822" spans="1:1" x14ac:dyDescent="0.25">
      <c r="A3822" s="5"/>
    </row>
    <row r="3823" spans="1:1" x14ac:dyDescent="0.25">
      <c r="A3823" s="5"/>
    </row>
    <row r="3824" spans="1:1" x14ac:dyDescent="0.25">
      <c r="A3824" s="5"/>
    </row>
    <row r="3825" spans="1:1" x14ac:dyDescent="0.25">
      <c r="A3825" s="5"/>
    </row>
    <row r="3826" spans="1:1" x14ac:dyDescent="0.25">
      <c r="A3826" s="5"/>
    </row>
    <row r="3827" spans="1:1" x14ac:dyDescent="0.25">
      <c r="A3827" s="5"/>
    </row>
    <row r="3828" spans="1:1" x14ac:dyDescent="0.25">
      <c r="A3828" s="5"/>
    </row>
    <row r="3829" spans="1:1" x14ac:dyDescent="0.25">
      <c r="A3829" s="5"/>
    </row>
    <row r="3830" spans="1:1" x14ac:dyDescent="0.25">
      <c r="A3830" s="5"/>
    </row>
    <row r="3831" spans="1:1" x14ac:dyDescent="0.25">
      <c r="A3831" s="5"/>
    </row>
    <row r="3832" spans="1:1" x14ac:dyDescent="0.25">
      <c r="A3832" s="5"/>
    </row>
    <row r="3833" spans="1:1" x14ac:dyDescent="0.25">
      <c r="A3833" s="5"/>
    </row>
    <row r="3834" spans="1:1" x14ac:dyDescent="0.25">
      <c r="A3834" s="5"/>
    </row>
    <row r="3835" spans="1:1" x14ac:dyDescent="0.25">
      <c r="A3835" s="5"/>
    </row>
    <row r="3836" spans="1:1" x14ac:dyDescent="0.25">
      <c r="A3836" s="5"/>
    </row>
    <row r="3837" spans="1:1" x14ac:dyDescent="0.25">
      <c r="A3837" s="5"/>
    </row>
    <row r="3838" spans="1:1" x14ac:dyDescent="0.25">
      <c r="A3838" s="5"/>
    </row>
    <row r="3839" spans="1:1" x14ac:dyDescent="0.25">
      <c r="A3839" s="5"/>
    </row>
    <row r="3840" spans="1:1" x14ac:dyDescent="0.25">
      <c r="A3840" s="5"/>
    </row>
    <row r="3841" spans="1:1" x14ac:dyDescent="0.25">
      <c r="A3841" s="5"/>
    </row>
    <row r="3842" spans="1:1" x14ac:dyDescent="0.25">
      <c r="A3842" s="5"/>
    </row>
    <row r="3843" spans="1:1" x14ac:dyDescent="0.25">
      <c r="A3843" s="5"/>
    </row>
    <row r="3844" spans="1:1" x14ac:dyDescent="0.25">
      <c r="A3844" s="5"/>
    </row>
    <row r="3845" spans="1:1" x14ac:dyDescent="0.25">
      <c r="A3845" s="5"/>
    </row>
    <row r="3846" spans="1:1" x14ac:dyDescent="0.25">
      <c r="A3846" s="5"/>
    </row>
    <row r="3847" spans="1:1" x14ac:dyDescent="0.25">
      <c r="A3847" s="5"/>
    </row>
    <row r="3848" spans="1:1" x14ac:dyDescent="0.25">
      <c r="A3848" s="5"/>
    </row>
    <row r="3849" spans="1:1" x14ac:dyDescent="0.25">
      <c r="A3849" s="5"/>
    </row>
    <row r="3850" spans="1:1" x14ac:dyDescent="0.25">
      <c r="A3850" s="5"/>
    </row>
    <row r="3851" spans="1:1" x14ac:dyDescent="0.25">
      <c r="A3851" s="5"/>
    </row>
    <row r="3852" spans="1:1" x14ac:dyDescent="0.25">
      <c r="A3852" s="5"/>
    </row>
    <row r="3853" spans="1:1" x14ac:dyDescent="0.25">
      <c r="A3853" s="5"/>
    </row>
    <row r="3854" spans="1:1" x14ac:dyDescent="0.25">
      <c r="A3854" s="5"/>
    </row>
    <row r="3855" spans="1:1" x14ac:dyDescent="0.25">
      <c r="A3855" s="5"/>
    </row>
    <row r="3856" spans="1:1" x14ac:dyDescent="0.25">
      <c r="A3856" s="5"/>
    </row>
    <row r="3857" spans="1:1" x14ac:dyDescent="0.25">
      <c r="A3857" s="5"/>
    </row>
    <row r="3858" spans="1:1" x14ac:dyDescent="0.25">
      <c r="A3858" s="5"/>
    </row>
    <row r="3859" spans="1:1" x14ac:dyDescent="0.25">
      <c r="A3859" s="5"/>
    </row>
    <row r="3860" spans="1:1" x14ac:dyDescent="0.25">
      <c r="A3860" s="5"/>
    </row>
    <row r="3861" spans="1:1" x14ac:dyDescent="0.25">
      <c r="A3861" s="5"/>
    </row>
    <row r="3862" spans="1:1" x14ac:dyDescent="0.25">
      <c r="A3862" s="5"/>
    </row>
    <row r="3863" spans="1:1" x14ac:dyDescent="0.25">
      <c r="A3863" s="5"/>
    </row>
    <row r="3864" spans="1:1" x14ac:dyDescent="0.25">
      <c r="A3864" s="5"/>
    </row>
    <row r="3865" spans="1:1" x14ac:dyDescent="0.25">
      <c r="A3865" s="5"/>
    </row>
    <row r="3866" spans="1:1" x14ac:dyDescent="0.25">
      <c r="A3866" s="5"/>
    </row>
    <row r="3867" spans="1:1" x14ac:dyDescent="0.25">
      <c r="A3867" s="5"/>
    </row>
    <row r="3868" spans="1:1" x14ac:dyDescent="0.25">
      <c r="A3868" s="5"/>
    </row>
    <row r="3869" spans="1:1" x14ac:dyDescent="0.25">
      <c r="A3869" s="5"/>
    </row>
    <row r="3870" spans="1:1" x14ac:dyDescent="0.25">
      <c r="A3870" s="5"/>
    </row>
    <row r="3871" spans="1:1" x14ac:dyDescent="0.25">
      <c r="A3871" s="5"/>
    </row>
    <row r="3872" spans="1:1" x14ac:dyDescent="0.25">
      <c r="A3872" s="5"/>
    </row>
    <row r="3873" spans="1:1" x14ac:dyDescent="0.25">
      <c r="A3873" s="5"/>
    </row>
    <row r="3874" spans="1:1" x14ac:dyDescent="0.25">
      <c r="A3874" s="5"/>
    </row>
    <row r="3875" spans="1:1" x14ac:dyDescent="0.25">
      <c r="A3875" s="5"/>
    </row>
    <row r="3876" spans="1:1" x14ac:dyDescent="0.25">
      <c r="A3876" s="5"/>
    </row>
    <row r="3877" spans="1:1" x14ac:dyDescent="0.25">
      <c r="A3877" s="5"/>
    </row>
    <row r="3878" spans="1:1" x14ac:dyDescent="0.25">
      <c r="A3878" s="5"/>
    </row>
    <row r="3879" spans="1:1" x14ac:dyDescent="0.25">
      <c r="A3879" s="5"/>
    </row>
    <row r="3880" spans="1:1" x14ac:dyDescent="0.25">
      <c r="A3880" s="5"/>
    </row>
    <row r="3881" spans="1:1" x14ac:dyDescent="0.25">
      <c r="A3881" s="5"/>
    </row>
    <row r="3882" spans="1:1" x14ac:dyDescent="0.25">
      <c r="A3882" s="5"/>
    </row>
    <row r="3883" spans="1:1" x14ac:dyDescent="0.25">
      <c r="A3883" s="5"/>
    </row>
    <row r="3884" spans="1:1" x14ac:dyDescent="0.25">
      <c r="A3884" s="5"/>
    </row>
    <row r="3885" spans="1:1" x14ac:dyDescent="0.25">
      <c r="A3885" s="5"/>
    </row>
    <row r="3886" spans="1:1" x14ac:dyDescent="0.25">
      <c r="A3886" s="5"/>
    </row>
    <row r="3887" spans="1:1" x14ac:dyDescent="0.25">
      <c r="A3887" s="5"/>
    </row>
    <row r="3888" spans="1:1" x14ac:dyDescent="0.25">
      <c r="A3888" s="5"/>
    </row>
    <row r="3889" spans="1:1" x14ac:dyDescent="0.25">
      <c r="A3889" s="5"/>
    </row>
    <row r="3890" spans="1:1" x14ac:dyDescent="0.25">
      <c r="A3890" s="5"/>
    </row>
    <row r="3891" spans="1:1" x14ac:dyDescent="0.25">
      <c r="A3891" s="5"/>
    </row>
    <row r="3892" spans="1:1" x14ac:dyDescent="0.25">
      <c r="A3892" s="5"/>
    </row>
    <row r="3893" spans="1:1" x14ac:dyDescent="0.25">
      <c r="A3893" s="5"/>
    </row>
    <row r="3894" spans="1:1" x14ac:dyDescent="0.25">
      <c r="A3894" s="5"/>
    </row>
    <row r="3895" spans="1:1" x14ac:dyDescent="0.25">
      <c r="A3895" s="5"/>
    </row>
    <row r="3896" spans="1:1" x14ac:dyDescent="0.25">
      <c r="A3896" s="5"/>
    </row>
    <row r="3897" spans="1:1" x14ac:dyDescent="0.25">
      <c r="A3897" s="5"/>
    </row>
    <row r="3898" spans="1:1" x14ac:dyDescent="0.25">
      <c r="A3898" s="5"/>
    </row>
    <row r="3899" spans="1:1" x14ac:dyDescent="0.25">
      <c r="A3899" s="5"/>
    </row>
    <row r="3900" spans="1:1" x14ac:dyDescent="0.25">
      <c r="A3900" s="5"/>
    </row>
    <row r="3901" spans="1:1" x14ac:dyDescent="0.25">
      <c r="A3901" s="5"/>
    </row>
    <row r="3902" spans="1:1" x14ac:dyDescent="0.25">
      <c r="A3902" s="5"/>
    </row>
    <row r="3903" spans="1:1" x14ac:dyDescent="0.25">
      <c r="A3903" s="5"/>
    </row>
    <row r="3904" spans="1:1" x14ac:dyDescent="0.25">
      <c r="A3904" s="5"/>
    </row>
    <row r="3905" spans="1:1" x14ac:dyDescent="0.25">
      <c r="A3905" s="5"/>
    </row>
    <row r="3906" spans="1:1" x14ac:dyDescent="0.25">
      <c r="A3906" s="5"/>
    </row>
    <row r="3907" spans="1:1" x14ac:dyDescent="0.25">
      <c r="A3907" s="5"/>
    </row>
    <row r="3908" spans="1:1" x14ac:dyDescent="0.25">
      <c r="A3908" s="5"/>
    </row>
    <row r="3909" spans="1:1" x14ac:dyDescent="0.25">
      <c r="A3909" s="5"/>
    </row>
    <row r="3910" spans="1:1" x14ac:dyDescent="0.25">
      <c r="A3910" s="5"/>
    </row>
    <row r="3911" spans="1:1" x14ac:dyDescent="0.25">
      <c r="A3911" s="5"/>
    </row>
    <row r="3912" spans="1:1" x14ac:dyDescent="0.25">
      <c r="A3912" s="5"/>
    </row>
    <row r="3913" spans="1:1" x14ac:dyDescent="0.25">
      <c r="A3913" s="5"/>
    </row>
    <row r="3914" spans="1:1" x14ac:dyDescent="0.25">
      <c r="A3914" s="5"/>
    </row>
    <row r="3915" spans="1:1" x14ac:dyDescent="0.25">
      <c r="A3915" s="5"/>
    </row>
    <row r="3916" spans="1:1" x14ac:dyDescent="0.25">
      <c r="A3916" s="5"/>
    </row>
    <row r="3917" spans="1:1" x14ac:dyDescent="0.25">
      <c r="A3917" s="5"/>
    </row>
    <row r="3918" spans="1:1" x14ac:dyDescent="0.25">
      <c r="A3918" s="5"/>
    </row>
    <row r="3919" spans="1:1" x14ac:dyDescent="0.25">
      <c r="A3919" s="5"/>
    </row>
    <row r="3920" spans="1:1" x14ac:dyDescent="0.25">
      <c r="A3920" s="5"/>
    </row>
    <row r="3921" spans="1:1" x14ac:dyDescent="0.25">
      <c r="A3921" s="5"/>
    </row>
    <row r="3922" spans="1:1" x14ac:dyDescent="0.25">
      <c r="A3922" s="5"/>
    </row>
    <row r="3923" spans="1:1" x14ac:dyDescent="0.25">
      <c r="A3923" s="5"/>
    </row>
    <row r="3924" spans="1:1" x14ac:dyDescent="0.25">
      <c r="A3924" s="5"/>
    </row>
    <row r="3925" spans="1:1" x14ac:dyDescent="0.25">
      <c r="A3925" s="5"/>
    </row>
    <row r="3926" spans="1:1" x14ac:dyDescent="0.25">
      <c r="A3926" s="5"/>
    </row>
    <row r="3927" spans="1:1" x14ac:dyDescent="0.25">
      <c r="A3927" s="5"/>
    </row>
    <row r="3928" spans="1:1" x14ac:dyDescent="0.25">
      <c r="A3928" s="5"/>
    </row>
    <row r="3929" spans="1:1" x14ac:dyDescent="0.25">
      <c r="A3929" s="5"/>
    </row>
    <row r="3930" spans="1:1" x14ac:dyDescent="0.25">
      <c r="A3930" s="5"/>
    </row>
    <row r="3931" spans="1:1" x14ac:dyDescent="0.25">
      <c r="A3931" s="5"/>
    </row>
    <row r="3932" spans="1:1" x14ac:dyDescent="0.25">
      <c r="A3932" s="5"/>
    </row>
    <row r="3933" spans="1:1" x14ac:dyDescent="0.25">
      <c r="A3933" s="5"/>
    </row>
    <row r="3934" spans="1:1" x14ac:dyDescent="0.25">
      <c r="A3934" s="5"/>
    </row>
    <row r="3935" spans="1:1" x14ac:dyDescent="0.25">
      <c r="A3935" s="5"/>
    </row>
    <row r="3936" spans="1:1" x14ac:dyDescent="0.25">
      <c r="A3936" s="5"/>
    </row>
    <row r="3937" spans="1:1" x14ac:dyDescent="0.25">
      <c r="A3937" s="5"/>
    </row>
    <row r="3938" spans="1:1" x14ac:dyDescent="0.25">
      <c r="A3938" s="5"/>
    </row>
    <row r="3939" spans="1:1" x14ac:dyDescent="0.25">
      <c r="A3939" s="5"/>
    </row>
    <row r="3940" spans="1:1" x14ac:dyDescent="0.25">
      <c r="A3940" s="5"/>
    </row>
    <row r="3941" spans="1:1" x14ac:dyDescent="0.25">
      <c r="A3941" s="5"/>
    </row>
    <row r="3942" spans="1:1" x14ac:dyDescent="0.25">
      <c r="A3942" s="5"/>
    </row>
    <row r="3943" spans="1:1" x14ac:dyDescent="0.25">
      <c r="A3943" s="5"/>
    </row>
    <row r="3944" spans="1:1" x14ac:dyDescent="0.25">
      <c r="A3944" s="5"/>
    </row>
    <row r="3945" spans="1:1" x14ac:dyDescent="0.25">
      <c r="A3945" s="5"/>
    </row>
    <row r="3946" spans="1:1" x14ac:dyDescent="0.25">
      <c r="A3946" s="5"/>
    </row>
    <row r="3947" spans="1:1" x14ac:dyDescent="0.25">
      <c r="A3947" s="5"/>
    </row>
    <row r="3948" spans="1:1" x14ac:dyDescent="0.25">
      <c r="A3948" s="5"/>
    </row>
    <row r="3949" spans="1:1" x14ac:dyDescent="0.25">
      <c r="A3949" s="5"/>
    </row>
    <row r="3950" spans="1:1" x14ac:dyDescent="0.25">
      <c r="A3950" s="5"/>
    </row>
    <row r="3951" spans="1:1" x14ac:dyDescent="0.25">
      <c r="A3951" s="5"/>
    </row>
    <row r="3952" spans="1:1" x14ac:dyDescent="0.25">
      <c r="A3952" s="5"/>
    </row>
    <row r="3953" spans="1:1" x14ac:dyDescent="0.25">
      <c r="A3953" s="5"/>
    </row>
    <row r="3954" spans="1:1" x14ac:dyDescent="0.25">
      <c r="A3954" s="5"/>
    </row>
    <row r="3955" spans="1:1" x14ac:dyDescent="0.25">
      <c r="A3955" s="5"/>
    </row>
    <row r="3956" spans="1:1" x14ac:dyDescent="0.25">
      <c r="A3956" s="5"/>
    </row>
    <row r="3957" spans="1:1" x14ac:dyDescent="0.25">
      <c r="A3957" s="5"/>
    </row>
    <row r="3958" spans="1:1" x14ac:dyDescent="0.25">
      <c r="A3958" s="5"/>
    </row>
    <row r="3959" spans="1:1" x14ac:dyDescent="0.25">
      <c r="A3959" s="5"/>
    </row>
    <row r="3960" spans="1:1" x14ac:dyDescent="0.25">
      <c r="A3960" s="5"/>
    </row>
    <row r="3961" spans="1:1" x14ac:dyDescent="0.25">
      <c r="A3961" s="5"/>
    </row>
    <row r="3962" spans="1:1" x14ac:dyDescent="0.25">
      <c r="A3962" s="5"/>
    </row>
    <row r="3963" spans="1:1" x14ac:dyDescent="0.25">
      <c r="A3963" s="5"/>
    </row>
    <row r="3964" spans="1:1" x14ac:dyDescent="0.25">
      <c r="A3964" s="5"/>
    </row>
    <row r="3965" spans="1:1" x14ac:dyDescent="0.25">
      <c r="A3965" s="5"/>
    </row>
    <row r="3966" spans="1:1" x14ac:dyDescent="0.25">
      <c r="A3966" s="5"/>
    </row>
    <row r="3967" spans="1:1" x14ac:dyDescent="0.25">
      <c r="A3967" s="5"/>
    </row>
    <row r="3968" spans="1:1" x14ac:dyDescent="0.25">
      <c r="A3968" s="5"/>
    </row>
    <row r="3969" spans="1:1" x14ac:dyDescent="0.25">
      <c r="A3969" s="5"/>
    </row>
    <row r="3970" spans="1:1" x14ac:dyDescent="0.25">
      <c r="A3970" s="5"/>
    </row>
    <row r="3971" spans="1:1" x14ac:dyDescent="0.25">
      <c r="A3971" s="5"/>
    </row>
    <row r="3972" spans="1:1" x14ac:dyDescent="0.25">
      <c r="A3972" s="5"/>
    </row>
    <row r="3973" spans="1:1" x14ac:dyDescent="0.25">
      <c r="A3973" s="5"/>
    </row>
    <row r="3974" spans="1:1" x14ac:dyDescent="0.25">
      <c r="A3974" s="5"/>
    </row>
    <row r="3975" spans="1:1" x14ac:dyDescent="0.25">
      <c r="A3975" s="5"/>
    </row>
    <row r="3976" spans="1:1" x14ac:dyDescent="0.25">
      <c r="A3976" s="5"/>
    </row>
    <row r="3977" spans="1:1" x14ac:dyDescent="0.25">
      <c r="A3977" s="5"/>
    </row>
    <row r="3978" spans="1:1" x14ac:dyDescent="0.25">
      <c r="A3978" s="5"/>
    </row>
    <row r="3979" spans="1:1" x14ac:dyDescent="0.25">
      <c r="A3979" s="5"/>
    </row>
    <row r="3980" spans="1:1" x14ac:dyDescent="0.25">
      <c r="A3980" s="5"/>
    </row>
    <row r="3981" spans="1:1" x14ac:dyDescent="0.25">
      <c r="A3981" s="5"/>
    </row>
    <row r="3982" spans="1:1" x14ac:dyDescent="0.25">
      <c r="A3982" s="5"/>
    </row>
    <row r="3983" spans="1:1" x14ac:dyDescent="0.25">
      <c r="A3983" s="5"/>
    </row>
    <row r="3984" spans="1:1" x14ac:dyDescent="0.25">
      <c r="A3984" s="5"/>
    </row>
    <row r="3985" spans="1:1" x14ac:dyDescent="0.25">
      <c r="A3985" s="5"/>
    </row>
    <row r="3986" spans="1:1" x14ac:dyDescent="0.25">
      <c r="A3986" s="5"/>
    </row>
    <row r="3987" spans="1:1" x14ac:dyDescent="0.25">
      <c r="A3987" s="5"/>
    </row>
    <row r="3988" spans="1:1" x14ac:dyDescent="0.25">
      <c r="A3988" s="5"/>
    </row>
    <row r="3989" spans="1:1" x14ac:dyDescent="0.25">
      <c r="A3989" s="5"/>
    </row>
    <row r="3990" spans="1:1" x14ac:dyDescent="0.25">
      <c r="A3990" s="5"/>
    </row>
    <row r="3991" spans="1:1" x14ac:dyDescent="0.25">
      <c r="A3991" s="5"/>
    </row>
    <row r="3992" spans="1:1" x14ac:dyDescent="0.25">
      <c r="A3992" s="5"/>
    </row>
    <row r="3993" spans="1:1" x14ac:dyDescent="0.25">
      <c r="A3993" s="5"/>
    </row>
    <row r="3994" spans="1:1" x14ac:dyDescent="0.25">
      <c r="A3994" s="5"/>
    </row>
    <row r="3995" spans="1:1" x14ac:dyDescent="0.25">
      <c r="A3995" s="5"/>
    </row>
    <row r="3996" spans="1:1" x14ac:dyDescent="0.25">
      <c r="A3996" s="5"/>
    </row>
    <row r="3997" spans="1:1" x14ac:dyDescent="0.25">
      <c r="A3997" s="5"/>
    </row>
    <row r="3998" spans="1:1" x14ac:dyDescent="0.25">
      <c r="A3998" s="5"/>
    </row>
    <row r="3999" spans="1:1" x14ac:dyDescent="0.25">
      <c r="A3999" s="5"/>
    </row>
    <row r="4000" spans="1:1" x14ac:dyDescent="0.25">
      <c r="A4000" s="5"/>
    </row>
    <row r="4001" spans="1:1" x14ac:dyDescent="0.25">
      <c r="A4001" s="5"/>
    </row>
    <row r="4002" spans="1:1" x14ac:dyDescent="0.25">
      <c r="A4002" s="5"/>
    </row>
    <row r="4003" spans="1:1" x14ac:dyDescent="0.25">
      <c r="A4003" s="5"/>
    </row>
    <row r="4004" spans="1:1" x14ac:dyDescent="0.25">
      <c r="A4004" s="5"/>
    </row>
    <row r="4005" spans="1:1" x14ac:dyDescent="0.25">
      <c r="A4005" s="5"/>
    </row>
    <row r="4006" spans="1:1" x14ac:dyDescent="0.25">
      <c r="A4006" s="5"/>
    </row>
    <row r="4007" spans="1:1" x14ac:dyDescent="0.25">
      <c r="A4007" s="5"/>
    </row>
    <row r="4008" spans="1:1" x14ac:dyDescent="0.25">
      <c r="A4008" s="5"/>
    </row>
    <row r="4009" spans="1:1" x14ac:dyDescent="0.25">
      <c r="A4009" s="5"/>
    </row>
    <row r="4010" spans="1:1" x14ac:dyDescent="0.25">
      <c r="A4010" s="5"/>
    </row>
    <row r="4011" spans="1:1" x14ac:dyDescent="0.25">
      <c r="A4011" s="5"/>
    </row>
    <row r="4012" spans="1:1" x14ac:dyDescent="0.25">
      <c r="A4012" s="5"/>
    </row>
    <row r="4013" spans="1:1" x14ac:dyDescent="0.25">
      <c r="A4013" s="5"/>
    </row>
    <row r="4014" spans="1:1" x14ac:dyDescent="0.25">
      <c r="A4014" s="5"/>
    </row>
    <row r="4015" spans="1:1" x14ac:dyDescent="0.25">
      <c r="A4015" s="5"/>
    </row>
    <row r="4016" spans="1:1" x14ac:dyDescent="0.25">
      <c r="A4016" s="5"/>
    </row>
    <row r="4017" spans="1:1" x14ac:dyDescent="0.25">
      <c r="A4017" s="5"/>
    </row>
    <row r="4018" spans="1:1" x14ac:dyDescent="0.25">
      <c r="A4018" s="5"/>
    </row>
    <row r="4019" spans="1:1" x14ac:dyDescent="0.25">
      <c r="A4019" s="5"/>
    </row>
    <row r="4020" spans="1:1" x14ac:dyDescent="0.25">
      <c r="A4020" s="5"/>
    </row>
    <row r="4021" spans="1:1" x14ac:dyDescent="0.25">
      <c r="A4021" s="5"/>
    </row>
    <row r="4022" spans="1:1" x14ac:dyDescent="0.25">
      <c r="A4022" s="5"/>
    </row>
    <row r="4023" spans="1:1" x14ac:dyDescent="0.25">
      <c r="A4023" s="5"/>
    </row>
    <row r="4024" spans="1:1" x14ac:dyDescent="0.25">
      <c r="A4024" s="5"/>
    </row>
    <row r="4025" spans="1:1" x14ac:dyDescent="0.25">
      <c r="A4025" s="5"/>
    </row>
    <row r="4026" spans="1:1" x14ac:dyDescent="0.25">
      <c r="A4026" s="5"/>
    </row>
    <row r="4027" spans="1:1" x14ac:dyDescent="0.25">
      <c r="A4027" s="5"/>
    </row>
    <row r="4028" spans="1:1" x14ac:dyDescent="0.25">
      <c r="A4028" s="5"/>
    </row>
    <row r="4029" spans="1:1" x14ac:dyDescent="0.25">
      <c r="A4029" s="5"/>
    </row>
    <row r="4030" spans="1:1" x14ac:dyDescent="0.25">
      <c r="A4030" s="5"/>
    </row>
    <row r="4031" spans="1:1" x14ac:dyDescent="0.25">
      <c r="A4031" s="5"/>
    </row>
    <row r="4032" spans="1:1" x14ac:dyDescent="0.25">
      <c r="A4032" s="5"/>
    </row>
    <row r="4033" spans="1:1" x14ac:dyDescent="0.25">
      <c r="A4033" s="5"/>
    </row>
    <row r="4034" spans="1:1" x14ac:dyDescent="0.25">
      <c r="A4034" s="5"/>
    </row>
    <row r="4035" spans="1:1" x14ac:dyDescent="0.25">
      <c r="A4035" s="5"/>
    </row>
    <row r="4036" spans="1:1" x14ac:dyDescent="0.25">
      <c r="A4036" s="5"/>
    </row>
    <row r="4037" spans="1:1" x14ac:dyDescent="0.25">
      <c r="A4037" s="5"/>
    </row>
    <row r="4038" spans="1:1" x14ac:dyDescent="0.25">
      <c r="A4038" s="5"/>
    </row>
    <row r="4039" spans="1:1" x14ac:dyDescent="0.25">
      <c r="A4039" s="5"/>
    </row>
    <row r="4040" spans="1:1" x14ac:dyDescent="0.25">
      <c r="A4040" s="5"/>
    </row>
    <row r="4041" spans="1:1" x14ac:dyDescent="0.25">
      <c r="A4041" s="5"/>
    </row>
    <row r="4042" spans="1:1" x14ac:dyDescent="0.25">
      <c r="A4042" s="5"/>
    </row>
    <row r="4043" spans="1:1" x14ac:dyDescent="0.25">
      <c r="A4043" s="5"/>
    </row>
    <row r="4044" spans="1:1" x14ac:dyDescent="0.25">
      <c r="A4044" s="5"/>
    </row>
    <row r="4045" spans="1:1" x14ac:dyDescent="0.25">
      <c r="A4045" s="5"/>
    </row>
    <row r="4046" spans="1:1" x14ac:dyDescent="0.25">
      <c r="A4046" s="5"/>
    </row>
    <row r="4047" spans="1:1" x14ac:dyDescent="0.25">
      <c r="A4047" s="5"/>
    </row>
    <row r="4048" spans="1:1" x14ac:dyDescent="0.25">
      <c r="A4048" s="5"/>
    </row>
    <row r="4049" spans="1:1" x14ac:dyDescent="0.25">
      <c r="A4049" s="5"/>
    </row>
    <row r="4050" spans="1:1" x14ac:dyDescent="0.25">
      <c r="A4050" s="5"/>
    </row>
    <row r="4051" spans="1:1" x14ac:dyDescent="0.25">
      <c r="A4051" s="5"/>
    </row>
    <row r="4052" spans="1:1" x14ac:dyDescent="0.25">
      <c r="A4052" s="5"/>
    </row>
    <row r="4053" spans="1:1" x14ac:dyDescent="0.25">
      <c r="A4053" s="5"/>
    </row>
    <row r="4054" spans="1:1" x14ac:dyDescent="0.25">
      <c r="A4054" s="5"/>
    </row>
    <row r="4055" spans="1:1" x14ac:dyDescent="0.25">
      <c r="A4055" s="5"/>
    </row>
    <row r="4056" spans="1:1" x14ac:dyDescent="0.25">
      <c r="A4056" s="5"/>
    </row>
    <row r="4057" spans="1:1" x14ac:dyDescent="0.25">
      <c r="A4057" s="5"/>
    </row>
    <row r="4058" spans="1:1" x14ac:dyDescent="0.25">
      <c r="A4058" s="5"/>
    </row>
    <row r="4059" spans="1:1" x14ac:dyDescent="0.25">
      <c r="A4059" s="5"/>
    </row>
    <row r="4060" spans="1:1" x14ac:dyDescent="0.25">
      <c r="A4060" s="5"/>
    </row>
    <row r="4061" spans="1:1" x14ac:dyDescent="0.25">
      <c r="A4061" s="5"/>
    </row>
    <row r="4062" spans="1:1" x14ac:dyDescent="0.25">
      <c r="A4062" s="5"/>
    </row>
    <row r="4063" spans="1:1" x14ac:dyDescent="0.25">
      <c r="A4063" s="5"/>
    </row>
    <row r="4064" spans="1:1" x14ac:dyDescent="0.25">
      <c r="A4064" s="5"/>
    </row>
    <row r="4065" spans="1:1" x14ac:dyDescent="0.25">
      <c r="A4065" s="5"/>
    </row>
    <row r="4066" spans="1:1" x14ac:dyDescent="0.25">
      <c r="A4066" s="5"/>
    </row>
    <row r="4067" spans="1:1" x14ac:dyDescent="0.25">
      <c r="A4067" s="5"/>
    </row>
    <row r="4068" spans="1:1" x14ac:dyDescent="0.25">
      <c r="A4068" s="5"/>
    </row>
    <row r="4069" spans="1:1" x14ac:dyDescent="0.25">
      <c r="A4069" s="5"/>
    </row>
    <row r="4070" spans="1:1" x14ac:dyDescent="0.25">
      <c r="A4070" s="5"/>
    </row>
    <row r="4071" spans="1:1" x14ac:dyDescent="0.25">
      <c r="A4071" s="5"/>
    </row>
    <row r="4072" spans="1:1" x14ac:dyDescent="0.25">
      <c r="A4072" s="5"/>
    </row>
    <row r="4073" spans="1:1" x14ac:dyDescent="0.25">
      <c r="A4073" s="5"/>
    </row>
    <row r="4074" spans="1:1" x14ac:dyDescent="0.25">
      <c r="A4074" s="5"/>
    </row>
    <row r="4075" spans="1:1" x14ac:dyDescent="0.25">
      <c r="A4075" s="5"/>
    </row>
    <row r="4076" spans="1:1" x14ac:dyDescent="0.25">
      <c r="A4076" s="5"/>
    </row>
    <row r="4077" spans="1:1" x14ac:dyDescent="0.25">
      <c r="A4077" s="5"/>
    </row>
    <row r="4078" spans="1:1" x14ac:dyDescent="0.25">
      <c r="A4078" s="5"/>
    </row>
    <row r="4079" spans="1:1" x14ac:dyDescent="0.25">
      <c r="A4079" s="5"/>
    </row>
    <row r="4080" spans="1:1" x14ac:dyDescent="0.25">
      <c r="A4080" s="5"/>
    </row>
    <row r="4081" spans="1:1" x14ac:dyDescent="0.25">
      <c r="A4081" s="5"/>
    </row>
    <row r="4082" spans="1:1" x14ac:dyDescent="0.25">
      <c r="A4082" s="5"/>
    </row>
    <row r="4083" spans="1:1" x14ac:dyDescent="0.25">
      <c r="A4083" s="5"/>
    </row>
    <row r="4084" spans="1:1" x14ac:dyDescent="0.25">
      <c r="A4084" s="5"/>
    </row>
    <row r="4085" spans="1:1" x14ac:dyDescent="0.25">
      <c r="A4085" s="5"/>
    </row>
    <row r="4086" spans="1:1" x14ac:dyDescent="0.25">
      <c r="A4086" s="5"/>
    </row>
    <row r="4087" spans="1:1" x14ac:dyDescent="0.25">
      <c r="A4087" s="5"/>
    </row>
    <row r="4088" spans="1:1" x14ac:dyDescent="0.25">
      <c r="A4088" s="5"/>
    </row>
    <row r="4089" spans="1:1" x14ac:dyDescent="0.25">
      <c r="A4089" s="5"/>
    </row>
    <row r="4090" spans="1:1" x14ac:dyDescent="0.25">
      <c r="A4090" s="5"/>
    </row>
    <row r="4091" spans="1:1" x14ac:dyDescent="0.25">
      <c r="A4091" s="5"/>
    </row>
    <row r="4092" spans="1:1" x14ac:dyDescent="0.25">
      <c r="A4092" s="5"/>
    </row>
    <row r="4093" spans="1:1" x14ac:dyDescent="0.25">
      <c r="A4093" s="5"/>
    </row>
    <row r="4094" spans="1:1" x14ac:dyDescent="0.25">
      <c r="A4094" s="5"/>
    </row>
    <row r="4095" spans="1:1" x14ac:dyDescent="0.25">
      <c r="A4095" s="5"/>
    </row>
    <row r="4096" spans="1:1" x14ac:dyDescent="0.25">
      <c r="A4096" s="5"/>
    </row>
    <row r="4097" spans="1:1" x14ac:dyDescent="0.25">
      <c r="A4097" s="5"/>
    </row>
    <row r="4098" spans="1:1" x14ac:dyDescent="0.25">
      <c r="A4098" s="5"/>
    </row>
    <row r="4099" spans="1:1" x14ac:dyDescent="0.25">
      <c r="A4099" s="5"/>
    </row>
    <row r="4100" spans="1:1" x14ac:dyDescent="0.25">
      <c r="A4100" s="5"/>
    </row>
    <row r="4101" spans="1:1" x14ac:dyDescent="0.25">
      <c r="A4101" s="5"/>
    </row>
    <row r="4102" spans="1:1" x14ac:dyDescent="0.25">
      <c r="A4102" s="5"/>
    </row>
    <row r="4103" spans="1:1" x14ac:dyDescent="0.25">
      <c r="A4103" s="5"/>
    </row>
    <row r="4104" spans="1:1" x14ac:dyDescent="0.25">
      <c r="A4104" s="5"/>
    </row>
    <row r="4105" spans="1:1" x14ac:dyDescent="0.25">
      <c r="A4105" s="5"/>
    </row>
    <row r="4106" spans="1:1" x14ac:dyDescent="0.25">
      <c r="A4106" s="5"/>
    </row>
    <row r="4107" spans="1:1" x14ac:dyDescent="0.25">
      <c r="A4107" s="5"/>
    </row>
    <row r="4108" spans="1:1" x14ac:dyDescent="0.25">
      <c r="A4108" s="5"/>
    </row>
    <row r="4109" spans="1:1" x14ac:dyDescent="0.25">
      <c r="A4109" s="5"/>
    </row>
    <row r="4110" spans="1:1" x14ac:dyDescent="0.25">
      <c r="A4110" s="5"/>
    </row>
    <row r="4111" spans="1:1" x14ac:dyDescent="0.25">
      <c r="A4111" s="5"/>
    </row>
    <row r="4112" spans="1:1" x14ac:dyDescent="0.25">
      <c r="A4112" s="5"/>
    </row>
    <row r="4113" spans="1:1" x14ac:dyDescent="0.25">
      <c r="A4113" s="5"/>
    </row>
    <row r="4114" spans="1:1" x14ac:dyDescent="0.25">
      <c r="A4114" s="5"/>
    </row>
    <row r="4115" spans="1:1" x14ac:dyDescent="0.25">
      <c r="A4115" s="5"/>
    </row>
    <row r="4116" spans="1:1" x14ac:dyDescent="0.25">
      <c r="A4116" s="5"/>
    </row>
    <row r="4117" spans="1:1" x14ac:dyDescent="0.25">
      <c r="A4117" s="5"/>
    </row>
    <row r="4118" spans="1:1" x14ac:dyDescent="0.25">
      <c r="A4118" s="5"/>
    </row>
    <row r="4119" spans="1:1" x14ac:dyDescent="0.25">
      <c r="A4119" s="5"/>
    </row>
    <row r="4120" spans="1:1" x14ac:dyDescent="0.25">
      <c r="A4120" s="5"/>
    </row>
    <row r="4121" spans="1:1" x14ac:dyDescent="0.25">
      <c r="A4121" s="5"/>
    </row>
    <row r="4122" spans="1:1" x14ac:dyDescent="0.25">
      <c r="A4122" s="5"/>
    </row>
    <row r="4123" spans="1:1" x14ac:dyDescent="0.25">
      <c r="A4123" s="5"/>
    </row>
    <row r="4124" spans="1:1" x14ac:dyDescent="0.25">
      <c r="A4124" s="5"/>
    </row>
    <row r="4125" spans="1:1" x14ac:dyDescent="0.25">
      <c r="A4125" s="5"/>
    </row>
    <row r="4126" spans="1:1" x14ac:dyDescent="0.25">
      <c r="A4126" s="5"/>
    </row>
    <row r="4127" spans="1:1" x14ac:dyDescent="0.25">
      <c r="A4127" s="5"/>
    </row>
    <row r="4128" spans="1:1" x14ac:dyDescent="0.25">
      <c r="A4128" s="5"/>
    </row>
    <row r="4129" spans="1:1" x14ac:dyDescent="0.25">
      <c r="A4129" s="5"/>
    </row>
    <row r="4130" spans="1:1" x14ac:dyDescent="0.25">
      <c r="A4130" s="5"/>
    </row>
    <row r="4131" spans="1:1" x14ac:dyDescent="0.25">
      <c r="A4131" s="5"/>
    </row>
    <row r="4132" spans="1:1" x14ac:dyDescent="0.25">
      <c r="A4132" s="5"/>
    </row>
    <row r="4133" spans="1:1" x14ac:dyDescent="0.25">
      <c r="A4133" s="5"/>
    </row>
    <row r="4134" spans="1:1" x14ac:dyDescent="0.25">
      <c r="A4134" s="5"/>
    </row>
    <row r="4135" spans="1:1" x14ac:dyDescent="0.25">
      <c r="A4135" s="5"/>
    </row>
    <row r="4136" spans="1:1" x14ac:dyDescent="0.25">
      <c r="A4136" s="5"/>
    </row>
    <row r="4137" spans="1:1" x14ac:dyDescent="0.25">
      <c r="A4137" s="5"/>
    </row>
    <row r="4138" spans="1:1" x14ac:dyDescent="0.25">
      <c r="A4138" s="5"/>
    </row>
    <row r="4139" spans="1:1" x14ac:dyDescent="0.25">
      <c r="A4139" s="5"/>
    </row>
    <row r="4140" spans="1:1" x14ac:dyDescent="0.25">
      <c r="A4140" s="5"/>
    </row>
    <row r="4141" spans="1:1" x14ac:dyDescent="0.25">
      <c r="A4141" s="5"/>
    </row>
    <row r="4142" spans="1:1" x14ac:dyDescent="0.25">
      <c r="A4142" s="5"/>
    </row>
    <row r="4143" spans="1:1" x14ac:dyDescent="0.25">
      <c r="A4143" s="5"/>
    </row>
    <row r="4144" spans="1:1" x14ac:dyDescent="0.25">
      <c r="A4144" s="5"/>
    </row>
    <row r="4145" spans="1:1" x14ac:dyDescent="0.25">
      <c r="A4145" s="5"/>
    </row>
    <row r="4146" spans="1:1" x14ac:dyDescent="0.25">
      <c r="A4146" s="5"/>
    </row>
    <row r="4147" spans="1:1" x14ac:dyDescent="0.25">
      <c r="A4147" s="5"/>
    </row>
    <row r="4148" spans="1:1" x14ac:dyDescent="0.25">
      <c r="A4148" s="5"/>
    </row>
    <row r="4149" spans="1:1" x14ac:dyDescent="0.25">
      <c r="A4149" s="5"/>
    </row>
    <row r="4150" spans="1:1" x14ac:dyDescent="0.25">
      <c r="A4150" s="5"/>
    </row>
    <row r="4151" spans="1:1" x14ac:dyDescent="0.25">
      <c r="A4151" s="5"/>
    </row>
    <row r="4152" spans="1:1" x14ac:dyDescent="0.25">
      <c r="A4152" s="5"/>
    </row>
    <row r="4153" spans="1:1" x14ac:dyDescent="0.25">
      <c r="A4153" s="5"/>
    </row>
    <row r="4154" spans="1:1" x14ac:dyDescent="0.25">
      <c r="A4154" s="5"/>
    </row>
    <row r="4155" spans="1:1" x14ac:dyDescent="0.25">
      <c r="A4155" s="5"/>
    </row>
    <row r="4156" spans="1:1" x14ac:dyDescent="0.25">
      <c r="A4156" s="5"/>
    </row>
    <row r="4157" spans="1:1" x14ac:dyDescent="0.25">
      <c r="A4157" s="5"/>
    </row>
    <row r="4158" spans="1:1" x14ac:dyDescent="0.25">
      <c r="A4158" s="5"/>
    </row>
    <row r="4159" spans="1:1" x14ac:dyDescent="0.25">
      <c r="A4159" s="5"/>
    </row>
    <row r="4160" spans="1:1" x14ac:dyDescent="0.25">
      <c r="A4160" s="5"/>
    </row>
    <row r="4161" spans="1:1" x14ac:dyDescent="0.25">
      <c r="A4161" s="5"/>
    </row>
    <row r="4162" spans="1:1" x14ac:dyDescent="0.25">
      <c r="A4162" s="5"/>
    </row>
    <row r="4163" spans="1:1" x14ac:dyDescent="0.25">
      <c r="A4163" s="5"/>
    </row>
    <row r="4164" spans="1:1" x14ac:dyDescent="0.25">
      <c r="A4164" s="5"/>
    </row>
    <row r="4165" spans="1:1" x14ac:dyDescent="0.25">
      <c r="A4165" s="5"/>
    </row>
    <row r="4166" spans="1:1" x14ac:dyDescent="0.25">
      <c r="A4166" s="5"/>
    </row>
    <row r="4167" spans="1:1" x14ac:dyDescent="0.25">
      <c r="A4167" s="5"/>
    </row>
    <row r="4168" spans="1:1" x14ac:dyDescent="0.25">
      <c r="A4168" s="5"/>
    </row>
    <row r="4169" spans="1:1" x14ac:dyDescent="0.25">
      <c r="A4169" s="5"/>
    </row>
    <row r="4170" spans="1:1" x14ac:dyDescent="0.25">
      <c r="A4170" s="5"/>
    </row>
    <row r="4171" spans="1:1" x14ac:dyDescent="0.25">
      <c r="A4171" s="5"/>
    </row>
    <row r="4172" spans="1:1" x14ac:dyDescent="0.25">
      <c r="A4172" s="5"/>
    </row>
    <row r="4173" spans="1:1" x14ac:dyDescent="0.25">
      <c r="A4173" s="5"/>
    </row>
    <row r="4174" spans="1:1" x14ac:dyDescent="0.25">
      <c r="A4174" s="5"/>
    </row>
    <row r="4175" spans="1:1" x14ac:dyDescent="0.25">
      <c r="A4175" s="5"/>
    </row>
    <row r="4176" spans="1:1" x14ac:dyDescent="0.25">
      <c r="A4176" s="5"/>
    </row>
    <row r="4177" spans="1:1" x14ac:dyDescent="0.25">
      <c r="A4177" s="5"/>
    </row>
    <row r="4178" spans="1:1" x14ac:dyDescent="0.25">
      <c r="A4178" s="5"/>
    </row>
    <row r="4179" spans="1:1" x14ac:dyDescent="0.25">
      <c r="A4179" s="5"/>
    </row>
    <row r="4180" spans="1:1" x14ac:dyDescent="0.25">
      <c r="A4180" s="5"/>
    </row>
    <row r="4181" spans="1:1" x14ac:dyDescent="0.25">
      <c r="A4181" s="5"/>
    </row>
    <row r="4182" spans="1:1" x14ac:dyDescent="0.25">
      <c r="A4182" s="5"/>
    </row>
    <row r="4183" spans="1:1" x14ac:dyDescent="0.25">
      <c r="A4183" s="5"/>
    </row>
    <row r="4184" spans="1:1" x14ac:dyDescent="0.25">
      <c r="A4184" s="5"/>
    </row>
    <row r="4185" spans="1:1" x14ac:dyDescent="0.25">
      <c r="A4185" s="5"/>
    </row>
    <row r="4186" spans="1:1" x14ac:dyDescent="0.25">
      <c r="A4186" s="5"/>
    </row>
    <row r="4187" spans="1:1" x14ac:dyDescent="0.25">
      <c r="A4187" s="5"/>
    </row>
    <row r="4188" spans="1:1" x14ac:dyDescent="0.25">
      <c r="A4188" s="5"/>
    </row>
    <row r="4189" spans="1:1" x14ac:dyDescent="0.25">
      <c r="A4189" s="5"/>
    </row>
    <row r="4190" spans="1:1" x14ac:dyDescent="0.25">
      <c r="A4190" s="5"/>
    </row>
    <row r="4191" spans="1:1" x14ac:dyDescent="0.25">
      <c r="A4191" s="5"/>
    </row>
    <row r="4192" spans="1:1" x14ac:dyDescent="0.25">
      <c r="A4192" s="5"/>
    </row>
    <row r="4193" spans="1:1" x14ac:dyDescent="0.25">
      <c r="A4193" s="5"/>
    </row>
    <row r="4194" spans="1:1" x14ac:dyDescent="0.25">
      <c r="A4194" s="5"/>
    </row>
    <row r="4195" spans="1:1" x14ac:dyDescent="0.25">
      <c r="A4195" s="5"/>
    </row>
    <row r="4196" spans="1:1" x14ac:dyDescent="0.25">
      <c r="A4196" s="5"/>
    </row>
    <row r="4197" spans="1:1" x14ac:dyDescent="0.25">
      <c r="A4197" s="5"/>
    </row>
    <row r="4198" spans="1:1" x14ac:dyDescent="0.25">
      <c r="A4198" s="5"/>
    </row>
    <row r="4199" spans="1:1" x14ac:dyDescent="0.25">
      <c r="A4199" s="5"/>
    </row>
    <row r="4200" spans="1:1" x14ac:dyDescent="0.25">
      <c r="A4200" s="5"/>
    </row>
    <row r="4201" spans="1:1" x14ac:dyDescent="0.25">
      <c r="A4201" s="5"/>
    </row>
    <row r="4202" spans="1:1" x14ac:dyDescent="0.25">
      <c r="A4202" s="5"/>
    </row>
    <row r="4203" spans="1:1" x14ac:dyDescent="0.25">
      <c r="A4203" s="5"/>
    </row>
    <row r="4204" spans="1:1" x14ac:dyDescent="0.25">
      <c r="A4204" s="5"/>
    </row>
    <row r="4205" spans="1:1" x14ac:dyDescent="0.25">
      <c r="A4205" s="5"/>
    </row>
    <row r="4206" spans="1:1" x14ac:dyDescent="0.25">
      <c r="A4206" s="5"/>
    </row>
    <row r="4207" spans="1:1" x14ac:dyDescent="0.25">
      <c r="A4207" s="5"/>
    </row>
    <row r="4208" spans="1:1" x14ac:dyDescent="0.25">
      <c r="A4208" s="5"/>
    </row>
    <row r="4209" spans="1:1" x14ac:dyDescent="0.25">
      <c r="A4209" s="5"/>
    </row>
    <row r="4210" spans="1:1" x14ac:dyDescent="0.25">
      <c r="A4210" s="5"/>
    </row>
    <row r="4211" spans="1:1" x14ac:dyDescent="0.25">
      <c r="A4211" s="5"/>
    </row>
    <row r="4212" spans="1:1" x14ac:dyDescent="0.25">
      <c r="A4212" s="5"/>
    </row>
    <row r="4213" spans="1:1" x14ac:dyDescent="0.25">
      <c r="A4213" s="5"/>
    </row>
    <row r="4214" spans="1:1" x14ac:dyDescent="0.25">
      <c r="A4214" s="5"/>
    </row>
    <row r="4215" spans="1:1" x14ac:dyDescent="0.25">
      <c r="A4215" s="5"/>
    </row>
    <row r="4216" spans="1:1" x14ac:dyDescent="0.25">
      <c r="A4216" s="5"/>
    </row>
    <row r="4217" spans="1:1" x14ac:dyDescent="0.25">
      <c r="A4217" s="5"/>
    </row>
    <row r="4218" spans="1:1" x14ac:dyDescent="0.25">
      <c r="A4218" s="5"/>
    </row>
    <row r="4219" spans="1:1" x14ac:dyDescent="0.25">
      <c r="A4219" s="5"/>
    </row>
    <row r="4220" spans="1:1" x14ac:dyDescent="0.25">
      <c r="A4220" s="5"/>
    </row>
    <row r="4221" spans="1:1" x14ac:dyDescent="0.25">
      <c r="A4221" s="5"/>
    </row>
    <row r="4222" spans="1:1" x14ac:dyDescent="0.25">
      <c r="A4222" s="5"/>
    </row>
    <row r="4223" spans="1:1" x14ac:dyDescent="0.25">
      <c r="A4223" s="5"/>
    </row>
    <row r="4224" spans="1:1" x14ac:dyDescent="0.25">
      <c r="A4224" s="5"/>
    </row>
    <row r="4225" spans="1:1" x14ac:dyDescent="0.25">
      <c r="A4225" s="5"/>
    </row>
    <row r="4226" spans="1:1" x14ac:dyDescent="0.25">
      <c r="A4226" s="5"/>
    </row>
    <row r="4227" spans="1:1" x14ac:dyDescent="0.25">
      <c r="A4227" s="5"/>
    </row>
    <row r="4228" spans="1:1" x14ac:dyDescent="0.25">
      <c r="A4228" s="5"/>
    </row>
    <row r="4229" spans="1:1" x14ac:dyDescent="0.25">
      <c r="A4229" s="5"/>
    </row>
    <row r="4230" spans="1:1" x14ac:dyDescent="0.25">
      <c r="A4230" s="5"/>
    </row>
    <row r="4231" spans="1:1" x14ac:dyDescent="0.25">
      <c r="A4231" s="5"/>
    </row>
    <row r="4232" spans="1:1" x14ac:dyDescent="0.25">
      <c r="A4232" s="5"/>
    </row>
    <row r="4233" spans="1:1" x14ac:dyDescent="0.25">
      <c r="A4233" s="5"/>
    </row>
    <row r="4234" spans="1:1" x14ac:dyDescent="0.25">
      <c r="A4234" s="5"/>
    </row>
    <row r="4235" spans="1:1" x14ac:dyDescent="0.25">
      <c r="A4235" s="5"/>
    </row>
    <row r="4236" spans="1:1" x14ac:dyDescent="0.25">
      <c r="A4236" s="5"/>
    </row>
    <row r="4237" spans="1:1" x14ac:dyDescent="0.25">
      <c r="A4237" s="5"/>
    </row>
    <row r="4238" spans="1:1" x14ac:dyDescent="0.25">
      <c r="A4238" s="5"/>
    </row>
    <row r="4239" spans="1:1" x14ac:dyDescent="0.25">
      <c r="A4239" s="5"/>
    </row>
    <row r="4240" spans="1:1" x14ac:dyDescent="0.25">
      <c r="A4240" s="5"/>
    </row>
    <row r="4241" spans="1:1" x14ac:dyDescent="0.25">
      <c r="A4241" s="5"/>
    </row>
    <row r="4242" spans="1:1" x14ac:dyDescent="0.25">
      <c r="A4242" s="5"/>
    </row>
    <row r="4243" spans="1:1" x14ac:dyDescent="0.25">
      <c r="A4243" s="5"/>
    </row>
    <row r="4244" spans="1:1" x14ac:dyDescent="0.25">
      <c r="A4244" s="5"/>
    </row>
    <row r="4245" spans="1:1" x14ac:dyDescent="0.25">
      <c r="A4245" s="5"/>
    </row>
    <row r="4246" spans="1:1" x14ac:dyDescent="0.25">
      <c r="A4246" s="5"/>
    </row>
    <row r="4247" spans="1:1" x14ac:dyDescent="0.25">
      <c r="A4247" s="5"/>
    </row>
    <row r="4248" spans="1:1" x14ac:dyDescent="0.25">
      <c r="A4248" s="5"/>
    </row>
    <row r="4249" spans="1:1" x14ac:dyDescent="0.25">
      <c r="A4249" s="5"/>
    </row>
    <row r="4250" spans="1:1" x14ac:dyDescent="0.25">
      <c r="A4250" s="5"/>
    </row>
    <row r="4251" spans="1:1" x14ac:dyDescent="0.25">
      <c r="A4251" s="5"/>
    </row>
    <row r="4252" spans="1:1" x14ac:dyDescent="0.25">
      <c r="A4252" s="5"/>
    </row>
    <row r="4253" spans="1:1" x14ac:dyDescent="0.25">
      <c r="A4253" s="5"/>
    </row>
    <row r="4254" spans="1:1" x14ac:dyDescent="0.25">
      <c r="A4254" s="5"/>
    </row>
    <row r="4255" spans="1:1" x14ac:dyDescent="0.25">
      <c r="A4255" s="5"/>
    </row>
    <row r="4256" spans="1:1" x14ac:dyDescent="0.25">
      <c r="A4256" s="5"/>
    </row>
    <row r="4257" spans="1:1" x14ac:dyDescent="0.25">
      <c r="A4257" s="5"/>
    </row>
    <row r="4258" spans="1:1" x14ac:dyDescent="0.25">
      <c r="A4258" s="5"/>
    </row>
    <row r="4259" spans="1:1" x14ac:dyDescent="0.25">
      <c r="A4259" s="5"/>
    </row>
    <row r="4260" spans="1:1" x14ac:dyDescent="0.25">
      <c r="A4260" s="5"/>
    </row>
    <row r="4261" spans="1:1" x14ac:dyDescent="0.25">
      <c r="A4261" s="5"/>
    </row>
    <row r="4262" spans="1:1" x14ac:dyDescent="0.25">
      <c r="A4262" s="5"/>
    </row>
    <row r="4263" spans="1:1" x14ac:dyDescent="0.25">
      <c r="A4263" s="5"/>
    </row>
    <row r="4264" spans="1:1" x14ac:dyDescent="0.25">
      <c r="A4264" s="5"/>
    </row>
    <row r="4265" spans="1:1" x14ac:dyDescent="0.25">
      <c r="A4265" s="5"/>
    </row>
    <row r="4266" spans="1:1" x14ac:dyDescent="0.25">
      <c r="A4266" s="5"/>
    </row>
    <row r="4267" spans="1:1" x14ac:dyDescent="0.25">
      <c r="A4267" s="5"/>
    </row>
    <row r="4268" spans="1:1" x14ac:dyDescent="0.25">
      <c r="A4268" s="5"/>
    </row>
    <row r="4269" spans="1:1" x14ac:dyDescent="0.25">
      <c r="A4269" s="5"/>
    </row>
    <row r="4270" spans="1:1" x14ac:dyDescent="0.25">
      <c r="A4270" s="5"/>
    </row>
    <row r="4271" spans="1:1" x14ac:dyDescent="0.25">
      <c r="A4271" s="5"/>
    </row>
    <row r="4272" spans="1:1" x14ac:dyDescent="0.25">
      <c r="A4272" s="5"/>
    </row>
    <row r="4273" spans="1:1" x14ac:dyDescent="0.25">
      <c r="A4273" s="5"/>
    </row>
    <row r="4274" spans="1:1" x14ac:dyDescent="0.25">
      <c r="A4274" s="5"/>
    </row>
    <row r="4275" spans="1:1" x14ac:dyDescent="0.25">
      <c r="A4275" s="5"/>
    </row>
    <row r="4276" spans="1:1" x14ac:dyDescent="0.25">
      <c r="A4276" s="5"/>
    </row>
    <row r="4277" spans="1:1" x14ac:dyDescent="0.25">
      <c r="A4277" s="5"/>
    </row>
    <row r="4278" spans="1:1" x14ac:dyDescent="0.25">
      <c r="A4278" s="5"/>
    </row>
    <row r="4279" spans="1:1" x14ac:dyDescent="0.25">
      <c r="A4279" s="5"/>
    </row>
    <row r="4280" spans="1:1" x14ac:dyDescent="0.25">
      <c r="A4280" s="5"/>
    </row>
    <row r="4281" spans="1:1" x14ac:dyDescent="0.25">
      <c r="A4281" s="5"/>
    </row>
    <row r="4282" spans="1:1" x14ac:dyDescent="0.25">
      <c r="A4282" s="5"/>
    </row>
    <row r="4283" spans="1:1" x14ac:dyDescent="0.25">
      <c r="A4283" s="5"/>
    </row>
    <row r="4284" spans="1:1" x14ac:dyDescent="0.25">
      <c r="A4284" s="5"/>
    </row>
    <row r="4285" spans="1:1" x14ac:dyDescent="0.25">
      <c r="A4285" s="5"/>
    </row>
    <row r="4286" spans="1:1" x14ac:dyDescent="0.25">
      <c r="A4286" s="5"/>
    </row>
    <row r="4287" spans="1:1" x14ac:dyDescent="0.25">
      <c r="A4287" s="5"/>
    </row>
    <row r="4288" spans="1:1" x14ac:dyDescent="0.25">
      <c r="A4288" s="5"/>
    </row>
    <row r="4289" spans="1:1" x14ac:dyDescent="0.25">
      <c r="A4289" s="5"/>
    </row>
    <row r="4290" spans="1:1" x14ac:dyDescent="0.25">
      <c r="A4290" s="5"/>
    </row>
    <row r="4291" spans="1:1" x14ac:dyDescent="0.25">
      <c r="A4291" s="5"/>
    </row>
    <row r="4292" spans="1:1" x14ac:dyDescent="0.25">
      <c r="A4292" s="5"/>
    </row>
    <row r="4293" spans="1:1" x14ac:dyDescent="0.25">
      <c r="A4293" s="5"/>
    </row>
    <row r="4294" spans="1:1" x14ac:dyDescent="0.25">
      <c r="A4294" s="5"/>
    </row>
    <row r="4295" spans="1:1" x14ac:dyDescent="0.25">
      <c r="A4295" s="5"/>
    </row>
    <row r="4296" spans="1:1" x14ac:dyDescent="0.25">
      <c r="A4296" s="5"/>
    </row>
    <row r="4297" spans="1:1" x14ac:dyDescent="0.25">
      <c r="A4297" s="5"/>
    </row>
    <row r="4298" spans="1:1" x14ac:dyDescent="0.25">
      <c r="A4298" s="5"/>
    </row>
    <row r="4299" spans="1:1" x14ac:dyDescent="0.25">
      <c r="A4299" s="5"/>
    </row>
    <row r="4300" spans="1:1" x14ac:dyDescent="0.25">
      <c r="A4300" s="5"/>
    </row>
    <row r="4301" spans="1:1" x14ac:dyDescent="0.25">
      <c r="A4301" s="5"/>
    </row>
    <row r="4302" spans="1:1" x14ac:dyDescent="0.25">
      <c r="A4302" s="5"/>
    </row>
    <row r="4303" spans="1:1" x14ac:dyDescent="0.25">
      <c r="A4303" s="5"/>
    </row>
    <row r="4304" spans="1:1" x14ac:dyDescent="0.25">
      <c r="A4304" s="5"/>
    </row>
    <row r="4305" spans="1:1" x14ac:dyDescent="0.25">
      <c r="A4305" s="5"/>
    </row>
    <row r="4306" spans="1:1" x14ac:dyDescent="0.25">
      <c r="A4306" s="5"/>
    </row>
    <row r="4307" spans="1:1" x14ac:dyDescent="0.25">
      <c r="A4307" s="5"/>
    </row>
    <row r="4308" spans="1:1" x14ac:dyDescent="0.25">
      <c r="A4308" s="5"/>
    </row>
    <row r="4309" spans="1:1" x14ac:dyDescent="0.25">
      <c r="A4309" s="5"/>
    </row>
    <row r="4310" spans="1:1" x14ac:dyDescent="0.25">
      <c r="A4310" s="5"/>
    </row>
    <row r="4311" spans="1:1" x14ac:dyDescent="0.25">
      <c r="A4311" s="5"/>
    </row>
    <row r="4312" spans="1:1" x14ac:dyDescent="0.25">
      <c r="A4312" s="5"/>
    </row>
    <row r="4313" spans="1:1" x14ac:dyDescent="0.25">
      <c r="A4313" s="5"/>
    </row>
    <row r="4314" spans="1:1" x14ac:dyDescent="0.25">
      <c r="A4314" s="5"/>
    </row>
    <row r="4315" spans="1:1" x14ac:dyDescent="0.25">
      <c r="A4315" s="5"/>
    </row>
    <row r="4316" spans="1:1" x14ac:dyDescent="0.25">
      <c r="A4316" s="5"/>
    </row>
    <row r="4317" spans="1:1" x14ac:dyDescent="0.25">
      <c r="A4317" s="5"/>
    </row>
    <row r="4318" spans="1:1" x14ac:dyDescent="0.25">
      <c r="A4318" s="5"/>
    </row>
    <row r="4319" spans="1:1" x14ac:dyDescent="0.25">
      <c r="A4319" s="5"/>
    </row>
    <row r="4320" spans="1:1" x14ac:dyDescent="0.25">
      <c r="A4320" s="5"/>
    </row>
    <row r="4321" spans="1:1" x14ac:dyDescent="0.25">
      <c r="A4321" s="5"/>
    </row>
    <row r="4322" spans="1:1" x14ac:dyDescent="0.25">
      <c r="A4322" s="5"/>
    </row>
    <row r="4323" spans="1:1" x14ac:dyDescent="0.25">
      <c r="A4323" s="5"/>
    </row>
    <row r="4324" spans="1:1" x14ac:dyDescent="0.25">
      <c r="A4324" s="5"/>
    </row>
    <row r="4325" spans="1:1" x14ac:dyDescent="0.25">
      <c r="A4325" s="5"/>
    </row>
    <row r="4326" spans="1:1" x14ac:dyDescent="0.25">
      <c r="A4326" s="5"/>
    </row>
    <row r="4327" spans="1:1" x14ac:dyDescent="0.25">
      <c r="A4327" s="5"/>
    </row>
    <row r="4328" spans="1:1" x14ac:dyDescent="0.25">
      <c r="A4328" s="5"/>
    </row>
    <row r="4329" spans="1:1" x14ac:dyDescent="0.25">
      <c r="A4329" s="5"/>
    </row>
    <row r="4330" spans="1:1" x14ac:dyDescent="0.25">
      <c r="A4330" s="5"/>
    </row>
    <row r="4331" spans="1:1" x14ac:dyDescent="0.25">
      <c r="A4331" s="5"/>
    </row>
    <row r="4332" spans="1:1" x14ac:dyDescent="0.25">
      <c r="A4332" s="5"/>
    </row>
    <row r="4333" spans="1:1" x14ac:dyDescent="0.25">
      <c r="A4333" s="5"/>
    </row>
    <row r="4334" spans="1:1" x14ac:dyDescent="0.25">
      <c r="A4334" s="5"/>
    </row>
    <row r="4335" spans="1:1" x14ac:dyDescent="0.25">
      <c r="A4335" s="5"/>
    </row>
    <row r="4336" spans="1:1" x14ac:dyDescent="0.25">
      <c r="A4336" s="5"/>
    </row>
    <row r="4337" spans="1:1" x14ac:dyDescent="0.25">
      <c r="A4337" s="5"/>
    </row>
    <row r="4338" spans="1:1" x14ac:dyDescent="0.25">
      <c r="A4338" s="5"/>
    </row>
    <row r="4339" spans="1:1" x14ac:dyDescent="0.25">
      <c r="A4339" s="5"/>
    </row>
    <row r="4340" spans="1:1" x14ac:dyDescent="0.25">
      <c r="A4340" s="5"/>
    </row>
    <row r="4341" spans="1:1" x14ac:dyDescent="0.25">
      <c r="A4341" s="5"/>
    </row>
    <row r="4342" spans="1:1" x14ac:dyDescent="0.25">
      <c r="A4342" s="5"/>
    </row>
    <row r="4343" spans="1:1" x14ac:dyDescent="0.25">
      <c r="A4343" s="5"/>
    </row>
    <row r="4344" spans="1:1" x14ac:dyDescent="0.25">
      <c r="A4344" s="5"/>
    </row>
    <row r="4345" spans="1:1" x14ac:dyDescent="0.25">
      <c r="A4345" s="5"/>
    </row>
    <row r="4346" spans="1:1" x14ac:dyDescent="0.25">
      <c r="A4346" s="5"/>
    </row>
    <row r="4347" spans="1:1" x14ac:dyDescent="0.25">
      <c r="A4347" s="5"/>
    </row>
    <row r="4348" spans="1:1" x14ac:dyDescent="0.25">
      <c r="A4348" s="5"/>
    </row>
    <row r="4349" spans="1:1" x14ac:dyDescent="0.25">
      <c r="A4349" s="5"/>
    </row>
    <row r="4350" spans="1:1" x14ac:dyDescent="0.25">
      <c r="A4350" s="5"/>
    </row>
    <row r="4351" spans="1:1" x14ac:dyDescent="0.25">
      <c r="A4351" s="5"/>
    </row>
    <row r="4352" spans="1:1" x14ac:dyDescent="0.25">
      <c r="A4352" s="5"/>
    </row>
    <row r="4353" spans="1:1" x14ac:dyDescent="0.25">
      <c r="A4353" s="5"/>
    </row>
    <row r="4354" spans="1:1" x14ac:dyDescent="0.25">
      <c r="A4354" s="5"/>
    </row>
    <row r="4355" spans="1:1" x14ac:dyDescent="0.25">
      <c r="A4355" s="5"/>
    </row>
    <row r="4356" spans="1:1" x14ac:dyDescent="0.25">
      <c r="A4356" s="5"/>
    </row>
    <row r="4357" spans="1:1" x14ac:dyDescent="0.25">
      <c r="A4357" s="5"/>
    </row>
    <row r="4358" spans="1:1" x14ac:dyDescent="0.25">
      <c r="A4358" s="5"/>
    </row>
    <row r="4359" spans="1:1" x14ac:dyDescent="0.25">
      <c r="A4359" s="5"/>
    </row>
    <row r="4360" spans="1:1" x14ac:dyDescent="0.25">
      <c r="A4360" s="5"/>
    </row>
    <row r="4361" spans="1:1" x14ac:dyDescent="0.25">
      <c r="A4361" s="5"/>
    </row>
    <row r="4362" spans="1:1" x14ac:dyDescent="0.25">
      <c r="A4362" s="5"/>
    </row>
    <row r="4363" spans="1:1" x14ac:dyDescent="0.25">
      <c r="A4363" s="5"/>
    </row>
    <row r="4364" spans="1:1" x14ac:dyDescent="0.25">
      <c r="A4364" s="5"/>
    </row>
    <row r="4365" spans="1:1" x14ac:dyDescent="0.25">
      <c r="A4365" s="5"/>
    </row>
    <row r="4366" spans="1:1" x14ac:dyDescent="0.25">
      <c r="A4366" s="5"/>
    </row>
    <row r="4367" spans="1:1" x14ac:dyDescent="0.25">
      <c r="A4367" s="5"/>
    </row>
    <row r="4368" spans="1:1" x14ac:dyDescent="0.25">
      <c r="A4368" s="5"/>
    </row>
    <row r="4369" spans="1:1" x14ac:dyDescent="0.25">
      <c r="A4369" s="5"/>
    </row>
    <row r="4370" spans="1:1" x14ac:dyDescent="0.25">
      <c r="A4370" s="5"/>
    </row>
    <row r="4371" spans="1:1" x14ac:dyDescent="0.25">
      <c r="A4371" s="5"/>
    </row>
    <row r="4372" spans="1:1" x14ac:dyDescent="0.25">
      <c r="A4372" s="5"/>
    </row>
    <row r="4373" spans="1:1" x14ac:dyDescent="0.25">
      <c r="A4373" s="5"/>
    </row>
    <row r="4374" spans="1:1" x14ac:dyDescent="0.25">
      <c r="A4374" s="5"/>
    </row>
    <row r="4375" spans="1:1" x14ac:dyDescent="0.25">
      <c r="A4375" s="5"/>
    </row>
    <row r="4376" spans="1:1" x14ac:dyDescent="0.25">
      <c r="A4376" s="5"/>
    </row>
    <row r="4377" spans="1:1" x14ac:dyDescent="0.25">
      <c r="A4377" s="5"/>
    </row>
    <row r="4378" spans="1:1" x14ac:dyDescent="0.25">
      <c r="A4378" s="5"/>
    </row>
    <row r="4379" spans="1:1" x14ac:dyDescent="0.25">
      <c r="A4379" s="5"/>
    </row>
    <row r="4380" spans="1:1" x14ac:dyDescent="0.25">
      <c r="A4380" s="5"/>
    </row>
    <row r="4381" spans="1:1" x14ac:dyDescent="0.25">
      <c r="A4381" s="5"/>
    </row>
    <row r="4382" spans="1:1" x14ac:dyDescent="0.25">
      <c r="A4382" s="5"/>
    </row>
    <row r="4383" spans="1:1" x14ac:dyDescent="0.25">
      <c r="A4383" s="5"/>
    </row>
    <row r="4384" spans="1:1" x14ac:dyDescent="0.25">
      <c r="A4384" s="5"/>
    </row>
    <row r="4385" spans="1:1" x14ac:dyDescent="0.25">
      <c r="A4385" s="5"/>
    </row>
    <row r="4386" spans="1:1" x14ac:dyDescent="0.25">
      <c r="A4386" s="5"/>
    </row>
    <row r="4387" spans="1:1" x14ac:dyDescent="0.25">
      <c r="A4387" s="5"/>
    </row>
    <row r="4388" spans="1:1" x14ac:dyDescent="0.25">
      <c r="A4388" s="5"/>
    </row>
    <row r="4389" spans="1:1" x14ac:dyDescent="0.25">
      <c r="A4389" s="5"/>
    </row>
    <row r="4390" spans="1:1" x14ac:dyDescent="0.25">
      <c r="A4390" s="5"/>
    </row>
    <row r="4391" spans="1:1" x14ac:dyDescent="0.25">
      <c r="A4391" s="5"/>
    </row>
    <row r="4392" spans="1:1" x14ac:dyDescent="0.25">
      <c r="A4392" s="5"/>
    </row>
    <row r="4393" spans="1:1" x14ac:dyDescent="0.25">
      <c r="A4393" s="5"/>
    </row>
    <row r="4394" spans="1:1" x14ac:dyDescent="0.25">
      <c r="A4394" s="5"/>
    </row>
    <row r="4395" spans="1:1" x14ac:dyDescent="0.25">
      <c r="A4395" s="5"/>
    </row>
    <row r="4396" spans="1:1" x14ac:dyDescent="0.25">
      <c r="A4396" s="5"/>
    </row>
    <row r="4397" spans="1:1" x14ac:dyDescent="0.25">
      <c r="A4397" s="5"/>
    </row>
    <row r="4398" spans="1:1" x14ac:dyDescent="0.25">
      <c r="A4398" s="5"/>
    </row>
    <row r="4399" spans="1:1" x14ac:dyDescent="0.25">
      <c r="A4399" s="5"/>
    </row>
    <row r="4400" spans="1:1" x14ac:dyDescent="0.25">
      <c r="A4400" s="5"/>
    </row>
    <row r="4401" spans="1:1" x14ac:dyDescent="0.25">
      <c r="A4401" s="5"/>
    </row>
    <row r="4402" spans="1:1" x14ac:dyDescent="0.25">
      <c r="A4402" s="5"/>
    </row>
    <row r="4403" spans="1:1" x14ac:dyDescent="0.25">
      <c r="A4403" s="5"/>
    </row>
    <row r="4404" spans="1:1" x14ac:dyDescent="0.25">
      <c r="A4404" s="5"/>
    </row>
    <row r="4405" spans="1:1" x14ac:dyDescent="0.25">
      <c r="A4405" s="5"/>
    </row>
    <row r="4406" spans="1:1" x14ac:dyDescent="0.25">
      <c r="A4406" s="5"/>
    </row>
    <row r="4407" spans="1:1" x14ac:dyDescent="0.25">
      <c r="A4407" s="5"/>
    </row>
    <row r="4408" spans="1:1" x14ac:dyDescent="0.25">
      <c r="A4408" s="5"/>
    </row>
    <row r="4409" spans="1:1" x14ac:dyDescent="0.25">
      <c r="A4409" s="5"/>
    </row>
    <row r="4410" spans="1:1" x14ac:dyDescent="0.25">
      <c r="A4410" s="5"/>
    </row>
    <row r="4411" spans="1:1" x14ac:dyDescent="0.25">
      <c r="A4411" s="5"/>
    </row>
    <row r="4412" spans="1:1" x14ac:dyDescent="0.25">
      <c r="A4412" s="5"/>
    </row>
    <row r="4413" spans="1:1" x14ac:dyDescent="0.25">
      <c r="A4413" s="5"/>
    </row>
    <row r="4414" spans="1:1" x14ac:dyDescent="0.25">
      <c r="A4414" s="5"/>
    </row>
    <row r="4415" spans="1:1" x14ac:dyDescent="0.25">
      <c r="A4415" s="5"/>
    </row>
    <row r="4416" spans="1:1" x14ac:dyDescent="0.25">
      <c r="A4416" s="5"/>
    </row>
    <row r="4417" spans="1:1" x14ac:dyDescent="0.25">
      <c r="A4417" s="5"/>
    </row>
    <row r="4418" spans="1:1" x14ac:dyDescent="0.25">
      <c r="A4418" s="5"/>
    </row>
    <row r="4419" spans="1:1" x14ac:dyDescent="0.25">
      <c r="A4419" s="5"/>
    </row>
    <row r="4420" spans="1:1" x14ac:dyDescent="0.25">
      <c r="A4420" s="5"/>
    </row>
    <row r="4421" spans="1:1" x14ac:dyDescent="0.25">
      <c r="A4421" s="5"/>
    </row>
    <row r="4422" spans="1:1" x14ac:dyDescent="0.25">
      <c r="A4422" s="5"/>
    </row>
    <row r="4423" spans="1:1" x14ac:dyDescent="0.25">
      <c r="A4423" s="5"/>
    </row>
    <row r="4424" spans="1:1" x14ac:dyDescent="0.25">
      <c r="A4424" s="5"/>
    </row>
    <row r="4425" spans="1:1" x14ac:dyDescent="0.25">
      <c r="A4425" s="5"/>
    </row>
    <row r="4426" spans="1:1" x14ac:dyDescent="0.25">
      <c r="A4426" s="5"/>
    </row>
    <row r="4427" spans="1:1" x14ac:dyDescent="0.25">
      <c r="A4427" s="5"/>
    </row>
    <row r="4428" spans="1:1" x14ac:dyDescent="0.25">
      <c r="A4428" s="5"/>
    </row>
    <row r="4429" spans="1:1" x14ac:dyDescent="0.25">
      <c r="A4429" s="5"/>
    </row>
    <row r="4430" spans="1:1" x14ac:dyDescent="0.25">
      <c r="A4430" s="5"/>
    </row>
    <row r="4431" spans="1:1" x14ac:dyDescent="0.25">
      <c r="A4431" s="5"/>
    </row>
    <row r="4432" spans="1:1" x14ac:dyDescent="0.25">
      <c r="A4432" s="5"/>
    </row>
    <row r="4433" spans="1:1" x14ac:dyDescent="0.25">
      <c r="A4433" s="5"/>
    </row>
    <row r="4434" spans="1:1" x14ac:dyDescent="0.25">
      <c r="A4434" s="5"/>
    </row>
    <row r="4435" spans="1:1" x14ac:dyDescent="0.25">
      <c r="A4435" s="5"/>
    </row>
    <row r="4436" spans="1:1" x14ac:dyDescent="0.25">
      <c r="A4436" s="5"/>
    </row>
    <row r="4437" spans="1:1" x14ac:dyDescent="0.25">
      <c r="A4437" s="5"/>
    </row>
    <row r="4438" spans="1:1" x14ac:dyDescent="0.25">
      <c r="A4438" s="5"/>
    </row>
    <row r="4439" spans="1:1" x14ac:dyDescent="0.25">
      <c r="A4439" s="5"/>
    </row>
    <row r="4440" spans="1:1" x14ac:dyDescent="0.25">
      <c r="A4440" s="5"/>
    </row>
    <row r="4441" spans="1:1" x14ac:dyDescent="0.25">
      <c r="A4441" s="5"/>
    </row>
    <row r="4442" spans="1:1" x14ac:dyDescent="0.25">
      <c r="A4442" s="5"/>
    </row>
    <row r="4443" spans="1:1" x14ac:dyDescent="0.25">
      <c r="A4443" s="5"/>
    </row>
    <row r="4444" spans="1:1" x14ac:dyDescent="0.25">
      <c r="A4444" s="5"/>
    </row>
    <row r="4445" spans="1:1" x14ac:dyDescent="0.25">
      <c r="A4445" s="5"/>
    </row>
    <row r="4446" spans="1:1" x14ac:dyDescent="0.25">
      <c r="A4446" s="5"/>
    </row>
    <row r="4447" spans="1:1" x14ac:dyDescent="0.25">
      <c r="A4447" s="5"/>
    </row>
    <row r="4448" spans="1:1" x14ac:dyDescent="0.25">
      <c r="A4448" s="5"/>
    </row>
    <row r="4449" spans="1:1" x14ac:dyDescent="0.25">
      <c r="A4449" s="5"/>
    </row>
    <row r="4450" spans="1:1" x14ac:dyDescent="0.25">
      <c r="A4450" s="5"/>
    </row>
    <row r="4451" spans="1:1" x14ac:dyDescent="0.25">
      <c r="A4451" s="5"/>
    </row>
    <row r="4452" spans="1:1" x14ac:dyDescent="0.25">
      <c r="A4452" s="5"/>
    </row>
    <row r="4453" spans="1:1" x14ac:dyDescent="0.25">
      <c r="A4453" s="5"/>
    </row>
    <row r="4454" spans="1:1" x14ac:dyDescent="0.25">
      <c r="A4454" s="5"/>
    </row>
    <row r="4455" spans="1:1" x14ac:dyDescent="0.25">
      <c r="A4455" s="5"/>
    </row>
    <row r="4456" spans="1:1" x14ac:dyDescent="0.25">
      <c r="A4456" s="5"/>
    </row>
    <row r="4457" spans="1:1" x14ac:dyDescent="0.25">
      <c r="A4457" s="5"/>
    </row>
    <row r="4458" spans="1:1" x14ac:dyDescent="0.25">
      <c r="A4458" s="5"/>
    </row>
    <row r="4459" spans="1:1" x14ac:dyDescent="0.25">
      <c r="A4459" s="5"/>
    </row>
    <row r="4460" spans="1:1" x14ac:dyDescent="0.25">
      <c r="A4460" s="5"/>
    </row>
    <row r="4461" spans="1:1" x14ac:dyDescent="0.25">
      <c r="A4461" s="5"/>
    </row>
    <row r="4462" spans="1:1" x14ac:dyDescent="0.25">
      <c r="A4462" s="5"/>
    </row>
    <row r="4463" spans="1:1" x14ac:dyDescent="0.25">
      <c r="A4463" s="5"/>
    </row>
    <row r="4464" spans="1:1" x14ac:dyDescent="0.25">
      <c r="A4464" s="5"/>
    </row>
    <row r="4465" spans="1:1" x14ac:dyDescent="0.25">
      <c r="A4465" s="5"/>
    </row>
    <row r="4466" spans="1:1" x14ac:dyDescent="0.25">
      <c r="A4466" s="5"/>
    </row>
    <row r="4467" spans="1:1" x14ac:dyDescent="0.25">
      <c r="A4467" s="5"/>
    </row>
    <row r="4468" spans="1:1" x14ac:dyDescent="0.25">
      <c r="A4468" s="5"/>
    </row>
    <row r="4469" spans="1:1" x14ac:dyDescent="0.25">
      <c r="A4469" s="5"/>
    </row>
    <row r="4470" spans="1:1" x14ac:dyDescent="0.25">
      <c r="A4470" s="5"/>
    </row>
    <row r="4471" spans="1:1" x14ac:dyDescent="0.25">
      <c r="A4471" s="5"/>
    </row>
    <row r="4472" spans="1:1" x14ac:dyDescent="0.25">
      <c r="A4472" s="5"/>
    </row>
    <row r="4473" spans="1:1" x14ac:dyDescent="0.25">
      <c r="A4473" s="5"/>
    </row>
    <row r="4474" spans="1:1" x14ac:dyDescent="0.25">
      <c r="A4474" s="5"/>
    </row>
    <row r="4475" spans="1:1" x14ac:dyDescent="0.25">
      <c r="A4475" s="5"/>
    </row>
    <row r="4476" spans="1:1" x14ac:dyDescent="0.25">
      <c r="A4476" s="5"/>
    </row>
    <row r="4477" spans="1:1" x14ac:dyDescent="0.25">
      <c r="A4477" s="5"/>
    </row>
    <row r="4478" spans="1:1" x14ac:dyDescent="0.25">
      <c r="A4478" s="5"/>
    </row>
    <row r="4479" spans="1:1" x14ac:dyDescent="0.25">
      <c r="A4479" s="5"/>
    </row>
    <row r="4480" spans="1:1" x14ac:dyDescent="0.25">
      <c r="A4480" s="5"/>
    </row>
    <row r="4481" spans="1:1" x14ac:dyDescent="0.25">
      <c r="A4481" s="5"/>
    </row>
    <row r="4482" spans="1:1" x14ac:dyDescent="0.25">
      <c r="A4482" s="5"/>
    </row>
    <row r="4483" spans="1:1" x14ac:dyDescent="0.25">
      <c r="A4483" s="5"/>
    </row>
    <row r="4484" spans="1:1" x14ac:dyDescent="0.25">
      <c r="A4484" s="5"/>
    </row>
    <row r="4485" spans="1:1" x14ac:dyDescent="0.25">
      <c r="A4485" s="5"/>
    </row>
    <row r="4486" spans="1:1" x14ac:dyDescent="0.25">
      <c r="A4486" s="5"/>
    </row>
    <row r="4487" spans="1:1" x14ac:dyDescent="0.25">
      <c r="A4487" s="5"/>
    </row>
    <row r="4488" spans="1:1" x14ac:dyDescent="0.25">
      <c r="A4488" s="5"/>
    </row>
    <row r="4489" spans="1:1" x14ac:dyDescent="0.25">
      <c r="A4489" s="5"/>
    </row>
    <row r="4490" spans="1:1" x14ac:dyDescent="0.25">
      <c r="A4490" s="5"/>
    </row>
    <row r="4491" spans="1:1" x14ac:dyDescent="0.25">
      <c r="A4491" s="5"/>
    </row>
    <row r="4492" spans="1:1" x14ac:dyDescent="0.25">
      <c r="A4492" s="5"/>
    </row>
    <row r="4493" spans="1:1" x14ac:dyDescent="0.25">
      <c r="A4493" s="5"/>
    </row>
    <row r="4494" spans="1:1" x14ac:dyDescent="0.25">
      <c r="A4494" s="5"/>
    </row>
    <row r="4495" spans="1:1" x14ac:dyDescent="0.25">
      <c r="A4495" s="5"/>
    </row>
    <row r="4496" spans="1:1" x14ac:dyDescent="0.25">
      <c r="A4496" s="5"/>
    </row>
    <row r="4497" spans="1:1" x14ac:dyDescent="0.25">
      <c r="A4497" s="5"/>
    </row>
    <row r="4498" spans="1:1" x14ac:dyDescent="0.25">
      <c r="A4498" s="5"/>
    </row>
    <row r="4499" spans="1:1" x14ac:dyDescent="0.25">
      <c r="A4499" s="5"/>
    </row>
    <row r="4500" spans="1:1" x14ac:dyDescent="0.25">
      <c r="A4500" s="5"/>
    </row>
    <row r="4501" spans="1:1" x14ac:dyDescent="0.25">
      <c r="A4501" s="5"/>
    </row>
    <row r="4502" spans="1:1" x14ac:dyDescent="0.25">
      <c r="A4502" s="5"/>
    </row>
    <row r="4503" spans="1:1" x14ac:dyDescent="0.25">
      <c r="A4503" s="5"/>
    </row>
    <row r="4504" spans="1:1" x14ac:dyDescent="0.25">
      <c r="A4504" s="5"/>
    </row>
    <row r="4505" spans="1:1" x14ac:dyDescent="0.25">
      <c r="A4505" s="5"/>
    </row>
    <row r="4506" spans="1:1" x14ac:dyDescent="0.25">
      <c r="A4506" s="5"/>
    </row>
    <row r="4507" spans="1:1" x14ac:dyDescent="0.25">
      <c r="A4507" s="5"/>
    </row>
    <row r="4508" spans="1:1" x14ac:dyDescent="0.25">
      <c r="A4508" s="5"/>
    </row>
    <row r="4509" spans="1:1" x14ac:dyDescent="0.25">
      <c r="A4509" s="5"/>
    </row>
    <row r="4510" spans="1:1" x14ac:dyDescent="0.25">
      <c r="A4510" s="5"/>
    </row>
    <row r="4511" spans="1:1" x14ac:dyDescent="0.25">
      <c r="A4511" s="5"/>
    </row>
    <row r="4512" spans="1:1" x14ac:dyDescent="0.25">
      <c r="A4512" s="5"/>
    </row>
    <row r="4513" spans="1:1" x14ac:dyDescent="0.25">
      <c r="A4513" s="5"/>
    </row>
    <row r="4514" spans="1:1" x14ac:dyDescent="0.25">
      <c r="A4514" s="5"/>
    </row>
    <row r="4515" spans="1:1" x14ac:dyDescent="0.25">
      <c r="A4515" s="5"/>
    </row>
    <row r="4516" spans="1:1" x14ac:dyDescent="0.25">
      <c r="A4516" s="5"/>
    </row>
    <row r="4517" spans="1:1" x14ac:dyDescent="0.25">
      <c r="A4517" s="5"/>
    </row>
    <row r="4518" spans="1:1" x14ac:dyDescent="0.25">
      <c r="A4518" s="5"/>
    </row>
    <row r="4519" spans="1:1" x14ac:dyDescent="0.25">
      <c r="A4519" s="5"/>
    </row>
    <row r="4520" spans="1:1" x14ac:dyDescent="0.25">
      <c r="A4520" s="5"/>
    </row>
    <row r="4521" spans="1:1" x14ac:dyDescent="0.25">
      <c r="A4521" s="5"/>
    </row>
    <row r="4522" spans="1:1" x14ac:dyDescent="0.25">
      <c r="A4522" s="5"/>
    </row>
    <row r="4523" spans="1:1" x14ac:dyDescent="0.25">
      <c r="A4523" s="5"/>
    </row>
    <row r="4524" spans="1:1" x14ac:dyDescent="0.25">
      <c r="A4524" s="5"/>
    </row>
    <row r="4525" spans="1:1" x14ac:dyDescent="0.25">
      <c r="A4525" s="5"/>
    </row>
    <row r="4526" spans="1:1" x14ac:dyDescent="0.25">
      <c r="A4526" s="5"/>
    </row>
    <row r="4527" spans="1:1" x14ac:dyDescent="0.25">
      <c r="A4527" s="5"/>
    </row>
    <row r="4528" spans="1:1" x14ac:dyDescent="0.25">
      <c r="A4528" s="5"/>
    </row>
    <row r="4529" spans="1:1" x14ac:dyDescent="0.25">
      <c r="A4529" s="5"/>
    </row>
    <row r="4530" spans="1:1" x14ac:dyDescent="0.25">
      <c r="A4530" s="5"/>
    </row>
    <row r="4531" spans="1:1" x14ac:dyDescent="0.25">
      <c r="A4531" s="5"/>
    </row>
    <row r="4532" spans="1:1" x14ac:dyDescent="0.25">
      <c r="A4532" s="5"/>
    </row>
    <row r="4533" spans="1:1" x14ac:dyDescent="0.25">
      <c r="A4533" s="5"/>
    </row>
    <row r="4534" spans="1:1" x14ac:dyDescent="0.25">
      <c r="A4534" s="5"/>
    </row>
    <row r="4535" spans="1:1" x14ac:dyDescent="0.25">
      <c r="A4535" s="5"/>
    </row>
    <row r="4536" spans="1:1" x14ac:dyDescent="0.25">
      <c r="A4536" s="5"/>
    </row>
    <row r="4537" spans="1:1" x14ac:dyDescent="0.25">
      <c r="A4537" s="5"/>
    </row>
    <row r="4538" spans="1:1" x14ac:dyDescent="0.25">
      <c r="A4538" s="5"/>
    </row>
    <row r="4539" spans="1:1" x14ac:dyDescent="0.25">
      <c r="A4539" s="5"/>
    </row>
    <row r="4540" spans="1:1" x14ac:dyDescent="0.25">
      <c r="A4540" s="5"/>
    </row>
    <row r="4541" spans="1:1" x14ac:dyDescent="0.25">
      <c r="A4541" s="5"/>
    </row>
    <row r="4542" spans="1:1" x14ac:dyDescent="0.25">
      <c r="A4542" s="5"/>
    </row>
    <row r="4543" spans="1:1" x14ac:dyDescent="0.25">
      <c r="A4543" s="5"/>
    </row>
    <row r="4544" spans="1:1" x14ac:dyDescent="0.25">
      <c r="A4544" s="5"/>
    </row>
    <row r="4545" spans="1:1" x14ac:dyDescent="0.25">
      <c r="A4545" s="5"/>
    </row>
    <row r="4546" spans="1:1" x14ac:dyDescent="0.25">
      <c r="A4546" s="5"/>
    </row>
    <row r="4547" spans="1:1" x14ac:dyDescent="0.25">
      <c r="A4547" s="5"/>
    </row>
    <row r="4548" spans="1:1" x14ac:dyDescent="0.25">
      <c r="A4548" s="5"/>
    </row>
    <row r="4549" spans="1:1" x14ac:dyDescent="0.25">
      <c r="A4549" s="5"/>
    </row>
    <row r="4550" spans="1:1" x14ac:dyDescent="0.25">
      <c r="A4550" s="5"/>
    </row>
    <row r="4551" spans="1:1" x14ac:dyDescent="0.25">
      <c r="A4551" s="5"/>
    </row>
    <row r="4552" spans="1:1" x14ac:dyDescent="0.25">
      <c r="A4552" s="5"/>
    </row>
    <row r="4553" spans="1:1" x14ac:dyDescent="0.25">
      <c r="A4553" s="5"/>
    </row>
    <row r="4554" spans="1:1" x14ac:dyDescent="0.25">
      <c r="A4554" s="5"/>
    </row>
    <row r="4555" spans="1:1" x14ac:dyDescent="0.25">
      <c r="A4555" s="5"/>
    </row>
    <row r="4556" spans="1:1" x14ac:dyDescent="0.25">
      <c r="A4556" s="5"/>
    </row>
    <row r="4557" spans="1:1" x14ac:dyDescent="0.25">
      <c r="A4557" s="5"/>
    </row>
    <row r="4558" spans="1:1" x14ac:dyDescent="0.25">
      <c r="A4558" s="5"/>
    </row>
    <row r="4559" spans="1:1" x14ac:dyDescent="0.25">
      <c r="A4559" s="5"/>
    </row>
    <row r="4560" spans="1:1" x14ac:dyDescent="0.25">
      <c r="A4560" s="5"/>
    </row>
    <row r="4561" spans="1:1" x14ac:dyDescent="0.25">
      <c r="A4561" s="5"/>
    </row>
    <row r="4562" spans="1:1" x14ac:dyDescent="0.25">
      <c r="A4562" s="5"/>
    </row>
    <row r="4563" spans="1:1" x14ac:dyDescent="0.25">
      <c r="A4563" s="5"/>
    </row>
    <row r="4564" spans="1:1" x14ac:dyDescent="0.25">
      <c r="A4564" s="5"/>
    </row>
    <row r="4565" spans="1:1" x14ac:dyDescent="0.25">
      <c r="A4565" s="5"/>
    </row>
    <row r="4566" spans="1:1" x14ac:dyDescent="0.25">
      <c r="A4566" s="5"/>
    </row>
    <row r="4567" spans="1:1" x14ac:dyDescent="0.25">
      <c r="A4567" s="5"/>
    </row>
    <row r="4568" spans="1:1" x14ac:dyDescent="0.25">
      <c r="A4568" s="5"/>
    </row>
    <row r="4569" spans="1:1" x14ac:dyDescent="0.25">
      <c r="A4569" s="5"/>
    </row>
    <row r="4570" spans="1:1" x14ac:dyDescent="0.25">
      <c r="A4570" s="5"/>
    </row>
    <row r="4571" spans="1:1" x14ac:dyDescent="0.25">
      <c r="A4571" s="5"/>
    </row>
    <row r="4572" spans="1:1" x14ac:dyDescent="0.25">
      <c r="A4572" s="5"/>
    </row>
    <row r="4573" spans="1:1" x14ac:dyDescent="0.25">
      <c r="A4573" s="5"/>
    </row>
    <row r="4574" spans="1:1" x14ac:dyDescent="0.25">
      <c r="A4574" s="5"/>
    </row>
    <row r="4575" spans="1:1" x14ac:dyDescent="0.25">
      <c r="A4575" s="5"/>
    </row>
    <row r="4576" spans="1:1" x14ac:dyDescent="0.25">
      <c r="A4576" s="5"/>
    </row>
    <row r="4577" spans="1:1" x14ac:dyDescent="0.25">
      <c r="A4577" s="5"/>
    </row>
    <row r="4578" spans="1:1" x14ac:dyDescent="0.25">
      <c r="A4578" s="5"/>
    </row>
    <row r="4579" spans="1:1" x14ac:dyDescent="0.25">
      <c r="A4579" s="5"/>
    </row>
    <row r="4580" spans="1:1" x14ac:dyDescent="0.25">
      <c r="A4580" s="5"/>
    </row>
    <row r="4581" spans="1:1" x14ac:dyDescent="0.25">
      <c r="A4581" s="5"/>
    </row>
    <row r="4582" spans="1:1" x14ac:dyDescent="0.25">
      <c r="A4582" s="5"/>
    </row>
    <row r="4583" spans="1:1" x14ac:dyDescent="0.25">
      <c r="A4583" s="5"/>
    </row>
    <row r="4584" spans="1:1" x14ac:dyDescent="0.25">
      <c r="A4584" s="5"/>
    </row>
    <row r="4585" spans="1:1" x14ac:dyDescent="0.25">
      <c r="A4585" s="5"/>
    </row>
    <row r="4586" spans="1:1" x14ac:dyDescent="0.25">
      <c r="A4586" s="5"/>
    </row>
    <row r="4587" spans="1:1" x14ac:dyDescent="0.25">
      <c r="A4587" s="5"/>
    </row>
    <row r="4588" spans="1:1" x14ac:dyDescent="0.25">
      <c r="A4588" s="5"/>
    </row>
    <row r="4589" spans="1:1" x14ac:dyDescent="0.25">
      <c r="A4589" s="5"/>
    </row>
    <row r="4590" spans="1:1" x14ac:dyDescent="0.25">
      <c r="A4590" s="5"/>
    </row>
    <row r="4591" spans="1:1" x14ac:dyDescent="0.25">
      <c r="A4591" s="5"/>
    </row>
    <row r="4592" spans="1:1" x14ac:dyDescent="0.25">
      <c r="A4592" s="5"/>
    </row>
    <row r="4593" spans="1:1" x14ac:dyDescent="0.25">
      <c r="A4593" s="5"/>
    </row>
    <row r="4594" spans="1:1" x14ac:dyDescent="0.25">
      <c r="A4594" s="5"/>
    </row>
    <row r="4595" spans="1:1" x14ac:dyDescent="0.25">
      <c r="A4595" s="5"/>
    </row>
    <row r="4596" spans="1:1" x14ac:dyDescent="0.25">
      <c r="A4596" s="5"/>
    </row>
    <row r="4597" spans="1:1" x14ac:dyDescent="0.25">
      <c r="A4597" s="5"/>
    </row>
    <row r="4598" spans="1:1" x14ac:dyDescent="0.25">
      <c r="A4598" s="5"/>
    </row>
    <row r="4599" spans="1:1" x14ac:dyDescent="0.25">
      <c r="A4599" s="5"/>
    </row>
    <row r="4600" spans="1:1" x14ac:dyDescent="0.25">
      <c r="A4600" s="5"/>
    </row>
    <row r="4601" spans="1:1" x14ac:dyDescent="0.25">
      <c r="A4601" s="5"/>
    </row>
    <row r="4602" spans="1:1" x14ac:dyDescent="0.25">
      <c r="A4602" s="5"/>
    </row>
    <row r="4603" spans="1:1" x14ac:dyDescent="0.25">
      <c r="A4603" s="5"/>
    </row>
    <row r="4604" spans="1:1" x14ac:dyDescent="0.25">
      <c r="A4604" s="5"/>
    </row>
    <row r="4605" spans="1:1" x14ac:dyDescent="0.25">
      <c r="A4605" s="5"/>
    </row>
    <row r="4606" spans="1:1" x14ac:dyDescent="0.25">
      <c r="A4606" s="5"/>
    </row>
    <row r="4607" spans="1:1" x14ac:dyDescent="0.25">
      <c r="A4607" s="5"/>
    </row>
    <row r="4608" spans="1:1" x14ac:dyDescent="0.25">
      <c r="A4608" s="5"/>
    </row>
    <row r="4609" spans="1:1" x14ac:dyDescent="0.25">
      <c r="A4609" s="5"/>
    </row>
    <row r="4610" spans="1:1" x14ac:dyDescent="0.25">
      <c r="A4610" s="5"/>
    </row>
    <row r="4611" spans="1:1" x14ac:dyDescent="0.25">
      <c r="A4611" s="5"/>
    </row>
    <row r="4612" spans="1:1" x14ac:dyDescent="0.25">
      <c r="A4612" s="5"/>
    </row>
    <row r="4613" spans="1:1" x14ac:dyDescent="0.25">
      <c r="A4613" s="5"/>
    </row>
    <row r="4614" spans="1:1" x14ac:dyDescent="0.25">
      <c r="A4614" s="5"/>
    </row>
    <row r="4615" spans="1:1" x14ac:dyDescent="0.25">
      <c r="A4615" s="5"/>
    </row>
    <row r="4616" spans="1:1" x14ac:dyDescent="0.25">
      <c r="A4616" s="5"/>
    </row>
    <row r="4617" spans="1:1" x14ac:dyDescent="0.25">
      <c r="A4617" s="5"/>
    </row>
    <row r="4618" spans="1:1" x14ac:dyDescent="0.25">
      <c r="A4618" s="5"/>
    </row>
    <row r="4619" spans="1:1" x14ac:dyDescent="0.25">
      <c r="A4619" s="5"/>
    </row>
    <row r="4620" spans="1:1" x14ac:dyDescent="0.25">
      <c r="A4620" s="5"/>
    </row>
    <row r="4621" spans="1:1" x14ac:dyDescent="0.25">
      <c r="A4621" s="5"/>
    </row>
    <row r="4622" spans="1:1" x14ac:dyDescent="0.25">
      <c r="A4622" s="5"/>
    </row>
    <row r="4623" spans="1:1" x14ac:dyDescent="0.25">
      <c r="A4623" s="5"/>
    </row>
    <row r="4624" spans="1:1" x14ac:dyDescent="0.25">
      <c r="A4624" s="5"/>
    </row>
    <row r="4625" spans="1:1" x14ac:dyDescent="0.25">
      <c r="A4625" s="5"/>
    </row>
    <row r="4626" spans="1:1" x14ac:dyDescent="0.25">
      <c r="A4626" s="5"/>
    </row>
    <row r="4627" spans="1:1" x14ac:dyDescent="0.25">
      <c r="A4627" s="5"/>
    </row>
    <row r="4628" spans="1:1" x14ac:dyDescent="0.25">
      <c r="A4628" s="5"/>
    </row>
    <row r="4629" spans="1:1" x14ac:dyDescent="0.25">
      <c r="A4629" s="5"/>
    </row>
    <row r="4630" spans="1:1" x14ac:dyDescent="0.25">
      <c r="A4630" s="5"/>
    </row>
    <row r="4631" spans="1:1" x14ac:dyDescent="0.25">
      <c r="A4631" s="5"/>
    </row>
    <row r="4632" spans="1:1" x14ac:dyDescent="0.25">
      <c r="A4632" s="5"/>
    </row>
    <row r="4633" spans="1:1" x14ac:dyDescent="0.25">
      <c r="A4633" s="5"/>
    </row>
    <row r="4634" spans="1:1" x14ac:dyDescent="0.25">
      <c r="A4634" s="5"/>
    </row>
    <row r="4635" spans="1:1" x14ac:dyDescent="0.25">
      <c r="A4635" s="5"/>
    </row>
    <row r="4636" spans="1:1" x14ac:dyDescent="0.25">
      <c r="A4636" s="5"/>
    </row>
    <row r="4637" spans="1:1" x14ac:dyDescent="0.25">
      <c r="A4637" s="5"/>
    </row>
    <row r="4638" spans="1:1" x14ac:dyDescent="0.25">
      <c r="A4638" s="5"/>
    </row>
    <row r="4639" spans="1:1" x14ac:dyDescent="0.25">
      <c r="A4639" s="5"/>
    </row>
    <row r="4640" spans="1:1" x14ac:dyDescent="0.25">
      <c r="A4640" s="5"/>
    </row>
    <row r="4641" spans="1:1" x14ac:dyDescent="0.25">
      <c r="A4641" s="5"/>
    </row>
    <row r="4642" spans="1:1" x14ac:dyDescent="0.25">
      <c r="A4642" s="5"/>
    </row>
    <row r="4643" spans="1:1" x14ac:dyDescent="0.25">
      <c r="A4643" s="5"/>
    </row>
    <row r="4644" spans="1:1" x14ac:dyDescent="0.25">
      <c r="A4644" s="5"/>
    </row>
    <row r="4645" spans="1:1" x14ac:dyDescent="0.25">
      <c r="A4645" s="5"/>
    </row>
    <row r="4646" spans="1:1" x14ac:dyDescent="0.25">
      <c r="A4646" s="5"/>
    </row>
    <row r="4647" spans="1:1" x14ac:dyDescent="0.25">
      <c r="A4647" s="5"/>
    </row>
    <row r="4648" spans="1:1" x14ac:dyDescent="0.25">
      <c r="A4648" s="5"/>
    </row>
    <row r="4649" spans="1:1" x14ac:dyDescent="0.25">
      <c r="A4649" s="5"/>
    </row>
    <row r="4650" spans="1:1" x14ac:dyDescent="0.25">
      <c r="A4650" s="5"/>
    </row>
    <row r="4651" spans="1:1" x14ac:dyDescent="0.25">
      <c r="A4651" s="5"/>
    </row>
    <row r="4652" spans="1:1" x14ac:dyDescent="0.25">
      <c r="A4652" s="5"/>
    </row>
    <row r="4653" spans="1:1" x14ac:dyDescent="0.25">
      <c r="A4653" s="5"/>
    </row>
    <row r="4654" spans="1:1" x14ac:dyDescent="0.25">
      <c r="A4654" s="5"/>
    </row>
    <row r="4655" spans="1:1" x14ac:dyDescent="0.25">
      <c r="A4655" s="5"/>
    </row>
    <row r="4656" spans="1:1" x14ac:dyDescent="0.25">
      <c r="A4656" s="5"/>
    </row>
    <row r="4657" spans="1:1" x14ac:dyDescent="0.25">
      <c r="A4657" s="5"/>
    </row>
    <row r="4658" spans="1:1" x14ac:dyDescent="0.25">
      <c r="A4658" s="5"/>
    </row>
    <row r="4659" spans="1:1" x14ac:dyDescent="0.25">
      <c r="A4659" s="5"/>
    </row>
    <row r="4660" spans="1:1" x14ac:dyDescent="0.25">
      <c r="A4660" s="5"/>
    </row>
    <row r="4661" spans="1:1" x14ac:dyDescent="0.25">
      <c r="A4661" s="5"/>
    </row>
    <row r="4662" spans="1:1" x14ac:dyDescent="0.25">
      <c r="A4662" s="5"/>
    </row>
    <row r="4663" spans="1:1" x14ac:dyDescent="0.25">
      <c r="A4663" s="5"/>
    </row>
    <row r="4664" spans="1:1" x14ac:dyDescent="0.25">
      <c r="A4664" s="5"/>
    </row>
    <row r="4665" spans="1:1" x14ac:dyDescent="0.25">
      <c r="A4665" s="5"/>
    </row>
    <row r="4666" spans="1:1" x14ac:dyDescent="0.25">
      <c r="A4666" s="5"/>
    </row>
    <row r="4667" spans="1:1" x14ac:dyDescent="0.25">
      <c r="A4667" s="5"/>
    </row>
    <row r="4668" spans="1:1" x14ac:dyDescent="0.25">
      <c r="A4668" s="5"/>
    </row>
    <row r="4669" spans="1:1" x14ac:dyDescent="0.25">
      <c r="A4669" s="5"/>
    </row>
    <row r="4670" spans="1:1" x14ac:dyDescent="0.25">
      <c r="A4670" s="5"/>
    </row>
    <row r="4671" spans="1:1" x14ac:dyDescent="0.25">
      <c r="A4671" s="5"/>
    </row>
    <row r="4672" spans="1:1" x14ac:dyDescent="0.25">
      <c r="A4672" s="5"/>
    </row>
    <row r="4673" spans="1:1" x14ac:dyDescent="0.25">
      <c r="A4673" s="5"/>
    </row>
    <row r="4674" spans="1:1" x14ac:dyDescent="0.25">
      <c r="A4674" s="5"/>
    </row>
    <row r="4675" spans="1:1" x14ac:dyDescent="0.25">
      <c r="A4675" s="5"/>
    </row>
    <row r="4676" spans="1:1" x14ac:dyDescent="0.25">
      <c r="A4676" s="5"/>
    </row>
    <row r="4677" spans="1:1" x14ac:dyDescent="0.25">
      <c r="A4677" s="5"/>
    </row>
    <row r="4678" spans="1:1" x14ac:dyDescent="0.25">
      <c r="A4678" s="5"/>
    </row>
    <row r="4679" spans="1:1" x14ac:dyDescent="0.25">
      <c r="A4679" s="5"/>
    </row>
    <row r="4680" spans="1:1" x14ac:dyDescent="0.25">
      <c r="A4680" s="5"/>
    </row>
    <row r="4681" spans="1:1" x14ac:dyDescent="0.25">
      <c r="A4681" s="5"/>
    </row>
    <row r="4682" spans="1:1" x14ac:dyDescent="0.25">
      <c r="A4682" s="5"/>
    </row>
    <row r="4683" spans="1:1" x14ac:dyDescent="0.25">
      <c r="A4683" s="5"/>
    </row>
    <row r="4684" spans="1:1" x14ac:dyDescent="0.25">
      <c r="A4684" s="5"/>
    </row>
    <row r="4685" spans="1:1" x14ac:dyDescent="0.25">
      <c r="A4685" s="5"/>
    </row>
    <row r="4686" spans="1:1" x14ac:dyDescent="0.25">
      <c r="A4686" s="5"/>
    </row>
    <row r="4687" spans="1:1" x14ac:dyDescent="0.25">
      <c r="A4687" s="5"/>
    </row>
    <row r="4688" spans="1:1" x14ac:dyDescent="0.25">
      <c r="A4688" s="5"/>
    </row>
    <row r="4689" spans="1:1" x14ac:dyDescent="0.25">
      <c r="A4689" s="5"/>
    </row>
    <row r="4690" spans="1:1" x14ac:dyDescent="0.25">
      <c r="A4690" s="5"/>
    </row>
    <row r="4691" spans="1:1" x14ac:dyDescent="0.25">
      <c r="A4691" s="5"/>
    </row>
    <row r="4692" spans="1:1" x14ac:dyDescent="0.25">
      <c r="A4692" s="5"/>
    </row>
    <row r="4693" spans="1:1" x14ac:dyDescent="0.25">
      <c r="A4693" s="5"/>
    </row>
    <row r="4694" spans="1:1" x14ac:dyDescent="0.25">
      <c r="A4694" s="5"/>
    </row>
    <row r="4695" spans="1:1" x14ac:dyDescent="0.25">
      <c r="A4695" s="5"/>
    </row>
    <row r="4696" spans="1:1" x14ac:dyDescent="0.25">
      <c r="A4696" s="5"/>
    </row>
    <row r="4697" spans="1:1" x14ac:dyDescent="0.25">
      <c r="A4697" s="5"/>
    </row>
    <row r="4698" spans="1:1" x14ac:dyDescent="0.25">
      <c r="A4698" s="5"/>
    </row>
    <row r="4699" spans="1:1" x14ac:dyDescent="0.25">
      <c r="A4699" s="5"/>
    </row>
    <row r="4700" spans="1:1" x14ac:dyDescent="0.25">
      <c r="A4700" s="5"/>
    </row>
    <row r="4701" spans="1:1" x14ac:dyDescent="0.25">
      <c r="A4701" s="5"/>
    </row>
    <row r="4702" spans="1:1" x14ac:dyDescent="0.25">
      <c r="A4702" s="5"/>
    </row>
    <row r="4703" spans="1:1" x14ac:dyDescent="0.25">
      <c r="A4703" s="5"/>
    </row>
    <row r="4704" spans="1:1" x14ac:dyDescent="0.25">
      <c r="A4704" s="5"/>
    </row>
    <row r="4705" spans="1:1" x14ac:dyDescent="0.25">
      <c r="A4705" s="5"/>
    </row>
    <row r="4706" spans="1:1" x14ac:dyDescent="0.25">
      <c r="A4706" s="5"/>
    </row>
    <row r="4707" spans="1:1" x14ac:dyDescent="0.25">
      <c r="A4707" s="5"/>
    </row>
    <row r="4708" spans="1:1" x14ac:dyDescent="0.25">
      <c r="A4708" s="5"/>
    </row>
    <row r="4709" spans="1:1" x14ac:dyDescent="0.25">
      <c r="A4709" s="5"/>
    </row>
    <row r="4710" spans="1:1" x14ac:dyDescent="0.25">
      <c r="A4710" s="5"/>
    </row>
    <row r="4711" spans="1:1" x14ac:dyDescent="0.25">
      <c r="A4711" s="5"/>
    </row>
    <row r="4712" spans="1:1" x14ac:dyDescent="0.25">
      <c r="A4712" s="5"/>
    </row>
    <row r="4713" spans="1:1" x14ac:dyDescent="0.25">
      <c r="A4713" s="5"/>
    </row>
    <row r="4714" spans="1:1" x14ac:dyDescent="0.25">
      <c r="A4714" s="5"/>
    </row>
    <row r="4715" spans="1:1" x14ac:dyDescent="0.25">
      <c r="A4715" s="5"/>
    </row>
    <row r="4716" spans="1:1" x14ac:dyDescent="0.25">
      <c r="A4716" s="5"/>
    </row>
    <row r="4717" spans="1:1" x14ac:dyDescent="0.25">
      <c r="A4717" s="5"/>
    </row>
    <row r="4718" spans="1:1" x14ac:dyDescent="0.25">
      <c r="A4718" s="5"/>
    </row>
    <row r="4719" spans="1:1" x14ac:dyDescent="0.25">
      <c r="A4719" s="5"/>
    </row>
    <row r="4720" spans="1:1" x14ac:dyDescent="0.25">
      <c r="A4720" s="5"/>
    </row>
    <row r="4721" spans="1:1" x14ac:dyDescent="0.25">
      <c r="A4721" s="5"/>
    </row>
    <row r="4722" spans="1:1" x14ac:dyDescent="0.25">
      <c r="A4722" s="5"/>
    </row>
    <row r="4723" spans="1:1" x14ac:dyDescent="0.25">
      <c r="A4723" s="5"/>
    </row>
    <row r="4724" spans="1:1" x14ac:dyDescent="0.25">
      <c r="A4724" s="5"/>
    </row>
    <row r="4725" spans="1:1" x14ac:dyDescent="0.25">
      <c r="A4725" s="5"/>
    </row>
    <row r="4726" spans="1:1" x14ac:dyDescent="0.25">
      <c r="A4726" s="5"/>
    </row>
    <row r="4727" spans="1:1" x14ac:dyDescent="0.25">
      <c r="A4727" s="5"/>
    </row>
    <row r="4728" spans="1:1" x14ac:dyDescent="0.25">
      <c r="A4728" s="5"/>
    </row>
    <row r="4729" spans="1:1" x14ac:dyDescent="0.25">
      <c r="A4729" s="5"/>
    </row>
    <row r="4730" spans="1:1" x14ac:dyDescent="0.25">
      <c r="A4730" s="5"/>
    </row>
    <row r="4731" spans="1:1" x14ac:dyDescent="0.25">
      <c r="A4731" s="5"/>
    </row>
    <row r="4732" spans="1:1" x14ac:dyDescent="0.25">
      <c r="A4732" s="5"/>
    </row>
    <row r="4733" spans="1:1" x14ac:dyDescent="0.25">
      <c r="A4733" s="5"/>
    </row>
    <row r="4734" spans="1:1" x14ac:dyDescent="0.25">
      <c r="A4734" s="5"/>
    </row>
    <row r="4735" spans="1:1" x14ac:dyDescent="0.25">
      <c r="A4735" s="5"/>
    </row>
    <row r="4736" spans="1:1" x14ac:dyDescent="0.25">
      <c r="A4736" s="5"/>
    </row>
    <row r="4737" spans="1:1" x14ac:dyDescent="0.25">
      <c r="A4737" s="5"/>
    </row>
    <row r="4738" spans="1:1" x14ac:dyDescent="0.25">
      <c r="A4738" s="5"/>
    </row>
    <row r="4739" spans="1:1" x14ac:dyDescent="0.25">
      <c r="A4739" s="5"/>
    </row>
    <row r="4740" spans="1:1" x14ac:dyDescent="0.25">
      <c r="A4740" s="5"/>
    </row>
    <row r="4741" spans="1:1" x14ac:dyDescent="0.25">
      <c r="A4741" s="5"/>
    </row>
    <row r="4742" spans="1:1" x14ac:dyDescent="0.25">
      <c r="A4742" s="5"/>
    </row>
    <row r="4743" spans="1:1" x14ac:dyDescent="0.25">
      <c r="A4743" s="5"/>
    </row>
    <row r="4744" spans="1:1" x14ac:dyDescent="0.25">
      <c r="A4744" s="5"/>
    </row>
    <row r="4745" spans="1:1" x14ac:dyDescent="0.25">
      <c r="A4745" s="5"/>
    </row>
    <row r="4746" spans="1:1" x14ac:dyDescent="0.25">
      <c r="A4746" s="5"/>
    </row>
    <row r="4747" spans="1:1" x14ac:dyDescent="0.25">
      <c r="A4747" s="5"/>
    </row>
    <row r="4748" spans="1:1" x14ac:dyDescent="0.25">
      <c r="A4748" s="5"/>
    </row>
    <row r="4749" spans="1:1" x14ac:dyDescent="0.25">
      <c r="A4749" s="5"/>
    </row>
    <row r="4750" spans="1:1" x14ac:dyDescent="0.25">
      <c r="A4750" s="5"/>
    </row>
    <row r="4751" spans="1:1" x14ac:dyDescent="0.25">
      <c r="A4751" s="5"/>
    </row>
    <row r="4752" spans="1:1" x14ac:dyDescent="0.25">
      <c r="A4752" s="5"/>
    </row>
    <row r="4753" spans="1:1" x14ac:dyDescent="0.25">
      <c r="A4753" s="5"/>
    </row>
    <row r="4754" spans="1:1" x14ac:dyDescent="0.25">
      <c r="A4754" s="5"/>
    </row>
    <row r="4755" spans="1:1" x14ac:dyDescent="0.25">
      <c r="A4755" s="5"/>
    </row>
    <row r="4756" spans="1:1" x14ac:dyDescent="0.25">
      <c r="A4756" s="5"/>
    </row>
    <row r="4757" spans="1:1" x14ac:dyDescent="0.25">
      <c r="A4757" s="5"/>
    </row>
    <row r="4758" spans="1:1" x14ac:dyDescent="0.25">
      <c r="A4758" s="5"/>
    </row>
    <row r="4759" spans="1:1" x14ac:dyDescent="0.25">
      <c r="A4759" s="5"/>
    </row>
    <row r="4760" spans="1:1" x14ac:dyDescent="0.25">
      <c r="A4760" s="5"/>
    </row>
    <row r="4761" spans="1:1" x14ac:dyDescent="0.25">
      <c r="A4761" s="5"/>
    </row>
    <row r="4762" spans="1:1" x14ac:dyDescent="0.25">
      <c r="A4762" s="5"/>
    </row>
    <row r="4763" spans="1:1" x14ac:dyDescent="0.25">
      <c r="A4763" s="5"/>
    </row>
    <row r="4764" spans="1:1" x14ac:dyDescent="0.25">
      <c r="A4764" s="5"/>
    </row>
    <row r="4765" spans="1:1" x14ac:dyDescent="0.25">
      <c r="A4765" s="5"/>
    </row>
    <row r="4766" spans="1:1" x14ac:dyDescent="0.25">
      <c r="A4766" s="5"/>
    </row>
    <row r="4767" spans="1:1" x14ac:dyDescent="0.25">
      <c r="A4767" s="5"/>
    </row>
    <row r="4768" spans="1:1" x14ac:dyDescent="0.25">
      <c r="A4768" s="5"/>
    </row>
    <row r="4769" spans="1:1" x14ac:dyDescent="0.25">
      <c r="A4769" s="5"/>
    </row>
    <row r="4770" spans="1:1" x14ac:dyDescent="0.25">
      <c r="A4770" s="5"/>
    </row>
    <row r="4771" spans="1:1" x14ac:dyDescent="0.25">
      <c r="A4771" s="5"/>
    </row>
    <row r="4772" spans="1:1" x14ac:dyDescent="0.25">
      <c r="A4772" s="5"/>
    </row>
    <row r="4773" spans="1:1" x14ac:dyDescent="0.25">
      <c r="A4773" s="5"/>
    </row>
    <row r="4774" spans="1:1" x14ac:dyDescent="0.25">
      <c r="A4774" s="5"/>
    </row>
    <row r="4775" spans="1:1" x14ac:dyDescent="0.25">
      <c r="A4775" s="5"/>
    </row>
    <row r="4776" spans="1:1" x14ac:dyDescent="0.25">
      <c r="A4776" s="5"/>
    </row>
    <row r="4777" spans="1:1" x14ac:dyDescent="0.25">
      <c r="A4777" s="5"/>
    </row>
    <row r="4778" spans="1:1" x14ac:dyDescent="0.25">
      <c r="A4778" s="5"/>
    </row>
    <row r="4779" spans="1:1" x14ac:dyDescent="0.25">
      <c r="A4779" s="5"/>
    </row>
    <row r="4780" spans="1:1" x14ac:dyDescent="0.25">
      <c r="A4780" s="5"/>
    </row>
    <row r="4781" spans="1:1" x14ac:dyDescent="0.25">
      <c r="A4781" s="5"/>
    </row>
    <row r="4782" spans="1:1" x14ac:dyDescent="0.25">
      <c r="A4782" s="5"/>
    </row>
    <row r="4783" spans="1:1" x14ac:dyDescent="0.25">
      <c r="A4783" s="5"/>
    </row>
    <row r="4784" spans="1:1" x14ac:dyDescent="0.25">
      <c r="A4784" s="5"/>
    </row>
    <row r="4785" spans="1:1" x14ac:dyDescent="0.25">
      <c r="A4785" s="5"/>
    </row>
    <row r="4786" spans="1:1" x14ac:dyDescent="0.25">
      <c r="A4786" s="5"/>
    </row>
    <row r="4787" spans="1:1" x14ac:dyDescent="0.25">
      <c r="A4787" s="5"/>
    </row>
    <row r="4788" spans="1:1" x14ac:dyDescent="0.25">
      <c r="A4788" s="5"/>
    </row>
    <row r="4789" spans="1:1" x14ac:dyDescent="0.25">
      <c r="A4789" s="5"/>
    </row>
    <row r="4790" spans="1:1" x14ac:dyDescent="0.25">
      <c r="A4790" s="5"/>
    </row>
    <row r="4791" spans="1:1" x14ac:dyDescent="0.25">
      <c r="A4791" s="5"/>
    </row>
    <row r="4792" spans="1:1" x14ac:dyDescent="0.25">
      <c r="A4792" s="5"/>
    </row>
    <row r="4793" spans="1:1" x14ac:dyDescent="0.25">
      <c r="A4793" s="5"/>
    </row>
    <row r="4794" spans="1:1" x14ac:dyDescent="0.25">
      <c r="A4794" s="5"/>
    </row>
    <row r="4795" spans="1:1" x14ac:dyDescent="0.25">
      <c r="A4795" s="5"/>
    </row>
    <row r="4796" spans="1:1" x14ac:dyDescent="0.25">
      <c r="A4796" s="5"/>
    </row>
    <row r="4797" spans="1:1" x14ac:dyDescent="0.25">
      <c r="A4797" s="5"/>
    </row>
    <row r="4798" spans="1:1" x14ac:dyDescent="0.25">
      <c r="A4798" s="5"/>
    </row>
    <row r="4799" spans="1:1" x14ac:dyDescent="0.25">
      <c r="A4799" s="5"/>
    </row>
    <row r="4800" spans="1:1" x14ac:dyDescent="0.25">
      <c r="A4800" s="5"/>
    </row>
    <row r="4801" spans="1:1" x14ac:dyDescent="0.25">
      <c r="A4801" s="5"/>
    </row>
    <row r="4802" spans="1:1" x14ac:dyDescent="0.25">
      <c r="A4802" s="5"/>
    </row>
    <row r="4803" spans="1:1" x14ac:dyDescent="0.25">
      <c r="A4803" s="5"/>
    </row>
    <row r="4804" spans="1:1" x14ac:dyDescent="0.25">
      <c r="A4804" s="5"/>
    </row>
    <row r="4805" spans="1:1" x14ac:dyDescent="0.25">
      <c r="A4805" s="5"/>
    </row>
    <row r="4806" spans="1:1" x14ac:dyDescent="0.25">
      <c r="A4806" s="5"/>
    </row>
    <row r="4807" spans="1:1" x14ac:dyDescent="0.25">
      <c r="A4807" s="5"/>
    </row>
    <row r="4808" spans="1:1" x14ac:dyDescent="0.25">
      <c r="A4808" s="5"/>
    </row>
    <row r="4809" spans="1:1" x14ac:dyDescent="0.25">
      <c r="A4809" s="5"/>
    </row>
    <row r="4810" spans="1:1" x14ac:dyDescent="0.25">
      <c r="A4810" s="5"/>
    </row>
    <row r="4811" spans="1:1" x14ac:dyDescent="0.25">
      <c r="A4811" s="5"/>
    </row>
    <row r="4812" spans="1:1" x14ac:dyDescent="0.25">
      <c r="A4812" s="5"/>
    </row>
    <row r="4813" spans="1:1" x14ac:dyDescent="0.25">
      <c r="A4813" s="5"/>
    </row>
    <row r="4814" spans="1:1" x14ac:dyDescent="0.25">
      <c r="A4814" s="5"/>
    </row>
    <row r="4815" spans="1:1" x14ac:dyDescent="0.25">
      <c r="A4815" s="5"/>
    </row>
    <row r="4816" spans="1:1" x14ac:dyDescent="0.25">
      <c r="A4816" s="5"/>
    </row>
    <row r="4817" spans="1:1" x14ac:dyDescent="0.25">
      <c r="A4817" s="5"/>
    </row>
    <row r="4818" spans="1:1" x14ac:dyDescent="0.25">
      <c r="A4818" s="5"/>
    </row>
    <row r="4819" spans="1:1" x14ac:dyDescent="0.25">
      <c r="A4819" s="5"/>
    </row>
    <row r="4820" spans="1:1" x14ac:dyDescent="0.25">
      <c r="A4820" s="5"/>
    </row>
    <row r="4821" spans="1:1" x14ac:dyDescent="0.25">
      <c r="A4821" s="5"/>
    </row>
    <row r="4822" spans="1:1" x14ac:dyDescent="0.25">
      <c r="A4822" s="5"/>
    </row>
    <row r="4823" spans="1:1" x14ac:dyDescent="0.25">
      <c r="A4823" s="5"/>
    </row>
    <row r="4824" spans="1:1" x14ac:dyDescent="0.25">
      <c r="A4824" s="5"/>
    </row>
    <row r="4825" spans="1:1" x14ac:dyDescent="0.25">
      <c r="A4825" s="5"/>
    </row>
    <row r="4826" spans="1:1" x14ac:dyDescent="0.25">
      <c r="A4826" s="5"/>
    </row>
    <row r="4827" spans="1:1" x14ac:dyDescent="0.25">
      <c r="A4827" s="5"/>
    </row>
    <row r="4828" spans="1:1" x14ac:dyDescent="0.25">
      <c r="A4828" s="5"/>
    </row>
    <row r="4829" spans="1:1" x14ac:dyDescent="0.25">
      <c r="A4829" s="5"/>
    </row>
    <row r="4830" spans="1:1" x14ac:dyDescent="0.25">
      <c r="A4830" s="5"/>
    </row>
    <row r="4831" spans="1:1" x14ac:dyDescent="0.25">
      <c r="A4831" s="5"/>
    </row>
    <row r="4832" spans="1:1" x14ac:dyDescent="0.25">
      <c r="A4832" s="5"/>
    </row>
    <row r="4833" spans="1:1" x14ac:dyDescent="0.25">
      <c r="A4833" s="5"/>
    </row>
    <row r="4834" spans="1:1" x14ac:dyDescent="0.25">
      <c r="A4834" s="5"/>
    </row>
    <row r="4835" spans="1:1" x14ac:dyDescent="0.25">
      <c r="A4835" s="5"/>
    </row>
    <row r="4836" spans="1:1" x14ac:dyDescent="0.25">
      <c r="A4836" s="5"/>
    </row>
    <row r="4837" spans="1:1" x14ac:dyDescent="0.25">
      <c r="A4837" s="5"/>
    </row>
    <row r="4838" spans="1:1" x14ac:dyDescent="0.25">
      <c r="A4838" s="5"/>
    </row>
    <row r="4839" spans="1:1" x14ac:dyDescent="0.25">
      <c r="A4839" s="5"/>
    </row>
    <row r="4840" spans="1:1" x14ac:dyDescent="0.25">
      <c r="A4840" s="5"/>
    </row>
    <row r="4841" spans="1:1" x14ac:dyDescent="0.25">
      <c r="A4841" s="5"/>
    </row>
    <row r="4842" spans="1:1" x14ac:dyDescent="0.25">
      <c r="A4842" s="5"/>
    </row>
    <row r="4843" spans="1:1" x14ac:dyDescent="0.25">
      <c r="A4843" s="5"/>
    </row>
    <row r="4844" spans="1:1" x14ac:dyDescent="0.25">
      <c r="A4844" s="5"/>
    </row>
    <row r="4845" spans="1:1" x14ac:dyDescent="0.25">
      <c r="A4845" s="5"/>
    </row>
    <row r="4846" spans="1:1" x14ac:dyDescent="0.25">
      <c r="A4846" s="5"/>
    </row>
    <row r="4847" spans="1:1" x14ac:dyDescent="0.25">
      <c r="A4847" s="5"/>
    </row>
    <row r="4848" spans="1:1" x14ac:dyDescent="0.25">
      <c r="A4848" s="5"/>
    </row>
    <row r="4849" spans="1:1" x14ac:dyDescent="0.25">
      <c r="A4849" s="5"/>
    </row>
    <row r="4850" spans="1:1" x14ac:dyDescent="0.25">
      <c r="A4850" s="5"/>
    </row>
    <row r="4851" spans="1:1" x14ac:dyDescent="0.25">
      <c r="A4851" s="5"/>
    </row>
    <row r="4852" spans="1:1" x14ac:dyDescent="0.25">
      <c r="A4852" s="5"/>
    </row>
    <row r="4853" spans="1:1" x14ac:dyDescent="0.25">
      <c r="A4853" s="5"/>
    </row>
    <row r="4854" spans="1:1" x14ac:dyDescent="0.25">
      <c r="A4854" s="5"/>
    </row>
    <row r="4855" spans="1:1" x14ac:dyDescent="0.25">
      <c r="A4855" s="5"/>
    </row>
    <row r="4856" spans="1:1" x14ac:dyDescent="0.25">
      <c r="A4856" s="5"/>
    </row>
    <row r="4857" spans="1:1" x14ac:dyDescent="0.25">
      <c r="A4857" s="5"/>
    </row>
    <row r="4858" spans="1:1" x14ac:dyDescent="0.25">
      <c r="A4858" s="5"/>
    </row>
    <row r="4859" spans="1:1" x14ac:dyDescent="0.25">
      <c r="A4859" s="5"/>
    </row>
    <row r="4860" spans="1:1" x14ac:dyDescent="0.25">
      <c r="A4860" s="5"/>
    </row>
    <row r="4861" spans="1:1" x14ac:dyDescent="0.25">
      <c r="A4861" s="5"/>
    </row>
    <row r="4862" spans="1:1" x14ac:dyDescent="0.25">
      <c r="A4862" s="5"/>
    </row>
    <row r="4863" spans="1:1" x14ac:dyDescent="0.25">
      <c r="A4863" s="5"/>
    </row>
    <row r="4864" spans="1:1" x14ac:dyDescent="0.25">
      <c r="A4864" s="5"/>
    </row>
    <row r="4865" spans="1:1" x14ac:dyDescent="0.25">
      <c r="A4865" s="5"/>
    </row>
    <row r="4866" spans="1:1" x14ac:dyDescent="0.25">
      <c r="A4866" s="5"/>
    </row>
    <row r="4867" spans="1:1" x14ac:dyDescent="0.25">
      <c r="A4867" s="5"/>
    </row>
    <row r="4868" spans="1:1" x14ac:dyDescent="0.25">
      <c r="A4868" s="5"/>
    </row>
    <row r="4869" spans="1:1" x14ac:dyDescent="0.25">
      <c r="A4869" s="5"/>
    </row>
    <row r="4870" spans="1:1" x14ac:dyDescent="0.25">
      <c r="A4870" s="5"/>
    </row>
    <row r="4871" spans="1:1" x14ac:dyDescent="0.25">
      <c r="A4871" s="5"/>
    </row>
    <row r="4872" spans="1:1" x14ac:dyDescent="0.25">
      <c r="A4872" s="5"/>
    </row>
    <row r="4873" spans="1:1" x14ac:dyDescent="0.25">
      <c r="A4873" s="5"/>
    </row>
    <row r="4874" spans="1:1" x14ac:dyDescent="0.25">
      <c r="A4874" s="5"/>
    </row>
    <row r="4875" spans="1:1" x14ac:dyDescent="0.25">
      <c r="A4875" s="5"/>
    </row>
    <row r="4876" spans="1:1" x14ac:dyDescent="0.25">
      <c r="A4876" s="5"/>
    </row>
    <row r="4877" spans="1:1" x14ac:dyDescent="0.25">
      <c r="A4877" s="5"/>
    </row>
    <row r="4878" spans="1:1" x14ac:dyDescent="0.25">
      <c r="A4878" s="5"/>
    </row>
    <row r="4879" spans="1:1" x14ac:dyDescent="0.25">
      <c r="A4879" s="5"/>
    </row>
    <row r="4880" spans="1:1" x14ac:dyDescent="0.25">
      <c r="A4880" s="5"/>
    </row>
    <row r="4881" spans="1:1" x14ac:dyDescent="0.25">
      <c r="A4881" s="5"/>
    </row>
    <row r="4882" spans="1:1" x14ac:dyDescent="0.25">
      <c r="A4882" s="5"/>
    </row>
    <row r="4883" spans="1:1" x14ac:dyDescent="0.25">
      <c r="A4883" s="5"/>
    </row>
    <row r="4884" spans="1:1" x14ac:dyDescent="0.25">
      <c r="A4884" s="5"/>
    </row>
    <row r="4885" spans="1:1" x14ac:dyDescent="0.25">
      <c r="A4885" s="5"/>
    </row>
    <row r="4886" spans="1:1" x14ac:dyDescent="0.25">
      <c r="A4886" s="5"/>
    </row>
    <row r="4887" spans="1:1" x14ac:dyDescent="0.25">
      <c r="A4887" s="5"/>
    </row>
    <row r="4888" spans="1:1" x14ac:dyDescent="0.25">
      <c r="A4888" s="5"/>
    </row>
    <row r="4889" spans="1:1" x14ac:dyDescent="0.25">
      <c r="A4889" s="5"/>
    </row>
    <row r="4890" spans="1:1" x14ac:dyDescent="0.25">
      <c r="A4890" s="5"/>
    </row>
    <row r="4891" spans="1:1" x14ac:dyDescent="0.25">
      <c r="A4891" s="5"/>
    </row>
    <row r="4892" spans="1:1" x14ac:dyDescent="0.25">
      <c r="A4892" s="5"/>
    </row>
    <row r="4893" spans="1:1" x14ac:dyDescent="0.25">
      <c r="A4893" s="5"/>
    </row>
    <row r="4894" spans="1:1" x14ac:dyDescent="0.25">
      <c r="A4894" s="5"/>
    </row>
    <row r="4895" spans="1:1" x14ac:dyDescent="0.25">
      <c r="A4895" s="5"/>
    </row>
    <row r="4896" spans="1:1" x14ac:dyDescent="0.25">
      <c r="A4896" s="5"/>
    </row>
    <row r="4897" spans="1:1" x14ac:dyDescent="0.25">
      <c r="A4897" s="5"/>
    </row>
    <row r="4898" spans="1:1" x14ac:dyDescent="0.25">
      <c r="A4898" s="5"/>
    </row>
    <row r="4899" spans="1:1" x14ac:dyDescent="0.25">
      <c r="A4899" s="5"/>
    </row>
    <row r="4900" spans="1:1" x14ac:dyDescent="0.25">
      <c r="A4900" s="5"/>
    </row>
    <row r="4901" spans="1:1" x14ac:dyDescent="0.25">
      <c r="A4901" s="5"/>
    </row>
    <row r="4902" spans="1:1" x14ac:dyDescent="0.25">
      <c r="A4902" s="5"/>
    </row>
    <row r="4903" spans="1:1" x14ac:dyDescent="0.25">
      <c r="A4903" s="5"/>
    </row>
    <row r="4904" spans="1:1" x14ac:dyDescent="0.25">
      <c r="A4904" s="5"/>
    </row>
    <row r="4905" spans="1:1" x14ac:dyDescent="0.25">
      <c r="A4905" s="5"/>
    </row>
    <row r="4906" spans="1:1" x14ac:dyDescent="0.25">
      <c r="A4906" s="5"/>
    </row>
    <row r="4907" spans="1:1" x14ac:dyDescent="0.25">
      <c r="A4907" s="5"/>
    </row>
    <row r="4908" spans="1:1" x14ac:dyDescent="0.25">
      <c r="A4908" s="5"/>
    </row>
    <row r="4909" spans="1:1" x14ac:dyDescent="0.25">
      <c r="A4909" s="5"/>
    </row>
    <row r="4910" spans="1:1" x14ac:dyDescent="0.25">
      <c r="A4910" s="5"/>
    </row>
    <row r="4911" spans="1:1" x14ac:dyDescent="0.25">
      <c r="A4911" s="5"/>
    </row>
    <row r="4912" spans="1:1" x14ac:dyDescent="0.25">
      <c r="A4912" s="5"/>
    </row>
    <row r="4913" spans="1:1" x14ac:dyDescent="0.25">
      <c r="A4913" s="5"/>
    </row>
    <row r="4914" spans="1:1" x14ac:dyDescent="0.25">
      <c r="A4914" s="5"/>
    </row>
    <row r="4915" spans="1:1" x14ac:dyDescent="0.25">
      <c r="A4915" s="5"/>
    </row>
    <row r="4916" spans="1:1" x14ac:dyDescent="0.25">
      <c r="A4916" s="5"/>
    </row>
    <row r="4917" spans="1:1" x14ac:dyDescent="0.25">
      <c r="A4917" s="5"/>
    </row>
    <row r="4918" spans="1:1" x14ac:dyDescent="0.25">
      <c r="A4918" s="5"/>
    </row>
    <row r="4919" spans="1:1" x14ac:dyDescent="0.25">
      <c r="A4919" s="5"/>
    </row>
    <row r="4920" spans="1:1" x14ac:dyDescent="0.25">
      <c r="A4920" s="5"/>
    </row>
    <row r="4921" spans="1:1" x14ac:dyDescent="0.25">
      <c r="A4921" s="5"/>
    </row>
    <row r="4922" spans="1:1" x14ac:dyDescent="0.25">
      <c r="A4922" s="5"/>
    </row>
    <row r="4923" spans="1:1" x14ac:dyDescent="0.25">
      <c r="A4923" s="5"/>
    </row>
    <row r="4924" spans="1:1" x14ac:dyDescent="0.25">
      <c r="A4924" s="5"/>
    </row>
    <row r="4925" spans="1:1" x14ac:dyDescent="0.25">
      <c r="A4925" s="5"/>
    </row>
    <row r="4926" spans="1:1" x14ac:dyDescent="0.25">
      <c r="A4926" s="5"/>
    </row>
    <row r="4927" spans="1:1" x14ac:dyDescent="0.25">
      <c r="A4927" s="5"/>
    </row>
    <row r="4928" spans="1:1" x14ac:dyDescent="0.25">
      <c r="A4928" s="5"/>
    </row>
    <row r="4929" spans="1:1" x14ac:dyDescent="0.25">
      <c r="A4929" s="5"/>
    </row>
    <row r="4930" spans="1:1" x14ac:dyDescent="0.25">
      <c r="A4930" s="5"/>
    </row>
    <row r="4931" spans="1:1" x14ac:dyDescent="0.25">
      <c r="A4931" s="5"/>
    </row>
    <row r="4932" spans="1:1" x14ac:dyDescent="0.25">
      <c r="A4932" s="5"/>
    </row>
    <row r="4933" spans="1:1" x14ac:dyDescent="0.25">
      <c r="A4933" s="5"/>
    </row>
    <row r="4934" spans="1:1" x14ac:dyDescent="0.25">
      <c r="A4934" s="5"/>
    </row>
    <row r="4935" spans="1:1" x14ac:dyDescent="0.25">
      <c r="A4935" s="5"/>
    </row>
    <row r="4936" spans="1:1" x14ac:dyDescent="0.25">
      <c r="A4936" s="5"/>
    </row>
    <row r="4937" spans="1:1" x14ac:dyDescent="0.25">
      <c r="A4937" s="5"/>
    </row>
    <row r="4938" spans="1:1" x14ac:dyDescent="0.25">
      <c r="A4938" s="5"/>
    </row>
    <row r="4939" spans="1:1" x14ac:dyDescent="0.25">
      <c r="A4939" s="5"/>
    </row>
    <row r="4940" spans="1:1" x14ac:dyDescent="0.25">
      <c r="A4940" s="5"/>
    </row>
    <row r="4941" spans="1:1" x14ac:dyDescent="0.25">
      <c r="A4941" s="5"/>
    </row>
    <row r="4942" spans="1:1" x14ac:dyDescent="0.25">
      <c r="A4942" s="5"/>
    </row>
    <row r="4943" spans="1:1" x14ac:dyDescent="0.25">
      <c r="A4943" s="5"/>
    </row>
    <row r="4944" spans="1:1" x14ac:dyDescent="0.25">
      <c r="A4944" s="5"/>
    </row>
    <row r="4945" spans="1:1" x14ac:dyDescent="0.25">
      <c r="A4945" s="5"/>
    </row>
    <row r="4946" spans="1:1" x14ac:dyDescent="0.25">
      <c r="A4946" s="5"/>
    </row>
    <row r="4947" spans="1:1" x14ac:dyDescent="0.25">
      <c r="A4947" s="5"/>
    </row>
    <row r="4948" spans="1:1" x14ac:dyDescent="0.25">
      <c r="A4948" s="5"/>
    </row>
    <row r="4949" spans="1:1" x14ac:dyDescent="0.25">
      <c r="A4949" s="5"/>
    </row>
    <row r="4950" spans="1:1" x14ac:dyDescent="0.25">
      <c r="A4950" s="5"/>
    </row>
    <row r="4951" spans="1:1" x14ac:dyDescent="0.25">
      <c r="A4951" s="5"/>
    </row>
    <row r="4952" spans="1:1" x14ac:dyDescent="0.25">
      <c r="A4952" s="5"/>
    </row>
    <row r="4953" spans="1:1" x14ac:dyDescent="0.25">
      <c r="A4953" s="5"/>
    </row>
    <row r="4954" spans="1:1" x14ac:dyDescent="0.25">
      <c r="A4954" s="5"/>
    </row>
    <row r="4955" spans="1:1" x14ac:dyDescent="0.25">
      <c r="A4955" s="5"/>
    </row>
    <row r="4956" spans="1:1" x14ac:dyDescent="0.25">
      <c r="A4956" s="5"/>
    </row>
    <row r="4957" spans="1:1" x14ac:dyDescent="0.25">
      <c r="A4957" s="5"/>
    </row>
    <row r="4958" spans="1:1" x14ac:dyDescent="0.25">
      <c r="A4958" s="5"/>
    </row>
    <row r="4959" spans="1:1" x14ac:dyDescent="0.25">
      <c r="A4959" s="5"/>
    </row>
    <row r="4960" spans="1:1" x14ac:dyDescent="0.25">
      <c r="A4960" s="5"/>
    </row>
    <row r="4961" spans="1:1" x14ac:dyDescent="0.25">
      <c r="A4961" s="5"/>
    </row>
    <row r="4962" spans="1:1" x14ac:dyDescent="0.25">
      <c r="A4962" s="5"/>
    </row>
    <row r="4963" spans="1:1" x14ac:dyDescent="0.25">
      <c r="A4963" s="5"/>
    </row>
    <row r="4964" spans="1:1" x14ac:dyDescent="0.25">
      <c r="A4964" s="5"/>
    </row>
    <row r="4965" spans="1:1" x14ac:dyDescent="0.25">
      <c r="A4965" s="5"/>
    </row>
    <row r="4966" spans="1:1" x14ac:dyDescent="0.25">
      <c r="A4966" s="5"/>
    </row>
    <row r="4967" spans="1:1" x14ac:dyDescent="0.25">
      <c r="A4967" s="5"/>
    </row>
    <row r="4968" spans="1:1" x14ac:dyDescent="0.25">
      <c r="A4968" s="5"/>
    </row>
    <row r="4969" spans="1:1" x14ac:dyDescent="0.25">
      <c r="A4969" s="5"/>
    </row>
    <row r="4970" spans="1:1" x14ac:dyDescent="0.25">
      <c r="A4970" s="5"/>
    </row>
    <row r="4971" spans="1:1" x14ac:dyDescent="0.25">
      <c r="A4971" s="5"/>
    </row>
    <row r="4972" spans="1:1" x14ac:dyDescent="0.25">
      <c r="A4972" s="5"/>
    </row>
    <row r="4973" spans="1:1" x14ac:dyDescent="0.25">
      <c r="A4973" s="5"/>
    </row>
    <row r="4974" spans="1:1" x14ac:dyDescent="0.25">
      <c r="A4974" s="5"/>
    </row>
    <row r="4975" spans="1:1" x14ac:dyDescent="0.25">
      <c r="A4975" s="5"/>
    </row>
    <row r="4976" spans="1:1" x14ac:dyDescent="0.25">
      <c r="A4976" s="5"/>
    </row>
    <row r="4977" spans="1:1" x14ac:dyDescent="0.25">
      <c r="A4977" s="5"/>
    </row>
    <row r="4978" spans="1:1" x14ac:dyDescent="0.25">
      <c r="A4978" s="5"/>
    </row>
    <row r="4979" spans="1:1" x14ac:dyDescent="0.25">
      <c r="A4979" s="5"/>
    </row>
    <row r="4980" spans="1:1" x14ac:dyDescent="0.25">
      <c r="A4980" s="5"/>
    </row>
    <row r="4981" spans="1:1" x14ac:dyDescent="0.25">
      <c r="A4981" s="5"/>
    </row>
    <row r="4982" spans="1:1" x14ac:dyDescent="0.25">
      <c r="A4982" s="5"/>
    </row>
    <row r="4983" spans="1:1" x14ac:dyDescent="0.25">
      <c r="A4983" s="5"/>
    </row>
    <row r="4984" spans="1:1" x14ac:dyDescent="0.25">
      <c r="A4984" s="5"/>
    </row>
    <row r="4985" spans="1:1" x14ac:dyDescent="0.25">
      <c r="A4985" s="5"/>
    </row>
    <row r="4986" spans="1:1" x14ac:dyDescent="0.25">
      <c r="A4986" s="5"/>
    </row>
    <row r="4987" spans="1:1" x14ac:dyDescent="0.25">
      <c r="A4987" s="5"/>
    </row>
    <row r="4988" spans="1:1" x14ac:dyDescent="0.25">
      <c r="A4988" s="5"/>
    </row>
    <row r="4989" spans="1:1" x14ac:dyDescent="0.25">
      <c r="A4989" s="5"/>
    </row>
    <row r="4990" spans="1:1" x14ac:dyDescent="0.25">
      <c r="A4990" s="5"/>
    </row>
    <row r="4991" spans="1:1" x14ac:dyDescent="0.25">
      <c r="A4991" s="5"/>
    </row>
    <row r="4992" spans="1:1" x14ac:dyDescent="0.25">
      <c r="A4992" s="5"/>
    </row>
    <row r="4993" spans="1:1" x14ac:dyDescent="0.25">
      <c r="A4993" s="5"/>
    </row>
    <row r="4994" spans="1:1" x14ac:dyDescent="0.25">
      <c r="A4994" s="5"/>
    </row>
    <row r="4995" spans="1:1" x14ac:dyDescent="0.25">
      <c r="A4995" s="5"/>
    </row>
    <row r="4996" spans="1:1" x14ac:dyDescent="0.25">
      <c r="A4996" s="5"/>
    </row>
    <row r="4997" spans="1:1" x14ac:dyDescent="0.25">
      <c r="A4997" s="5"/>
    </row>
    <row r="4998" spans="1:1" x14ac:dyDescent="0.25">
      <c r="A4998" s="5"/>
    </row>
    <row r="4999" spans="1:1" x14ac:dyDescent="0.25">
      <c r="A4999" s="5"/>
    </row>
    <row r="5000" spans="1:1" x14ac:dyDescent="0.25">
      <c r="A5000" s="5"/>
    </row>
    <row r="5001" spans="1:1" x14ac:dyDescent="0.25">
      <c r="A5001" s="5"/>
    </row>
    <row r="5002" spans="1:1" x14ac:dyDescent="0.25">
      <c r="A5002" s="5"/>
    </row>
    <row r="5003" spans="1:1" x14ac:dyDescent="0.25">
      <c r="A5003" s="5"/>
    </row>
    <row r="5004" spans="1:1" x14ac:dyDescent="0.25">
      <c r="A5004" s="5"/>
    </row>
    <row r="5005" spans="1:1" x14ac:dyDescent="0.25">
      <c r="A5005" s="5"/>
    </row>
    <row r="5006" spans="1:1" x14ac:dyDescent="0.25">
      <c r="A5006" s="5"/>
    </row>
    <row r="5007" spans="1:1" x14ac:dyDescent="0.25">
      <c r="A5007" s="5"/>
    </row>
    <row r="5008" spans="1:1" x14ac:dyDescent="0.25">
      <c r="A5008" s="5"/>
    </row>
    <row r="5009" spans="1:1" x14ac:dyDescent="0.25">
      <c r="A5009" s="5"/>
    </row>
    <row r="5010" spans="1:1" x14ac:dyDescent="0.25">
      <c r="A5010" s="5"/>
    </row>
    <row r="5011" spans="1:1" x14ac:dyDescent="0.25">
      <c r="A5011" s="5"/>
    </row>
    <row r="5012" spans="1:1" x14ac:dyDescent="0.25">
      <c r="A5012" s="5"/>
    </row>
    <row r="5013" spans="1:1" x14ac:dyDescent="0.25">
      <c r="A5013" s="5"/>
    </row>
    <row r="5014" spans="1:1" x14ac:dyDescent="0.25">
      <c r="A5014" s="5"/>
    </row>
    <row r="5015" spans="1:1" x14ac:dyDescent="0.25">
      <c r="A5015" s="5"/>
    </row>
    <row r="5016" spans="1:1" x14ac:dyDescent="0.25">
      <c r="A5016" s="5"/>
    </row>
    <row r="5017" spans="1:1" x14ac:dyDescent="0.25">
      <c r="A5017" s="5"/>
    </row>
    <row r="5018" spans="1:1" x14ac:dyDescent="0.25">
      <c r="A5018" s="5"/>
    </row>
    <row r="5019" spans="1:1" x14ac:dyDescent="0.25">
      <c r="A5019" s="5"/>
    </row>
    <row r="5020" spans="1:1" x14ac:dyDescent="0.25">
      <c r="A5020" s="5"/>
    </row>
    <row r="5021" spans="1:1" x14ac:dyDescent="0.25">
      <c r="A5021" s="5"/>
    </row>
    <row r="5022" spans="1:1" x14ac:dyDescent="0.25">
      <c r="A5022" s="5"/>
    </row>
    <row r="5023" spans="1:1" x14ac:dyDescent="0.25">
      <c r="A5023" s="5"/>
    </row>
    <row r="5024" spans="1:1" x14ac:dyDescent="0.25">
      <c r="A5024" s="5"/>
    </row>
    <row r="5025" spans="1:1" x14ac:dyDescent="0.25">
      <c r="A5025" s="5"/>
    </row>
    <row r="5026" spans="1:1" x14ac:dyDescent="0.25">
      <c r="A5026" s="5"/>
    </row>
    <row r="5027" spans="1:1" x14ac:dyDescent="0.25">
      <c r="A5027" s="5"/>
    </row>
    <row r="5028" spans="1:1" x14ac:dyDescent="0.25">
      <c r="A5028" s="5"/>
    </row>
    <row r="5029" spans="1:1" x14ac:dyDescent="0.25">
      <c r="A5029" s="5"/>
    </row>
    <row r="5030" spans="1:1" x14ac:dyDescent="0.25">
      <c r="A5030" s="5"/>
    </row>
    <row r="5031" spans="1:1" x14ac:dyDescent="0.25">
      <c r="A5031" s="5"/>
    </row>
    <row r="5032" spans="1:1" x14ac:dyDescent="0.25">
      <c r="A5032" s="5"/>
    </row>
    <row r="5033" spans="1:1" x14ac:dyDescent="0.25">
      <c r="A5033" s="5"/>
    </row>
    <row r="5034" spans="1:1" x14ac:dyDescent="0.25">
      <c r="A5034" s="5"/>
    </row>
    <row r="5035" spans="1:1" x14ac:dyDescent="0.25">
      <c r="A5035" s="5"/>
    </row>
    <row r="5036" spans="1:1" x14ac:dyDescent="0.25">
      <c r="A5036" s="5"/>
    </row>
    <row r="5037" spans="1:1" x14ac:dyDescent="0.25">
      <c r="A5037" s="5"/>
    </row>
    <row r="5038" spans="1:1" x14ac:dyDescent="0.25">
      <c r="A5038" s="5"/>
    </row>
    <row r="5039" spans="1:1" x14ac:dyDescent="0.25">
      <c r="A5039" s="5"/>
    </row>
    <row r="5040" spans="1:1" x14ac:dyDescent="0.25">
      <c r="A5040" s="5"/>
    </row>
    <row r="5041" spans="1:1" x14ac:dyDescent="0.25">
      <c r="A5041" s="5"/>
    </row>
    <row r="5042" spans="1:1" x14ac:dyDescent="0.25">
      <c r="A5042" s="5"/>
    </row>
    <row r="5043" spans="1:1" x14ac:dyDescent="0.25">
      <c r="A5043" s="5"/>
    </row>
    <row r="5044" spans="1:1" x14ac:dyDescent="0.25">
      <c r="A5044" s="5"/>
    </row>
    <row r="5045" spans="1:1" x14ac:dyDescent="0.25">
      <c r="A5045" s="5"/>
    </row>
    <row r="5046" spans="1:1" x14ac:dyDescent="0.25">
      <c r="A5046" s="5"/>
    </row>
    <row r="5047" spans="1:1" x14ac:dyDescent="0.25">
      <c r="A5047" s="5"/>
    </row>
    <row r="5048" spans="1:1" x14ac:dyDescent="0.25">
      <c r="A5048" s="5"/>
    </row>
    <row r="5049" spans="1:1" x14ac:dyDescent="0.25">
      <c r="A5049" s="5"/>
    </row>
    <row r="5050" spans="1:1" x14ac:dyDescent="0.25">
      <c r="A5050" s="5"/>
    </row>
    <row r="5051" spans="1:1" x14ac:dyDescent="0.25">
      <c r="A5051" s="5"/>
    </row>
    <row r="5052" spans="1:1" x14ac:dyDescent="0.25">
      <c r="A5052" s="5"/>
    </row>
    <row r="5053" spans="1:1" x14ac:dyDescent="0.25">
      <c r="A5053" s="5"/>
    </row>
    <row r="5054" spans="1:1" x14ac:dyDescent="0.25">
      <c r="A5054" s="5"/>
    </row>
    <row r="5055" spans="1:1" x14ac:dyDescent="0.25">
      <c r="A5055" s="5"/>
    </row>
    <row r="5056" spans="1:1" x14ac:dyDescent="0.25">
      <c r="A5056" s="5"/>
    </row>
    <row r="5057" spans="1:1" x14ac:dyDescent="0.25">
      <c r="A5057" s="5"/>
    </row>
    <row r="5058" spans="1:1" x14ac:dyDescent="0.25">
      <c r="A5058" s="5"/>
    </row>
    <row r="5059" spans="1:1" x14ac:dyDescent="0.25">
      <c r="A5059" s="5"/>
    </row>
    <row r="5060" spans="1:1" x14ac:dyDescent="0.25">
      <c r="A5060" s="5"/>
    </row>
    <row r="5061" spans="1:1" x14ac:dyDescent="0.25">
      <c r="A5061" s="5"/>
    </row>
    <row r="5062" spans="1:1" x14ac:dyDescent="0.25">
      <c r="A5062" s="5"/>
    </row>
    <row r="5063" spans="1:1" x14ac:dyDescent="0.25">
      <c r="A5063" s="5"/>
    </row>
    <row r="5064" spans="1:1" x14ac:dyDescent="0.25">
      <c r="A5064" s="5"/>
    </row>
    <row r="5065" spans="1:1" x14ac:dyDescent="0.25">
      <c r="A5065" s="5"/>
    </row>
    <row r="5066" spans="1:1" x14ac:dyDescent="0.25">
      <c r="A5066" s="5"/>
    </row>
    <row r="5067" spans="1:1" x14ac:dyDescent="0.25">
      <c r="A5067" s="5"/>
    </row>
    <row r="5068" spans="1:1" x14ac:dyDescent="0.25">
      <c r="A5068" s="5"/>
    </row>
    <row r="5069" spans="1:1" x14ac:dyDescent="0.25">
      <c r="A5069" s="5"/>
    </row>
    <row r="5070" spans="1:1" x14ac:dyDescent="0.25">
      <c r="A5070" s="5"/>
    </row>
    <row r="5071" spans="1:1" x14ac:dyDescent="0.25">
      <c r="A5071" s="5"/>
    </row>
    <row r="5072" spans="1:1" x14ac:dyDescent="0.25">
      <c r="A5072" s="5"/>
    </row>
    <row r="5073" spans="1:1" x14ac:dyDescent="0.25">
      <c r="A5073" s="5"/>
    </row>
    <row r="5074" spans="1:1" x14ac:dyDescent="0.25">
      <c r="A5074" s="5"/>
    </row>
    <row r="5075" spans="1:1" x14ac:dyDescent="0.25">
      <c r="A5075" s="5"/>
    </row>
    <row r="5076" spans="1:1" x14ac:dyDescent="0.25">
      <c r="A5076" s="5"/>
    </row>
    <row r="5077" spans="1:1" x14ac:dyDescent="0.25">
      <c r="A5077" s="5"/>
    </row>
    <row r="5078" spans="1:1" x14ac:dyDescent="0.25">
      <c r="A5078" s="5"/>
    </row>
    <row r="5079" spans="1:1" x14ac:dyDescent="0.25">
      <c r="A5079" s="5"/>
    </row>
    <row r="5080" spans="1:1" x14ac:dyDescent="0.25">
      <c r="A5080" s="5"/>
    </row>
    <row r="5081" spans="1:1" x14ac:dyDescent="0.25">
      <c r="A5081" s="5"/>
    </row>
    <row r="5082" spans="1:1" x14ac:dyDescent="0.25">
      <c r="A5082" s="5"/>
    </row>
    <row r="5083" spans="1:1" x14ac:dyDescent="0.25">
      <c r="A5083" s="5"/>
    </row>
    <row r="5084" spans="1:1" x14ac:dyDescent="0.25">
      <c r="A5084" s="5"/>
    </row>
    <row r="5085" spans="1:1" x14ac:dyDescent="0.25">
      <c r="A5085" s="5"/>
    </row>
    <row r="5086" spans="1:1" x14ac:dyDescent="0.25">
      <c r="A5086" s="5"/>
    </row>
    <row r="5087" spans="1:1" x14ac:dyDescent="0.25">
      <c r="A5087" s="5"/>
    </row>
    <row r="5088" spans="1:1" x14ac:dyDescent="0.25">
      <c r="A5088" s="5"/>
    </row>
    <row r="5089" spans="1:1" x14ac:dyDescent="0.25">
      <c r="A5089" s="5"/>
    </row>
    <row r="5090" spans="1:1" x14ac:dyDescent="0.25">
      <c r="A5090" s="5"/>
    </row>
    <row r="5091" spans="1:1" x14ac:dyDescent="0.25">
      <c r="A5091" s="5"/>
    </row>
    <row r="5092" spans="1:1" x14ac:dyDescent="0.25">
      <c r="A5092" s="5"/>
    </row>
    <row r="5093" spans="1:1" x14ac:dyDescent="0.25">
      <c r="A5093" s="5"/>
    </row>
    <row r="5094" spans="1:1" x14ac:dyDescent="0.25">
      <c r="A5094" s="5"/>
    </row>
    <row r="5095" spans="1:1" x14ac:dyDescent="0.25">
      <c r="A5095" s="5"/>
    </row>
    <row r="5096" spans="1:1" x14ac:dyDescent="0.25">
      <c r="A5096" s="5"/>
    </row>
    <row r="5097" spans="1:1" x14ac:dyDescent="0.25">
      <c r="A5097" s="5"/>
    </row>
    <row r="5098" spans="1:1" x14ac:dyDescent="0.25">
      <c r="A5098" s="5"/>
    </row>
    <row r="5099" spans="1:1" x14ac:dyDescent="0.25">
      <c r="A5099" s="5"/>
    </row>
    <row r="5100" spans="1:1" x14ac:dyDescent="0.25">
      <c r="A5100" s="5"/>
    </row>
    <row r="5101" spans="1:1" x14ac:dyDescent="0.25">
      <c r="A5101" s="5"/>
    </row>
    <row r="5102" spans="1:1" x14ac:dyDescent="0.25">
      <c r="A5102" s="5"/>
    </row>
    <row r="5103" spans="1:1" x14ac:dyDescent="0.25">
      <c r="A5103" s="5"/>
    </row>
    <row r="5104" spans="1:1" x14ac:dyDescent="0.25">
      <c r="A5104" s="5"/>
    </row>
    <row r="5105" spans="1:1" x14ac:dyDescent="0.25">
      <c r="A5105" s="5"/>
    </row>
    <row r="5106" spans="1:1" x14ac:dyDescent="0.25">
      <c r="A5106" s="5"/>
    </row>
    <row r="5107" spans="1:1" x14ac:dyDescent="0.25">
      <c r="A5107" s="5"/>
    </row>
    <row r="5108" spans="1:1" x14ac:dyDescent="0.25">
      <c r="A5108" s="5"/>
    </row>
    <row r="5109" spans="1:1" x14ac:dyDescent="0.25">
      <c r="A5109" s="5"/>
    </row>
    <row r="5110" spans="1:1" x14ac:dyDescent="0.25">
      <c r="A5110" s="5"/>
    </row>
    <row r="5111" spans="1:1" x14ac:dyDescent="0.25">
      <c r="A5111" s="5"/>
    </row>
    <row r="5112" spans="1:1" x14ac:dyDescent="0.25">
      <c r="A5112" s="5"/>
    </row>
    <row r="5113" spans="1:1" x14ac:dyDescent="0.25">
      <c r="A5113" s="5"/>
    </row>
    <row r="5114" spans="1:1" x14ac:dyDescent="0.25">
      <c r="A5114" s="5"/>
    </row>
    <row r="5115" spans="1:1" x14ac:dyDescent="0.25">
      <c r="A5115" s="5"/>
    </row>
    <row r="5116" spans="1:1" x14ac:dyDescent="0.25">
      <c r="A5116" s="5"/>
    </row>
    <row r="5117" spans="1:1" x14ac:dyDescent="0.25">
      <c r="A5117" s="5"/>
    </row>
    <row r="5118" spans="1:1" x14ac:dyDescent="0.25">
      <c r="A5118" s="5"/>
    </row>
    <row r="5119" spans="1:1" x14ac:dyDescent="0.25">
      <c r="A5119" s="5"/>
    </row>
    <row r="5120" spans="1:1" x14ac:dyDescent="0.25">
      <c r="A5120" s="5"/>
    </row>
    <row r="5121" spans="1:1" x14ac:dyDescent="0.25">
      <c r="A5121" s="5"/>
    </row>
    <row r="5122" spans="1:1" x14ac:dyDescent="0.25">
      <c r="A5122" s="5"/>
    </row>
    <row r="5123" spans="1:1" x14ac:dyDescent="0.25">
      <c r="A5123" s="5"/>
    </row>
    <row r="5124" spans="1:1" x14ac:dyDescent="0.25">
      <c r="A5124" s="5"/>
    </row>
    <row r="5125" spans="1:1" x14ac:dyDescent="0.25">
      <c r="A5125" s="5"/>
    </row>
    <row r="5126" spans="1:1" x14ac:dyDescent="0.25">
      <c r="A5126" s="5"/>
    </row>
    <row r="5127" spans="1:1" x14ac:dyDescent="0.25">
      <c r="A5127" s="5"/>
    </row>
    <row r="5128" spans="1:1" x14ac:dyDescent="0.25">
      <c r="A5128" s="5"/>
    </row>
    <row r="5129" spans="1:1" x14ac:dyDescent="0.25">
      <c r="A5129" s="5"/>
    </row>
    <row r="5130" spans="1:1" x14ac:dyDescent="0.25">
      <c r="A5130" s="5"/>
    </row>
    <row r="5131" spans="1:1" x14ac:dyDescent="0.25">
      <c r="A5131" s="5"/>
    </row>
    <row r="5132" spans="1:1" x14ac:dyDescent="0.25">
      <c r="A5132" s="5"/>
    </row>
    <row r="5133" spans="1:1" x14ac:dyDescent="0.25">
      <c r="A5133" s="5"/>
    </row>
    <row r="5134" spans="1:1" x14ac:dyDescent="0.25">
      <c r="A5134" s="5"/>
    </row>
    <row r="5135" spans="1:1" x14ac:dyDescent="0.25">
      <c r="A5135" s="5"/>
    </row>
    <row r="5136" spans="1:1" x14ac:dyDescent="0.25">
      <c r="A5136" s="5"/>
    </row>
    <row r="5137" spans="1:1" x14ac:dyDescent="0.25">
      <c r="A5137" s="5"/>
    </row>
    <row r="5138" spans="1:1" x14ac:dyDescent="0.25">
      <c r="A5138" s="5"/>
    </row>
    <row r="5139" spans="1:1" x14ac:dyDescent="0.25">
      <c r="A5139" s="5"/>
    </row>
    <row r="5140" spans="1:1" x14ac:dyDescent="0.25">
      <c r="A5140" s="5"/>
    </row>
    <row r="5141" spans="1:1" x14ac:dyDescent="0.25">
      <c r="A5141" s="5"/>
    </row>
    <row r="5142" spans="1:1" x14ac:dyDescent="0.25">
      <c r="A5142" s="5"/>
    </row>
    <row r="5143" spans="1:1" x14ac:dyDescent="0.25">
      <c r="A5143" s="5"/>
    </row>
    <row r="5144" spans="1:1" x14ac:dyDescent="0.25">
      <c r="A5144" s="5"/>
    </row>
    <row r="5145" spans="1:1" x14ac:dyDescent="0.25">
      <c r="A5145" s="5"/>
    </row>
    <row r="5146" spans="1:1" x14ac:dyDescent="0.25">
      <c r="A5146" s="5"/>
    </row>
    <row r="5147" spans="1:1" x14ac:dyDescent="0.25">
      <c r="A5147" s="5"/>
    </row>
    <row r="5148" spans="1:1" x14ac:dyDescent="0.25">
      <c r="A5148" s="5"/>
    </row>
    <row r="5149" spans="1:1" x14ac:dyDescent="0.25">
      <c r="A5149" s="5"/>
    </row>
    <row r="5150" spans="1:1" x14ac:dyDescent="0.25">
      <c r="A5150" s="5"/>
    </row>
    <row r="5151" spans="1:1" x14ac:dyDescent="0.25">
      <c r="A5151" s="5"/>
    </row>
    <row r="5152" spans="1:1" x14ac:dyDescent="0.25">
      <c r="A5152" s="5"/>
    </row>
    <row r="5153" spans="1:1" x14ac:dyDescent="0.25">
      <c r="A5153" s="5"/>
    </row>
    <row r="5154" spans="1:1" x14ac:dyDescent="0.25">
      <c r="A5154" s="5"/>
    </row>
    <row r="5155" spans="1:1" x14ac:dyDescent="0.25">
      <c r="A5155" s="5"/>
    </row>
    <row r="5156" spans="1:1" x14ac:dyDescent="0.25">
      <c r="A5156" s="5"/>
    </row>
    <row r="5157" spans="1:1" x14ac:dyDescent="0.25">
      <c r="A5157" s="5"/>
    </row>
    <row r="5158" spans="1:1" x14ac:dyDescent="0.25">
      <c r="A5158" s="5"/>
    </row>
    <row r="5159" spans="1:1" x14ac:dyDescent="0.25">
      <c r="A5159" s="5"/>
    </row>
    <row r="5160" spans="1:1" x14ac:dyDescent="0.25">
      <c r="A5160" s="5"/>
    </row>
    <row r="5161" spans="1:1" x14ac:dyDescent="0.25">
      <c r="A5161" s="5"/>
    </row>
    <row r="5162" spans="1:1" x14ac:dyDescent="0.25">
      <c r="A5162" s="5"/>
    </row>
    <row r="5163" spans="1:1" x14ac:dyDescent="0.25">
      <c r="A5163" s="5"/>
    </row>
    <row r="5164" spans="1:1" x14ac:dyDescent="0.25">
      <c r="A5164" s="5"/>
    </row>
    <row r="5165" spans="1:1" x14ac:dyDescent="0.25">
      <c r="A5165" s="5"/>
    </row>
    <row r="5166" spans="1:1" x14ac:dyDescent="0.25">
      <c r="A5166" s="5"/>
    </row>
    <row r="5167" spans="1:1" x14ac:dyDescent="0.25">
      <c r="A5167" s="5"/>
    </row>
    <row r="5168" spans="1:1" x14ac:dyDescent="0.25">
      <c r="A5168" s="5"/>
    </row>
    <row r="5169" spans="1:1" x14ac:dyDescent="0.25">
      <c r="A5169" s="5"/>
    </row>
    <row r="5170" spans="1:1" x14ac:dyDescent="0.25">
      <c r="A5170" s="5"/>
    </row>
    <row r="5171" spans="1:1" x14ac:dyDescent="0.25">
      <c r="A5171" s="5"/>
    </row>
    <row r="5172" spans="1:1" x14ac:dyDescent="0.25">
      <c r="A5172" s="5"/>
    </row>
    <row r="5173" spans="1:1" x14ac:dyDescent="0.25">
      <c r="A5173" s="5"/>
    </row>
    <row r="5174" spans="1:1" x14ac:dyDescent="0.25">
      <c r="A5174" s="5"/>
    </row>
    <row r="5175" spans="1:1" x14ac:dyDescent="0.25">
      <c r="A5175" s="5"/>
    </row>
    <row r="5176" spans="1:1" x14ac:dyDescent="0.25">
      <c r="A5176" s="5"/>
    </row>
    <row r="5177" spans="1:1" x14ac:dyDescent="0.25">
      <c r="A5177" s="5"/>
    </row>
    <row r="5178" spans="1:1" x14ac:dyDescent="0.25">
      <c r="A5178" s="5"/>
    </row>
    <row r="5179" spans="1:1" x14ac:dyDescent="0.25">
      <c r="A5179" s="5"/>
    </row>
    <row r="5180" spans="1:1" x14ac:dyDescent="0.25">
      <c r="A5180" s="5"/>
    </row>
    <row r="5181" spans="1:1" x14ac:dyDescent="0.25">
      <c r="A5181" s="5"/>
    </row>
    <row r="5182" spans="1:1" x14ac:dyDescent="0.25">
      <c r="A5182" s="5"/>
    </row>
    <row r="5183" spans="1:1" x14ac:dyDescent="0.25">
      <c r="A5183" s="5"/>
    </row>
    <row r="5184" spans="1:1" x14ac:dyDescent="0.25">
      <c r="A5184" s="5"/>
    </row>
    <row r="5185" spans="1:1" x14ac:dyDescent="0.25">
      <c r="A5185" s="5"/>
    </row>
    <row r="5186" spans="1:1" x14ac:dyDescent="0.25">
      <c r="A5186" s="5"/>
    </row>
    <row r="5187" spans="1:1" x14ac:dyDescent="0.25">
      <c r="A5187" s="5"/>
    </row>
    <row r="5188" spans="1:1" x14ac:dyDescent="0.25">
      <c r="A5188" s="5"/>
    </row>
    <row r="5189" spans="1:1" x14ac:dyDescent="0.25">
      <c r="A5189" s="5"/>
    </row>
    <row r="5190" spans="1:1" x14ac:dyDescent="0.25">
      <c r="A5190" s="5"/>
    </row>
    <row r="5191" spans="1:1" x14ac:dyDescent="0.25">
      <c r="A5191" s="5"/>
    </row>
    <row r="5192" spans="1:1" x14ac:dyDescent="0.25">
      <c r="A5192" s="5"/>
    </row>
    <row r="5193" spans="1:1" x14ac:dyDescent="0.25">
      <c r="A5193" s="5"/>
    </row>
    <row r="5194" spans="1:1" x14ac:dyDescent="0.25">
      <c r="A5194" s="5"/>
    </row>
    <row r="5195" spans="1:1" x14ac:dyDescent="0.25">
      <c r="A5195" s="5"/>
    </row>
    <row r="5196" spans="1:1" x14ac:dyDescent="0.25">
      <c r="A5196" s="5"/>
    </row>
    <row r="5197" spans="1:1" x14ac:dyDescent="0.25">
      <c r="A5197" s="5"/>
    </row>
    <row r="5198" spans="1:1" x14ac:dyDescent="0.25">
      <c r="A5198" s="5"/>
    </row>
    <row r="5199" spans="1:1" x14ac:dyDescent="0.25">
      <c r="A5199" s="5"/>
    </row>
    <row r="5200" spans="1:1" x14ac:dyDescent="0.25">
      <c r="A5200" s="5"/>
    </row>
    <row r="5201" spans="1:1" x14ac:dyDescent="0.25">
      <c r="A5201" s="5"/>
    </row>
    <row r="5202" spans="1:1" x14ac:dyDescent="0.25">
      <c r="A5202" s="5"/>
    </row>
    <row r="5203" spans="1:1" x14ac:dyDescent="0.25">
      <c r="A5203" s="5"/>
    </row>
    <row r="5204" spans="1:1" x14ac:dyDescent="0.25">
      <c r="A5204" s="5"/>
    </row>
    <row r="5205" spans="1:1" x14ac:dyDescent="0.25">
      <c r="A5205" s="5"/>
    </row>
    <row r="5206" spans="1:1" x14ac:dyDescent="0.25">
      <c r="A5206" s="5"/>
    </row>
    <row r="5207" spans="1:1" x14ac:dyDescent="0.25">
      <c r="A5207" s="5"/>
    </row>
    <row r="5208" spans="1:1" x14ac:dyDescent="0.25">
      <c r="A5208" s="5"/>
    </row>
    <row r="5209" spans="1:1" x14ac:dyDescent="0.25">
      <c r="A5209" s="5"/>
    </row>
    <row r="5210" spans="1:1" x14ac:dyDescent="0.25">
      <c r="A5210" s="5"/>
    </row>
    <row r="5211" spans="1:1" x14ac:dyDescent="0.25">
      <c r="A5211" s="5"/>
    </row>
    <row r="5212" spans="1:1" x14ac:dyDescent="0.25">
      <c r="A5212" s="5"/>
    </row>
    <row r="5213" spans="1:1" x14ac:dyDescent="0.25">
      <c r="A5213" s="5"/>
    </row>
    <row r="5214" spans="1:1" x14ac:dyDescent="0.25">
      <c r="A5214" s="5"/>
    </row>
    <row r="5215" spans="1:1" x14ac:dyDescent="0.25">
      <c r="A5215" s="5"/>
    </row>
    <row r="5216" spans="1:1" x14ac:dyDescent="0.25">
      <c r="A5216" s="5"/>
    </row>
    <row r="5217" spans="1:1" x14ac:dyDescent="0.25">
      <c r="A5217" s="5"/>
    </row>
    <row r="5218" spans="1:1" x14ac:dyDescent="0.25">
      <c r="A5218" s="5"/>
    </row>
    <row r="5219" spans="1:1" x14ac:dyDescent="0.25">
      <c r="A5219" s="5"/>
    </row>
    <row r="5220" spans="1:1" x14ac:dyDescent="0.25">
      <c r="A5220" s="5"/>
    </row>
    <row r="5221" spans="1:1" x14ac:dyDescent="0.25">
      <c r="A5221" s="5"/>
    </row>
    <row r="5222" spans="1:1" x14ac:dyDescent="0.25">
      <c r="A5222" s="5"/>
    </row>
    <row r="5223" spans="1:1" x14ac:dyDescent="0.25">
      <c r="A5223" s="5"/>
    </row>
    <row r="5224" spans="1:1" x14ac:dyDescent="0.25">
      <c r="A5224" s="5"/>
    </row>
    <row r="5225" spans="1:1" x14ac:dyDescent="0.25">
      <c r="A5225" s="5"/>
    </row>
    <row r="5226" spans="1:1" x14ac:dyDescent="0.25">
      <c r="A5226" s="5"/>
    </row>
    <row r="5227" spans="1:1" x14ac:dyDescent="0.25">
      <c r="A5227" s="5"/>
    </row>
    <row r="5228" spans="1:1" x14ac:dyDescent="0.25">
      <c r="A5228" s="5"/>
    </row>
    <row r="5229" spans="1:1" x14ac:dyDescent="0.25">
      <c r="A5229" s="5"/>
    </row>
    <row r="5230" spans="1:1" x14ac:dyDescent="0.25">
      <c r="A5230" s="5"/>
    </row>
    <row r="5231" spans="1:1" x14ac:dyDescent="0.25">
      <c r="A5231" s="5"/>
    </row>
    <row r="5232" spans="1:1" x14ac:dyDescent="0.25">
      <c r="A5232" s="5"/>
    </row>
    <row r="5233" spans="1:1" x14ac:dyDescent="0.25">
      <c r="A5233" s="5"/>
    </row>
    <row r="5234" spans="1:1" x14ac:dyDescent="0.25">
      <c r="A5234" s="5"/>
    </row>
    <row r="5235" spans="1:1" x14ac:dyDescent="0.25">
      <c r="A5235" s="5"/>
    </row>
    <row r="5236" spans="1:1" x14ac:dyDescent="0.25">
      <c r="A5236" s="5"/>
    </row>
    <row r="5237" spans="1:1" x14ac:dyDescent="0.25">
      <c r="A5237" s="5"/>
    </row>
    <row r="5238" spans="1:1" x14ac:dyDescent="0.25">
      <c r="A5238" s="5"/>
    </row>
    <row r="5239" spans="1:1" x14ac:dyDescent="0.25">
      <c r="A5239" s="5"/>
    </row>
    <row r="5240" spans="1:1" x14ac:dyDescent="0.25">
      <c r="A5240" s="5"/>
    </row>
    <row r="5241" spans="1:1" x14ac:dyDescent="0.25">
      <c r="A5241" s="5"/>
    </row>
    <row r="5242" spans="1:1" x14ac:dyDescent="0.25">
      <c r="A5242" s="5"/>
    </row>
    <row r="5243" spans="1:1" x14ac:dyDescent="0.25">
      <c r="A5243" s="5"/>
    </row>
    <row r="5244" spans="1:1" x14ac:dyDescent="0.25">
      <c r="A5244" s="5"/>
    </row>
    <row r="5245" spans="1:1" x14ac:dyDescent="0.25">
      <c r="A5245" s="5"/>
    </row>
    <row r="5246" spans="1:1" x14ac:dyDescent="0.25">
      <c r="A5246" s="5"/>
    </row>
    <row r="5247" spans="1:1" x14ac:dyDescent="0.25">
      <c r="A5247" s="5"/>
    </row>
    <row r="5248" spans="1:1" x14ac:dyDescent="0.25">
      <c r="A5248" s="5"/>
    </row>
    <row r="5249" spans="1:1" x14ac:dyDescent="0.25">
      <c r="A5249" s="5"/>
    </row>
    <row r="5250" spans="1:1" x14ac:dyDescent="0.25">
      <c r="A5250" s="5"/>
    </row>
    <row r="5251" spans="1:1" x14ac:dyDescent="0.25">
      <c r="A5251" s="5"/>
    </row>
    <row r="5252" spans="1:1" x14ac:dyDescent="0.25">
      <c r="A5252" s="5"/>
    </row>
    <row r="5253" spans="1:1" x14ac:dyDescent="0.25">
      <c r="A5253" s="5"/>
    </row>
    <row r="5254" spans="1:1" x14ac:dyDescent="0.25">
      <c r="A5254" s="5"/>
    </row>
    <row r="5255" spans="1:1" x14ac:dyDescent="0.25">
      <c r="A5255" s="5"/>
    </row>
    <row r="5256" spans="1:1" x14ac:dyDescent="0.25">
      <c r="A5256" s="5"/>
    </row>
    <row r="5257" spans="1:1" x14ac:dyDescent="0.25">
      <c r="A5257" s="5"/>
    </row>
    <row r="5258" spans="1:1" x14ac:dyDescent="0.25">
      <c r="A5258" s="5"/>
    </row>
    <row r="5259" spans="1:1" x14ac:dyDescent="0.25">
      <c r="A5259" s="5"/>
    </row>
    <row r="5260" spans="1:1" x14ac:dyDescent="0.25">
      <c r="A5260" s="5"/>
    </row>
    <row r="5261" spans="1:1" x14ac:dyDescent="0.25">
      <c r="A5261" s="5"/>
    </row>
    <row r="5262" spans="1:1" x14ac:dyDescent="0.25">
      <c r="A5262" s="5"/>
    </row>
    <row r="5263" spans="1:1" x14ac:dyDescent="0.25">
      <c r="A5263" s="5"/>
    </row>
    <row r="5264" spans="1:1" x14ac:dyDescent="0.25">
      <c r="A5264" s="5"/>
    </row>
    <row r="5265" spans="1:1" x14ac:dyDescent="0.25">
      <c r="A5265" s="5"/>
    </row>
    <row r="5266" spans="1:1" x14ac:dyDescent="0.25">
      <c r="A5266" s="5"/>
    </row>
    <row r="5267" spans="1:1" x14ac:dyDescent="0.25">
      <c r="A5267" s="5"/>
    </row>
    <row r="5268" spans="1:1" x14ac:dyDescent="0.25">
      <c r="A5268" s="5"/>
    </row>
    <row r="5269" spans="1:1" x14ac:dyDescent="0.25">
      <c r="A5269" s="5"/>
    </row>
    <row r="5270" spans="1:1" x14ac:dyDescent="0.25">
      <c r="A5270" s="5"/>
    </row>
    <row r="5271" spans="1:1" x14ac:dyDescent="0.25">
      <c r="A5271" s="5"/>
    </row>
    <row r="5272" spans="1:1" x14ac:dyDescent="0.25">
      <c r="A5272" s="5"/>
    </row>
    <row r="5273" spans="1:1" x14ac:dyDescent="0.25">
      <c r="A5273" s="5"/>
    </row>
    <row r="5274" spans="1:1" x14ac:dyDescent="0.25">
      <c r="A5274" s="5"/>
    </row>
    <row r="5275" spans="1:1" x14ac:dyDescent="0.25">
      <c r="A5275" s="5"/>
    </row>
    <row r="5276" spans="1:1" x14ac:dyDescent="0.25">
      <c r="A5276" s="5"/>
    </row>
    <row r="5277" spans="1:1" x14ac:dyDescent="0.25">
      <c r="A5277" s="5"/>
    </row>
    <row r="5278" spans="1:1" x14ac:dyDescent="0.25">
      <c r="A5278" s="5"/>
    </row>
    <row r="5279" spans="1:1" x14ac:dyDescent="0.25">
      <c r="A5279" s="5"/>
    </row>
    <row r="5280" spans="1:1" x14ac:dyDescent="0.25">
      <c r="A5280" s="5"/>
    </row>
    <row r="5281" spans="1:1" x14ac:dyDescent="0.25">
      <c r="A5281" s="5"/>
    </row>
    <row r="5282" spans="1:1" x14ac:dyDescent="0.25">
      <c r="A5282" s="5"/>
    </row>
    <row r="5283" spans="1:1" x14ac:dyDescent="0.25">
      <c r="A5283" s="5"/>
    </row>
    <row r="5284" spans="1:1" x14ac:dyDescent="0.25">
      <c r="A5284" s="5"/>
    </row>
    <row r="5285" spans="1:1" x14ac:dyDescent="0.25">
      <c r="A5285" s="5"/>
    </row>
    <row r="5286" spans="1:1" x14ac:dyDescent="0.25">
      <c r="A5286" s="5"/>
    </row>
    <row r="5287" spans="1:1" x14ac:dyDescent="0.25">
      <c r="A5287" s="5"/>
    </row>
    <row r="5288" spans="1:1" x14ac:dyDescent="0.25">
      <c r="A5288" s="5"/>
    </row>
    <row r="5289" spans="1:1" x14ac:dyDescent="0.25">
      <c r="A5289" s="5"/>
    </row>
    <row r="5290" spans="1:1" x14ac:dyDescent="0.25">
      <c r="A5290" s="5"/>
    </row>
    <row r="5291" spans="1:1" x14ac:dyDescent="0.25">
      <c r="A5291" s="5"/>
    </row>
    <row r="5292" spans="1:1" x14ac:dyDescent="0.25">
      <c r="A5292" s="5"/>
    </row>
    <row r="5293" spans="1:1" x14ac:dyDescent="0.25">
      <c r="A5293" s="5"/>
    </row>
    <row r="5294" spans="1:1" x14ac:dyDescent="0.25">
      <c r="A5294" s="5"/>
    </row>
    <row r="5295" spans="1:1" x14ac:dyDescent="0.25">
      <c r="A5295" s="5"/>
    </row>
    <row r="5296" spans="1:1" x14ac:dyDescent="0.25">
      <c r="A5296" s="5"/>
    </row>
    <row r="5297" spans="1:1" x14ac:dyDescent="0.25">
      <c r="A5297" s="5"/>
    </row>
    <row r="5298" spans="1:1" x14ac:dyDescent="0.25">
      <c r="A5298" s="5"/>
    </row>
    <row r="5299" spans="1:1" x14ac:dyDescent="0.25">
      <c r="A5299" s="5"/>
    </row>
    <row r="5300" spans="1:1" x14ac:dyDescent="0.25">
      <c r="A5300" s="5"/>
    </row>
    <row r="5301" spans="1:1" x14ac:dyDescent="0.25">
      <c r="A5301" s="5"/>
    </row>
    <row r="5302" spans="1:1" x14ac:dyDescent="0.25">
      <c r="A5302" s="5"/>
    </row>
    <row r="5303" spans="1:1" x14ac:dyDescent="0.25">
      <c r="A5303" s="5"/>
    </row>
    <row r="5304" spans="1:1" x14ac:dyDescent="0.25">
      <c r="A5304" s="5"/>
    </row>
    <row r="5305" spans="1:1" x14ac:dyDescent="0.25">
      <c r="A5305" s="5"/>
    </row>
    <row r="5306" spans="1:1" x14ac:dyDescent="0.25">
      <c r="A5306" s="5"/>
    </row>
    <row r="5307" spans="1:1" x14ac:dyDescent="0.25">
      <c r="A5307" s="5"/>
    </row>
    <row r="5308" spans="1:1" x14ac:dyDescent="0.25">
      <c r="A5308" s="5"/>
    </row>
    <row r="5309" spans="1:1" x14ac:dyDescent="0.25">
      <c r="A5309" s="5"/>
    </row>
    <row r="5310" spans="1:1" x14ac:dyDescent="0.25">
      <c r="A5310" s="5"/>
    </row>
    <row r="5311" spans="1:1" x14ac:dyDescent="0.25">
      <c r="A5311" s="5"/>
    </row>
    <row r="5312" spans="1:1" x14ac:dyDescent="0.25">
      <c r="A5312" s="5"/>
    </row>
    <row r="5313" spans="1:1" x14ac:dyDescent="0.25">
      <c r="A5313" s="5"/>
    </row>
    <row r="5314" spans="1:1" x14ac:dyDescent="0.25">
      <c r="A5314" s="5"/>
    </row>
    <row r="5315" spans="1:1" x14ac:dyDescent="0.25">
      <c r="A5315" s="5"/>
    </row>
    <row r="5316" spans="1:1" x14ac:dyDescent="0.25">
      <c r="A5316" s="5"/>
    </row>
    <row r="5317" spans="1:1" x14ac:dyDescent="0.25">
      <c r="A5317" s="5"/>
    </row>
    <row r="5318" spans="1:1" x14ac:dyDescent="0.25">
      <c r="A5318" s="5"/>
    </row>
    <row r="5319" spans="1:1" x14ac:dyDescent="0.25">
      <c r="A5319" s="5"/>
    </row>
    <row r="5320" spans="1:1" x14ac:dyDescent="0.25">
      <c r="A5320" s="5"/>
    </row>
    <row r="5321" spans="1:1" x14ac:dyDescent="0.25">
      <c r="A5321" s="5"/>
    </row>
    <row r="5322" spans="1:1" x14ac:dyDescent="0.25">
      <c r="A5322" s="5"/>
    </row>
    <row r="5323" spans="1:1" x14ac:dyDescent="0.25">
      <c r="A5323" s="5"/>
    </row>
    <row r="5324" spans="1:1" x14ac:dyDescent="0.25">
      <c r="A5324" s="5"/>
    </row>
    <row r="5325" spans="1:1" x14ac:dyDescent="0.25">
      <c r="A5325" s="5"/>
    </row>
    <row r="5326" spans="1:1" x14ac:dyDescent="0.25">
      <c r="A5326" s="5"/>
    </row>
    <row r="5327" spans="1:1" x14ac:dyDescent="0.25">
      <c r="A5327" s="5"/>
    </row>
    <row r="5328" spans="1:1" x14ac:dyDescent="0.25">
      <c r="A5328" s="5"/>
    </row>
    <row r="5329" spans="1:1" x14ac:dyDescent="0.25">
      <c r="A5329" s="5"/>
    </row>
    <row r="5330" spans="1:1" x14ac:dyDescent="0.25">
      <c r="A5330" s="5"/>
    </row>
    <row r="5331" spans="1:1" x14ac:dyDescent="0.25">
      <c r="A5331" s="5"/>
    </row>
    <row r="5332" spans="1:1" x14ac:dyDescent="0.25">
      <c r="A5332" s="5"/>
    </row>
    <row r="5333" spans="1:1" x14ac:dyDescent="0.25">
      <c r="A5333" s="5"/>
    </row>
    <row r="5334" spans="1:1" x14ac:dyDescent="0.25">
      <c r="A5334" s="5"/>
    </row>
    <row r="5335" spans="1:1" x14ac:dyDescent="0.25">
      <c r="A5335" s="5"/>
    </row>
    <row r="5336" spans="1:1" x14ac:dyDescent="0.25">
      <c r="A5336" s="5"/>
    </row>
    <row r="5337" spans="1:1" x14ac:dyDescent="0.25">
      <c r="A5337" s="5"/>
    </row>
    <row r="5338" spans="1:1" x14ac:dyDescent="0.25">
      <c r="A5338" s="5"/>
    </row>
    <row r="5339" spans="1:1" x14ac:dyDescent="0.25">
      <c r="A5339" s="5"/>
    </row>
    <row r="5340" spans="1:1" x14ac:dyDescent="0.25">
      <c r="A5340" s="5"/>
    </row>
    <row r="5341" spans="1:1" x14ac:dyDescent="0.25">
      <c r="A5341" s="5"/>
    </row>
    <row r="5342" spans="1:1" x14ac:dyDescent="0.25">
      <c r="A5342" s="5"/>
    </row>
    <row r="5343" spans="1:1" x14ac:dyDescent="0.25">
      <c r="A5343" s="5"/>
    </row>
    <row r="5344" spans="1:1" x14ac:dyDescent="0.25">
      <c r="A5344" s="5"/>
    </row>
    <row r="5345" spans="1:1" x14ac:dyDescent="0.25">
      <c r="A5345" s="5"/>
    </row>
    <row r="5346" spans="1:1" x14ac:dyDescent="0.25">
      <c r="A5346" s="5"/>
    </row>
    <row r="5347" spans="1:1" x14ac:dyDescent="0.25">
      <c r="A5347" s="5"/>
    </row>
    <row r="5348" spans="1:1" x14ac:dyDescent="0.25">
      <c r="A5348" s="5"/>
    </row>
    <row r="5349" spans="1:1" x14ac:dyDescent="0.25">
      <c r="A5349" s="5"/>
    </row>
    <row r="5350" spans="1:1" x14ac:dyDescent="0.25">
      <c r="A5350" s="5"/>
    </row>
    <row r="5351" spans="1:1" x14ac:dyDescent="0.25">
      <c r="A5351" s="5"/>
    </row>
    <row r="5352" spans="1:1" x14ac:dyDescent="0.25">
      <c r="A5352" s="5"/>
    </row>
    <row r="5353" spans="1:1" x14ac:dyDescent="0.25">
      <c r="A5353" s="5"/>
    </row>
    <row r="5354" spans="1:1" x14ac:dyDescent="0.25">
      <c r="A5354" s="5"/>
    </row>
    <row r="5355" spans="1:1" x14ac:dyDescent="0.25">
      <c r="A5355" s="5"/>
    </row>
    <row r="5356" spans="1:1" x14ac:dyDescent="0.25">
      <c r="A5356" s="5"/>
    </row>
    <row r="5357" spans="1:1" x14ac:dyDescent="0.25">
      <c r="A5357" s="5"/>
    </row>
    <row r="5358" spans="1:1" x14ac:dyDescent="0.25">
      <c r="A5358" s="5"/>
    </row>
    <row r="5359" spans="1:1" x14ac:dyDescent="0.25">
      <c r="A5359" s="5"/>
    </row>
    <row r="5360" spans="1:1" x14ac:dyDescent="0.25">
      <c r="A5360" s="5"/>
    </row>
    <row r="5361" spans="1:1" x14ac:dyDescent="0.25">
      <c r="A5361" s="5"/>
    </row>
    <row r="5362" spans="1:1" x14ac:dyDescent="0.25">
      <c r="A5362" s="5"/>
    </row>
    <row r="5363" spans="1:1" x14ac:dyDescent="0.25">
      <c r="A5363" s="5"/>
    </row>
    <row r="5364" spans="1:1" x14ac:dyDescent="0.25">
      <c r="A5364" s="5"/>
    </row>
    <row r="5365" spans="1:1" x14ac:dyDescent="0.25">
      <c r="A5365" s="5"/>
    </row>
    <row r="5366" spans="1:1" x14ac:dyDescent="0.25">
      <c r="A5366" s="5"/>
    </row>
    <row r="5367" spans="1:1" x14ac:dyDescent="0.25">
      <c r="A5367" s="5"/>
    </row>
    <row r="5368" spans="1:1" x14ac:dyDescent="0.25">
      <c r="A5368" s="5"/>
    </row>
    <row r="5369" spans="1:1" x14ac:dyDescent="0.25">
      <c r="A5369" s="5"/>
    </row>
    <row r="5370" spans="1:1" x14ac:dyDescent="0.25">
      <c r="A5370" s="5"/>
    </row>
    <row r="5371" spans="1:1" x14ac:dyDescent="0.25">
      <c r="A5371" s="5"/>
    </row>
    <row r="5372" spans="1:1" x14ac:dyDescent="0.25">
      <c r="A5372" s="5"/>
    </row>
    <row r="5373" spans="1:1" x14ac:dyDescent="0.25">
      <c r="A5373" s="5"/>
    </row>
    <row r="5374" spans="1:1" x14ac:dyDescent="0.25">
      <c r="A5374" s="5"/>
    </row>
    <row r="5375" spans="1:1" x14ac:dyDescent="0.25">
      <c r="A5375" s="5"/>
    </row>
    <row r="5376" spans="1:1" x14ac:dyDescent="0.25">
      <c r="A5376" s="5"/>
    </row>
    <row r="5377" spans="1:1" x14ac:dyDescent="0.25">
      <c r="A5377" s="5"/>
    </row>
    <row r="5378" spans="1:1" x14ac:dyDescent="0.25">
      <c r="A5378" s="5"/>
    </row>
    <row r="5379" spans="1:1" x14ac:dyDescent="0.25">
      <c r="A5379" s="5"/>
    </row>
    <row r="5380" spans="1:1" x14ac:dyDescent="0.25">
      <c r="A5380" s="5"/>
    </row>
    <row r="5381" spans="1:1" x14ac:dyDescent="0.25">
      <c r="A5381" s="5"/>
    </row>
    <row r="5382" spans="1:1" x14ac:dyDescent="0.25">
      <c r="A5382" s="5"/>
    </row>
    <row r="5383" spans="1:1" x14ac:dyDescent="0.25">
      <c r="A5383" s="5"/>
    </row>
    <row r="5384" spans="1:1" x14ac:dyDescent="0.25">
      <c r="A5384" s="5"/>
    </row>
    <row r="5385" spans="1:1" x14ac:dyDescent="0.25">
      <c r="A5385" s="5"/>
    </row>
    <row r="5386" spans="1:1" x14ac:dyDescent="0.25">
      <c r="A5386" s="5"/>
    </row>
    <row r="5387" spans="1:1" x14ac:dyDescent="0.25">
      <c r="A5387" s="5"/>
    </row>
    <row r="5388" spans="1:1" x14ac:dyDescent="0.25">
      <c r="A5388" s="5"/>
    </row>
    <row r="5389" spans="1:1" x14ac:dyDescent="0.25">
      <c r="A5389" s="5"/>
    </row>
    <row r="5390" spans="1:1" x14ac:dyDescent="0.25">
      <c r="A5390" s="5"/>
    </row>
    <row r="5391" spans="1:1" x14ac:dyDescent="0.25">
      <c r="A5391" s="5"/>
    </row>
    <row r="5392" spans="1:1" x14ac:dyDescent="0.25">
      <c r="A5392" s="5"/>
    </row>
    <row r="5393" spans="1:1" x14ac:dyDescent="0.25">
      <c r="A5393" s="5"/>
    </row>
    <row r="5394" spans="1:1" x14ac:dyDescent="0.25">
      <c r="A5394" s="5"/>
    </row>
    <row r="5395" spans="1:1" x14ac:dyDescent="0.25">
      <c r="A5395" s="5"/>
    </row>
    <row r="5396" spans="1:1" x14ac:dyDescent="0.25">
      <c r="A5396" s="5"/>
    </row>
    <row r="5397" spans="1:1" x14ac:dyDescent="0.25">
      <c r="A5397" s="5"/>
    </row>
    <row r="5398" spans="1:1" x14ac:dyDescent="0.25">
      <c r="A5398" s="5"/>
    </row>
    <row r="5399" spans="1:1" x14ac:dyDescent="0.25">
      <c r="A5399" s="5"/>
    </row>
    <row r="5400" spans="1:1" x14ac:dyDescent="0.25">
      <c r="A5400" s="5"/>
    </row>
    <row r="5401" spans="1:1" x14ac:dyDescent="0.25">
      <c r="A5401" s="5"/>
    </row>
    <row r="5402" spans="1:1" x14ac:dyDescent="0.25">
      <c r="A5402" s="5"/>
    </row>
    <row r="5403" spans="1:1" x14ac:dyDescent="0.25">
      <c r="A5403" s="5"/>
    </row>
    <row r="5404" spans="1:1" x14ac:dyDescent="0.25">
      <c r="A5404" s="5"/>
    </row>
    <row r="5405" spans="1:1" x14ac:dyDescent="0.25">
      <c r="A5405" s="5"/>
    </row>
    <row r="5406" spans="1:1" x14ac:dyDescent="0.25">
      <c r="A5406" s="5"/>
    </row>
    <row r="5407" spans="1:1" x14ac:dyDescent="0.25">
      <c r="A5407" s="5"/>
    </row>
    <row r="5408" spans="1:1" x14ac:dyDescent="0.25">
      <c r="A5408" s="5"/>
    </row>
    <row r="5409" spans="1:1" x14ac:dyDescent="0.25">
      <c r="A5409" s="5"/>
    </row>
    <row r="5410" spans="1:1" x14ac:dyDescent="0.25">
      <c r="A5410" s="5"/>
    </row>
    <row r="5411" spans="1:1" x14ac:dyDescent="0.25">
      <c r="A5411" s="5"/>
    </row>
    <row r="5412" spans="1:1" x14ac:dyDescent="0.25">
      <c r="A5412" s="5"/>
    </row>
    <row r="5413" spans="1:1" x14ac:dyDescent="0.25">
      <c r="A5413" s="5"/>
    </row>
    <row r="5414" spans="1:1" x14ac:dyDescent="0.25">
      <c r="A5414" s="5"/>
    </row>
    <row r="5415" spans="1:1" x14ac:dyDescent="0.25">
      <c r="A5415" s="5"/>
    </row>
    <row r="5416" spans="1:1" x14ac:dyDescent="0.25">
      <c r="A5416" s="5"/>
    </row>
    <row r="5417" spans="1:1" x14ac:dyDescent="0.25">
      <c r="A5417" s="5"/>
    </row>
    <row r="5418" spans="1:1" x14ac:dyDescent="0.25">
      <c r="A5418" s="5"/>
    </row>
    <row r="5419" spans="1:1" x14ac:dyDescent="0.25">
      <c r="A5419" s="5"/>
    </row>
    <row r="5420" spans="1:1" x14ac:dyDescent="0.25">
      <c r="A5420" s="5"/>
    </row>
    <row r="5421" spans="1:1" x14ac:dyDescent="0.25">
      <c r="A5421" s="5"/>
    </row>
    <row r="5422" spans="1:1" x14ac:dyDescent="0.25">
      <c r="A5422" s="5"/>
    </row>
    <row r="5423" spans="1:1" x14ac:dyDescent="0.25">
      <c r="A5423" s="5"/>
    </row>
    <row r="5424" spans="1:1" x14ac:dyDescent="0.25">
      <c r="A5424" s="5"/>
    </row>
    <row r="5425" spans="1:1" x14ac:dyDescent="0.25">
      <c r="A5425" s="5"/>
    </row>
    <row r="5426" spans="1:1" x14ac:dyDescent="0.25">
      <c r="A5426" s="5"/>
    </row>
    <row r="5427" spans="1:1" x14ac:dyDescent="0.25">
      <c r="A5427" s="5"/>
    </row>
    <row r="5428" spans="1:1" x14ac:dyDescent="0.25">
      <c r="A5428" s="5"/>
    </row>
    <row r="5429" spans="1:1" x14ac:dyDescent="0.25">
      <c r="A5429" s="5"/>
    </row>
    <row r="5430" spans="1:1" x14ac:dyDescent="0.25">
      <c r="A5430" s="5"/>
    </row>
    <row r="5431" spans="1:1" x14ac:dyDescent="0.25">
      <c r="A5431" s="5"/>
    </row>
    <row r="5432" spans="1:1" x14ac:dyDescent="0.25">
      <c r="A5432" s="5"/>
    </row>
    <row r="5433" spans="1:1" x14ac:dyDescent="0.25">
      <c r="A5433" s="5"/>
    </row>
    <row r="5434" spans="1:1" x14ac:dyDescent="0.25">
      <c r="A5434" s="5"/>
    </row>
    <row r="5435" spans="1:1" x14ac:dyDescent="0.25">
      <c r="A5435" s="5"/>
    </row>
    <row r="5436" spans="1:1" x14ac:dyDescent="0.25">
      <c r="A5436" s="5"/>
    </row>
    <row r="5437" spans="1:1" x14ac:dyDescent="0.25">
      <c r="A5437" s="5"/>
    </row>
    <row r="5438" spans="1:1" x14ac:dyDescent="0.25">
      <c r="A5438" s="5"/>
    </row>
    <row r="5439" spans="1:1" x14ac:dyDescent="0.25">
      <c r="A5439" s="5"/>
    </row>
    <row r="5440" spans="1:1" x14ac:dyDescent="0.25">
      <c r="A5440" s="5"/>
    </row>
    <row r="5441" spans="1:1" x14ac:dyDescent="0.25">
      <c r="A5441" s="5"/>
    </row>
    <row r="5442" spans="1:1" x14ac:dyDescent="0.25">
      <c r="A5442" s="5"/>
    </row>
    <row r="5443" spans="1:1" x14ac:dyDescent="0.25">
      <c r="A5443" s="5"/>
    </row>
    <row r="5444" spans="1:1" x14ac:dyDescent="0.25">
      <c r="A5444" s="5"/>
    </row>
    <row r="5445" spans="1:1" x14ac:dyDescent="0.25">
      <c r="A5445" s="5"/>
    </row>
    <row r="5446" spans="1:1" x14ac:dyDescent="0.25">
      <c r="A5446" s="5"/>
    </row>
    <row r="5447" spans="1:1" x14ac:dyDescent="0.25">
      <c r="A5447" s="5"/>
    </row>
    <row r="5448" spans="1:1" x14ac:dyDescent="0.25">
      <c r="A5448" s="5"/>
    </row>
    <row r="5449" spans="1:1" x14ac:dyDescent="0.25">
      <c r="A5449" s="5"/>
    </row>
    <row r="5450" spans="1:1" x14ac:dyDescent="0.25">
      <c r="A5450" s="5"/>
    </row>
    <row r="5451" spans="1:1" x14ac:dyDescent="0.25">
      <c r="A5451" s="5"/>
    </row>
    <row r="5452" spans="1:1" x14ac:dyDescent="0.25">
      <c r="A5452" s="5"/>
    </row>
    <row r="5453" spans="1:1" x14ac:dyDescent="0.25">
      <c r="A5453" s="5"/>
    </row>
    <row r="5454" spans="1:1" x14ac:dyDescent="0.25">
      <c r="A5454" s="5"/>
    </row>
    <row r="5455" spans="1:1" x14ac:dyDescent="0.25">
      <c r="A5455" s="5"/>
    </row>
    <row r="5456" spans="1:1" x14ac:dyDescent="0.25">
      <c r="A5456" s="5"/>
    </row>
    <row r="5457" spans="1:1" x14ac:dyDescent="0.25">
      <c r="A5457" s="5"/>
    </row>
    <row r="5458" spans="1:1" x14ac:dyDescent="0.25">
      <c r="A5458" s="5"/>
    </row>
    <row r="5459" spans="1:1" x14ac:dyDescent="0.25">
      <c r="A5459" s="5"/>
    </row>
    <row r="5460" spans="1:1" x14ac:dyDescent="0.25">
      <c r="A5460" s="5"/>
    </row>
    <row r="5461" spans="1:1" x14ac:dyDescent="0.25">
      <c r="A5461" s="5"/>
    </row>
    <row r="5462" spans="1:1" x14ac:dyDescent="0.25">
      <c r="A5462" s="5"/>
    </row>
    <row r="5463" spans="1:1" x14ac:dyDescent="0.25">
      <c r="A5463" s="5"/>
    </row>
    <row r="5464" spans="1:1" x14ac:dyDescent="0.25">
      <c r="A5464" s="5"/>
    </row>
    <row r="5465" spans="1:1" x14ac:dyDescent="0.25">
      <c r="A5465" s="5"/>
    </row>
    <row r="5466" spans="1:1" x14ac:dyDescent="0.25">
      <c r="A5466" s="5"/>
    </row>
    <row r="5467" spans="1:1" x14ac:dyDescent="0.25">
      <c r="A5467" s="5"/>
    </row>
    <row r="5468" spans="1:1" x14ac:dyDescent="0.25">
      <c r="A5468" s="5"/>
    </row>
    <row r="5469" spans="1:1" x14ac:dyDescent="0.25">
      <c r="A5469" s="5"/>
    </row>
    <row r="5470" spans="1:1" x14ac:dyDescent="0.25">
      <c r="A5470" s="5"/>
    </row>
    <row r="5471" spans="1:1" x14ac:dyDescent="0.25">
      <c r="A5471" s="5"/>
    </row>
    <row r="5472" spans="1:1" x14ac:dyDescent="0.25">
      <c r="A5472" s="5"/>
    </row>
    <row r="5473" spans="1:1" x14ac:dyDescent="0.25">
      <c r="A5473" s="5"/>
    </row>
    <row r="5474" spans="1:1" x14ac:dyDescent="0.25">
      <c r="A5474" s="5"/>
    </row>
    <row r="5475" spans="1:1" x14ac:dyDescent="0.25">
      <c r="A5475" s="5"/>
    </row>
    <row r="5476" spans="1:1" x14ac:dyDescent="0.25">
      <c r="A5476" s="5"/>
    </row>
    <row r="5477" spans="1:1" x14ac:dyDescent="0.25">
      <c r="A5477" s="5"/>
    </row>
    <row r="5478" spans="1:1" x14ac:dyDescent="0.25">
      <c r="A5478" s="5"/>
    </row>
    <row r="5479" spans="1:1" x14ac:dyDescent="0.25">
      <c r="A5479" s="5"/>
    </row>
    <row r="5480" spans="1:1" x14ac:dyDescent="0.25">
      <c r="A5480" s="5"/>
    </row>
    <row r="5481" spans="1:1" x14ac:dyDescent="0.25">
      <c r="A5481" s="5"/>
    </row>
    <row r="5482" spans="1:1" x14ac:dyDescent="0.25">
      <c r="A5482" s="5"/>
    </row>
    <row r="5483" spans="1:1" x14ac:dyDescent="0.25">
      <c r="A5483" s="5"/>
    </row>
    <row r="5484" spans="1:1" x14ac:dyDescent="0.25">
      <c r="A5484" s="5"/>
    </row>
    <row r="5485" spans="1:1" x14ac:dyDescent="0.25">
      <c r="A5485" s="5"/>
    </row>
    <row r="5486" spans="1:1" x14ac:dyDescent="0.25">
      <c r="A5486" s="5"/>
    </row>
    <row r="5487" spans="1:1" x14ac:dyDescent="0.25">
      <c r="A5487" s="5"/>
    </row>
    <row r="5488" spans="1:1" x14ac:dyDescent="0.25">
      <c r="A5488" s="5"/>
    </row>
    <row r="5489" spans="1:1" x14ac:dyDescent="0.25">
      <c r="A5489" s="5"/>
    </row>
    <row r="5490" spans="1:1" x14ac:dyDescent="0.25">
      <c r="A5490" s="5"/>
    </row>
    <row r="5491" spans="1:1" x14ac:dyDescent="0.25">
      <c r="A5491" s="5"/>
    </row>
    <row r="5492" spans="1:1" x14ac:dyDescent="0.25">
      <c r="A5492" s="5"/>
    </row>
    <row r="5493" spans="1:1" x14ac:dyDescent="0.25">
      <c r="A5493" s="5"/>
    </row>
    <row r="5494" spans="1:1" x14ac:dyDescent="0.25">
      <c r="A5494" s="5"/>
    </row>
    <row r="5495" spans="1:1" x14ac:dyDescent="0.25">
      <c r="A5495" s="5"/>
    </row>
    <row r="5496" spans="1:1" x14ac:dyDescent="0.25">
      <c r="A5496" s="5"/>
    </row>
    <row r="5497" spans="1:1" x14ac:dyDescent="0.25">
      <c r="A5497" s="5"/>
    </row>
    <row r="5498" spans="1:1" x14ac:dyDescent="0.25">
      <c r="A5498" s="5"/>
    </row>
    <row r="5499" spans="1:1" x14ac:dyDescent="0.25">
      <c r="A5499" s="5"/>
    </row>
    <row r="5500" spans="1:1" x14ac:dyDescent="0.25">
      <c r="A5500" s="5"/>
    </row>
    <row r="5501" spans="1:1" x14ac:dyDescent="0.25">
      <c r="A5501" s="5"/>
    </row>
    <row r="5502" spans="1:1" x14ac:dyDescent="0.25">
      <c r="A5502" s="5"/>
    </row>
    <row r="5503" spans="1:1" x14ac:dyDescent="0.25">
      <c r="A5503" s="5"/>
    </row>
    <row r="5504" spans="1:1" x14ac:dyDescent="0.25">
      <c r="A5504" s="5"/>
    </row>
    <row r="5505" spans="1:1" x14ac:dyDescent="0.25">
      <c r="A5505" s="5"/>
    </row>
    <row r="5506" spans="1:1" x14ac:dyDescent="0.25">
      <c r="A5506" s="5"/>
    </row>
    <row r="5507" spans="1:1" x14ac:dyDescent="0.25">
      <c r="A5507" s="5"/>
    </row>
    <row r="5508" spans="1:1" x14ac:dyDescent="0.25">
      <c r="A5508" s="5"/>
    </row>
    <row r="5509" spans="1:1" x14ac:dyDescent="0.25">
      <c r="A5509" s="5"/>
    </row>
    <row r="5510" spans="1:1" x14ac:dyDescent="0.25">
      <c r="A5510" s="5"/>
    </row>
    <row r="5511" spans="1:1" x14ac:dyDescent="0.25">
      <c r="A5511" s="5"/>
    </row>
    <row r="5512" spans="1:1" x14ac:dyDescent="0.25">
      <c r="A5512" s="5"/>
    </row>
    <row r="5513" spans="1:1" x14ac:dyDescent="0.25">
      <c r="A5513" s="5"/>
    </row>
    <row r="5514" spans="1:1" x14ac:dyDescent="0.25">
      <c r="A5514" s="5"/>
    </row>
    <row r="5515" spans="1:1" x14ac:dyDescent="0.25">
      <c r="A5515" s="5"/>
    </row>
    <row r="5516" spans="1:1" x14ac:dyDescent="0.25">
      <c r="A5516" s="5"/>
    </row>
    <row r="5517" spans="1:1" x14ac:dyDescent="0.25">
      <c r="A5517" s="5"/>
    </row>
    <row r="5518" spans="1:1" x14ac:dyDescent="0.25">
      <c r="A5518" s="5"/>
    </row>
    <row r="5519" spans="1:1" x14ac:dyDescent="0.25">
      <c r="A5519" s="5"/>
    </row>
    <row r="5520" spans="1:1" x14ac:dyDescent="0.25">
      <c r="A5520" s="5"/>
    </row>
    <row r="5521" spans="1:1" x14ac:dyDescent="0.25">
      <c r="A5521" s="5"/>
    </row>
    <row r="5522" spans="1:1" x14ac:dyDescent="0.25">
      <c r="A5522" s="5"/>
    </row>
    <row r="5523" spans="1:1" x14ac:dyDescent="0.25">
      <c r="A5523" s="5"/>
    </row>
    <row r="5524" spans="1:1" x14ac:dyDescent="0.25">
      <c r="A5524" s="5"/>
    </row>
    <row r="5525" spans="1:1" x14ac:dyDescent="0.25">
      <c r="A5525" s="5"/>
    </row>
    <row r="5526" spans="1:1" x14ac:dyDescent="0.25">
      <c r="A5526" s="5"/>
    </row>
    <row r="5527" spans="1:1" x14ac:dyDescent="0.25">
      <c r="A5527" s="5"/>
    </row>
    <row r="5528" spans="1:1" x14ac:dyDescent="0.25">
      <c r="A5528" s="5"/>
    </row>
    <row r="5529" spans="1:1" x14ac:dyDescent="0.25">
      <c r="A5529" s="5"/>
    </row>
    <row r="5530" spans="1:1" x14ac:dyDescent="0.25">
      <c r="A5530" s="5"/>
    </row>
    <row r="5531" spans="1:1" x14ac:dyDescent="0.25">
      <c r="A5531" s="5"/>
    </row>
    <row r="5532" spans="1:1" x14ac:dyDescent="0.25">
      <c r="A5532" s="5"/>
    </row>
    <row r="5533" spans="1:1" x14ac:dyDescent="0.25">
      <c r="A5533" s="5"/>
    </row>
    <row r="5534" spans="1:1" x14ac:dyDescent="0.25">
      <c r="A5534" s="5"/>
    </row>
    <row r="5535" spans="1:1" x14ac:dyDescent="0.25">
      <c r="A5535" s="5"/>
    </row>
    <row r="5536" spans="1:1" x14ac:dyDescent="0.25">
      <c r="A5536" s="5"/>
    </row>
    <row r="5537" spans="1:1" x14ac:dyDescent="0.25">
      <c r="A5537" s="5"/>
    </row>
    <row r="5538" spans="1:1" x14ac:dyDescent="0.25">
      <c r="A5538" s="5"/>
    </row>
    <row r="5539" spans="1:1" x14ac:dyDescent="0.25">
      <c r="A5539" s="5"/>
    </row>
    <row r="5540" spans="1:1" x14ac:dyDescent="0.25">
      <c r="A5540" s="5"/>
    </row>
    <row r="5541" spans="1:1" x14ac:dyDescent="0.25">
      <c r="A5541" s="5"/>
    </row>
    <row r="5542" spans="1:1" x14ac:dyDescent="0.25">
      <c r="A5542" s="5"/>
    </row>
    <row r="5543" spans="1:1" x14ac:dyDescent="0.25">
      <c r="A5543" s="5"/>
    </row>
    <row r="5544" spans="1:1" x14ac:dyDescent="0.25">
      <c r="A5544" s="5"/>
    </row>
    <row r="5545" spans="1:1" x14ac:dyDescent="0.25">
      <c r="A5545" s="5"/>
    </row>
    <row r="5546" spans="1:1" x14ac:dyDescent="0.25">
      <c r="A5546" s="5"/>
    </row>
    <row r="5547" spans="1:1" x14ac:dyDescent="0.25">
      <c r="A5547" s="5"/>
    </row>
    <row r="5548" spans="1:1" x14ac:dyDescent="0.25">
      <c r="A5548" s="5"/>
    </row>
    <row r="5549" spans="1:1" x14ac:dyDescent="0.25">
      <c r="A5549" s="5"/>
    </row>
    <row r="5550" spans="1:1" x14ac:dyDescent="0.25">
      <c r="A5550" s="5"/>
    </row>
    <row r="5551" spans="1:1" x14ac:dyDescent="0.25">
      <c r="A5551" s="5"/>
    </row>
    <row r="5552" spans="1:1" x14ac:dyDescent="0.25">
      <c r="A5552" s="5"/>
    </row>
    <row r="5553" spans="1:1" x14ac:dyDescent="0.25">
      <c r="A5553" s="5"/>
    </row>
    <row r="5554" spans="1:1" x14ac:dyDescent="0.25">
      <c r="A5554" s="5"/>
    </row>
    <row r="5555" spans="1:1" x14ac:dyDescent="0.25">
      <c r="A5555" s="5"/>
    </row>
    <row r="5556" spans="1:1" x14ac:dyDescent="0.25">
      <c r="A5556" s="5"/>
    </row>
    <row r="5557" spans="1:1" x14ac:dyDescent="0.25">
      <c r="A5557" s="5"/>
    </row>
    <row r="5558" spans="1:1" x14ac:dyDescent="0.25">
      <c r="A5558" s="5"/>
    </row>
    <row r="5559" spans="1:1" x14ac:dyDescent="0.25">
      <c r="A5559" s="5"/>
    </row>
    <row r="5560" spans="1:1" x14ac:dyDescent="0.25">
      <c r="A5560" s="5"/>
    </row>
    <row r="5561" spans="1:1" x14ac:dyDescent="0.25">
      <c r="A5561" s="5"/>
    </row>
    <row r="5562" spans="1:1" x14ac:dyDescent="0.25">
      <c r="A5562" s="5"/>
    </row>
    <row r="5563" spans="1:1" x14ac:dyDescent="0.25">
      <c r="A5563" s="5"/>
    </row>
    <row r="5564" spans="1:1" x14ac:dyDescent="0.25">
      <c r="A5564" s="5"/>
    </row>
    <row r="5565" spans="1:1" x14ac:dyDescent="0.25">
      <c r="A5565" s="5"/>
    </row>
    <row r="5566" spans="1:1" x14ac:dyDescent="0.25">
      <c r="A5566" s="5"/>
    </row>
    <row r="5567" spans="1:1" x14ac:dyDescent="0.25">
      <c r="A5567" s="5"/>
    </row>
    <row r="5568" spans="1:1" x14ac:dyDescent="0.25">
      <c r="A5568" s="5"/>
    </row>
    <row r="5569" spans="1:1" x14ac:dyDescent="0.25">
      <c r="A5569" s="5"/>
    </row>
    <row r="5570" spans="1:1" x14ac:dyDescent="0.25">
      <c r="A5570" s="5"/>
    </row>
    <row r="5571" spans="1:1" x14ac:dyDescent="0.25">
      <c r="A5571" s="5"/>
    </row>
    <row r="5572" spans="1:1" x14ac:dyDescent="0.25">
      <c r="A5572" s="5"/>
    </row>
    <row r="5573" spans="1:1" x14ac:dyDescent="0.25">
      <c r="A5573" s="5"/>
    </row>
    <row r="5574" spans="1:1" x14ac:dyDescent="0.25">
      <c r="A5574" s="5"/>
    </row>
    <row r="5575" spans="1:1" x14ac:dyDescent="0.25">
      <c r="A5575" s="5"/>
    </row>
    <row r="5576" spans="1:1" x14ac:dyDescent="0.25">
      <c r="A5576" s="5"/>
    </row>
    <row r="5577" spans="1:1" x14ac:dyDescent="0.25">
      <c r="A5577" s="5"/>
    </row>
    <row r="5578" spans="1:1" x14ac:dyDescent="0.25">
      <c r="A5578" s="5"/>
    </row>
    <row r="5579" spans="1:1" x14ac:dyDescent="0.25">
      <c r="A5579" s="5"/>
    </row>
    <row r="5580" spans="1:1" x14ac:dyDescent="0.25">
      <c r="A5580" s="5"/>
    </row>
    <row r="5581" spans="1:1" x14ac:dyDescent="0.25">
      <c r="A5581" s="5"/>
    </row>
    <row r="5582" spans="1:1" x14ac:dyDescent="0.25">
      <c r="A5582" s="5"/>
    </row>
    <row r="5583" spans="1:1" x14ac:dyDescent="0.25">
      <c r="A5583" s="5"/>
    </row>
    <row r="5584" spans="1:1" x14ac:dyDescent="0.25">
      <c r="A5584" s="5"/>
    </row>
    <row r="5585" spans="1:1" x14ac:dyDescent="0.25">
      <c r="A5585" s="5"/>
    </row>
    <row r="5586" spans="1:1" x14ac:dyDescent="0.25">
      <c r="A5586" s="5"/>
    </row>
    <row r="5587" spans="1:1" x14ac:dyDescent="0.25">
      <c r="A5587" s="5"/>
    </row>
    <row r="5588" spans="1:1" x14ac:dyDescent="0.25">
      <c r="A5588" s="5"/>
    </row>
    <row r="5589" spans="1:1" x14ac:dyDescent="0.25">
      <c r="A5589" s="5"/>
    </row>
    <row r="5590" spans="1:1" x14ac:dyDescent="0.25">
      <c r="A5590" s="5"/>
    </row>
    <row r="5591" spans="1:1" x14ac:dyDescent="0.25">
      <c r="A5591" s="5"/>
    </row>
    <row r="5592" spans="1:1" x14ac:dyDescent="0.25">
      <c r="A5592" s="5"/>
    </row>
    <row r="5593" spans="1:1" x14ac:dyDescent="0.25">
      <c r="A5593" s="5"/>
    </row>
    <row r="5594" spans="1:1" x14ac:dyDescent="0.25">
      <c r="A5594" s="5"/>
    </row>
    <row r="5595" spans="1:1" x14ac:dyDescent="0.25">
      <c r="A5595" s="5"/>
    </row>
    <row r="5596" spans="1:1" x14ac:dyDescent="0.25">
      <c r="A5596" s="5"/>
    </row>
    <row r="5597" spans="1:1" x14ac:dyDescent="0.25">
      <c r="A5597" s="5"/>
    </row>
    <row r="5598" spans="1:1" x14ac:dyDescent="0.25">
      <c r="A5598" s="5"/>
    </row>
    <row r="5599" spans="1:1" x14ac:dyDescent="0.25">
      <c r="A5599" s="5"/>
    </row>
    <row r="5600" spans="1:1" x14ac:dyDescent="0.25">
      <c r="A5600" s="5"/>
    </row>
    <row r="5601" spans="1:1" x14ac:dyDescent="0.25">
      <c r="A5601" s="5"/>
    </row>
    <row r="5602" spans="1:1" x14ac:dyDescent="0.25">
      <c r="A5602" s="5"/>
    </row>
    <row r="5603" spans="1:1" x14ac:dyDescent="0.25">
      <c r="A5603" s="5"/>
    </row>
    <row r="5604" spans="1:1" x14ac:dyDescent="0.25">
      <c r="A5604" s="5"/>
    </row>
    <row r="5605" spans="1:1" x14ac:dyDescent="0.25">
      <c r="A5605" s="5"/>
    </row>
    <row r="5606" spans="1:1" x14ac:dyDescent="0.25">
      <c r="A5606" s="5"/>
    </row>
    <row r="5607" spans="1:1" x14ac:dyDescent="0.25">
      <c r="A5607" s="5"/>
    </row>
    <row r="5608" spans="1:1" x14ac:dyDescent="0.25">
      <c r="A5608" s="5"/>
    </row>
    <row r="5609" spans="1:1" x14ac:dyDescent="0.25">
      <c r="A5609" s="5"/>
    </row>
    <row r="5610" spans="1:1" x14ac:dyDescent="0.25">
      <c r="A5610" s="5"/>
    </row>
    <row r="5611" spans="1:1" x14ac:dyDescent="0.25">
      <c r="A5611" s="5"/>
    </row>
    <row r="5612" spans="1:1" x14ac:dyDescent="0.25">
      <c r="A5612" s="5"/>
    </row>
    <row r="5613" spans="1:1" x14ac:dyDescent="0.25">
      <c r="A5613" s="5"/>
    </row>
    <row r="5614" spans="1:1" x14ac:dyDescent="0.25">
      <c r="A5614" s="5"/>
    </row>
    <row r="5615" spans="1:1" x14ac:dyDescent="0.25">
      <c r="A5615" s="5"/>
    </row>
    <row r="5616" spans="1:1" x14ac:dyDescent="0.25">
      <c r="A5616" s="5"/>
    </row>
    <row r="5617" spans="1:1" x14ac:dyDescent="0.25">
      <c r="A5617" s="5"/>
    </row>
    <row r="5618" spans="1:1" x14ac:dyDescent="0.25">
      <c r="A5618" s="5"/>
    </row>
    <row r="5619" spans="1:1" x14ac:dyDescent="0.25">
      <c r="A5619" s="5"/>
    </row>
    <row r="5620" spans="1:1" x14ac:dyDescent="0.25">
      <c r="A5620" s="5"/>
    </row>
    <row r="5621" spans="1:1" x14ac:dyDescent="0.25">
      <c r="A5621" s="5"/>
    </row>
    <row r="5622" spans="1:1" x14ac:dyDescent="0.25">
      <c r="A5622" s="5"/>
    </row>
    <row r="5623" spans="1:1" x14ac:dyDescent="0.25">
      <c r="A5623" s="5"/>
    </row>
    <row r="5624" spans="1:1" x14ac:dyDescent="0.25">
      <c r="A5624" s="5"/>
    </row>
    <row r="5625" spans="1:1" x14ac:dyDescent="0.25">
      <c r="A5625" s="5"/>
    </row>
    <row r="5626" spans="1:1" x14ac:dyDescent="0.25">
      <c r="A5626" s="5"/>
    </row>
    <row r="5627" spans="1:1" x14ac:dyDescent="0.25">
      <c r="A5627" s="5"/>
    </row>
    <row r="5628" spans="1:1" x14ac:dyDescent="0.25">
      <c r="A5628" s="5"/>
    </row>
    <row r="5629" spans="1:1" x14ac:dyDescent="0.25">
      <c r="A5629" s="5"/>
    </row>
    <row r="5630" spans="1:1" x14ac:dyDescent="0.25">
      <c r="A5630" s="5"/>
    </row>
    <row r="5631" spans="1:1" x14ac:dyDescent="0.25">
      <c r="A5631" s="5"/>
    </row>
    <row r="5632" spans="1:1" x14ac:dyDescent="0.25">
      <c r="A5632" s="5"/>
    </row>
    <row r="5633" spans="1:1" x14ac:dyDescent="0.25">
      <c r="A5633" s="5"/>
    </row>
    <row r="5634" spans="1:1" x14ac:dyDescent="0.25">
      <c r="A5634" s="5"/>
    </row>
    <row r="5635" spans="1:1" x14ac:dyDescent="0.25">
      <c r="A5635" s="5"/>
    </row>
    <row r="5636" spans="1:1" x14ac:dyDescent="0.25">
      <c r="A5636" s="5"/>
    </row>
    <row r="5637" spans="1:1" x14ac:dyDescent="0.25">
      <c r="A5637" s="5"/>
    </row>
    <row r="5638" spans="1:1" x14ac:dyDescent="0.25">
      <c r="A5638" s="5"/>
    </row>
    <row r="5639" spans="1:1" x14ac:dyDescent="0.25">
      <c r="A5639" s="5"/>
    </row>
    <row r="5640" spans="1:1" x14ac:dyDescent="0.25">
      <c r="A5640" s="5"/>
    </row>
    <row r="5641" spans="1:1" x14ac:dyDescent="0.25">
      <c r="A5641" s="5"/>
    </row>
    <row r="5642" spans="1:1" x14ac:dyDescent="0.25">
      <c r="A5642" s="5"/>
    </row>
    <row r="5643" spans="1:1" x14ac:dyDescent="0.25">
      <c r="A5643" s="5"/>
    </row>
    <row r="5644" spans="1:1" x14ac:dyDescent="0.25">
      <c r="A5644" s="5"/>
    </row>
    <row r="5645" spans="1:1" x14ac:dyDescent="0.25">
      <c r="A5645" s="5"/>
    </row>
    <row r="5646" spans="1:1" x14ac:dyDescent="0.25">
      <c r="A5646" s="5"/>
    </row>
    <row r="5647" spans="1:1" x14ac:dyDescent="0.25">
      <c r="A5647" s="5"/>
    </row>
    <row r="5648" spans="1:1" x14ac:dyDescent="0.25">
      <c r="A5648" s="5"/>
    </row>
    <row r="5649" spans="1:1" x14ac:dyDescent="0.25">
      <c r="A5649" s="5"/>
    </row>
    <row r="5650" spans="1:1" x14ac:dyDescent="0.25">
      <c r="A5650" s="5"/>
    </row>
    <row r="5651" spans="1:1" x14ac:dyDescent="0.25">
      <c r="A5651" s="5"/>
    </row>
    <row r="5652" spans="1:1" x14ac:dyDescent="0.25">
      <c r="A5652" s="5"/>
    </row>
    <row r="5653" spans="1:1" x14ac:dyDescent="0.25">
      <c r="A5653" s="5"/>
    </row>
    <row r="5654" spans="1:1" x14ac:dyDescent="0.25">
      <c r="A5654" s="5"/>
    </row>
    <row r="5655" spans="1:1" x14ac:dyDescent="0.25">
      <c r="A5655" s="5"/>
    </row>
    <row r="5656" spans="1:1" x14ac:dyDescent="0.25">
      <c r="A5656" s="5"/>
    </row>
    <row r="5657" spans="1:1" x14ac:dyDescent="0.25">
      <c r="A5657" s="5"/>
    </row>
    <row r="5658" spans="1:1" x14ac:dyDescent="0.25">
      <c r="A5658" s="5"/>
    </row>
    <row r="5659" spans="1:1" x14ac:dyDescent="0.25">
      <c r="A5659" s="5"/>
    </row>
    <row r="5660" spans="1:1" x14ac:dyDescent="0.25">
      <c r="A5660" s="5"/>
    </row>
    <row r="5661" spans="1:1" x14ac:dyDescent="0.25">
      <c r="A5661" s="5"/>
    </row>
    <row r="5662" spans="1:1" x14ac:dyDescent="0.25">
      <c r="A5662" s="5"/>
    </row>
    <row r="5663" spans="1:1" x14ac:dyDescent="0.25">
      <c r="A5663" s="5"/>
    </row>
    <row r="5664" spans="1:1" x14ac:dyDescent="0.25">
      <c r="A5664" s="5"/>
    </row>
    <row r="5665" spans="1:1" x14ac:dyDescent="0.25">
      <c r="A5665" s="5"/>
    </row>
    <row r="5666" spans="1:1" x14ac:dyDescent="0.25">
      <c r="A5666" s="5"/>
    </row>
    <row r="5667" spans="1:1" x14ac:dyDescent="0.25">
      <c r="A5667" s="5"/>
    </row>
    <row r="5668" spans="1:1" x14ac:dyDescent="0.25">
      <c r="A5668" s="5"/>
    </row>
    <row r="5669" spans="1:1" x14ac:dyDescent="0.25">
      <c r="A5669" s="5"/>
    </row>
    <row r="5670" spans="1:1" x14ac:dyDescent="0.25">
      <c r="A5670" s="5"/>
    </row>
    <row r="5671" spans="1:1" x14ac:dyDescent="0.25">
      <c r="A5671" s="5"/>
    </row>
    <row r="5672" spans="1:1" x14ac:dyDescent="0.25">
      <c r="A5672" s="5"/>
    </row>
    <row r="5673" spans="1:1" x14ac:dyDescent="0.25">
      <c r="A5673" s="5"/>
    </row>
    <row r="5674" spans="1:1" x14ac:dyDescent="0.25">
      <c r="A5674" s="5"/>
    </row>
    <row r="5675" spans="1:1" x14ac:dyDescent="0.25">
      <c r="A5675" s="5"/>
    </row>
    <row r="5676" spans="1:1" x14ac:dyDescent="0.25">
      <c r="A5676" s="5"/>
    </row>
    <row r="5677" spans="1:1" x14ac:dyDescent="0.25">
      <c r="A5677" s="5"/>
    </row>
    <row r="5678" spans="1:1" x14ac:dyDescent="0.25">
      <c r="A5678" s="5"/>
    </row>
    <row r="5679" spans="1:1" x14ac:dyDescent="0.25">
      <c r="A5679" s="5"/>
    </row>
    <row r="5680" spans="1:1" x14ac:dyDescent="0.25">
      <c r="A5680" s="5"/>
    </row>
    <row r="5681" spans="1:1" x14ac:dyDescent="0.25">
      <c r="A5681" s="5"/>
    </row>
    <row r="5682" spans="1:1" x14ac:dyDescent="0.25">
      <c r="A5682" s="5"/>
    </row>
    <row r="5683" spans="1:1" x14ac:dyDescent="0.25">
      <c r="A5683" s="5"/>
    </row>
    <row r="5684" spans="1:1" x14ac:dyDescent="0.25">
      <c r="A5684" s="5"/>
    </row>
    <row r="5685" spans="1:1" x14ac:dyDescent="0.25">
      <c r="A5685" s="5"/>
    </row>
    <row r="5686" spans="1:1" x14ac:dyDescent="0.25">
      <c r="A5686" s="5"/>
    </row>
    <row r="5687" spans="1:1" x14ac:dyDescent="0.25">
      <c r="A5687" s="5"/>
    </row>
    <row r="5688" spans="1:1" x14ac:dyDescent="0.25">
      <c r="A5688" s="5"/>
    </row>
    <row r="5689" spans="1:1" x14ac:dyDescent="0.25">
      <c r="A5689" s="5"/>
    </row>
    <row r="5690" spans="1:1" x14ac:dyDescent="0.25">
      <c r="A5690" s="5"/>
    </row>
    <row r="5691" spans="1:1" x14ac:dyDescent="0.25">
      <c r="A5691" s="5"/>
    </row>
    <row r="5692" spans="1:1" x14ac:dyDescent="0.25">
      <c r="A5692" s="5"/>
    </row>
    <row r="5693" spans="1:1" x14ac:dyDescent="0.25">
      <c r="A5693" s="5"/>
    </row>
    <row r="5694" spans="1:1" x14ac:dyDescent="0.25">
      <c r="A5694" s="5"/>
    </row>
    <row r="5695" spans="1:1" x14ac:dyDescent="0.25">
      <c r="A5695" s="5"/>
    </row>
    <row r="5696" spans="1:1" x14ac:dyDescent="0.25">
      <c r="A5696" s="5"/>
    </row>
    <row r="5697" spans="1:1" x14ac:dyDescent="0.25">
      <c r="A5697" s="5"/>
    </row>
    <row r="5698" spans="1:1" x14ac:dyDescent="0.25">
      <c r="A5698" s="5"/>
    </row>
    <row r="5699" spans="1:1" x14ac:dyDescent="0.25">
      <c r="A5699" s="5"/>
    </row>
    <row r="5700" spans="1:1" x14ac:dyDescent="0.25">
      <c r="A5700" s="5"/>
    </row>
    <row r="5701" spans="1:1" x14ac:dyDescent="0.25">
      <c r="A5701" s="5"/>
    </row>
    <row r="5702" spans="1:1" x14ac:dyDescent="0.25">
      <c r="A5702" s="5"/>
    </row>
    <row r="5703" spans="1:1" x14ac:dyDescent="0.25">
      <c r="A5703" s="5"/>
    </row>
    <row r="5704" spans="1:1" x14ac:dyDescent="0.25">
      <c r="A5704" s="5"/>
    </row>
    <row r="5705" spans="1:1" x14ac:dyDescent="0.25">
      <c r="A5705" s="5"/>
    </row>
    <row r="5706" spans="1:1" x14ac:dyDescent="0.25">
      <c r="A5706" s="5"/>
    </row>
    <row r="5707" spans="1:1" x14ac:dyDescent="0.25">
      <c r="A5707" s="5"/>
    </row>
    <row r="5708" spans="1:1" x14ac:dyDescent="0.25">
      <c r="A5708" s="5"/>
    </row>
    <row r="5709" spans="1:1" x14ac:dyDescent="0.25">
      <c r="A5709" s="5"/>
    </row>
    <row r="5710" spans="1:1" x14ac:dyDescent="0.25">
      <c r="A5710" s="5"/>
    </row>
    <row r="5711" spans="1:1" x14ac:dyDescent="0.25">
      <c r="A5711" s="5"/>
    </row>
    <row r="5712" spans="1:1" x14ac:dyDescent="0.25">
      <c r="A5712" s="5"/>
    </row>
    <row r="5713" spans="1:1" x14ac:dyDescent="0.25">
      <c r="A5713" s="5"/>
    </row>
    <row r="5714" spans="1:1" x14ac:dyDescent="0.25">
      <c r="A5714" s="5"/>
    </row>
    <row r="5715" spans="1:1" x14ac:dyDescent="0.25">
      <c r="A5715" s="5"/>
    </row>
    <row r="5716" spans="1:1" x14ac:dyDescent="0.25">
      <c r="A5716" s="5"/>
    </row>
    <row r="5717" spans="1:1" x14ac:dyDescent="0.25">
      <c r="A5717" s="5"/>
    </row>
    <row r="5718" spans="1:1" x14ac:dyDescent="0.25">
      <c r="A5718" s="5"/>
    </row>
    <row r="5719" spans="1:1" x14ac:dyDescent="0.25">
      <c r="A5719" s="5"/>
    </row>
    <row r="5720" spans="1:1" x14ac:dyDescent="0.25">
      <c r="A5720" s="5"/>
    </row>
    <row r="5721" spans="1:1" x14ac:dyDescent="0.25">
      <c r="A5721" s="5"/>
    </row>
    <row r="5722" spans="1:1" x14ac:dyDescent="0.25">
      <c r="A5722" s="5"/>
    </row>
    <row r="5723" spans="1:1" x14ac:dyDescent="0.25">
      <c r="A5723" s="5"/>
    </row>
    <row r="5724" spans="1:1" x14ac:dyDescent="0.25">
      <c r="A5724" s="5"/>
    </row>
    <row r="5725" spans="1:1" x14ac:dyDescent="0.25">
      <c r="A5725" s="5"/>
    </row>
    <row r="5726" spans="1:1" x14ac:dyDescent="0.25">
      <c r="A5726" s="5"/>
    </row>
    <row r="5727" spans="1:1" x14ac:dyDescent="0.25">
      <c r="A5727" s="5"/>
    </row>
    <row r="5728" spans="1:1" x14ac:dyDescent="0.25">
      <c r="A5728" s="5"/>
    </row>
    <row r="5729" spans="1:1" x14ac:dyDescent="0.25">
      <c r="A5729" s="5"/>
    </row>
    <row r="5730" spans="1:1" x14ac:dyDescent="0.25">
      <c r="A5730" s="5"/>
    </row>
    <row r="5731" spans="1:1" x14ac:dyDescent="0.25">
      <c r="A5731" s="5"/>
    </row>
    <row r="5732" spans="1:1" x14ac:dyDescent="0.25">
      <c r="A5732" s="5"/>
    </row>
    <row r="5733" spans="1:1" x14ac:dyDescent="0.25">
      <c r="A5733" s="5"/>
    </row>
    <row r="5734" spans="1:1" x14ac:dyDescent="0.25">
      <c r="A5734" s="5"/>
    </row>
    <row r="5735" spans="1:1" x14ac:dyDescent="0.25">
      <c r="A5735" s="5"/>
    </row>
    <row r="5736" spans="1:1" x14ac:dyDescent="0.25">
      <c r="A5736" s="5"/>
    </row>
    <row r="5737" spans="1:1" x14ac:dyDescent="0.25">
      <c r="A5737" s="5"/>
    </row>
    <row r="5738" spans="1:1" x14ac:dyDescent="0.25">
      <c r="A5738" s="5"/>
    </row>
    <row r="5739" spans="1:1" x14ac:dyDescent="0.25">
      <c r="A5739" s="5"/>
    </row>
    <row r="5740" spans="1:1" x14ac:dyDescent="0.25">
      <c r="A5740" s="5"/>
    </row>
    <row r="5741" spans="1:1" x14ac:dyDescent="0.25">
      <c r="A5741" s="5"/>
    </row>
    <row r="5742" spans="1:1" x14ac:dyDescent="0.25">
      <c r="A5742" s="5"/>
    </row>
    <row r="5743" spans="1:1" x14ac:dyDescent="0.25">
      <c r="A5743" s="5"/>
    </row>
    <row r="5744" spans="1:1" x14ac:dyDescent="0.25">
      <c r="A5744" s="5"/>
    </row>
    <row r="5745" spans="1:1" x14ac:dyDescent="0.25">
      <c r="A5745" s="5"/>
    </row>
    <row r="5746" spans="1:1" x14ac:dyDescent="0.25">
      <c r="A5746" s="5"/>
    </row>
    <row r="5747" spans="1:1" x14ac:dyDescent="0.25">
      <c r="A5747" s="5"/>
    </row>
    <row r="5748" spans="1:1" x14ac:dyDescent="0.25">
      <c r="A5748" s="5"/>
    </row>
    <row r="5749" spans="1:1" x14ac:dyDescent="0.25">
      <c r="A5749" s="5"/>
    </row>
    <row r="5750" spans="1:1" x14ac:dyDescent="0.25">
      <c r="A5750" s="5"/>
    </row>
    <row r="5751" spans="1:1" x14ac:dyDescent="0.25">
      <c r="A5751" s="5"/>
    </row>
    <row r="5752" spans="1:1" x14ac:dyDescent="0.25">
      <c r="A5752" s="5"/>
    </row>
    <row r="5753" spans="1:1" x14ac:dyDescent="0.25">
      <c r="A5753" s="5"/>
    </row>
    <row r="5754" spans="1:1" x14ac:dyDescent="0.25">
      <c r="A5754" s="5"/>
    </row>
    <row r="5755" spans="1:1" x14ac:dyDescent="0.25">
      <c r="A5755" s="5"/>
    </row>
    <row r="5756" spans="1:1" x14ac:dyDescent="0.25">
      <c r="A5756" s="5"/>
    </row>
    <row r="5757" spans="1:1" x14ac:dyDescent="0.25">
      <c r="A5757" s="5"/>
    </row>
    <row r="5758" spans="1:1" x14ac:dyDescent="0.25">
      <c r="A5758" s="5"/>
    </row>
    <row r="5759" spans="1:1" x14ac:dyDescent="0.25">
      <c r="A5759" s="5"/>
    </row>
    <row r="5760" spans="1:1" x14ac:dyDescent="0.25">
      <c r="A5760" s="5"/>
    </row>
    <row r="5761" spans="1:1" x14ac:dyDescent="0.25">
      <c r="A5761" s="5"/>
    </row>
    <row r="5762" spans="1:1" x14ac:dyDescent="0.25">
      <c r="A5762" s="5"/>
    </row>
    <row r="5763" spans="1:1" x14ac:dyDescent="0.25">
      <c r="A5763" s="5"/>
    </row>
    <row r="5764" spans="1:1" x14ac:dyDescent="0.25">
      <c r="A5764" s="5"/>
    </row>
    <row r="5765" spans="1:1" x14ac:dyDescent="0.25">
      <c r="A5765" s="5"/>
    </row>
    <row r="5766" spans="1:1" x14ac:dyDescent="0.25">
      <c r="A5766" s="5"/>
    </row>
    <row r="5767" spans="1:1" x14ac:dyDescent="0.25">
      <c r="A5767" s="5"/>
    </row>
    <row r="5768" spans="1:1" x14ac:dyDescent="0.25">
      <c r="A5768" s="5"/>
    </row>
    <row r="5769" spans="1:1" x14ac:dyDescent="0.25">
      <c r="A5769" s="5"/>
    </row>
    <row r="5770" spans="1:1" x14ac:dyDescent="0.25">
      <c r="A5770" s="5"/>
    </row>
    <row r="5771" spans="1:1" x14ac:dyDescent="0.25">
      <c r="A5771" s="5"/>
    </row>
    <row r="5772" spans="1:1" x14ac:dyDescent="0.25">
      <c r="A5772" s="5"/>
    </row>
    <row r="5773" spans="1:1" x14ac:dyDescent="0.25">
      <c r="A5773" s="5"/>
    </row>
    <row r="5774" spans="1:1" x14ac:dyDescent="0.25">
      <c r="A5774" s="5"/>
    </row>
    <row r="5775" spans="1:1" x14ac:dyDescent="0.25">
      <c r="A5775" s="5"/>
    </row>
    <row r="5776" spans="1:1" x14ac:dyDescent="0.25">
      <c r="A5776" s="5"/>
    </row>
    <row r="5777" spans="1:1" x14ac:dyDescent="0.25">
      <c r="A5777" s="5"/>
    </row>
    <row r="5778" spans="1:1" x14ac:dyDescent="0.25">
      <c r="A5778" s="5"/>
    </row>
    <row r="5779" spans="1:1" x14ac:dyDescent="0.25">
      <c r="A5779" s="5"/>
    </row>
    <row r="5780" spans="1:1" x14ac:dyDescent="0.25">
      <c r="A5780" s="5"/>
    </row>
    <row r="5781" spans="1:1" x14ac:dyDescent="0.25">
      <c r="A5781" s="5"/>
    </row>
    <row r="5782" spans="1:1" x14ac:dyDescent="0.25">
      <c r="A5782" s="5"/>
    </row>
    <row r="5783" spans="1:1" x14ac:dyDescent="0.25">
      <c r="A5783" s="5"/>
    </row>
    <row r="5784" spans="1:1" x14ac:dyDescent="0.25">
      <c r="A5784" s="5"/>
    </row>
    <row r="5785" spans="1:1" x14ac:dyDescent="0.25">
      <c r="A5785" s="5"/>
    </row>
    <row r="5786" spans="1:1" x14ac:dyDescent="0.25">
      <c r="A5786" s="5"/>
    </row>
    <row r="5787" spans="1:1" x14ac:dyDescent="0.25">
      <c r="A5787" s="5"/>
    </row>
    <row r="5788" spans="1:1" x14ac:dyDescent="0.25">
      <c r="A5788" s="5"/>
    </row>
    <row r="5789" spans="1:1" x14ac:dyDescent="0.25">
      <c r="A5789" s="5"/>
    </row>
    <row r="5790" spans="1:1" x14ac:dyDescent="0.25">
      <c r="A5790" s="5"/>
    </row>
    <row r="5791" spans="1:1" x14ac:dyDescent="0.25">
      <c r="A5791" s="5"/>
    </row>
    <row r="5792" spans="1:1" x14ac:dyDescent="0.25">
      <c r="A5792" s="5"/>
    </row>
    <row r="5793" spans="1:1" x14ac:dyDescent="0.25">
      <c r="A5793" s="5"/>
    </row>
    <row r="5794" spans="1:1" x14ac:dyDescent="0.25">
      <c r="A5794" s="5"/>
    </row>
    <row r="5795" spans="1:1" x14ac:dyDescent="0.25">
      <c r="A5795" s="5"/>
    </row>
    <row r="5796" spans="1:1" x14ac:dyDescent="0.25">
      <c r="A5796" s="5"/>
    </row>
    <row r="5797" spans="1:1" x14ac:dyDescent="0.25">
      <c r="A5797" s="5"/>
    </row>
    <row r="5798" spans="1:1" x14ac:dyDescent="0.25">
      <c r="A5798" s="5"/>
    </row>
    <row r="5799" spans="1:1" x14ac:dyDescent="0.25">
      <c r="A5799" s="5"/>
    </row>
    <row r="5800" spans="1:1" x14ac:dyDescent="0.25">
      <c r="A5800" s="5"/>
    </row>
    <row r="5801" spans="1:1" x14ac:dyDescent="0.25">
      <c r="A5801" s="5"/>
    </row>
    <row r="5802" spans="1:1" x14ac:dyDescent="0.25">
      <c r="A5802" s="5"/>
    </row>
    <row r="5803" spans="1:1" x14ac:dyDescent="0.25">
      <c r="A5803" s="5"/>
    </row>
    <row r="5804" spans="1:1" x14ac:dyDescent="0.25">
      <c r="A5804" s="5"/>
    </row>
    <row r="5805" spans="1:1" x14ac:dyDescent="0.25">
      <c r="A5805" s="5"/>
    </row>
    <row r="5806" spans="1:1" x14ac:dyDescent="0.25">
      <c r="A5806" s="5"/>
    </row>
    <row r="5807" spans="1:1" x14ac:dyDescent="0.25">
      <c r="A5807" s="5"/>
    </row>
    <row r="5808" spans="1:1" x14ac:dyDescent="0.25">
      <c r="A5808" s="5"/>
    </row>
    <row r="5809" spans="1:1" x14ac:dyDescent="0.25">
      <c r="A5809" s="5"/>
    </row>
    <row r="5810" spans="1:1" x14ac:dyDescent="0.25">
      <c r="A5810" s="5"/>
    </row>
    <row r="5811" spans="1:1" x14ac:dyDescent="0.25">
      <c r="A5811" s="5"/>
    </row>
    <row r="5812" spans="1:1" x14ac:dyDescent="0.25">
      <c r="A5812" s="5"/>
    </row>
    <row r="5813" spans="1:1" x14ac:dyDescent="0.25">
      <c r="A5813" s="5"/>
    </row>
    <row r="5814" spans="1:1" x14ac:dyDescent="0.25">
      <c r="A5814" s="5"/>
    </row>
    <row r="5815" spans="1:1" x14ac:dyDescent="0.25">
      <c r="A5815" s="5"/>
    </row>
    <row r="5816" spans="1:1" x14ac:dyDescent="0.25">
      <c r="A5816" s="5"/>
    </row>
    <row r="5817" spans="1:1" x14ac:dyDescent="0.25">
      <c r="A5817" s="5"/>
    </row>
    <row r="5818" spans="1:1" x14ac:dyDescent="0.25">
      <c r="A5818" s="5"/>
    </row>
    <row r="5819" spans="1:1" x14ac:dyDescent="0.25">
      <c r="A5819" s="5"/>
    </row>
    <row r="5820" spans="1:1" x14ac:dyDescent="0.25">
      <c r="A5820" s="5"/>
    </row>
    <row r="5821" spans="1:1" x14ac:dyDescent="0.25">
      <c r="A5821" s="5"/>
    </row>
    <row r="5822" spans="1:1" x14ac:dyDescent="0.25">
      <c r="A5822" s="5"/>
    </row>
    <row r="5823" spans="1:1" x14ac:dyDescent="0.25">
      <c r="A5823" s="5"/>
    </row>
    <row r="5824" spans="1:1" x14ac:dyDescent="0.25">
      <c r="A5824" s="5"/>
    </row>
    <row r="5825" spans="1:1" x14ac:dyDescent="0.25">
      <c r="A5825" s="5"/>
    </row>
    <row r="5826" spans="1:1" x14ac:dyDescent="0.25">
      <c r="A5826" s="5"/>
    </row>
    <row r="5827" spans="1:1" x14ac:dyDescent="0.25">
      <c r="A5827" s="5"/>
    </row>
    <row r="5828" spans="1:1" x14ac:dyDescent="0.25">
      <c r="A5828" s="5"/>
    </row>
    <row r="5829" spans="1:1" x14ac:dyDescent="0.25">
      <c r="A5829" s="5"/>
    </row>
    <row r="5830" spans="1:1" x14ac:dyDescent="0.25">
      <c r="A5830" s="5"/>
    </row>
    <row r="5831" spans="1:1" x14ac:dyDescent="0.25">
      <c r="A5831" s="5"/>
    </row>
    <row r="5832" spans="1:1" x14ac:dyDescent="0.25">
      <c r="A5832" s="5"/>
    </row>
    <row r="5833" spans="1:1" x14ac:dyDescent="0.25">
      <c r="A5833" s="5"/>
    </row>
    <row r="5834" spans="1:1" x14ac:dyDescent="0.25">
      <c r="A5834" s="5"/>
    </row>
    <row r="5835" spans="1:1" x14ac:dyDescent="0.25">
      <c r="A5835" s="5"/>
    </row>
    <row r="5836" spans="1:1" x14ac:dyDescent="0.25">
      <c r="A5836" s="5"/>
    </row>
    <row r="5837" spans="1:1" x14ac:dyDescent="0.25">
      <c r="A5837" s="5"/>
    </row>
    <row r="5838" spans="1:1" x14ac:dyDescent="0.25">
      <c r="A5838" s="5"/>
    </row>
    <row r="5839" spans="1:1" x14ac:dyDescent="0.25">
      <c r="A5839" s="5"/>
    </row>
    <row r="5840" spans="1:1" x14ac:dyDescent="0.25">
      <c r="A5840" s="5"/>
    </row>
    <row r="5841" spans="1:1" x14ac:dyDescent="0.25">
      <c r="A5841" s="5"/>
    </row>
    <row r="5842" spans="1:1" x14ac:dyDescent="0.25">
      <c r="A5842" s="5"/>
    </row>
    <row r="5843" spans="1:1" x14ac:dyDescent="0.25">
      <c r="A5843" s="5"/>
    </row>
    <row r="5844" spans="1:1" x14ac:dyDescent="0.25">
      <c r="A5844" s="5"/>
    </row>
    <row r="5845" spans="1:1" x14ac:dyDescent="0.25">
      <c r="A5845" s="5"/>
    </row>
    <row r="5846" spans="1:1" x14ac:dyDescent="0.25">
      <c r="A5846" s="5"/>
    </row>
    <row r="5847" spans="1:1" x14ac:dyDescent="0.25">
      <c r="A5847" s="5"/>
    </row>
    <row r="5848" spans="1:1" x14ac:dyDescent="0.25">
      <c r="A5848" s="5"/>
    </row>
    <row r="5849" spans="1:1" x14ac:dyDescent="0.25">
      <c r="A5849" s="5"/>
    </row>
    <row r="5850" spans="1:1" x14ac:dyDescent="0.25">
      <c r="A5850" s="5"/>
    </row>
    <row r="5851" spans="1:1" x14ac:dyDescent="0.25">
      <c r="A5851" s="5"/>
    </row>
    <row r="5852" spans="1:1" x14ac:dyDescent="0.25">
      <c r="A5852" s="5"/>
    </row>
    <row r="5853" spans="1:1" x14ac:dyDescent="0.25">
      <c r="A5853" s="5"/>
    </row>
    <row r="5854" spans="1:1" x14ac:dyDescent="0.25">
      <c r="A5854" s="5"/>
    </row>
    <row r="5855" spans="1:1" x14ac:dyDescent="0.25">
      <c r="A5855" s="5"/>
    </row>
    <row r="5856" spans="1:1" x14ac:dyDescent="0.25">
      <c r="A5856" s="5"/>
    </row>
    <row r="5857" spans="1:1" x14ac:dyDescent="0.25">
      <c r="A5857" s="5"/>
    </row>
    <row r="5858" spans="1:1" x14ac:dyDescent="0.25">
      <c r="A5858" s="5"/>
    </row>
    <row r="5859" spans="1:1" x14ac:dyDescent="0.25">
      <c r="A5859" s="5"/>
    </row>
    <row r="5860" spans="1:1" x14ac:dyDescent="0.25">
      <c r="A5860" s="5"/>
    </row>
    <row r="5861" spans="1:1" x14ac:dyDescent="0.25">
      <c r="A5861" s="5"/>
    </row>
    <row r="5862" spans="1:1" x14ac:dyDescent="0.25">
      <c r="A5862" s="5"/>
    </row>
    <row r="5863" spans="1:1" x14ac:dyDescent="0.25">
      <c r="A5863" s="5"/>
    </row>
    <row r="5864" spans="1:1" x14ac:dyDescent="0.25">
      <c r="A5864" s="5"/>
    </row>
    <row r="5865" spans="1:1" x14ac:dyDescent="0.25">
      <c r="A5865" s="5"/>
    </row>
    <row r="5866" spans="1:1" x14ac:dyDescent="0.25">
      <c r="A5866" s="5"/>
    </row>
    <row r="5867" spans="1:1" x14ac:dyDescent="0.25">
      <c r="A5867" s="5"/>
    </row>
    <row r="5868" spans="1:1" x14ac:dyDescent="0.25">
      <c r="A5868" s="5"/>
    </row>
    <row r="5869" spans="1:1" x14ac:dyDescent="0.25">
      <c r="A5869" s="5"/>
    </row>
    <row r="5870" spans="1:1" x14ac:dyDescent="0.25">
      <c r="A5870" s="5"/>
    </row>
    <row r="5871" spans="1:1" x14ac:dyDescent="0.25">
      <c r="A5871" s="5"/>
    </row>
    <row r="5872" spans="1:1" x14ac:dyDescent="0.25">
      <c r="A5872" s="5"/>
    </row>
    <row r="5873" spans="1:1" x14ac:dyDescent="0.25">
      <c r="A5873" s="5"/>
    </row>
    <row r="5874" spans="1:1" x14ac:dyDescent="0.25">
      <c r="A5874" s="5"/>
    </row>
    <row r="5875" spans="1:1" x14ac:dyDescent="0.25">
      <c r="A5875" s="5"/>
    </row>
    <row r="5876" spans="1:1" x14ac:dyDescent="0.25">
      <c r="A5876" s="5"/>
    </row>
    <row r="5877" spans="1:1" x14ac:dyDescent="0.25">
      <c r="A5877" s="5"/>
    </row>
    <row r="5878" spans="1:1" x14ac:dyDescent="0.25">
      <c r="A5878" s="5"/>
    </row>
    <row r="5879" spans="1:1" x14ac:dyDescent="0.25">
      <c r="A5879" s="5"/>
    </row>
    <row r="5880" spans="1:1" x14ac:dyDescent="0.25">
      <c r="A5880" s="5"/>
    </row>
    <row r="5881" spans="1:1" x14ac:dyDescent="0.25">
      <c r="A5881" s="5"/>
    </row>
    <row r="5882" spans="1:1" x14ac:dyDescent="0.25">
      <c r="A5882" s="5"/>
    </row>
    <row r="5883" spans="1:1" x14ac:dyDescent="0.25">
      <c r="A5883" s="5"/>
    </row>
    <row r="5884" spans="1:1" x14ac:dyDescent="0.25">
      <c r="A5884" s="5"/>
    </row>
    <row r="5885" spans="1:1" x14ac:dyDescent="0.25">
      <c r="A5885" s="5"/>
    </row>
    <row r="5886" spans="1:1" x14ac:dyDescent="0.25">
      <c r="A5886" s="5"/>
    </row>
    <row r="5887" spans="1:1" x14ac:dyDescent="0.25">
      <c r="A5887" s="5"/>
    </row>
    <row r="5888" spans="1:1" x14ac:dyDescent="0.25">
      <c r="A5888" s="5"/>
    </row>
    <row r="5889" spans="1:1" x14ac:dyDescent="0.25">
      <c r="A5889" s="5"/>
    </row>
    <row r="5890" spans="1:1" x14ac:dyDescent="0.25">
      <c r="A5890" s="5"/>
    </row>
    <row r="5891" spans="1:1" x14ac:dyDescent="0.25">
      <c r="A5891" s="5"/>
    </row>
    <row r="5892" spans="1:1" x14ac:dyDescent="0.25">
      <c r="A5892" s="5"/>
    </row>
    <row r="5893" spans="1:1" x14ac:dyDescent="0.25">
      <c r="A5893" s="5"/>
    </row>
    <row r="5894" spans="1:1" x14ac:dyDescent="0.25">
      <c r="A5894" s="5"/>
    </row>
    <row r="5895" spans="1:1" x14ac:dyDescent="0.25">
      <c r="A5895" s="5"/>
    </row>
    <row r="5896" spans="1:1" x14ac:dyDescent="0.25">
      <c r="A5896" s="5"/>
    </row>
    <row r="5897" spans="1:1" x14ac:dyDescent="0.25">
      <c r="A5897" s="5"/>
    </row>
    <row r="5898" spans="1:1" x14ac:dyDescent="0.25">
      <c r="A5898" s="5"/>
    </row>
    <row r="5899" spans="1:1" x14ac:dyDescent="0.25">
      <c r="A5899" s="5"/>
    </row>
    <row r="5900" spans="1:1" x14ac:dyDescent="0.25">
      <c r="A5900" s="5"/>
    </row>
    <row r="5901" spans="1:1" x14ac:dyDescent="0.25">
      <c r="A5901" s="5"/>
    </row>
    <row r="5902" spans="1:1" x14ac:dyDescent="0.25">
      <c r="A5902" s="5"/>
    </row>
    <row r="5903" spans="1:1" x14ac:dyDescent="0.25">
      <c r="A5903" s="5"/>
    </row>
    <row r="5904" spans="1:1" x14ac:dyDescent="0.25">
      <c r="A5904" s="5"/>
    </row>
    <row r="5905" spans="1:1" x14ac:dyDescent="0.25">
      <c r="A5905" s="5"/>
    </row>
    <row r="5906" spans="1:1" x14ac:dyDescent="0.25">
      <c r="A5906" s="5"/>
    </row>
    <row r="5907" spans="1:1" x14ac:dyDescent="0.25">
      <c r="A5907" s="5"/>
    </row>
    <row r="5908" spans="1:1" x14ac:dyDescent="0.25">
      <c r="A5908" s="5"/>
    </row>
    <row r="5909" spans="1:1" x14ac:dyDescent="0.25">
      <c r="A5909" s="5"/>
    </row>
    <row r="5910" spans="1:1" x14ac:dyDescent="0.25">
      <c r="A5910" s="5"/>
    </row>
    <row r="5911" spans="1:1" x14ac:dyDescent="0.25">
      <c r="A5911" s="5"/>
    </row>
    <row r="5912" spans="1:1" x14ac:dyDescent="0.25">
      <c r="A5912" s="5"/>
    </row>
    <row r="5913" spans="1:1" x14ac:dyDescent="0.25">
      <c r="A5913" s="5"/>
    </row>
    <row r="5914" spans="1:1" x14ac:dyDescent="0.25">
      <c r="A5914" s="5"/>
    </row>
    <row r="5915" spans="1:1" x14ac:dyDescent="0.25">
      <c r="A5915" s="5"/>
    </row>
    <row r="5916" spans="1:1" x14ac:dyDescent="0.25">
      <c r="A5916" s="5"/>
    </row>
    <row r="5917" spans="1:1" x14ac:dyDescent="0.25">
      <c r="A5917" s="5"/>
    </row>
    <row r="5918" spans="1:1" x14ac:dyDescent="0.25">
      <c r="A5918" s="5"/>
    </row>
    <row r="5919" spans="1:1" x14ac:dyDescent="0.25">
      <c r="A5919" s="5"/>
    </row>
    <row r="5920" spans="1:1" x14ac:dyDescent="0.25">
      <c r="A5920" s="5"/>
    </row>
    <row r="5921" spans="1:1" x14ac:dyDescent="0.25">
      <c r="A5921" s="5"/>
    </row>
    <row r="5922" spans="1:1" x14ac:dyDescent="0.25">
      <c r="A5922" s="5"/>
    </row>
    <row r="5923" spans="1:1" x14ac:dyDescent="0.25">
      <c r="A5923" s="5"/>
    </row>
    <row r="5924" spans="1:1" x14ac:dyDescent="0.25">
      <c r="A5924" s="5"/>
    </row>
    <row r="5925" spans="1:1" x14ac:dyDescent="0.25">
      <c r="A5925" s="5"/>
    </row>
    <row r="5926" spans="1:1" x14ac:dyDescent="0.25">
      <c r="A5926" s="5"/>
    </row>
    <row r="5927" spans="1:1" x14ac:dyDescent="0.25">
      <c r="A5927" s="5"/>
    </row>
    <row r="5928" spans="1:1" x14ac:dyDescent="0.25">
      <c r="A5928" s="5"/>
    </row>
    <row r="5929" spans="1:1" x14ac:dyDescent="0.25">
      <c r="A5929" s="5"/>
    </row>
    <row r="5930" spans="1:1" x14ac:dyDescent="0.25">
      <c r="A5930" s="5"/>
    </row>
    <row r="5931" spans="1:1" x14ac:dyDescent="0.25">
      <c r="A5931" s="5"/>
    </row>
    <row r="5932" spans="1:1" x14ac:dyDescent="0.25">
      <c r="A5932" s="5"/>
    </row>
    <row r="5933" spans="1:1" x14ac:dyDescent="0.25">
      <c r="A5933" s="5"/>
    </row>
    <row r="5934" spans="1:1" x14ac:dyDescent="0.25">
      <c r="A5934" s="5"/>
    </row>
    <row r="5935" spans="1:1" x14ac:dyDescent="0.25">
      <c r="A5935" s="5"/>
    </row>
    <row r="5936" spans="1:1" x14ac:dyDescent="0.25">
      <c r="A5936" s="5"/>
    </row>
    <row r="5937" spans="1:1" x14ac:dyDescent="0.25">
      <c r="A5937" s="5"/>
    </row>
    <row r="5938" spans="1:1" x14ac:dyDescent="0.25">
      <c r="A5938" s="5"/>
    </row>
    <row r="5939" spans="1:1" x14ac:dyDescent="0.25">
      <c r="A5939" s="5"/>
    </row>
    <row r="5940" spans="1:1" x14ac:dyDescent="0.25">
      <c r="A5940" s="5"/>
    </row>
    <row r="5941" spans="1:1" x14ac:dyDescent="0.25">
      <c r="A5941" s="5"/>
    </row>
    <row r="5942" spans="1:1" x14ac:dyDescent="0.25">
      <c r="A5942" s="5"/>
    </row>
    <row r="5943" spans="1:1" x14ac:dyDescent="0.25">
      <c r="A5943" s="5"/>
    </row>
    <row r="5944" spans="1:1" x14ac:dyDescent="0.25">
      <c r="A5944" s="5"/>
    </row>
    <row r="5945" spans="1:1" x14ac:dyDescent="0.25">
      <c r="A5945" s="5"/>
    </row>
    <row r="5946" spans="1:1" x14ac:dyDescent="0.25">
      <c r="A5946" s="5"/>
    </row>
    <row r="5947" spans="1:1" x14ac:dyDescent="0.25">
      <c r="A5947" s="5"/>
    </row>
    <row r="5948" spans="1:1" x14ac:dyDescent="0.25">
      <c r="A5948" s="5"/>
    </row>
    <row r="5949" spans="1:1" x14ac:dyDescent="0.25">
      <c r="A5949" s="5"/>
    </row>
    <row r="5950" spans="1:1" x14ac:dyDescent="0.25">
      <c r="A5950" s="5"/>
    </row>
    <row r="5951" spans="1:1" x14ac:dyDescent="0.25">
      <c r="A5951" s="5"/>
    </row>
    <row r="5952" spans="1:1" x14ac:dyDescent="0.25">
      <c r="A5952" s="5"/>
    </row>
    <row r="5953" spans="1:1" x14ac:dyDescent="0.25">
      <c r="A5953" s="5"/>
    </row>
    <row r="5954" spans="1:1" x14ac:dyDescent="0.25">
      <c r="A5954" s="5"/>
    </row>
    <row r="5955" spans="1:1" x14ac:dyDescent="0.25">
      <c r="A5955" s="5"/>
    </row>
    <row r="5956" spans="1:1" x14ac:dyDescent="0.25">
      <c r="A5956" s="5"/>
    </row>
    <row r="5957" spans="1:1" x14ac:dyDescent="0.25">
      <c r="A5957" s="5"/>
    </row>
    <row r="5958" spans="1:1" x14ac:dyDescent="0.25">
      <c r="A5958" s="5"/>
    </row>
    <row r="5959" spans="1:1" x14ac:dyDescent="0.25">
      <c r="A5959" s="5"/>
    </row>
    <row r="5960" spans="1:1" x14ac:dyDescent="0.25">
      <c r="A5960" s="5"/>
    </row>
    <row r="5961" spans="1:1" x14ac:dyDescent="0.25">
      <c r="A5961" s="5"/>
    </row>
    <row r="5962" spans="1:1" x14ac:dyDescent="0.25">
      <c r="A5962" s="5"/>
    </row>
    <row r="5963" spans="1:1" x14ac:dyDescent="0.25">
      <c r="A5963" s="5"/>
    </row>
    <row r="5964" spans="1:1" x14ac:dyDescent="0.25">
      <c r="A5964" s="5"/>
    </row>
    <row r="5965" spans="1:1" x14ac:dyDescent="0.25">
      <c r="A5965" s="5"/>
    </row>
    <row r="5966" spans="1:1" x14ac:dyDescent="0.25">
      <c r="A5966" s="5"/>
    </row>
    <row r="5967" spans="1:1" x14ac:dyDescent="0.25">
      <c r="A5967" s="5"/>
    </row>
    <row r="5968" spans="1:1" x14ac:dyDescent="0.25">
      <c r="A5968" s="5"/>
    </row>
    <row r="5969" spans="1:1" x14ac:dyDescent="0.25">
      <c r="A5969" s="5"/>
    </row>
    <row r="5970" spans="1:1" x14ac:dyDescent="0.25">
      <c r="A5970" s="5"/>
    </row>
    <row r="5971" spans="1:1" x14ac:dyDescent="0.25">
      <c r="A5971" s="5"/>
    </row>
    <row r="5972" spans="1:1" x14ac:dyDescent="0.25">
      <c r="A5972" s="5"/>
    </row>
    <row r="5973" spans="1:1" x14ac:dyDescent="0.25">
      <c r="A5973" s="5"/>
    </row>
    <row r="5974" spans="1:1" x14ac:dyDescent="0.25">
      <c r="A5974" s="5"/>
    </row>
    <row r="5975" spans="1:1" x14ac:dyDescent="0.25">
      <c r="A5975" s="5"/>
    </row>
    <row r="5976" spans="1:1" x14ac:dyDescent="0.25">
      <c r="A5976" s="5"/>
    </row>
    <row r="5977" spans="1:1" x14ac:dyDescent="0.25">
      <c r="A5977" s="5"/>
    </row>
    <row r="5978" spans="1:1" x14ac:dyDescent="0.25">
      <c r="A5978" s="5"/>
    </row>
    <row r="5979" spans="1:1" x14ac:dyDescent="0.25">
      <c r="A5979" s="5"/>
    </row>
    <row r="5980" spans="1:1" x14ac:dyDescent="0.25">
      <c r="A5980" s="5"/>
    </row>
    <row r="5981" spans="1:1" x14ac:dyDescent="0.25">
      <c r="A5981" s="5"/>
    </row>
    <row r="5982" spans="1:1" x14ac:dyDescent="0.25">
      <c r="A5982" s="5"/>
    </row>
    <row r="5983" spans="1:1" x14ac:dyDescent="0.25">
      <c r="A5983" s="5"/>
    </row>
    <row r="5984" spans="1:1" x14ac:dyDescent="0.25">
      <c r="A5984" s="5"/>
    </row>
    <row r="5985" spans="1:1" x14ac:dyDescent="0.25">
      <c r="A5985" s="5"/>
    </row>
    <row r="5986" spans="1:1" x14ac:dyDescent="0.25">
      <c r="A5986" s="5"/>
    </row>
    <row r="5987" spans="1:1" x14ac:dyDescent="0.25">
      <c r="A5987" s="5"/>
    </row>
    <row r="5988" spans="1:1" x14ac:dyDescent="0.25">
      <c r="A5988" s="5"/>
    </row>
    <row r="5989" spans="1:1" x14ac:dyDescent="0.25">
      <c r="A5989" s="5"/>
    </row>
    <row r="5990" spans="1:1" x14ac:dyDescent="0.25">
      <c r="A5990" s="5"/>
    </row>
    <row r="5991" spans="1:1" x14ac:dyDescent="0.25">
      <c r="A5991" s="5"/>
    </row>
    <row r="5992" spans="1:1" x14ac:dyDescent="0.25">
      <c r="A5992" s="5"/>
    </row>
    <row r="5993" spans="1:1" x14ac:dyDescent="0.25">
      <c r="A5993" s="5"/>
    </row>
    <row r="5994" spans="1:1" x14ac:dyDescent="0.25">
      <c r="A5994" s="5"/>
    </row>
    <row r="5995" spans="1:1" x14ac:dyDescent="0.25">
      <c r="A5995" s="5"/>
    </row>
    <row r="5996" spans="1:1" x14ac:dyDescent="0.25">
      <c r="A5996" s="5"/>
    </row>
    <row r="5997" spans="1:1" x14ac:dyDescent="0.25">
      <c r="A5997" s="5"/>
    </row>
    <row r="5998" spans="1:1" x14ac:dyDescent="0.25">
      <c r="A5998" s="5"/>
    </row>
    <row r="5999" spans="1:1" x14ac:dyDescent="0.25">
      <c r="A5999" s="5"/>
    </row>
    <row r="6000" spans="1:1" x14ac:dyDescent="0.25">
      <c r="A6000" s="5"/>
    </row>
    <row r="6001" spans="1:1" x14ac:dyDescent="0.25">
      <c r="A6001" s="5"/>
    </row>
    <row r="6002" spans="1:1" x14ac:dyDescent="0.25">
      <c r="A6002" s="5"/>
    </row>
    <row r="6003" spans="1:1" x14ac:dyDescent="0.25">
      <c r="A6003" s="5"/>
    </row>
    <row r="6004" spans="1:1" x14ac:dyDescent="0.25">
      <c r="A6004" s="5"/>
    </row>
    <row r="6005" spans="1:1" x14ac:dyDescent="0.25">
      <c r="A6005" s="5"/>
    </row>
    <row r="6006" spans="1:1" x14ac:dyDescent="0.25">
      <c r="A6006" s="5"/>
    </row>
    <row r="6007" spans="1:1" x14ac:dyDescent="0.25">
      <c r="A6007" s="5"/>
    </row>
    <row r="6008" spans="1:1" x14ac:dyDescent="0.25">
      <c r="A6008" s="5"/>
    </row>
    <row r="6009" spans="1:1" x14ac:dyDescent="0.25">
      <c r="A6009" s="5"/>
    </row>
    <row r="6010" spans="1:1" x14ac:dyDescent="0.25">
      <c r="A6010" s="5"/>
    </row>
    <row r="6011" spans="1:1" x14ac:dyDescent="0.25">
      <c r="A6011" s="5"/>
    </row>
    <row r="6012" spans="1:1" x14ac:dyDescent="0.25">
      <c r="A6012" s="5"/>
    </row>
    <row r="6013" spans="1:1" x14ac:dyDescent="0.25">
      <c r="A6013" s="5"/>
    </row>
    <row r="6014" spans="1:1" x14ac:dyDescent="0.25">
      <c r="A6014" s="5"/>
    </row>
    <row r="6015" spans="1:1" x14ac:dyDescent="0.25">
      <c r="A6015" s="5"/>
    </row>
    <row r="6016" spans="1:1" x14ac:dyDescent="0.25">
      <c r="A6016" s="5"/>
    </row>
    <row r="6017" spans="1:1" x14ac:dyDescent="0.25">
      <c r="A6017" s="5"/>
    </row>
    <row r="6018" spans="1:1" x14ac:dyDescent="0.25">
      <c r="A6018" s="5"/>
    </row>
    <row r="6019" spans="1:1" x14ac:dyDescent="0.25">
      <c r="A6019" s="5"/>
    </row>
    <row r="6020" spans="1:1" x14ac:dyDescent="0.25">
      <c r="A6020" s="5"/>
    </row>
    <row r="6021" spans="1:1" x14ac:dyDescent="0.25">
      <c r="A6021" s="5"/>
    </row>
    <row r="6022" spans="1:1" x14ac:dyDescent="0.25">
      <c r="A6022" s="5"/>
    </row>
    <row r="6023" spans="1:1" x14ac:dyDescent="0.25">
      <c r="A6023" s="5"/>
    </row>
    <row r="6024" spans="1:1" x14ac:dyDescent="0.25">
      <c r="A6024" s="5"/>
    </row>
    <row r="6025" spans="1:1" x14ac:dyDescent="0.25">
      <c r="A6025" s="5"/>
    </row>
    <row r="6026" spans="1:1" x14ac:dyDescent="0.25">
      <c r="A6026" s="5"/>
    </row>
    <row r="6027" spans="1:1" x14ac:dyDescent="0.25">
      <c r="A6027" s="5"/>
    </row>
    <row r="6028" spans="1:1" x14ac:dyDescent="0.25">
      <c r="A6028" s="5"/>
    </row>
    <row r="6029" spans="1:1" x14ac:dyDescent="0.25">
      <c r="A6029" s="5"/>
    </row>
    <row r="6030" spans="1:1" x14ac:dyDescent="0.25">
      <c r="A6030" s="5"/>
    </row>
    <row r="6031" spans="1:1" x14ac:dyDescent="0.25">
      <c r="A6031" s="5"/>
    </row>
    <row r="6032" spans="1:1" x14ac:dyDescent="0.25">
      <c r="A6032" s="5"/>
    </row>
    <row r="6033" spans="1:1" x14ac:dyDescent="0.25">
      <c r="A6033" s="5"/>
    </row>
    <row r="6034" spans="1:1" x14ac:dyDescent="0.25">
      <c r="A6034" s="5"/>
    </row>
    <row r="6035" spans="1:1" x14ac:dyDescent="0.25">
      <c r="A6035" s="5"/>
    </row>
    <row r="6036" spans="1:1" x14ac:dyDescent="0.25">
      <c r="A6036" s="5"/>
    </row>
    <row r="6037" spans="1:1" x14ac:dyDescent="0.25">
      <c r="A6037" s="5"/>
    </row>
    <row r="6038" spans="1:1" x14ac:dyDescent="0.25">
      <c r="A6038" s="5"/>
    </row>
    <row r="6039" spans="1:1" x14ac:dyDescent="0.25">
      <c r="A6039" s="5"/>
    </row>
    <row r="6040" spans="1:1" x14ac:dyDescent="0.25">
      <c r="A6040" s="5"/>
    </row>
    <row r="6041" spans="1:1" x14ac:dyDescent="0.25">
      <c r="A6041" s="5"/>
    </row>
    <row r="6042" spans="1:1" x14ac:dyDescent="0.25">
      <c r="A6042" s="5"/>
    </row>
    <row r="6043" spans="1:1" x14ac:dyDescent="0.25">
      <c r="A6043" s="5"/>
    </row>
    <row r="6044" spans="1:1" x14ac:dyDescent="0.25">
      <c r="A6044" s="5"/>
    </row>
    <row r="6045" spans="1:1" x14ac:dyDescent="0.25">
      <c r="A6045" s="5"/>
    </row>
    <row r="6046" spans="1:1" x14ac:dyDescent="0.25">
      <c r="A6046" s="5"/>
    </row>
    <row r="6047" spans="1:1" x14ac:dyDescent="0.25">
      <c r="A6047" s="5"/>
    </row>
    <row r="6048" spans="1:1" x14ac:dyDescent="0.25">
      <c r="A6048" s="5"/>
    </row>
    <row r="6049" spans="1:1" x14ac:dyDescent="0.25">
      <c r="A6049" s="5"/>
    </row>
    <row r="6050" spans="1:1" x14ac:dyDescent="0.25">
      <c r="A6050" s="5"/>
    </row>
    <row r="6051" spans="1:1" x14ac:dyDescent="0.25">
      <c r="A6051" s="5"/>
    </row>
    <row r="6052" spans="1:1" x14ac:dyDescent="0.25">
      <c r="A6052" s="5"/>
    </row>
    <row r="6053" spans="1:1" x14ac:dyDescent="0.25">
      <c r="A6053" s="5"/>
    </row>
    <row r="6054" spans="1:1" x14ac:dyDescent="0.25">
      <c r="A6054" s="5"/>
    </row>
    <row r="6055" spans="1:1" x14ac:dyDescent="0.25">
      <c r="A6055" s="5"/>
    </row>
    <row r="6056" spans="1:1" x14ac:dyDescent="0.25">
      <c r="A6056" s="5"/>
    </row>
    <row r="6057" spans="1:1" x14ac:dyDescent="0.25">
      <c r="A6057" s="5"/>
    </row>
    <row r="6058" spans="1:1" x14ac:dyDescent="0.25">
      <c r="A6058" s="5"/>
    </row>
    <row r="6059" spans="1:1" x14ac:dyDescent="0.25">
      <c r="A6059" s="5"/>
    </row>
    <row r="6060" spans="1:1" x14ac:dyDescent="0.25">
      <c r="A6060" s="5"/>
    </row>
    <row r="6061" spans="1:1" x14ac:dyDescent="0.25">
      <c r="A6061" s="5"/>
    </row>
    <row r="6062" spans="1:1" x14ac:dyDescent="0.25">
      <c r="A6062" s="5"/>
    </row>
    <row r="6063" spans="1:1" x14ac:dyDescent="0.25">
      <c r="A6063" s="5"/>
    </row>
    <row r="6064" spans="1:1" x14ac:dyDescent="0.25">
      <c r="A6064" s="5"/>
    </row>
    <row r="6065" spans="1:1" x14ac:dyDescent="0.25">
      <c r="A6065" s="5"/>
    </row>
    <row r="6066" spans="1:1" x14ac:dyDescent="0.25">
      <c r="A6066" s="5"/>
    </row>
    <row r="6067" spans="1:1" x14ac:dyDescent="0.25">
      <c r="A6067" s="5"/>
    </row>
    <row r="6068" spans="1:1" x14ac:dyDescent="0.25">
      <c r="A6068" s="5"/>
    </row>
    <row r="6069" spans="1:1" x14ac:dyDescent="0.25">
      <c r="A6069" s="5"/>
    </row>
    <row r="6070" spans="1:1" x14ac:dyDescent="0.25">
      <c r="A6070" s="5"/>
    </row>
    <row r="6071" spans="1:1" x14ac:dyDescent="0.25">
      <c r="A6071" s="5"/>
    </row>
    <row r="6072" spans="1:1" x14ac:dyDescent="0.25">
      <c r="A6072" s="5"/>
    </row>
    <row r="6073" spans="1:1" x14ac:dyDescent="0.25">
      <c r="A6073" s="5"/>
    </row>
    <row r="6074" spans="1:1" x14ac:dyDescent="0.25">
      <c r="A6074" s="5"/>
    </row>
    <row r="6075" spans="1:1" x14ac:dyDescent="0.25">
      <c r="A6075" s="5"/>
    </row>
    <row r="6076" spans="1:1" x14ac:dyDescent="0.25">
      <c r="A6076" s="5"/>
    </row>
    <row r="6077" spans="1:1" x14ac:dyDescent="0.25">
      <c r="A6077" s="5"/>
    </row>
    <row r="6078" spans="1:1" x14ac:dyDescent="0.25">
      <c r="A6078" s="5"/>
    </row>
    <row r="6079" spans="1:1" x14ac:dyDescent="0.25">
      <c r="A6079" s="5"/>
    </row>
    <row r="6080" spans="1:1" x14ac:dyDescent="0.25">
      <c r="A6080" s="5"/>
    </row>
    <row r="6081" spans="1:1" x14ac:dyDescent="0.25">
      <c r="A6081" s="5"/>
    </row>
    <row r="6082" spans="1:1" x14ac:dyDescent="0.25">
      <c r="A6082" s="5"/>
    </row>
    <row r="6083" spans="1:1" x14ac:dyDescent="0.25">
      <c r="A6083" s="5"/>
    </row>
    <row r="6084" spans="1:1" x14ac:dyDescent="0.25">
      <c r="A6084" s="5"/>
    </row>
    <row r="6085" spans="1:1" x14ac:dyDescent="0.25">
      <c r="A6085" s="5"/>
    </row>
    <row r="6086" spans="1:1" x14ac:dyDescent="0.25">
      <c r="A6086" s="5"/>
    </row>
    <row r="6087" spans="1:1" x14ac:dyDescent="0.25">
      <c r="A6087" s="5"/>
    </row>
    <row r="6088" spans="1:1" x14ac:dyDescent="0.25">
      <c r="A6088" s="5"/>
    </row>
    <row r="6089" spans="1:1" x14ac:dyDescent="0.25">
      <c r="A6089" s="5"/>
    </row>
    <row r="6090" spans="1:1" x14ac:dyDescent="0.25">
      <c r="A6090" s="5"/>
    </row>
    <row r="6091" spans="1:1" x14ac:dyDescent="0.25">
      <c r="A6091" s="5"/>
    </row>
    <row r="6092" spans="1:1" x14ac:dyDescent="0.25">
      <c r="A6092" s="5"/>
    </row>
    <row r="6093" spans="1:1" x14ac:dyDescent="0.25">
      <c r="A6093" s="5"/>
    </row>
    <row r="6094" spans="1:1" x14ac:dyDescent="0.25">
      <c r="A6094" s="5"/>
    </row>
    <row r="6095" spans="1:1" x14ac:dyDescent="0.25">
      <c r="A6095" s="5"/>
    </row>
    <row r="6096" spans="1:1" x14ac:dyDescent="0.25">
      <c r="A6096" s="5"/>
    </row>
    <row r="6097" spans="1:1" x14ac:dyDescent="0.25">
      <c r="A6097" s="5"/>
    </row>
    <row r="6098" spans="1:1" x14ac:dyDescent="0.25">
      <c r="A6098" s="5"/>
    </row>
    <row r="6099" spans="1:1" x14ac:dyDescent="0.25">
      <c r="A6099" s="5"/>
    </row>
    <row r="6100" spans="1:1" x14ac:dyDescent="0.25">
      <c r="A6100" s="5"/>
    </row>
    <row r="6101" spans="1:1" x14ac:dyDescent="0.25">
      <c r="A6101" s="5"/>
    </row>
    <row r="6102" spans="1:1" x14ac:dyDescent="0.25">
      <c r="A6102" s="5"/>
    </row>
    <row r="6103" spans="1:1" x14ac:dyDescent="0.25">
      <c r="A6103" s="5"/>
    </row>
    <row r="6104" spans="1:1" x14ac:dyDescent="0.25">
      <c r="A6104" s="5"/>
    </row>
    <row r="6105" spans="1:1" x14ac:dyDescent="0.25">
      <c r="A6105" s="5"/>
    </row>
    <row r="6106" spans="1:1" x14ac:dyDescent="0.25">
      <c r="A6106" s="5"/>
    </row>
    <row r="6107" spans="1:1" x14ac:dyDescent="0.25">
      <c r="A6107" s="5"/>
    </row>
    <row r="6108" spans="1:1" x14ac:dyDescent="0.25">
      <c r="A6108" s="5"/>
    </row>
    <row r="6109" spans="1:1" x14ac:dyDescent="0.25">
      <c r="A6109" s="5"/>
    </row>
    <row r="6110" spans="1:1" x14ac:dyDescent="0.25">
      <c r="A6110" s="5"/>
    </row>
    <row r="6111" spans="1:1" x14ac:dyDescent="0.25">
      <c r="A6111" s="5"/>
    </row>
    <row r="6112" spans="1:1" x14ac:dyDescent="0.25">
      <c r="A6112" s="5"/>
    </row>
    <row r="6113" spans="1:1" x14ac:dyDescent="0.25">
      <c r="A6113" s="5"/>
    </row>
    <row r="6114" spans="1:1" x14ac:dyDescent="0.25">
      <c r="A6114" s="5"/>
    </row>
    <row r="6115" spans="1:1" x14ac:dyDescent="0.25">
      <c r="A6115" s="5"/>
    </row>
    <row r="6116" spans="1:1" x14ac:dyDescent="0.25">
      <c r="A6116" s="5"/>
    </row>
    <row r="6117" spans="1:1" x14ac:dyDescent="0.25">
      <c r="A6117" s="5"/>
    </row>
    <row r="6118" spans="1:1" x14ac:dyDescent="0.25">
      <c r="A6118" s="5"/>
    </row>
    <row r="6119" spans="1:1" x14ac:dyDescent="0.25">
      <c r="A6119" s="5"/>
    </row>
    <row r="6120" spans="1:1" x14ac:dyDescent="0.25">
      <c r="A6120" s="5"/>
    </row>
    <row r="6121" spans="1:1" x14ac:dyDescent="0.25">
      <c r="A6121" s="5"/>
    </row>
    <row r="6122" spans="1:1" x14ac:dyDescent="0.25">
      <c r="A6122" s="5"/>
    </row>
    <row r="6123" spans="1:1" x14ac:dyDescent="0.25">
      <c r="A6123" s="5"/>
    </row>
    <row r="6124" spans="1:1" x14ac:dyDescent="0.25">
      <c r="A6124" s="5"/>
    </row>
    <row r="6125" spans="1:1" x14ac:dyDescent="0.25">
      <c r="A6125" s="5"/>
    </row>
    <row r="6126" spans="1:1" x14ac:dyDescent="0.25">
      <c r="A6126" s="5"/>
    </row>
    <row r="6127" spans="1:1" x14ac:dyDescent="0.25">
      <c r="A6127" s="5"/>
    </row>
    <row r="6128" spans="1:1" x14ac:dyDescent="0.25">
      <c r="A6128" s="5"/>
    </row>
    <row r="6129" spans="1:1" x14ac:dyDescent="0.25">
      <c r="A6129" s="5"/>
    </row>
    <row r="6130" spans="1:1" x14ac:dyDescent="0.25">
      <c r="A6130" s="5"/>
    </row>
    <row r="6131" spans="1:1" x14ac:dyDescent="0.25">
      <c r="A6131" s="5"/>
    </row>
    <row r="6132" spans="1:1" x14ac:dyDescent="0.25">
      <c r="A6132" s="5"/>
    </row>
    <row r="6133" spans="1:1" x14ac:dyDescent="0.25">
      <c r="A6133" s="5"/>
    </row>
    <row r="6134" spans="1:1" x14ac:dyDescent="0.25">
      <c r="A6134" s="5"/>
    </row>
    <row r="6135" spans="1:1" x14ac:dyDescent="0.25">
      <c r="A6135" s="5"/>
    </row>
    <row r="6136" spans="1:1" x14ac:dyDescent="0.25">
      <c r="A6136" s="5"/>
    </row>
    <row r="6137" spans="1:1" x14ac:dyDescent="0.25">
      <c r="A6137" s="5"/>
    </row>
    <row r="6138" spans="1:1" x14ac:dyDescent="0.25">
      <c r="A6138" s="5"/>
    </row>
    <row r="6139" spans="1:1" x14ac:dyDescent="0.25">
      <c r="A6139" s="5"/>
    </row>
    <row r="6140" spans="1:1" x14ac:dyDescent="0.25">
      <c r="A6140" s="5"/>
    </row>
    <row r="6141" spans="1:1" x14ac:dyDescent="0.25">
      <c r="A6141" s="5"/>
    </row>
    <row r="6142" spans="1:1" x14ac:dyDescent="0.25">
      <c r="A6142" s="5"/>
    </row>
    <row r="6143" spans="1:1" x14ac:dyDescent="0.25">
      <c r="A6143" s="5"/>
    </row>
    <row r="6144" spans="1:1" x14ac:dyDescent="0.25">
      <c r="A6144" s="5"/>
    </row>
    <row r="6145" spans="1:1" x14ac:dyDescent="0.25">
      <c r="A6145" s="5"/>
    </row>
    <row r="6146" spans="1:1" x14ac:dyDescent="0.25">
      <c r="A6146" s="5"/>
    </row>
    <row r="6147" spans="1:1" x14ac:dyDescent="0.25">
      <c r="A6147" s="5"/>
    </row>
    <row r="6148" spans="1:1" x14ac:dyDescent="0.25">
      <c r="A6148" s="5"/>
    </row>
    <row r="6149" spans="1:1" x14ac:dyDescent="0.25">
      <c r="A6149" s="5"/>
    </row>
    <row r="6150" spans="1:1" x14ac:dyDescent="0.25">
      <c r="A6150" s="5"/>
    </row>
    <row r="6151" spans="1:1" x14ac:dyDescent="0.25">
      <c r="A6151" s="5"/>
    </row>
    <row r="6152" spans="1:1" x14ac:dyDescent="0.25">
      <c r="A6152" s="5"/>
    </row>
    <row r="6153" spans="1:1" x14ac:dyDescent="0.25">
      <c r="A6153" s="5"/>
    </row>
    <row r="6154" spans="1:1" x14ac:dyDescent="0.25">
      <c r="A6154" s="5"/>
    </row>
    <row r="6155" spans="1:1" x14ac:dyDescent="0.25">
      <c r="A6155" s="5"/>
    </row>
    <row r="6156" spans="1:1" x14ac:dyDescent="0.25">
      <c r="A6156" s="5"/>
    </row>
    <row r="6157" spans="1:1" x14ac:dyDescent="0.25">
      <c r="A6157" s="5"/>
    </row>
    <row r="6158" spans="1:1" x14ac:dyDescent="0.25">
      <c r="A6158" s="5"/>
    </row>
    <row r="6159" spans="1:1" x14ac:dyDescent="0.25">
      <c r="A6159" s="5"/>
    </row>
    <row r="6160" spans="1:1" x14ac:dyDescent="0.25">
      <c r="A6160" s="5"/>
    </row>
    <row r="6161" spans="1:1" x14ac:dyDescent="0.25">
      <c r="A6161" s="5"/>
    </row>
    <row r="6162" spans="1:1" x14ac:dyDescent="0.25">
      <c r="A6162" s="5"/>
    </row>
    <row r="6163" spans="1:1" x14ac:dyDescent="0.25">
      <c r="A6163" s="5"/>
    </row>
    <row r="6164" spans="1:1" x14ac:dyDescent="0.25">
      <c r="A6164" s="5"/>
    </row>
    <row r="6165" spans="1:1" x14ac:dyDescent="0.25">
      <c r="A6165" s="5"/>
    </row>
    <row r="6166" spans="1:1" x14ac:dyDescent="0.25">
      <c r="A6166" s="5"/>
    </row>
    <row r="6167" spans="1:1" x14ac:dyDescent="0.25">
      <c r="A6167" s="5"/>
    </row>
    <row r="6168" spans="1:1" x14ac:dyDescent="0.25">
      <c r="A6168" s="5"/>
    </row>
    <row r="6169" spans="1:1" x14ac:dyDescent="0.25">
      <c r="A6169" s="5"/>
    </row>
    <row r="6170" spans="1:1" x14ac:dyDescent="0.25">
      <c r="A6170" s="5"/>
    </row>
    <row r="6171" spans="1:1" x14ac:dyDescent="0.25">
      <c r="A6171" s="5"/>
    </row>
    <row r="6172" spans="1:1" x14ac:dyDescent="0.25">
      <c r="A6172" s="5"/>
    </row>
    <row r="6173" spans="1:1" x14ac:dyDescent="0.25">
      <c r="A6173" s="5"/>
    </row>
    <row r="6174" spans="1:1" x14ac:dyDescent="0.25">
      <c r="A6174" s="5"/>
    </row>
    <row r="6175" spans="1:1" x14ac:dyDescent="0.25">
      <c r="A6175" s="5"/>
    </row>
    <row r="6176" spans="1:1" x14ac:dyDescent="0.25">
      <c r="A6176" s="5"/>
    </row>
    <row r="6177" spans="1:1" x14ac:dyDescent="0.25">
      <c r="A6177" s="5"/>
    </row>
    <row r="6178" spans="1:1" x14ac:dyDescent="0.25">
      <c r="A6178" s="5"/>
    </row>
    <row r="6179" spans="1:1" x14ac:dyDescent="0.25">
      <c r="A6179" s="5"/>
    </row>
    <row r="6180" spans="1:1" x14ac:dyDescent="0.25">
      <c r="A6180" s="5"/>
    </row>
    <row r="6181" spans="1:1" x14ac:dyDescent="0.25">
      <c r="A6181" s="5"/>
    </row>
    <row r="6182" spans="1:1" x14ac:dyDescent="0.25">
      <c r="A6182" s="5"/>
    </row>
    <row r="6183" spans="1:1" x14ac:dyDescent="0.25">
      <c r="A6183" s="5"/>
    </row>
    <row r="6184" spans="1:1" x14ac:dyDescent="0.25">
      <c r="A6184" s="5"/>
    </row>
    <row r="6185" spans="1:1" x14ac:dyDescent="0.25">
      <c r="A6185" s="5"/>
    </row>
    <row r="6186" spans="1:1" x14ac:dyDescent="0.25">
      <c r="A6186" s="5"/>
    </row>
    <row r="6187" spans="1:1" x14ac:dyDescent="0.25">
      <c r="A6187" s="5"/>
    </row>
    <row r="6188" spans="1:1" x14ac:dyDescent="0.25">
      <c r="A6188" s="5"/>
    </row>
    <row r="6189" spans="1:1" x14ac:dyDescent="0.25">
      <c r="A6189" s="5"/>
    </row>
    <row r="6190" spans="1:1" x14ac:dyDescent="0.25">
      <c r="A6190" s="5"/>
    </row>
    <row r="6191" spans="1:1" x14ac:dyDescent="0.25">
      <c r="A6191" s="5"/>
    </row>
    <row r="6192" spans="1:1" x14ac:dyDescent="0.25">
      <c r="A6192" s="5"/>
    </row>
    <row r="6193" spans="1:1" x14ac:dyDescent="0.25">
      <c r="A6193" s="5"/>
    </row>
    <row r="6194" spans="1:1" x14ac:dyDescent="0.25">
      <c r="A6194" s="5"/>
    </row>
    <row r="6195" spans="1:1" x14ac:dyDescent="0.25">
      <c r="A6195" s="5"/>
    </row>
    <row r="6196" spans="1:1" x14ac:dyDescent="0.25">
      <c r="A6196" s="5"/>
    </row>
    <row r="6197" spans="1:1" x14ac:dyDescent="0.25">
      <c r="A6197" s="5"/>
    </row>
    <row r="6198" spans="1:1" x14ac:dyDescent="0.25">
      <c r="A6198" s="5"/>
    </row>
    <row r="6199" spans="1:1" x14ac:dyDescent="0.25">
      <c r="A6199" s="5"/>
    </row>
    <row r="6200" spans="1:1" x14ac:dyDescent="0.25">
      <c r="A6200" s="5"/>
    </row>
    <row r="6201" spans="1:1" x14ac:dyDescent="0.25">
      <c r="A6201" s="5"/>
    </row>
    <row r="6202" spans="1:1" x14ac:dyDescent="0.25">
      <c r="A6202" s="5"/>
    </row>
    <row r="6203" spans="1:1" x14ac:dyDescent="0.25">
      <c r="A6203" s="5"/>
    </row>
    <row r="6204" spans="1:1" x14ac:dyDescent="0.25">
      <c r="A6204" s="5"/>
    </row>
    <row r="6205" spans="1:1" x14ac:dyDescent="0.25">
      <c r="A6205" s="5"/>
    </row>
    <row r="6206" spans="1:1" x14ac:dyDescent="0.25">
      <c r="A6206" s="5"/>
    </row>
    <row r="6207" spans="1:1" x14ac:dyDescent="0.25">
      <c r="A6207" s="5"/>
    </row>
    <row r="6208" spans="1:1" x14ac:dyDescent="0.25">
      <c r="A6208" s="5"/>
    </row>
    <row r="6209" spans="1:1" x14ac:dyDescent="0.25">
      <c r="A6209" s="5"/>
    </row>
    <row r="6210" spans="1:1" x14ac:dyDescent="0.25">
      <c r="A6210" s="5"/>
    </row>
    <row r="6211" spans="1:1" x14ac:dyDescent="0.25">
      <c r="A6211" s="5"/>
    </row>
    <row r="6212" spans="1:1" x14ac:dyDescent="0.25">
      <c r="A6212" s="5"/>
    </row>
    <row r="6213" spans="1:1" x14ac:dyDescent="0.25">
      <c r="A6213" s="5"/>
    </row>
    <row r="6214" spans="1:1" x14ac:dyDescent="0.25">
      <c r="A6214" s="5"/>
    </row>
    <row r="6215" spans="1:1" x14ac:dyDescent="0.25">
      <c r="A6215" s="5"/>
    </row>
    <row r="6216" spans="1:1" x14ac:dyDescent="0.25">
      <c r="A6216" s="5"/>
    </row>
    <row r="6217" spans="1:1" x14ac:dyDescent="0.25">
      <c r="A6217" s="5"/>
    </row>
    <row r="6218" spans="1:1" x14ac:dyDescent="0.25">
      <c r="A6218" s="5"/>
    </row>
    <row r="6219" spans="1:1" x14ac:dyDescent="0.25">
      <c r="A6219" s="5"/>
    </row>
    <row r="6220" spans="1:1" x14ac:dyDescent="0.25">
      <c r="A6220" s="5"/>
    </row>
    <row r="6221" spans="1:1" x14ac:dyDescent="0.25">
      <c r="A6221" s="5"/>
    </row>
    <row r="6222" spans="1:1" x14ac:dyDescent="0.25">
      <c r="A6222" s="5"/>
    </row>
    <row r="6223" spans="1:1" x14ac:dyDescent="0.25">
      <c r="A6223" s="5"/>
    </row>
    <row r="6224" spans="1:1" x14ac:dyDescent="0.25">
      <c r="A6224" s="5"/>
    </row>
    <row r="6225" spans="1:1" x14ac:dyDescent="0.25">
      <c r="A6225" s="5"/>
    </row>
    <row r="6226" spans="1:1" x14ac:dyDescent="0.25">
      <c r="A6226" s="5"/>
    </row>
    <row r="6227" spans="1:1" x14ac:dyDescent="0.25">
      <c r="A6227" s="5"/>
    </row>
    <row r="6228" spans="1:1" x14ac:dyDescent="0.25">
      <c r="A6228" s="5"/>
    </row>
    <row r="6229" spans="1:1" x14ac:dyDescent="0.25">
      <c r="A6229" s="5"/>
    </row>
    <row r="6230" spans="1:1" x14ac:dyDescent="0.25">
      <c r="A6230" s="5"/>
    </row>
    <row r="6231" spans="1:1" x14ac:dyDescent="0.25">
      <c r="A6231" s="5"/>
    </row>
    <row r="6232" spans="1:1" x14ac:dyDescent="0.25">
      <c r="A6232" s="5"/>
    </row>
    <row r="6233" spans="1:1" x14ac:dyDescent="0.25">
      <c r="A6233" s="5"/>
    </row>
    <row r="6234" spans="1:1" x14ac:dyDescent="0.25">
      <c r="A6234" s="5"/>
    </row>
    <row r="6235" spans="1:1" x14ac:dyDescent="0.25">
      <c r="A6235" s="5"/>
    </row>
    <row r="6236" spans="1:1" x14ac:dyDescent="0.25">
      <c r="A6236" s="5"/>
    </row>
    <row r="6237" spans="1:1" x14ac:dyDescent="0.25">
      <c r="A6237" s="5"/>
    </row>
    <row r="6238" spans="1:1" x14ac:dyDescent="0.25">
      <c r="A6238" s="5"/>
    </row>
    <row r="6239" spans="1:1" x14ac:dyDescent="0.25">
      <c r="A6239" s="5"/>
    </row>
    <row r="6240" spans="1:1" x14ac:dyDescent="0.25">
      <c r="A6240" s="5"/>
    </row>
    <row r="6241" spans="1:1" x14ac:dyDescent="0.25">
      <c r="A6241" s="5"/>
    </row>
    <row r="6242" spans="1:1" x14ac:dyDescent="0.25">
      <c r="A6242" s="5"/>
    </row>
    <row r="6243" spans="1:1" x14ac:dyDescent="0.25">
      <c r="A6243" s="5"/>
    </row>
    <row r="6244" spans="1:1" x14ac:dyDescent="0.25">
      <c r="A6244" s="5"/>
    </row>
    <row r="6245" spans="1:1" x14ac:dyDescent="0.25">
      <c r="A6245" s="5"/>
    </row>
    <row r="6246" spans="1:1" x14ac:dyDescent="0.25">
      <c r="A6246" s="5"/>
    </row>
    <row r="6247" spans="1:1" x14ac:dyDescent="0.25">
      <c r="A6247" s="5"/>
    </row>
    <row r="6248" spans="1:1" x14ac:dyDescent="0.25">
      <c r="A6248" s="5"/>
    </row>
    <row r="6249" spans="1:1" x14ac:dyDescent="0.25">
      <c r="A6249" s="5"/>
    </row>
    <row r="6250" spans="1:1" x14ac:dyDescent="0.25">
      <c r="A6250" s="5"/>
    </row>
    <row r="6251" spans="1:1" x14ac:dyDescent="0.25">
      <c r="A6251" s="5"/>
    </row>
    <row r="6252" spans="1:1" x14ac:dyDescent="0.25">
      <c r="A6252" s="5"/>
    </row>
    <row r="6253" spans="1:1" x14ac:dyDescent="0.25">
      <c r="A6253" s="5"/>
    </row>
    <row r="6254" spans="1:1" x14ac:dyDescent="0.25">
      <c r="A6254" s="5"/>
    </row>
    <row r="6255" spans="1:1" x14ac:dyDescent="0.25">
      <c r="A6255" s="5"/>
    </row>
    <row r="6256" spans="1:1" x14ac:dyDescent="0.25">
      <c r="A6256" s="5"/>
    </row>
    <row r="6257" spans="1:1" x14ac:dyDescent="0.25">
      <c r="A6257" s="5"/>
    </row>
    <row r="6258" spans="1:1" x14ac:dyDescent="0.25">
      <c r="A6258" s="5"/>
    </row>
    <row r="6259" spans="1:1" x14ac:dyDescent="0.25">
      <c r="A6259" s="5"/>
    </row>
    <row r="6260" spans="1:1" x14ac:dyDescent="0.25">
      <c r="A6260" s="5"/>
    </row>
    <row r="6261" spans="1:1" x14ac:dyDescent="0.25">
      <c r="A6261" s="5"/>
    </row>
    <row r="6262" spans="1:1" x14ac:dyDescent="0.25">
      <c r="A6262" s="5"/>
    </row>
    <row r="6263" spans="1:1" x14ac:dyDescent="0.25">
      <c r="A6263" s="5"/>
    </row>
    <row r="6264" spans="1:1" x14ac:dyDescent="0.25">
      <c r="A6264" s="5"/>
    </row>
    <row r="6265" spans="1:1" x14ac:dyDescent="0.25">
      <c r="A6265" s="5"/>
    </row>
    <row r="6266" spans="1:1" x14ac:dyDescent="0.25">
      <c r="A6266" s="5"/>
    </row>
    <row r="6267" spans="1:1" x14ac:dyDescent="0.25">
      <c r="A6267" s="5"/>
    </row>
    <row r="6268" spans="1:1" x14ac:dyDescent="0.25">
      <c r="A6268" s="5"/>
    </row>
    <row r="6269" spans="1:1" x14ac:dyDescent="0.25">
      <c r="A6269" s="5"/>
    </row>
    <row r="6270" spans="1:1" x14ac:dyDescent="0.25">
      <c r="A6270" s="5"/>
    </row>
    <row r="6271" spans="1:1" x14ac:dyDescent="0.25">
      <c r="A6271" s="5"/>
    </row>
    <row r="6272" spans="1:1" x14ac:dyDescent="0.25">
      <c r="A6272" s="5"/>
    </row>
    <row r="6273" spans="1:1" x14ac:dyDescent="0.25">
      <c r="A6273" s="5"/>
    </row>
    <row r="6274" spans="1:1" x14ac:dyDescent="0.25">
      <c r="A6274" s="5"/>
    </row>
    <row r="6275" spans="1:1" x14ac:dyDescent="0.25">
      <c r="A6275" s="5"/>
    </row>
    <row r="6276" spans="1:1" x14ac:dyDescent="0.25">
      <c r="A6276" s="5"/>
    </row>
    <row r="6277" spans="1:1" x14ac:dyDescent="0.25">
      <c r="A6277" s="5"/>
    </row>
    <row r="6278" spans="1:1" x14ac:dyDescent="0.25">
      <c r="A6278" s="5"/>
    </row>
    <row r="6279" spans="1:1" x14ac:dyDescent="0.25">
      <c r="A6279" s="5"/>
    </row>
    <row r="6280" spans="1:1" x14ac:dyDescent="0.25">
      <c r="A6280" s="5"/>
    </row>
    <row r="6281" spans="1:1" x14ac:dyDescent="0.25">
      <c r="A6281" s="5"/>
    </row>
    <row r="6282" spans="1:1" x14ac:dyDescent="0.25">
      <c r="A6282" s="5"/>
    </row>
    <row r="6283" spans="1:1" x14ac:dyDescent="0.25">
      <c r="A6283" s="5"/>
    </row>
    <row r="6284" spans="1:1" x14ac:dyDescent="0.25">
      <c r="A6284" s="5"/>
    </row>
    <row r="6285" spans="1:1" x14ac:dyDescent="0.25">
      <c r="A6285" s="5"/>
    </row>
    <row r="6286" spans="1:1" x14ac:dyDescent="0.25">
      <c r="A6286" s="5"/>
    </row>
    <row r="6287" spans="1:1" x14ac:dyDescent="0.25">
      <c r="A6287" s="5"/>
    </row>
    <row r="6288" spans="1:1" x14ac:dyDescent="0.25">
      <c r="A6288" s="5"/>
    </row>
    <row r="6289" spans="1:1" x14ac:dyDescent="0.25">
      <c r="A6289" s="5"/>
    </row>
    <row r="6290" spans="1:1" x14ac:dyDescent="0.25">
      <c r="A6290" s="5"/>
    </row>
    <row r="6291" spans="1:1" x14ac:dyDescent="0.25">
      <c r="A6291" s="5"/>
    </row>
    <row r="6292" spans="1:1" x14ac:dyDescent="0.25">
      <c r="A6292" s="5"/>
    </row>
    <row r="6293" spans="1:1" x14ac:dyDescent="0.25">
      <c r="A6293" s="5"/>
    </row>
    <row r="6294" spans="1:1" x14ac:dyDescent="0.25">
      <c r="A6294" s="5"/>
    </row>
    <row r="6295" spans="1:1" x14ac:dyDescent="0.25">
      <c r="A6295" s="5"/>
    </row>
    <row r="6296" spans="1:1" x14ac:dyDescent="0.25">
      <c r="A6296" s="5"/>
    </row>
    <row r="6297" spans="1:1" x14ac:dyDescent="0.25">
      <c r="A6297" s="5"/>
    </row>
    <row r="6298" spans="1:1" x14ac:dyDescent="0.25">
      <c r="A6298" s="5"/>
    </row>
    <row r="6299" spans="1:1" x14ac:dyDescent="0.25">
      <c r="A6299" s="5"/>
    </row>
    <row r="6300" spans="1:1" x14ac:dyDescent="0.25">
      <c r="A6300" s="5"/>
    </row>
    <row r="6301" spans="1:1" x14ac:dyDescent="0.25">
      <c r="A6301" s="5"/>
    </row>
    <row r="6302" spans="1:1" x14ac:dyDescent="0.25">
      <c r="A6302" s="5"/>
    </row>
    <row r="6303" spans="1:1" x14ac:dyDescent="0.25">
      <c r="A6303" s="5"/>
    </row>
    <row r="6304" spans="1:1" x14ac:dyDescent="0.25">
      <c r="A6304" s="5"/>
    </row>
    <row r="6305" spans="1:1" x14ac:dyDescent="0.25">
      <c r="A6305" s="5"/>
    </row>
    <row r="6306" spans="1:1" x14ac:dyDescent="0.25">
      <c r="A6306" s="5"/>
    </row>
    <row r="6307" spans="1:1" x14ac:dyDescent="0.25">
      <c r="A6307" s="5"/>
    </row>
    <row r="6308" spans="1:1" x14ac:dyDescent="0.25">
      <c r="A6308" s="5"/>
    </row>
    <row r="6309" spans="1:1" x14ac:dyDescent="0.25">
      <c r="A6309" s="5"/>
    </row>
    <row r="6310" spans="1:1" x14ac:dyDescent="0.25">
      <c r="A6310" s="5"/>
    </row>
    <row r="6311" spans="1:1" x14ac:dyDescent="0.25">
      <c r="A6311" s="5"/>
    </row>
    <row r="6312" spans="1:1" x14ac:dyDescent="0.25">
      <c r="A6312" s="5"/>
    </row>
    <row r="6313" spans="1:1" x14ac:dyDescent="0.25">
      <c r="A6313" s="5"/>
    </row>
    <row r="6314" spans="1:1" x14ac:dyDescent="0.25">
      <c r="A6314" s="5"/>
    </row>
    <row r="6315" spans="1:1" x14ac:dyDescent="0.25">
      <c r="A6315" s="5"/>
    </row>
    <row r="6316" spans="1:1" x14ac:dyDescent="0.25">
      <c r="A6316" s="5"/>
    </row>
    <row r="6317" spans="1:1" x14ac:dyDescent="0.25">
      <c r="A6317" s="5"/>
    </row>
    <row r="6318" spans="1:1" x14ac:dyDescent="0.25">
      <c r="A6318" s="5"/>
    </row>
    <row r="6319" spans="1:1" x14ac:dyDescent="0.25">
      <c r="A6319" s="5"/>
    </row>
    <row r="6320" spans="1:1" x14ac:dyDescent="0.25">
      <c r="A6320" s="5"/>
    </row>
    <row r="6321" spans="1:1" x14ac:dyDescent="0.25">
      <c r="A6321" s="5"/>
    </row>
    <row r="6322" spans="1:1" x14ac:dyDescent="0.25">
      <c r="A6322" s="5"/>
    </row>
    <row r="6323" spans="1:1" x14ac:dyDescent="0.25">
      <c r="A6323" s="5"/>
    </row>
    <row r="6324" spans="1:1" x14ac:dyDescent="0.25">
      <c r="A6324" s="5"/>
    </row>
    <row r="6325" spans="1:1" x14ac:dyDescent="0.25">
      <c r="A6325" s="5"/>
    </row>
    <row r="6326" spans="1:1" x14ac:dyDescent="0.25">
      <c r="A6326" s="5"/>
    </row>
    <row r="6327" spans="1:1" x14ac:dyDescent="0.25">
      <c r="A6327" s="5"/>
    </row>
    <row r="6328" spans="1:1" x14ac:dyDescent="0.25">
      <c r="A6328" s="5"/>
    </row>
    <row r="6329" spans="1:1" x14ac:dyDescent="0.25">
      <c r="A6329" s="5"/>
    </row>
    <row r="6330" spans="1:1" x14ac:dyDescent="0.25">
      <c r="A6330" s="5"/>
    </row>
    <row r="6331" spans="1:1" x14ac:dyDescent="0.25">
      <c r="A6331" s="5"/>
    </row>
    <row r="6332" spans="1:1" x14ac:dyDescent="0.25">
      <c r="A6332" s="5"/>
    </row>
    <row r="6333" spans="1:1" x14ac:dyDescent="0.25">
      <c r="A6333" s="5"/>
    </row>
    <row r="6334" spans="1:1" x14ac:dyDescent="0.25">
      <c r="A6334" s="5"/>
    </row>
    <row r="6335" spans="1:1" x14ac:dyDescent="0.25">
      <c r="A6335" s="5"/>
    </row>
    <row r="6336" spans="1:1" x14ac:dyDescent="0.25">
      <c r="A6336" s="5"/>
    </row>
    <row r="6337" spans="1:1" x14ac:dyDescent="0.25">
      <c r="A6337" s="5"/>
    </row>
    <row r="6338" spans="1:1" x14ac:dyDescent="0.25">
      <c r="A6338" s="5"/>
    </row>
    <row r="6339" spans="1:1" x14ac:dyDescent="0.25">
      <c r="A6339" s="5"/>
    </row>
    <row r="6340" spans="1:1" x14ac:dyDescent="0.25">
      <c r="A6340" s="5"/>
    </row>
    <row r="6341" spans="1:1" x14ac:dyDescent="0.25">
      <c r="A6341" s="5"/>
    </row>
    <row r="6342" spans="1:1" x14ac:dyDescent="0.25">
      <c r="A6342" s="5"/>
    </row>
    <row r="6343" spans="1:1" x14ac:dyDescent="0.25">
      <c r="A6343" s="5"/>
    </row>
    <row r="6344" spans="1:1" x14ac:dyDescent="0.25">
      <c r="A6344" s="5"/>
    </row>
    <row r="6345" spans="1:1" x14ac:dyDescent="0.25">
      <c r="A6345" s="5"/>
    </row>
    <row r="6346" spans="1:1" x14ac:dyDescent="0.25">
      <c r="A6346" s="5"/>
    </row>
    <row r="6347" spans="1:1" x14ac:dyDescent="0.25">
      <c r="A6347" s="5"/>
    </row>
    <row r="6348" spans="1:1" x14ac:dyDescent="0.25">
      <c r="A6348" s="5"/>
    </row>
    <row r="6349" spans="1:1" x14ac:dyDescent="0.25">
      <c r="A6349" s="5"/>
    </row>
    <row r="6350" spans="1:1" x14ac:dyDescent="0.25">
      <c r="A6350" s="5"/>
    </row>
    <row r="6351" spans="1:1" x14ac:dyDescent="0.25">
      <c r="A6351" s="5"/>
    </row>
    <row r="6352" spans="1:1" x14ac:dyDescent="0.25">
      <c r="A6352" s="5"/>
    </row>
    <row r="6353" spans="1:1" x14ac:dyDescent="0.25">
      <c r="A6353" s="5"/>
    </row>
    <row r="6354" spans="1:1" x14ac:dyDescent="0.25">
      <c r="A6354" s="5"/>
    </row>
    <row r="6355" spans="1:1" x14ac:dyDescent="0.25">
      <c r="A6355" s="5"/>
    </row>
    <row r="6356" spans="1:1" x14ac:dyDescent="0.25">
      <c r="A6356" s="5"/>
    </row>
    <row r="6357" spans="1:1" x14ac:dyDescent="0.25">
      <c r="A6357" s="5"/>
    </row>
    <row r="6358" spans="1:1" x14ac:dyDescent="0.25">
      <c r="A6358" s="5"/>
    </row>
    <row r="6359" spans="1:1" x14ac:dyDescent="0.25">
      <c r="A6359" s="5"/>
    </row>
    <row r="6360" spans="1:1" x14ac:dyDescent="0.25">
      <c r="A6360" s="5"/>
    </row>
    <row r="6361" spans="1:1" x14ac:dyDescent="0.25">
      <c r="A6361" s="5"/>
    </row>
    <row r="6362" spans="1:1" x14ac:dyDescent="0.25">
      <c r="A6362" s="5"/>
    </row>
    <row r="6363" spans="1:1" x14ac:dyDescent="0.25">
      <c r="A6363" s="5"/>
    </row>
    <row r="6364" spans="1:1" x14ac:dyDescent="0.25">
      <c r="A6364" s="5"/>
    </row>
    <row r="6365" spans="1:1" x14ac:dyDescent="0.25">
      <c r="A6365" s="5"/>
    </row>
    <row r="6366" spans="1:1" x14ac:dyDescent="0.25">
      <c r="A6366" s="5"/>
    </row>
    <row r="6367" spans="1:1" x14ac:dyDescent="0.25">
      <c r="A6367" s="5"/>
    </row>
    <row r="6368" spans="1:1" x14ac:dyDescent="0.25">
      <c r="A6368" s="5"/>
    </row>
    <row r="6369" spans="1:1" x14ac:dyDescent="0.25">
      <c r="A6369" s="5"/>
    </row>
    <row r="6370" spans="1:1" x14ac:dyDescent="0.25">
      <c r="A6370" s="5"/>
    </row>
    <row r="6371" spans="1:1" x14ac:dyDescent="0.25">
      <c r="A6371" s="5"/>
    </row>
    <row r="6372" spans="1:1" x14ac:dyDescent="0.25">
      <c r="A6372" s="5"/>
    </row>
    <row r="6373" spans="1:1" x14ac:dyDescent="0.25">
      <c r="A6373" s="5"/>
    </row>
    <row r="6374" spans="1:1" x14ac:dyDescent="0.25">
      <c r="A6374" s="5"/>
    </row>
    <row r="6375" spans="1:1" x14ac:dyDescent="0.25">
      <c r="A6375" s="5"/>
    </row>
    <row r="6376" spans="1:1" x14ac:dyDescent="0.25">
      <c r="A6376" s="5"/>
    </row>
    <row r="6377" spans="1:1" x14ac:dyDescent="0.25">
      <c r="A6377" s="5"/>
    </row>
    <row r="6378" spans="1:1" x14ac:dyDescent="0.25">
      <c r="A6378" s="5"/>
    </row>
    <row r="6379" spans="1:1" x14ac:dyDescent="0.25">
      <c r="A6379" s="5"/>
    </row>
    <row r="6380" spans="1:1" x14ac:dyDescent="0.25">
      <c r="A6380" s="5"/>
    </row>
    <row r="6381" spans="1:1" x14ac:dyDescent="0.25">
      <c r="A6381" s="5"/>
    </row>
    <row r="6382" spans="1:1" x14ac:dyDescent="0.25">
      <c r="A6382" s="5"/>
    </row>
    <row r="6383" spans="1:1" x14ac:dyDescent="0.25">
      <c r="A6383" s="5"/>
    </row>
    <row r="6384" spans="1:1" x14ac:dyDescent="0.25">
      <c r="A6384" s="5"/>
    </row>
    <row r="6385" spans="1:1" x14ac:dyDescent="0.25">
      <c r="A6385" s="5"/>
    </row>
    <row r="6386" spans="1:1" x14ac:dyDescent="0.25">
      <c r="A6386" s="5"/>
    </row>
    <row r="6387" spans="1:1" x14ac:dyDescent="0.25">
      <c r="A6387" s="5"/>
    </row>
    <row r="6388" spans="1:1" x14ac:dyDescent="0.25">
      <c r="A6388" s="5"/>
    </row>
    <row r="6389" spans="1:1" x14ac:dyDescent="0.25">
      <c r="A6389" s="5"/>
    </row>
    <row r="6390" spans="1:1" x14ac:dyDescent="0.25">
      <c r="A6390" s="5"/>
    </row>
    <row r="6391" spans="1:1" x14ac:dyDescent="0.25">
      <c r="A6391" s="5"/>
    </row>
    <row r="6392" spans="1:1" x14ac:dyDescent="0.25">
      <c r="A6392" s="5"/>
    </row>
    <row r="6393" spans="1:1" x14ac:dyDescent="0.25">
      <c r="A6393" s="5"/>
    </row>
    <row r="6394" spans="1:1" x14ac:dyDescent="0.25">
      <c r="A6394" s="5"/>
    </row>
    <row r="6395" spans="1:1" x14ac:dyDescent="0.25">
      <c r="A6395" s="5"/>
    </row>
    <row r="6396" spans="1:1" x14ac:dyDescent="0.25">
      <c r="A6396" s="5"/>
    </row>
    <row r="6397" spans="1:1" x14ac:dyDescent="0.25">
      <c r="A6397" s="5"/>
    </row>
    <row r="6398" spans="1:1" x14ac:dyDescent="0.25">
      <c r="A6398" s="5"/>
    </row>
    <row r="6399" spans="1:1" x14ac:dyDescent="0.25">
      <c r="A6399" s="5"/>
    </row>
    <row r="6400" spans="1:1" x14ac:dyDescent="0.25">
      <c r="A6400" s="5"/>
    </row>
    <row r="6401" spans="1:1" x14ac:dyDescent="0.25">
      <c r="A6401" s="5"/>
    </row>
    <row r="6402" spans="1:1" x14ac:dyDescent="0.25">
      <c r="A6402" s="5"/>
    </row>
    <row r="6403" spans="1:1" x14ac:dyDescent="0.25">
      <c r="A6403" s="5"/>
    </row>
    <row r="6404" spans="1:1" x14ac:dyDescent="0.25">
      <c r="A6404" s="5"/>
    </row>
    <row r="6405" spans="1:1" x14ac:dyDescent="0.25">
      <c r="A6405" s="5"/>
    </row>
    <row r="6406" spans="1:1" x14ac:dyDescent="0.25">
      <c r="A6406" s="5"/>
    </row>
    <row r="6407" spans="1:1" x14ac:dyDescent="0.25">
      <c r="A6407" s="5"/>
    </row>
    <row r="6408" spans="1:1" x14ac:dyDescent="0.25">
      <c r="A6408" s="5"/>
    </row>
    <row r="6409" spans="1:1" x14ac:dyDescent="0.25">
      <c r="A6409" s="5"/>
    </row>
    <row r="6410" spans="1:1" x14ac:dyDescent="0.25">
      <c r="A6410" s="5"/>
    </row>
    <row r="6411" spans="1:1" x14ac:dyDescent="0.25">
      <c r="A6411" s="5"/>
    </row>
    <row r="6412" spans="1:1" x14ac:dyDescent="0.25">
      <c r="A6412" s="5"/>
    </row>
    <row r="6413" spans="1:1" x14ac:dyDescent="0.25">
      <c r="A6413" s="5"/>
    </row>
    <row r="6414" spans="1:1" x14ac:dyDescent="0.25">
      <c r="A6414" s="5"/>
    </row>
    <row r="6415" spans="1:1" x14ac:dyDescent="0.25">
      <c r="A6415" s="5"/>
    </row>
    <row r="6416" spans="1:1" x14ac:dyDescent="0.25">
      <c r="A6416" s="5"/>
    </row>
    <row r="6417" spans="1:1" x14ac:dyDescent="0.25">
      <c r="A6417" s="5"/>
    </row>
    <row r="6418" spans="1:1" x14ac:dyDescent="0.25">
      <c r="A6418" s="5"/>
    </row>
    <row r="6419" spans="1:1" x14ac:dyDescent="0.25">
      <c r="A6419" s="5"/>
    </row>
    <row r="6420" spans="1:1" x14ac:dyDescent="0.25">
      <c r="A6420" s="5"/>
    </row>
    <row r="6421" spans="1:1" x14ac:dyDescent="0.25">
      <c r="A6421" s="5"/>
    </row>
    <row r="6422" spans="1:1" x14ac:dyDescent="0.25">
      <c r="A6422" s="5"/>
    </row>
    <row r="6423" spans="1:1" x14ac:dyDescent="0.25">
      <c r="A6423" s="5"/>
    </row>
    <row r="6424" spans="1:1" x14ac:dyDescent="0.25">
      <c r="A6424" s="5"/>
    </row>
    <row r="6425" spans="1:1" x14ac:dyDescent="0.25">
      <c r="A6425" s="5"/>
    </row>
    <row r="6426" spans="1:1" x14ac:dyDescent="0.25">
      <c r="A6426" s="5"/>
    </row>
    <row r="6427" spans="1:1" x14ac:dyDescent="0.25">
      <c r="A6427" s="5"/>
    </row>
    <row r="6428" spans="1:1" x14ac:dyDescent="0.25">
      <c r="A6428" s="5"/>
    </row>
    <row r="6429" spans="1:1" x14ac:dyDescent="0.25">
      <c r="A6429" s="5"/>
    </row>
    <row r="6430" spans="1:1" x14ac:dyDescent="0.25">
      <c r="A6430" s="5"/>
    </row>
    <row r="6431" spans="1:1" x14ac:dyDescent="0.25">
      <c r="A6431" s="5"/>
    </row>
    <row r="6432" spans="1:1" x14ac:dyDescent="0.25">
      <c r="A6432" s="5"/>
    </row>
    <row r="6433" spans="1:1" x14ac:dyDescent="0.25">
      <c r="A6433" s="5"/>
    </row>
    <row r="6434" spans="1:1" x14ac:dyDescent="0.25">
      <c r="A6434" s="5"/>
    </row>
    <row r="6435" spans="1:1" x14ac:dyDescent="0.25">
      <c r="A6435" s="5"/>
    </row>
    <row r="6436" spans="1:1" x14ac:dyDescent="0.25">
      <c r="A6436" s="5"/>
    </row>
    <row r="6437" spans="1:1" x14ac:dyDescent="0.25">
      <c r="A6437" s="5"/>
    </row>
    <row r="6438" spans="1:1" x14ac:dyDescent="0.25">
      <c r="A6438" s="5"/>
    </row>
    <row r="6439" spans="1:1" x14ac:dyDescent="0.25">
      <c r="A6439" s="5"/>
    </row>
    <row r="6440" spans="1:1" x14ac:dyDescent="0.25">
      <c r="A6440" s="5"/>
    </row>
    <row r="6441" spans="1:1" x14ac:dyDescent="0.25">
      <c r="A6441" s="5"/>
    </row>
    <row r="6442" spans="1:1" x14ac:dyDescent="0.25">
      <c r="A6442" s="5"/>
    </row>
    <row r="6443" spans="1:1" x14ac:dyDescent="0.25">
      <c r="A6443" s="5"/>
    </row>
    <row r="6444" spans="1:1" x14ac:dyDescent="0.25">
      <c r="A6444" s="5"/>
    </row>
    <row r="6445" spans="1:1" x14ac:dyDescent="0.25">
      <c r="A6445" s="5"/>
    </row>
    <row r="6446" spans="1:1" x14ac:dyDescent="0.25">
      <c r="A6446" s="5"/>
    </row>
    <row r="6447" spans="1:1" x14ac:dyDescent="0.25">
      <c r="A6447" s="5"/>
    </row>
    <row r="6448" spans="1:1" x14ac:dyDescent="0.25">
      <c r="A6448" s="5"/>
    </row>
    <row r="6449" spans="1:1" x14ac:dyDescent="0.25">
      <c r="A6449" s="5"/>
    </row>
    <row r="6450" spans="1:1" x14ac:dyDescent="0.25">
      <c r="A6450" s="5"/>
    </row>
    <row r="6451" spans="1:1" x14ac:dyDescent="0.25">
      <c r="A6451" s="5"/>
    </row>
    <row r="6452" spans="1:1" x14ac:dyDescent="0.25">
      <c r="A6452" s="5"/>
    </row>
    <row r="6453" spans="1:1" x14ac:dyDescent="0.25">
      <c r="A6453" s="5"/>
    </row>
    <row r="6454" spans="1:1" x14ac:dyDescent="0.25">
      <c r="A6454" s="5"/>
    </row>
    <row r="6455" spans="1:1" x14ac:dyDescent="0.25">
      <c r="A6455" s="5"/>
    </row>
    <row r="6456" spans="1:1" x14ac:dyDescent="0.25">
      <c r="A6456" s="5"/>
    </row>
    <row r="6457" spans="1:1" x14ac:dyDescent="0.25">
      <c r="A6457" s="5"/>
    </row>
    <row r="6458" spans="1:1" x14ac:dyDescent="0.25">
      <c r="A6458" s="5"/>
    </row>
    <row r="6459" spans="1:1" x14ac:dyDescent="0.25">
      <c r="A6459" s="5"/>
    </row>
    <row r="6460" spans="1:1" x14ac:dyDescent="0.25">
      <c r="A6460" s="5"/>
    </row>
    <row r="6461" spans="1:1" x14ac:dyDescent="0.25">
      <c r="A6461" s="5"/>
    </row>
    <row r="6462" spans="1:1" x14ac:dyDescent="0.25">
      <c r="A6462" s="5"/>
    </row>
    <row r="6463" spans="1:1" x14ac:dyDescent="0.25">
      <c r="A6463" s="5"/>
    </row>
    <row r="6464" spans="1:1" x14ac:dyDescent="0.25">
      <c r="A6464" s="5"/>
    </row>
    <row r="6465" spans="1:1" x14ac:dyDescent="0.25">
      <c r="A6465" s="5"/>
    </row>
    <row r="6466" spans="1:1" x14ac:dyDescent="0.25">
      <c r="A6466" s="5"/>
    </row>
    <row r="6467" spans="1:1" x14ac:dyDescent="0.25">
      <c r="A6467" s="5"/>
    </row>
    <row r="6468" spans="1:1" x14ac:dyDescent="0.25">
      <c r="A6468" s="5"/>
    </row>
    <row r="6469" spans="1:1" x14ac:dyDescent="0.25">
      <c r="A6469" s="5"/>
    </row>
    <row r="6470" spans="1:1" x14ac:dyDescent="0.25">
      <c r="A6470" s="5"/>
    </row>
    <row r="6471" spans="1:1" x14ac:dyDescent="0.25">
      <c r="A6471" s="5"/>
    </row>
    <row r="6472" spans="1:1" x14ac:dyDescent="0.25">
      <c r="A6472" s="5"/>
    </row>
    <row r="6473" spans="1:1" x14ac:dyDescent="0.25">
      <c r="A6473" s="5"/>
    </row>
    <row r="6474" spans="1:1" x14ac:dyDescent="0.25">
      <c r="A6474" s="5"/>
    </row>
    <row r="6475" spans="1:1" x14ac:dyDescent="0.25">
      <c r="A6475" s="5"/>
    </row>
    <row r="6476" spans="1:1" x14ac:dyDescent="0.25">
      <c r="A6476" s="5"/>
    </row>
    <row r="6477" spans="1:1" x14ac:dyDescent="0.25">
      <c r="A6477" s="5"/>
    </row>
    <row r="6478" spans="1:1" x14ac:dyDescent="0.25">
      <c r="A6478" s="5"/>
    </row>
    <row r="6479" spans="1:1" x14ac:dyDescent="0.25">
      <c r="A6479" s="5"/>
    </row>
    <row r="6480" spans="1:1" x14ac:dyDescent="0.25">
      <c r="A6480" s="5"/>
    </row>
    <row r="6481" spans="1:1" x14ac:dyDescent="0.25">
      <c r="A6481" s="5"/>
    </row>
    <row r="6482" spans="1:1" x14ac:dyDescent="0.25">
      <c r="A6482" s="5"/>
    </row>
    <row r="6483" spans="1:1" x14ac:dyDescent="0.25">
      <c r="A6483" s="5"/>
    </row>
    <row r="6484" spans="1:1" x14ac:dyDescent="0.25">
      <c r="A6484" s="5"/>
    </row>
    <row r="6485" spans="1:1" x14ac:dyDescent="0.25">
      <c r="A6485" s="5"/>
    </row>
    <row r="6486" spans="1:1" x14ac:dyDescent="0.25">
      <c r="A6486" s="5"/>
    </row>
    <row r="6487" spans="1:1" x14ac:dyDescent="0.25">
      <c r="A6487" s="5"/>
    </row>
    <row r="6488" spans="1:1" x14ac:dyDescent="0.25">
      <c r="A6488" s="5"/>
    </row>
    <row r="6489" spans="1:1" x14ac:dyDescent="0.25">
      <c r="A6489" s="5"/>
    </row>
    <row r="6490" spans="1:1" x14ac:dyDescent="0.25">
      <c r="A6490" s="5"/>
    </row>
    <row r="6491" spans="1:1" x14ac:dyDescent="0.25">
      <c r="A6491" s="5"/>
    </row>
    <row r="6492" spans="1:1" x14ac:dyDescent="0.25">
      <c r="A6492" s="5"/>
    </row>
    <row r="6493" spans="1:1" x14ac:dyDescent="0.25">
      <c r="A6493" s="5"/>
    </row>
    <row r="6494" spans="1:1" x14ac:dyDescent="0.25">
      <c r="A6494" s="5"/>
    </row>
    <row r="6495" spans="1:1" x14ac:dyDescent="0.25">
      <c r="A6495" s="5"/>
    </row>
    <row r="6496" spans="1:1" x14ac:dyDescent="0.25">
      <c r="A6496" s="5"/>
    </row>
    <row r="6497" spans="1:1" x14ac:dyDescent="0.25">
      <c r="A6497" s="5"/>
    </row>
    <row r="6498" spans="1:1" x14ac:dyDescent="0.25">
      <c r="A6498" s="5"/>
    </row>
    <row r="6499" spans="1:1" x14ac:dyDescent="0.25">
      <c r="A6499" s="5"/>
    </row>
    <row r="6500" spans="1:1" x14ac:dyDescent="0.25">
      <c r="A6500" s="5"/>
    </row>
    <row r="6501" spans="1:1" x14ac:dyDescent="0.25">
      <c r="A6501" s="5"/>
    </row>
    <row r="6502" spans="1:1" x14ac:dyDescent="0.25">
      <c r="A6502" s="5"/>
    </row>
    <row r="6503" spans="1:1" x14ac:dyDescent="0.25">
      <c r="A6503" s="5"/>
    </row>
    <row r="6504" spans="1:1" x14ac:dyDescent="0.25">
      <c r="A6504" s="5"/>
    </row>
    <row r="6505" spans="1:1" x14ac:dyDescent="0.25">
      <c r="A6505" s="5"/>
    </row>
    <row r="6506" spans="1:1" x14ac:dyDescent="0.25">
      <c r="A6506" s="5"/>
    </row>
    <row r="6507" spans="1:1" x14ac:dyDescent="0.25">
      <c r="A6507" s="5"/>
    </row>
    <row r="6508" spans="1:1" x14ac:dyDescent="0.25">
      <c r="A6508" s="5"/>
    </row>
    <row r="6509" spans="1:1" x14ac:dyDescent="0.25">
      <c r="A6509" s="5"/>
    </row>
    <row r="6510" spans="1:1" x14ac:dyDescent="0.25">
      <c r="A6510" s="5"/>
    </row>
    <row r="6511" spans="1:1" x14ac:dyDescent="0.25">
      <c r="A6511" s="5"/>
    </row>
    <row r="6512" spans="1:1" x14ac:dyDescent="0.25">
      <c r="A6512" s="5"/>
    </row>
    <row r="6513" spans="1:1" x14ac:dyDescent="0.25">
      <c r="A6513" s="5"/>
    </row>
    <row r="6514" spans="1:1" x14ac:dyDescent="0.25">
      <c r="A6514" s="5"/>
    </row>
    <row r="6515" spans="1:1" x14ac:dyDescent="0.25">
      <c r="A6515" s="5"/>
    </row>
    <row r="6516" spans="1:1" x14ac:dyDescent="0.25">
      <c r="A6516" s="5"/>
    </row>
    <row r="6517" spans="1:1" x14ac:dyDescent="0.25">
      <c r="A6517" s="5"/>
    </row>
    <row r="6518" spans="1:1" x14ac:dyDescent="0.25">
      <c r="A6518" s="5"/>
    </row>
    <row r="6519" spans="1:1" x14ac:dyDescent="0.25">
      <c r="A6519" s="5"/>
    </row>
    <row r="6520" spans="1:1" x14ac:dyDescent="0.25">
      <c r="A6520" s="5"/>
    </row>
    <row r="6521" spans="1:1" x14ac:dyDescent="0.25">
      <c r="A6521" s="5"/>
    </row>
    <row r="6522" spans="1:1" x14ac:dyDescent="0.25">
      <c r="A6522" s="5"/>
    </row>
    <row r="6523" spans="1:1" x14ac:dyDescent="0.25">
      <c r="A6523" s="5"/>
    </row>
    <row r="6524" spans="1:1" x14ac:dyDescent="0.25">
      <c r="A6524" s="5"/>
    </row>
    <row r="6525" spans="1:1" x14ac:dyDescent="0.25">
      <c r="A6525" s="5"/>
    </row>
    <row r="6526" spans="1:1" x14ac:dyDescent="0.25">
      <c r="A6526" s="5"/>
    </row>
    <row r="6527" spans="1:1" x14ac:dyDescent="0.25">
      <c r="A6527" s="5"/>
    </row>
    <row r="6528" spans="1:1" x14ac:dyDescent="0.25">
      <c r="A6528" s="5"/>
    </row>
    <row r="6529" spans="1:1" x14ac:dyDescent="0.25">
      <c r="A6529" s="5"/>
    </row>
    <row r="6530" spans="1:1" x14ac:dyDescent="0.25">
      <c r="A6530" s="5"/>
    </row>
    <row r="6531" spans="1:1" x14ac:dyDescent="0.25">
      <c r="A6531" s="5"/>
    </row>
    <row r="6532" spans="1:1" x14ac:dyDescent="0.25">
      <c r="A6532" s="5"/>
    </row>
    <row r="6533" spans="1:1" x14ac:dyDescent="0.25">
      <c r="A6533" s="5"/>
    </row>
    <row r="6534" spans="1:1" x14ac:dyDescent="0.25">
      <c r="A6534" s="5"/>
    </row>
    <row r="6535" spans="1:1" x14ac:dyDescent="0.25">
      <c r="A6535" s="5"/>
    </row>
    <row r="6536" spans="1:1" x14ac:dyDescent="0.25">
      <c r="A6536" s="5"/>
    </row>
    <row r="6537" spans="1:1" x14ac:dyDescent="0.25">
      <c r="A6537" s="5"/>
    </row>
    <row r="6538" spans="1:1" x14ac:dyDescent="0.25">
      <c r="A6538" s="5"/>
    </row>
    <row r="6539" spans="1:1" x14ac:dyDescent="0.25">
      <c r="A6539" s="5"/>
    </row>
    <row r="6540" spans="1:1" x14ac:dyDescent="0.25">
      <c r="A6540" s="5"/>
    </row>
    <row r="6541" spans="1:1" x14ac:dyDescent="0.25">
      <c r="A6541" s="5"/>
    </row>
    <row r="6542" spans="1:1" x14ac:dyDescent="0.25">
      <c r="A6542" s="5"/>
    </row>
    <row r="6543" spans="1:1" x14ac:dyDescent="0.25">
      <c r="A6543" s="5"/>
    </row>
    <row r="6544" spans="1:1" x14ac:dyDescent="0.25">
      <c r="A6544" s="5"/>
    </row>
    <row r="6545" spans="1:1" x14ac:dyDescent="0.25">
      <c r="A6545" s="5"/>
    </row>
    <row r="6546" spans="1:1" x14ac:dyDescent="0.25">
      <c r="A6546" s="5"/>
    </row>
    <row r="6547" spans="1:1" x14ac:dyDescent="0.25">
      <c r="A6547" s="5"/>
    </row>
    <row r="6548" spans="1:1" x14ac:dyDescent="0.25">
      <c r="A6548" s="5"/>
    </row>
    <row r="6549" spans="1:1" x14ac:dyDescent="0.25">
      <c r="A6549" s="5"/>
    </row>
    <row r="6550" spans="1:1" x14ac:dyDescent="0.25">
      <c r="A6550" s="5"/>
    </row>
    <row r="6551" spans="1:1" x14ac:dyDescent="0.25">
      <c r="A6551" s="5"/>
    </row>
    <row r="6552" spans="1:1" x14ac:dyDescent="0.25">
      <c r="A6552" s="5"/>
    </row>
    <row r="6553" spans="1:1" x14ac:dyDescent="0.25">
      <c r="A6553" s="5"/>
    </row>
    <row r="6554" spans="1:1" x14ac:dyDescent="0.25">
      <c r="A6554" s="5"/>
    </row>
    <row r="6555" spans="1:1" x14ac:dyDescent="0.25">
      <c r="A6555" s="5"/>
    </row>
    <row r="6556" spans="1:1" x14ac:dyDescent="0.25">
      <c r="A6556" s="5"/>
    </row>
    <row r="6557" spans="1:1" x14ac:dyDescent="0.25">
      <c r="A6557" s="5"/>
    </row>
    <row r="6558" spans="1:1" x14ac:dyDescent="0.25">
      <c r="A6558" s="5"/>
    </row>
    <row r="6559" spans="1:1" x14ac:dyDescent="0.25">
      <c r="A6559" s="5"/>
    </row>
    <row r="6560" spans="1:1" x14ac:dyDescent="0.25">
      <c r="A6560" s="5"/>
    </row>
    <row r="6561" spans="1:1" x14ac:dyDescent="0.25">
      <c r="A6561" s="5"/>
    </row>
    <row r="6562" spans="1:1" x14ac:dyDescent="0.25">
      <c r="A6562" s="5"/>
    </row>
    <row r="6563" spans="1:1" x14ac:dyDescent="0.25">
      <c r="A6563" s="5"/>
    </row>
    <row r="6564" spans="1:1" x14ac:dyDescent="0.25">
      <c r="A6564" s="5"/>
    </row>
    <row r="6565" spans="1:1" x14ac:dyDescent="0.25">
      <c r="A6565" s="5"/>
    </row>
    <row r="6566" spans="1:1" x14ac:dyDescent="0.25">
      <c r="A6566" s="5"/>
    </row>
    <row r="6567" spans="1:1" x14ac:dyDescent="0.25">
      <c r="A6567" s="5"/>
    </row>
    <row r="6568" spans="1:1" x14ac:dyDescent="0.25">
      <c r="A6568" s="5"/>
    </row>
    <row r="6569" spans="1:1" x14ac:dyDescent="0.25">
      <c r="A6569" s="5"/>
    </row>
    <row r="6570" spans="1:1" x14ac:dyDescent="0.25">
      <c r="A6570" s="5"/>
    </row>
    <row r="6571" spans="1:1" x14ac:dyDescent="0.25">
      <c r="A6571" s="5"/>
    </row>
    <row r="6572" spans="1:1" x14ac:dyDescent="0.25">
      <c r="A6572" s="5"/>
    </row>
    <row r="6573" spans="1:1" x14ac:dyDescent="0.25">
      <c r="A6573" s="5"/>
    </row>
    <row r="6574" spans="1:1" x14ac:dyDescent="0.25">
      <c r="A6574" s="5"/>
    </row>
    <row r="6575" spans="1:1" x14ac:dyDescent="0.25">
      <c r="A6575" s="5"/>
    </row>
    <row r="6576" spans="1:1" x14ac:dyDescent="0.25">
      <c r="A6576" s="5"/>
    </row>
    <row r="6577" spans="1:1" x14ac:dyDescent="0.25">
      <c r="A6577" s="5"/>
    </row>
    <row r="6578" spans="1:1" x14ac:dyDescent="0.25">
      <c r="A6578" s="5"/>
    </row>
    <row r="6579" spans="1:1" x14ac:dyDescent="0.25">
      <c r="A6579" s="5"/>
    </row>
    <row r="6580" spans="1:1" x14ac:dyDescent="0.25">
      <c r="A6580" s="5"/>
    </row>
    <row r="6581" spans="1:1" x14ac:dyDescent="0.25">
      <c r="A6581" s="5"/>
    </row>
    <row r="6582" spans="1:1" x14ac:dyDescent="0.25">
      <c r="A6582" s="5"/>
    </row>
    <row r="6583" spans="1:1" x14ac:dyDescent="0.25">
      <c r="A6583" s="5"/>
    </row>
    <row r="6584" spans="1:1" x14ac:dyDescent="0.25">
      <c r="A6584" s="5"/>
    </row>
    <row r="6585" spans="1:1" x14ac:dyDescent="0.25">
      <c r="A6585" s="5"/>
    </row>
    <row r="6586" spans="1:1" x14ac:dyDescent="0.25">
      <c r="A6586" s="5"/>
    </row>
    <row r="6587" spans="1:1" x14ac:dyDescent="0.25">
      <c r="A6587" s="5"/>
    </row>
    <row r="6588" spans="1:1" x14ac:dyDescent="0.25">
      <c r="A6588" s="5"/>
    </row>
    <row r="6589" spans="1:1" x14ac:dyDescent="0.25">
      <c r="A6589" s="5"/>
    </row>
    <row r="6590" spans="1:1" x14ac:dyDescent="0.25">
      <c r="A6590" s="5"/>
    </row>
    <row r="6591" spans="1:1" x14ac:dyDescent="0.25">
      <c r="A6591" s="5"/>
    </row>
    <row r="6592" spans="1:1" x14ac:dyDescent="0.25">
      <c r="A6592" s="5"/>
    </row>
    <row r="6593" spans="1:1" x14ac:dyDescent="0.25">
      <c r="A6593" s="5"/>
    </row>
    <row r="6594" spans="1:1" x14ac:dyDescent="0.25">
      <c r="A6594" s="5"/>
    </row>
    <row r="6595" spans="1:1" x14ac:dyDescent="0.25">
      <c r="A6595" s="5"/>
    </row>
    <row r="6596" spans="1:1" x14ac:dyDescent="0.25">
      <c r="A6596" s="5"/>
    </row>
    <row r="6597" spans="1:1" x14ac:dyDescent="0.25">
      <c r="A6597" s="5"/>
    </row>
    <row r="6598" spans="1:1" x14ac:dyDescent="0.25">
      <c r="A6598" s="5"/>
    </row>
    <row r="6599" spans="1:1" x14ac:dyDescent="0.25">
      <c r="A6599" s="5"/>
    </row>
    <row r="6600" spans="1:1" x14ac:dyDescent="0.25">
      <c r="A6600" s="5"/>
    </row>
    <row r="6601" spans="1:1" x14ac:dyDescent="0.25">
      <c r="A6601" s="5"/>
    </row>
    <row r="6602" spans="1:1" x14ac:dyDescent="0.25">
      <c r="A6602" s="5"/>
    </row>
    <row r="6603" spans="1:1" x14ac:dyDescent="0.25">
      <c r="A6603" s="5"/>
    </row>
    <row r="6604" spans="1:1" x14ac:dyDescent="0.25">
      <c r="A6604" s="5"/>
    </row>
    <row r="6605" spans="1:1" x14ac:dyDescent="0.25">
      <c r="A6605" s="5"/>
    </row>
    <row r="6606" spans="1:1" x14ac:dyDescent="0.25">
      <c r="A6606" s="5"/>
    </row>
    <row r="6607" spans="1:1" x14ac:dyDescent="0.25">
      <c r="A6607" s="5"/>
    </row>
    <row r="6608" spans="1:1" x14ac:dyDescent="0.25">
      <c r="A6608" s="5"/>
    </row>
    <row r="6609" spans="1:1" x14ac:dyDescent="0.25">
      <c r="A6609" s="5"/>
    </row>
    <row r="6610" spans="1:1" x14ac:dyDescent="0.25">
      <c r="A6610" s="5"/>
    </row>
    <row r="6611" spans="1:1" x14ac:dyDescent="0.25">
      <c r="A6611" s="5"/>
    </row>
    <row r="6612" spans="1:1" x14ac:dyDescent="0.25">
      <c r="A6612" s="5"/>
    </row>
    <row r="6613" spans="1:1" x14ac:dyDescent="0.25">
      <c r="A6613" s="5"/>
    </row>
    <row r="6614" spans="1:1" x14ac:dyDescent="0.25">
      <c r="A6614" s="5"/>
    </row>
    <row r="6615" spans="1:1" x14ac:dyDescent="0.25">
      <c r="A6615" s="5"/>
    </row>
    <row r="6616" spans="1:1" x14ac:dyDescent="0.25">
      <c r="A6616" s="5"/>
    </row>
    <row r="6617" spans="1:1" x14ac:dyDescent="0.25">
      <c r="A6617" s="5"/>
    </row>
    <row r="6618" spans="1:1" x14ac:dyDescent="0.25">
      <c r="A6618" s="5"/>
    </row>
    <row r="6619" spans="1:1" x14ac:dyDescent="0.25">
      <c r="A6619" s="5"/>
    </row>
    <row r="6620" spans="1:1" x14ac:dyDescent="0.25">
      <c r="A6620" s="5"/>
    </row>
    <row r="6621" spans="1:1" x14ac:dyDescent="0.25">
      <c r="A6621" s="5"/>
    </row>
    <row r="6622" spans="1:1" x14ac:dyDescent="0.25">
      <c r="A6622" s="5"/>
    </row>
    <row r="6623" spans="1:1" x14ac:dyDescent="0.25">
      <c r="A6623" s="5"/>
    </row>
    <row r="6624" spans="1:1" x14ac:dyDescent="0.25">
      <c r="A6624" s="5"/>
    </row>
    <row r="6625" spans="1:1" x14ac:dyDescent="0.25">
      <c r="A6625" s="5"/>
    </row>
    <row r="6626" spans="1:1" x14ac:dyDescent="0.25">
      <c r="A6626" s="5"/>
    </row>
    <row r="6627" spans="1:1" x14ac:dyDescent="0.25">
      <c r="A6627" s="5"/>
    </row>
    <row r="6628" spans="1:1" x14ac:dyDescent="0.25">
      <c r="A6628" s="5"/>
    </row>
    <row r="6629" spans="1:1" x14ac:dyDescent="0.25">
      <c r="A6629" s="5"/>
    </row>
    <row r="6630" spans="1:1" x14ac:dyDescent="0.25">
      <c r="A6630" s="5"/>
    </row>
    <row r="6631" spans="1:1" x14ac:dyDescent="0.25">
      <c r="A6631" s="5"/>
    </row>
    <row r="6632" spans="1:1" x14ac:dyDescent="0.25">
      <c r="A6632" s="5"/>
    </row>
    <row r="6633" spans="1:1" x14ac:dyDescent="0.25">
      <c r="A6633" s="5"/>
    </row>
    <row r="6634" spans="1:1" x14ac:dyDescent="0.25">
      <c r="A6634" s="5"/>
    </row>
    <row r="6635" spans="1:1" x14ac:dyDescent="0.25">
      <c r="A6635" s="5"/>
    </row>
    <row r="6636" spans="1:1" x14ac:dyDescent="0.25">
      <c r="A6636" s="5"/>
    </row>
    <row r="6637" spans="1:1" x14ac:dyDescent="0.25">
      <c r="A6637" s="5"/>
    </row>
    <row r="6638" spans="1:1" x14ac:dyDescent="0.25">
      <c r="A6638" s="5"/>
    </row>
    <row r="6639" spans="1:1" x14ac:dyDescent="0.25">
      <c r="A6639" s="5"/>
    </row>
    <row r="6640" spans="1:1" x14ac:dyDescent="0.25">
      <c r="A6640" s="5"/>
    </row>
    <row r="6641" spans="1:1" x14ac:dyDescent="0.25">
      <c r="A6641" s="5"/>
    </row>
    <row r="6642" spans="1:1" x14ac:dyDescent="0.25">
      <c r="A6642" s="5"/>
    </row>
    <row r="6643" spans="1:1" x14ac:dyDescent="0.25">
      <c r="A6643" s="5"/>
    </row>
    <row r="6644" spans="1:1" x14ac:dyDescent="0.25">
      <c r="A6644" s="5"/>
    </row>
    <row r="6645" spans="1:1" x14ac:dyDescent="0.25">
      <c r="A6645" s="5"/>
    </row>
    <row r="6646" spans="1:1" x14ac:dyDescent="0.25">
      <c r="A6646" s="5"/>
    </row>
    <row r="6647" spans="1:1" x14ac:dyDescent="0.25">
      <c r="A6647" s="5"/>
    </row>
    <row r="6648" spans="1:1" x14ac:dyDescent="0.25">
      <c r="A6648" s="5"/>
    </row>
    <row r="6649" spans="1:1" x14ac:dyDescent="0.25">
      <c r="A6649" s="5"/>
    </row>
    <row r="6650" spans="1:1" x14ac:dyDescent="0.25">
      <c r="A6650" s="5"/>
    </row>
    <row r="6651" spans="1:1" x14ac:dyDescent="0.25">
      <c r="A6651" s="5"/>
    </row>
    <row r="6652" spans="1:1" x14ac:dyDescent="0.25">
      <c r="A6652" s="5"/>
    </row>
    <row r="6653" spans="1:1" x14ac:dyDescent="0.25">
      <c r="A6653" s="5"/>
    </row>
    <row r="6654" spans="1:1" x14ac:dyDescent="0.25">
      <c r="A6654" s="5"/>
    </row>
    <row r="6655" spans="1:1" x14ac:dyDescent="0.25">
      <c r="A6655" s="5"/>
    </row>
    <row r="6656" spans="1:1" x14ac:dyDescent="0.25">
      <c r="A6656" s="5"/>
    </row>
    <row r="6657" spans="1:1" x14ac:dyDescent="0.25">
      <c r="A6657" s="5"/>
    </row>
    <row r="6658" spans="1:1" x14ac:dyDescent="0.25">
      <c r="A6658" s="5"/>
    </row>
    <row r="6659" spans="1:1" x14ac:dyDescent="0.25">
      <c r="A6659" s="5"/>
    </row>
    <row r="6660" spans="1:1" x14ac:dyDescent="0.25">
      <c r="A6660" s="5"/>
    </row>
    <row r="6661" spans="1:1" x14ac:dyDescent="0.25">
      <c r="A6661" s="5"/>
    </row>
    <row r="6662" spans="1:1" x14ac:dyDescent="0.25">
      <c r="A6662" s="5"/>
    </row>
    <row r="6663" spans="1:1" x14ac:dyDescent="0.25">
      <c r="A6663" s="5"/>
    </row>
    <row r="6664" spans="1:1" x14ac:dyDescent="0.25">
      <c r="A6664" s="5"/>
    </row>
    <row r="6665" spans="1:1" x14ac:dyDescent="0.25">
      <c r="A6665" s="5"/>
    </row>
    <row r="6666" spans="1:1" x14ac:dyDescent="0.25">
      <c r="A6666" s="5"/>
    </row>
    <row r="6667" spans="1:1" x14ac:dyDescent="0.25">
      <c r="A6667" s="5"/>
    </row>
    <row r="6668" spans="1:1" x14ac:dyDescent="0.25">
      <c r="A6668" s="5"/>
    </row>
    <row r="6669" spans="1:1" x14ac:dyDescent="0.25">
      <c r="A6669" s="5"/>
    </row>
    <row r="6670" spans="1:1" x14ac:dyDescent="0.25">
      <c r="A6670" s="5"/>
    </row>
    <row r="6671" spans="1:1" x14ac:dyDescent="0.25">
      <c r="A6671" s="5"/>
    </row>
    <row r="6672" spans="1:1" x14ac:dyDescent="0.25">
      <c r="A6672" s="5"/>
    </row>
    <row r="6673" spans="1:1" x14ac:dyDescent="0.25">
      <c r="A6673" s="5"/>
    </row>
    <row r="6674" spans="1:1" x14ac:dyDescent="0.25">
      <c r="A6674" s="5"/>
    </row>
    <row r="6675" spans="1:1" x14ac:dyDescent="0.25">
      <c r="A6675" s="5"/>
    </row>
    <row r="6676" spans="1:1" x14ac:dyDescent="0.25">
      <c r="A6676" s="5"/>
    </row>
    <row r="6677" spans="1:1" x14ac:dyDescent="0.25">
      <c r="A6677" s="5"/>
    </row>
    <row r="6678" spans="1:1" x14ac:dyDescent="0.25">
      <c r="A6678" s="5"/>
    </row>
    <row r="6679" spans="1:1" x14ac:dyDescent="0.25">
      <c r="A6679" s="5"/>
    </row>
    <row r="6680" spans="1:1" x14ac:dyDescent="0.25">
      <c r="A6680" s="5"/>
    </row>
    <row r="6681" spans="1:1" x14ac:dyDescent="0.25">
      <c r="A6681" s="5"/>
    </row>
    <row r="6682" spans="1:1" x14ac:dyDescent="0.25">
      <c r="A6682" s="5"/>
    </row>
    <row r="6683" spans="1:1" x14ac:dyDescent="0.25">
      <c r="A6683" s="5"/>
    </row>
    <row r="6684" spans="1:1" x14ac:dyDescent="0.25">
      <c r="A6684" s="5"/>
    </row>
    <row r="6685" spans="1:1" x14ac:dyDescent="0.25">
      <c r="A6685" s="5"/>
    </row>
    <row r="6686" spans="1:1" x14ac:dyDescent="0.25">
      <c r="A6686" s="5"/>
    </row>
    <row r="6687" spans="1:1" x14ac:dyDescent="0.25">
      <c r="A6687" s="5"/>
    </row>
    <row r="6688" spans="1:1" x14ac:dyDescent="0.25">
      <c r="A6688" s="5"/>
    </row>
    <row r="6689" spans="1:1" x14ac:dyDescent="0.25">
      <c r="A6689" s="5"/>
    </row>
    <row r="6690" spans="1:1" x14ac:dyDescent="0.25">
      <c r="A6690" s="5"/>
    </row>
    <row r="6691" spans="1:1" x14ac:dyDescent="0.25">
      <c r="A6691" s="5"/>
    </row>
    <row r="6692" spans="1:1" x14ac:dyDescent="0.25">
      <c r="A6692" s="5"/>
    </row>
    <row r="6693" spans="1:1" x14ac:dyDescent="0.25">
      <c r="A6693" s="5"/>
    </row>
    <row r="6694" spans="1:1" x14ac:dyDescent="0.25">
      <c r="A6694" s="5"/>
    </row>
    <row r="6695" spans="1:1" x14ac:dyDescent="0.25">
      <c r="A6695" s="5"/>
    </row>
    <row r="6696" spans="1:1" x14ac:dyDescent="0.25">
      <c r="A6696" s="5"/>
    </row>
    <row r="6697" spans="1:1" x14ac:dyDescent="0.25">
      <c r="A6697" s="5"/>
    </row>
    <row r="6698" spans="1:1" x14ac:dyDescent="0.25">
      <c r="A6698" s="5"/>
    </row>
    <row r="6699" spans="1:1" x14ac:dyDescent="0.25">
      <c r="A6699" s="5"/>
    </row>
    <row r="6700" spans="1:1" x14ac:dyDescent="0.25">
      <c r="A6700" s="5"/>
    </row>
    <row r="6701" spans="1:1" x14ac:dyDescent="0.25">
      <c r="A6701" s="5"/>
    </row>
    <row r="6702" spans="1:1" x14ac:dyDescent="0.25">
      <c r="A6702" s="5"/>
    </row>
    <row r="6703" spans="1:1" x14ac:dyDescent="0.25">
      <c r="A6703" s="5"/>
    </row>
    <row r="6704" spans="1:1" x14ac:dyDescent="0.25">
      <c r="A6704" s="5"/>
    </row>
    <row r="6705" spans="1:1" x14ac:dyDescent="0.25">
      <c r="A6705" s="5"/>
    </row>
    <row r="6706" spans="1:1" x14ac:dyDescent="0.25">
      <c r="A6706" s="5"/>
    </row>
    <row r="6707" spans="1:1" x14ac:dyDescent="0.25">
      <c r="A6707" s="5"/>
    </row>
    <row r="6708" spans="1:1" x14ac:dyDescent="0.25">
      <c r="A6708" s="5"/>
    </row>
    <row r="6709" spans="1:1" x14ac:dyDescent="0.25">
      <c r="A6709" s="5"/>
    </row>
    <row r="6710" spans="1:1" x14ac:dyDescent="0.25">
      <c r="A6710" s="5"/>
    </row>
    <row r="6711" spans="1:1" x14ac:dyDescent="0.25">
      <c r="A6711" s="5"/>
    </row>
    <row r="6712" spans="1:1" x14ac:dyDescent="0.25">
      <c r="A6712" s="5"/>
    </row>
    <row r="6713" spans="1:1" x14ac:dyDescent="0.25">
      <c r="A6713" s="5"/>
    </row>
    <row r="6714" spans="1:1" x14ac:dyDescent="0.25">
      <c r="A6714" s="5"/>
    </row>
    <row r="6715" spans="1:1" x14ac:dyDescent="0.25">
      <c r="A6715" s="5"/>
    </row>
    <row r="6716" spans="1:1" x14ac:dyDescent="0.25">
      <c r="A6716" s="5"/>
    </row>
    <row r="6717" spans="1:1" x14ac:dyDescent="0.25">
      <c r="A6717" s="5"/>
    </row>
    <row r="6718" spans="1:1" x14ac:dyDescent="0.25">
      <c r="A6718" s="5"/>
    </row>
    <row r="6719" spans="1:1" x14ac:dyDescent="0.25">
      <c r="A6719" s="5"/>
    </row>
    <row r="6720" spans="1:1" x14ac:dyDescent="0.25">
      <c r="A6720" s="5"/>
    </row>
    <row r="6721" spans="1:1" x14ac:dyDescent="0.25">
      <c r="A6721" s="5"/>
    </row>
    <row r="6722" spans="1:1" x14ac:dyDescent="0.25">
      <c r="A6722" s="5"/>
    </row>
    <row r="6723" spans="1:1" x14ac:dyDescent="0.25">
      <c r="A6723" s="5"/>
    </row>
    <row r="6724" spans="1:1" x14ac:dyDescent="0.25">
      <c r="A6724" s="5"/>
    </row>
    <row r="6725" spans="1:1" x14ac:dyDescent="0.25">
      <c r="A6725" s="5"/>
    </row>
    <row r="6726" spans="1:1" x14ac:dyDescent="0.25">
      <c r="A6726" s="5"/>
    </row>
    <row r="6727" spans="1:1" x14ac:dyDescent="0.25">
      <c r="A6727" s="5"/>
    </row>
    <row r="6728" spans="1:1" x14ac:dyDescent="0.25">
      <c r="A6728" s="5"/>
    </row>
    <row r="6729" spans="1:1" x14ac:dyDescent="0.25">
      <c r="A6729" s="5"/>
    </row>
    <row r="6730" spans="1:1" x14ac:dyDescent="0.25">
      <c r="A6730" s="5"/>
    </row>
    <row r="6731" spans="1:1" x14ac:dyDescent="0.25">
      <c r="A6731" s="5"/>
    </row>
    <row r="6732" spans="1:1" x14ac:dyDescent="0.25">
      <c r="A6732" s="5"/>
    </row>
    <row r="6733" spans="1:1" x14ac:dyDescent="0.25">
      <c r="A6733" s="5"/>
    </row>
    <row r="6734" spans="1:1" x14ac:dyDescent="0.25">
      <c r="A6734" s="5"/>
    </row>
    <row r="6735" spans="1:1" x14ac:dyDescent="0.25">
      <c r="A6735" s="5"/>
    </row>
    <row r="6736" spans="1:1" x14ac:dyDescent="0.25">
      <c r="A6736" s="5"/>
    </row>
    <row r="6737" spans="1:1" x14ac:dyDescent="0.25">
      <c r="A6737" s="5"/>
    </row>
    <row r="6738" spans="1:1" x14ac:dyDescent="0.25">
      <c r="A6738" s="5"/>
    </row>
    <row r="6739" spans="1:1" x14ac:dyDescent="0.25">
      <c r="A6739" s="5"/>
    </row>
    <row r="6740" spans="1:1" x14ac:dyDescent="0.25">
      <c r="A6740" s="5"/>
    </row>
    <row r="6741" spans="1:1" x14ac:dyDescent="0.25">
      <c r="A6741" s="5"/>
    </row>
    <row r="6742" spans="1:1" x14ac:dyDescent="0.25">
      <c r="A6742" s="5"/>
    </row>
    <row r="6743" spans="1:1" x14ac:dyDescent="0.25">
      <c r="A6743" s="5"/>
    </row>
    <row r="6744" spans="1:1" x14ac:dyDescent="0.25">
      <c r="A6744" s="5"/>
    </row>
    <row r="6745" spans="1:1" x14ac:dyDescent="0.25">
      <c r="A6745" s="5"/>
    </row>
    <row r="6746" spans="1:1" x14ac:dyDescent="0.25">
      <c r="A6746" s="5"/>
    </row>
    <row r="6747" spans="1:1" x14ac:dyDescent="0.25">
      <c r="A6747" s="5"/>
    </row>
    <row r="6748" spans="1:1" x14ac:dyDescent="0.25">
      <c r="A6748" s="5"/>
    </row>
    <row r="6749" spans="1:1" x14ac:dyDescent="0.25">
      <c r="A6749" s="5"/>
    </row>
    <row r="6750" spans="1:1" x14ac:dyDescent="0.25">
      <c r="A6750" s="5"/>
    </row>
    <row r="6751" spans="1:1" x14ac:dyDescent="0.25">
      <c r="A6751" s="5"/>
    </row>
    <row r="6752" spans="1:1" x14ac:dyDescent="0.25">
      <c r="A6752" s="5"/>
    </row>
    <row r="6753" spans="1:1" x14ac:dyDescent="0.25">
      <c r="A6753" s="5"/>
    </row>
    <row r="6754" spans="1:1" x14ac:dyDescent="0.25">
      <c r="A6754" s="5"/>
    </row>
    <row r="6755" spans="1:1" x14ac:dyDescent="0.25">
      <c r="A6755" s="5"/>
    </row>
    <row r="6756" spans="1:1" x14ac:dyDescent="0.25">
      <c r="A6756" s="5"/>
    </row>
    <row r="6757" spans="1:1" x14ac:dyDescent="0.25">
      <c r="A6757" s="5"/>
    </row>
    <row r="6758" spans="1:1" x14ac:dyDescent="0.25">
      <c r="A6758" s="5"/>
    </row>
    <row r="6759" spans="1:1" x14ac:dyDescent="0.25">
      <c r="A6759" s="5"/>
    </row>
    <row r="6760" spans="1:1" x14ac:dyDescent="0.25">
      <c r="A6760" s="5"/>
    </row>
    <row r="6761" spans="1:1" x14ac:dyDescent="0.25">
      <c r="A6761" s="5"/>
    </row>
    <row r="6762" spans="1:1" x14ac:dyDescent="0.25">
      <c r="A6762" s="5"/>
    </row>
    <row r="6763" spans="1:1" x14ac:dyDescent="0.25">
      <c r="A6763" s="5"/>
    </row>
    <row r="6764" spans="1:1" x14ac:dyDescent="0.25">
      <c r="A6764" s="5"/>
    </row>
    <row r="6765" spans="1:1" x14ac:dyDescent="0.25">
      <c r="A6765" s="5"/>
    </row>
    <row r="6766" spans="1:1" x14ac:dyDescent="0.25">
      <c r="A6766" s="5"/>
    </row>
    <row r="6767" spans="1:1" x14ac:dyDescent="0.25">
      <c r="A6767" s="5"/>
    </row>
    <row r="6768" spans="1:1" x14ac:dyDescent="0.25">
      <c r="A6768" s="5"/>
    </row>
    <row r="6769" spans="1:1" x14ac:dyDescent="0.25">
      <c r="A6769" s="5"/>
    </row>
    <row r="6770" spans="1:1" x14ac:dyDescent="0.25">
      <c r="A6770" s="5"/>
    </row>
    <row r="6771" spans="1:1" x14ac:dyDescent="0.25">
      <c r="A6771" s="5"/>
    </row>
    <row r="6772" spans="1:1" x14ac:dyDescent="0.25">
      <c r="A6772" s="5"/>
    </row>
    <row r="6773" spans="1:1" x14ac:dyDescent="0.25">
      <c r="A6773" s="5"/>
    </row>
    <row r="6774" spans="1:1" x14ac:dyDescent="0.25">
      <c r="A6774" s="5"/>
    </row>
    <row r="6775" spans="1:1" x14ac:dyDescent="0.25">
      <c r="A6775" s="5"/>
    </row>
    <row r="6776" spans="1:1" x14ac:dyDescent="0.25">
      <c r="A6776" s="5"/>
    </row>
    <row r="6777" spans="1:1" x14ac:dyDescent="0.25">
      <c r="A6777" s="5"/>
    </row>
    <row r="6778" spans="1:1" x14ac:dyDescent="0.25">
      <c r="A6778" s="5"/>
    </row>
    <row r="6779" spans="1:1" x14ac:dyDescent="0.25">
      <c r="A6779" s="5"/>
    </row>
    <row r="6780" spans="1:1" x14ac:dyDescent="0.25">
      <c r="A6780" s="5"/>
    </row>
    <row r="6781" spans="1:1" x14ac:dyDescent="0.25">
      <c r="A6781" s="5"/>
    </row>
    <row r="6782" spans="1:1" x14ac:dyDescent="0.25">
      <c r="A6782" s="5"/>
    </row>
    <row r="6783" spans="1:1" x14ac:dyDescent="0.25">
      <c r="A6783" s="5"/>
    </row>
    <row r="6784" spans="1:1" x14ac:dyDescent="0.25">
      <c r="A6784" s="5"/>
    </row>
    <row r="6785" spans="1:1" x14ac:dyDescent="0.25">
      <c r="A6785" s="5"/>
    </row>
    <row r="6786" spans="1:1" x14ac:dyDescent="0.25">
      <c r="A6786" s="5"/>
    </row>
    <row r="6787" spans="1:1" x14ac:dyDescent="0.25">
      <c r="A6787" s="5"/>
    </row>
    <row r="6788" spans="1:1" x14ac:dyDescent="0.25">
      <c r="A6788" s="5"/>
    </row>
    <row r="6789" spans="1:1" x14ac:dyDescent="0.25">
      <c r="A6789" s="5"/>
    </row>
    <row r="6790" spans="1:1" x14ac:dyDescent="0.25">
      <c r="A6790" s="5"/>
    </row>
    <row r="6791" spans="1:1" x14ac:dyDescent="0.25">
      <c r="A6791" s="5"/>
    </row>
    <row r="6792" spans="1:1" x14ac:dyDescent="0.25">
      <c r="A6792" s="5"/>
    </row>
    <row r="6793" spans="1:1" x14ac:dyDescent="0.25">
      <c r="A6793" s="5"/>
    </row>
    <row r="6794" spans="1:1" x14ac:dyDescent="0.25">
      <c r="A6794" s="5"/>
    </row>
    <row r="6795" spans="1:1" x14ac:dyDescent="0.25">
      <c r="A6795" s="5"/>
    </row>
    <row r="6796" spans="1:1" x14ac:dyDescent="0.25">
      <c r="A6796" s="5"/>
    </row>
    <row r="6797" spans="1:1" x14ac:dyDescent="0.25">
      <c r="A6797" s="5"/>
    </row>
    <row r="6798" spans="1:1" x14ac:dyDescent="0.25">
      <c r="A6798" s="5"/>
    </row>
    <row r="6799" spans="1:1" x14ac:dyDescent="0.25">
      <c r="A6799" s="5"/>
    </row>
    <row r="6800" spans="1:1" x14ac:dyDescent="0.25">
      <c r="A6800" s="5"/>
    </row>
    <row r="6801" spans="1:1" x14ac:dyDescent="0.25">
      <c r="A6801" s="5"/>
    </row>
    <row r="6802" spans="1:1" x14ac:dyDescent="0.25">
      <c r="A6802" s="5"/>
    </row>
    <row r="6803" spans="1:1" x14ac:dyDescent="0.25">
      <c r="A6803" s="5"/>
    </row>
    <row r="6804" spans="1:1" x14ac:dyDescent="0.25">
      <c r="A6804" s="5"/>
    </row>
    <row r="6805" spans="1:1" x14ac:dyDescent="0.25">
      <c r="A6805" s="5"/>
    </row>
    <row r="6806" spans="1:1" x14ac:dyDescent="0.25">
      <c r="A6806" s="5"/>
    </row>
    <row r="6807" spans="1:1" x14ac:dyDescent="0.25">
      <c r="A6807" s="5"/>
    </row>
    <row r="6808" spans="1:1" x14ac:dyDescent="0.25">
      <c r="A6808" s="5"/>
    </row>
    <row r="6809" spans="1:1" x14ac:dyDescent="0.25">
      <c r="A6809" s="5"/>
    </row>
    <row r="6810" spans="1:1" x14ac:dyDescent="0.25">
      <c r="A6810" s="5"/>
    </row>
    <row r="6811" spans="1:1" x14ac:dyDescent="0.25">
      <c r="A6811" s="5"/>
    </row>
    <row r="6812" spans="1:1" x14ac:dyDescent="0.25">
      <c r="A6812" s="5"/>
    </row>
    <row r="6813" spans="1:1" x14ac:dyDescent="0.25">
      <c r="A6813" s="5"/>
    </row>
    <row r="6814" spans="1:1" x14ac:dyDescent="0.25">
      <c r="A6814" s="5"/>
    </row>
    <row r="6815" spans="1:1" x14ac:dyDescent="0.25">
      <c r="A6815" s="5"/>
    </row>
    <row r="6816" spans="1:1" x14ac:dyDescent="0.25">
      <c r="A6816" s="5"/>
    </row>
    <row r="6817" spans="1:1" x14ac:dyDescent="0.25">
      <c r="A6817" s="5"/>
    </row>
    <row r="6818" spans="1:1" x14ac:dyDescent="0.25">
      <c r="A6818" s="5"/>
    </row>
    <row r="6819" spans="1:1" x14ac:dyDescent="0.25">
      <c r="A6819" s="5"/>
    </row>
    <row r="6820" spans="1:1" x14ac:dyDescent="0.25">
      <c r="A6820" s="5"/>
    </row>
    <row r="6821" spans="1:1" x14ac:dyDescent="0.25">
      <c r="A6821" s="5"/>
    </row>
    <row r="6822" spans="1:1" x14ac:dyDescent="0.25">
      <c r="A6822" s="5"/>
    </row>
    <row r="6823" spans="1:1" x14ac:dyDescent="0.25">
      <c r="A6823" s="5"/>
    </row>
    <row r="6824" spans="1:1" x14ac:dyDescent="0.25">
      <c r="A6824" s="5"/>
    </row>
    <row r="6825" spans="1:1" x14ac:dyDescent="0.25">
      <c r="A6825" s="5"/>
    </row>
    <row r="6826" spans="1:1" x14ac:dyDescent="0.25">
      <c r="A6826" s="5"/>
    </row>
    <row r="6827" spans="1:1" x14ac:dyDescent="0.25">
      <c r="A6827" s="5"/>
    </row>
    <row r="6828" spans="1:1" x14ac:dyDescent="0.25">
      <c r="A6828" s="5"/>
    </row>
    <row r="6829" spans="1:1" x14ac:dyDescent="0.25">
      <c r="A6829" s="5"/>
    </row>
    <row r="6830" spans="1:1" x14ac:dyDescent="0.25">
      <c r="A6830" s="5"/>
    </row>
    <row r="6831" spans="1:1" x14ac:dyDescent="0.25">
      <c r="A6831" s="5"/>
    </row>
    <row r="6832" spans="1:1" x14ac:dyDescent="0.25">
      <c r="A6832" s="5"/>
    </row>
    <row r="6833" spans="1:1" x14ac:dyDescent="0.25">
      <c r="A6833" s="5"/>
    </row>
    <row r="6834" spans="1:1" x14ac:dyDescent="0.25">
      <c r="A6834" s="5"/>
    </row>
    <row r="6835" spans="1:1" x14ac:dyDescent="0.25">
      <c r="A6835" s="5"/>
    </row>
    <row r="6836" spans="1:1" x14ac:dyDescent="0.25">
      <c r="A6836" s="5"/>
    </row>
    <row r="6837" spans="1:1" x14ac:dyDescent="0.25">
      <c r="A6837" s="5"/>
    </row>
    <row r="6838" spans="1:1" x14ac:dyDescent="0.25">
      <c r="A6838" s="5"/>
    </row>
    <row r="6839" spans="1:1" x14ac:dyDescent="0.25">
      <c r="A6839" s="5"/>
    </row>
    <row r="6840" spans="1:1" x14ac:dyDescent="0.25">
      <c r="A6840" s="5"/>
    </row>
    <row r="6841" spans="1:1" x14ac:dyDescent="0.25">
      <c r="A6841" s="5"/>
    </row>
    <row r="6842" spans="1:1" x14ac:dyDescent="0.25">
      <c r="A6842" s="5"/>
    </row>
    <row r="6843" spans="1:1" x14ac:dyDescent="0.25">
      <c r="A6843" s="5"/>
    </row>
    <row r="6844" spans="1:1" x14ac:dyDescent="0.25">
      <c r="A6844" s="5"/>
    </row>
    <row r="6845" spans="1:1" x14ac:dyDescent="0.25">
      <c r="A6845" s="5"/>
    </row>
    <row r="6846" spans="1:1" x14ac:dyDescent="0.25">
      <c r="A6846" s="5"/>
    </row>
    <row r="6847" spans="1:1" x14ac:dyDescent="0.25">
      <c r="A6847" s="5"/>
    </row>
    <row r="6848" spans="1:1" x14ac:dyDescent="0.25">
      <c r="A6848" s="5"/>
    </row>
    <row r="6849" spans="1:1" x14ac:dyDescent="0.25">
      <c r="A6849" s="5"/>
    </row>
    <row r="6850" spans="1:1" x14ac:dyDescent="0.25">
      <c r="A6850" s="5"/>
    </row>
    <row r="6851" spans="1:1" x14ac:dyDescent="0.25">
      <c r="A6851" s="5"/>
    </row>
    <row r="6852" spans="1:1" x14ac:dyDescent="0.25">
      <c r="A6852" s="5"/>
    </row>
    <row r="6853" spans="1:1" x14ac:dyDescent="0.25">
      <c r="A6853" s="5"/>
    </row>
    <row r="6854" spans="1:1" x14ac:dyDescent="0.25">
      <c r="A6854" s="5"/>
    </row>
    <row r="6855" spans="1:1" x14ac:dyDescent="0.25">
      <c r="A6855" s="5"/>
    </row>
    <row r="6856" spans="1:1" x14ac:dyDescent="0.25">
      <c r="A6856" s="5"/>
    </row>
    <row r="6857" spans="1:1" x14ac:dyDescent="0.25">
      <c r="A6857" s="5"/>
    </row>
    <row r="6858" spans="1:1" x14ac:dyDescent="0.25">
      <c r="A6858" s="5"/>
    </row>
    <row r="6859" spans="1:1" x14ac:dyDescent="0.25">
      <c r="A6859" s="5"/>
    </row>
    <row r="6860" spans="1:1" x14ac:dyDescent="0.25">
      <c r="A6860" s="5"/>
    </row>
    <row r="6861" spans="1:1" x14ac:dyDescent="0.25">
      <c r="A6861" s="5"/>
    </row>
    <row r="6862" spans="1:1" x14ac:dyDescent="0.25">
      <c r="A6862" s="5"/>
    </row>
    <row r="6863" spans="1:1" x14ac:dyDescent="0.25">
      <c r="A6863" s="5"/>
    </row>
    <row r="6864" spans="1:1" x14ac:dyDescent="0.25">
      <c r="A6864" s="5"/>
    </row>
    <row r="6865" spans="1:1" x14ac:dyDescent="0.25">
      <c r="A6865" s="5"/>
    </row>
    <row r="6866" spans="1:1" x14ac:dyDescent="0.25">
      <c r="A6866" s="5"/>
    </row>
    <row r="6867" spans="1:1" x14ac:dyDescent="0.25">
      <c r="A6867" s="5"/>
    </row>
    <row r="6868" spans="1:1" x14ac:dyDescent="0.25">
      <c r="A6868" s="5"/>
    </row>
    <row r="6869" spans="1:1" x14ac:dyDescent="0.25">
      <c r="A6869" s="5"/>
    </row>
    <row r="6870" spans="1:1" x14ac:dyDescent="0.25">
      <c r="A6870" s="5"/>
    </row>
    <row r="6871" spans="1:1" x14ac:dyDescent="0.25">
      <c r="A6871" s="5"/>
    </row>
    <row r="6872" spans="1:1" x14ac:dyDescent="0.25">
      <c r="A6872" s="5"/>
    </row>
    <row r="6873" spans="1:1" x14ac:dyDescent="0.25">
      <c r="A6873" s="5"/>
    </row>
    <row r="6874" spans="1:1" x14ac:dyDescent="0.25">
      <c r="A6874" s="5"/>
    </row>
    <row r="6875" spans="1:1" x14ac:dyDescent="0.25">
      <c r="A6875" s="5"/>
    </row>
    <row r="6876" spans="1:1" x14ac:dyDescent="0.25">
      <c r="A6876" s="5"/>
    </row>
    <row r="6877" spans="1:1" x14ac:dyDescent="0.25">
      <c r="A6877" s="5"/>
    </row>
    <row r="6878" spans="1:1" x14ac:dyDescent="0.25">
      <c r="A6878" s="5"/>
    </row>
    <row r="6879" spans="1:1" x14ac:dyDescent="0.25">
      <c r="A6879" s="5"/>
    </row>
    <row r="6880" spans="1:1" x14ac:dyDescent="0.25">
      <c r="A6880" s="5"/>
    </row>
    <row r="6881" spans="1:1" x14ac:dyDescent="0.25">
      <c r="A6881" s="5"/>
    </row>
    <row r="6882" spans="1:1" x14ac:dyDescent="0.25">
      <c r="A6882" s="5"/>
    </row>
    <row r="6883" spans="1:1" x14ac:dyDescent="0.25">
      <c r="A6883" s="5"/>
    </row>
    <row r="6884" spans="1:1" x14ac:dyDescent="0.25">
      <c r="A6884" s="5"/>
    </row>
    <row r="6885" spans="1:1" x14ac:dyDescent="0.25">
      <c r="A6885" s="5"/>
    </row>
    <row r="6886" spans="1:1" x14ac:dyDescent="0.25">
      <c r="A6886" s="5"/>
    </row>
    <row r="6887" spans="1:1" x14ac:dyDescent="0.25">
      <c r="A6887" s="5"/>
    </row>
    <row r="6888" spans="1:1" x14ac:dyDescent="0.25">
      <c r="A6888" s="5"/>
    </row>
    <row r="6889" spans="1:1" x14ac:dyDescent="0.25">
      <c r="A6889" s="5"/>
    </row>
    <row r="6890" spans="1:1" x14ac:dyDescent="0.25">
      <c r="A6890" s="5"/>
    </row>
    <row r="6891" spans="1:1" x14ac:dyDescent="0.25">
      <c r="A6891" s="5"/>
    </row>
    <row r="6892" spans="1:1" x14ac:dyDescent="0.25">
      <c r="A6892" s="5"/>
    </row>
    <row r="6893" spans="1:1" x14ac:dyDescent="0.25">
      <c r="A6893" s="5"/>
    </row>
    <row r="6894" spans="1:1" x14ac:dyDescent="0.25">
      <c r="A6894" s="5"/>
    </row>
    <row r="6895" spans="1:1" x14ac:dyDescent="0.25">
      <c r="A6895" s="5"/>
    </row>
    <row r="6896" spans="1:1" x14ac:dyDescent="0.25">
      <c r="A6896" s="5"/>
    </row>
    <row r="6897" spans="1:1" x14ac:dyDescent="0.25">
      <c r="A6897" s="5"/>
    </row>
    <row r="6898" spans="1:1" x14ac:dyDescent="0.25">
      <c r="A6898" s="5"/>
    </row>
    <row r="6899" spans="1:1" x14ac:dyDescent="0.25">
      <c r="A6899" s="5"/>
    </row>
    <row r="6900" spans="1:1" x14ac:dyDescent="0.25">
      <c r="A6900" s="5"/>
    </row>
    <row r="6901" spans="1:1" x14ac:dyDescent="0.25">
      <c r="A6901" s="5"/>
    </row>
    <row r="6902" spans="1:1" x14ac:dyDescent="0.25">
      <c r="A6902" s="5"/>
    </row>
    <row r="6903" spans="1:1" x14ac:dyDescent="0.25">
      <c r="A6903" s="5"/>
    </row>
    <row r="6904" spans="1:1" x14ac:dyDescent="0.25">
      <c r="A6904" s="5"/>
    </row>
    <row r="6905" spans="1:1" x14ac:dyDescent="0.25">
      <c r="A6905" s="5"/>
    </row>
    <row r="6906" spans="1:1" x14ac:dyDescent="0.25">
      <c r="A6906" s="5"/>
    </row>
    <row r="6907" spans="1:1" x14ac:dyDescent="0.25">
      <c r="A6907" s="5"/>
    </row>
    <row r="6908" spans="1:1" x14ac:dyDescent="0.25">
      <c r="A6908" s="5"/>
    </row>
    <row r="6909" spans="1:1" x14ac:dyDescent="0.25">
      <c r="A6909" s="5"/>
    </row>
    <row r="6910" spans="1:1" x14ac:dyDescent="0.25">
      <c r="A6910" s="5"/>
    </row>
    <row r="6911" spans="1:1" x14ac:dyDescent="0.25">
      <c r="A6911" s="5"/>
    </row>
    <row r="6912" spans="1:1" x14ac:dyDescent="0.25">
      <c r="A6912" s="5"/>
    </row>
    <row r="6913" spans="1:1" x14ac:dyDescent="0.25">
      <c r="A6913" s="5"/>
    </row>
    <row r="6914" spans="1:1" x14ac:dyDescent="0.25">
      <c r="A6914" s="5"/>
    </row>
    <row r="6915" spans="1:1" x14ac:dyDescent="0.25">
      <c r="A6915" s="5"/>
    </row>
    <row r="6916" spans="1:1" x14ac:dyDescent="0.25">
      <c r="A6916" s="5"/>
    </row>
    <row r="6917" spans="1:1" x14ac:dyDescent="0.25">
      <c r="A6917" s="5"/>
    </row>
    <row r="6918" spans="1:1" x14ac:dyDescent="0.25">
      <c r="A6918" s="5"/>
    </row>
    <row r="6919" spans="1:1" x14ac:dyDescent="0.25">
      <c r="A6919" s="5"/>
    </row>
    <row r="6920" spans="1:1" x14ac:dyDescent="0.25">
      <c r="A6920" s="5"/>
    </row>
    <row r="6921" spans="1:1" x14ac:dyDescent="0.25">
      <c r="A6921" s="5"/>
    </row>
    <row r="6922" spans="1:1" x14ac:dyDescent="0.25">
      <c r="A6922" s="5"/>
    </row>
    <row r="6923" spans="1:1" x14ac:dyDescent="0.25">
      <c r="A6923" s="5"/>
    </row>
    <row r="6924" spans="1:1" x14ac:dyDescent="0.25">
      <c r="A6924" s="5"/>
    </row>
    <row r="6925" spans="1:1" x14ac:dyDescent="0.25">
      <c r="A6925" s="5"/>
    </row>
    <row r="6926" spans="1:1" x14ac:dyDescent="0.25">
      <c r="A6926" s="5"/>
    </row>
    <row r="6927" spans="1:1" x14ac:dyDescent="0.25">
      <c r="A6927" s="5"/>
    </row>
    <row r="6928" spans="1:1" x14ac:dyDescent="0.25">
      <c r="A6928" s="5"/>
    </row>
    <row r="6929" spans="1:1" x14ac:dyDescent="0.25">
      <c r="A6929" s="5"/>
    </row>
    <row r="6930" spans="1:1" x14ac:dyDescent="0.25">
      <c r="A6930" s="5"/>
    </row>
    <row r="6931" spans="1:1" x14ac:dyDescent="0.25">
      <c r="A6931" s="5"/>
    </row>
    <row r="6932" spans="1:1" x14ac:dyDescent="0.25">
      <c r="A6932" s="5"/>
    </row>
    <row r="6933" spans="1:1" x14ac:dyDescent="0.25">
      <c r="A6933" s="5"/>
    </row>
    <row r="6934" spans="1:1" x14ac:dyDescent="0.25">
      <c r="A6934" s="5"/>
    </row>
    <row r="6935" spans="1:1" x14ac:dyDescent="0.25">
      <c r="A6935" s="5"/>
    </row>
    <row r="6936" spans="1:1" x14ac:dyDescent="0.25">
      <c r="A6936" s="5"/>
    </row>
    <row r="6937" spans="1:1" x14ac:dyDescent="0.25">
      <c r="A6937" s="5"/>
    </row>
    <row r="6938" spans="1:1" x14ac:dyDescent="0.25">
      <c r="A6938" s="5"/>
    </row>
    <row r="6939" spans="1:1" x14ac:dyDescent="0.25">
      <c r="A6939" s="5"/>
    </row>
    <row r="6940" spans="1:1" x14ac:dyDescent="0.25">
      <c r="A6940" s="5"/>
    </row>
    <row r="6941" spans="1:1" x14ac:dyDescent="0.25">
      <c r="A6941" s="5"/>
    </row>
    <row r="6942" spans="1:1" x14ac:dyDescent="0.25">
      <c r="A6942" s="5"/>
    </row>
    <row r="6943" spans="1:1" x14ac:dyDescent="0.25">
      <c r="A6943" s="5"/>
    </row>
    <row r="6944" spans="1:1" x14ac:dyDescent="0.25">
      <c r="A6944" s="5"/>
    </row>
    <row r="6945" spans="1:1" x14ac:dyDescent="0.25">
      <c r="A6945" s="5"/>
    </row>
    <row r="6946" spans="1:1" x14ac:dyDescent="0.25">
      <c r="A6946" s="5"/>
    </row>
    <row r="6947" spans="1:1" x14ac:dyDescent="0.25">
      <c r="A6947" s="5"/>
    </row>
    <row r="6948" spans="1:1" x14ac:dyDescent="0.25">
      <c r="A6948" s="5"/>
    </row>
    <row r="6949" spans="1:1" x14ac:dyDescent="0.25">
      <c r="A6949" s="5"/>
    </row>
    <row r="6950" spans="1:1" x14ac:dyDescent="0.25">
      <c r="A6950" s="5"/>
    </row>
    <row r="6951" spans="1:1" x14ac:dyDescent="0.25">
      <c r="A6951" s="5"/>
    </row>
    <row r="6952" spans="1:1" x14ac:dyDescent="0.25">
      <c r="A6952" s="5"/>
    </row>
    <row r="6953" spans="1:1" x14ac:dyDescent="0.25">
      <c r="A6953" s="5"/>
    </row>
    <row r="6954" spans="1:1" x14ac:dyDescent="0.25">
      <c r="A6954" s="5"/>
    </row>
    <row r="6955" spans="1:1" x14ac:dyDescent="0.25">
      <c r="A6955" s="5"/>
    </row>
    <row r="6956" spans="1:1" x14ac:dyDescent="0.25">
      <c r="A6956" s="5"/>
    </row>
    <row r="6957" spans="1:1" x14ac:dyDescent="0.25">
      <c r="A6957" s="5"/>
    </row>
    <row r="6958" spans="1:1" x14ac:dyDescent="0.25">
      <c r="A6958" s="5"/>
    </row>
    <row r="6959" spans="1:1" x14ac:dyDescent="0.25">
      <c r="A6959" s="5"/>
    </row>
    <row r="6960" spans="1:1" x14ac:dyDescent="0.25">
      <c r="A6960" s="5"/>
    </row>
    <row r="6961" spans="1:1" x14ac:dyDescent="0.25">
      <c r="A6961" s="5"/>
    </row>
    <row r="6962" spans="1:1" x14ac:dyDescent="0.25">
      <c r="A6962" s="5"/>
    </row>
    <row r="6963" spans="1:1" x14ac:dyDescent="0.25">
      <c r="A6963" s="5"/>
    </row>
    <row r="6964" spans="1:1" x14ac:dyDescent="0.25">
      <c r="A6964" s="5"/>
    </row>
    <row r="6965" spans="1:1" x14ac:dyDescent="0.25">
      <c r="A6965" s="5"/>
    </row>
    <row r="6966" spans="1:1" x14ac:dyDescent="0.25">
      <c r="A6966" s="5"/>
    </row>
    <row r="6967" spans="1:1" x14ac:dyDescent="0.25">
      <c r="A6967" s="5"/>
    </row>
    <row r="6968" spans="1:1" x14ac:dyDescent="0.25">
      <c r="A6968" s="5"/>
    </row>
    <row r="6969" spans="1:1" x14ac:dyDescent="0.25">
      <c r="A6969" s="5"/>
    </row>
    <row r="6970" spans="1:1" x14ac:dyDescent="0.25">
      <c r="A6970" s="5"/>
    </row>
    <row r="6971" spans="1:1" x14ac:dyDescent="0.25">
      <c r="A6971" s="5"/>
    </row>
    <row r="6972" spans="1:1" x14ac:dyDescent="0.25">
      <c r="A6972" s="5"/>
    </row>
    <row r="6973" spans="1:1" x14ac:dyDescent="0.25">
      <c r="A6973" s="5"/>
    </row>
    <row r="6974" spans="1:1" x14ac:dyDescent="0.25">
      <c r="A6974" s="5"/>
    </row>
    <row r="6975" spans="1:1" x14ac:dyDescent="0.25">
      <c r="A6975" s="5"/>
    </row>
    <row r="6976" spans="1:1" x14ac:dyDescent="0.25">
      <c r="A6976" s="5"/>
    </row>
    <row r="6977" spans="1:1" x14ac:dyDescent="0.25">
      <c r="A6977" s="5"/>
    </row>
    <row r="6978" spans="1:1" x14ac:dyDescent="0.25">
      <c r="A6978" s="5"/>
    </row>
    <row r="6979" spans="1:1" x14ac:dyDescent="0.25">
      <c r="A6979" s="5"/>
    </row>
    <row r="6980" spans="1:1" x14ac:dyDescent="0.25">
      <c r="A6980" s="5"/>
    </row>
    <row r="6981" spans="1:1" x14ac:dyDescent="0.25">
      <c r="A6981" s="5"/>
    </row>
    <row r="6982" spans="1:1" x14ac:dyDescent="0.25">
      <c r="A6982" s="5"/>
    </row>
    <row r="6983" spans="1:1" x14ac:dyDescent="0.25">
      <c r="A6983" s="5"/>
    </row>
    <row r="6984" spans="1:1" x14ac:dyDescent="0.25">
      <c r="A6984" s="5"/>
    </row>
    <row r="6985" spans="1:1" x14ac:dyDescent="0.25">
      <c r="A6985" s="5"/>
    </row>
    <row r="6986" spans="1:1" x14ac:dyDescent="0.25">
      <c r="A6986" s="5"/>
    </row>
    <row r="6987" spans="1:1" x14ac:dyDescent="0.25">
      <c r="A6987" s="5"/>
    </row>
    <row r="6988" spans="1:1" x14ac:dyDescent="0.25">
      <c r="A6988" s="5"/>
    </row>
    <row r="6989" spans="1:1" x14ac:dyDescent="0.25">
      <c r="A6989" s="5"/>
    </row>
    <row r="6990" spans="1:1" x14ac:dyDescent="0.25">
      <c r="A6990" s="5"/>
    </row>
    <row r="6991" spans="1:1" x14ac:dyDescent="0.25">
      <c r="A6991" s="5"/>
    </row>
    <row r="6992" spans="1:1" x14ac:dyDescent="0.25">
      <c r="A6992" s="5"/>
    </row>
    <row r="6993" spans="1:1" x14ac:dyDescent="0.25">
      <c r="A6993" s="5"/>
    </row>
    <row r="6994" spans="1:1" x14ac:dyDescent="0.25">
      <c r="A6994" s="5"/>
    </row>
    <row r="6995" spans="1:1" x14ac:dyDescent="0.25">
      <c r="A6995" s="5"/>
    </row>
    <row r="6996" spans="1:1" x14ac:dyDescent="0.25">
      <c r="A6996" s="5"/>
    </row>
    <row r="6997" spans="1:1" x14ac:dyDescent="0.25">
      <c r="A6997" s="5"/>
    </row>
    <row r="6998" spans="1:1" x14ac:dyDescent="0.25">
      <c r="A6998" s="5"/>
    </row>
    <row r="6999" spans="1:1" x14ac:dyDescent="0.25">
      <c r="A6999" s="5"/>
    </row>
    <row r="7000" spans="1:1" x14ac:dyDescent="0.25">
      <c r="A7000" s="5"/>
    </row>
    <row r="7001" spans="1:1" x14ac:dyDescent="0.25">
      <c r="A7001" s="5"/>
    </row>
    <row r="7002" spans="1:1" x14ac:dyDescent="0.25">
      <c r="A7002" s="5"/>
    </row>
    <row r="7003" spans="1:1" x14ac:dyDescent="0.25">
      <c r="A7003" s="5"/>
    </row>
    <row r="7004" spans="1:1" x14ac:dyDescent="0.25">
      <c r="A7004" s="5"/>
    </row>
    <row r="7005" spans="1:1" x14ac:dyDescent="0.25">
      <c r="A7005" s="5"/>
    </row>
    <row r="7006" spans="1:1" x14ac:dyDescent="0.25">
      <c r="A7006" s="5"/>
    </row>
    <row r="7007" spans="1:1" x14ac:dyDescent="0.25">
      <c r="A7007" s="5"/>
    </row>
    <row r="7008" spans="1:1" x14ac:dyDescent="0.25">
      <c r="A7008" s="5"/>
    </row>
    <row r="7009" spans="1:1" x14ac:dyDescent="0.25">
      <c r="A7009" s="5"/>
    </row>
    <row r="7010" spans="1:1" x14ac:dyDescent="0.25">
      <c r="A7010" s="5"/>
    </row>
    <row r="7011" spans="1:1" x14ac:dyDescent="0.25">
      <c r="A7011" s="5"/>
    </row>
    <row r="7012" spans="1:1" x14ac:dyDescent="0.25">
      <c r="A7012" s="5"/>
    </row>
    <row r="7013" spans="1:1" x14ac:dyDescent="0.25">
      <c r="A7013" s="5"/>
    </row>
    <row r="7014" spans="1:1" x14ac:dyDescent="0.25">
      <c r="A7014" s="5"/>
    </row>
    <row r="7015" spans="1:1" x14ac:dyDescent="0.25">
      <c r="A7015" s="5"/>
    </row>
    <row r="7016" spans="1:1" x14ac:dyDescent="0.25">
      <c r="A7016" s="5"/>
    </row>
    <row r="7017" spans="1:1" x14ac:dyDescent="0.25">
      <c r="A7017" s="5"/>
    </row>
    <row r="7018" spans="1:1" x14ac:dyDescent="0.25">
      <c r="A7018" s="5"/>
    </row>
    <row r="7019" spans="1:1" x14ac:dyDescent="0.25">
      <c r="A7019" s="5"/>
    </row>
    <row r="7020" spans="1:1" x14ac:dyDescent="0.25">
      <c r="A7020" s="5"/>
    </row>
    <row r="7021" spans="1:1" x14ac:dyDescent="0.25">
      <c r="A7021" s="5"/>
    </row>
    <row r="7022" spans="1:1" x14ac:dyDescent="0.25">
      <c r="A7022" s="5"/>
    </row>
    <row r="7023" spans="1:1" x14ac:dyDescent="0.25">
      <c r="A7023" s="5"/>
    </row>
    <row r="7024" spans="1:1" x14ac:dyDescent="0.25">
      <c r="A7024" s="5"/>
    </row>
    <row r="7025" spans="1:1" x14ac:dyDescent="0.25">
      <c r="A7025" s="5"/>
    </row>
    <row r="7026" spans="1:1" x14ac:dyDescent="0.25">
      <c r="A7026" s="5"/>
    </row>
    <row r="7027" spans="1:1" x14ac:dyDescent="0.25">
      <c r="A7027" s="5"/>
    </row>
    <row r="7028" spans="1:1" x14ac:dyDescent="0.25">
      <c r="A7028" s="5"/>
    </row>
    <row r="7029" spans="1:1" x14ac:dyDescent="0.25">
      <c r="A7029" s="5"/>
    </row>
    <row r="7030" spans="1:1" x14ac:dyDescent="0.25">
      <c r="A7030" s="5"/>
    </row>
    <row r="7031" spans="1:1" x14ac:dyDescent="0.25">
      <c r="A7031" s="5"/>
    </row>
    <row r="7032" spans="1:1" x14ac:dyDescent="0.25">
      <c r="A7032" s="5"/>
    </row>
    <row r="7033" spans="1:1" x14ac:dyDescent="0.25">
      <c r="A7033" s="5"/>
    </row>
    <row r="7034" spans="1:1" x14ac:dyDescent="0.25">
      <c r="A7034" s="5"/>
    </row>
    <row r="7035" spans="1:1" x14ac:dyDescent="0.25">
      <c r="A7035" s="5"/>
    </row>
    <row r="7036" spans="1:1" x14ac:dyDescent="0.25">
      <c r="A7036" s="5"/>
    </row>
    <row r="7037" spans="1:1" x14ac:dyDescent="0.25">
      <c r="A7037" s="5"/>
    </row>
    <row r="7038" spans="1:1" x14ac:dyDescent="0.25">
      <c r="A7038" s="5"/>
    </row>
    <row r="7039" spans="1:1" x14ac:dyDescent="0.25">
      <c r="A7039" s="5"/>
    </row>
    <row r="7040" spans="1:1" x14ac:dyDescent="0.25">
      <c r="A7040" s="5"/>
    </row>
    <row r="7041" spans="1:1" x14ac:dyDescent="0.25">
      <c r="A7041" s="5"/>
    </row>
    <row r="7042" spans="1:1" x14ac:dyDescent="0.25">
      <c r="A7042" s="5"/>
    </row>
    <row r="7043" spans="1:1" x14ac:dyDescent="0.25">
      <c r="A7043" s="5"/>
    </row>
    <row r="7044" spans="1:1" x14ac:dyDescent="0.25">
      <c r="A7044" s="5"/>
    </row>
    <row r="7045" spans="1:1" x14ac:dyDescent="0.25">
      <c r="A7045" s="5"/>
    </row>
    <row r="7046" spans="1:1" x14ac:dyDescent="0.25">
      <c r="A7046" s="5"/>
    </row>
    <row r="7047" spans="1:1" x14ac:dyDescent="0.25">
      <c r="A7047" s="5"/>
    </row>
    <row r="7048" spans="1:1" x14ac:dyDescent="0.25">
      <c r="A7048" s="5"/>
    </row>
    <row r="7049" spans="1:1" x14ac:dyDescent="0.25">
      <c r="A7049" s="5"/>
    </row>
    <row r="7050" spans="1:1" x14ac:dyDescent="0.25">
      <c r="A7050" s="5"/>
    </row>
    <row r="7051" spans="1:1" x14ac:dyDescent="0.25">
      <c r="A7051" s="5"/>
    </row>
    <row r="7052" spans="1:1" x14ac:dyDescent="0.25">
      <c r="A7052" s="5"/>
    </row>
    <row r="7053" spans="1:1" x14ac:dyDescent="0.25">
      <c r="A7053" s="5"/>
    </row>
    <row r="7054" spans="1:1" x14ac:dyDescent="0.25">
      <c r="A7054" s="5"/>
    </row>
    <row r="7055" spans="1:1" x14ac:dyDescent="0.25">
      <c r="A7055" s="5"/>
    </row>
    <row r="7056" spans="1:1" x14ac:dyDescent="0.25">
      <c r="A7056" s="5"/>
    </row>
    <row r="7057" spans="1:1" x14ac:dyDescent="0.25">
      <c r="A7057" s="5"/>
    </row>
    <row r="7058" spans="1:1" x14ac:dyDescent="0.25">
      <c r="A7058" s="5"/>
    </row>
    <row r="7059" spans="1:1" x14ac:dyDescent="0.25">
      <c r="A7059" s="5"/>
    </row>
    <row r="7060" spans="1:1" x14ac:dyDescent="0.25">
      <c r="A7060" s="5"/>
    </row>
    <row r="7061" spans="1:1" x14ac:dyDescent="0.25">
      <c r="A7061" s="5"/>
    </row>
    <row r="7062" spans="1:1" x14ac:dyDescent="0.25">
      <c r="A7062" s="5"/>
    </row>
    <row r="7063" spans="1:1" x14ac:dyDescent="0.25">
      <c r="A7063" s="5"/>
    </row>
    <row r="7064" spans="1:1" x14ac:dyDescent="0.25">
      <c r="A7064" s="5"/>
    </row>
    <row r="7065" spans="1:1" x14ac:dyDescent="0.25">
      <c r="A7065" s="5"/>
    </row>
    <row r="7066" spans="1:1" x14ac:dyDescent="0.25">
      <c r="A7066" s="5"/>
    </row>
    <row r="7067" spans="1:1" x14ac:dyDescent="0.25">
      <c r="A7067" s="5"/>
    </row>
    <row r="7068" spans="1:1" x14ac:dyDescent="0.25">
      <c r="A7068" s="5"/>
    </row>
    <row r="7069" spans="1:1" x14ac:dyDescent="0.25">
      <c r="A7069" s="5"/>
    </row>
    <row r="7070" spans="1:1" x14ac:dyDescent="0.25">
      <c r="A7070" s="5"/>
    </row>
    <row r="7071" spans="1:1" x14ac:dyDescent="0.25">
      <c r="A7071" s="5"/>
    </row>
    <row r="7072" spans="1:1" x14ac:dyDescent="0.25">
      <c r="A7072" s="5"/>
    </row>
    <row r="7073" spans="1:1" x14ac:dyDescent="0.25">
      <c r="A7073" s="5"/>
    </row>
    <row r="7074" spans="1:1" x14ac:dyDescent="0.25">
      <c r="A7074" s="5"/>
    </row>
    <row r="7075" spans="1:1" x14ac:dyDescent="0.25">
      <c r="A7075" s="5"/>
    </row>
    <row r="7076" spans="1:1" x14ac:dyDescent="0.25">
      <c r="A7076" s="5"/>
    </row>
    <row r="7077" spans="1:1" x14ac:dyDescent="0.25">
      <c r="A7077" s="5"/>
    </row>
    <row r="7078" spans="1:1" x14ac:dyDescent="0.25">
      <c r="A7078" s="5"/>
    </row>
    <row r="7079" spans="1:1" x14ac:dyDescent="0.25">
      <c r="A7079" s="5"/>
    </row>
    <row r="7080" spans="1:1" x14ac:dyDescent="0.25">
      <c r="A7080" s="5"/>
    </row>
    <row r="7081" spans="1:1" x14ac:dyDescent="0.25">
      <c r="A7081" s="5"/>
    </row>
    <row r="7082" spans="1:1" x14ac:dyDescent="0.25">
      <c r="A7082" s="5"/>
    </row>
    <row r="7083" spans="1:1" x14ac:dyDescent="0.25">
      <c r="A7083" s="5"/>
    </row>
    <row r="7084" spans="1:1" x14ac:dyDescent="0.25">
      <c r="A7084" s="5"/>
    </row>
    <row r="7085" spans="1:1" x14ac:dyDescent="0.25">
      <c r="A7085" s="5"/>
    </row>
    <row r="7086" spans="1:1" x14ac:dyDescent="0.25">
      <c r="A7086" s="5"/>
    </row>
    <row r="7087" spans="1:1" x14ac:dyDescent="0.25">
      <c r="A7087" s="5"/>
    </row>
    <row r="7088" spans="1:1" x14ac:dyDescent="0.25">
      <c r="A7088" s="5"/>
    </row>
    <row r="7089" spans="1:1" x14ac:dyDescent="0.25">
      <c r="A7089" s="5"/>
    </row>
    <row r="7090" spans="1:1" x14ac:dyDescent="0.25">
      <c r="A7090" s="5"/>
    </row>
    <row r="7091" spans="1:1" x14ac:dyDescent="0.25">
      <c r="A7091" s="5"/>
    </row>
    <row r="7092" spans="1:1" x14ac:dyDescent="0.25">
      <c r="A7092" s="5"/>
    </row>
    <row r="7093" spans="1:1" x14ac:dyDescent="0.25">
      <c r="A7093" s="5"/>
    </row>
    <row r="7094" spans="1:1" x14ac:dyDescent="0.25">
      <c r="A7094" s="5"/>
    </row>
    <row r="7095" spans="1:1" x14ac:dyDescent="0.25">
      <c r="A7095" s="5"/>
    </row>
    <row r="7096" spans="1:1" x14ac:dyDescent="0.25">
      <c r="A7096" s="5"/>
    </row>
    <row r="7097" spans="1:1" x14ac:dyDescent="0.25">
      <c r="A7097" s="5"/>
    </row>
    <row r="7098" spans="1:1" x14ac:dyDescent="0.25">
      <c r="A7098" s="5"/>
    </row>
    <row r="7099" spans="1:1" x14ac:dyDescent="0.25">
      <c r="A7099" s="5"/>
    </row>
    <row r="7100" spans="1:1" x14ac:dyDescent="0.25">
      <c r="A7100" s="5"/>
    </row>
    <row r="7101" spans="1:1" x14ac:dyDescent="0.25">
      <c r="A7101" s="5"/>
    </row>
    <row r="7102" spans="1:1" x14ac:dyDescent="0.25">
      <c r="A7102" s="5"/>
    </row>
    <row r="7103" spans="1:1" x14ac:dyDescent="0.25">
      <c r="A7103" s="5"/>
    </row>
    <row r="7104" spans="1:1" x14ac:dyDescent="0.25">
      <c r="A7104" s="5"/>
    </row>
    <row r="7105" spans="1:1" x14ac:dyDescent="0.25">
      <c r="A7105" s="5"/>
    </row>
    <row r="7106" spans="1:1" x14ac:dyDescent="0.25">
      <c r="A7106" s="5"/>
    </row>
    <row r="7107" spans="1:1" x14ac:dyDescent="0.25">
      <c r="A7107" s="5"/>
    </row>
    <row r="7108" spans="1:1" x14ac:dyDescent="0.25">
      <c r="A7108" s="5"/>
    </row>
    <row r="7109" spans="1:1" x14ac:dyDescent="0.25">
      <c r="A7109" s="5"/>
    </row>
    <row r="7110" spans="1:1" x14ac:dyDescent="0.25">
      <c r="A7110" s="5"/>
    </row>
    <row r="7111" spans="1:1" x14ac:dyDescent="0.25">
      <c r="A7111" s="5"/>
    </row>
    <row r="7112" spans="1:1" x14ac:dyDescent="0.25">
      <c r="A7112" s="5"/>
    </row>
    <row r="7113" spans="1:1" x14ac:dyDescent="0.25">
      <c r="A7113" s="5"/>
    </row>
    <row r="7114" spans="1:1" x14ac:dyDescent="0.25">
      <c r="A7114" s="5"/>
    </row>
    <row r="7115" spans="1:1" x14ac:dyDescent="0.25">
      <c r="A7115" s="5"/>
    </row>
    <row r="7116" spans="1:1" x14ac:dyDescent="0.25">
      <c r="A7116" s="5"/>
    </row>
    <row r="7117" spans="1:1" x14ac:dyDescent="0.25">
      <c r="A7117" s="5"/>
    </row>
    <row r="7118" spans="1:1" x14ac:dyDescent="0.25">
      <c r="A7118" s="5"/>
    </row>
    <row r="7119" spans="1:1" x14ac:dyDescent="0.25">
      <c r="A7119" s="5"/>
    </row>
    <row r="7120" spans="1:1" x14ac:dyDescent="0.25">
      <c r="A7120" s="5"/>
    </row>
    <row r="7121" spans="1:1" x14ac:dyDescent="0.25">
      <c r="A7121" s="5"/>
    </row>
    <row r="7122" spans="1:1" x14ac:dyDescent="0.25">
      <c r="A7122" s="5"/>
    </row>
    <row r="7123" spans="1:1" x14ac:dyDescent="0.25">
      <c r="A7123" s="5"/>
    </row>
    <row r="7124" spans="1:1" x14ac:dyDescent="0.25">
      <c r="A7124" s="5"/>
    </row>
    <row r="7125" spans="1:1" x14ac:dyDescent="0.25">
      <c r="A7125" s="5"/>
    </row>
    <row r="7126" spans="1:1" x14ac:dyDescent="0.25">
      <c r="A7126" s="5"/>
    </row>
    <row r="7127" spans="1:1" x14ac:dyDescent="0.25">
      <c r="A7127" s="5"/>
    </row>
    <row r="7128" spans="1:1" x14ac:dyDescent="0.25">
      <c r="A7128" s="5"/>
    </row>
    <row r="7129" spans="1:1" x14ac:dyDescent="0.25">
      <c r="A7129" s="5"/>
    </row>
    <row r="7130" spans="1:1" x14ac:dyDescent="0.25">
      <c r="A7130" s="5"/>
    </row>
    <row r="7131" spans="1:1" x14ac:dyDescent="0.25">
      <c r="A7131" s="5"/>
    </row>
    <row r="7132" spans="1:1" x14ac:dyDescent="0.25">
      <c r="A7132" s="5"/>
    </row>
    <row r="7133" spans="1:1" x14ac:dyDescent="0.25">
      <c r="A7133" s="5"/>
    </row>
    <row r="7134" spans="1:1" x14ac:dyDescent="0.25">
      <c r="A7134" s="5"/>
    </row>
    <row r="7135" spans="1:1" x14ac:dyDescent="0.25">
      <c r="A7135" s="5"/>
    </row>
    <row r="7136" spans="1:1" x14ac:dyDescent="0.25">
      <c r="A7136" s="5"/>
    </row>
    <row r="7137" spans="1:1" x14ac:dyDescent="0.25">
      <c r="A7137" s="5"/>
    </row>
    <row r="7138" spans="1:1" x14ac:dyDescent="0.25">
      <c r="A7138" s="5"/>
    </row>
    <row r="7139" spans="1:1" x14ac:dyDescent="0.25">
      <c r="A7139" s="5"/>
    </row>
    <row r="7140" spans="1:1" x14ac:dyDescent="0.25">
      <c r="A7140" s="5"/>
    </row>
    <row r="7141" spans="1:1" x14ac:dyDescent="0.25">
      <c r="A7141" s="5"/>
    </row>
    <row r="7142" spans="1:1" x14ac:dyDescent="0.25">
      <c r="A7142" s="5"/>
    </row>
    <row r="7143" spans="1:1" x14ac:dyDescent="0.25">
      <c r="A7143" s="5"/>
    </row>
    <row r="7144" spans="1:1" x14ac:dyDescent="0.25">
      <c r="A7144" s="5"/>
    </row>
    <row r="7145" spans="1:1" x14ac:dyDescent="0.25">
      <c r="A7145" s="5"/>
    </row>
    <row r="7146" spans="1:1" x14ac:dyDescent="0.25">
      <c r="A7146" s="5"/>
    </row>
    <row r="7147" spans="1:1" x14ac:dyDescent="0.25">
      <c r="A7147" s="5"/>
    </row>
    <row r="7148" spans="1:1" x14ac:dyDescent="0.25">
      <c r="A7148" s="5"/>
    </row>
    <row r="7149" spans="1:1" x14ac:dyDescent="0.25">
      <c r="A7149" s="5"/>
    </row>
    <row r="7150" spans="1:1" x14ac:dyDescent="0.25">
      <c r="A7150" s="5"/>
    </row>
    <row r="7151" spans="1:1" x14ac:dyDescent="0.25">
      <c r="A7151" s="5"/>
    </row>
    <row r="7152" spans="1:1" x14ac:dyDescent="0.25">
      <c r="A7152" s="5"/>
    </row>
    <row r="7153" spans="1:1" x14ac:dyDescent="0.25">
      <c r="A7153" s="5"/>
    </row>
    <row r="7154" spans="1:1" x14ac:dyDescent="0.25">
      <c r="A7154" s="5"/>
    </row>
    <row r="7155" spans="1:1" x14ac:dyDescent="0.25">
      <c r="A7155" s="5"/>
    </row>
    <row r="7156" spans="1:1" x14ac:dyDescent="0.25">
      <c r="A7156" s="5"/>
    </row>
    <row r="7157" spans="1:1" x14ac:dyDescent="0.25">
      <c r="A7157" s="5"/>
    </row>
    <row r="7158" spans="1:1" x14ac:dyDescent="0.25">
      <c r="A7158" s="5"/>
    </row>
    <row r="7159" spans="1:1" x14ac:dyDescent="0.25">
      <c r="A7159" s="5"/>
    </row>
    <row r="7160" spans="1:1" x14ac:dyDescent="0.25">
      <c r="A7160" s="5"/>
    </row>
    <row r="7161" spans="1:1" x14ac:dyDescent="0.25">
      <c r="A7161" s="5"/>
    </row>
    <row r="7162" spans="1:1" x14ac:dyDescent="0.25">
      <c r="A7162" s="5"/>
    </row>
    <row r="7163" spans="1:1" x14ac:dyDescent="0.25">
      <c r="A7163" s="5"/>
    </row>
    <row r="7164" spans="1:1" x14ac:dyDescent="0.25">
      <c r="A7164" s="5"/>
    </row>
    <row r="7165" spans="1:1" x14ac:dyDescent="0.25">
      <c r="A7165" s="5"/>
    </row>
    <row r="7166" spans="1:1" x14ac:dyDescent="0.25">
      <c r="A7166" s="5"/>
    </row>
    <row r="7167" spans="1:1" x14ac:dyDescent="0.25">
      <c r="A7167" s="5"/>
    </row>
    <row r="7168" spans="1:1" x14ac:dyDescent="0.25">
      <c r="A7168" s="5"/>
    </row>
    <row r="7169" spans="1:1" x14ac:dyDescent="0.25">
      <c r="A7169" s="5"/>
    </row>
    <row r="7170" spans="1:1" x14ac:dyDescent="0.25">
      <c r="A7170" s="5"/>
    </row>
    <row r="7171" spans="1:1" x14ac:dyDescent="0.25">
      <c r="A7171" s="5"/>
    </row>
    <row r="7172" spans="1:1" x14ac:dyDescent="0.25">
      <c r="A7172" s="5"/>
    </row>
    <row r="7173" spans="1:1" x14ac:dyDescent="0.25">
      <c r="A7173" s="5"/>
    </row>
    <row r="7174" spans="1:1" x14ac:dyDescent="0.25">
      <c r="A7174" s="5"/>
    </row>
    <row r="7175" spans="1:1" x14ac:dyDescent="0.25">
      <c r="A7175" s="5"/>
    </row>
    <row r="7176" spans="1:1" x14ac:dyDescent="0.25">
      <c r="A7176" s="5"/>
    </row>
    <row r="7177" spans="1:1" x14ac:dyDescent="0.25">
      <c r="A7177" s="5"/>
    </row>
    <row r="7178" spans="1:1" x14ac:dyDescent="0.25">
      <c r="A7178" s="5"/>
    </row>
    <row r="7179" spans="1:1" x14ac:dyDescent="0.25">
      <c r="A7179" s="5"/>
    </row>
    <row r="7180" spans="1:1" x14ac:dyDescent="0.25">
      <c r="A7180" s="5"/>
    </row>
    <row r="7181" spans="1:1" x14ac:dyDescent="0.25">
      <c r="A7181" s="5"/>
    </row>
    <row r="7182" spans="1:1" x14ac:dyDescent="0.25">
      <c r="A7182" s="5"/>
    </row>
    <row r="7183" spans="1:1" x14ac:dyDescent="0.25">
      <c r="A7183" s="5"/>
    </row>
    <row r="7184" spans="1:1" x14ac:dyDescent="0.25">
      <c r="A7184" s="5"/>
    </row>
    <row r="7185" spans="1:1" x14ac:dyDescent="0.25">
      <c r="A7185" s="5"/>
    </row>
    <row r="7186" spans="1:1" x14ac:dyDescent="0.25">
      <c r="A7186" s="5"/>
    </row>
    <row r="7187" spans="1:1" x14ac:dyDescent="0.25">
      <c r="A7187" s="5"/>
    </row>
    <row r="7188" spans="1:1" x14ac:dyDescent="0.25">
      <c r="A7188" s="5"/>
    </row>
    <row r="7189" spans="1:1" x14ac:dyDescent="0.25">
      <c r="A7189" s="5"/>
    </row>
    <row r="7190" spans="1:1" x14ac:dyDescent="0.25">
      <c r="A7190" s="5"/>
    </row>
    <row r="7191" spans="1:1" x14ac:dyDescent="0.25">
      <c r="A7191" s="5"/>
    </row>
    <row r="7192" spans="1:1" x14ac:dyDescent="0.25">
      <c r="A7192" s="5"/>
    </row>
    <row r="7193" spans="1:1" x14ac:dyDescent="0.25">
      <c r="A7193" s="5"/>
    </row>
    <row r="7194" spans="1:1" x14ac:dyDescent="0.25">
      <c r="A7194" s="5"/>
    </row>
    <row r="7195" spans="1:1" x14ac:dyDescent="0.25">
      <c r="A7195" s="5"/>
    </row>
    <row r="7196" spans="1:1" x14ac:dyDescent="0.25">
      <c r="A7196" s="5"/>
    </row>
    <row r="7197" spans="1:1" x14ac:dyDescent="0.25">
      <c r="A7197" s="5"/>
    </row>
    <row r="7198" spans="1:1" x14ac:dyDescent="0.25">
      <c r="A7198" s="5"/>
    </row>
    <row r="7199" spans="1:1" x14ac:dyDescent="0.25">
      <c r="A7199" s="5"/>
    </row>
    <row r="7200" spans="1:1" x14ac:dyDescent="0.25">
      <c r="A7200" s="5"/>
    </row>
    <row r="7201" spans="1:1" x14ac:dyDescent="0.25">
      <c r="A7201" s="5"/>
    </row>
    <row r="7202" spans="1:1" x14ac:dyDescent="0.25">
      <c r="A7202" s="5"/>
    </row>
    <row r="7203" spans="1:1" x14ac:dyDescent="0.25">
      <c r="A7203" s="5"/>
    </row>
    <row r="7204" spans="1:1" x14ac:dyDescent="0.25">
      <c r="A7204" s="5"/>
    </row>
    <row r="7205" spans="1:1" x14ac:dyDescent="0.25">
      <c r="A7205" s="5"/>
    </row>
    <row r="7206" spans="1:1" x14ac:dyDescent="0.25">
      <c r="A7206" s="5"/>
    </row>
    <row r="7207" spans="1:1" x14ac:dyDescent="0.25">
      <c r="A7207" s="5"/>
    </row>
    <row r="7208" spans="1:1" x14ac:dyDescent="0.25">
      <c r="A7208" s="5"/>
    </row>
    <row r="7209" spans="1:1" x14ac:dyDescent="0.25">
      <c r="A7209" s="5"/>
    </row>
    <row r="7210" spans="1:1" x14ac:dyDescent="0.25">
      <c r="A7210" s="5"/>
    </row>
    <row r="7211" spans="1:1" x14ac:dyDescent="0.25">
      <c r="A7211" s="5"/>
    </row>
    <row r="7212" spans="1:1" x14ac:dyDescent="0.25">
      <c r="A7212" s="5"/>
    </row>
    <row r="7213" spans="1:1" x14ac:dyDescent="0.25">
      <c r="A7213" s="5"/>
    </row>
    <row r="7214" spans="1:1" x14ac:dyDescent="0.25">
      <c r="A7214" s="5"/>
    </row>
    <row r="7215" spans="1:1" x14ac:dyDescent="0.25">
      <c r="A7215" s="5"/>
    </row>
    <row r="7216" spans="1:1" x14ac:dyDescent="0.25">
      <c r="A7216" s="5"/>
    </row>
    <row r="7217" spans="1:1" x14ac:dyDescent="0.25">
      <c r="A7217" s="5"/>
    </row>
    <row r="7218" spans="1:1" x14ac:dyDescent="0.25">
      <c r="A7218" s="5"/>
    </row>
    <row r="7219" spans="1:1" x14ac:dyDescent="0.25">
      <c r="A7219" s="5"/>
    </row>
    <row r="7220" spans="1:1" x14ac:dyDescent="0.25">
      <c r="A7220" s="5"/>
    </row>
    <row r="7221" spans="1:1" x14ac:dyDescent="0.25">
      <c r="A7221" s="5"/>
    </row>
    <row r="7222" spans="1:1" x14ac:dyDescent="0.25">
      <c r="A7222" s="5"/>
    </row>
    <row r="7223" spans="1:1" x14ac:dyDescent="0.25">
      <c r="A7223" s="5"/>
    </row>
    <row r="7224" spans="1:1" x14ac:dyDescent="0.25">
      <c r="A7224" s="5"/>
    </row>
    <row r="7225" spans="1:1" x14ac:dyDescent="0.25">
      <c r="A7225" s="5"/>
    </row>
    <row r="7226" spans="1:1" x14ac:dyDescent="0.25">
      <c r="A7226" s="5"/>
    </row>
    <row r="7227" spans="1:1" x14ac:dyDescent="0.25">
      <c r="A7227" s="5"/>
    </row>
    <row r="7228" spans="1:1" x14ac:dyDescent="0.25">
      <c r="A7228" s="5"/>
    </row>
    <row r="7229" spans="1:1" x14ac:dyDescent="0.25">
      <c r="A7229" s="5"/>
    </row>
    <row r="7230" spans="1:1" x14ac:dyDescent="0.25">
      <c r="A7230" s="5"/>
    </row>
    <row r="7231" spans="1:1" x14ac:dyDescent="0.25">
      <c r="A7231" s="5"/>
    </row>
    <row r="7232" spans="1:1" x14ac:dyDescent="0.25">
      <c r="A7232" s="5"/>
    </row>
    <row r="7233" spans="1:1" x14ac:dyDescent="0.25">
      <c r="A7233" s="5"/>
    </row>
    <row r="7234" spans="1:1" x14ac:dyDescent="0.25">
      <c r="A7234" s="5"/>
    </row>
    <row r="7235" spans="1:1" x14ac:dyDescent="0.25">
      <c r="A7235" s="5"/>
    </row>
    <row r="7236" spans="1:1" x14ac:dyDescent="0.25">
      <c r="A7236" s="5"/>
    </row>
    <row r="7237" spans="1:1" x14ac:dyDescent="0.25">
      <c r="A7237" s="5"/>
    </row>
    <row r="7238" spans="1:1" x14ac:dyDescent="0.25">
      <c r="A7238" s="5"/>
    </row>
    <row r="7239" spans="1:1" x14ac:dyDescent="0.25">
      <c r="A7239" s="5"/>
    </row>
    <row r="7240" spans="1:1" x14ac:dyDescent="0.25">
      <c r="A7240" s="5"/>
    </row>
    <row r="7241" spans="1:1" x14ac:dyDescent="0.25">
      <c r="A7241" s="5"/>
    </row>
    <row r="7242" spans="1:1" x14ac:dyDescent="0.25">
      <c r="A7242" s="5"/>
    </row>
    <row r="7243" spans="1:1" x14ac:dyDescent="0.25">
      <c r="A7243" s="5"/>
    </row>
    <row r="7244" spans="1:1" x14ac:dyDescent="0.25">
      <c r="A7244" s="5"/>
    </row>
    <row r="7245" spans="1:1" x14ac:dyDescent="0.25">
      <c r="A7245" s="5"/>
    </row>
    <row r="7246" spans="1:1" x14ac:dyDescent="0.25">
      <c r="A7246" s="5"/>
    </row>
    <row r="7247" spans="1:1" x14ac:dyDescent="0.25">
      <c r="A7247" s="5"/>
    </row>
    <row r="7248" spans="1:1" x14ac:dyDescent="0.25">
      <c r="A7248" s="5"/>
    </row>
    <row r="7249" spans="1:1" x14ac:dyDescent="0.25">
      <c r="A7249" s="5"/>
    </row>
    <row r="7250" spans="1:1" x14ac:dyDescent="0.25">
      <c r="A7250" s="5"/>
    </row>
    <row r="7251" spans="1:1" x14ac:dyDescent="0.25">
      <c r="A7251" s="5"/>
    </row>
    <row r="7252" spans="1:1" x14ac:dyDescent="0.25">
      <c r="A7252" s="5"/>
    </row>
    <row r="7253" spans="1:1" x14ac:dyDescent="0.25">
      <c r="A7253" s="5"/>
    </row>
    <row r="7254" spans="1:1" x14ac:dyDescent="0.25">
      <c r="A7254" s="5"/>
    </row>
    <row r="7255" spans="1:1" x14ac:dyDescent="0.25">
      <c r="A7255" s="5"/>
    </row>
    <row r="7256" spans="1:1" x14ac:dyDescent="0.25">
      <c r="A7256" s="5"/>
    </row>
    <row r="7257" spans="1:1" x14ac:dyDescent="0.25">
      <c r="A7257" s="5"/>
    </row>
    <row r="7258" spans="1:1" x14ac:dyDescent="0.25">
      <c r="A7258" s="5"/>
    </row>
    <row r="7259" spans="1:1" x14ac:dyDescent="0.25">
      <c r="A7259" s="5"/>
    </row>
    <row r="7260" spans="1:1" x14ac:dyDescent="0.25">
      <c r="A7260" s="5"/>
    </row>
    <row r="7261" spans="1:1" x14ac:dyDescent="0.25">
      <c r="A7261" s="5"/>
    </row>
    <row r="7262" spans="1:1" x14ac:dyDescent="0.25">
      <c r="A7262" s="5"/>
    </row>
    <row r="7263" spans="1:1" x14ac:dyDescent="0.25">
      <c r="A7263" s="5"/>
    </row>
    <row r="7264" spans="1:1" x14ac:dyDescent="0.25">
      <c r="A7264" s="5"/>
    </row>
    <row r="7265" spans="1:1" x14ac:dyDescent="0.25">
      <c r="A7265" s="5"/>
    </row>
    <row r="7266" spans="1:1" x14ac:dyDescent="0.25">
      <c r="A7266" s="5"/>
    </row>
    <row r="7267" spans="1:1" x14ac:dyDescent="0.25">
      <c r="A7267" s="5"/>
    </row>
    <row r="7268" spans="1:1" x14ac:dyDescent="0.25">
      <c r="A7268" s="5"/>
    </row>
    <row r="7269" spans="1:1" x14ac:dyDescent="0.25">
      <c r="A7269" s="5"/>
    </row>
    <row r="7270" spans="1:1" x14ac:dyDescent="0.25">
      <c r="A7270" s="5"/>
    </row>
    <row r="7271" spans="1:1" x14ac:dyDescent="0.25">
      <c r="A7271" s="5"/>
    </row>
    <row r="7272" spans="1:1" x14ac:dyDescent="0.25">
      <c r="A7272" s="5"/>
    </row>
    <row r="7273" spans="1:1" x14ac:dyDescent="0.25">
      <c r="A7273" s="5"/>
    </row>
    <row r="7274" spans="1:1" x14ac:dyDescent="0.25">
      <c r="A7274" s="5"/>
    </row>
    <row r="7275" spans="1:1" x14ac:dyDescent="0.25">
      <c r="A7275" s="5"/>
    </row>
    <row r="7276" spans="1:1" x14ac:dyDescent="0.25">
      <c r="A7276" s="5"/>
    </row>
    <row r="7277" spans="1:1" x14ac:dyDescent="0.25">
      <c r="A7277" s="5"/>
    </row>
    <row r="7278" spans="1:1" x14ac:dyDescent="0.25">
      <c r="A7278" s="5"/>
    </row>
    <row r="7279" spans="1:1" x14ac:dyDescent="0.25">
      <c r="A7279" s="5"/>
    </row>
    <row r="7280" spans="1:1" x14ac:dyDescent="0.25">
      <c r="A7280" s="5"/>
    </row>
    <row r="7281" spans="1:1" x14ac:dyDescent="0.25">
      <c r="A7281" s="5"/>
    </row>
    <row r="7282" spans="1:1" x14ac:dyDescent="0.25">
      <c r="A7282" s="5"/>
    </row>
    <row r="7283" spans="1:1" x14ac:dyDescent="0.25">
      <c r="A7283" s="5"/>
    </row>
    <row r="7284" spans="1:1" x14ac:dyDescent="0.25">
      <c r="A7284" s="5"/>
    </row>
    <row r="7285" spans="1:1" x14ac:dyDescent="0.25">
      <c r="A7285" s="5"/>
    </row>
    <row r="7286" spans="1:1" x14ac:dyDescent="0.25">
      <c r="A7286" s="5"/>
    </row>
    <row r="7287" spans="1:1" x14ac:dyDescent="0.25">
      <c r="A7287" s="5"/>
    </row>
    <row r="7288" spans="1:1" x14ac:dyDescent="0.25">
      <c r="A7288" s="5"/>
    </row>
    <row r="7289" spans="1:1" x14ac:dyDescent="0.25">
      <c r="A7289" s="5"/>
    </row>
    <row r="7290" spans="1:1" x14ac:dyDescent="0.25">
      <c r="A7290" s="5"/>
    </row>
    <row r="7291" spans="1:1" x14ac:dyDescent="0.25">
      <c r="A7291" s="5"/>
    </row>
    <row r="7292" spans="1:1" x14ac:dyDescent="0.25">
      <c r="A7292" s="5"/>
    </row>
    <row r="7293" spans="1:1" x14ac:dyDescent="0.25">
      <c r="A7293" s="5"/>
    </row>
    <row r="7294" spans="1:1" x14ac:dyDescent="0.25">
      <c r="A7294" s="5"/>
    </row>
    <row r="7295" spans="1:1" x14ac:dyDescent="0.25">
      <c r="A7295" s="5"/>
    </row>
    <row r="7296" spans="1:1" x14ac:dyDescent="0.25">
      <c r="A7296" s="5"/>
    </row>
    <row r="7297" spans="1:1" x14ac:dyDescent="0.25">
      <c r="A7297" s="5"/>
    </row>
    <row r="7298" spans="1:1" x14ac:dyDescent="0.25">
      <c r="A7298" s="5"/>
    </row>
    <row r="7299" spans="1:1" x14ac:dyDescent="0.25">
      <c r="A7299" s="5"/>
    </row>
    <row r="7300" spans="1:1" x14ac:dyDescent="0.25">
      <c r="A7300" s="5"/>
    </row>
    <row r="7301" spans="1:1" x14ac:dyDescent="0.25">
      <c r="A7301" s="5"/>
    </row>
    <row r="7302" spans="1:1" x14ac:dyDescent="0.25">
      <c r="A7302" s="5"/>
    </row>
    <row r="7303" spans="1:1" x14ac:dyDescent="0.25">
      <c r="A7303" s="5"/>
    </row>
    <row r="7304" spans="1:1" x14ac:dyDescent="0.25">
      <c r="A7304" s="5"/>
    </row>
    <row r="7305" spans="1:1" x14ac:dyDescent="0.25">
      <c r="A7305" s="5"/>
    </row>
    <row r="7306" spans="1:1" x14ac:dyDescent="0.25">
      <c r="A7306" s="5"/>
    </row>
    <row r="7307" spans="1:1" x14ac:dyDescent="0.25">
      <c r="A7307" s="5"/>
    </row>
    <row r="7308" spans="1:1" x14ac:dyDescent="0.25">
      <c r="A7308" s="5"/>
    </row>
    <row r="7309" spans="1:1" x14ac:dyDescent="0.25">
      <c r="A7309" s="5"/>
    </row>
    <row r="7310" spans="1:1" x14ac:dyDescent="0.25">
      <c r="A7310" s="5"/>
    </row>
    <row r="7311" spans="1:1" x14ac:dyDescent="0.25">
      <c r="A7311" s="5"/>
    </row>
    <row r="7312" spans="1:1" x14ac:dyDescent="0.25">
      <c r="A7312" s="5"/>
    </row>
    <row r="7313" spans="1:1" x14ac:dyDescent="0.25">
      <c r="A7313" s="5"/>
    </row>
    <row r="7314" spans="1:1" x14ac:dyDescent="0.25">
      <c r="A7314" s="5"/>
    </row>
    <row r="7315" spans="1:1" x14ac:dyDescent="0.25">
      <c r="A7315" s="5"/>
    </row>
    <row r="7316" spans="1:1" x14ac:dyDescent="0.25">
      <c r="A7316" s="5"/>
    </row>
    <row r="7317" spans="1:1" x14ac:dyDescent="0.25">
      <c r="A7317" s="5"/>
    </row>
    <row r="7318" spans="1:1" x14ac:dyDescent="0.25">
      <c r="A7318" s="5"/>
    </row>
    <row r="7319" spans="1:1" x14ac:dyDescent="0.25">
      <c r="A7319" s="5"/>
    </row>
    <row r="7320" spans="1:1" x14ac:dyDescent="0.25">
      <c r="A7320" s="5"/>
    </row>
    <row r="7321" spans="1:1" x14ac:dyDescent="0.25">
      <c r="A7321" s="5"/>
    </row>
    <row r="7322" spans="1:1" x14ac:dyDescent="0.25">
      <c r="A7322" s="5"/>
    </row>
    <row r="7323" spans="1:1" x14ac:dyDescent="0.25">
      <c r="A7323" s="5"/>
    </row>
    <row r="7324" spans="1:1" x14ac:dyDescent="0.25">
      <c r="A7324" s="5"/>
    </row>
    <row r="7325" spans="1:1" x14ac:dyDescent="0.25">
      <c r="A7325" s="5"/>
    </row>
    <row r="7326" spans="1:1" x14ac:dyDescent="0.25">
      <c r="A7326" s="5"/>
    </row>
    <row r="7327" spans="1:1" x14ac:dyDescent="0.25">
      <c r="A7327" s="5"/>
    </row>
    <row r="7328" spans="1:1" x14ac:dyDescent="0.25">
      <c r="A7328" s="5"/>
    </row>
    <row r="7329" spans="1:1" x14ac:dyDescent="0.25">
      <c r="A7329" s="5"/>
    </row>
    <row r="7330" spans="1:1" x14ac:dyDescent="0.25">
      <c r="A7330" s="5"/>
    </row>
    <row r="7331" spans="1:1" x14ac:dyDescent="0.25">
      <c r="A7331" s="5"/>
    </row>
    <row r="7332" spans="1:1" x14ac:dyDescent="0.25">
      <c r="A7332" s="5"/>
    </row>
    <row r="7333" spans="1:1" x14ac:dyDescent="0.25">
      <c r="A7333" s="5"/>
    </row>
    <row r="7334" spans="1:1" x14ac:dyDescent="0.25">
      <c r="A7334" s="5"/>
    </row>
    <row r="7335" spans="1:1" x14ac:dyDescent="0.25">
      <c r="A7335" s="5"/>
    </row>
    <row r="7336" spans="1:1" x14ac:dyDescent="0.25">
      <c r="A7336" s="5"/>
    </row>
    <row r="7337" spans="1:1" x14ac:dyDescent="0.25">
      <c r="A7337" s="5"/>
    </row>
    <row r="7338" spans="1:1" x14ac:dyDescent="0.25">
      <c r="A7338" s="5"/>
    </row>
    <row r="7339" spans="1:1" x14ac:dyDescent="0.25">
      <c r="A7339" s="5"/>
    </row>
    <row r="7340" spans="1:1" x14ac:dyDescent="0.25">
      <c r="A7340" s="5"/>
    </row>
    <row r="7341" spans="1:1" x14ac:dyDescent="0.25">
      <c r="A7341" s="5"/>
    </row>
    <row r="7342" spans="1:1" x14ac:dyDescent="0.25">
      <c r="A7342" s="5"/>
    </row>
    <row r="7343" spans="1:1" x14ac:dyDescent="0.25">
      <c r="A7343" s="5"/>
    </row>
    <row r="7344" spans="1:1" x14ac:dyDescent="0.25">
      <c r="A7344" s="5"/>
    </row>
    <row r="7345" spans="1:1" x14ac:dyDescent="0.25">
      <c r="A7345" s="5"/>
    </row>
    <row r="7346" spans="1:1" x14ac:dyDescent="0.25">
      <c r="A7346" s="5"/>
    </row>
    <row r="7347" spans="1:1" x14ac:dyDescent="0.25">
      <c r="A7347" s="5"/>
    </row>
    <row r="7348" spans="1:1" x14ac:dyDescent="0.25">
      <c r="A7348" s="5"/>
    </row>
    <row r="7349" spans="1:1" x14ac:dyDescent="0.25">
      <c r="A7349" s="5"/>
    </row>
    <row r="7350" spans="1:1" x14ac:dyDescent="0.25">
      <c r="A7350" s="5"/>
    </row>
    <row r="7351" spans="1:1" x14ac:dyDescent="0.25">
      <c r="A7351" s="5"/>
    </row>
    <row r="7352" spans="1:1" x14ac:dyDescent="0.25">
      <c r="A7352" s="5"/>
    </row>
    <row r="7353" spans="1:1" x14ac:dyDescent="0.25">
      <c r="A7353" s="5"/>
    </row>
    <row r="7354" spans="1:1" x14ac:dyDescent="0.25">
      <c r="A7354" s="5"/>
    </row>
    <row r="7355" spans="1:1" x14ac:dyDescent="0.25">
      <c r="A7355" s="5"/>
    </row>
    <row r="7356" spans="1:1" x14ac:dyDescent="0.25">
      <c r="A7356" s="5"/>
    </row>
    <row r="7357" spans="1:1" x14ac:dyDescent="0.25">
      <c r="A7357" s="5"/>
    </row>
    <row r="7358" spans="1:1" x14ac:dyDescent="0.25">
      <c r="A7358" s="5"/>
    </row>
    <row r="7359" spans="1:1" x14ac:dyDescent="0.25">
      <c r="A7359" s="5"/>
    </row>
    <row r="7360" spans="1:1" x14ac:dyDescent="0.25">
      <c r="A7360" s="5"/>
    </row>
    <row r="7361" spans="1:1" x14ac:dyDescent="0.25">
      <c r="A7361" s="5"/>
    </row>
    <row r="7362" spans="1:1" x14ac:dyDescent="0.25">
      <c r="A7362" s="5"/>
    </row>
    <row r="7363" spans="1:1" x14ac:dyDescent="0.25">
      <c r="A7363" s="5"/>
    </row>
    <row r="7364" spans="1:1" x14ac:dyDescent="0.25">
      <c r="A7364" s="5"/>
    </row>
    <row r="7365" spans="1:1" x14ac:dyDescent="0.25">
      <c r="A7365" s="5"/>
    </row>
    <row r="7366" spans="1:1" x14ac:dyDescent="0.25">
      <c r="A7366" s="5"/>
    </row>
    <row r="7367" spans="1:1" x14ac:dyDescent="0.25">
      <c r="A7367" s="5"/>
    </row>
    <row r="7368" spans="1:1" x14ac:dyDescent="0.25">
      <c r="A7368" s="5"/>
    </row>
    <row r="7369" spans="1:1" x14ac:dyDescent="0.25">
      <c r="A7369" s="5"/>
    </row>
    <row r="7370" spans="1:1" x14ac:dyDescent="0.25">
      <c r="A7370" s="5"/>
    </row>
    <row r="7371" spans="1:1" x14ac:dyDescent="0.25">
      <c r="A7371" s="5"/>
    </row>
    <row r="7372" spans="1:1" x14ac:dyDescent="0.25">
      <c r="A7372" s="5"/>
    </row>
    <row r="7373" spans="1:1" x14ac:dyDescent="0.25">
      <c r="A7373" s="5"/>
    </row>
    <row r="7374" spans="1:1" x14ac:dyDescent="0.25">
      <c r="A7374" s="5"/>
    </row>
    <row r="7375" spans="1:1" x14ac:dyDescent="0.25">
      <c r="A7375" s="5"/>
    </row>
    <row r="7376" spans="1:1" x14ac:dyDescent="0.25">
      <c r="A7376" s="5"/>
    </row>
    <row r="7377" spans="1:1" x14ac:dyDescent="0.25">
      <c r="A7377" s="5"/>
    </row>
    <row r="7378" spans="1:1" x14ac:dyDescent="0.25">
      <c r="A7378" s="5"/>
    </row>
    <row r="7379" spans="1:1" x14ac:dyDescent="0.25">
      <c r="A7379" s="5"/>
    </row>
    <row r="7380" spans="1:1" x14ac:dyDescent="0.25">
      <c r="A7380" s="5"/>
    </row>
    <row r="7381" spans="1:1" x14ac:dyDescent="0.25">
      <c r="A7381" s="5"/>
    </row>
    <row r="7382" spans="1:1" x14ac:dyDescent="0.25">
      <c r="A7382" s="5"/>
    </row>
    <row r="7383" spans="1:1" x14ac:dyDescent="0.25">
      <c r="A7383" s="5"/>
    </row>
    <row r="7384" spans="1:1" x14ac:dyDescent="0.25">
      <c r="A7384" s="5"/>
    </row>
    <row r="7385" spans="1:1" x14ac:dyDescent="0.25">
      <c r="A7385" s="5"/>
    </row>
    <row r="7386" spans="1:1" x14ac:dyDescent="0.25">
      <c r="A7386" s="5"/>
    </row>
    <row r="7387" spans="1:1" x14ac:dyDescent="0.25">
      <c r="A7387" s="5"/>
    </row>
    <row r="7388" spans="1:1" x14ac:dyDescent="0.25">
      <c r="A7388" s="5"/>
    </row>
    <row r="7389" spans="1:1" x14ac:dyDescent="0.25">
      <c r="A7389" s="5"/>
    </row>
    <row r="7390" spans="1:1" x14ac:dyDescent="0.25">
      <c r="A7390" s="5"/>
    </row>
    <row r="7391" spans="1:1" x14ac:dyDescent="0.25">
      <c r="A7391" s="5"/>
    </row>
    <row r="7392" spans="1:1" x14ac:dyDescent="0.25">
      <c r="A7392" s="5"/>
    </row>
    <row r="7393" spans="1:1" x14ac:dyDescent="0.25">
      <c r="A7393" s="5"/>
    </row>
    <row r="7394" spans="1:1" x14ac:dyDescent="0.25">
      <c r="A7394" s="5"/>
    </row>
    <row r="7395" spans="1:1" x14ac:dyDescent="0.25">
      <c r="A7395" s="5"/>
    </row>
    <row r="7396" spans="1:1" x14ac:dyDescent="0.25">
      <c r="A7396" s="5"/>
    </row>
    <row r="7397" spans="1:1" x14ac:dyDescent="0.25">
      <c r="A7397" s="5"/>
    </row>
    <row r="7398" spans="1:1" x14ac:dyDescent="0.25">
      <c r="A7398" s="5"/>
    </row>
    <row r="7399" spans="1:1" x14ac:dyDescent="0.25">
      <c r="A7399" s="5"/>
    </row>
    <row r="7400" spans="1:1" x14ac:dyDescent="0.25">
      <c r="A7400" s="5"/>
    </row>
    <row r="7401" spans="1:1" x14ac:dyDescent="0.25">
      <c r="A7401" s="5"/>
    </row>
    <row r="7402" spans="1:1" x14ac:dyDescent="0.25">
      <c r="A7402" s="5"/>
    </row>
    <row r="7403" spans="1:1" x14ac:dyDescent="0.25">
      <c r="A7403" s="5"/>
    </row>
    <row r="7404" spans="1:1" x14ac:dyDescent="0.25">
      <c r="A7404" s="5"/>
    </row>
    <row r="7405" spans="1:1" x14ac:dyDescent="0.25">
      <c r="A7405" s="5"/>
    </row>
    <row r="7406" spans="1:1" x14ac:dyDescent="0.25">
      <c r="A7406" s="5"/>
    </row>
    <row r="7407" spans="1:1" x14ac:dyDescent="0.25">
      <c r="A7407" s="5"/>
    </row>
    <row r="7408" spans="1:1" x14ac:dyDescent="0.25">
      <c r="A7408" s="5"/>
    </row>
    <row r="7409" spans="1:1" x14ac:dyDescent="0.25">
      <c r="A7409" s="5"/>
    </row>
    <row r="7410" spans="1:1" x14ac:dyDescent="0.25">
      <c r="A7410" s="5"/>
    </row>
    <row r="7411" spans="1:1" x14ac:dyDescent="0.25">
      <c r="A7411" s="5"/>
    </row>
    <row r="7412" spans="1:1" x14ac:dyDescent="0.25">
      <c r="A7412" s="5"/>
    </row>
    <row r="7413" spans="1:1" x14ac:dyDescent="0.25">
      <c r="A7413" s="5"/>
    </row>
    <row r="7414" spans="1:1" x14ac:dyDescent="0.25">
      <c r="A7414" s="5"/>
    </row>
    <row r="7415" spans="1:1" x14ac:dyDescent="0.25">
      <c r="A7415" s="5"/>
    </row>
    <row r="7416" spans="1:1" x14ac:dyDescent="0.25">
      <c r="A7416" s="5"/>
    </row>
    <row r="7417" spans="1:1" x14ac:dyDescent="0.25">
      <c r="A7417" s="5"/>
    </row>
    <row r="7418" spans="1:1" x14ac:dyDescent="0.25">
      <c r="A7418" s="5"/>
    </row>
    <row r="7419" spans="1:1" x14ac:dyDescent="0.25">
      <c r="A7419" s="5"/>
    </row>
    <row r="7420" spans="1:1" x14ac:dyDescent="0.25">
      <c r="A7420" s="5"/>
    </row>
    <row r="7421" spans="1:1" x14ac:dyDescent="0.25">
      <c r="A7421" s="5"/>
    </row>
    <row r="7422" spans="1:1" x14ac:dyDescent="0.25">
      <c r="A7422" s="5"/>
    </row>
    <row r="7423" spans="1:1" x14ac:dyDescent="0.25">
      <c r="A7423" s="5"/>
    </row>
    <row r="7424" spans="1:1" x14ac:dyDescent="0.25">
      <c r="A7424" s="5"/>
    </row>
    <row r="7425" spans="1:1" x14ac:dyDescent="0.25">
      <c r="A7425" s="5"/>
    </row>
    <row r="7426" spans="1:1" x14ac:dyDescent="0.25">
      <c r="A7426" s="5"/>
    </row>
    <row r="7427" spans="1:1" x14ac:dyDescent="0.25">
      <c r="A7427" s="5"/>
    </row>
    <row r="7428" spans="1:1" x14ac:dyDescent="0.25">
      <c r="A7428" s="5"/>
    </row>
    <row r="7429" spans="1:1" x14ac:dyDescent="0.25">
      <c r="A7429" s="5"/>
    </row>
    <row r="7430" spans="1:1" x14ac:dyDescent="0.25">
      <c r="A7430" s="5"/>
    </row>
    <row r="7431" spans="1:1" x14ac:dyDescent="0.25">
      <c r="A7431" s="5"/>
    </row>
    <row r="7432" spans="1:1" x14ac:dyDescent="0.25">
      <c r="A7432" s="5"/>
    </row>
    <row r="7433" spans="1:1" x14ac:dyDescent="0.25">
      <c r="A7433" s="5"/>
    </row>
    <row r="7434" spans="1:1" x14ac:dyDescent="0.25">
      <c r="A7434" s="5"/>
    </row>
    <row r="7435" spans="1:1" x14ac:dyDescent="0.25">
      <c r="A7435" s="5"/>
    </row>
    <row r="7436" spans="1:1" x14ac:dyDescent="0.25">
      <c r="A7436" s="5"/>
    </row>
    <row r="7437" spans="1:1" x14ac:dyDescent="0.25">
      <c r="A7437" s="5"/>
    </row>
    <row r="7438" spans="1:1" x14ac:dyDescent="0.25">
      <c r="A7438" s="5"/>
    </row>
    <row r="7439" spans="1:1" x14ac:dyDescent="0.25">
      <c r="A7439" s="5"/>
    </row>
    <row r="7440" spans="1:1" x14ac:dyDescent="0.25">
      <c r="A7440" s="5"/>
    </row>
    <row r="7441" spans="1:1" x14ac:dyDescent="0.25">
      <c r="A7441" s="5"/>
    </row>
    <row r="7442" spans="1:1" x14ac:dyDescent="0.25">
      <c r="A7442" s="5"/>
    </row>
    <row r="7443" spans="1:1" x14ac:dyDescent="0.25">
      <c r="A7443" s="5"/>
    </row>
    <row r="7444" spans="1:1" x14ac:dyDescent="0.25">
      <c r="A7444" s="5"/>
    </row>
    <row r="7445" spans="1:1" x14ac:dyDescent="0.25">
      <c r="A7445" s="5"/>
    </row>
    <row r="7446" spans="1:1" x14ac:dyDescent="0.25">
      <c r="A7446" s="5"/>
    </row>
    <row r="7447" spans="1:1" x14ac:dyDescent="0.25">
      <c r="A7447" s="5"/>
    </row>
    <row r="7448" spans="1:1" x14ac:dyDescent="0.25">
      <c r="A7448" s="5"/>
    </row>
    <row r="7449" spans="1:1" x14ac:dyDescent="0.25">
      <c r="A7449" s="5"/>
    </row>
    <row r="7450" spans="1:1" x14ac:dyDescent="0.25">
      <c r="A7450" s="5"/>
    </row>
    <row r="7451" spans="1:1" x14ac:dyDescent="0.25">
      <c r="A7451" s="5"/>
    </row>
    <row r="7452" spans="1:1" x14ac:dyDescent="0.25">
      <c r="A7452" s="5"/>
    </row>
    <row r="7453" spans="1:1" x14ac:dyDescent="0.25">
      <c r="A7453" s="5"/>
    </row>
    <row r="7454" spans="1:1" x14ac:dyDescent="0.25">
      <c r="A7454" s="5"/>
    </row>
    <row r="7455" spans="1:1" x14ac:dyDescent="0.25">
      <c r="A7455" s="5"/>
    </row>
    <row r="7456" spans="1:1" x14ac:dyDescent="0.25">
      <c r="A7456" s="5"/>
    </row>
    <row r="7457" spans="1:1" x14ac:dyDescent="0.25">
      <c r="A7457" s="5"/>
    </row>
    <row r="7458" spans="1:1" x14ac:dyDescent="0.25">
      <c r="A7458" s="5"/>
    </row>
    <row r="7459" spans="1:1" x14ac:dyDescent="0.25">
      <c r="A7459" s="5"/>
    </row>
    <row r="7460" spans="1:1" x14ac:dyDescent="0.25">
      <c r="A7460" s="5"/>
    </row>
    <row r="7461" spans="1:1" x14ac:dyDescent="0.25">
      <c r="A7461" s="5"/>
    </row>
    <row r="7462" spans="1:1" x14ac:dyDescent="0.25">
      <c r="A7462" s="5"/>
    </row>
    <row r="7463" spans="1:1" x14ac:dyDescent="0.25">
      <c r="A7463" s="5"/>
    </row>
    <row r="7464" spans="1:1" x14ac:dyDescent="0.25">
      <c r="A7464" s="5"/>
    </row>
    <row r="7465" spans="1:1" x14ac:dyDescent="0.25">
      <c r="A7465" s="5"/>
    </row>
    <row r="7466" spans="1:1" x14ac:dyDescent="0.25">
      <c r="A7466" s="5"/>
    </row>
    <row r="7467" spans="1:1" x14ac:dyDescent="0.25">
      <c r="A7467" s="5"/>
    </row>
    <row r="7468" spans="1:1" x14ac:dyDescent="0.25">
      <c r="A7468" s="5"/>
    </row>
    <row r="7469" spans="1:1" x14ac:dyDescent="0.25">
      <c r="A7469" s="5"/>
    </row>
    <row r="7470" spans="1:1" x14ac:dyDescent="0.25">
      <c r="A7470" s="5"/>
    </row>
    <row r="7471" spans="1:1" x14ac:dyDescent="0.25">
      <c r="A7471" s="5"/>
    </row>
    <row r="7472" spans="1:1" x14ac:dyDescent="0.25">
      <c r="A7472" s="5"/>
    </row>
    <row r="7473" spans="1:1" x14ac:dyDescent="0.25">
      <c r="A7473" s="5"/>
    </row>
    <row r="7474" spans="1:1" x14ac:dyDescent="0.25">
      <c r="A7474" s="5"/>
    </row>
    <row r="7475" spans="1:1" x14ac:dyDescent="0.25">
      <c r="A7475" s="5"/>
    </row>
    <row r="7476" spans="1:1" x14ac:dyDescent="0.25">
      <c r="A7476" s="5"/>
    </row>
    <row r="7477" spans="1:1" x14ac:dyDescent="0.25">
      <c r="A7477" s="5"/>
    </row>
    <row r="7478" spans="1:1" x14ac:dyDescent="0.25">
      <c r="A7478" s="5"/>
    </row>
    <row r="7479" spans="1:1" x14ac:dyDescent="0.25">
      <c r="A7479" s="5"/>
    </row>
    <row r="7480" spans="1:1" x14ac:dyDescent="0.25">
      <c r="A7480" s="5"/>
    </row>
    <row r="7481" spans="1:1" x14ac:dyDescent="0.25">
      <c r="A7481" s="5"/>
    </row>
    <row r="7482" spans="1:1" x14ac:dyDescent="0.25">
      <c r="A7482" s="5"/>
    </row>
    <row r="7483" spans="1:1" x14ac:dyDescent="0.25">
      <c r="A7483" s="5"/>
    </row>
    <row r="7484" spans="1:1" x14ac:dyDescent="0.25">
      <c r="A7484" s="5"/>
    </row>
    <row r="7485" spans="1:1" x14ac:dyDescent="0.25">
      <c r="A7485" s="5"/>
    </row>
    <row r="7486" spans="1:1" x14ac:dyDescent="0.25">
      <c r="A7486" s="5"/>
    </row>
    <row r="7487" spans="1:1" x14ac:dyDescent="0.25">
      <c r="A7487" s="5"/>
    </row>
    <row r="7488" spans="1:1" x14ac:dyDescent="0.25">
      <c r="A7488" s="5"/>
    </row>
    <row r="7489" spans="1:1" x14ac:dyDescent="0.25">
      <c r="A7489" s="5"/>
    </row>
    <row r="7490" spans="1:1" x14ac:dyDescent="0.25">
      <c r="A7490" s="5"/>
    </row>
    <row r="7491" spans="1:1" x14ac:dyDescent="0.25">
      <c r="A7491" s="5"/>
    </row>
    <row r="7492" spans="1:1" x14ac:dyDescent="0.25">
      <c r="A7492" s="5"/>
    </row>
    <row r="7493" spans="1:1" x14ac:dyDescent="0.25">
      <c r="A7493" s="5"/>
    </row>
    <row r="7494" spans="1:1" x14ac:dyDescent="0.25">
      <c r="A7494" s="5"/>
    </row>
    <row r="7495" spans="1:1" x14ac:dyDescent="0.25">
      <c r="A7495" s="5"/>
    </row>
    <row r="7496" spans="1:1" x14ac:dyDescent="0.25">
      <c r="A7496" s="5"/>
    </row>
    <row r="7497" spans="1:1" x14ac:dyDescent="0.25">
      <c r="A7497" s="5"/>
    </row>
    <row r="7498" spans="1:1" x14ac:dyDescent="0.25">
      <c r="A7498" s="5"/>
    </row>
    <row r="7499" spans="1:1" x14ac:dyDescent="0.25">
      <c r="A7499" s="5"/>
    </row>
    <row r="7500" spans="1:1" x14ac:dyDescent="0.25">
      <c r="A7500" s="5"/>
    </row>
    <row r="7501" spans="1:1" x14ac:dyDescent="0.25">
      <c r="A7501" s="5"/>
    </row>
    <row r="7502" spans="1:1" x14ac:dyDescent="0.25">
      <c r="A7502" s="5"/>
    </row>
    <row r="7503" spans="1:1" x14ac:dyDescent="0.25">
      <c r="A7503" s="5"/>
    </row>
    <row r="7504" spans="1:1" x14ac:dyDescent="0.25">
      <c r="A7504" s="5"/>
    </row>
    <row r="7505" spans="1:1" x14ac:dyDescent="0.25">
      <c r="A7505" s="5"/>
    </row>
    <row r="7506" spans="1:1" x14ac:dyDescent="0.25">
      <c r="A7506" s="5"/>
    </row>
    <row r="7507" spans="1:1" x14ac:dyDescent="0.25">
      <c r="A7507" s="5"/>
    </row>
    <row r="7508" spans="1:1" x14ac:dyDescent="0.25">
      <c r="A7508" s="5"/>
    </row>
    <row r="7509" spans="1:1" x14ac:dyDescent="0.25">
      <c r="A7509" s="5"/>
    </row>
    <row r="7510" spans="1:1" x14ac:dyDescent="0.25">
      <c r="A7510" s="5"/>
    </row>
    <row r="7511" spans="1:1" x14ac:dyDescent="0.25">
      <c r="A7511" s="5"/>
    </row>
    <row r="7512" spans="1:1" x14ac:dyDescent="0.25">
      <c r="A7512" s="5"/>
    </row>
    <row r="7513" spans="1:1" x14ac:dyDescent="0.25">
      <c r="A7513" s="5"/>
    </row>
    <row r="7514" spans="1:1" x14ac:dyDescent="0.25">
      <c r="A7514" s="5"/>
    </row>
    <row r="7515" spans="1:1" x14ac:dyDescent="0.25">
      <c r="A7515" s="5"/>
    </row>
    <row r="7516" spans="1:1" x14ac:dyDescent="0.25">
      <c r="A7516" s="5"/>
    </row>
    <row r="7517" spans="1:1" x14ac:dyDescent="0.25">
      <c r="A7517" s="5"/>
    </row>
    <row r="7518" spans="1:1" x14ac:dyDescent="0.25">
      <c r="A7518" s="5"/>
    </row>
    <row r="7519" spans="1:1" x14ac:dyDescent="0.25">
      <c r="A7519" s="5"/>
    </row>
    <row r="7520" spans="1:1" x14ac:dyDescent="0.25">
      <c r="A7520" s="5"/>
    </row>
    <row r="7521" spans="1:1" x14ac:dyDescent="0.25">
      <c r="A7521" s="5"/>
    </row>
    <row r="7522" spans="1:1" x14ac:dyDescent="0.25">
      <c r="A7522" s="5"/>
    </row>
    <row r="7523" spans="1:1" x14ac:dyDescent="0.25">
      <c r="A7523" s="5"/>
    </row>
    <row r="7524" spans="1:1" x14ac:dyDescent="0.25">
      <c r="A7524" s="5"/>
    </row>
    <row r="7525" spans="1:1" x14ac:dyDescent="0.25">
      <c r="A7525" s="5"/>
    </row>
    <row r="7526" spans="1:1" x14ac:dyDescent="0.25">
      <c r="A7526" s="5"/>
    </row>
    <row r="7527" spans="1:1" x14ac:dyDescent="0.25">
      <c r="A7527" s="5"/>
    </row>
    <row r="7528" spans="1:1" x14ac:dyDescent="0.25">
      <c r="A7528" s="5"/>
    </row>
    <row r="7529" spans="1:1" x14ac:dyDescent="0.25">
      <c r="A7529" s="5"/>
    </row>
    <row r="7530" spans="1:1" x14ac:dyDescent="0.25">
      <c r="A7530" s="5"/>
    </row>
    <row r="7531" spans="1:1" x14ac:dyDescent="0.25">
      <c r="A7531" s="5"/>
    </row>
    <row r="7532" spans="1:1" x14ac:dyDescent="0.25">
      <c r="A7532" s="5"/>
    </row>
    <row r="7533" spans="1:1" x14ac:dyDescent="0.25">
      <c r="A7533" s="5"/>
    </row>
    <row r="7534" spans="1:1" x14ac:dyDescent="0.25">
      <c r="A7534" s="5"/>
    </row>
    <row r="7535" spans="1:1" x14ac:dyDescent="0.25">
      <c r="A7535" s="5"/>
    </row>
    <row r="7536" spans="1:1" x14ac:dyDescent="0.25">
      <c r="A7536" s="5"/>
    </row>
    <row r="7537" spans="1:1" x14ac:dyDescent="0.25">
      <c r="A7537" s="5"/>
    </row>
    <row r="7538" spans="1:1" x14ac:dyDescent="0.25">
      <c r="A7538" s="5"/>
    </row>
    <row r="7539" spans="1:1" x14ac:dyDescent="0.25">
      <c r="A7539" s="5"/>
    </row>
    <row r="7540" spans="1:1" x14ac:dyDescent="0.25">
      <c r="A7540" s="5"/>
    </row>
    <row r="7541" spans="1:1" x14ac:dyDescent="0.25">
      <c r="A7541" s="5"/>
    </row>
    <row r="7542" spans="1:1" x14ac:dyDescent="0.25">
      <c r="A7542" s="5"/>
    </row>
    <row r="7543" spans="1:1" x14ac:dyDescent="0.25">
      <c r="A7543" s="5"/>
    </row>
    <row r="7544" spans="1:1" x14ac:dyDescent="0.25">
      <c r="A7544" s="5"/>
    </row>
    <row r="7545" spans="1:1" x14ac:dyDescent="0.25">
      <c r="A7545" s="5"/>
    </row>
    <row r="7546" spans="1:1" x14ac:dyDescent="0.25">
      <c r="A7546" s="5"/>
    </row>
    <row r="7547" spans="1:1" x14ac:dyDescent="0.25">
      <c r="A7547" s="5"/>
    </row>
    <row r="7548" spans="1:1" x14ac:dyDescent="0.25">
      <c r="A7548" s="5"/>
    </row>
    <row r="7549" spans="1:1" x14ac:dyDescent="0.25">
      <c r="A7549" s="5"/>
    </row>
    <row r="7550" spans="1:1" x14ac:dyDescent="0.25">
      <c r="A7550" s="5"/>
    </row>
    <row r="7551" spans="1:1" x14ac:dyDescent="0.25">
      <c r="A7551" s="5"/>
    </row>
    <row r="7552" spans="1:1" x14ac:dyDescent="0.25">
      <c r="A7552" s="5"/>
    </row>
    <row r="7553" spans="1:1" x14ac:dyDescent="0.25">
      <c r="A7553" s="5"/>
    </row>
    <row r="7554" spans="1:1" x14ac:dyDescent="0.25">
      <c r="A7554" s="5"/>
    </row>
    <row r="7555" spans="1:1" x14ac:dyDescent="0.25">
      <c r="A7555" s="5"/>
    </row>
    <row r="7556" spans="1:1" x14ac:dyDescent="0.25">
      <c r="A7556" s="5"/>
    </row>
    <row r="7557" spans="1:1" x14ac:dyDescent="0.25">
      <c r="A7557" s="5"/>
    </row>
    <row r="7558" spans="1:1" x14ac:dyDescent="0.25">
      <c r="A7558" s="5"/>
    </row>
    <row r="7559" spans="1:1" x14ac:dyDescent="0.25">
      <c r="A7559" s="5"/>
    </row>
    <row r="7560" spans="1:1" x14ac:dyDescent="0.25">
      <c r="A7560" s="5"/>
    </row>
    <row r="7561" spans="1:1" x14ac:dyDescent="0.25">
      <c r="A7561" s="5"/>
    </row>
    <row r="7562" spans="1:1" x14ac:dyDescent="0.25">
      <c r="A7562" s="5"/>
    </row>
    <row r="7563" spans="1:1" x14ac:dyDescent="0.25">
      <c r="A7563" s="5"/>
    </row>
    <row r="7564" spans="1:1" x14ac:dyDescent="0.25">
      <c r="A7564" s="5"/>
    </row>
    <row r="7565" spans="1:1" x14ac:dyDescent="0.25">
      <c r="A7565" s="5"/>
    </row>
    <row r="7566" spans="1:1" x14ac:dyDescent="0.25">
      <c r="A7566" s="5"/>
    </row>
    <row r="7567" spans="1:1" x14ac:dyDescent="0.25">
      <c r="A7567" s="5"/>
    </row>
    <row r="7568" spans="1:1" x14ac:dyDescent="0.25">
      <c r="A7568" s="5"/>
    </row>
    <row r="7569" spans="1:1" x14ac:dyDescent="0.25">
      <c r="A7569" s="5"/>
    </row>
    <row r="7570" spans="1:1" x14ac:dyDescent="0.25">
      <c r="A7570" s="5"/>
    </row>
    <row r="7571" spans="1:1" x14ac:dyDescent="0.25">
      <c r="A7571" s="5"/>
    </row>
    <row r="7572" spans="1:1" x14ac:dyDescent="0.25">
      <c r="A7572" s="5"/>
    </row>
    <row r="7573" spans="1:1" x14ac:dyDescent="0.25">
      <c r="A7573" s="5"/>
    </row>
    <row r="7574" spans="1:1" x14ac:dyDescent="0.25">
      <c r="A7574" s="5"/>
    </row>
    <row r="7575" spans="1:1" x14ac:dyDescent="0.25">
      <c r="A7575" s="5"/>
    </row>
    <row r="7576" spans="1:1" x14ac:dyDescent="0.25">
      <c r="A7576" s="5"/>
    </row>
    <row r="7577" spans="1:1" x14ac:dyDescent="0.25">
      <c r="A7577" s="5"/>
    </row>
    <row r="7578" spans="1:1" x14ac:dyDescent="0.25">
      <c r="A7578" s="5"/>
    </row>
    <row r="7579" spans="1:1" x14ac:dyDescent="0.25">
      <c r="A7579" s="5"/>
    </row>
    <row r="7580" spans="1:1" x14ac:dyDescent="0.25">
      <c r="A7580" s="5"/>
    </row>
    <row r="7581" spans="1:1" x14ac:dyDescent="0.25">
      <c r="A7581" s="5"/>
    </row>
    <row r="7582" spans="1:1" x14ac:dyDescent="0.25">
      <c r="A7582" s="5"/>
    </row>
    <row r="7583" spans="1:1" x14ac:dyDescent="0.25">
      <c r="A7583" s="5"/>
    </row>
    <row r="7584" spans="1:1" x14ac:dyDescent="0.25">
      <c r="A7584" s="5"/>
    </row>
    <row r="7585" spans="1:1" x14ac:dyDescent="0.25">
      <c r="A7585" s="5"/>
    </row>
    <row r="7586" spans="1:1" x14ac:dyDescent="0.25">
      <c r="A7586" s="5"/>
    </row>
    <row r="7587" spans="1:1" x14ac:dyDescent="0.25">
      <c r="A7587" s="5"/>
    </row>
    <row r="7588" spans="1:1" x14ac:dyDescent="0.25">
      <c r="A7588" s="5"/>
    </row>
    <row r="7589" spans="1:1" x14ac:dyDescent="0.25">
      <c r="A7589" s="5"/>
    </row>
    <row r="7590" spans="1:1" x14ac:dyDescent="0.25">
      <c r="A7590" s="5"/>
    </row>
    <row r="7591" spans="1:1" x14ac:dyDescent="0.25">
      <c r="A7591" s="5"/>
    </row>
    <row r="7592" spans="1:1" x14ac:dyDescent="0.25">
      <c r="A7592" s="5"/>
    </row>
    <row r="7593" spans="1:1" x14ac:dyDescent="0.25">
      <c r="A7593" s="5"/>
    </row>
    <row r="7594" spans="1:1" x14ac:dyDescent="0.25">
      <c r="A7594" s="5"/>
    </row>
    <row r="7595" spans="1:1" x14ac:dyDescent="0.25">
      <c r="A7595" s="5"/>
    </row>
    <row r="7596" spans="1:1" x14ac:dyDescent="0.25">
      <c r="A7596" s="5"/>
    </row>
    <row r="7597" spans="1:1" x14ac:dyDescent="0.25">
      <c r="A7597" s="5"/>
    </row>
    <row r="7598" spans="1:1" x14ac:dyDescent="0.25">
      <c r="A7598" s="5"/>
    </row>
    <row r="7599" spans="1:1" x14ac:dyDescent="0.25">
      <c r="A7599" s="5"/>
    </row>
    <row r="7600" spans="1:1" x14ac:dyDescent="0.25">
      <c r="A7600" s="5"/>
    </row>
    <row r="7601" spans="1:1" x14ac:dyDescent="0.25">
      <c r="A7601" s="5"/>
    </row>
    <row r="7602" spans="1:1" x14ac:dyDescent="0.25">
      <c r="A7602" s="5"/>
    </row>
    <row r="7603" spans="1:1" x14ac:dyDescent="0.25">
      <c r="A7603" s="5"/>
    </row>
    <row r="7604" spans="1:1" x14ac:dyDescent="0.25">
      <c r="A7604" s="5"/>
    </row>
    <row r="7605" spans="1:1" x14ac:dyDescent="0.25">
      <c r="A7605" s="5"/>
    </row>
    <row r="7606" spans="1:1" x14ac:dyDescent="0.25">
      <c r="A7606" s="5"/>
    </row>
    <row r="7607" spans="1:1" x14ac:dyDescent="0.25">
      <c r="A7607" s="5"/>
    </row>
    <row r="7608" spans="1:1" x14ac:dyDescent="0.25">
      <c r="A7608" s="5"/>
    </row>
    <row r="7609" spans="1:1" x14ac:dyDescent="0.25">
      <c r="A7609" s="5"/>
    </row>
    <row r="7610" spans="1:1" x14ac:dyDescent="0.25">
      <c r="A7610" s="5"/>
    </row>
    <row r="7611" spans="1:1" x14ac:dyDescent="0.25">
      <c r="A7611" s="5"/>
    </row>
    <row r="7612" spans="1:1" x14ac:dyDescent="0.25">
      <c r="A7612" s="5"/>
    </row>
    <row r="7613" spans="1:1" x14ac:dyDescent="0.25">
      <c r="A7613" s="5"/>
    </row>
    <row r="7614" spans="1:1" x14ac:dyDescent="0.25">
      <c r="A7614" s="5"/>
    </row>
    <row r="7615" spans="1:1" x14ac:dyDescent="0.25">
      <c r="A7615" s="5"/>
    </row>
    <row r="7616" spans="1:1" x14ac:dyDescent="0.25">
      <c r="A7616" s="5"/>
    </row>
    <row r="7617" spans="1:1" x14ac:dyDescent="0.25">
      <c r="A7617" s="5"/>
    </row>
    <row r="7618" spans="1:1" x14ac:dyDescent="0.25">
      <c r="A7618" s="5"/>
    </row>
    <row r="7619" spans="1:1" x14ac:dyDescent="0.25">
      <c r="A7619" s="5"/>
    </row>
    <row r="7620" spans="1:1" x14ac:dyDescent="0.25">
      <c r="A7620" s="5"/>
    </row>
    <row r="7621" spans="1:1" x14ac:dyDescent="0.25">
      <c r="A7621" s="5"/>
    </row>
    <row r="7622" spans="1:1" x14ac:dyDescent="0.25">
      <c r="A7622" s="5"/>
    </row>
    <row r="7623" spans="1:1" x14ac:dyDescent="0.25">
      <c r="A7623" s="5"/>
    </row>
    <row r="7624" spans="1:1" x14ac:dyDescent="0.25">
      <c r="A7624" s="5"/>
    </row>
    <row r="7625" spans="1:1" x14ac:dyDescent="0.25">
      <c r="A7625" s="5"/>
    </row>
    <row r="7626" spans="1:1" x14ac:dyDescent="0.25">
      <c r="A7626" s="5"/>
    </row>
    <row r="7627" spans="1:1" x14ac:dyDescent="0.25">
      <c r="A7627" s="5"/>
    </row>
    <row r="7628" spans="1:1" x14ac:dyDescent="0.25">
      <c r="A7628" s="5"/>
    </row>
    <row r="7629" spans="1:1" x14ac:dyDescent="0.25">
      <c r="A7629" s="5"/>
    </row>
    <row r="7630" spans="1:1" x14ac:dyDescent="0.25">
      <c r="A7630" s="5"/>
    </row>
    <row r="7631" spans="1:1" x14ac:dyDescent="0.25">
      <c r="A7631" s="5"/>
    </row>
    <row r="7632" spans="1:1" x14ac:dyDescent="0.25">
      <c r="A7632" s="5"/>
    </row>
    <row r="7633" spans="1:1" x14ac:dyDescent="0.25">
      <c r="A7633" s="5"/>
    </row>
    <row r="7634" spans="1:1" x14ac:dyDescent="0.25">
      <c r="A7634" s="5"/>
    </row>
    <row r="7635" spans="1:1" x14ac:dyDescent="0.25">
      <c r="A7635" s="5"/>
    </row>
    <row r="7636" spans="1:1" x14ac:dyDescent="0.25">
      <c r="A7636" s="5"/>
    </row>
    <row r="7637" spans="1:1" x14ac:dyDescent="0.25">
      <c r="A7637" s="5"/>
    </row>
    <row r="7638" spans="1:1" x14ac:dyDescent="0.25">
      <c r="A7638" s="5"/>
    </row>
    <row r="7639" spans="1:1" x14ac:dyDescent="0.25">
      <c r="A7639" s="5"/>
    </row>
    <row r="7640" spans="1:1" x14ac:dyDescent="0.25">
      <c r="A7640" s="5"/>
    </row>
    <row r="7641" spans="1:1" x14ac:dyDescent="0.25">
      <c r="A7641" s="5"/>
    </row>
    <row r="7642" spans="1:1" x14ac:dyDescent="0.25">
      <c r="A7642" s="5"/>
    </row>
    <row r="7643" spans="1:1" x14ac:dyDescent="0.25">
      <c r="A7643" s="5"/>
    </row>
    <row r="7644" spans="1:1" x14ac:dyDescent="0.25">
      <c r="A7644" s="5"/>
    </row>
    <row r="7645" spans="1:1" x14ac:dyDescent="0.25">
      <c r="A7645" s="5"/>
    </row>
    <row r="7646" spans="1:1" x14ac:dyDescent="0.25">
      <c r="A7646" s="5"/>
    </row>
    <row r="7647" spans="1:1" x14ac:dyDescent="0.25">
      <c r="A7647" s="5"/>
    </row>
    <row r="7648" spans="1:1" x14ac:dyDescent="0.25">
      <c r="A7648" s="5"/>
    </row>
    <row r="7649" spans="1:1" x14ac:dyDescent="0.25">
      <c r="A7649" s="5"/>
    </row>
    <row r="7650" spans="1:1" x14ac:dyDescent="0.25">
      <c r="A7650" s="5"/>
    </row>
    <row r="7651" spans="1:1" x14ac:dyDescent="0.25">
      <c r="A7651" s="5"/>
    </row>
    <row r="7652" spans="1:1" x14ac:dyDescent="0.25">
      <c r="A7652" s="5"/>
    </row>
    <row r="7653" spans="1:1" x14ac:dyDescent="0.25">
      <c r="A7653" s="5"/>
    </row>
    <row r="7654" spans="1:1" x14ac:dyDescent="0.25">
      <c r="A7654" s="5"/>
    </row>
    <row r="7655" spans="1:1" x14ac:dyDescent="0.25">
      <c r="A7655" s="5"/>
    </row>
    <row r="7656" spans="1:1" x14ac:dyDescent="0.25">
      <c r="A7656" s="5"/>
    </row>
    <row r="7657" spans="1:1" x14ac:dyDescent="0.25">
      <c r="A7657" s="5"/>
    </row>
    <row r="7658" spans="1:1" x14ac:dyDescent="0.25">
      <c r="A7658" s="5"/>
    </row>
    <row r="7659" spans="1:1" x14ac:dyDescent="0.25">
      <c r="A7659" s="5"/>
    </row>
    <row r="7660" spans="1:1" x14ac:dyDescent="0.25">
      <c r="A7660" s="5"/>
    </row>
    <row r="7661" spans="1:1" x14ac:dyDescent="0.25">
      <c r="A7661" s="5"/>
    </row>
    <row r="7662" spans="1:1" x14ac:dyDescent="0.25">
      <c r="A7662" s="5"/>
    </row>
    <row r="7663" spans="1:1" x14ac:dyDescent="0.25">
      <c r="A7663" s="5"/>
    </row>
    <row r="7664" spans="1:1" x14ac:dyDescent="0.25">
      <c r="A7664" s="5"/>
    </row>
    <row r="7665" spans="1:1" x14ac:dyDescent="0.25">
      <c r="A7665" s="5"/>
    </row>
    <row r="7666" spans="1:1" x14ac:dyDescent="0.25">
      <c r="A7666" s="5"/>
    </row>
    <row r="7667" spans="1:1" x14ac:dyDescent="0.25">
      <c r="A7667" s="5"/>
    </row>
    <row r="7668" spans="1:1" x14ac:dyDescent="0.25">
      <c r="A7668" s="5"/>
    </row>
    <row r="7669" spans="1:1" x14ac:dyDescent="0.25">
      <c r="A7669" s="5"/>
    </row>
    <row r="7670" spans="1:1" x14ac:dyDescent="0.25">
      <c r="A7670" s="5"/>
    </row>
    <row r="7671" spans="1:1" x14ac:dyDescent="0.25">
      <c r="A7671" s="5"/>
    </row>
    <row r="7672" spans="1:1" x14ac:dyDescent="0.25">
      <c r="A7672" s="5"/>
    </row>
    <row r="7673" spans="1:1" x14ac:dyDescent="0.25">
      <c r="A7673" s="5"/>
    </row>
    <row r="7674" spans="1:1" x14ac:dyDescent="0.25">
      <c r="A7674" s="5"/>
    </row>
    <row r="7675" spans="1:1" x14ac:dyDescent="0.25">
      <c r="A7675" s="5"/>
    </row>
    <row r="7676" spans="1:1" x14ac:dyDescent="0.25">
      <c r="A7676" s="5"/>
    </row>
    <row r="7677" spans="1:1" x14ac:dyDescent="0.25">
      <c r="A7677" s="5"/>
    </row>
    <row r="7678" spans="1:1" x14ac:dyDescent="0.25">
      <c r="A7678" s="5"/>
    </row>
    <row r="7679" spans="1:1" x14ac:dyDescent="0.25">
      <c r="A7679" s="5"/>
    </row>
    <row r="7680" spans="1:1" x14ac:dyDescent="0.25">
      <c r="A7680" s="5"/>
    </row>
    <row r="7681" spans="1:1" x14ac:dyDescent="0.25">
      <c r="A7681" s="5"/>
    </row>
    <row r="7682" spans="1:1" x14ac:dyDescent="0.25">
      <c r="A7682" s="5"/>
    </row>
    <row r="7683" spans="1:1" x14ac:dyDescent="0.25">
      <c r="A7683" s="5"/>
    </row>
    <row r="7684" spans="1:1" x14ac:dyDescent="0.25">
      <c r="A7684" s="5"/>
    </row>
    <row r="7685" spans="1:1" x14ac:dyDescent="0.25">
      <c r="A7685" s="5"/>
    </row>
    <row r="7686" spans="1:1" x14ac:dyDescent="0.25">
      <c r="A7686" s="5"/>
    </row>
    <row r="7687" spans="1:1" x14ac:dyDescent="0.25">
      <c r="A7687" s="5"/>
    </row>
    <row r="7688" spans="1:1" x14ac:dyDescent="0.25">
      <c r="A7688" s="5"/>
    </row>
    <row r="7689" spans="1:1" x14ac:dyDescent="0.25">
      <c r="A7689" s="5"/>
    </row>
    <row r="7690" spans="1:1" x14ac:dyDescent="0.25">
      <c r="A7690" s="5"/>
    </row>
    <row r="7691" spans="1:1" x14ac:dyDescent="0.25">
      <c r="A7691" s="5"/>
    </row>
    <row r="7692" spans="1:1" x14ac:dyDescent="0.25">
      <c r="A7692" s="5"/>
    </row>
    <row r="7693" spans="1:1" x14ac:dyDescent="0.25">
      <c r="A7693" s="5"/>
    </row>
    <row r="7694" spans="1:1" x14ac:dyDescent="0.25">
      <c r="A7694" s="5"/>
    </row>
    <row r="7695" spans="1:1" x14ac:dyDescent="0.25">
      <c r="A7695" s="5"/>
    </row>
    <row r="7696" spans="1:1" x14ac:dyDescent="0.25">
      <c r="A7696" s="5"/>
    </row>
    <row r="7697" spans="1:1" x14ac:dyDescent="0.25">
      <c r="A7697" s="5"/>
    </row>
    <row r="7698" spans="1:1" x14ac:dyDescent="0.25">
      <c r="A7698" s="5"/>
    </row>
    <row r="7699" spans="1:1" x14ac:dyDescent="0.25">
      <c r="A7699" s="5"/>
    </row>
    <row r="7700" spans="1:1" x14ac:dyDescent="0.25">
      <c r="A7700" s="5"/>
    </row>
    <row r="7701" spans="1:1" x14ac:dyDescent="0.25">
      <c r="A7701" s="5"/>
    </row>
    <row r="7702" spans="1:1" x14ac:dyDescent="0.25">
      <c r="A7702" s="5"/>
    </row>
    <row r="7703" spans="1:1" x14ac:dyDescent="0.25">
      <c r="A7703" s="5"/>
    </row>
    <row r="7704" spans="1:1" x14ac:dyDescent="0.25">
      <c r="A7704" s="5"/>
    </row>
    <row r="7705" spans="1:1" x14ac:dyDescent="0.25">
      <c r="A7705" s="5"/>
    </row>
    <row r="7706" spans="1:1" x14ac:dyDescent="0.25">
      <c r="A7706" s="5"/>
    </row>
    <row r="7707" spans="1:1" x14ac:dyDescent="0.25">
      <c r="A7707" s="5"/>
    </row>
    <row r="7708" spans="1:1" x14ac:dyDescent="0.25">
      <c r="A7708" s="5"/>
    </row>
    <row r="7709" spans="1:1" x14ac:dyDescent="0.25">
      <c r="A7709" s="5"/>
    </row>
    <row r="7710" spans="1:1" x14ac:dyDescent="0.25">
      <c r="A7710" s="5"/>
    </row>
    <row r="7711" spans="1:1" x14ac:dyDescent="0.25">
      <c r="A7711" s="5"/>
    </row>
    <row r="7712" spans="1:1" x14ac:dyDescent="0.25">
      <c r="A7712" s="5"/>
    </row>
    <row r="7713" spans="1:1" x14ac:dyDescent="0.25">
      <c r="A7713" s="5"/>
    </row>
    <row r="7714" spans="1:1" x14ac:dyDescent="0.25">
      <c r="A7714" s="5"/>
    </row>
    <row r="7715" spans="1:1" x14ac:dyDescent="0.25">
      <c r="A7715" s="5"/>
    </row>
    <row r="7716" spans="1:1" x14ac:dyDescent="0.25">
      <c r="A7716" s="5"/>
    </row>
    <row r="7717" spans="1:1" x14ac:dyDescent="0.25">
      <c r="A7717" s="5"/>
    </row>
    <row r="7718" spans="1:1" x14ac:dyDescent="0.25">
      <c r="A7718" s="5"/>
    </row>
    <row r="7719" spans="1:1" x14ac:dyDescent="0.25">
      <c r="A7719" s="5"/>
    </row>
    <row r="7720" spans="1:1" x14ac:dyDescent="0.25">
      <c r="A7720" s="5"/>
    </row>
    <row r="7721" spans="1:1" x14ac:dyDescent="0.25">
      <c r="A7721" s="5"/>
    </row>
    <row r="7722" spans="1:1" x14ac:dyDescent="0.25">
      <c r="A7722" s="5"/>
    </row>
    <row r="7723" spans="1:1" x14ac:dyDescent="0.25">
      <c r="A7723" s="5"/>
    </row>
    <row r="7724" spans="1:1" x14ac:dyDescent="0.25">
      <c r="A7724" s="5"/>
    </row>
    <row r="7725" spans="1:1" x14ac:dyDescent="0.25">
      <c r="A7725" s="5"/>
    </row>
    <row r="7726" spans="1:1" x14ac:dyDescent="0.25">
      <c r="A7726" s="5"/>
    </row>
    <row r="7727" spans="1:1" x14ac:dyDescent="0.25">
      <c r="A7727" s="5"/>
    </row>
    <row r="7728" spans="1:1" x14ac:dyDescent="0.25">
      <c r="A7728" s="5"/>
    </row>
    <row r="7729" spans="1:1" x14ac:dyDescent="0.25">
      <c r="A7729" s="5"/>
    </row>
    <row r="7730" spans="1:1" x14ac:dyDescent="0.25">
      <c r="A7730" s="5"/>
    </row>
    <row r="7731" spans="1:1" x14ac:dyDescent="0.25">
      <c r="A7731" s="5"/>
    </row>
    <row r="7732" spans="1:1" x14ac:dyDescent="0.25">
      <c r="A7732" s="5"/>
    </row>
    <row r="7733" spans="1:1" x14ac:dyDescent="0.25">
      <c r="A7733" s="5"/>
    </row>
    <row r="7734" spans="1:1" x14ac:dyDescent="0.25">
      <c r="A7734" s="5"/>
    </row>
    <row r="7735" spans="1:1" x14ac:dyDescent="0.25">
      <c r="A7735" s="5"/>
    </row>
    <row r="7736" spans="1:1" x14ac:dyDescent="0.25">
      <c r="A7736" s="5"/>
    </row>
    <row r="7737" spans="1:1" x14ac:dyDescent="0.25">
      <c r="A7737" s="5"/>
    </row>
    <row r="7738" spans="1:1" x14ac:dyDescent="0.25">
      <c r="A7738" s="5"/>
    </row>
    <row r="7739" spans="1:1" x14ac:dyDescent="0.25">
      <c r="A7739" s="5"/>
    </row>
    <row r="7740" spans="1:1" x14ac:dyDescent="0.25">
      <c r="A7740" s="5"/>
    </row>
    <row r="7741" spans="1:1" x14ac:dyDescent="0.25">
      <c r="A7741" s="5"/>
    </row>
    <row r="7742" spans="1:1" x14ac:dyDescent="0.25">
      <c r="A7742" s="5"/>
    </row>
    <row r="7743" spans="1:1" x14ac:dyDescent="0.25">
      <c r="A7743" s="5"/>
    </row>
    <row r="7744" spans="1:1" x14ac:dyDescent="0.25">
      <c r="A7744" s="5"/>
    </row>
    <row r="7745" spans="1:1" x14ac:dyDescent="0.25">
      <c r="A7745" s="5"/>
    </row>
    <row r="7746" spans="1:1" x14ac:dyDescent="0.25">
      <c r="A7746" s="5"/>
    </row>
    <row r="7747" spans="1:1" x14ac:dyDescent="0.25">
      <c r="A7747" s="5"/>
    </row>
    <row r="7748" spans="1:1" x14ac:dyDescent="0.25">
      <c r="A7748" s="5"/>
    </row>
    <row r="7749" spans="1:1" x14ac:dyDescent="0.25">
      <c r="A7749" s="5"/>
    </row>
    <row r="7750" spans="1:1" x14ac:dyDescent="0.25">
      <c r="A7750" s="5"/>
    </row>
    <row r="7751" spans="1:1" x14ac:dyDescent="0.25">
      <c r="A7751" s="5"/>
    </row>
    <row r="7752" spans="1:1" x14ac:dyDescent="0.25">
      <c r="A7752" s="5"/>
    </row>
    <row r="7753" spans="1:1" x14ac:dyDescent="0.25">
      <c r="A7753" s="5"/>
    </row>
    <row r="7754" spans="1:1" x14ac:dyDescent="0.25">
      <c r="A7754" s="5"/>
    </row>
    <row r="7755" spans="1:1" x14ac:dyDescent="0.25">
      <c r="A7755" s="5"/>
    </row>
    <row r="7756" spans="1:1" x14ac:dyDescent="0.25">
      <c r="A7756" s="5"/>
    </row>
    <row r="7757" spans="1:1" x14ac:dyDescent="0.25">
      <c r="A7757" s="5"/>
    </row>
    <row r="7758" spans="1:1" x14ac:dyDescent="0.25">
      <c r="A7758" s="5"/>
    </row>
    <row r="7759" spans="1:1" x14ac:dyDescent="0.25">
      <c r="A7759" s="5"/>
    </row>
    <row r="7760" spans="1:1" x14ac:dyDescent="0.25">
      <c r="A7760" s="5"/>
    </row>
    <row r="7761" spans="1:1" x14ac:dyDescent="0.25">
      <c r="A7761" s="5"/>
    </row>
    <row r="7762" spans="1:1" x14ac:dyDescent="0.25">
      <c r="A7762" s="5"/>
    </row>
    <row r="7763" spans="1:1" x14ac:dyDescent="0.25">
      <c r="A7763" s="5"/>
    </row>
    <row r="7764" spans="1:1" x14ac:dyDescent="0.25">
      <c r="A7764" s="5"/>
    </row>
    <row r="7765" spans="1:1" x14ac:dyDescent="0.25">
      <c r="A7765" s="5"/>
    </row>
    <row r="7766" spans="1:1" x14ac:dyDescent="0.25">
      <c r="A7766" s="5"/>
    </row>
    <row r="7767" spans="1:1" x14ac:dyDescent="0.25">
      <c r="A7767" s="5"/>
    </row>
    <row r="7768" spans="1:1" x14ac:dyDescent="0.25">
      <c r="A7768" s="5"/>
    </row>
    <row r="7769" spans="1:1" x14ac:dyDescent="0.25">
      <c r="A7769" s="5"/>
    </row>
    <row r="7770" spans="1:1" x14ac:dyDescent="0.25">
      <c r="A7770" s="5"/>
    </row>
    <row r="7771" spans="1:1" x14ac:dyDescent="0.25">
      <c r="A7771" s="5"/>
    </row>
    <row r="7772" spans="1:1" x14ac:dyDescent="0.25">
      <c r="A7772" s="5"/>
    </row>
    <row r="7773" spans="1:1" x14ac:dyDescent="0.25">
      <c r="A7773" s="5"/>
    </row>
    <row r="7774" spans="1:1" x14ac:dyDescent="0.25">
      <c r="A7774" s="5"/>
    </row>
    <row r="7775" spans="1:1" x14ac:dyDescent="0.25">
      <c r="A7775" s="5"/>
    </row>
    <row r="7776" spans="1:1" x14ac:dyDescent="0.25">
      <c r="A7776" s="5"/>
    </row>
    <row r="7777" spans="1:1" x14ac:dyDescent="0.25">
      <c r="A7777" s="5"/>
    </row>
    <row r="7778" spans="1:1" x14ac:dyDescent="0.25">
      <c r="A7778" s="5"/>
    </row>
    <row r="7779" spans="1:1" x14ac:dyDescent="0.25">
      <c r="A7779" s="5"/>
    </row>
    <row r="7780" spans="1:1" x14ac:dyDescent="0.25">
      <c r="A7780" s="5"/>
    </row>
    <row r="7781" spans="1:1" x14ac:dyDescent="0.25">
      <c r="A7781" s="5"/>
    </row>
    <row r="7782" spans="1:1" x14ac:dyDescent="0.25">
      <c r="A7782" s="5"/>
    </row>
    <row r="7783" spans="1:1" x14ac:dyDescent="0.25">
      <c r="A7783" s="5"/>
    </row>
    <row r="7784" spans="1:1" x14ac:dyDescent="0.25">
      <c r="A7784" s="5"/>
    </row>
    <row r="7785" spans="1:1" x14ac:dyDescent="0.25">
      <c r="A7785" s="5"/>
    </row>
    <row r="7786" spans="1:1" x14ac:dyDescent="0.25">
      <c r="A7786" s="5"/>
    </row>
    <row r="7787" spans="1:1" x14ac:dyDescent="0.25">
      <c r="A7787" s="5"/>
    </row>
    <row r="7788" spans="1:1" x14ac:dyDescent="0.25">
      <c r="A7788" s="5"/>
    </row>
    <row r="7789" spans="1:1" x14ac:dyDescent="0.25">
      <c r="A7789" s="5"/>
    </row>
    <row r="7790" spans="1:1" x14ac:dyDescent="0.25">
      <c r="A7790" s="5"/>
    </row>
    <row r="7791" spans="1:1" x14ac:dyDescent="0.25">
      <c r="A7791" s="5"/>
    </row>
    <row r="7792" spans="1:1" x14ac:dyDescent="0.25">
      <c r="A7792" s="5"/>
    </row>
    <row r="7793" spans="1:1" x14ac:dyDescent="0.25">
      <c r="A7793" s="5"/>
    </row>
    <row r="7794" spans="1:1" x14ac:dyDescent="0.25">
      <c r="A7794" s="5"/>
    </row>
    <row r="7795" spans="1:1" x14ac:dyDescent="0.25">
      <c r="A7795" s="5"/>
    </row>
    <row r="7796" spans="1:1" x14ac:dyDescent="0.25">
      <c r="A7796" s="5"/>
    </row>
    <row r="7797" spans="1:1" x14ac:dyDescent="0.25">
      <c r="A7797" s="5"/>
    </row>
    <row r="7798" spans="1:1" x14ac:dyDescent="0.25">
      <c r="A7798" s="5"/>
    </row>
    <row r="7799" spans="1:1" x14ac:dyDescent="0.25">
      <c r="A7799" s="5"/>
    </row>
    <row r="7800" spans="1:1" x14ac:dyDescent="0.25">
      <c r="A7800" s="5"/>
    </row>
    <row r="7801" spans="1:1" x14ac:dyDescent="0.25">
      <c r="A7801" s="5"/>
    </row>
    <row r="7802" spans="1:1" x14ac:dyDescent="0.25">
      <c r="A7802" s="5"/>
    </row>
    <row r="7803" spans="1:1" x14ac:dyDescent="0.25">
      <c r="A7803" s="5"/>
    </row>
    <row r="7804" spans="1:1" x14ac:dyDescent="0.25">
      <c r="A7804" s="5"/>
    </row>
    <row r="7805" spans="1:1" x14ac:dyDescent="0.25">
      <c r="A7805" s="5"/>
    </row>
    <row r="7806" spans="1:1" x14ac:dyDescent="0.25">
      <c r="A7806" s="5"/>
    </row>
    <row r="7807" spans="1:1" x14ac:dyDescent="0.25">
      <c r="A7807" s="5"/>
    </row>
    <row r="7808" spans="1:1" x14ac:dyDescent="0.25">
      <c r="A7808" s="5"/>
    </row>
    <row r="7809" spans="1:1" x14ac:dyDescent="0.25">
      <c r="A7809" s="5"/>
    </row>
    <row r="7810" spans="1:1" x14ac:dyDescent="0.25">
      <c r="A7810" s="5"/>
    </row>
    <row r="7811" spans="1:1" x14ac:dyDescent="0.25">
      <c r="A7811" s="5"/>
    </row>
    <row r="7812" spans="1:1" x14ac:dyDescent="0.25">
      <c r="A7812" s="5"/>
    </row>
    <row r="7813" spans="1:1" x14ac:dyDescent="0.25">
      <c r="A7813" s="5"/>
    </row>
    <row r="7814" spans="1:1" x14ac:dyDescent="0.25">
      <c r="A7814" s="5"/>
    </row>
    <row r="7815" spans="1:1" x14ac:dyDescent="0.25">
      <c r="A7815" s="5"/>
    </row>
    <row r="7816" spans="1:1" x14ac:dyDescent="0.25">
      <c r="A7816" s="5"/>
    </row>
    <row r="7817" spans="1:1" x14ac:dyDescent="0.25">
      <c r="A7817" s="5"/>
    </row>
    <row r="7818" spans="1:1" x14ac:dyDescent="0.25">
      <c r="A7818" s="5"/>
    </row>
    <row r="7819" spans="1:1" x14ac:dyDescent="0.25">
      <c r="A7819" s="5"/>
    </row>
    <row r="7820" spans="1:1" x14ac:dyDescent="0.25">
      <c r="A7820" s="5"/>
    </row>
    <row r="7821" spans="1:1" x14ac:dyDescent="0.25">
      <c r="A7821" s="5"/>
    </row>
    <row r="7822" spans="1:1" x14ac:dyDescent="0.25">
      <c r="A7822" s="5"/>
    </row>
    <row r="7823" spans="1:1" x14ac:dyDescent="0.25">
      <c r="A7823" s="5"/>
    </row>
    <row r="7824" spans="1:1" x14ac:dyDescent="0.25">
      <c r="A7824" s="5"/>
    </row>
    <row r="7825" spans="1:1" x14ac:dyDescent="0.25">
      <c r="A7825" s="5"/>
    </row>
    <row r="7826" spans="1:1" x14ac:dyDescent="0.25">
      <c r="A7826" s="5"/>
    </row>
    <row r="7827" spans="1:1" x14ac:dyDescent="0.25">
      <c r="A7827" s="5"/>
    </row>
    <row r="7828" spans="1:1" x14ac:dyDescent="0.25">
      <c r="A7828" s="5"/>
    </row>
    <row r="7829" spans="1:1" x14ac:dyDescent="0.25">
      <c r="A7829" s="5"/>
    </row>
    <row r="7830" spans="1:1" x14ac:dyDescent="0.25">
      <c r="A7830" s="5"/>
    </row>
    <row r="7831" spans="1:1" x14ac:dyDescent="0.25">
      <c r="A7831" s="5"/>
    </row>
    <row r="7832" spans="1:1" x14ac:dyDescent="0.25">
      <c r="A7832" s="5"/>
    </row>
    <row r="7833" spans="1:1" x14ac:dyDescent="0.25">
      <c r="A7833" s="5"/>
    </row>
    <row r="7834" spans="1:1" x14ac:dyDescent="0.25">
      <c r="A7834" s="5"/>
    </row>
    <row r="7835" spans="1:1" x14ac:dyDescent="0.25">
      <c r="A7835" s="5"/>
    </row>
    <row r="7836" spans="1:1" x14ac:dyDescent="0.25">
      <c r="A7836" s="5"/>
    </row>
    <row r="7837" spans="1:1" x14ac:dyDescent="0.25">
      <c r="A7837" s="5"/>
    </row>
    <row r="7838" spans="1:1" x14ac:dyDescent="0.25">
      <c r="A7838" s="5"/>
    </row>
    <row r="7839" spans="1:1" x14ac:dyDescent="0.25">
      <c r="A7839" s="5"/>
    </row>
    <row r="7840" spans="1:1" x14ac:dyDescent="0.25">
      <c r="A7840" s="5"/>
    </row>
    <row r="7841" spans="1:1" x14ac:dyDescent="0.25">
      <c r="A7841" s="5"/>
    </row>
    <row r="7842" spans="1:1" x14ac:dyDescent="0.25">
      <c r="A7842" s="5"/>
    </row>
    <row r="7843" spans="1:1" x14ac:dyDescent="0.25">
      <c r="A7843" s="5"/>
    </row>
    <row r="7844" spans="1:1" x14ac:dyDescent="0.25">
      <c r="A7844" s="5"/>
    </row>
    <row r="7845" spans="1:1" x14ac:dyDescent="0.25">
      <c r="A7845" s="5"/>
    </row>
    <row r="7846" spans="1:1" x14ac:dyDescent="0.25">
      <c r="A7846" s="5"/>
    </row>
    <row r="7847" spans="1:1" x14ac:dyDescent="0.25">
      <c r="A7847" s="5"/>
    </row>
    <row r="7848" spans="1:1" x14ac:dyDescent="0.25">
      <c r="A7848" s="5"/>
    </row>
    <row r="7849" spans="1:1" x14ac:dyDescent="0.25">
      <c r="A7849" s="5"/>
    </row>
    <row r="7850" spans="1:1" x14ac:dyDescent="0.25">
      <c r="A7850" s="5"/>
    </row>
    <row r="7851" spans="1:1" x14ac:dyDescent="0.25">
      <c r="A7851" s="5"/>
    </row>
    <row r="7852" spans="1:1" x14ac:dyDescent="0.25">
      <c r="A7852" s="5"/>
    </row>
    <row r="7853" spans="1:1" x14ac:dyDescent="0.25">
      <c r="A7853" s="5"/>
    </row>
    <row r="7854" spans="1:1" x14ac:dyDescent="0.25">
      <c r="A7854" s="5"/>
    </row>
    <row r="7855" spans="1:1" x14ac:dyDescent="0.25">
      <c r="A7855" s="5"/>
    </row>
    <row r="7856" spans="1:1" x14ac:dyDescent="0.25">
      <c r="A7856" s="5"/>
    </row>
    <row r="7857" spans="1:1" x14ac:dyDescent="0.25">
      <c r="A7857" s="5"/>
    </row>
    <row r="7858" spans="1:1" x14ac:dyDescent="0.25">
      <c r="A7858" s="5"/>
    </row>
    <row r="7859" spans="1:1" x14ac:dyDescent="0.25">
      <c r="A7859" s="5"/>
    </row>
    <row r="7860" spans="1:1" x14ac:dyDescent="0.25">
      <c r="A7860" s="5"/>
    </row>
    <row r="7861" spans="1:1" x14ac:dyDescent="0.25">
      <c r="A7861" s="5"/>
    </row>
    <row r="7862" spans="1:1" x14ac:dyDescent="0.25">
      <c r="A7862" s="5"/>
    </row>
    <row r="7863" spans="1:1" x14ac:dyDescent="0.25">
      <c r="A7863" s="5"/>
    </row>
    <row r="7864" spans="1:1" x14ac:dyDescent="0.25">
      <c r="A7864" s="5"/>
    </row>
    <row r="7865" spans="1:1" x14ac:dyDescent="0.25">
      <c r="A7865" s="5"/>
    </row>
    <row r="7866" spans="1:1" x14ac:dyDescent="0.25">
      <c r="A7866" s="5"/>
    </row>
    <row r="7867" spans="1:1" x14ac:dyDescent="0.25">
      <c r="A7867" s="5"/>
    </row>
    <row r="7868" spans="1:1" x14ac:dyDescent="0.25">
      <c r="A7868" s="5"/>
    </row>
    <row r="7869" spans="1:1" x14ac:dyDescent="0.25">
      <c r="A7869" s="5"/>
    </row>
    <row r="7870" spans="1:1" x14ac:dyDescent="0.25">
      <c r="A7870" s="5"/>
    </row>
    <row r="7871" spans="1:1" x14ac:dyDescent="0.25">
      <c r="A7871" s="5"/>
    </row>
    <row r="7872" spans="1:1" x14ac:dyDescent="0.25">
      <c r="A7872" s="5"/>
    </row>
    <row r="7873" spans="1:1" x14ac:dyDescent="0.25">
      <c r="A7873" s="5"/>
    </row>
    <row r="7874" spans="1:1" x14ac:dyDescent="0.25">
      <c r="A7874" s="5"/>
    </row>
    <row r="7875" spans="1:1" x14ac:dyDescent="0.25">
      <c r="A7875" s="5"/>
    </row>
    <row r="7876" spans="1:1" x14ac:dyDescent="0.25">
      <c r="A7876" s="5"/>
    </row>
    <row r="7877" spans="1:1" x14ac:dyDescent="0.25">
      <c r="A7877" s="5"/>
    </row>
    <row r="7878" spans="1:1" x14ac:dyDescent="0.25">
      <c r="A7878" s="5"/>
    </row>
    <row r="7879" spans="1:1" x14ac:dyDescent="0.25">
      <c r="A7879" s="5"/>
    </row>
    <row r="7880" spans="1:1" x14ac:dyDescent="0.25">
      <c r="A7880" s="5"/>
    </row>
    <row r="7881" spans="1:1" x14ac:dyDescent="0.25">
      <c r="A7881" s="5"/>
    </row>
    <row r="7882" spans="1:1" x14ac:dyDescent="0.25">
      <c r="A7882" s="5"/>
    </row>
    <row r="7883" spans="1:1" x14ac:dyDescent="0.25">
      <c r="A7883" s="5"/>
    </row>
    <row r="7884" spans="1:1" x14ac:dyDescent="0.25">
      <c r="A7884" s="5"/>
    </row>
    <row r="7885" spans="1:1" x14ac:dyDescent="0.25">
      <c r="A7885" s="5"/>
    </row>
    <row r="7886" spans="1:1" x14ac:dyDescent="0.25">
      <c r="A7886" s="5"/>
    </row>
    <row r="7887" spans="1:1" x14ac:dyDescent="0.25">
      <c r="A7887" s="5"/>
    </row>
    <row r="7888" spans="1:1" x14ac:dyDescent="0.25">
      <c r="A7888" s="5"/>
    </row>
    <row r="7889" spans="1:1" x14ac:dyDescent="0.25">
      <c r="A7889" s="5"/>
    </row>
    <row r="7890" spans="1:1" x14ac:dyDescent="0.25">
      <c r="A7890" s="5"/>
    </row>
    <row r="7891" spans="1:1" x14ac:dyDescent="0.25">
      <c r="A7891" s="5"/>
    </row>
    <row r="7892" spans="1:1" x14ac:dyDescent="0.25">
      <c r="A7892" s="5"/>
    </row>
    <row r="7893" spans="1:1" x14ac:dyDescent="0.25">
      <c r="A7893" s="5"/>
    </row>
    <row r="7894" spans="1:1" x14ac:dyDescent="0.25">
      <c r="A7894" s="5"/>
    </row>
    <row r="7895" spans="1:1" x14ac:dyDescent="0.25">
      <c r="A7895" s="5"/>
    </row>
    <row r="7896" spans="1:1" x14ac:dyDescent="0.25">
      <c r="A7896" s="5"/>
    </row>
    <row r="7897" spans="1:1" x14ac:dyDescent="0.25">
      <c r="A7897" s="5"/>
    </row>
    <row r="7898" spans="1:1" x14ac:dyDescent="0.25">
      <c r="A7898" s="5"/>
    </row>
    <row r="7899" spans="1:1" x14ac:dyDescent="0.25">
      <c r="A7899" s="5"/>
    </row>
    <row r="7900" spans="1:1" x14ac:dyDescent="0.25">
      <c r="A7900" s="5"/>
    </row>
    <row r="7901" spans="1:1" x14ac:dyDescent="0.25">
      <c r="A7901" s="5"/>
    </row>
    <row r="7902" spans="1:1" x14ac:dyDescent="0.25">
      <c r="A7902" s="5"/>
    </row>
    <row r="7903" spans="1:1" x14ac:dyDescent="0.25">
      <c r="A7903" s="5"/>
    </row>
    <row r="7904" spans="1:1" x14ac:dyDescent="0.25">
      <c r="A7904" s="5"/>
    </row>
    <row r="7905" spans="1:1" x14ac:dyDescent="0.25">
      <c r="A7905" s="5"/>
    </row>
    <row r="7906" spans="1:1" x14ac:dyDescent="0.25">
      <c r="A7906" s="5"/>
    </row>
    <row r="7907" spans="1:1" x14ac:dyDescent="0.25">
      <c r="A7907" s="5"/>
    </row>
    <row r="7908" spans="1:1" x14ac:dyDescent="0.25">
      <c r="A7908" s="5"/>
    </row>
    <row r="7909" spans="1:1" x14ac:dyDescent="0.25">
      <c r="A7909" s="5"/>
    </row>
    <row r="7910" spans="1:1" x14ac:dyDescent="0.25">
      <c r="A7910" s="5"/>
    </row>
    <row r="7911" spans="1:1" x14ac:dyDescent="0.25">
      <c r="A7911" s="5"/>
    </row>
    <row r="7912" spans="1:1" x14ac:dyDescent="0.25">
      <c r="A7912" s="5"/>
    </row>
    <row r="7913" spans="1:1" x14ac:dyDescent="0.25">
      <c r="A7913" s="5"/>
    </row>
    <row r="7914" spans="1:1" x14ac:dyDescent="0.25">
      <c r="A7914" s="5"/>
    </row>
    <row r="7915" spans="1:1" x14ac:dyDescent="0.25">
      <c r="A7915" s="5"/>
    </row>
    <row r="7916" spans="1:1" x14ac:dyDescent="0.25">
      <c r="A7916" s="5"/>
    </row>
    <row r="7917" spans="1:1" x14ac:dyDescent="0.25">
      <c r="A7917" s="5"/>
    </row>
    <row r="7918" spans="1:1" x14ac:dyDescent="0.25">
      <c r="A7918" s="5"/>
    </row>
    <row r="7919" spans="1:1" x14ac:dyDescent="0.25">
      <c r="A7919" s="5"/>
    </row>
    <row r="7920" spans="1:1" x14ac:dyDescent="0.25">
      <c r="A7920" s="5"/>
    </row>
    <row r="7921" spans="1:1" x14ac:dyDescent="0.25">
      <c r="A7921" s="5"/>
    </row>
    <row r="7922" spans="1:1" x14ac:dyDescent="0.25">
      <c r="A7922" s="5"/>
    </row>
    <row r="7923" spans="1:1" x14ac:dyDescent="0.25">
      <c r="A7923" s="5"/>
    </row>
    <row r="7924" spans="1:1" x14ac:dyDescent="0.25">
      <c r="A7924" s="5"/>
    </row>
    <row r="7925" spans="1:1" x14ac:dyDescent="0.25">
      <c r="A7925" s="5"/>
    </row>
    <row r="7926" spans="1:1" x14ac:dyDescent="0.25">
      <c r="A7926" s="5"/>
    </row>
    <row r="7927" spans="1:1" x14ac:dyDescent="0.25">
      <c r="A7927" s="5"/>
    </row>
    <row r="7928" spans="1:1" x14ac:dyDescent="0.25">
      <c r="A7928" s="5"/>
    </row>
    <row r="7929" spans="1:1" x14ac:dyDescent="0.25">
      <c r="A7929" s="5"/>
    </row>
    <row r="7930" spans="1:1" x14ac:dyDescent="0.25">
      <c r="A7930" s="5"/>
    </row>
    <row r="7931" spans="1:1" x14ac:dyDescent="0.25">
      <c r="A7931" s="5"/>
    </row>
    <row r="7932" spans="1:1" x14ac:dyDescent="0.25">
      <c r="A7932" s="5"/>
    </row>
    <row r="7933" spans="1:1" x14ac:dyDescent="0.25">
      <c r="A7933" s="5"/>
    </row>
    <row r="7934" spans="1:1" x14ac:dyDescent="0.25">
      <c r="A7934" s="5"/>
    </row>
    <row r="7935" spans="1:1" x14ac:dyDescent="0.25">
      <c r="A7935" s="5"/>
    </row>
    <row r="7936" spans="1:1" x14ac:dyDescent="0.25">
      <c r="A7936" s="5"/>
    </row>
    <row r="7937" spans="1:1" x14ac:dyDescent="0.25">
      <c r="A7937" s="5"/>
    </row>
    <row r="7938" spans="1:1" x14ac:dyDescent="0.25">
      <c r="A7938" s="5"/>
    </row>
    <row r="7939" spans="1:1" x14ac:dyDescent="0.25">
      <c r="A7939" s="5"/>
    </row>
    <row r="7940" spans="1:1" x14ac:dyDescent="0.25">
      <c r="A7940" s="5"/>
    </row>
    <row r="7941" spans="1:1" x14ac:dyDescent="0.25">
      <c r="A7941" s="5"/>
    </row>
    <row r="7942" spans="1:1" x14ac:dyDescent="0.25">
      <c r="A7942" s="5"/>
    </row>
    <row r="7943" spans="1:1" x14ac:dyDescent="0.25">
      <c r="A7943" s="5"/>
    </row>
    <row r="7944" spans="1:1" x14ac:dyDescent="0.25">
      <c r="A7944" s="5"/>
    </row>
    <row r="7945" spans="1:1" x14ac:dyDescent="0.25">
      <c r="A7945" s="5"/>
    </row>
    <row r="7946" spans="1:1" x14ac:dyDescent="0.25">
      <c r="A7946" s="5"/>
    </row>
    <row r="7947" spans="1:1" x14ac:dyDescent="0.25">
      <c r="A7947" s="5"/>
    </row>
    <row r="7948" spans="1:1" x14ac:dyDescent="0.25">
      <c r="A7948" s="5"/>
    </row>
    <row r="7949" spans="1:1" x14ac:dyDescent="0.25">
      <c r="A7949" s="5"/>
    </row>
    <row r="7950" spans="1:1" x14ac:dyDescent="0.25">
      <c r="A7950" s="5"/>
    </row>
    <row r="7951" spans="1:1" x14ac:dyDescent="0.25">
      <c r="A7951" s="5"/>
    </row>
    <row r="7952" spans="1:1" x14ac:dyDescent="0.25">
      <c r="A7952" s="5"/>
    </row>
    <row r="7953" spans="1:1" x14ac:dyDescent="0.25">
      <c r="A7953" s="5"/>
    </row>
    <row r="7954" spans="1:1" x14ac:dyDescent="0.25">
      <c r="A7954" s="5"/>
    </row>
    <row r="7955" spans="1:1" x14ac:dyDescent="0.25">
      <c r="A7955" s="5"/>
    </row>
    <row r="7956" spans="1:1" x14ac:dyDescent="0.25">
      <c r="A7956" s="5"/>
    </row>
    <row r="7957" spans="1:1" x14ac:dyDescent="0.25">
      <c r="A7957" s="5"/>
    </row>
    <row r="7958" spans="1:1" x14ac:dyDescent="0.25">
      <c r="A7958" s="5"/>
    </row>
    <row r="7959" spans="1:1" x14ac:dyDescent="0.25">
      <c r="A7959" s="5"/>
    </row>
    <row r="7960" spans="1:1" x14ac:dyDescent="0.25">
      <c r="A7960" s="5"/>
    </row>
    <row r="7961" spans="1:1" x14ac:dyDescent="0.25">
      <c r="A7961" s="5"/>
    </row>
    <row r="7962" spans="1:1" x14ac:dyDescent="0.25">
      <c r="A7962" s="5"/>
    </row>
    <row r="7963" spans="1:1" x14ac:dyDescent="0.25">
      <c r="A7963" s="5"/>
    </row>
    <row r="7964" spans="1:1" x14ac:dyDescent="0.25">
      <c r="A7964" s="5"/>
    </row>
    <row r="7965" spans="1:1" x14ac:dyDescent="0.25">
      <c r="A7965" s="5"/>
    </row>
    <row r="7966" spans="1:1" x14ac:dyDescent="0.25">
      <c r="A7966" s="5"/>
    </row>
    <row r="7967" spans="1:1" x14ac:dyDescent="0.25">
      <c r="A7967" s="5"/>
    </row>
    <row r="7968" spans="1:1" x14ac:dyDescent="0.25">
      <c r="A7968" s="5"/>
    </row>
    <row r="7969" spans="1:1" x14ac:dyDescent="0.25">
      <c r="A7969" s="5"/>
    </row>
    <row r="7970" spans="1:1" x14ac:dyDescent="0.25">
      <c r="A7970" s="5"/>
    </row>
    <row r="7971" spans="1:1" x14ac:dyDescent="0.25">
      <c r="A7971" s="5"/>
    </row>
    <row r="7972" spans="1:1" x14ac:dyDescent="0.25">
      <c r="A7972" s="5"/>
    </row>
    <row r="7973" spans="1:1" x14ac:dyDescent="0.25">
      <c r="A7973" s="5"/>
    </row>
    <row r="7974" spans="1:1" x14ac:dyDescent="0.25">
      <c r="A7974" s="5"/>
    </row>
    <row r="7975" spans="1:1" x14ac:dyDescent="0.25">
      <c r="A7975" s="5"/>
    </row>
    <row r="7976" spans="1:1" x14ac:dyDescent="0.25">
      <c r="A7976" s="5"/>
    </row>
    <row r="7977" spans="1:1" x14ac:dyDescent="0.25">
      <c r="A7977" s="5"/>
    </row>
    <row r="7978" spans="1:1" x14ac:dyDescent="0.25">
      <c r="A7978" s="5"/>
    </row>
    <row r="7979" spans="1:1" x14ac:dyDescent="0.25">
      <c r="A7979" s="5"/>
    </row>
    <row r="7980" spans="1:1" x14ac:dyDescent="0.25">
      <c r="A7980" s="5"/>
    </row>
    <row r="7981" spans="1:1" x14ac:dyDescent="0.25">
      <c r="A7981" s="5"/>
    </row>
    <row r="7982" spans="1:1" x14ac:dyDescent="0.25">
      <c r="A7982" s="5"/>
    </row>
    <row r="7983" spans="1:1" x14ac:dyDescent="0.25">
      <c r="A7983" s="5"/>
    </row>
    <row r="7984" spans="1:1" x14ac:dyDescent="0.25">
      <c r="A7984" s="5"/>
    </row>
    <row r="7985" spans="1:1" x14ac:dyDescent="0.25">
      <c r="A7985" s="5"/>
    </row>
    <row r="7986" spans="1:1" x14ac:dyDescent="0.25">
      <c r="A7986" s="5"/>
    </row>
    <row r="7987" spans="1:1" x14ac:dyDescent="0.25">
      <c r="A7987" s="5"/>
    </row>
    <row r="7988" spans="1:1" x14ac:dyDescent="0.25">
      <c r="A7988" s="5"/>
    </row>
    <row r="7989" spans="1:1" x14ac:dyDescent="0.25">
      <c r="A7989" s="5"/>
    </row>
    <row r="7990" spans="1:1" x14ac:dyDescent="0.25">
      <c r="A7990" s="5"/>
    </row>
    <row r="7991" spans="1:1" x14ac:dyDescent="0.25">
      <c r="A7991" s="5"/>
    </row>
    <row r="7992" spans="1:1" x14ac:dyDescent="0.25">
      <c r="A7992" s="5"/>
    </row>
    <row r="7993" spans="1:1" x14ac:dyDescent="0.25">
      <c r="A7993" s="5"/>
    </row>
    <row r="7994" spans="1:1" x14ac:dyDescent="0.25">
      <c r="A7994" s="5"/>
    </row>
    <row r="7995" spans="1:1" x14ac:dyDescent="0.25">
      <c r="A7995" s="5"/>
    </row>
    <row r="7996" spans="1:1" x14ac:dyDescent="0.25">
      <c r="A7996" s="5"/>
    </row>
    <row r="7997" spans="1:1" x14ac:dyDescent="0.25">
      <c r="A7997" s="5"/>
    </row>
    <row r="7998" spans="1:1" x14ac:dyDescent="0.25">
      <c r="A7998" s="5"/>
    </row>
    <row r="7999" spans="1:1" x14ac:dyDescent="0.25">
      <c r="A7999" s="5"/>
    </row>
    <row r="8000" spans="1:1" x14ac:dyDescent="0.25">
      <c r="A8000" s="5"/>
    </row>
    <row r="8001" spans="1:1" x14ac:dyDescent="0.25">
      <c r="A8001" s="5"/>
    </row>
    <row r="8002" spans="1:1" x14ac:dyDescent="0.25">
      <c r="A8002" s="5"/>
    </row>
    <row r="8003" spans="1:1" x14ac:dyDescent="0.25">
      <c r="A8003" s="5"/>
    </row>
    <row r="8004" spans="1:1" x14ac:dyDescent="0.25">
      <c r="A8004" s="5"/>
    </row>
    <row r="8005" spans="1:1" x14ac:dyDescent="0.25">
      <c r="A8005" s="5"/>
    </row>
    <row r="8006" spans="1:1" x14ac:dyDescent="0.25">
      <c r="A8006" s="5"/>
    </row>
    <row r="8007" spans="1:1" x14ac:dyDescent="0.25">
      <c r="A8007" s="5"/>
    </row>
    <row r="8008" spans="1:1" x14ac:dyDescent="0.25">
      <c r="A8008" s="5"/>
    </row>
    <row r="8009" spans="1:1" x14ac:dyDescent="0.25">
      <c r="A8009" s="5"/>
    </row>
    <row r="8010" spans="1:1" x14ac:dyDescent="0.25">
      <c r="A8010" s="5"/>
    </row>
    <row r="8011" spans="1:1" x14ac:dyDescent="0.25">
      <c r="A8011" s="5"/>
    </row>
    <row r="8012" spans="1:1" x14ac:dyDescent="0.25">
      <c r="A8012" s="5"/>
    </row>
    <row r="8013" spans="1:1" x14ac:dyDescent="0.25">
      <c r="A8013" s="5"/>
    </row>
    <row r="8014" spans="1:1" x14ac:dyDescent="0.25">
      <c r="A8014" s="5"/>
    </row>
    <row r="8015" spans="1:1" x14ac:dyDescent="0.25">
      <c r="A8015" s="5"/>
    </row>
    <row r="8016" spans="1:1" x14ac:dyDescent="0.25">
      <c r="A8016" s="5"/>
    </row>
    <row r="8017" spans="1:1" x14ac:dyDescent="0.25">
      <c r="A8017" s="5"/>
    </row>
    <row r="8018" spans="1:1" x14ac:dyDescent="0.25">
      <c r="A8018" s="5"/>
    </row>
    <row r="8019" spans="1:1" x14ac:dyDescent="0.25">
      <c r="A8019" s="5"/>
    </row>
    <row r="8020" spans="1:1" x14ac:dyDescent="0.25">
      <c r="A8020" s="5"/>
    </row>
    <row r="8021" spans="1:1" x14ac:dyDescent="0.25">
      <c r="A8021" s="5"/>
    </row>
    <row r="8022" spans="1:1" x14ac:dyDescent="0.25">
      <c r="A8022" s="5"/>
    </row>
    <row r="8023" spans="1:1" x14ac:dyDescent="0.25">
      <c r="A8023" s="5"/>
    </row>
    <row r="8024" spans="1:1" x14ac:dyDescent="0.25">
      <c r="A8024" s="5"/>
    </row>
    <row r="8025" spans="1:1" x14ac:dyDescent="0.25">
      <c r="A8025" s="5"/>
    </row>
    <row r="8026" spans="1:1" x14ac:dyDescent="0.25">
      <c r="A8026" s="5"/>
    </row>
    <row r="8027" spans="1:1" x14ac:dyDescent="0.25">
      <c r="A8027" s="5"/>
    </row>
    <row r="8028" spans="1:1" x14ac:dyDescent="0.25">
      <c r="A8028" s="5"/>
    </row>
    <row r="8029" spans="1:1" x14ac:dyDescent="0.25">
      <c r="A8029" s="5"/>
    </row>
    <row r="8030" spans="1:1" x14ac:dyDescent="0.25">
      <c r="A8030" s="5"/>
    </row>
    <row r="8031" spans="1:1" x14ac:dyDescent="0.25">
      <c r="A8031" s="5"/>
    </row>
    <row r="8032" spans="1:1" x14ac:dyDescent="0.25">
      <c r="A8032" s="5"/>
    </row>
    <row r="8033" spans="1:1" x14ac:dyDescent="0.25">
      <c r="A8033" s="5"/>
    </row>
    <row r="8034" spans="1:1" x14ac:dyDescent="0.25">
      <c r="A8034" s="5"/>
    </row>
    <row r="8035" spans="1:1" x14ac:dyDescent="0.25">
      <c r="A8035" s="5"/>
    </row>
    <row r="8036" spans="1:1" x14ac:dyDescent="0.25">
      <c r="A8036" s="5"/>
    </row>
    <row r="8037" spans="1:1" x14ac:dyDescent="0.25">
      <c r="A8037" s="5"/>
    </row>
    <row r="8038" spans="1:1" x14ac:dyDescent="0.25">
      <c r="A8038" s="5"/>
    </row>
    <row r="8039" spans="1:1" x14ac:dyDescent="0.25">
      <c r="A8039" s="5"/>
    </row>
    <row r="8040" spans="1:1" x14ac:dyDescent="0.25">
      <c r="A8040" s="5"/>
    </row>
    <row r="8041" spans="1:1" x14ac:dyDescent="0.25">
      <c r="A8041" s="5"/>
    </row>
    <row r="8042" spans="1:1" x14ac:dyDescent="0.25">
      <c r="A8042" s="5"/>
    </row>
    <row r="8043" spans="1:1" x14ac:dyDescent="0.25">
      <c r="A8043" s="5"/>
    </row>
    <row r="8044" spans="1:1" x14ac:dyDescent="0.25">
      <c r="A8044" s="5"/>
    </row>
    <row r="8045" spans="1:1" x14ac:dyDescent="0.25">
      <c r="A8045" s="5"/>
    </row>
    <row r="8046" spans="1:1" x14ac:dyDescent="0.25">
      <c r="A8046" s="5"/>
    </row>
    <row r="8047" spans="1:1" x14ac:dyDescent="0.25">
      <c r="A8047" s="5"/>
    </row>
    <row r="8048" spans="1:1" x14ac:dyDescent="0.25">
      <c r="A8048" s="5"/>
    </row>
    <row r="8049" spans="1:1" x14ac:dyDescent="0.25">
      <c r="A8049" s="5"/>
    </row>
    <row r="8050" spans="1:1" x14ac:dyDescent="0.25">
      <c r="A8050" s="5"/>
    </row>
    <row r="8051" spans="1:1" x14ac:dyDescent="0.25">
      <c r="A8051" s="5"/>
    </row>
    <row r="8052" spans="1:1" x14ac:dyDescent="0.25">
      <c r="A8052" s="5"/>
    </row>
    <row r="8053" spans="1:1" x14ac:dyDescent="0.25">
      <c r="A8053" s="5"/>
    </row>
    <row r="8054" spans="1:1" x14ac:dyDescent="0.25">
      <c r="A8054" s="5"/>
    </row>
    <row r="8055" spans="1:1" x14ac:dyDescent="0.25">
      <c r="A8055" s="5"/>
    </row>
    <row r="8056" spans="1:1" x14ac:dyDescent="0.25">
      <c r="A8056" s="5"/>
    </row>
    <row r="8057" spans="1:1" x14ac:dyDescent="0.25">
      <c r="A8057" s="5"/>
    </row>
    <row r="8058" spans="1:1" x14ac:dyDescent="0.25">
      <c r="A8058" s="5"/>
    </row>
    <row r="8059" spans="1:1" x14ac:dyDescent="0.25">
      <c r="A8059" s="5"/>
    </row>
    <row r="8060" spans="1:1" x14ac:dyDescent="0.25">
      <c r="A8060" s="5"/>
    </row>
    <row r="8061" spans="1:1" x14ac:dyDescent="0.25">
      <c r="A8061" s="5"/>
    </row>
    <row r="8062" spans="1:1" x14ac:dyDescent="0.25">
      <c r="A8062" s="5"/>
    </row>
    <row r="8063" spans="1:1" x14ac:dyDescent="0.25">
      <c r="A8063" s="5"/>
    </row>
    <row r="8064" spans="1:1" x14ac:dyDescent="0.25">
      <c r="A8064" s="5"/>
    </row>
    <row r="8065" spans="1:1" x14ac:dyDescent="0.25">
      <c r="A8065" s="5"/>
    </row>
    <row r="8066" spans="1:1" x14ac:dyDescent="0.25">
      <c r="A8066" s="5"/>
    </row>
    <row r="8067" spans="1:1" x14ac:dyDescent="0.25">
      <c r="A8067" s="5"/>
    </row>
    <row r="8068" spans="1:1" x14ac:dyDescent="0.25">
      <c r="A8068" s="5"/>
    </row>
    <row r="8069" spans="1:1" x14ac:dyDescent="0.25">
      <c r="A8069" s="5"/>
    </row>
    <row r="8070" spans="1:1" x14ac:dyDescent="0.25">
      <c r="A8070" s="5"/>
    </row>
    <row r="8071" spans="1:1" x14ac:dyDescent="0.25">
      <c r="A8071" s="5"/>
    </row>
    <row r="8072" spans="1:1" x14ac:dyDescent="0.25">
      <c r="A8072" s="5"/>
    </row>
    <row r="8073" spans="1:1" x14ac:dyDescent="0.25">
      <c r="A8073" s="5"/>
    </row>
    <row r="8074" spans="1:1" x14ac:dyDescent="0.25">
      <c r="A8074" s="5"/>
    </row>
    <row r="8075" spans="1:1" x14ac:dyDescent="0.25">
      <c r="A8075" s="5"/>
    </row>
    <row r="8076" spans="1:1" x14ac:dyDescent="0.25">
      <c r="A8076" s="5"/>
    </row>
    <row r="8077" spans="1:1" x14ac:dyDescent="0.25">
      <c r="A8077" s="5"/>
    </row>
    <row r="8078" spans="1:1" x14ac:dyDescent="0.25">
      <c r="A8078" s="5"/>
    </row>
    <row r="8079" spans="1:1" x14ac:dyDescent="0.25">
      <c r="A8079" s="5"/>
    </row>
    <row r="8080" spans="1:1" x14ac:dyDescent="0.25">
      <c r="A8080" s="5"/>
    </row>
    <row r="8081" spans="1:1" x14ac:dyDescent="0.25">
      <c r="A8081" s="5"/>
    </row>
    <row r="8082" spans="1:1" x14ac:dyDescent="0.25">
      <c r="A8082" s="5"/>
    </row>
    <row r="8083" spans="1:1" x14ac:dyDescent="0.25">
      <c r="A8083" s="5"/>
    </row>
    <row r="8084" spans="1:1" x14ac:dyDescent="0.25">
      <c r="A8084" s="5"/>
    </row>
    <row r="8085" spans="1:1" x14ac:dyDescent="0.25">
      <c r="A8085" s="5"/>
    </row>
    <row r="8086" spans="1:1" x14ac:dyDescent="0.25">
      <c r="A8086" s="5"/>
    </row>
    <row r="8087" spans="1:1" x14ac:dyDescent="0.25">
      <c r="A8087" s="5"/>
    </row>
    <row r="8088" spans="1:1" x14ac:dyDescent="0.25">
      <c r="A8088" s="5"/>
    </row>
    <row r="8089" spans="1:1" x14ac:dyDescent="0.25">
      <c r="A8089" s="5"/>
    </row>
    <row r="8090" spans="1:1" x14ac:dyDescent="0.25">
      <c r="A8090" s="5"/>
    </row>
    <row r="8091" spans="1:1" x14ac:dyDescent="0.25">
      <c r="A8091" s="5"/>
    </row>
    <row r="8092" spans="1:1" x14ac:dyDescent="0.25">
      <c r="A8092" s="5"/>
    </row>
    <row r="8093" spans="1:1" x14ac:dyDescent="0.25">
      <c r="A8093" s="5"/>
    </row>
    <row r="8094" spans="1:1" x14ac:dyDescent="0.25">
      <c r="A8094" s="5"/>
    </row>
    <row r="8095" spans="1:1" x14ac:dyDescent="0.25">
      <c r="A8095" s="5"/>
    </row>
    <row r="8096" spans="1:1" x14ac:dyDescent="0.25">
      <c r="A8096" s="5"/>
    </row>
    <row r="8097" spans="1:1" x14ac:dyDescent="0.25">
      <c r="A8097" s="5"/>
    </row>
    <row r="8098" spans="1:1" x14ac:dyDescent="0.25">
      <c r="A8098" s="5"/>
    </row>
    <row r="8099" spans="1:1" x14ac:dyDescent="0.25">
      <c r="A8099" s="5"/>
    </row>
    <row r="8100" spans="1:1" x14ac:dyDescent="0.25">
      <c r="A8100" s="5"/>
    </row>
    <row r="8101" spans="1:1" x14ac:dyDescent="0.25">
      <c r="A8101" s="5"/>
    </row>
    <row r="8102" spans="1:1" x14ac:dyDescent="0.25">
      <c r="A8102" s="5"/>
    </row>
    <row r="8103" spans="1:1" x14ac:dyDescent="0.25">
      <c r="A8103" s="5"/>
    </row>
    <row r="8104" spans="1:1" x14ac:dyDescent="0.25">
      <c r="A8104" s="5"/>
    </row>
    <row r="8105" spans="1:1" x14ac:dyDescent="0.25">
      <c r="A8105" s="5"/>
    </row>
    <row r="8106" spans="1:1" x14ac:dyDescent="0.25">
      <c r="A8106" s="5"/>
    </row>
    <row r="8107" spans="1:1" x14ac:dyDescent="0.25">
      <c r="A8107" s="5"/>
    </row>
    <row r="8108" spans="1:1" x14ac:dyDescent="0.25">
      <c r="A8108" s="5"/>
    </row>
    <row r="8109" spans="1:1" x14ac:dyDescent="0.25">
      <c r="A8109" s="5"/>
    </row>
    <row r="8110" spans="1:1" x14ac:dyDescent="0.25">
      <c r="A8110" s="5"/>
    </row>
    <row r="8111" spans="1:1" x14ac:dyDescent="0.25">
      <c r="A8111" s="5"/>
    </row>
    <row r="8112" spans="1:1" x14ac:dyDescent="0.25">
      <c r="A8112" s="5"/>
    </row>
    <row r="8113" spans="1:1" x14ac:dyDescent="0.25">
      <c r="A8113" s="5"/>
    </row>
    <row r="8114" spans="1:1" x14ac:dyDescent="0.25">
      <c r="A8114" s="5"/>
    </row>
    <row r="8115" spans="1:1" x14ac:dyDescent="0.25">
      <c r="A8115" s="5"/>
    </row>
    <row r="8116" spans="1:1" x14ac:dyDescent="0.25">
      <c r="A8116" s="5"/>
    </row>
    <row r="8117" spans="1:1" x14ac:dyDescent="0.25">
      <c r="A8117" s="5"/>
    </row>
    <row r="8118" spans="1:1" x14ac:dyDescent="0.25">
      <c r="A8118" s="5"/>
    </row>
    <row r="8119" spans="1:1" x14ac:dyDescent="0.25">
      <c r="A8119" s="5"/>
    </row>
    <row r="8120" spans="1:1" x14ac:dyDescent="0.25">
      <c r="A8120" s="5"/>
    </row>
    <row r="8121" spans="1:1" x14ac:dyDescent="0.25">
      <c r="A8121" s="5"/>
    </row>
    <row r="8122" spans="1:1" x14ac:dyDescent="0.25">
      <c r="A8122" s="5"/>
    </row>
    <row r="8123" spans="1:1" x14ac:dyDescent="0.25">
      <c r="A8123" s="5"/>
    </row>
    <row r="8124" spans="1:1" x14ac:dyDescent="0.25">
      <c r="A8124" s="5"/>
    </row>
    <row r="8125" spans="1:1" x14ac:dyDescent="0.25">
      <c r="A8125" s="5"/>
    </row>
    <row r="8126" spans="1:1" x14ac:dyDescent="0.25">
      <c r="A8126" s="5"/>
    </row>
    <row r="8127" spans="1:1" x14ac:dyDescent="0.25">
      <c r="A8127" s="5"/>
    </row>
    <row r="8128" spans="1:1" x14ac:dyDescent="0.25">
      <c r="A8128" s="5"/>
    </row>
    <row r="8129" spans="1:1" x14ac:dyDescent="0.25">
      <c r="A8129" s="5"/>
    </row>
    <row r="8130" spans="1:1" x14ac:dyDescent="0.25">
      <c r="A8130" s="5"/>
    </row>
    <row r="8131" spans="1:1" x14ac:dyDescent="0.25">
      <c r="A8131" s="5"/>
    </row>
    <row r="8132" spans="1:1" x14ac:dyDescent="0.25">
      <c r="A8132" s="5"/>
    </row>
    <row r="8133" spans="1:1" x14ac:dyDescent="0.25">
      <c r="A8133" s="5"/>
    </row>
    <row r="8134" spans="1:1" x14ac:dyDescent="0.25">
      <c r="A8134" s="5"/>
    </row>
    <row r="8135" spans="1:1" x14ac:dyDescent="0.25">
      <c r="A8135" s="5"/>
    </row>
    <row r="8136" spans="1:1" x14ac:dyDescent="0.25">
      <c r="A8136" s="5"/>
    </row>
    <row r="8137" spans="1:1" x14ac:dyDescent="0.25">
      <c r="A8137" s="5"/>
    </row>
    <row r="8138" spans="1:1" x14ac:dyDescent="0.25">
      <c r="A8138" s="5"/>
    </row>
    <row r="8139" spans="1:1" x14ac:dyDescent="0.25">
      <c r="A8139" s="5"/>
    </row>
    <row r="8140" spans="1:1" x14ac:dyDescent="0.25">
      <c r="A8140" s="5"/>
    </row>
    <row r="8141" spans="1:1" x14ac:dyDescent="0.25">
      <c r="A8141" s="5"/>
    </row>
    <row r="8142" spans="1:1" x14ac:dyDescent="0.25">
      <c r="A8142" s="5"/>
    </row>
    <row r="8143" spans="1:1" x14ac:dyDescent="0.25">
      <c r="A8143" s="5"/>
    </row>
    <row r="8144" spans="1:1" x14ac:dyDescent="0.25">
      <c r="A8144" s="5"/>
    </row>
    <row r="8145" spans="1:1" x14ac:dyDescent="0.25">
      <c r="A8145" s="5"/>
    </row>
    <row r="8146" spans="1:1" x14ac:dyDescent="0.25">
      <c r="A8146" s="5"/>
    </row>
    <row r="8147" spans="1:1" x14ac:dyDescent="0.25">
      <c r="A8147" s="5"/>
    </row>
    <row r="8148" spans="1:1" x14ac:dyDescent="0.25">
      <c r="A8148" s="5"/>
    </row>
    <row r="8149" spans="1:1" x14ac:dyDescent="0.25">
      <c r="A8149" s="5"/>
    </row>
    <row r="8150" spans="1:1" x14ac:dyDescent="0.25">
      <c r="A8150" s="5"/>
    </row>
    <row r="8151" spans="1:1" x14ac:dyDescent="0.25">
      <c r="A8151" s="5"/>
    </row>
    <row r="8152" spans="1:1" x14ac:dyDescent="0.25">
      <c r="A8152" s="5"/>
    </row>
    <row r="8153" spans="1:1" x14ac:dyDescent="0.25">
      <c r="A8153" s="5"/>
    </row>
    <row r="8154" spans="1:1" x14ac:dyDescent="0.25">
      <c r="A8154" s="5"/>
    </row>
    <row r="8155" spans="1:1" x14ac:dyDescent="0.25">
      <c r="A8155" s="5"/>
    </row>
    <row r="8156" spans="1:1" x14ac:dyDescent="0.25">
      <c r="A8156" s="5"/>
    </row>
    <row r="8157" spans="1:1" x14ac:dyDescent="0.25">
      <c r="A8157" s="5"/>
    </row>
    <row r="8158" spans="1:1" x14ac:dyDescent="0.25">
      <c r="A8158" s="5"/>
    </row>
    <row r="8159" spans="1:1" x14ac:dyDescent="0.25">
      <c r="A8159" s="5"/>
    </row>
    <row r="8160" spans="1:1" x14ac:dyDescent="0.25">
      <c r="A8160" s="5"/>
    </row>
    <row r="8161" spans="1:1" x14ac:dyDescent="0.25">
      <c r="A8161" s="5"/>
    </row>
    <row r="8162" spans="1:1" x14ac:dyDescent="0.25">
      <c r="A8162" s="5"/>
    </row>
    <row r="8163" spans="1:1" x14ac:dyDescent="0.25">
      <c r="A8163" s="5"/>
    </row>
    <row r="8164" spans="1:1" x14ac:dyDescent="0.25">
      <c r="A8164" s="5"/>
    </row>
    <row r="8165" spans="1:1" x14ac:dyDescent="0.25">
      <c r="A8165" s="5"/>
    </row>
    <row r="8166" spans="1:1" x14ac:dyDescent="0.25">
      <c r="A8166" s="5"/>
    </row>
    <row r="8167" spans="1:1" x14ac:dyDescent="0.25">
      <c r="A8167" s="5"/>
    </row>
    <row r="8168" spans="1:1" x14ac:dyDescent="0.25">
      <c r="A8168" s="5"/>
    </row>
    <row r="8169" spans="1:1" x14ac:dyDescent="0.25">
      <c r="A8169" s="5"/>
    </row>
    <row r="8170" spans="1:1" x14ac:dyDescent="0.25">
      <c r="A8170" s="5"/>
    </row>
    <row r="8171" spans="1:1" x14ac:dyDescent="0.25">
      <c r="A8171" s="5"/>
    </row>
    <row r="8172" spans="1:1" x14ac:dyDescent="0.25">
      <c r="A8172" s="5"/>
    </row>
    <row r="8173" spans="1:1" x14ac:dyDescent="0.25">
      <c r="A8173" s="5"/>
    </row>
    <row r="8174" spans="1:1" x14ac:dyDescent="0.25">
      <c r="A8174" s="5"/>
    </row>
    <row r="8175" spans="1:1" x14ac:dyDescent="0.25">
      <c r="A8175" s="5"/>
    </row>
    <row r="8176" spans="1:1" x14ac:dyDescent="0.25">
      <c r="A8176" s="5"/>
    </row>
    <row r="8177" spans="1:1" x14ac:dyDescent="0.25">
      <c r="A8177" s="5"/>
    </row>
    <row r="8178" spans="1:1" x14ac:dyDescent="0.25">
      <c r="A8178" s="5"/>
    </row>
    <row r="8179" spans="1:1" x14ac:dyDescent="0.25">
      <c r="A8179" s="5"/>
    </row>
    <row r="8180" spans="1:1" x14ac:dyDescent="0.25">
      <c r="A8180" s="5"/>
    </row>
    <row r="8181" spans="1:1" x14ac:dyDescent="0.25">
      <c r="A8181" s="5"/>
    </row>
    <row r="8182" spans="1:1" x14ac:dyDescent="0.25">
      <c r="A8182" s="5"/>
    </row>
    <row r="8183" spans="1:1" x14ac:dyDescent="0.25">
      <c r="A8183" s="5"/>
    </row>
    <row r="8184" spans="1:1" x14ac:dyDescent="0.25">
      <c r="A8184" s="5"/>
    </row>
    <row r="8185" spans="1:1" x14ac:dyDescent="0.25">
      <c r="A8185" s="5"/>
    </row>
    <row r="8186" spans="1:1" x14ac:dyDescent="0.25">
      <c r="A8186" s="5"/>
    </row>
    <row r="8187" spans="1:1" x14ac:dyDescent="0.25">
      <c r="A8187" s="5"/>
    </row>
    <row r="8188" spans="1:1" x14ac:dyDescent="0.25">
      <c r="A8188" s="5"/>
    </row>
    <row r="8189" spans="1:1" x14ac:dyDescent="0.25">
      <c r="A8189" s="5"/>
    </row>
    <row r="8190" spans="1:1" x14ac:dyDescent="0.25">
      <c r="A8190" s="5"/>
    </row>
    <row r="8191" spans="1:1" x14ac:dyDescent="0.25">
      <c r="A8191" s="5"/>
    </row>
    <row r="8192" spans="1:1" x14ac:dyDescent="0.25">
      <c r="A8192" s="5"/>
    </row>
    <row r="8193" spans="1:1" x14ac:dyDescent="0.25">
      <c r="A8193" s="5"/>
    </row>
    <row r="8194" spans="1:1" x14ac:dyDescent="0.25">
      <c r="A8194" s="5"/>
    </row>
    <row r="8195" spans="1:1" x14ac:dyDescent="0.25">
      <c r="A8195" s="5"/>
    </row>
    <row r="8196" spans="1:1" x14ac:dyDescent="0.25">
      <c r="A8196" s="5"/>
    </row>
    <row r="8197" spans="1:1" x14ac:dyDescent="0.25">
      <c r="A8197" s="5"/>
    </row>
    <row r="8198" spans="1:1" x14ac:dyDescent="0.25">
      <c r="A8198" s="5"/>
    </row>
    <row r="8199" spans="1:1" x14ac:dyDescent="0.25">
      <c r="A8199" s="5"/>
    </row>
    <row r="8200" spans="1:1" x14ac:dyDescent="0.25">
      <c r="A8200" s="5"/>
    </row>
    <row r="8201" spans="1:1" x14ac:dyDescent="0.25">
      <c r="A8201" s="5"/>
    </row>
    <row r="8202" spans="1:1" x14ac:dyDescent="0.25">
      <c r="A8202" s="5"/>
    </row>
    <row r="8203" spans="1:1" x14ac:dyDescent="0.25">
      <c r="A8203" s="5"/>
    </row>
    <row r="8204" spans="1:1" x14ac:dyDescent="0.25">
      <c r="A8204" s="5"/>
    </row>
    <row r="8205" spans="1:1" x14ac:dyDescent="0.25">
      <c r="A8205" s="5"/>
    </row>
    <row r="8206" spans="1:1" x14ac:dyDescent="0.25">
      <c r="A8206" s="5"/>
    </row>
    <row r="8207" spans="1:1" x14ac:dyDescent="0.25">
      <c r="A8207" s="5"/>
    </row>
    <row r="8208" spans="1:1" x14ac:dyDescent="0.25">
      <c r="A8208" s="5"/>
    </row>
    <row r="8209" spans="1:1" x14ac:dyDescent="0.25">
      <c r="A8209" s="5"/>
    </row>
    <row r="8210" spans="1:1" x14ac:dyDescent="0.25">
      <c r="A8210" s="5"/>
    </row>
    <row r="8211" spans="1:1" x14ac:dyDescent="0.25">
      <c r="A8211" s="5"/>
    </row>
    <row r="8212" spans="1:1" x14ac:dyDescent="0.25">
      <c r="A8212" s="5"/>
    </row>
    <row r="8213" spans="1:1" x14ac:dyDescent="0.25">
      <c r="A8213" s="5"/>
    </row>
    <row r="8214" spans="1:1" x14ac:dyDescent="0.25">
      <c r="A8214" s="5"/>
    </row>
    <row r="8215" spans="1:1" x14ac:dyDescent="0.25">
      <c r="A8215" s="5"/>
    </row>
    <row r="8216" spans="1:1" x14ac:dyDescent="0.25">
      <c r="A8216" s="5"/>
    </row>
    <row r="8217" spans="1:1" x14ac:dyDescent="0.25">
      <c r="A8217" s="5"/>
    </row>
    <row r="8218" spans="1:1" x14ac:dyDescent="0.25">
      <c r="A8218" s="5"/>
    </row>
    <row r="8219" spans="1:1" x14ac:dyDescent="0.25">
      <c r="A8219" s="5"/>
    </row>
    <row r="8220" spans="1:1" x14ac:dyDescent="0.25">
      <c r="A8220" s="5"/>
    </row>
    <row r="8221" spans="1:1" x14ac:dyDescent="0.25">
      <c r="A8221" s="5"/>
    </row>
    <row r="8222" spans="1:1" x14ac:dyDescent="0.25">
      <c r="A8222" s="5"/>
    </row>
    <row r="8223" spans="1:1" x14ac:dyDescent="0.25">
      <c r="A8223" s="5"/>
    </row>
    <row r="8224" spans="1:1" x14ac:dyDescent="0.25">
      <c r="A8224" s="5"/>
    </row>
    <row r="8225" spans="1:1" x14ac:dyDescent="0.25">
      <c r="A8225" s="5"/>
    </row>
    <row r="8226" spans="1:1" x14ac:dyDescent="0.25">
      <c r="A8226" s="5"/>
    </row>
    <row r="8227" spans="1:1" x14ac:dyDescent="0.25">
      <c r="A8227" s="5"/>
    </row>
    <row r="8228" spans="1:1" x14ac:dyDescent="0.25">
      <c r="A8228" s="5"/>
    </row>
    <row r="8229" spans="1:1" x14ac:dyDescent="0.25">
      <c r="A8229" s="5"/>
    </row>
    <row r="8230" spans="1:1" x14ac:dyDescent="0.25">
      <c r="A8230" s="5"/>
    </row>
    <row r="8231" spans="1:1" x14ac:dyDescent="0.25">
      <c r="A8231" s="5"/>
    </row>
    <row r="8232" spans="1:1" x14ac:dyDescent="0.25">
      <c r="A8232" s="5"/>
    </row>
    <row r="8233" spans="1:1" x14ac:dyDescent="0.25">
      <c r="A8233" s="5"/>
    </row>
    <row r="8234" spans="1:1" x14ac:dyDescent="0.25">
      <c r="A8234" s="5"/>
    </row>
    <row r="8235" spans="1:1" x14ac:dyDescent="0.25">
      <c r="A8235" s="5"/>
    </row>
    <row r="8236" spans="1:1" x14ac:dyDescent="0.25">
      <c r="A8236" s="5"/>
    </row>
    <row r="8237" spans="1:1" x14ac:dyDescent="0.25">
      <c r="A8237" s="5"/>
    </row>
    <row r="8238" spans="1:1" x14ac:dyDescent="0.25">
      <c r="A8238" s="5"/>
    </row>
    <row r="8239" spans="1:1" x14ac:dyDescent="0.25">
      <c r="A8239" s="5"/>
    </row>
    <row r="8240" spans="1:1" x14ac:dyDescent="0.25">
      <c r="A8240" s="5"/>
    </row>
    <row r="8241" spans="1:1" x14ac:dyDescent="0.25">
      <c r="A8241" s="5"/>
    </row>
    <row r="8242" spans="1:1" x14ac:dyDescent="0.25">
      <c r="A8242" s="5"/>
    </row>
    <row r="8243" spans="1:1" x14ac:dyDescent="0.25">
      <c r="A8243" s="5"/>
    </row>
    <row r="8244" spans="1:1" x14ac:dyDescent="0.25">
      <c r="A8244" s="5"/>
    </row>
    <row r="8245" spans="1:1" x14ac:dyDescent="0.25">
      <c r="A8245" s="5"/>
    </row>
    <row r="8246" spans="1:1" x14ac:dyDescent="0.25">
      <c r="A8246" s="5"/>
    </row>
    <row r="8247" spans="1:1" x14ac:dyDescent="0.25">
      <c r="A8247" s="5"/>
    </row>
    <row r="8248" spans="1:1" x14ac:dyDescent="0.25">
      <c r="A8248" s="5"/>
    </row>
    <row r="8249" spans="1:1" x14ac:dyDescent="0.25">
      <c r="A8249" s="5"/>
    </row>
    <row r="8250" spans="1:1" x14ac:dyDescent="0.25">
      <c r="A8250" s="5"/>
    </row>
    <row r="8251" spans="1:1" x14ac:dyDescent="0.25">
      <c r="A8251" s="5"/>
    </row>
    <row r="8252" spans="1:1" x14ac:dyDescent="0.25">
      <c r="A8252" s="5"/>
    </row>
    <row r="8253" spans="1:1" x14ac:dyDescent="0.25">
      <c r="A8253" s="5"/>
    </row>
    <row r="8254" spans="1:1" x14ac:dyDescent="0.25">
      <c r="A8254" s="5"/>
    </row>
    <row r="8255" spans="1:1" x14ac:dyDescent="0.25">
      <c r="A8255" s="5"/>
    </row>
    <row r="8256" spans="1:1" x14ac:dyDescent="0.25">
      <c r="A8256" s="5"/>
    </row>
    <row r="8257" spans="1:1" x14ac:dyDescent="0.25">
      <c r="A8257" s="5"/>
    </row>
    <row r="8258" spans="1:1" x14ac:dyDescent="0.25">
      <c r="A8258" s="5"/>
    </row>
    <row r="8259" spans="1:1" x14ac:dyDescent="0.25">
      <c r="A8259" s="5"/>
    </row>
    <row r="8260" spans="1:1" x14ac:dyDescent="0.25">
      <c r="A8260" s="5"/>
    </row>
    <row r="8261" spans="1:1" x14ac:dyDescent="0.25">
      <c r="A8261" s="5"/>
    </row>
    <row r="8262" spans="1:1" x14ac:dyDescent="0.25">
      <c r="A8262" s="5"/>
    </row>
    <row r="8263" spans="1:1" x14ac:dyDescent="0.25">
      <c r="A8263" s="5"/>
    </row>
    <row r="8264" spans="1:1" x14ac:dyDescent="0.25">
      <c r="A8264" s="5"/>
    </row>
    <row r="8265" spans="1:1" x14ac:dyDescent="0.25">
      <c r="A8265" s="5"/>
    </row>
    <row r="8266" spans="1:1" x14ac:dyDescent="0.25">
      <c r="A8266" s="5"/>
    </row>
    <row r="8267" spans="1:1" x14ac:dyDescent="0.25">
      <c r="A8267" s="5"/>
    </row>
    <row r="8268" spans="1:1" x14ac:dyDescent="0.25">
      <c r="A8268" s="5"/>
    </row>
    <row r="8269" spans="1:1" x14ac:dyDescent="0.25">
      <c r="A8269" s="5"/>
    </row>
    <row r="8270" spans="1:1" x14ac:dyDescent="0.25">
      <c r="A8270" s="5"/>
    </row>
    <row r="8271" spans="1:1" x14ac:dyDescent="0.25">
      <c r="A8271" s="5"/>
    </row>
    <row r="8272" spans="1:1" x14ac:dyDescent="0.25">
      <c r="A8272" s="5"/>
    </row>
    <row r="8273" spans="1:1" x14ac:dyDescent="0.25">
      <c r="A8273" s="5"/>
    </row>
    <row r="8274" spans="1:1" x14ac:dyDescent="0.25">
      <c r="A8274" s="5"/>
    </row>
    <row r="8275" spans="1:1" x14ac:dyDescent="0.25">
      <c r="A8275" s="5"/>
    </row>
    <row r="8276" spans="1:1" x14ac:dyDescent="0.25">
      <c r="A8276" s="5"/>
    </row>
    <row r="8277" spans="1:1" x14ac:dyDescent="0.25">
      <c r="A8277" s="5"/>
    </row>
    <row r="8278" spans="1:1" x14ac:dyDescent="0.25">
      <c r="A8278" s="5"/>
    </row>
    <row r="8279" spans="1:1" x14ac:dyDescent="0.25">
      <c r="A8279" s="5"/>
    </row>
    <row r="8280" spans="1:1" x14ac:dyDescent="0.25">
      <c r="A8280" s="5"/>
    </row>
    <row r="8281" spans="1:1" x14ac:dyDescent="0.25">
      <c r="A8281" s="5"/>
    </row>
    <row r="8282" spans="1:1" x14ac:dyDescent="0.25">
      <c r="A8282" s="5"/>
    </row>
    <row r="8283" spans="1:1" x14ac:dyDescent="0.25">
      <c r="A8283" s="5"/>
    </row>
    <row r="8284" spans="1:1" x14ac:dyDescent="0.25">
      <c r="A8284" s="5"/>
    </row>
    <row r="8285" spans="1:1" x14ac:dyDescent="0.25">
      <c r="A8285" s="5"/>
    </row>
    <row r="8286" spans="1:1" x14ac:dyDescent="0.25">
      <c r="A8286" s="5"/>
    </row>
    <row r="8287" spans="1:1" x14ac:dyDescent="0.25">
      <c r="A8287" s="5"/>
    </row>
    <row r="8288" spans="1:1" x14ac:dyDescent="0.25">
      <c r="A8288" s="5"/>
    </row>
    <row r="8289" spans="1:1" x14ac:dyDescent="0.25">
      <c r="A8289" s="5"/>
    </row>
    <row r="8290" spans="1:1" x14ac:dyDescent="0.25">
      <c r="A8290" s="5"/>
    </row>
    <row r="8291" spans="1:1" x14ac:dyDescent="0.25">
      <c r="A8291" s="5"/>
    </row>
    <row r="8292" spans="1:1" x14ac:dyDescent="0.25">
      <c r="A8292" s="5"/>
    </row>
    <row r="8293" spans="1:1" x14ac:dyDescent="0.25">
      <c r="A8293" s="5"/>
    </row>
    <row r="8294" spans="1:1" x14ac:dyDescent="0.25">
      <c r="A8294" s="5"/>
    </row>
    <row r="8295" spans="1:1" x14ac:dyDescent="0.25">
      <c r="A8295" s="5"/>
    </row>
    <row r="8296" spans="1:1" x14ac:dyDescent="0.25">
      <c r="A8296" s="5"/>
    </row>
    <row r="8297" spans="1:1" x14ac:dyDescent="0.25">
      <c r="A8297" s="5"/>
    </row>
    <row r="8298" spans="1:1" x14ac:dyDescent="0.25">
      <c r="A8298" s="5"/>
    </row>
    <row r="8299" spans="1:1" x14ac:dyDescent="0.25">
      <c r="A8299" s="5"/>
    </row>
    <row r="8300" spans="1:1" x14ac:dyDescent="0.25">
      <c r="A8300" s="5"/>
    </row>
    <row r="8301" spans="1:1" x14ac:dyDescent="0.25">
      <c r="A8301" s="5"/>
    </row>
    <row r="8302" spans="1:1" x14ac:dyDescent="0.25">
      <c r="A8302" s="5"/>
    </row>
    <row r="8303" spans="1:1" x14ac:dyDescent="0.25">
      <c r="A8303" s="5"/>
    </row>
    <row r="8304" spans="1:1" x14ac:dyDescent="0.25">
      <c r="A8304" s="5"/>
    </row>
    <row r="8305" spans="1:1" x14ac:dyDescent="0.25">
      <c r="A8305" s="5"/>
    </row>
    <row r="8306" spans="1:1" x14ac:dyDescent="0.25">
      <c r="A8306" s="5"/>
    </row>
    <row r="8307" spans="1:1" x14ac:dyDescent="0.25">
      <c r="A8307" s="5"/>
    </row>
    <row r="8308" spans="1:1" x14ac:dyDescent="0.25">
      <c r="A8308" s="5"/>
    </row>
    <row r="8309" spans="1:1" x14ac:dyDescent="0.25">
      <c r="A8309" s="5"/>
    </row>
    <row r="8310" spans="1:1" x14ac:dyDescent="0.25">
      <c r="A8310" s="5"/>
    </row>
    <row r="8311" spans="1:1" x14ac:dyDescent="0.25">
      <c r="A8311" s="5"/>
    </row>
    <row r="8312" spans="1:1" x14ac:dyDescent="0.25">
      <c r="A8312" s="5"/>
    </row>
    <row r="8313" spans="1:1" x14ac:dyDescent="0.25">
      <c r="A8313" s="5"/>
    </row>
    <row r="8314" spans="1:1" x14ac:dyDescent="0.25">
      <c r="A8314" s="5"/>
    </row>
    <row r="8315" spans="1:1" x14ac:dyDescent="0.25">
      <c r="A8315" s="5"/>
    </row>
    <row r="8316" spans="1:1" x14ac:dyDescent="0.25">
      <c r="A8316" s="5"/>
    </row>
    <row r="8317" spans="1:1" x14ac:dyDescent="0.25">
      <c r="A8317" s="5"/>
    </row>
    <row r="8318" spans="1:1" x14ac:dyDescent="0.25">
      <c r="A8318" s="5"/>
    </row>
    <row r="8319" spans="1:1" x14ac:dyDescent="0.25">
      <c r="A8319" s="5"/>
    </row>
    <row r="8320" spans="1:1" x14ac:dyDescent="0.25">
      <c r="A8320" s="5"/>
    </row>
    <row r="8321" spans="1:1" x14ac:dyDescent="0.25">
      <c r="A8321" s="5"/>
    </row>
    <row r="8322" spans="1:1" x14ac:dyDescent="0.25">
      <c r="A8322" s="5"/>
    </row>
    <row r="8323" spans="1:1" x14ac:dyDescent="0.25">
      <c r="A8323" s="5"/>
    </row>
    <row r="8324" spans="1:1" x14ac:dyDescent="0.25">
      <c r="A8324" s="5"/>
    </row>
    <row r="8325" spans="1:1" x14ac:dyDescent="0.25">
      <c r="A8325" s="5"/>
    </row>
    <row r="8326" spans="1:1" x14ac:dyDescent="0.25">
      <c r="A8326" s="5"/>
    </row>
    <row r="8327" spans="1:1" x14ac:dyDescent="0.25">
      <c r="A8327" s="5"/>
    </row>
    <row r="8328" spans="1:1" x14ac:dyDescent="0.25">
      <c r="A8328" s="5"/>
    </row>
    <row r="8329" spans="1:1" x14ac:dyDescent="0.25">
      <c r="A8329" s="5"/>
    </row>
    <row r="8330" spans="1:1" x14ac:dyDescent="0.25">
      <c r="A8330" s="5"/>
    </row>
    <row r="8331" spans="1:1" x14ac:dyDescent="0.25">
      <c r="A8331" s="5"/>
    </row>
    <row r="8332" spans="1:1" x14ac:dyDescent="0.25">
      <c r="A8332" s="5"/>
    </row>
    <row r="8333" spans="1:1" x14ac:dyDescent="0.25">
      <c r="A8333" s="5"/>
    </row>
    <row r="8334" spans="1:1" x14ac:dyDescent="0.25">
      <c r="A8334" s="5"/>
    </row>
    <row r="8335" spans="1:1" x14ac:dyDescent="0.25">
      <c r="A8335" s="5"/>
    </row>
    <row r="8336" spans="1:1" x14ac:dyDescent="0.25">
      <c r="A8336" s="5"/>
    </row>
    <row r="8337" spans="1:1" x14ac:dyDescent="0.25">
      <c r="A8337" s="5"/>
    </row>
    <row r="8338" spans="1:1" x14ac:dyDescent="0.25">
      <c r="A8338" s="5"/>
    </row>
    <row r="8339" spans="1:1" x14ac:dyDescent="0.25">
      <c r="A8339" s="5"/>
    </row>
    <row r="8340" spans="1:1" x14ac:dyDescent="0.25">
      <c r="A8340" s="5"/>
    </row>
    <row r="8341" spans="1:1" x14ac:dyDescent="0.25">
      <c r="A8341" s="5"/>
    </row>
    <row r="8342" spans="1:1" x14ac:dyDescent="0.25">
      <c r="A8342" s="5"/>
    </row>
    <row r="8343" spans="1:1" x14ac:dyDescent="0.25">
      <c r="A8343" s="5"/>
    </row>
    <row r="8344" spans="1:1" x14ac:dyDescent="0.25">
      <c r="A8344" s="5"/>
    </row>
    <row r="8345" spans="1:1" x14ac:dyDescent="0.25">
      <c r="A8345" s="5"/>
    </row>
    <row r="8346" spans="1:1" x14ac:dyDescent="0.25">
      <c r="A8346" s="5"/>
    </row>
    <row r="8347" spans="1:1" x14ac:dyDescent="0.25">
      <c r="A8347" s="5"/>
    </row>
    <row r="8348" spans="1:1" x14ac:dyDescent="0.25">
      <c r="A8348" s="5"/>
    </row>
    <row r="8349" spans="1:1" x14ac:dyDescent="0.25">
      <c r="A8349" s="5"/>
    </row>
    <row r="8350" spans="1:1" x14ac:dyDescent="0.25">
      <c r="A8350" s="5"/>
    </row>
    <row r="8351" spans="1:1" x14ac:dyDescent="0.25">
      <c r="A8351" s="5"/>
    </row>
    <row r="8352" spans="1:1" x14ac:dyDescent="0.25">
      <c r="A8352" s="5"/>
    </row>
    <row r="8353" spans="1:1" x14ac:dyDescent="0.25">
      <c r="A8353" s="5"/>
    </row>
    <row r="8354" spans="1:1" x14ac:dyDescent="0.25">
      <c r="A8354" s="5"/>
    </row>
    <row r="8355" spans="1:1" x14ac:dyDescent="0.25">
      <c r="A8355" s="5"/>
    </row>
    <row r="8356" spans="1:1" x14ac:dyDescent="0.25">
      <c r="A8356" s="5"/>
    </row>
    <row r="8357" spans="1:1" x14ac:dyDescent="0.25">
      <c r="A8357" s="5"/>
    </row>
    <row r="8358" spans="1:1" x14ac:dyDescent="0.25">
      <c r="A8358" s="5"/>
    </row>
    <row r="8359" spans="1:1" x14ac:dyDescent="0.25">
      <c r="A8359" s="5"/>
    </row>
    <row r="8360" spans="1:1" x14ac:dyDescent="0.25">
      <c r="A8360" s="5"/>
    </row>
    <row r="8361" spans="1:1" x14ac:dyDescent="0.25">
      <c r="A8361" s="5"/>
    </row>
    <row r="8362" spans="1:1" x14ac:dyDescent="0.25">
      <c r="A8362" s="5"/>
    </row>
    <row r="8363" spans="1:1" x14ac:dyDescent="0.25">
      <c r="A8363" s="5"/>
    </row>
    <row r="8364" spans="1:1" x14ac:dyDescent="0.25">
      <c r="A8364" s="5"/>
    </row>
    <row r="8365" spans="1:1" x14ac:dyDescent="0.25">
      <c r="A8365" s="5"/>
    </row>
    <row r="8366" spans="1:1" x14ac:dyDescent="0.25">
      <c r="A8366" s="5"/>
    </row>
    <row r="8367" spans="1:1" x14ac:dyDescent="0.25">
      <c r="A8367" s="5"/>
    </row>
    <row r="8368" spans="1:1" x14ac:dyDescent="0.25">
      <c r="A8368" s="5"/>
    </row>
    <row r="8369" spans="1:1" x14ac:dyDescent="0.25">
      <c r="A8369" s="5"/>
    </row>
    <row r="8370" spans="1:1" x14ac:dyDescent="0.25">
      <c r="A8370" s="5"/>
    </row>
    <row r="8371" spans="1:1" x14ac:dyDescent="0.25">
      <c r="A8371" s="5"/>
    </row>
    <row r="8372" spans="1:1" x14ac:dyDescent="0.25">
      <c r="A8372" s="5"/>
    </row>
    <row r="8373" spans="1:1" x14ac:dyDescent="0.25">
      <c r="A8373" s="5"/>
    </row>
    <row r="8374" spans="1:1" x14ac:dyDescent="0.25">
      <c r="A8374" s="5"/>
    </row>
    <row r="8375" spans="1:1" x14ac:dyDescent="0.25">
      <c r="A8375" s="5"/>
    </row>
    <row r="8376" spans="1:1" x14ac:dyDescent="0.25">
      <c r="A8376" s="5"/>
    </row>
    <row r="8377" spans="1:1" x14ac:dyDescent="0.25">
      <c r="A8377" s="5"/>
    </row>
    <row r="8378" spans="1:1" x14ac:dyDescent="0.25">
      <c r="A8378" s="5"/>
    </row>
    <row r="8379" spans="1:1" x14ac:dyDescent="0.25">
      <c r="A8379" s="5"/>
    </row>
    <row r="8380" spans="1:1" x14ac:dyDescent="0.25">
      <c r="A8380" s="5"/>
    </row>
    <row r="8381" spans="1:1" x14ac:dyDescent="0.25">
      <c r="A8381" s="5"/>
    </row>
    <row r="8382" spans="1:1" x14ac:dyDescent="0.25">
      <c r="A8382" s="5"/>
    </row>
    <row r="8383" spans="1:1" x14ac:dyDescent="0.25">
      <c r="A8383" s="5"/>
    </row>
    <row r="8384" spans="1:1" x14ac:dyDescent="0.25">
      <c r="A8384" s="5"/>
    </row>
    <row r="8385" spans="1:1" x14ac:dyDescent="0.25">
      <c r="A8385" s="5"/>
    </row>
    <row r="8386" spans="1:1" x14ac:dyDescent="0.25">
      <c r="A8386" s="5"/>
    </row>
    <row r="8387" spans="1:1" x14ac:dyDescent="0.25">
      <c r="A8387" s="5"/>
    </row>
    <row r="8388" spans="1:1" x14ac:dyDescent="0.25">
      <c r="A8388" s="5"/>
    </row>
    <row r="8389" spans="1:1" x14ac:dyDescent="0.25">
      <c r="A8389" s="5"/>
    </row>
    <row r="8390" spans="1:1" x14ac:dyDescent="0.25">
      <c r="A8390" s="5"/>
    </row>
    <row r="8391" spans="1:1" x14ac:dyDescent="0.25">
      <c r="A8391" s="5"/>
    </row>
    <row r="8392" spans="1:1" x14ac:dyDescent="0.25">
      <c r="A8392" s="5"/>
    </row>
    <row r="8393" spans="1:1" x14ac:dyDescent="0.25">
      <c r="A8393" s="5"/>
    </row>
    <row r="8394" spans="1:1" x14ac:dyDescent="0.25">
      <c r="A8394" s="5"/>
    </row>
    <row r="8395" spans="1:1" x14ac:dyDescent="0.25">
      <c r="A8395" s="5"/>
    </row>
    <row r="8396" spans="1:1" x14ac:dyDescent="0.25">
      <c r="A8396" s="5"/>
    </row>
    <row r="8397" spans="1:1" x14ac:dyDescent="0.25">
      <c r="A8397" s="5"/>
    </row>
    <row r="8398" spans="1:1" x14ac:dyDescent="0.25">
      <c r="A8398" s="5"/>
    </row>
    <row r="8399" spans="1:1" x14ac:dyDescent="0.25">
      <c r="A8399" s="5"/>
    </row>
    <row r="8400" spans="1:1" x14ac:dyDescent="0.25">
      <c r="A8400" s="5"/>
    </row>
    <row r="8401" spans="1:1" x14ac:dyDescent="0.25">
      <c r="A8401" s="5"/>
    </row>
    <row r="8402" spans="1:1" x14ac:dyDescent="0.25">
      <c r="A8402" s="5"/>
    </row>
    <row r="8403" spans="1:1" x14ac:dyDescent="0.25">
      <c r="A8403" s="5"/>
    </row>
    <row r="8404" spans="1:1" x14ac:dyDescent="0.25">
      <c r="A8404" s="5"/>
    </row>
    <row r="8405" spans="1:1" x14ac:dyDescent="0.25">
      <c r="A8405" s="5"/>
    </row>
    <row r="8406" spans="1:1" x14ac:dyDescent="0.25">
      <c r="A8406" s="5"/>
    </row>
    <row r="8407" spans="1:1" x14ac:dyDescent="0.25">
      <c r="A8407" s="5"/>
    </row>
    <row r="8408" spans="1:1" x14ac:dyDescent="0.25">
      <c r="A8408" s="5"/>
    </row>
    <row r="8409" spans="1:1" x14ac:dyDescent="0.25">
      <c r="A8409" s="5"/>
    </row>
    <row r="8410" spans="1:1" x14ac:dyDescent="0.25">
      <c r="A8410" s="5"/>
    </row>
    <row r="8411" spans="1:1" x14ac:dyDescent="0.25">
      <c r="A8411" s="5"/>
    </row>
    <row r="8412" spans="1:1" x14ac:dyDescent="0.25">
      <c r="A8412" s="5"/>
    </row>
    <row r="8413" spans="1:1" x14ac:dyDescent="0.25">
      <c r="A8413" s="5"/>
    </row>
    <row r="8414" spans="1:1" x14ac:dyDescent="0.25">
      <c r="A8414" s="5"/>
    </row>
    <row r="8415" spans="1:1" x14ac:dyDescent="0.25">
      <c r="A8415" s="5"/>
    </row>
    <row r="8416" spans="1:1" x14ac:dyDescent="0.25">
      <c r="A8416" s="5"/>
    </row>
    <row r="8417" spans="1:1" x14ac:dyDescent="0.25">
      <c r="A8417" s="5"/>
    </row>
    <row r="8418" spans="1:1" x14ac:dyDescent="0.25">
      <c r="A8418" s="5"/>
    </row>
    <row r="8419" spans="1:1" x14ac:dyDescent="0.25">
      <c r="A8419" s="5"/>
    </row>
    <row r="8420" spans="1:1" x14ac:dyDescent="0.25">
      <c r="A8420" s="5"/>
    </row>
    <row r="8421" spans="1:1" x14ac:dyDescent="0.25">
      <c r="A8421" s="5"/>
    </row>
    <row r="8422" spans="1:1" x14ac:dyDescent="0.25">
      <c r="A8422" s="5"/>
    </row>
    <row r="8423" spans="1:1" x14ac:dyDescent="0.25">
      <c r="A8423" s="5"/>
    </row>
    <row r="8424" spans="1:1" x14ac:dyDescent="0.25">
      <c r="A8424" s="5"/>
    </row>
    <row r="8425" spans="1:1" x14ac:dyDescent="0.25">
      <c r="A8425" s="5"/>
    </row>
    <row r="8426" spans="1:1" x14ac:dyDescent="0.25">
      <c r="A8426" s="5"/>
    </row>
    <row r="8427" spans="1:1" x14ac:dyDescent="0.25">
      <c r="A8427" s="5"/>
    </row>
    <row r="8428" spans="1:1" x14ac:dyDescent="0.25">
      <c r="A8428" s="5"/>
    </row>
    <row r="8429" spans="1:1" x14ac:dyDescent="0.25">
      <c r="A8429" s="5"/>
    </row>
    <row r="8430" spans="1:1" x14ac:dyDescent="0.25">
      <c r="A8430" s="5"/>
    </row>
    <row r="8431" spans="1:1" x14ac:dyDescent="0.25">
      <c r="A8431" s="5"/>
    </row>
    <row r="8432" spans="1:1" x14ac:dyDescent="0.25">
      <c r="A8432" s="5"/>
    </row>
    <row r="8433" spans="1:1" x14ac:dyDescent="0.25">
      <c r="A8433" s="5"/>
    </row>
    <row r="8434" spans="1:1" x14ac:dyDescent="0.25">
      <c r="A8434" s="5"/>
    </row>
    <row r="8435" spans="1:1" x14ac:dyDescent="0.25">
      <c r="A8435" s="5"/>
    </row>
    <row r="8436" spans="1:1" x14ac:dyDescent="0.25">
      <c r="A8436" s="5"/>
    </row>
    <row r="8437" spans="1:1" x14ac:dyDescent="0.25">
      <c r="A8437" s="5"/>
    </row>
    <row r="8438" spans="1:1" x14ac:dyDescent="0.25">
      <c r="A8438" s="5"/>
    </row>
    <row r="8439" spans="1:1" x14ac:dyDescent="0.25">
      <c r="A8439" s="5"/>
    </row>
    <row r="8440" spans="1:1" x14ac:dyDescent="0.25">
      <c r="A8440" s="5"/>
    </row>
    <row r="8441" spans="1:1" x14ac:dyDescent="0.25">
      <c r="A8441" s="5"/>
    </row>
    <row r="8442" spans="1:1" x14ac:dyDescent="0.25">
      <c r="A8442" s="5"/>
    </row>
    <row r="8443" spans="1:1" x14ac:dyDescent="0.25">
      <c r="A8443" s="5"/>
    </row>
    <row r="8444" spans="1:1" x14ac:dyDescent="0.25">
      <c r="A8444" s="5"/>
    </row>
    <row r="8445" spans="1:1" x14ac:dyDescent="0.25">
      <c r="A8445" s="5"/>
    </row>
    <row r="8446" spans="1:1" x14ac:dyDescent="0.25">
      <c r="A8446" s="5"/>
    </row>
    <row r="8447" spans="1:1" x14ac:dyDescent="0.25">
      <c r="A8447" s="5"/>
    </row>
    <row r="8448" spans="1:1" x14ac:dyDescent="0.25">
      <c r="A8448" s="5"/>
    </row>
    <row r="8449" spans="1:1" x14ac:dyDescent="0.25">
      <c r="A8449" s="5"/>
    </row>
    <row r="8450" spans="1:1" x14ac:dyDescent="0.25">
      <c r="A8450" s="5"/>
    </row>
    <row r="8451" spans="1:1" x14ac:dyDescent="0.25">
      <c r="A8451" s="5"/>
    </row>
    <row r="8452" spans="1:1" x14ac:dyDescent="0.25">
      <c r="A8452" s="5"/>
    </row>
    <row r="8453" spans="1:1" x14ac:dyDescent="0.25">
      <c r="A8453" s="5"/>
    </row>
    <row r="8454" spans="1:1" x14ac:dyDescent="0.25">
      <c r="A8454" s="5"/>
    </row>
    <row r="8455" spans="1:1" x14ac:dyDescent="0.25">
      <c r="A8455" s="5"/>
    </row>
    <row r="8456" spans="1:1" x14ac:dyDescent="0.25">
      <c r="A8456" s="5"/>
    </row>
    <row r="8457" spans="1:1" x14ac:dyDescent="0.25">
      <c r="A8457" s="5"/>
    </row>
    <row r="8458" spans="1:1" x14ac:dyDescent="0.25">
      <c r="A8458" s="5"/>
    </row>
    <row r="8459" spans="1:1" x14ac:dyDescent="0.25">
      <c r="A8459" s="5"/>
    </row>
    <row r="8460" spans="1:1" x14ac:dyDescent="0.25">
      <c r="A8460" s="5"/>
    </row>
    <row r="8461" spans="1:1" x14ac:dyDescent="0.25">
      <c r="A8461" s="5"/>
    </row>
    <row r="8462" spans="1:1" x14ac:dyDescent="0.25">
      <c r="A8462" s="5"/>
    </row>
    <row r="8463" spans="1:1" x14ac:dyDescent="0.25">
      <c r="A8463" s="5"/>
    </row>
    <row r="8464" spans="1:1" x14ac:dyDescent="0.25">
      <c r="A8464" s="5"/>
    </row>
    <row r="8465" spans="1:1" x14ac:dyDescent="0.25">
      <c r="A8465" s="5"/>
    </row>
    <row r="8466" spans="1:1" x14ac:dyDescent="0.25">
      <c r="A8466" s="5"/>
    </row>
    <row r="8467" spans="1:1" x14ac:dyDescent="0.25">
      <c r="A8467" s="5"/>
    </row>
    <row r="8468" spans="1:1" x14ac:dyDescent="0.25">
      <c r="A8468" s="5"/>
    </row>
    <row r="8469" spans="1:1" x14ac:dyDescent="0.25">
      <c r="A8469" s="5"/>
    </row>
    <row r="8470" spans="1:1" x14ac:dyDescent="0.25">
      <c r="A8470" s="5"/>
    </row>
    <row r="8471" spans="1:1" x14ac:dyDescent="0.25">
      <c r="A8471" s="5"/>
    </row>
    <row r="8472" spans="1:1" x14ac:dyDescent="0.25">
      <c r="A8472" s="5"/>
    </row>
    <row r="8473" spans="1:1" x14ac:dyDescent="0.25">
      <c r="A8473" s="5"/>
    </row>
    <row r="8474" spans="1:1" x14ac:dyDescent="0.25">
      <c r="A8474" s="5"/>
    </row>
    <row r="8475" spans="1:1" x14ac:dyDescent="0.25">
      <c r="A8475" s="5"/>
    </row>
    <row r="8476" spans="1:1" x14ac:dyDescent="0.25">
      <c r="A8476" s="5"/>
    </row>
    <row r="8477" spans="1:1" x14ac:dyDescent="0.25">
      <c r="A8477" s="5"/>
    </row>
    <row r="8478" spans="1:1" x14ac:dyDescent="0.25">
      <c r="A8478" s="5"/>
    </row>
    <row r="8479" spans="1:1" x14ac:dyDescent="0.25">
      <c r="A8479" s="5"/>
    </row>
    <row r="8480" spans="1:1" x14ac:dyDescent="0.25">
      <c r="A8480" s="5"/>
    </row>
    <row r="8481" spans="1:1" x14ac:dyDescent="0.25">
      <c r="A8481" s="5"/>
    </row>
    <row r="8482" spans="1:1" x14ac:dyDescent="0.25">
      <c r="A8482" s="5"/>
    </row>
    <row r="8483" spans="1:1" x14ac:dyDescent="0.25">
      <c r="A8483" s="5"/>
    </row>
    <row r="8484" spans="1:1" x14ac:dyDescent="0.25">
      <c r="A8484" s="5"/>
    </row>
    <row r="8485" spans="1:1" x14ac:dyDescent="0.25">
      <c r="A8485" s="5"/>
    </row>
    <row r="8486" spans="1:1" x14ac:dyDescent="0.25">
      <c r="A8486" s="5"/>
    </row>
    <row r="8487" spans="1:1" x14ac:dyDescent="0.25">
      <c r="A8487" s="5"/>
    </row>
    <row r="8488" spans="1:1" x14ac:dyDescent="0.25">
      <c r="A8488" s="5"/>
    </row>
    <row r="8489" spans="1:1" x14ac:dyDescent="0.25">
      <c r="A8489" s="5"/>
    </row>
    <row r="8490" spans="1:1" x14ac:dyDescent="0.25">
      <c r="A8490" s="5"/>
    </row>
    <row r="8491" spans="1:1" x14ac:dyDescent="0.25">
      <c r="A8491" s="5"/>
    </row>
    <row r="8492" spans="1:1" x14ac:dyDescent="0.25">
      <c r="A8492" s="5"/>
    </row>
    <row r="8493" spans="1:1" x14ac:dyDescent="0.25">
      <c r="A8493" s="5"/>
    </row>
    <row r="8494" spans="1:1" x14ac:dyDescent="0.25">
      <c r="A8494" s="5"/>
    </row>
    <row r="8495" spans="1:1" x14ac:dyDescent="0.25">
      <c r="A8495" s="5"/>
    </row>
    <row r="8496" spans="1:1" x14ac:dyDescent="0.25">
      <c r="A8496" s="5"/>
    </row>
    <row r="8497" spans="1:1" x14ac:dyDescent="0.25">
      <c r="A8497" s="5"/>
    </row>
    <row r="8498" spans="1:1" x14ac:dyDescent="0.25">
      <c r="A8498" s="5"/>
    </row>
    <row r="8499" spans="1:1" x14ac:dyDescent="0.25">
      <c r="A8499" s="5"/>
    </row>
    <row r="8500" spans="1:1" x14ac:dyDescent="0.25">
      <c r="A8500" s="5"/>
    </row>
    <row r="8501" spans="1:1" x14ac:dyDescent="0.25">
      <c r="A8501" s="5"/>
    </row>
    <row r="8502" spans="1:1" x14ac:dyDescent="0.25">
      <c r="A8502" s="5"/>
    </row>
    <row r="8503" spans="1:1" x14ac:dyDescent="0.25">
      <c r="A8503" s="5"/>
    </row>
    <row r="8504" spans="1:1" x14ac:dyDescent="0.25">
      <c r="A8504" s="5"/>
    </row>
    <row r="8505" spans="1:1" x14ac:dyDescent="0.25">
      <c r="A8505" s="5"/>
    </row>
    <row r="8506" spans="1:1" x14ac:dyDescent="0.25">
      <c r="A8506" s="5"/>
    </row>
    <row r="8507" spans="1:1" x14ac:dyDescent="0.25">
      <c r="A8507" s="5"/>
    </row>
    <row r="8508" spans="1:1" x14ac:dyDescent="0.25">
      <c r="A8508" s="5"/>
    </row>
    <row r="8509" spans="1:1" x14ac:dyDescent="0.25">
      <c r="A8509" s="5"/>
    </row>
    <row r="8510" spans="1:1" x14ac:dyDescent="0.25">
      <c r="A8510" s="5"/>
    </row>
    <row r="8511" spans="1:1" x14ac:dyDescent="0.25">
      <c r="A8511" s="5"/>
    </row>
    <row r="8512" spans="1:1" x14ac:dyDescent="0.25">
      <c r="A8512" s="5"/>
    </row>
    <row r="8513" spans="1:1" x14ac:dyDescent="0.25">
      <c r="A8513" s="5"/>
    </row>
    <row r="8514" spans="1:1" x14ac:dyDescent="0.25">
      <c r="A8514" s="5"/>
    </row>
    <row r="8515" spans="1:1" x14ac:dyDescent="0.25">
      <c r="A8515" s="5"/>
    </row>
    <row r="8516" spans="1:1" x14ac:dyDescent="0.25">
      <c r="A8516" s="5"/>
    </row>
    <row r="8517" spans="1:1" x14ac:dyDescent="0.25">
      <c r="A8517" s="5"/>
    </row>
    <row r="8518" spans="1:1" x14ac:dyDescent="0.25">
      <c r="A8518" s="5"/>
    </row>
    <row r="8519" spans="1:1" x14ac:dyDescent="0.25">
      <c r="A8519" s="5"/>
    </row>
    <row r="8520" spans="1:1" x14ac:dyDescent="0.25">
      <c r="A8520" s="5"/>
    </row>
    <row r="8521" spans="1:1" x14ac:dyDescent="0.25">
      <c r="A8521" s="5"/>
    </row>
    <row r="8522" spans="1:1" x14ac:dyDescent="0.25">
      <c r="A8522" s="5"/>
    </row>
    <row r="8523" spans="1:1" x14ac:dyDescent="0.25">
      <c r="A8523" s="5"/>
    </row>
    <row r="8524" spans="1:1" x14ac:dyDescent="0.25">
      <c r="A8524" s="5"/>
    </row>
    <row r="8525" spans="1:1" x14ac:dyDescent="0.25">
      <c r="A8525" s="5"/>
    </row>
    <row r="8526" spans="1:1" x14ac:dyDescent="0.25">
      <c r="A8526" s="5"/>
    </row>
    <row r="8527" spans="1:1" x14ac:dyDescent="0.25">
      <c r="A8527" s="5"/>
    </row>
    <row r="8528" spans="1:1" x14ac:dyDescent="0.25">
      <c r="A8528" s="5"/>
    </row>
    <row r="8529" spans="1:1" x14ac:dyDescent="0.25">
      <c r="A8529" s="5"/>
    </row>
    <row r="8530" spans="1:1" x14ac:dyDescent="0.25">
      <c r="A8530" s="5"/>
    </row>
    <row r="8531" spans="1:1" x14ac:dyDescent="0.25">
      <c r="A8531" s="5"/>
    </row>
    <row r="8532" spans="1:1" x14ac:dyDescent="0.25">
      <c r="A8532" s="5"/>
    </row>
    <row r="8533" spans="1:1" x14ac:dyDescent="0.25">
      <c r="A8533" s="5"/>
    </row>
    <row r="8534" spans="1:1" x14ac:dyDescent="0.25">
      <c r="A8534" s="5"/>
    </row>
    <row r="8535" spans="1:1" x14ac:dyDescent="0.25">
      <c r="A8535" s="5"/>
    </row>
    <row r="8536" spans="1:1" x14ac:dyDescent="0.25">
      <c r="A8536" s="5"/>
    </row>
    <row r="8537" spans="1:1" x14ac:dyDescent="0.25">
      <c r="A8537" s="5"/>
    </row>
    <row r="8538" spans="1:1" x14ac:dyDescent="0.25">
      <c r="A8538" s="5"/>
    </row>
    <row r="8539" spans="1:1" x14ac:dyDescent="0.25">
      <c r="A8539" s="5"/>
    </row>
    <row r="8540" spans="1:1" x14ac:dyDescent="0.25">
      <c r="A8540" s="5"/>
    </row>
    <row r="8541" spans="1:1" x14ac:dyDescent="0.25">
      <c r="A8541" s="5"/>
    </row>
    <row r="8542" spans="1:1" x14ac:dyDescent="0.25">
      <c r="A8542" s="5"/>
    </row>
    <row r="8543" spans="1:1" x14ac:dyDescent="0.25">
      <c r="A8543" s="5"/>
    </row>
    <row r="8544" spans="1:1" x14ac:dyDescent="0.25">
      <c r="A8544" s="5"/>
    </row>
    <row r="8545" spans="1:1" x14ac:dyDescent="0.25">
      <c r="A8545" s="5"/>
    </row>
    <row r="8546" spans="1:1" x14ac:dyDescent="0.25">
      <c r="A8546" s="5"/>
    </row>
    <row r="8547" spans="1:1" x14ac:dyDescent="0.25">
      <c r="A8547" s="5"/>
    </row>
    <row r="8548" spans="1:1" x14ac:dyDescent="0.25">
      <c r="A8548" s="5"/>
    </row>
    <row r="8549" spans="1:1" x14ac:dyDescent="0.25">
      <c r="A8549" s="5"/>
    </row>
    <row r="8550" spans="1:1" x14ac:dyDescent="0.25">
      <c r="A8550" s="5"/>
    </row>
    <row r="8551" spans="1:1" x14ac:dyDescent="0.25">
      <c r="A8551" s="5"/>
    </row>
    <row r="8552" spans="1:1" x14ac:dyDescent="0.25">
      <c r="A8552" s="5"/>
    </row>
    <row r="8553" spans="1:1" x14ac:dyDescent="0.25">
      <c r="A8553" s="5"/>
    </row>
    <row r="8554" spans="1:1" x14ac:dyDescent="0.25">
      <c r="A8554" s="5"/>
    </row>
    <row r="8555" spans="1:1" x14ac:dyDescent="0.25">
      <c r="A8555" s="5"/>
    </row>
    <row r="8556" spans="1:1" x14ac:dyDescent="0.25">
      <c r="A8556" s="5"/>
    </row>
    <row r="8557" spans="1:1" x14ac:dyDescent="0.25">
      <c r="A8557" s="5"/>
    </row>
    <row r="8558" spans="1:1" x14ac:dyDescent="0.25">
      <c r="A8558" s="5"/>
    </row>
    <row r="8559" spans="1:1" x14ac:dyDescent="0.25">
      <c r="A8559" s="5"/>
    </row>
    <row r="8560" spans="1:1" x14ac:dyDescent="0.25">
      <c r="A8560" s="5"/>
    </row>
    <row r="8561" spans="1:1" x14ac:dyDescent="0.25">
      <c r="A8561" s="5"/>
    </row>
    <row r="8562" spans="1:1" x14ac:dyDescent="0.25">
      <c r="A8562" s="5"/>
    </row>
    <row r="8563" spans="1:1" x14ac:dyDescent="0.25">
      <c r="A8563" s="5"/>
    </row>
    <row r="8564" spans="1:1" x14ac:dyDescent="0.25">
      <c r="A8564" s="5"/>
    </row>
    <row r="8565" spans="1:1" x14ac:dyDescent="0.25">
      <c r="A8565" s="5"/>
    </row>
    <row r="8566" spans="1:1" x14ac:dyDescent="0.25">
      <c r="A8566" s="5"/>
    </row>
    <row r="8567" spans="1:1" x14ac:dyDescent="0.25">
      <c r="A8567" s="5"/>
    </row>
    <row r="8568" spans="1:1" x14ac:dyDescent="0.25">
      <c r="A8568" s="5"/>
    </row>
    <row r="8569" spans="1:1" x14ac:dyDescent="0.25">
      <c r="A8569" s="5"/>
    </row>
    <row r="8570" spans="1:1" x14ac:dyDescent="0.25">
      <c r="A8570" s="5"/>
    </row>
    <row r="8571" spans="1:1" x14ac:dyDescent="0.25">
      <c r="A8571" s="5"/>
    </row>
    <row r="8572" spans="1:1" x14ac:dyDescent="0.25">
      <c r="A8572" s="5"/>
    </row>
    <row r="8573" spans="1:1" x14ac:dyDescent="0.25">
      <c r="A8573" s="5"/>
    </row>
    <row r="8574" spans="1:1" x14ac:dyDescent="0.25">
      <c r="A8574" s="5"/>
    </row>
    <row r="8575" spans="1:1" x14ac:dyDescent="0.25">
      <c r="A8575" s="5"/>
    </row>
    <row r="8576" spans="1:1" x14ac:dyDescent="0.25">
      <c r="A8576" s="5"/>
    </row>
    <row r="8577" spans="1:1" x14ac:dyDescent="0.25">
      <c r="A8577" s="5"/>
    </row>
    <row r="8578" spans="1:1" x14ac:dyDescent="0.25">
      <c r="A8578" s="5"/>
    </row>
    <row r="8579" spans="1:1" x14ac:dyDescent="0.25">
      <c r="A8579" s="5"/>
    </row>
    <row r="8580" spans="1:1" x14ac:dyDescent="0.25">
      <c r="A8580" s="5"/>
    </row>
    <row r="8581" spans="1:1" x14ac:dyDescent="0.25">
      <c r="A8581" s="5"/>
    </row>
    <row r="8582" spans="1:1" x14ac:dyDescent="0.25">
      <c r="A8582" s="5"/>
    </row>
    <row r="8583" spans="1:1" x14ac:dyDescent="0.25">
      <c r="A8583" s="5"/>
    </row>
    <row r="8584" spans="1:1" x14ac:dyDescent="0.25">
      <c r="A8584" s="5"/>
    </row>
    <row r="8585" spans="1:1" x14ac:dyDescent="0.25">
      <c r="A8585" s="5"/>
    </row>
    <row r="8586" spans="1:1" x14ac:dyDescent="0.25">
      <c r="A8586" s="5"/>
    </row>
    <row r="8587" spans="1:1" x14ac:dyDescent="0.25">
      <c r="A8587" s="5"/>
    </row>
    <row r="8588" spans="1:1" x14ac:dyDescent="0.25">
      <c r="A8588" s="5"/>
    </row>
    <row r="8589" spans="1:1" x14ac:dyDescent="0.25">
      <c r="A8589" s="5"/>
    </row>
    <row r="8590" spans="1:1" x14ac:dyDescent="0.25">
      <c r="A8590" s="5"/>
    </row>
    <row r="8591" spans="1:1" x14ac:dyDescent="0.25">
      <c r="A8591" s="5"/>
    </row>
    <row r="8592" spans="1:1" x14ac:dyDescent="0.25">
      <c r="A8592" s="5"/>
    </row>
    <row r="8593" spans="1:1" x14ac:dyDescent="0.25">
      <c r="A8593" s="5"/>
    </row>
    <row r="8594" spans="1:1" x14ac:dyDescent="0.25">
      <c r="A8594" s="5"/>
    </row>
    <row r="8595" spans="1:1" x14ac:dyDescent="0.25">
      <c r="A8595" s="5"/>
    </row>
    <row r="8596" spans="1:1" x14ac:dyDescent="0.25">
      <c r="A8596" s="5"/>
    </row>
    <row r="8597" spans="1:1" x14ac:dyDescent="0.25">
      <c r="A8597" s="5"/>
    </row>
    <row r="8598" spans="1:1" x14ac:dyDescent="0.25">
      <c r="A8598" s="5"/>
    </row>
    <row r="8599" spans="1:1" x14ac:dyDescent="0.25">
      <c r="A8599" s="5"/>
    </row>
    <row r="8600" spans="1:1" x14ac:dyDescent="0.25">
      <c r="A8600" s="5"/>
    </row>
    <row r="8601" spans="1:1" x14ac:dyDescent="0.25">
      <c r="A8601" s="5"/>
    </row>
    <row r="8602" spans="1:1" x14ac:dyDescent="0.25">
      <c r="A8602" s="5"/>
    </row>
    <row r="8603" spans="1:1" x14ac:dyDescent="0.25">
      <c r="A8603" s="5"/>
    </row>
    <row r="8604" spans="1:1" x14ac:dyDescent="0.25">
      <c r="A8604" s="5"/>
    </row>
    <row r="8605" spans="1:1" x14ac:dyDescent="0.25">
      <c r="A8605" s="5"/>
    </row>
    <row r="8606" spans="1:1" x14ac:dyDescent="0.25">
      <c r="A8606" s="5"/>
    </row>
    <row r="8607" spans="1:1" x14ac:dyDescent="0.25">
      <c r="A8607" s="5"/>
    </row>
    <row r="8608" spans="1:1" x14ac:dyDescent="0.25">
      <c r="A8608" s="5"/>
    </row>
    <row r="8609" spans="1:1" x14ac:dyDescent="0.25">
      <c r="A8609" s="5"/>
    </row>
    <row r="8610" spans="1:1" x14ac:dyDescent="0.25">
      <c r="A8610" s="5"/>
    </row>
    <row r="8611" spans="1:1" x14ac:dyDescent="0.25">
      <c r="A8611" s="5"/>
    </row>
    <row r="8612" spans="1:1" x14ac:dyDescent="0.25">
      <c r="A8612" s="5"/>
    </row>
    <row r="8613" spans="1:1" x14ac:dyDescent="0.25">
      <c r="A8613" s="5"/>
    </row>
    <row r="8614" spans="1:1" x14ac:dyDescent="0.25">
      <c r="A8614" s="5"/>
    </row>
    <row r="8615" spans="1:1" x14ac:dyDescent="0.25">
      <c r="A8615" s="5"/>
    </row>
    <row r="8616" spans="1:1" x14ac:dyDescent="0.25">
      <c r="A8616" s="5"/>
    </row>
    <row r="8617" spans="1:1" x14ac:dyDescent="0.25">
      <c r="A8617" s="5"/>
    </row>
    <row r="8618" spans="1:1" x14ac:dyDescent="0.25">
      <c r="A8618" s="5"/>
    </row>
    <row r="8619" spans="1:1" x14ac:dyDescent="0.25">
      <c r="A8619" s="5"/>
    </row>
    <row r="8620" spans="1:1" x14ac:dyDescent="0.25">
      <c r="A8620" s="5"/>
    </row>
    <row r="8621" spans="1:1" x14ac:dyDescent="0.25">
      <c r="A8621" s="5"/>
    </row>
    <row r="8622" spans="1:1" x14ac:dyDescent="0.25">
      <c r="A8622" s="5"/>
    </row>
    <row r="8623" spans="1:1" x14ac:dyDescent="0.25">
      <c r="A8623" s="5"/>
    </row>
    <row r="8624" spans="1:1" x14ac:dyDescent="0.25">
      <c r="A8624" s="5"/>
    </row>
    <row r="8625" spans="1:1" x14ac:dyDescent="0.25">
      <c r="A8625" s="5"/>
    </row>
    <row r="8626" spans="1:1" x14ac:dyDescent="0.25">
      <c r="A8626" s="5"/>
    </row>
    <row r="8627" spans="1:1" x14ac:dyDescent="0.25">
      <c r="A8627" s="5"/>
    </row>
    <row r="8628" spans="1:1" x14ac:dyDescent="0.25">
      <c r="A8628" s="5"/>
    </row>
    <row r="8629" spans="1:1" x14ac:dyDescent="0.25">
      <c r="A8629" s="5"/>
    </row>
    <row r="8630" spans="1:1" x14ac:dyDescent="0.25">
      <c r="A8630" s="5"/>
    </row>
    <row r="8631" spans="1:1" x14ac:dyDescent="0.25">
      <c r="A8631" s="5"/>
    </row>
    <row r="8632" spans="1:1" x14ac:dyDescent="0.25">
      <c r="A8632" s="5"/>
    </row>
    <row r="8633" spans="1:1" x14ac:dyDescent="0.25">
      <c r="A8633" s="5"/>
    </row>
    <row r="8634" spans="1:1" x14ac:dyDescent="0.25">
      <c r="A8634" s="5"/>
    </row>
    <row r="8635" spans="1:1" x14ac:dyDescent="0.25">
      <c r="A8635" s="5"/>
    </row>
    <row r="8636" spans="1:1" x14ac:dyDescent="0.25">
      <c r="A8636" s="5"/>
    </row>
    <row r="8637" spans="1:1" x14ac:dyDescent="0.25">
      <c r="A8637" s="5"/>
    </row>
    <row r="8638" spans="1:1" x14ac:dyDescent="0.25">
      <c r="A8638" s="5"/>
    </row>
    <row r="8639" spans="1:1" x14ac:dyDescent="0.25">
      <c r="A8639" s="5"/>
    </row>
    <row r="8640" spans="1:1" x14ac:dyDescent="0.25">
      <c r="A8640" s="5"/>
    </row>
    <row r="8641" spans="1:1" x14ac:dyDescent="0.25">
      <c r="A8641" s="5"/>
    </row>
    <row r="8642" spans="1:1" x14ac:dyDescent="0.25">
      <c r="A8642" s="5"/>
    </row>
    <row r="8643" spans="1:1" x14ac:dyDescent="0.25">
      <c r="A8643" s="5"/>
    </row>
    <row r="8644" spans="1:1" x14ac:dyDescent="0.25">
      <c r="A8644" s="5"/>
    </row>
    <row r="8645" spans="1:1" x14ac:dyDescent="0.25">
      <c r="A8645" s="5"/>
    </row>
    <row r="8646" spans="1:1" x14ac:dyDescent="0.25">
      <c r="A8646" s="5"/>
    </row>
    <row r="8647" spans="1:1" x14ac:dyDescent="0.25">
      <c r="A8647" s="5"/>
    </row>
    <row r="8648" spans="1:1" x14ac:dyDescent="0.25">
      <c r="A8648" s="5"/>
    </row>
    <row r="8649" spans="1:1" x14ac:dyDescent="0.25">
      <c r="A8649" s="5"/>
    </row>
    <row r="8650" spans="1:1" x14ac:dyDescent="0.25">
      <c r="A8650" s="5"/>
    </row>
    <row r="8651" spans="1:1" x14ac:dyDescent="0.25">
      <c r="A8651" s="5"/>
    </row>
    <row r="8652" spans="1:1" x14ac:dyDescent="0.25">
      <c r="A8652" s="5"/>
    </row>
    <row r="8653" spans="1:1" x14ac:dyDescent="0.25">
      <c r="A8653" s="5"/>
    </row>
    <row r="8654" spans="1:1" x14ac:dyDescent="0.25">
      <c r="A8654" s="5"/>
    </row>
    <row r="8655" spans="1:1" x14ac:dyDescent="0.25">
      <c r="A8655" s="5"/>
    </row>
    <row r="8656" spans="1:1" x14ac:dyDescent="0.25">
      <c r="A8656" s="5"/>
    </row>
    <row r="8657" spans="1:1" x14ac:dyDescent="0.25">
      <c r="A8657" s="5"/>
    </row>
    <row r="8658" spans="1:1" x14ac:dyDescent="0.25">
      <c r="A8658" s="5"/>
    </row>
    <row r="8659" spans="1:1" x14ac:dyDescent="0.25">
      <c r="A8659" s="5"/>
    </row>
    <row r="8660" spans="1:1" x14ac:dyDescent="0.25">
      <c r="A8660" s="5"/>
    </row>
    <row r="8661" spans="1:1" x14ac:dyDescent="0.25">
      <c r="A8661" s="5"/>
    </row>
    <row r="8662" spans="1:1" x14ac:dyDescent="0.25">
      <c r="A8662" s="5"/>
    </row>
    <row r="8663" spans="1:1" x14ac:dyDescent="0.25">
      <c r="A8663" s="5"/>
    </row>
    <row r="8664" spans="1:1" x14ac:dyDescent="0.25">
      <c r="A8664" s="5"/>
    </row>
    <row r="8665" spans="1:1" x14ac:dyDescent="0.25">
      <c r="A8665" s="5"/>
    </row>
    <row r="8666" spans="1:1" x14ac:dyDescent="0.25">
      <c r="A8666" s="5"/>
    </row>
    <row r="8667" spans="1:1" x14ac:dyDescent="0.25">
      <c r="A8667" s="5"/>
    </row>
    <row r="8668" spans="1:1" x14ac:dyDescent="0.25">
      <c r="A8668" s="5"/>
    </row>
    <row r="8669" spans="1:1" x14ac:dyDescent="0.25">
      <c r="A8669" s="5"/>
    </row>
    <row r="8670" spans="1:1" x14ac:dyDescent="0.25">
      <c r="A8670" s="5"/>
    </row>
    <row r="8671" spans="1:1" x14ac:dyDescent="0.25">
      <c r="A8671" s="5"/>
    </row>
    <row r="8672" spans="1:1" x14ac:dyDescent="0.25">
      <c r="A8672" s="5"/>
    </row>
    <row r="8673" spans="1:1" x14ac:dyDescent="0.25">
      <c r="A8673" s="5"/>
    </row>
    <row r="8674" spans="1:1" x14ac:dyDescent="0.25">
      <c r="A8674" s="5"/>
    </row>
    <row r="8675" spans="1:1" x14ac:dyDescent="0.25">
      <c r="A8675" s="5"/>
    </row>
    <row r="8676" spans="1:1" x14ac:dyDescent="0.25">
      <c r="A8676" s="5"/>
    </row>
    <row r="8677" spans="1:1" x14ac:dyDescent="0.25">
      <c r="A8677" s="5"/>
    </row>
    <row r="8678" spans="1:1" x14ac:dyDescent="0.25">
      <c r="A8678" s="5"/>
    </row>
    <row r="8679" spans="1:1" x14ac:dyDescent="0.25">
      <c r="A8679" s="5"/>
    </row>
    <row r="8680" spans="1:1" x14ac:dyDescent="0.25">
      <c r="A8680" s="5"/>
    </row>
    <row r="8681" spans="1:1" x14ac:dyDescent="0.25">
      <c r="A8681" s="5"/>
    </row>
    <row r="8682" spans="1:1" x14ac:dyDescent="0.25">
      <c r="A8682" s="5"/>
    </row>
    <row r="8683" spans="1:1" x14ac:dyDescent="0.25">
      <c r="A8683" s="5"/>
    </row>
    <row r="8684" spans="1:1" x14ac:dyDescent="0.25">
      <c r="A8684" s="5"/>
    </row>
    <row r="8685" spans="1:1" x14ac:dyDescent="0.25">
      <c r="A8685" s="5"/>
    </row>
    <row r="8686" spans="1:1" x14ac:dyDescent="0.25">
      <c r="A8686" s="5"/>
    </row>
    <row r="8687" spans="1:1" x14ac:dyDescent="0.25">
      <c r="A8687" s="5"/>
    </row>
    <row r="8688" spans="1:1" x14ac:dyDescent="0.25">
      <c r="A8688" s="5"/>
    </row>
    <row r="8689" spans="1:1" x14ac:dyDescent="0.25">
      <c r="A8689" s="5"/>
    </row>
    <row r="8690" spans="1:1" x14ac:dyDescent="0.25">
      <c r="A8690" s="5"/>
    </row>
    <row r="8691" spans="1:1" x14ac:dyDescent="0.25">
      <c r="A8691" s="5"/>
    </row>
    <row r="8692" spans="1:1" x14ac:dyDescent="0.25">
      <c r="A8692" s="5"/>
    </row>
    <row r="8693" spans="1:1" x14ac:dyDescent="0.25">
      <c r="A8693" s="5"/>
    </row>
    <row r="8694" spans="1:1" x14ac:dyDescent="0.25">
      <c r="A8694" s="5"/>
    </row>
    <row r="8695" spans="1:1" x14ac:dyDescent="0.25">
      <c r="A8695" s="5"/>
    </row>
    <row r="8696" spans="1:1" x14ac:dyDescent="0.25">
      <c r="A8696" s="5"/>
    </row>
    <row r="8697" spans="1:1" x14ac:dyDescent="0.25">
      <c r="A8697" s="5"/>
    </row>
    <row r="8698" spans="1:1" x14ac:dyDescent="0.25">
      <c r="A8698" s="5"/>
    </row>
    <row r="8699" spans="1:1" x14ac:dyDescent="0.25">
      <c r="A8699" s="5"/>
    </row>
    <row r="8700" spans="1:1" x14ac:dyDescent="0.25">
      <c r="A8700" s="5"/>
    </row>
    <row r="8701" spans="1:1" x14ac:dyDescent="0.25">
      <c r="A8701" s="5"/>
    </row>
    <row r="8702" spans="1:1" x14ac:dyDescent="0.25">
      <c r="A8702" s="5"/>
    </row>
    <row r="8703" spans="1:1" x14ac:dyDescent="0.25">
      <c r="A8703" s="5"/>
    </row>
    <row r="8704" spans="1:1" x14ac:dyDescent="0.25">
      <c r="A8704" s="5"/>
    </row>
    <row r="8705" spans="1:1" x14ac:dyDescent="0.25">
      <c r="A8705" s="5"/>
    </row>
    <row r="8706" spans="1:1" x14ac:dyDescent="0.25">
      <c r="A8706" s="5"/>
    </row>
    <row r="8707" spans="1:1" x14ac:dyDescent="0.25">
      <c r="A8707" s="5"/>
    </row>
    <row r="8708" spans="1:1" x14ac:dyDescent="0.25">
      <c r="A8708" s="5"/>
    </row>
    <row r="8709" spans="1:1" x14ac:dyDescent="0.25">
      <c r="A8709" s="5"/>
    </row>
    <row r="8710" spans="1:1" x14ac:dyDescent="0.25">
      <c r="A8710" s="5"/>
    </row>
    <row r="8711" spans="1:1" x14ac:dyDescent="0.25">
      <c r="A8711" s="5"/>
    </row>
    <row r="8712" spans="1:1" x14ac:dyDescent="0.25">
      <c r="A8712" s="5"/>
    </row>
    <row r="8713" spans="1:1" x14ac:dyDescent="0.25">
      <c r="A8713" s="5"/>
    </row>
    <row r="8714" spans="1:1" x14ac:dyDescent="0.25">
      <c r="A8714" s="5"/>
    </row>
    <row r="8715" spans="1:1" x14ac:dyDescent="0.25">
      <c r="A8715" s="5"/>
    </row>
    <row r="8716" spans="1:1" x14ac:dyDescent="0.25">
      <c r="A8716" s="5"/>
    </row>
    <row r="8717" spans="1:1" x14ac:dyDescent="0.25">
      <c r="A8717" s="5"/>
    </row>
    <row r="8718" spans="1:1" x14ac:dyDescent="0.25">
      <c r="A8718" s="5"/>
    </row>
    <row r="8719" spans="1:1" x14ac:dyDescent="0.25">
      <c r="A8719" s="5"/>
    </row>
    <row r="8720" spans="1:1" x14ac:dyDescent="0.25">
      <c r="A8720" s="5"/>
    </row>
    <row r="8721" spans="1:1" x14ac:dyDescent="0.25">
      <c r="A8721" s="5"/>
    </row>
    <row r="8722" spans="1:1" x14ac:dyDescent="0.25">
      <c r="A8722" s="5"/>
    </row>
    <row r="8723" spans="1:1" x14ac:dyDescent="0.25">
      <c r="A8723" s="5"/>
    </row>
    <row r="8724" spans="1:1" x14ac:dyDescent="0.25">
      <c r="A8724" s="5"/>
    </row>
    <row r="8725" spans="1:1" x14ac:dyDescent="0.25">
      <c r="A8725" s="5"/>
    </row>
    <row r="8726" spans="1:1" x14ac:dyDescent="0.25">
      <c r="A8726" s="5"/>
    </row>
    <row r="8727" spans="1:1" x14ac:dyDescent="0.25">
      <c r="A8727" s="5"/>
    </row>
    <row r="8728" spans="1:1" x14ac:dyDescent="0.25">
      <c r="A8728" s="5"/>
    </row>
    <row r="8729" spans="1:1" x14ac:dyDescent="0.25">
      <c r="A8729" s="5"/>
    </row>
    <row r="8730" spans="1:1" x14ac:dyDescent="0.25">
      <c r="A8730" s="5"/>
    </row>
    <row r="8731" spans="1:1" x14ac:dyDescent="0.25">
      <c r="A8731" s="5"/>
    </row>
    <row r="8732" spans="1:1" x14ac:dyDescent="0.25">
      <c r="A8732" s="5"/>
    </row>
    <row r="8733" spans="1:1" x14ac:dyDescent="0.25">
      <c r="A8733" s="5"/>
    </row>
    <row r="8734" spans="1:1" x14ac:dyDescent="0.25">
      <c r="A8734" s="5"/>
    </row>
    <row r="8735" spans="1:1" x14ac:dyDescent="0.25">
      <c r="A8735" s="5"/>
    </row>
    <row r="8736" spans="1:1" x14ac:dyDescent="0.25">
      <c r="A8736" s="5"/>
    </row>
    <row r="8737" spans="1:1" x14ac:dyDescent="0.25">
      <c r="A8737" s="5"/>
    </row>
    <row r="8738" spans="1:1" x14ac:dyDescent="0.25">
      <c r="A8738" s="5"/>
    </row>
    <row r="8739" spans="1:1" x14ac:dyDescent="0.25">
      <c r="A8739" s="5"/>
    </row>
    <row r="8740" spans="1:1" x14ac:dyDescent="0.25">
      <c r="A8740" s="5"/>
    </row>
    <row r="8741" spans="1:1" x14ac:dyDescent="0.25">
      <c r="A8741" s="5"/>
    </row>
    <row r="8742" spans="1:1" x14ac:dyDescent="0.25">
      <c r="A8742" s="5"/>
    </row>
    <row r="8743" spans="1:1" x14ac:dyDescent="0.25">
      <c r="A8743" s="5"/>
    </row>
    <row r="8744" spans="1:1" x14ac:dyDescent="0.25">
      <c r="A8744" s="5"/>
    </row>
    <row r="8745" spans="1:1" x14ac:dyDescent="0.25">
      <c r="A8745" s="5"/>
    </row>
    <row r="8746" spans="1:1" x14ac:dyDescent="0.25">
      <c r="A8746" s="5"/>
    </row>
    <row r="8747" spans="1:1" x14ac:dyDescent="0.25">
      <c r="A8747" s="5"/>
    </row>
    <row r="8748" spans="1:1" x14ac:dyDescent="0.25">
      <c r="A8748" s="5"/>
    </row>
    <row r="8749" spans="1:1" x14ac:dyDescent="0.25">
      <c r="A8749" s="5"/>
    </row>
    <row r="8750" spans="1:1" x14ac:dyDescent="0.25">
      <c r="A8750" s="5"/>
    </row>
    <row r="8751" spans="1:1" x14ac:dyDescent="0.25">
      <c r="A8751" s="5"/>
    </row>
    <row r="8752" spans="1:1" x14ac:dyDescent="0.25">
      <c r="A8752" s="5"/>
    </row>
    <row r="8753" spans="1:1" x14ac:dyDescent="0.25">
      <c r="A8753" s="5"/>
    </row>
    <row r="8754" spans="1:1" x14ac:dyDescent="0.25">
      <c r="A8754" s="5"/>
    </row>
    <row r="8755" spans="1:1" x14ac:dyDescent="0.25">
      <c r="A8755" s="5"/>
    </row>
    <row r="8756" spans="1:1" x14ac:dyDescent="0.25">
      <c r="A8756" s="5"/>
    </row>
    <row r="8757" spans="1:1" x14ac:dyDescent="0.25">
      <c r="A8757" s="5"/>
    </row>
    <row r="8758" spans="1:1" x14ac:dyDescent="0.25">
      <c r="A8758" s="5"/>
    </row>
    <row r="8759" spans="1:1" x14ac:dyDescent="0.25">
      <c r="A8759" s="5"/>
    </row>
    <row r="8760" spans="1:1" x14ac:dyDescent="0.25">
      <c r="A8760" s="5"/>
    </row>
    <row r="8761" spans="1:1" x14ac:dyDescent="0.25">
      <c r="A8761" s="5"/>
    </row>
    <row r="8762" spans="1:1" x14ac:dyDescent="0.25">
      <c r="A8762" s="5"/>
    </row>
    <row r="8763" spans="1:1" x14ac:dyDescent="0.25">
      <c r="A8763" s="5"/>
    </row>
    <row r="8764" spans="1:1" x14ac:dyDescent="0.25">
      <c r="A8764" s="5"/>
    </row>
    <row r="8765" spans="1:1" x14ac:dyDescent="0.25">
      <c r="A8765" s="5"/>
    </row>
    <row r="8766" spans="1:1" x14ac:dyDescent="0.25">
      <c r="A8766" s="5"/>
    </row>
    <row r="8767" spans="1:1" x14ac:dyDescent="0.25">
      <c r="A8767" s="5"/>
    </row>
    <row r="8768" spans="1:1" x14ac:dyDescent="0.25">
      <c r="A8768" s="5"/>
    </row>
    <row r="8769" spans="1:1" x14ac:dyDescent="0.25">
      <c r="A8769" s="5"/>
    </row>
    <row r="8770" spans="1:1" x14ac:dyDescent="0.25">
      <c r="A8770" s="5"/>
    </row>
    <row r="8771" spans="1:1" x14ac:dyDescent="0.25">
      <c r="A8771" s="5"/>
    </row>
    <row r="8772" spans="1:1" x14ac:dyDescent="0.25">
      <c r="A8772" s="5"/>
    </row>
    <row r="8773" spans="1:1" x14ac:dyDescent="0.25">
      <c r="A8773" s="5"/>
    </row>
    <row r="8774" spans="1:1" x14ac:dyDescent="0.25">
      <c r="A8774" s="5"/>
    </row>
    <row r="8775" spans="1:1" x14ac:dyDescent="0.25">
      <c r="A8775" s="5"/>
    </row>
    <row r="8776" spans="1:1" x14ac:dyDescent="0.25">
      <c r="A8776" s="5"/>
    </row>
    <row r="8777" spans="1:1" x14ac:dyDescent="0.25">
      <c r="A8777" s="5"/>
    </row>
    <row r="8778" spans="1:1" x14ac:dyDescent="0.25">
      <c r="A8778" s="5"/>
    </row>
    <row r="8779" spans="1:1" x14ac:dyDescent="0.25">
      <c r="A8779" s="5"/>
    </row>
    <row r="8780" spans="1:1" x14ac:dyDescent="0.25">
      <c r="A8780" s="5"/>
    </row>
    <row r="8781" spans="1:1" x14ac:dyDescent="0.25">
      <c r="A8781" s="5"/>
    </row>
    <row r="8782" spans="1:1" x14ac:dyDescent="0.25">
      <c r="A8782" s="5"/>
    </row>
    <row r="8783" spans="1:1" x14ac:dyDescent="0.25">
      <c r="A8783" s="5"/>
    </row>
    <row r="8784" spans="1:1" x14ac:dyDescent="0.25">
      <c r="A8784" s="5"/>
    </row>
    <row r="8785" spans="1:1" x14ac:dyDescent="0.25">
      <c r="A8785" s="5"/>
    </row>
    <row r="8786" spans="1:1" x14ac:dyDescent="0.25">
      <c r="A8786" s="5"/>
    </row>
    <row r="8787" spans="1:1" x14ac:dyDescent="0.25">
      <c r="A8787" s="5"/>
    </row>
    <row r="8788" spans="1:1" x14ac:dyDescent="0.25">
      <c r="A8788" s="5"/>
    </row>
    <row r="8789" spans="1:1" x14ac:dyDescent="0.25">
      <c r="A8789" s="5"/>
    </row>
    <row r="8790" spans="1:1" x14ac:dyDescent="0.25">
      <c r="A8790" s="5"/>
    </row>
    <row r="8791" spans="1:1" x14ac:dyDescent="0.25">
      <c r="A8791" s="5"/>
    </row>
    <row r="8792" spans="1:1" x14ac:dyDescent="0.25">
      <c r="A8792" s="5"/>
    </row>
    <row r="8793" spans="1:1" x14ac:dyDescent="0.25">
      <c r="A8793" s="5"/>
    </row>
    <row r="8794" spans="1:1" x14ac:dyDescent="0.25">
      <c r="A8794" s="5"/>
    </row>
    <row r="8795" spans="1:1" x14ac:dyDescent="0.25">
      <c r="A8795" s="5"/>
    </row>
    <row r="8796" spans="1:1" x14ac:dyDescent="0.25">
      <c r="A8796" s="5"/>
    </row>
    <row r="8797" spans="1:1" x14ac:dyDescent="0.25">
      <c r="A8797" s="5"/>
    </row>
    <row r="8798" spans="1:1" x14ac:dyDescent="0.25">
      <c r="A8798" s="5"/>
    </row>
    <row r="8799" spans="1:1" x14ac:dyDescent="0.25">
      <c r="A8799" s="5"/>
    </row>
    <row r="8800" spans="1:1" x14ac:dyDescent="0.25">
      <c r="A8800" s="5"/>
    </row>
    <row r="8801" spans="1:1" x14ac:dyDescent="0.25">
      <c r="A8801" s="5"/>
    </row>
    <row r="8802" spans="1:1" x14ac:dyDescent="0.25">
      <c r="A8802" s="5"/>
    </row>
    <row r="8803" spans="1:1" x14ac:dyDescent="0.25">
      <c r="A8803" s="5"/>
    </row>
    <row r="8804" spans="1:1" x14ac:dyDescent="0.25">
      <c r="A8804" s="5"/>
    </row>
    <row r="8805" spans="1:1" x14ac:dyDescent="0.25">
      <c r="A8805" s="5"/>
    </row>
    <row r="8806" spans="1:1" x14ac:dyDescent="0.25">
      <c r="A8806" s="5"/>
    </row>
    <row r="8807" spans="1:1" x14ac:dyDescent="0.25">
      <c r="A8807" s="5"/>
    </row>
    <row r="8808" spans="1:1" x14ac:dyDescent="0.25">
      <c r="A8808" s="5"/>
    </row>
    <row r="8809" spans="1:1" x14ac:dyDescent="0.25">
      <c r="A8809" s="5"/>
    </row>
    <row r="8810" spans="1:1" x14ac:dyDescent="0.25">
      <c r="A8810" s="5"/>
    </row>
    <row r="8811" spans="1:1" x14ac:dyDescent="0.25">
      <c r="A8811" s="5"/>
    </row>
    <row r="8812" spans="1:1" x14ac:dyDescent="0.25">
      <c r="A8812" s="5"/>
    </row>
    <row r="8813" spans="1:1" x14ac:dyDescent="0.25">
      <c r="A8813" s="5"/>
    </row>
    <row r="8814" spans="1:1" x14ac:dyDescent="0.25">
      <c r="A8814" s="5"/>
    </row>
    <row r="8815" spans="1:1" x14ac:dyDescent="0.25">
      <c r="A8815" s="5"/>
    </row>
    <row r="8816" spans="1:1" x14ac:dyDescent="0.25">
      <c r="A8816" s="5"/>
    </row>
    <row r="8817" spans="1:1" x14ac:dyDescent="0.25">
      <c r="A8817" s="5"/>
    </row>
    <row r="8818" spans="1:1" x14ac:dyDescent="0.25">
      <c r="A8818" s="5"/>
    </row>
    <row r="8819" spans="1:1" x14ac:dyDescent="0.25">
      <c r="A8819" s="5"/>
    </row>
    <row r="8820" spans="1:1" x14ac:dyDescent="0.25">
      <c r="A8820" s="5"/>
    </row>
    <row r="8821" spans="1:1" x14ac:dyDescent="0.25">
      <c r="A8821" s="5"/>
    </row>
    <row r="8822" spans="1:1" x14ac:dyDescent="0.25">
      <c r="A8822" s="5"/>
    </row>
    <row r="8823" spans="1:1" x14ac:dyDescent="0.25">
      <c r="A8823" s="5"/>
    </row>
    <row r="8824" spans="1:1" x14ac:dyDescent="0.25">
      <c r="A8824" s="5"/>
    </row>
    <row r="8825" spans="1:1" x14ac:dyDescent="0.25">
      <c r="A8825" s="5"/>
    </row>
    <row r="8826" spans="1:1" x14ac:dyDescent="0.25">
      <c r="A8826" s="5"/>
    </row>
    <row r="8827" spans="1:1" x14ac:dyDescent="0.25">
      <c r="A8827" s="5"/>
    </row>
    <row r="8828" spans="1:1" x14ac:dyDescent="0.25">
      <c r="A8828" s="5"/>
    </row>
    <row r="8829" spans="1:1" x14ac:dyDescent="0.25">
      <c r="A8829" s="5"/>
    </row>
    <row r="8830" spans="1:1" x14ac:dyDescent="0.25">
      <c r="A8830" s="5"/>
    </row>
    <row r="8831" spans="1:1" x14ac:dyDescent="0.25">
      <c r="A8831" s="5"/>
    </row>
    <row r="8832" spans="1:1" x14ac:dyDescent="0.25">
      <c r="A8832" s="5"/>
    </row>
    <row r="8833" spans="1:1" x14ac:dyDescent="0.25">
      <c r="A8833" s="5"/>
    </row>
    <row r="8834" spans="1:1" x14ac:dyDescent="0.25">
      <c r="A8834" s="5"/>
    </row>
    <row r="8835" spans="1:1" x14ac:dyDescent="0.25">
      <c r="A8835" s="5"/>
    </row>
    <row r="8836" spans="1:1" x14ac:dyDescent="0.25">
      <c r="A8836" s="5"/>
    </row>
    <row r="8837" spans="1:1" x14ac:dyDescent="0.25">
      <c r="A8837" s="5"/>
    </row>
    <row r="8838" spans="1:1" x14ac:dyDescent="0.25">
      <c r="A8838" s="5"/>
    </row>
    <row r="8839" spans="1:1" x14ac:dyDescent="0.25">
      <c r="A8839" s="5"/>
    </row>
    <row r="8840" spans="1:1" x14ac:dyDescent="0.25">
      <c r="A8840" s="5"/>
    </row>
    <row r="8841" spans="1:1" x14ac:dyDescent="0.25">
      <c r="A8841" s="5"/>
    </row>
    <row r="8842" spans="1:1" x14ac:dyDescent="0.25">
      <c r="A8842" s="5"/>
    </row>
    <row r="8843" spans="1:1" x14ac:dyDescent="0.25">
      <c r="A8843" s="5"/>
    </row>
    <row r="8844" spans="1:1" x14ac:dyDescent="0.25">
      <c r="A8844" s="5"/>
    </row>
    <row r="8845" spans="1:1" x14ac:dyDescent="0.25">
      <c r="A8845" s="5"/>
    </row>
    <row r="8846" spans="1:1" x14ac:dyDescent="0.25">
      <c r="A8846" s="5"/>
    </row>
    <row r="8847" spans="1:1" x14ac:dyDescent="0.25">
      <c r="A8847" s="5"/>
    </row>
    <row r="8848" spans="1:1" x14ac:dyDescent="0.25">
      <c r="A8848" s="5"/>
    </row>
    <row r="8849" spans="1:1" x14ac:dyDescent="0.25">
      <c r="A8849" s="5"/>
    </row>
    <row r="8850" spans="1:1" x14ac:dyDescent="0.25">
      <c r="A8850" s="5"/>
    </row>
    <row r="8851" spans="1:1" x14ac:dyDescent="0.25">
      <c r="A8851" s="5"/>
    </row>
    <row r="8852" spans="1:1" x14ac:dyDescent="0.25">
      <c r="A8852" s="5"/>
    </row>
    <row r="8853" spans="1:1" x14ac:dyDescent="0.25">
      <c r="A8853" s="5"/>
    </row>
    <row r="8854" spans="1:1" x14ac:dyDescent="0.25">
      <c r="A8854" s="5"/>
    </row>
    <row r="8855" spans="1:1" x14ac:dyDescent="0.25">
      <c r="A8855" s="5"/>
    </row>
    <row r="8856" spans="1:1" x14ac:dyDescent="0.25">
      <c r="A8856" s="5"/>
    </row>
    <row r="8857" spans="1:1" x14ac:dyDescent="0.25">
      <c r="A8857" s="5"/>
    </row>
    <row r="8858" spans="1:1" x14ac:dyDescent="0.25">
      <c r="A8858" s="5"/>
    </row>
    <row r="8859" spans="1:1" x14ac:dyDescent="0.25">
      <c r="A8859" s="5"/>
    </row>
    <row r="8860" spans="1:1" x14ac:dyDescent="0.25">
      <c r="A8860" s="5"/>
    </row>
    <row r="8861" spans="1:1" x14ac:dyDescent="0.25">
      <c r="A8861" s="5"/>
    </row>
    <row r="8862" spans="1:1" x14ac:dyDescent="0.25">
      <c r="A8862" s="5"/>
    </row>
    <row r="8863" spans="1:1" x14ac:dyDescent="0.25">
      <c r="A8863" s="5"/>
    </row>
    <row r="8864" spans="1:1" x14ac:dyDescent="0.25">
      <c r="A8864" s="5"/>
    </row>
    <row r="8865" spans="1:1" x14ac:dyDescent="0.25">
      <c r="A8865" s="5"/>
    </row>
    <row r="8866" spans="1:1" x14ac:dyDescent="0.25">
      <c r="A8866" s="5"/>
    </row>
    <row r="8867" spans="1:1" x14ac:dyDescent="0.25">
      <c r="A8867" s="5"/>
    </row>
    <row r="8868" spans="1:1" x14ac:dyDescent="0.25">
      <c r="A8868" s="5"/>
    </row>
    <row r="8869" spans="1:1" x14ac:dyDescent="0.25">
      <c r="A8869" s="5"/>
    </row>
    <row r="8870" spans="1:1" x14ac:dyDescent="0.25">
      <c r="A8870" s="5"/>
    </row>
    <row r="8871" spans="1:1" x14ac:dyDescent="0.25">
      <c r="A8871" s="5"/>
    </row>
    <row r="8872" spans="1:1" x14ac:dyDescent="0.25">
      <c r="A8872" s="5"/>
    </row>
    <row r="8873" spans="1:1" x14ac:dyDescent="0.25">
      <c r="A8873" s="5"/>
    </row>
    <row r="8874" spans="1:1" x14ac:dyDescent="0.25">
      <c r="A8874" s="5"/>
    </row>
    <row r="8875" spans="1:1" x14ac:dyDescent="0.25">
      <c r="A8875" s="5"/>
    </row>
    <row r="8876" spans="1:1" x14ac:dyDescent="0.25">
      <c r="A8876" s="5"/>
    </row>
    <row r="8877" spans="1:1" x14ac:dyDescent="0.25">
      <c r="A8877" s="5"/>
    </row>
    <row r="8878" spans="1:1" x14ac:dyDescent="0.25">
      <c r="A8878" s="5"/>
    </row>
    <row r="8879" spans="1:1" x14ac:dyDescent="0.25">
      <c r="A8879" s="5"/>
    </row>
    <row r="8880" spans="1:1" x14ac:dyDescent="0.25">
      <c r="A8880" s="5"/>
    </row>
    <row r="8881" spans="1:1" x14ac:dyDescent="0.25">
      <c r="A8881" s="5"/>
    </row>
    <row r="8882" spans="1:1" x14ac:dyDescent="0.25">
      <c r="A8882" s="5"/>
    </row>
    <row r="8883" spans="1:1" x14ac:dyDescent="0.25">
      <c r="A8883" s="5"/>
    </row>
    <row r="8884" spans="1:1" x14ac:dyDescent="0.25">
      <c r="A8884" s="5"/>
    </row>
    <row r="8885" spans="1:1" x14ac:dyDescent="0.25">
      <c r="A8885" s="5"/>
    </row>
    <row r="8886" spans="1:1" x14ac:dyDescent="0.25">
      <c r="A8886" s="5"/>
    </row>
    <row r="8887" spans="1:1" x14ac:dyDescent="0.25">
      <c r="A8887" s="5"/>
    </row>
    <row r="8888" spans="1:1" x14ac:dyDescent="0.25">
      <c r="A8888" s="5"/>
    </row>
    <row r="8889" spans="1:1" x14ac:dyDescent="0.25">
      <c r="A8889" s="5"/>
    </row>
    <row r="8890" spans="1:1" x14ac:dyDescent="0.25">
      <c r="A8890" s="5"/>
    </row>
    <row r="8891" spans="1:1" x14ac:dyDescent="0.25">
      <c r="A8891" s="5"/>
    </row>
    <row r="8892" spans="1:1" x14ac:dyDescent="0.25">
      <c r="A8892" s="5"/>
    </row>
    <row r="8893" spans="1:1" x14ac:dyDescent="0.25">
      <c r="A8893" s="5"/>
    </row>
    <row r="8894" spans="1:1" x14ac:dyDescent="0.25">
      <c r="A8894" s="5"/>
    </row>
    <row r="8895" spans="1:1" x14ac:dyDescent="0.25">
      <c r="A8895" s="5"/>
    </row>
    <row r="8896" spans="1:1" x14ac:dyDescent="0.25">
      <c r="A8896" s="5"/>
    </row>
    <row r="8897" spans="1:1" x14ac:dyDescent="0.25">
      <c r="A8897" s="5"/>
    </row>
    <row r="8898" spans="1:1" x14ac:dyDescent="0.25">
      <c r="A8898" s="5"/>
    </row>
    <row r="8899" spans="1:1" x14ac:dyDescent="0.25">
      <c r="A8899" s="5"/>
    </row>
    <row r="8900" spans="1:1" x14ac:dyDescent="0.25">
      <c r="A8900" s="5"/>
    </row>
    <row r="8901" spans="1:1" x14ac:dyDescent="0.25">
      <c r="A8901" s="5"/>
    </row>
    <row r="8902" spans="1:1" x14ac:dyDescent="0.25">
      <c r="A8902" s="5"/>
    </row>
    <row r="8903" spans="1:1" x14ac:dyDescent="0.25">
      <c r="A8903" s="5"/>
    </row>
    <row r="8904" spans="1:1" x14ac:dyDescent="0.25">
      <c r="A8904" s="5"/>
    </row>
    <row r="8905" spans="1:1" x14ac:dyDescent="0.25">
      <c r="A8905" s="5"/>
    </row>
    <row r="8906" spans="1:1" x14ac:dyDescent="0.25">
      <c r="A8906" s="5"/>
    </row>
    <row r="8907" spans="1:1" x14ac:dyDescent="0.25">
      <c r="A8907" s="5"/>
    </row>
    <row r="8908" spans="1:1" x14ac:dyDescent="0.25">
      <c r="A8908" s="5"/>
    </row>
    <row r="8909" spans="1:1" x14ac:dyDescent="0.25">
      <c r="A8909" s="5"/>
    </row>
    <row r="8910" spans="1:1" x14ac:dyDescent="0.25">
      <c r="A8910" s="5"/>
    </row>
    <row r="8911" spans="1:1" x14ac:dyDescent="0.25">
      <c r="A8911" s="5"/>
    </row>
    <row r="8912" spans="1:1" x14ac:dyDescent="0.25">
      <c r="A8912" s="5"/>
    </row>
    <row r="8913" spans="1:1" x14ac:dyDescent="0.25">
      <c r="A8913" s="5"/>
    </row>
    <row r="8914" spans="1:1" x14ac:dyDescent="0.25">
      <c r="A8914" s="5"/>
    </row>
    <row r="8915" spans="1:1" x14ac:dyDescent="0.25">
      <c r="A8915" s="5"/>
    </row>
    <row r="8916" spans="1:1" x14ac:dyDescent="0.25">
      <c r="A8916" s="5"/>
    </row>
    <row r="8917" spans="1:1" x14ac:dyDescent="0.25">
      <c r="A8917" s="5"/>
    </row>
    <row r="8918" spans="1:1" x14ac:dyDescent="0.25">
      <c r="A8918" s="5"/>
    </row>
    <row r="8919" spans="1:1" x14ac:dyDescent="0.25">
      <c r="A8919" s="5"/>
    </row>
    <row r="8920" spans="1:1" x14ac:dyDescent="0.25">
      <c r="A8920" s="5"/>
    </row>
    <row r="8921" spans="1:1" x14ac:dyDescent="0.25">
      <c r="A8921" s="5"/>
    </row>
    <row r="8922" spans="1:1" x14ac:dyDescent="0.25">
      <c r="A8922" s="5"/>
    </row>
    <row r="8923" spans="1:1" x14ac:dyDescent="0.25">
      <c r="A8923" s="5"/>
    </row>
    <row r="8924" spans="1:1" x14ac:dyDescent="0.25">
      <c r="A8924" s="5"/>
    </row>
    <row r="8925" spans="1:1" x14ac:dyDescent="0.25">
      <c r="A8925" s="5"/>
    </row>
    <row r="8926" spans="1:1" x14ac:dyDescent="0.25">
      <c r="A8926" s="5"/>
    </row>
    <row r="8927" spans="1:1" x14ac:dyDescent="0.25">
      <c r="A8927" s="5"/>
    </row>
    <row r="8928" spans="1:1" x14ac:dyDescent="0.25">
      <c r="A8928" s="5"/>
    </row>
    <row r="8929" spans="1:1" x14ac:dyDescent="0.25">
      <c r="A8929" s="5"/>
    </row>
    <row r="8930" spans="1:1" x14ac:dyDescent="0.25">
      <c r="A8930" s="5"/>
    </row>
    <row r="8931" spans="1:1" x14ac:dyDescent="0.25">
      <c r="A8931" s="5"/>
    </row>
    <row r="8932" spans="1:1" x14ac:dyDescent="0.25">
      <c r="A8932" s="5"/>
    </row>
    <row r="8933" spans="1:1" x14ac:dyDescent="0.25">
      <c r="A8933" s="5"/>
    </row>
    <row r="8934" spans="1:1" x14ac:dyDescent="0.25">
      <c r="A8934" s="5"/>
    </row>
    <row r="8935" spans="1:1" x14ac:dyDescent="0.25">
      <c r="A8935" s="5"/>
    </row>
    <row r="8936" spans="1:1" x14ac:dyDescent="0.25">
      <c r="A8936" s="5"/>
    </row>
    <row r="8937" spans="1:1" x14ac:dyDescent="0.25">
      <c r="A8937" s="5"/>
    </row>
    <row r="8938" spans="1:1" x14ac:dyDescent="0.25">
      <c r="A8938" s="5"/>
    </row>
    <row r="8939" spans="1:1" x14ac:dyDescent="0.25">
      <c r="A8939" s="5"/>
    </row>
    <row r="8940" spans="1:1" x14ac:dyDescent="0.25">
      <c r="A8940" s="5"/>
    </row>
    <row r="8941" spans="1:1" x14ac:dyDescent="0.25">
      <c r="A8941" s="5"/>
    </row>
    <row r="8942" spans="1:1" x14ac:dyDescent="0.25">
      <c r="A8942" s="5"/>
    </row>
    <row r="8943" spans="1:1" x14ac:dyDescent="0.25">
      <c r="A8943" s="5"/>
    </row>
    <row r="8944" spans="1:1" x14ac:dyDescent="0.25">
      <c r="A8944" s="5"/>
    </row>
    <row r="8945" spans="1:1" x14ac:dyDescent="0.25">
      <c r="A8945" s="5"/>
    </row>
    <row r="8946" spans="1:1" x14ac:dyDescent="0.25">
      <c r="A8946" s="5"/>
    </row>
    <row r="8947" spans="1:1" x14ac:dyDescent="0.25">
      <c r="A8947" s="5"/>
    </row>
    <row r="8948" spans="1:1" x14ac:dyDescent="0.25">
      <c r="A8948" s="5"/>
    </row>
    <row r="8949" spans="1:1" x14ac:dyDescent="0.25">
      <c r="A8949" s="5"/>
    </row>
    <row r="8950" spans="1:1" x14ac:dyDescent="0.25">
      <c r="A8950" s="5"/>
    </row>
    <row r="8951" spans="1:1" x14ac:dyDescent="0.25">
      <c r="A8951" s="5"/>
    </row>
    <row r="8952" spans="1:1" x14ac:dyDescent="0.25">
      <c r="A8952" s="5"/>
    </row>
    <row r="8953" spans="1:1" x14ac:dyDescent="0.25">
      <c r="A8953" s="5"/>
    </row>
    <row r="8954" spans="1:1" x14ac:dyDescent="0.25">
      <c r="A8954" s="5"/>
    </row>
    <row r="8955" spans="1:1" x14ac:dyDescent="0.25">
      <c r="A8955" s="5"/>
    </row>
    <row r="8956" spans="1:1" x14ac:dyDescent="0.25">
      <c r="A8956" s="5"/>
    </row>
    <row r="8957" spans="1:1" x14ac:dyDescent="0.25">
      <c r="A8957" s="5"/>
    </row>
    <row r="8958" spans="1:1" x14ac:dyDescent="0.25">
      <c r="A8958" s="5"/>
    </row>
    <row r="8959" spans="1:1" x14ac:dyDescent="0.25">
      <c r="A8959" s="5"/>
    </row>
    <row r="8960" spans="1:1" x14ac:dyDescent="0.25">
      <c r="A8960" s="5"/>
    </row>
    <row r="8961" spans="1:1" x14ac:dyDescent="0.25">
      <c r="A8961" s="5"/>
    </row>
    <row r="8962" spans="1:1" x14ac:dyDescent="0.25">
      <c r="A8962" s="5"/>
    </row>
    <row r="8963" spans="1:1" x14ac:dyDescent="0.25">
      <c r="A8963" s="5"/>
    </row>
    <row r="8964" spans="1:1" x14ac:dyDescent="0.25">
      <c r="A8964" s="5"/>
    </row>
    <row r="8965" spans="1:1" x14ac:dyDescent="0.25">
      <c r="A8965" s="5"/>
    </row>
    <row r="8966" spans="1:1" x14ac:dyDescent="0.25">
      <c r="A8966" s="5"/>
    </row>
    <row r="8967" spans="1:1" x14ac:dyDescent="0.25">
      <c r="A8967" s="5"/>
    </row>
    <row r="8968" spans="1:1" x14ac:dyDescent="0.25">
      <c r="A8968" s="5"/>
    </row>
    <row r="8969" spans="1:1" x14ac:dyDescent="0.25">
      <c r="A8969" s="5"/>
    </row>
    <row r="8970" spans="1:1" x14ac:dyDescent="0.25">
      <c r="A8970" s="5"/>
    </row>
    <row r="8971" spans="1:1" x14ac:dyDescent="0.25">
      <c r="A8971" s="5"/>
    </row>
    <row r="8972" spans="1:1" x14ac:dyDescent="0.25">
      <c r="A8972" s="5"/>
    </row>
    <row r="8973" spans="1:1" x14ac:dyDescent="0.25">
      <c r="A8973" s="5"/>
    </row>
    <row r="8974" spans="1:1" x14ac:dyDescent="0.25">
      <c r="A8974" s="5"/>
    </row>
    <row r="8975" spans="1:1" x14ac:dyDescent="0.25">
      <c r="A8975" s="5"/>
    </row>
    <row r="8976" spans="1:1" x14ac:dyDescent="0.25">
      <c r="A8976" s="5"/>
    </row>
    <row r="8977" spans="1:1" x14ac:dyDescent="0.25">
      <c r="A8977" s="5"/>
    </row>
    <row r="8978" spans="1:1" x14ac:dyDescent="0.25">
      <c r="A8978" s="5"/>
    </row>
    <row r="8979" spans="1:1" x14ac:dyDescent="0.25">
      <c r="A8979" s="5"/>
    </row>
    <row r="8980" spans="1:1" x14ac:dyDescent="0.25">
      <c r="A8980" s="5"/>
    </row>
    <row r="8981" spans="1:1" x14ac:dyDescent="0.25">
      <c r="A8981" s="5"/>
    </row>
    <row r="8982" spans="1:1" x14ac:dyDescent="0.25">
      <c r="A8982" s="5"/>
    </row>
    <row r="8983" spans="1:1" x14ac:dyDescent="0.25">
      <c r="A8983" s="5"/>
    </row>
    <row r="8984" spans="1:1" x14ac:dyDescent="0.25">
      <c r="A8984" s="5"/>
    </row>
    <row r="8985" spans="1:1" x14ac:dyDescent="0.25">
      <c r="A8985" s="5"/>
    </row>
    <row r="8986" spans="1:1" x14ac:dyDescent="0.25">
      <c r="A8986" s="5"/>
    </row>
    <row r="8987" spans="1:1" x14ac:dyDescent="0.25">
      <c r="A8987" s="5"/>
    </row>
    <row r="8988" spans="1:1" x14ac:dyDescent="0.25">
      <c r="A8988" s="5"/>
    </row>
    <row r="8989" spans="1:1" x14ac:dyDescent="0.25">
      <c r="A8989" s="5"/>
    </row>
    <row r="8990" spans="1:1" x14ac:dyDescent="0.25">
      <c r="A8990" s="5"/>
    </row>
    <row r="8991" spans="1:1" x14ac:dyDescent="0.25">
      <c r="A8991" s="5"/>
    </row>
    <row r="8992" spans="1:1" x14ac:dyDescent="0.25">
      <c r="A8992" s="5"/>
    </row>
    <row r="8993" spans="1:1" x14ac:dyDescent="0.25">
      <c r="A8993" s="5"/>
    </row>
    <row r="8994" spans="1:1" x14ac:dyDescent="0.25">
      <c r="A8994" s="5"/>
    </row>
    <row r="8995" spans="1:1" x14ac:dyDescent="0.25">
      <c r="A8995" s="5"/>
    </row>
    <row r="8996" spans="1:1" x14ac:dyDescent="0.25">
      <c r="A8996" s="5"/>
    </row>
    <row r="8997" spans="1:1" x14ac:dyDescent="0.25">
      <c r="A8997" s="5"/>
    </row>
    <row r="8998" spans="1:1" x14ac:dyDescent="0.25">
      <c r="A8998" s="5"/>
    </row>
    <row r="8999" spans="1:1" x14ac:dyDescent="0.25">
      <c r="A8999" s="5"/>
    </row>
    <row r="9000" spans="1:1" x14ac:dyDescent="0.25">
      <c r="A9000" s="5"/>
    </row>
    <row r="9001" spans="1:1" x14ac:dyDescent="0.25">
      <c r="A9001" s="5"/>
    </row>
    <row r="9002" spans="1:1" x14ac:dyDescent="0.25">
      <c r="A9002" s="5"/>
    </row>
    <row r="9003" spans="1:1" x14ac:dyDescent="0.25">
      <c r="A9003" s="5"/>
    </row>
    <row r="9004" spans="1:1" x14ac:dyDescent="0.25">
      <c r="A9004" s="5"/>
    </row>
    <row r="9005" spans="1:1" x14ac:dyDescent="0.25">
      <c r="A9005" s="5"/>
    </row>
    <row r="9006" spans="1:1" x14ac:dyDescent="0.25">
      <c r="A9006" s="5"/>
    </row>
    <row r="9007" spans="1:1" x14ac:dyDescent="0.25">
      <c r="A9007" s="5"/>
    </row>
    <row r="9008" spans="1:1" x14ac:dyDescent="0.25">
      <c r="A9008" s="5"/>
    </row>
    <row r="9009" spans="1:1" x14ac:dyDescent="0.25">
      <c r="A9009" s="5"/>
    </row>
    <row r="9010" spans="1:1" x14ac:dyDescent="0.25">
      <c r="A9010" s="5"/>
    </row>
    <row r="9011" spans="1:1" x14ac:dyDescent="0.25">
      <c r="A9011" s="5"/>
    </row>
    <row r="9012" spans="1:1" x14ac:dyDescent="0.25">
      <c r="A9012" s="5"/>
    </row>
    <row r="9013" spans="1:1" x14ac:dyDescent="0.25">
      <c r="A9013" s="5"/>
    </row>
    <row r="9014" spans="1:1" x14ac:dyDescent="0.25">
      <c r="A9014" s="5"/>
    </row>
    <row r="9015" spans="1:1" x14ac:dyDescent="0.25">
      <c r="A9015" s="5"/>
    </row>
    <row r="9016" spans="1:1" x14ac:dyDescent="0.25">
      <c r="A9016" s="5"/>
    </row>
    <row r="9017" spans="1:1" x14ac:dyDescent="0.25">
      <c r="A9017" s="5"/>
    </row>
    <row r="9018" spans="1:1" x14ac:dyDescent="0.25">
      <c r="A9018" s="5"/>
    </row>
    <row r="9019" spans="1:1" x14ac:dyDescent="0.25">
      <c r="A9019" s="5"/>
    </row>
    <row r="9020" spans="1:1" x14ac:dyDescent="0.25">
      <c r="A9020" s="5"/>
    </row>
    <row r="9021" spans="1:1" x14ac:dyDescent="0.25">
      <c r="A9021" s="5"/>
    </row>
    <row r="9022" spans="1:1" x14ac:dyDescent="0.25">
      <c r="A9022" s="5"/>
    </row>
    <row r="9023" spans="1:1" x14ac:dyDescent="0.25">
      <c r="A9023" s="5"/>
    </row>
    <row r="9024" spans="1:1" x14ac:dyDescent="0.25">
      <c r="A9024" s="5"/>
    </row>
    <row r="9025" spans="1:1" x14ac:dyDescent="0.25">
      <c r="A9025" s="5"/>
    </row>
    <row r="9026" spans="1:1" x14ac:dyDescent="0.25">
      <c r="A9026" s="5"/>
    </row>
    <row r="9027" spans="1:1" x14ac:dyDescent="0.25">
      <c r="A9027" s="5"/>
    </row>
    <row r="9028" spans="1:1" x14ac:dyDescent="0.25">
      <c r="A9028" s="5"/>
    </row>
    <row r="9029" spans="1:1" x14ac:dyDescent="0.25">
      <c r="A9029" s="5"/>
    </row>
    <row r="9030" spans="1:1" x14ac:dyDescent="0.25">
      <c r="A9030" s="5"/>
    </row>
    <row r="9031" spans="1:1" x14ac:dyDescent="0.25">
      <c r="A9031" s="5"/>
    </row>
    <row r="9032" spans="1:1" x14ac:dyDescent="0.25">
      <c r="A9032" s="5"/>
    </row>
    <row r="9033" spans="1:1" x14ac:dyDescent="0.25">
      <c r="A9033" s="5"/>
    </row>
    <row r="9034" spans="1:1" x14ac:dyDescent="0.25">
      <c r="A9034" s="5"/>
    </row>
    <row r="9035" spans="1:1" x14ac:dyDescent="0.25">
      <c r="A9035" s="5"/>
    </row>
    <row r="9036" spans="1:1" x14ac:dyDescent="0.25">
      <c r="A9036" s="5"/>
    </row>
    <row r="9037" spans="1:1" x14ac:dyDescent="0.25">
      <c r="A9037" s="5"/>
    </row>
    <row r="9038" spans="1:1" x14ac:dyDescent="0.25">
      <c r="A9038" s="5"/>
    </row>
    <row r="9039" spans="1:1" x14ac:dyDescent="0.25">
      <c r="A9039" s="5"/>
    </row>
    <row r="9040" spans="1:1" x14ac:dyDescent="0.25">
      <c r="A9040" s="5"/>
    </row>
    <row r="9041" spans="1:1" x14ac:dyDescent="0.25">
      <c r="A9041" s="5"/>
    </row>
    <row r="9042" spans="1:1" x14ac:dyDescent="0.25">
      <c r="A9042" s="5"/>
    </row>
    <row r="9043" spans="1:1" x14ac:dyDescent="0.25">
      <c r="A9043" s="5"/>
    </row>
    <row r="9044" spans="1:1" x14ac:dyDescent="0.25">
      <c r="A9044" s="5"/>
    </row>
    <row r="9045" spans="1:1" x14ac:dyDescent="0.25">
      <c r="A9045" s="5"/>
    </row>
    <row r="9046" spans="1:1" x14ac:dyDescent="0.25">
      <c r="A9046" s="5"/>
    </row>
    <row r="9047" spans="1:1" x14ac:dyDescent="0.25">
      <c r="A9047" s="5"/>
    </row>
    <row r="9048" spans="1:1" x14ac:dyDescent="0.25">
      <c r="A9048" s="5"/>
    </row>
    <row r="9049" spans="1:1" x14ac:dyDescent="0.25">
      <c r="A9049" s="5"/>
    </row>
    <row r="9050" spans="1:1" x14ac:dyDescent="0.25">
      <c r="A9050" s="5"/>
    </row>
    <row r="9051" spans="1:1" x14ac:dyDescent="0.25">
      <c r="A9051" s="5"/>
    </row>
    <row r="9052" spans="1:1" x14ac:dyDescent="0.25">
      <c r="A9052" s="5"/>
    </row>
    <row r="9053" spans="1:1" x14ac:dyDescent="0.25">
      <c r="A9053" s="5"/>
    </row>
    <row r="9054" spans="1:1" x14ac:dyDescent="0.25">
      <c r="A9054" s="5"/>
    </row>
    <row r="9055" spans="1:1" x14ac:dyDescent="0.25">
      <c r="A9055" s="5"/>
    </row>
    <row r="9056" spans="1:1" x14ac:dyDescent="0.25">
      <c r="A9056" s="5"/>
    </row>
    <row r="9057" spans="1:1" x14ac:dyDescent="0.25">
      <c r="A9057" s="5"/>
    </row>
    <row r="9058" spans="1:1" x14ac:dyDescent="0.25">
      <c r="A9058" s="5"/>
    </row>
    <row r="9059" spans="1:1" x14ac:dyDescent="0.25">
      <c r="A9059" s="5"/>
    </row>
    <row r="9060" spans="1:1" x14ac:dyDescent="0.25">
      <c r="A9060" s="5"/>
    </row>
    <row r="9061" spans="1:1" x14ac:dyDescent="0.25">
      <c r="A9061" s="5"/>
    </row>
    <row r="9062" spans="1:1" x14ac:dyDescent="0.25">
      <c r="A9062" s="5"/>
    </row>
    <row r="9063" spans="1:1" x14ac:dyDescent="0.25">
      <c r="A9063" s="5"/>
    </row>
    <row r="9064" spans="1:1" x14ac:dyDescent="0.25">
      <c r="A9064" s="5"/>
    </row>
    <row r="9065" spans="1:1" x14ac:dyDescent="0.25">
      <c r="A9065" s="5"/>
    </row>
    <row r="9066" spans="1:1" x14ac:dyDescent="0.25">
      <c r="A9066" s="5"/>
    </row>
    <row r="9067" spans="1:1" x14ac:dyDescent="0.25">
      <c r="A9067" s="5"/>
    </row>
    <row r="9068" spans="1:1" x14ac:dyDescent="0.25">
      <c r="A9068" s="5"/>
    </row>
    <row r="9069" spans="1:1" x14ac:dyDescent="0.25">
      <c r="A9069" s="5"/>
    </row>
    <row r="9070" spans="1:1" x14ac:dyDescent="0.25">
      <c r="A9070" s="5"/>
    </row>
    <row r="9071" spans="1:1" x14ac:dyDescent="0.25">
      <c r="A9071" s="5"/>
    </row>
    <row r="9072" spans="1:1" x14ac:dyDescent="0.25">
      <c r="A9072" s="5"/>
    </row>
    <row r="9073" spans="1:1" x14ac:dyDescent="0.25">
      <c r="A9073" s="5"/>
    </row>
    <row r="9074" spans="1:1" x14ac:dyDescent="0.25">
      <c r="A9074" s="5"/>
    </row>
    <row r="9075" spans="1:1" x14ac:dyDescent="0.25">
      <c r="A9075" s="5"/>
    </row>
    <row r="9076" spans="1:1" x14ac:dyDescent="0.25">
      <c r="A9076" s="5"/>
    </row>
    <row r="9077" spans="1:1" x14ac:dyDescent="0.25">
      <c r="A9077" s="5"/>
    </row>
    <row r="9078" spans="1:1" x14ac:dyDescent="0.25">
      <c r="A9078" s="5"/>
    </row>
    <row r="9079" spans="1:1" x14ac:dyDescent="0.25">
      <c r="A9079" s="5"/>
    </row>
    <row r="9080" spans="1:1" x14ac:dyDescent="0.25">
      <c r="A9080" s="5"/>
    </row>
    <row r="9081" spans="1:1" x14ac:dyDescent="0.25">
      <c r="A9081" s="5"/>
    </row>
    <row r="9082" spans="1:1" x14ac:dyDescent="0.25">
      <c r="A9082" s="5"/>
    </row>
    <row r="9083" spans="1:1" x14ac:dyDescent="0.25">
      <c r="A9083" s="5"/>
    </row>
    <row r="9084" spans="1:1" x14ac:dyDescent="0.25">
      <c r="A9084" s="5"/>
    </row>
    <row r="9085" spans="1:1" x14ac:dyDescent="0.25">
      <c r="A9085" s="5"/>
    </row>
    <row r="9086" spans="1:1" x14ac:dyDescent="0.25">
      <c r="A9086" s="5"/>
    </row>
    <row r="9087" spans="1:1" x14ac:dyDescent="0.25">
      <c r="A9087" s="5"/>
    </row>
    <row r="9088" spans="1:1" x14ac:dyDescent="0.25">
      <c r="A9088" s="5"/>
    </row>
    <row r="9089" spans="1:1" x14ac:dyDescent="0.25">
      <c r="A9089" s="5"/>
    </row>
    <row r="9090" spans="1:1" x14ac:dyDescent="0.25">
      <c r="A9090" s="5"/>
    </row>
    <row r="9091" spans="1:1" x14ac:dyDescent="0.25">
      <c r="A9091" s="5"/>
    </row>
    <row r="9092" spans="1:1" x14ac:dyDescent="0.25">
      <c r="A9092" s="5"/>
    </row>
    <row r="9093" spans="1:1" x14ac:dyDescent="0.25">
      <c r="A9093" s="5"/>
    </row>
    <row r="9094" spans="1:1" x14ac:dyDescent="0.25">
      <c r="A9094" s="5"/>
    </row>
    <row r="9095" spans="1:1" x14ac:dyDescent="0.25">
      <c r="A9095" s="5"/>
    </row>
    <row r="9096" spans="1:1" x14ac:dyDescent="0.25">
      <c r="A9096" s="5"/>
    </row>
    <row r="9097" spans="1:1" x14ac:dyDescent="0.25">
      <c r="A9097" s="5"/>
    </row>
    <row r="9098" spans="1:1" x14ac:dyDescent="0.25">
      <c r="A9098" s="5"/>
    </row>
    <row r="9099" spans="1:1" x14ac:dyDescent="0.25">
      <c r="A9099" s="5"/>
    </row>
    <row r="9100" spans="1:1" x14ac:dyDescent="0.25">
      <c r="A9100" s="5"/>
    </row>
    <row r="9101" spans="1:1" x14ac:dyDescent="0.25">
      <c r="A9101" s="5"/>
    </row>
    <row r="9102" spans="1:1" x14ac:dyDescent="0.25">
      <c r="A9102" s="5"/>
    </row>
    <row r="9103" spans="1:1" x14ac:dyDescent="0.25">
      <c r="A9103" s="5"/>
    </row>
    <row r="9104" spans="1:1" x14ac:dyDescent="0.25">
      <c r="A9104" s="5"/>
    </row>
    <row r="9105" spans="1:1" x14ac:dyDescent="0.25">
      <c r="A9105" s="5"/>
    </row>
    <row r="9106" spans="1:1" x14ac:dyDescent="0.25">
      <c r="A9106" s="5"/>
    </row>
    <row r="9107" spans="1:1" x14ac:dyDescent="0.25">
      <c r="A9107" s="5"/>
    </row>
    <row r="9108" spans="1:1" x14ac:dyDescent="0.25">
      <c r="A9108" s="5"/>
    </row>
    <row r="9109" spans="1:1" x14ac:dyDescent="0.25">
      <c r="A9109" s="5"/>
    </row>
    <row r="9110" spans="1:1" x14ac:dyDescent="0.25">
      <c r="A9110" s="5"/>
    </row>
    <row r="9111" spans="1:1" x14ac:dyDescent="0.25">
      <c r="A9111" s="5"/>
    </row>
    <row r="9112" spans="1:1" x14ac:dyDescent="0.25">
      <c r="A9112" s="5"/>
    </row>
    <row r="9113" spans="1:1" x14ac:dyDescent="0.25">
      <c r="A9113" s="5"/>
    </row>
    <row r="9114" spans="1:1" x14ac:dyDescent="0.25">
      <c r="A9114" s="5"/>
    </row>
    <row r="9115" spans="1:1" x14ac:dyDescent="0.25">
      <c r="A9115" s="5"/>
    </row>
    <row r="9116" spans="1:1" x14ac:dyDescent="0.25">
      <c r="A9116" s="5"/>
    </row>
    <row r="9117" spans="1:1" x14ac:dyDescent="0.25">
      <c r="A9117" s="5"/>
    </row>
    <row r="9118" spans="1:1" x14ac:dyDescent="0.25">
      <c r="A9118" s="5"/>
    </row>
    <row r="9119" spans="1:1" x14ac:dyDescent="0.25">
      <c r="A9119" s="5"/>
    </row>
    <row r="9120" spans="1:1" x14ac:dyDescent="0.25">
      <c r="A9120" s="5"/>
    </row>
    <row r="9121" spans="1:1" x14ac:dyDescent="0.25">
      <c r="A9121" s="5"/>
    </row>
    <row r="9122" spans="1:1" x14ac:dyDescent="0.25">
      <c r="A9122" s="5"/>
    </row>
    <row r="9123" spans="1:1" x14ac:dyDescent="0.25">
      <c r="A9123" s="5"/>
    </row>
    <row r="9124" spans="1:1" x14ac:dyDescent="0.25">
      <c r="A9124" s="5"/>
    </row>
    <row r="9125" spans="1:1" x14ac:dyDescent="0.25">
      <c r="A9125" s="5"/>
    </row>
    <row r="9126" spans="1:1" x14ac:dyDescent="0.25">
      <c r="A9126" s="5"/>
    </row>
    <row r="9127" spans="1:1" x14ac:dyDescent="0.25">
      <c r="A9127" s="5"/>
    </row>
    <row r="9128" spans="1:1" x14ac:dyDescent="0.25">
      <c r="A9128" s="5"/>
    </row>
    <row r="9129" spans="1:1" x14ac:dyDescent="0.25">
      <c r="A9129" s="5"/>
    </row>
    <row r="9130" spans="1:1" x14ac:dyDescent="0.25">
      <c r="A9130" s="5"/>
    </row>
    <row r="9131" spans="1:1" x14ac:dyDescent="0.25">
      <c r="A9131" s="5"/>
    </row>
    <row r="9132" spans="1:1" x14ac:dyDescent="0.25">
      <c r="A9132" s="5"/>
    </row>
    <row r="9133" spans="1:1" x14ac:dyDescent="0.25">
      <c r="A9133" s="5"/>
    </row>
    <row r="9134" spans="1:1" x14ac:dyDescent="0.25">
      <c r="A9134" s="5"/>
    </row>
    <row r="9135" spans="1:1" x14ac:dyDescent="0.25">
      <c r="A9135" s="5"/>
    </row>
    <row r="9136" spans="1:1" x14ac:dyDescent="0.25">
      <c r="A9136" s="5"/>
    </row>
    <row r="9137" spans="1:1" x14ac:dyDescent="0.25">
      <c r="A9137" s="5"/>
    </row>
    <row r="9138" spans="1:1" x14ac:dyDescent="0.25">
      <c r="A9138" s="5"/>
    </row>
    <row r="9139" spans="1:1" x14ac:dyDescent="0.25">
      <c r="A9139" s="5"/>
    </row>
    <row r="9140" spans="1:1" x14ac:dyDescent="0.25">
      <c r="A9140" s="5"/>
    </row>
    <row r="9141" spans="1:1" x14ac:dyDescent="0.25">
      <c r="A9141" s="5"/>
    </row>
    <row r="9142" spans="1:1" x14ac:dyDescent="0.25">
      <c r="A9142" s="5"/>
    </row>
    <row r="9143" spans="1:1" x14ac:dyDescent="0.25">
      <c r="A9143" s="5"/>
    </row>
    <row r="9144" spans="1:1" x14ac:dyDescent="0.25">
      <c r="A9144" s="5"/>
    </row>
    <row r="9145" spans="1:1" x14ac:dyDescent="0.25">
      <c r="A9145" s="5"/>
    </row>
    <row r="9146" spans="1:1" x14ac:dyDescent="0.25">
      <c r="A9146" s="5"/>
    </row>
    <row r="9147" spans="1:1" x14ac:dyDescent="0.25">
      <c r="A9147" s="5"/>
    </row>
    <row r="9148" spans="1:1" x14ac:dyDescent="0.25">
      <c r="A9148" s="5"/>
    </row>
    <row r="9149" spans="1:1" x14ac:dyDescent="0.25">
      <c r="A9149" s="5"/>
    </row>
    <row r="9150" spans="1:1" x14ac:dyDescent="0.25">
      <c r="A9150" s="5"/>
    </row>
    <row r="9151" spans="1:1" x14ac:dyDescent="0.25">
      <c r="A9151" s="5"/>
    </row>
    <row r="9152" spans="1:1" x14ac:dyDescent="0.25">
      <c r="A9152" s="5"/>
    </row>
    <row r="9153" spans="1:1" x14ac:dyDescent="0.25">
      <c r="A9153" s="5"/>
    </row>
    <row r="9154" spans="1:1" x14ac:dyDescent="0.25">
      <c r="A9154" s="5"/>
    </row>
    <row r="9155" spans="1:1" x14ac:dyDescent="0.25">
      <c r="A9155" s="5"/>
    </row>
    <row r="9156" spans="1:1" x14ac:dyDescent="0.25">
      <c r="A9156" s="5"/>
    </row>
    <row r="9157" spans="1:1" x14ac:dyDescent="0.25">
      <c r="A9157" s="5"/>
    </row>
    <row r="9158" spans="1:1" x14ac:dyDescent="0.25">
      <c r="A9158" s="5"/>
    </row>
    <row r="9159" spans="1:1" x14ac:dyDescent="0.25">
      <c r="A9159" s="5"/>
    </row>
    <row r="9160" spans="1:1" x14ac:dyDescent="0.25">
      <c r="A9160" s="5"/>
    </row>
    <row r="9161" spans="1:1" x14ac:dyDescent="0.25">
      <c r="A9161" s="5"/>
    </row>
    <row r="9162" spans="1:1" x14ac:dyDescent="0.25">
      <c r="A9162" s="5"/>
    </row>
    <row r="9163" spans="1:1" x14ac:dyDescent="0.25">
      <c r="A9163" s="5"/>
    </row>
    <row r="9164" spans="1:1" x14ac:dyDescent="0.25">
      <c r="A9164" s="5"/>
    </row>
    <row r="9165" spans="1:1" x14ac:dyDescent="0.25">
      <c r="A9165" s="5"/>
    </row>
    <row r="9166" spans="1:1" x14ac:dyDescent="0.25">
      <c r="A9166" s="5"/>
    </row>
    <row r="9167" spans="1:1" x14ac:dyDescent="0.25">
      <c r="A9167" s="5"/>
    </row>
    <row r="9168" spans="1:1" x14ac:dyDescent="0.25">
      <c r="A9168" s="5"/>
    </row>
    <row r="9169" spans="1:1" x14ac:dyDescent="0.25">
      <c r="A9169" s="5"/>
    </row>
    <row r="9170" spans="1:1" x14ac:dyDescent="0.25">
      <c r="A9170" s="5"/>
    </row>
    <row r="9171" spans="1:1" x14ac:dyDescent="0.25">
      <c r="A9171" s="5"/>
    </row>
    <row r="9172" spans="1:1" x14ac:dyDescent="0.25">
      <c r="A9172" s="5"/>
    </row>
    <row r="9173" spans="1:1" x14ac:dyDescent="0.25">
      <c r="A9173" s="5"/>
    </row>
    <row r="9174" spans="1:1" x14ac:dyDescent="0.25">
      <c r="A9174" s="5"/>
    </row>
    <row r="9175" spans="1:1" x14ac:dyDescent="0.25">
      <c r="A9175" s="5"/>
    </row>
    <row r="9176" spans="1:1" x14ac:dyDescent="0.25">
      <c r="A9176" s="5"/>
    </row>
    <row r="9177" spans="1:1" x14ac:dyDescent="0.25">
      <c r="A9177" s="5"/>
    </row>
    <row r="9178" spans="1:1" x14ac:dyDescent="0.25">
      <c r="A9178" s="5"/>
    </row>
    <row r="9179" spans="1:1" x14ac:dyDescent="0.25">
      <c r="A9179" s="5"/>
    </row>
    <row r="9180" spans="1:1" x14ac:dyDescent="0.25">
      <c r="A9180" s="5"/>
    </row>
    <row r="9181" spans="1:1" x14ac:dyDescent="0.25">
      <c r="A9181" s="5"/>
    </row>
    <row r="9182" spans="1:1" x14ac:dyDescent="0.25">
      <c r="A9182" s="5"/>
    </row>
    <row r="9183" spans="1:1" x14ac:dyDescent="0.25">
      <c r="A9183" s="5"/>
    </row>
    <row r="9184" spans="1:1" x14ac:dyDescent="0.25">
      <c r="A9184" s="5"/>
    </row>
    <row r="9185" spans="1:1" x14ac:dyDescent="0.25">
      <c r="A9185" s="5"/>
    </row>
    <row r="9186" spans="1:1" x14ac:dyDescent="0.25">
      <c r="A9186" s="5"/>
    </row>
    <row r="9187" spans="1:1" x14ac:dyDescent="0.25">
      <c r="A9187" s="5"/>
    </row>
    <row r="9188" spans="1:1" x14ac:dyDescent="0.25">
      <c r="A9188" s="5"/>
    </row>
    <row r="9189" spans="1:1" x14ac:dyDescent="0.25">
      <c r="A9189" s="5"/>
    </row>
    <row r="9190" spans="1:1" x14ac:dyDescent="0.25">
      <c r="A9190" s="5"/>
    </row>
    <row r="9191" spans="1:1" x14ac:dyDescent="0.25">
      <c r="A9191" s="5"/>
    </row>
    <row r="9192" spans="1:1" x14ac:dyDescent="0.25">
      <c r="A9192" s="5"/>
    </row>
    <row r="9193" spans="1:1" x14ac:dyDescent="0.25">
      <c r="A9193" s="5"/>
    </row>
    <row r="9194" spans="1:1" x14ac:dyDescent="0.25">
      <c r="A9194" s="5"/>
    </row>
    <row r="9195" spans="1:1" x14ac:dyDescent="0.25">
      <c r="A9195" s="5"/>
    </row>
    <row r="9196" spans="1:1" x14ac:dyDescent="0.25">
      <c r="A9196" s="5"/>
    </row>
    <row r="9197" spans="1:1" x14ac:dyDescent="0.25">
      <c r="A9197" s="5"/>
    </row>
    <row r="9198" spans="1:1" x14ac:dyDescent="0.25">
      <c r="A9198" s="5"/>
    </row>
    <row r="9199" spans="1:1" x14ac:dyDescent="0.25">
      <c r="A9199" s="5"/>
    </row>
    <row r="9200" spans="1:1" x14ac:dyDescent="0.25">
      <c r="A9200" s="5"/>
    </row>
    <row r="9201" spans="1:1" x14ac:dyDescent="0.25">
      <c r="A9201" s="5"/>
    </row>
    <row r="9202" spans="1:1" x14ac:dyDescent="0.25">
      <c r="A9202" s="5"/>
    </row>
    <row r="9203" spans="1:1" x14ac:dyDescent="0.25">
      <c r="A9203" s="5"/>
    </row>
    <row r="9204" spans="1:1" x14ac:dyDescent="0.25">
      <c r="A9204" s="5"/>
    </row>
    <row r="9205" spans="1:1" x14ac:dyDescent="0.25">
      <c r="A9205" s="5"/>
    </row>
    <row r="9206" spans="1:1" x14ac:dyDescent="0.25">
      <c r="A9206" s="5"/>
    </row>
    <row r="9207" spans="1:1" x14ac:dyDescent="0.25">
      <c r="A9207" s="5"/>
    </row>
    <row r="9208" spans="1:1" x14ac:dyDescent="0.25">
      <c r="A9208" s="5"/>
    </row>
    <row r="9209" spans="1:1" x14ac:dyDescent="0.25">
      <c r="A9209" s="5"/>
    </row>
    <row r="9210" spans="1:1" x14ac:dyDescent="0.25">
      <c r="A9210" s="5"/>
    </row>
    <row r="9211" spans="1:1" x14ac:dyDescent="0.25">
      <c r="A9211" s="5"/>
    </row>
    <row r="9212" spans="1:1" x14ac:dyDescent="0.25">
      <c r="A9212" s="5"/>
    </row>
    <row r="9213" spans="1:1" x14ac:dyDescent="0.25">
      <c r="A9213" s="5"/>
    </row>
    <row r="9214" spans="1:1" x14ac:dyDescent="0.25">
      <c r="A9214" s="5"/>
    </row>
    <row r="9215" spans="1:1" x14ac:dyDescent="0.25">
      <c r="A9215" s="5"/>
    </row>
    <row r="9216" spans="1:1" x14ac:dyDescent="0.25">
      <c r="A9216" s="5"/>
    </row>
    <row r="9217" spans="1:1" x14ac:dyDescent="0.25">
      <c r="A9217" s="5"/>
    </row>
    <row r="9218" spans="1:1" x14ac:dyDescent="0.25">
      <c r="A9218" s="5"/>
    </row>
    <row r="9219" spans="1:1" x14ac:dyDescent="0.25">
      <c r="A9219" s="5"/>
    </row>
    <row r="9220" spans="1:1" x14ac:dyDescent="0.25">
      <c r="A9220" s="5"/>
    </row>
    <row r="9221" spans="1:1" x14ac:dyDescent="0.25">
      <c r="A9221" s="5"/>
    </row>
    <row r="9222" spans="1:1" x14ac:dyDescent="0.25">
      <c r="A9222" s="5"/>
    </row>
    <row r="9223" spans="1:1" x14ac:dyDescent="0.25">
      <c r="A9223" s="5"/>
    </row>
    <row r="9224" spans="1:1" x14ac:dyDescent="0.25">
      <c r="A9224" s="5"/>
    </row>
    <row r="9225" spans="1:1" x14ac:dyDescent="0.25">
      <c r="A9225" s="5"/>
    </row>
    <row r="9226" spans="1:1" x14ac:dyDescent="0.25">
      <c r="A9226" s="5"/>
    </row>
    <row r="9227" spans="1:1" x14ac:dyDescent="0.25">
      <c r="A9227" s="5"/>
    </row>
    <row r="9228" spans="1:1" x14ac:dyDescent="0.25">
      <c r="A9228" s="5"/>
    </row>
    <row r="9229" spans="1:1" x14ac:dyDescent="0.25">
      <c r="A9229" s="5"/>
    </row>
    <row r="9230" spans="1:1" x14ac:dyDescent="0.25">
      <c r="A9230" s="5"/>
    </row>
    <row r="9231" spans="1:1" x14ac:dyDescent="0.25">
      <c r="A9231" s="5"/>
    </row>
    <row r="9232" spans="1:1" x14ac:dyDescent="0.25">
      <c r="A9232" s="5"/>
    </row>
    <row r="9233" spans="1:1" x14ac:dyDescent="0.25">
      <c r="A9233" s="5"/>
    </row>
    <row r="9234" spans="1:1" x14ac:dyDescent="0.25">
      <c r="A9234" s="5"/>
    </row>
    <row r="9235" spans="1:1" x14ac:dyDescent="0.25">
      <c r="A9235" s="5"/>
    </row>
    <row r="9236" spans="1:1" x14ac:dyDescent="0.25">
      <c r="A9236" s="5"/>
    </row>
    <row r="9237" spans="1:1" x14ac:dyDescent="0.25">
      <c r="A9237" s="5"/>
    </row>
    <row r="9238" spans="1:1" x14ac:dyDescent="0.25">
      <c r="A9238" s="5"/>
    </row>
    <row r="9239" spans="1:1" x14ac:dyDescent="0.25">
      <c r="A9239" s="5"/>
    </row>
    <row r="9240" spans="1:1" x14ac:dyDescent="0.25">
      <c r="A9240" s="5"/>
    </row>
    <row r="9241" spans="1:1" x14ac:dyDescent="0.25">
      <c r="A9241" s="5"/>
    </row>
    <row r="9242" spans="1:1" x14ac:dyDescent="0.25">
      <c r="A9242" s="5"/>
    </row>
    <row r="9243" spans="1:1" x14ac:dyDescent="0.25">
      <c r="A9243" s="5"/>
    </row>
    <row r="9244" spans="1:1" x14ac:dyDescent="0.25">
      <c r="A9244" s="5"/>
    </row>
    <row r="9245" spans="1:1" x14ac:dyDescent="0.25">
      <c r="A9245" s="5"/>
    </row>
    <row r="9246" spans="1:1" x14ac:dyDescent="0.25">
      <c r="A9246" s="5"/>
    </row>
    <row r="9247" spans="1:1" x14ac:dyDescent="0.25">
      <c r="A9247" s="5"/>
    </row>
    <row r="9248" spans="1:1" x14ac:dyDescent="0.25">
      <c r="A9248" s="5"/>
    </row>
    <row r="9249" spans="1:1" x14ac:dyDescent="0.25">
      <c r="A9249" s="5"/>
    </row>
    <row r="9250" spans="1:1" x14ac:dyDescent="0.25">
      <c r="A9250" s="5"/>
    </row>
    <row r="9251" spans="1:1" x14ac:dyDescent="0.25">
      <c r="A9251" s="5"/>
    </row>
    <row r="9252" spans="1:1" x14ac:dyDescent="0.25">
      <c r="A9252" s="5"/>
    </row>
    <row r="9253" spans="1:1" x14ac:dyDescent="0.25">
      <c r="A9253" s="5"/>
    </row>
    <row r="9254" spans="1:1" x14ac:dyDescent="0.25">
      <c r="A9254" s="5"/>
    </row>
    <row r="9255" spans="1:1" x14ac:dyDescent="0.25">
      <c r="A9255" s="5"/>
    </row>
    <row r="9256" spans="1:1" x14ac:dyDescent="0.25">
      <c r="A9256" s="5"/>
    </row>
    <row r="9257" spans="1:1" x14ac:dyDescent="0.25">
      <c r="A9257" s="5"/>
    </row>
    <row r="9258" spans="1:1" x14ac:dyDescent="0.25">
      <c r="A9258" s="5"/>
    </row>
    <row r="9259" spans="1:1" x14ac:dyDescent="0.25">
      <c r="A9259" s="5"/>
    </row>
    <row r="9260" spans="1:1" x14ac:dyDescent="0.25">
      <c r="A9260" s="5"/>
    </row>
    <row r="9261" spans="1:1" x14ac:dyDescent="0.25">
      <c r="A9261" s="5"/>
    </row>
    <row r="9262" spans="1:1" x14ac:dyDescent="0.25">
      <c r="A9262" s="5"/>
    </row>
    <row r="9263" spans="1:1" x14ac:dyDescent="0.25">
      <c r="A9263" s="5"/>
    </row>
    <row r="9264" spans="1:1" x14ac:dyDescent="0.25">
      <c r="A9264" s="5"/>
    </row>
    <row r="9265" spans="1:1" x14ac:dyDescent="0.25">
      <c r="A9265" s="5"/>
    </row>
    <row r="9266" spans="1:1" x14ac:dyDescent="0.25">
      <c r="A9266" s="5"/>
    </row>
    <row r="9267" spans="1:1" x14ac:dyDescent="0.25">
      <c r="A9267" s="5"/>
    </row>
    <row r="9268" spans="1:1" x14ac:dyDescent="0.25">
      <c r="A9268" s="5"/>
    </row>
    <row r="9269" spans="1:1" x14ac:dyDescent="0.25">
      <c r="A9269" s="5"/>
    </row>
    <row r="9270" spans="1:1" x14ac:dyDescent="0.25">
      <c r="A9270" s="5"/>
    </row>
    <row r="9271" spans="1:1" x14ac:dyDescent="0.25">
      <c r="A9271" s="5"/>
    </row>
    <row r="9272" spans="1:1" x14ac:dyDescent="0.25">
      <c r="A9272" s="5"/>
    </row>
    <row r="9273" spans="1:1" x14ac:dyDescent="0.25">
      <c r="A9273" s="5"/>
    </row>
    <row r="9274" spans="1:1" x14ac:dyDescent="0.25">
      <c r="A9274" s="5"/>
    </row>
    <row r="9275" spans="1:1" x14ac:dyDescent="0.25">
      <c r="A9275" s="5"/>
    </row>
    <row r="9276" spans="1:1" x14ac:dyDescent="0.25">
      <c r="A9276" s="5"/>
    </row>
    <row r="9277" spans="1:1" x14ac:dyDescent="0.25">
      <c r="A9277" s="5"/>
    </row>
    <row r="9278" spans="1:1" x14ac:dyDescent="0.25">
      <c r="A9278" s="5"/>
    </row>
    <row r="9279" spans="1:1" x14ac:dyDescent="0.25">
      <c r="A9279" s="5"/>
    </row>
    <row r="9280" spans="1:1" x14ac:dyDescent="0.25">
      <c r="A9280" s="5"/>
    </row>
    <row r="9281" spans="1:1" x14ac:dyDescent="0.25">
      <c r="A9281" s="5"/>
    </row>
    <row r="9282" spans="1:1" x14ac:dyDescent="0.25">
      <c r="A9282" s="5"/>
    </row>
    <row r="9283" spans="1:1" x14ac:dyDescent="0.25">
      <c r="A9283" s="5"/>
    </row>
    <row r="9284" spans="1:1" x14ac:dyDescent="0.25">
      <c r="A9284" s="5"/>
    </row>
    <row r="9285" spans="1:1" x14ac:dyDescent="0.25">
      <c r="A9285" s="5"/>
    </row>
    <row r="9286" spans="1:1" x14ac:dyDescent="0.25">
      <c r="A9286" s="5"/>
    </row>
    <row r="9287" spans="1:1" x14ac:dyDescent="0.25">
      <c r="A9287" s="5"/>
    </row>
    <row r="9288" spans="1:1" x14ac:dyDescent="0.25">
      <c r="A9288" s="5"/>
    </row>
    <row r="9289" spans="1:1" x14ac:dyDescent="0.25">
      <c r="A9289" s="5"/>
    </row>
    <row r="9290" spans="1:1" x14ac:dyDescent="0.25">
      <c r="A9290" s="5"/>
    </row>
    <row r="9291" spans="1:1" x14ac:dyDescent="0.25">
      <c r="A9291" s="5"/>
    </row>
    <row r="9292" spans="1:1" x14ac:dyDescent="0.25">
      <c r="A9292" s="5"/>
    </row>
    <row r="9293" spans="1:1" x14ac:dyDescent="0.25">
      <c r="A9293" s="5"/>
    </row>
    <row r="9294" spans="1:1" x14ac:dyDescent="0.25">
      <c r="A9294" s="5"/>
    </row>
    <row r="9295" spans="1:1" x14ac:dyDescent="0.25">
      <c r="A9295" s="5"/>
    </row>
    <row r="9296" spans="1:1" x14ac:dyDescent="0.25">
      <c r="A9296" s="5"/>
    </row>
    <row r="9297" spans="1:1" x14ac:dyDescent="0.25">
      <c r="A9297" s="5"/>
    </row>
    <row r="9298" spans="1:1" x14ac:dyDescent="0.25">
      <c r="A9298" s="5"/>
    </row>
    <row r="9299" spans="1:1" x14ac:dyDescent="0.25">
      <c r="A9299" s="5"/>
    </row>
    <row r="9300" spans="1:1" x14ac:dyDescent="0.25">
      <c r="A9300" s="5"/>
    </row>
    <row r="9301" spans="1:1" x14ac:dyDescent="0.25">
      <c r="A9301" s="5"/>
    </row>
    <row r="9302" spans="1:1" x14ac:dyDescent="0.25">
      <c r="A9302" s="5"/>
    </row>
    <row r="9303" spans="1:1" x14ac:dyDescent="0.25">
      <c r="A9303" s="5"/>
    </row>
    <row r="9304" spans="1:1" x14ac:dyDescent="0.25">
      <c r="A9304" s="5"/>
    </row>
    <row r="9305" spans="1:1" x14ac:dyDescent="0.25">
      <c r="A9305" s="5"/>
    </row>
    <row r="9306" spans="1:1" x14ac:dyDescent="0.25">
      <c r="A9306" s="5"/>
    </row>
    <row r="9307" spans="1:1" x14ac:dyDescent="0.25">
      <c r="A9307" s="5"/>
    </row>
    <row r="9308" spans="1:1" x14ac:dyDescent="0.25">
      <c r="A9308" s="5"/>
    </row>
    <row r="9309" spans="1:1" x14ac:dyDescent="0.25">
      <c r="A9309" s="5"/>
    </row>
    <row r="9310" spans="1:1" x14ac:dyDescent="0.25">
      <c r="A9310" s="5"/>
    </row>
    <row r="9311" spans="1:1" x14ac:dyDescent="0.25">
      <c r="A9311" s="5"/>
    </row>
    <row r="9312" spans="1:1" x14ac:dyDescent="0.25">
      <c r="A9312" s="5"/>
    </row>
    <row r="9313" spans="1:1" x14ac:dyDescent="0.25">
      <c r="A9313" s="5"/>
    </row>
    <row r="9314" spans="1:1" x14ac:dyDescent="0.25">
      <c r="A9314" s="5"/>
    </row>
    <row r="9315" spans="1:1" x14ac:dyDescent="0.25">
      <c r="A9315" s="5"/>
    </row>
    <row r="9316" spans="1:1" x14ac:dyDescent="0.25">
      <c r="A9316" s="5"/>
    </row>
    <row r="9317" spans="1:1" x14ac:dyDescent="0.25">
      <c r="A9317" s="5"/>
    </row>
    <row r="9318" spans="1:1" x14ac:dyDescent="0.25">
      <c r="A9318" s="5"/>
    </row>
    <row r="9319" spans="1:1" x14ac:dyDescent="0.25">
      <c r="A9319" s="5"/>
    </row>
    <row r="9320" spans="1:1" x14ac:dyDescent="0.25">
      <c r="A9320" s="5"/>
    </row>
    <row r="9321" spans="1:1" x14ac:dyDescent="0.25">
      <c r="A9321" s="5"/>
    </row>
    <row r="9322" spans="1:1" x14ac:dyDescent="0.25">
      <c r="A9322" s="5"/>
    </row>
    <row r="9323" spans="1:1" x14ac:dyDescent="0.25">
      <c r="A9323" s="5"/>
    </row>
    <row r="9324" spans="1:1" x14ac:dyDescent="0.25">
      <c r="A9324" s="5"/>
    </row>
    <row r="9325" spans="1:1" x14ac:dyDescent="0.25">
      <c r="A9325" s="5"/>
    </row>
    <row r="9326" spans="1:1" x14ac:dyDescent="0.25">
      <c r="A9326" s="5"/>
    </row>
    <row r="9327" spans="1:1" x14ac:dyDescent="0.25">
      <c r="A9327" s="5"/>
    </row>
    <row r="9328" spans="1:1" x14ac:dyDescent="0.25">
      <c r="A9328" s="5"/>
    </row>
    <row r="9329" spans="1:1" x14ac:dyDescent="0.25">
      <c r="A9329" s="5"/>
    </row>
    <row r="9330" spans="1:1" x14ac:dyDescent="0.25">
      <c r="A9330" s="5"/>
    </row>
    <row r="9331" spans="1:1" x14ac:dyDescent="0.25">
      <c r="A9331" s="5"/>
    </row>
    <row r="9332" spans="1:1" x14ac:dyDescent="0.25">
      <c r="A9332" s="5"/>
    </row>
    <row r="9333" spans="1:1" x14ac:dyDescent="0.25">
      <c r="A9333" s="5"/>
    </row>
    <row r="9334" spans="1:1" x14ac:dyDescent="0.25">
      <c r="A9334" s="5"/>
    </row>
    <row r="9335" spans="1:1" x14ac:dyDescent="0.25">
      <c r="A9335" s="5"/>
    </row>
    <row r="9336" spans="1:1" x14ac:dyDescent="0.25">
      <c r="A9336" s="5"/>
    </row>
    <row r="9337" spans="1:1" x14ac:dyDescent="0.25">
      <c r="A9337" s="5"/>
    </row>
    <row r="9338" spans="1:1" x14ac:dyDescent="0.25">
      <c r="A9338" s="5"/>
    </row>
    <row r="9339" spans="1:1" x14ac:dyDescent="0.25">
      <c r="A9339" s="5"/>
    </row>
    <row r="9340" spans="1:1" x14ac:dyDescent="0.25">
      <c r="A9340" s="5"/>
    </row>
    <row r="9341" spans="1:1" x14ac:dyDescent="0.25">
      <c r="A9341" s="5"/>
    </row>
    <row r="9342" spans="1:1" x14ac:dyDescent="0.25">
      <c r="A9342" s="5"/>
    </row>
    <row r="9343" spans="1:1" x14ac:dyDescent="0.25">
      <c r="A9343" s="5"/>
    </row>
    <row r="9344" spans="1:1" x14ac:dyDescent="0.25">
      <c r="A9344" s="5"/>
    </row>
    <row r="9345" spans="1:1" x14ac:dyDescent="0.25">
      <c r="A9345" s="5"/>
    </row>
    <row r="9346" spans="1:1" x14ac:dyDescent="0.25">
      <c r="A9346" s="5"/>
    </row>
    <row r="9347" spans="1:1" x14ac:dyDescent="0.25">
      <c r="A9347" s="5"/>
    </row>
    <row r="9348" spans="1:1" x14ac:dyDescent="0.25">
      <c r="A9348" s="5"/>
    </row>
    <row r="9349" spans="1:1" x14ac:dyDescent="0.25">
      <c r="A9349" s="5"/>
    </row>
    <row r="9350" spans="1:1" x14ac:dyDescent="0.25">
      <c r="A9350" s="5"/>
    </row>
    <row r="9351" spans="1:1" x14ac:dyDescent="0.25">
      <c r="A9351" s="5"/>
    </row>
    <row r="9352" spans="1:1" x14ac:dyDescent="0.25">
      <c r="A9352" s="5"/>
    </row>
    <row r="9353" spans="1:1" x14ac:dyDescent="0.25">
      <c r="A9353" s="5"/>
    </row>
    <row r="9354" spans="1:1" x14ac:dyDescent="0.25">
      <c r="A9354" s="5"/>
    </row>
    <row r="9355" spans="1:1" x14ac:dyDescent="0.25">
      <c r="A9355" s="5"/>
    </row>
    <row r="9356" spans="1:1" x14ac:dyDescent="0.25">
      <c r="A9356" s="5"/>
    </row>
    <row r="9357" spans="1:1" x14ac:dyDescent="0.25">
      <c r="A9357" s="5"/>
    </row>
    <row r="9358" spans="1:1" x14ac:dyDescent="0.25">
      <c r="A9358" s="5"/>
    </row>
    <row r="9359" spans="1:1" x14ac:dyDescent="0.25">
      <c r="A9359" s="5"/>
    </row>
    <row r="9360" spans="1:1" x14ac:dyDescent="0.25">
      <c r="A9360" s="5"/>
    </row>
    <row r="9361" spans="1:1" x14ac:dyDescent="0.25">
      <c r="A9361" s="5"/>
    </row>
    <row r="9362" spans="1:1" x14ac:dyDescent="0.25">
      <c r="A9362" s="5"/>
    </row>
    <row r="9363" spans="1:1" x14ac:dyDescent="0.25">
      <c r="A9363" s="5"/>
    </row>
    <row r="9364" spans="1:1" x14ac:dyDescent="0.25">
      <c r="A9364" s="5"/>
    </row>
    <row r="9365" spans="1:1" x14ac:dyDescent="0.25">
      <c r="A9365" s="5"/>
    </row>
    <row r="9366" spans="1:1" x14ac:dyDescent="0.25">
      <c r="A9366" s="5"/>
    </row>
    <row r="9367" spans="1:1" x14ac:dyDescent="0.25">
      <c r="A9367" s="5"/>
    </row>
    <row r="9368" spans="1:1" x14ac:dyDescent="0.25">
      <c r="A9368" s="5"/>
    </row>
    <row r="9369" spans="1:1" x14ac:dyDescent="0.25">
      <c r="A9369" s="5"/>
    </row>
    <row r="9370" spans="1:1" x14ac:dyDescent="0.25">
      <c r="A9370" s="5"/>
    </row>
    <row r="9371" spans="1:1" x14ac:dyDescent="0.25">
      <c r="A9371" s="5"/>
    </row>
    <row r="9372" spans="1:1" x14ac:dyDescent="0.25">
      <c r="A9372" s="5"/>
    </row>
    <row r="9373" spans="1:1" x14ac:dyDescent="0.25">
      <c r="A9373" s="5"/>
    </row>
    <row r="9374" spans="1:1" x14ac:dyDescent="0.25">
      <c r="A9374" s="5"/>
    </row>
    <row r="9375" spans="1:1" x14ac:dyDescent="0.25">
      <c r="A9375" s="5"/>
    </row>
    <row r="9376" spans="1:1" x14ac:dyDescent="0.25">
      <c r="A9376" s="5"/>
    </row>
    <row r="9377" spans="1:1" x14ac:dyDescent="0.25">
      <c r="A9377" s="5"/>
    </row>
    <row r="9378" spans="1:1" x14ac:dyDescent="0.25">
      <c r="A9378" s="5"/>
    </row>
    <row r="9379" spans="1:1" x14ac:dyDescent="0.25">
      <c r="A9379" s="5"/>
    </row>
    <row r="9380" spans="1:1" x14ac:dyDescent="0.25">
      <c r="A9380" s="5"/>
    </row>
    <row r="9381" spans="1:1" x14ac:dyDescent="0.25">
      <c r="A9381" s="5"/>
    </row>
    <row r="9382" spans="1:1" x14ac:dyDescent="0.25">
      <c r="A9382" s="5"/>
    </row>
    <row r="9383" spans="1:1" x14ac:dyDescent="0.25">
      <c r="A9383" s="5"/>
    </row>
    <row r="9384" spans="1:1" x14ac:dyDescent="0.25">
      <c r="A9384" s="5"/>
    </row>
    <row r="9385" spans="1:1" x14ac:dyDescent="0.25">
      <c r="A9385" s="5"/>
    </row>
    <row r="9386" spans="1:1" x14ac:dyDescent="0.25">
      <c r="A9386" s="5"/>
    </row>
    <row r="9387" spans="1:1" x14ac:dyDescent="0.25">
      <c r="A9387" s="5"/>
    </row>
    <row r="9388" spans="1:1" x14ac:dyDescent="0.25">
      <c r="A9388" s="5"/>
    </row>
    <row r="9389" spans="1:1" x14ac:dyDescent="0.25">
      <c r="A9389" s="5"/>
    </row>
    <row r="9390" spans="1:1" x14ac:dyDescent="0.25">
      <c r="A9390" s="5"/>
    </row>
    <row r="9391" spans="1:1" x14ac:dyDescent="0.25">
      <c r="A9391" s="5"/>
    </row>
    <row r="9392" spans="1:1" x14ac:dyDescent="0.25">
      <c r="A9392" s="5"/>
    </row>
    <row r="9393" spans="1:1" x14ac:dyDescent="0.25">
      <c r="A9393" s="5"/>
    </row>
    <row r="9394" spans="1:1" x14ac:dyDescent="0.25">
      <c r="A9394" s="5"/>
    </row>
    <row r="9395" spans="1:1" x14ac:dyDescent="0.25">
      <c r="A9395" s="5"/>
    </row>
    <row r="9396" spans="1:1" x14ac:dyDescent="0.25">
      <c r="A9396" s="5"/>
    </row>
    <row r="9397" spans="1:1" x14ac:dyDescent="0.25">
      <c r="A9397" s="5"/>
    </row>
    <row r="9398" spans="1:1" x14ac:dyDescent="0.25">
      <c r="A9398" s="5"/>
    </row>
    <row r="9399" spans="1:1" x14ac:dyDescent="0.25">
      <c r="A9399" s="5"/>
    </row>
    <row r="9400" spans="1:1" x14ac:dyDescent="0.25">
      <c r="A9400" s="5"/>
    </row>
    <row r="9401" spans="1:1" x14ac:dyDescent="0.25">
      <c r="A9401" s="5"/>
    </row>
    <row r="9402" spans="1:1" x14ac:dyDescent="0.25">
      <c r="A9402" s="5"/>
    </row>
    <row r="9403" spans="1:1" x14ac:dyDescent="0.25">
      <c r="A9403" s="5"/>
    </row>
    <row r="9404" spans="1:1" x14ac:dyDescent="0.25">
      <c r="A9404" s="5"/>
    </row>
    <row r="9405" spans="1:1" x14ac:dyDescent="0.25">
      <c r="A9405" s="5"/>
    </row>
    <row r="9406" spans="1:1" x14ac:dyDescent="0.25">
      <c r="A9406" s="5"/>
    </row>
    <row r="9407" spans="1:1" x14ac:dyDescent="0.25">
      <c r="A9407" s="5"/>
    </row>
    <row r="9408" spans="1:1" x14ac:dyDescent="0.25">
      <c r="A9408" s="5"/>
    </row>
    <row r="9409" spans="1:1" x14ac:dyDescent="0.25">
      <c r="A9409" s="5"/>
    </row>
    <row r="9410" spans="1:1" x14ac:dyDescent="0.25">
      <c r="A9410" s="5"/>
    </row>
    <row r="9411" spans="1:1" x14ac:dyDescent="0.25">
      <c r="A9411" s="5"/>
    </row>
    <row r="9412" spans="1:1" x14ac:dyDescent="0.25">
      <c r="A9412" s="5"/>
    </row>
    <row r="9413" spans="1:1" x14ac:dyDescent="0.25">
      <c r="A9413" s="5"/>
    </row>
    <row r="9414" spans="1:1" x14ac:dyDescent="0.25">
      <c r="A9414" s="5"/>
    </row>
    <row r="9415" spans="1:1" x14ac:dyDescent="0.25">
      <c r="A9415" s="5"/>
    </row>
    <row r="9416" spans="1:1" x14ac:dyDescent="0.25">
      <c r="A9416" s="5"/>
    </row>
    <row r="9417" spans="1:1" x14ac:dyDescent="0.25">
      <c r="A9417" s="5"/>
    </row>
    <row r="9418" spans="1:1" x14ac:dyDescent="0.25">
      <c r="A9418" s="5"/>
    </row>
    <row r="9419" spans="1:1" x14ac:dyDescent="0.25">
      <c r="A9419" s="5"/>
    </row>
    <row r="9420" spans="1:1" x14ac:dyDescent="0.25">
      <c r="A9420" s="5"/>
    </row>
    <row r="9421" spans="1:1" x14ac:dyDescent="0.25">
      <c r="A9421" s="5"/>
    </row>
    <row r="9422" spans="1:1" x14ac:dyDescent="0.25">
      <c r="A9422" s="5"/>
    </row>
    <row r="9423" spans="1:1" x14ac:dyDescent="0.25">
      <c r="A9423" s="5"/>
    </row>
    <row r="9424" spans="1:1" x14ac:dyDescent="0.25">
      <c r="A9424" s="5"/>
    </row>
    <row r="9425" spans="1:1" x14ac:dyDescent="0.25">
      <c r="A9425" s="5"/>
    </row>
    <row r="9426" spans="1:1" x14ac:dyDescent="0.25">
      <c r="A9426" s="5"/>
    </row>
    <row r="9427" spans="1:1" x14ac:dyDescent="0.25">
      <c r="A9427" s="5"/>
    </row>
    <row r="9428" spans="1:1" x14ac:dyDescent="0.25">
      <c r="A9428" s="5"/>
    </row>
    <row r="9429" spans="1:1" x14ac:dyDescent="0.25">
      <c r="A9429" s="5"/>
    </row>
    <row r="9430" spans="1:1" x14ac:dyDescent="0.25">
      <c r="A9430" s="5"/>
    </row>
    <row r="9431" spans="1:1" x14ac:dyDescent="0.25">
      <c r="A9431" s="5"/>
    </row>
    <row r="9432" spans="1:1" x14ac:dyDescent="0.25">
      <c r="A9432" s="5"/>
    </row>
    <row r="9433" spans="1:1" x14ac:dyDescent="0.25">
      <c r="A9433" s="5"/>
    </row>
    <row r="9434" spans="1:1" x14ac:dyDescent="0.25">
      <c r="A9434" s="5"/>
    </row>
    <row r="9435" spans="1:1" x14ac:dyDescent="0.25">
      <c r="A9435" s="5"/>
    </row>
    <row r="9436" spans="1:1" x14ac:dyDescent="0.25">
      <c r="A9436" s="5"/>
    </row>
    <row r="9437" spans="1:1" x14ac:dyDescent="0.25">
      <c r="A9437" s="5"/>
    </row>
    <row r="9438" spans="1:1" x14ac:dyDescent="0.25">
      <c r="A9438" s="5"/>
    </row>
    <row r="9439" spans="1:1" x14ac:dyDescent="0.25">
      <c r="A9439" s="5"/>
    </row>
    <row r="9440" spans="1:1" x14ac:dyDescent="0.25">
      <c r="A9440" s="5"/>
    </row>
    <row r="9441" spans="1:1" x14ac:dyDescent="0.25">
      <c r="A9441" s="5"/>
    </row>
    <row r="9442" spans="1:1" x14ac:dyDescent="0.25">
      <c r="A9442" s="5"/>
    </row>
    <row r="9443" spans="1:1" x14ac:dyDescent="0.25">
      <c r="A9443" s="5"/>
    </row>
    <row r="9444" spans="1:1" x14ac:dyDescent="0.25">
      <c r="A9444" s="5"/>
    </row>
    <row r="9445" spans="1:1" x14ac:dyDescent="0.25">
      <c r="A9445" s="5"/>
    </row>
    <row r="9446" spans="1:1" x14ac:dyDescent="0.25">
      <c r="A9446" s="5"/>
    </row>
    <row r="9447" spans="1:1" x14ac:dyDescent="0.25">
      <c r="A9447" s="5"/>
    </row>
    <row r="9448" spans="1:1" x14ac:dyDescent="0.25">
      <c r="A9448" s="5"/>
    </row>
    <row r="9449" spans="1:1" x14ac:dyDescent="0.25">
      <c r="A9449" s="5"/>
    </row>
    <row r="9450" spans="1:1" x14ac:dyDescent="0.25">
      <c r="A9450" s="5"/>
    </row>
    <row r="9451" spans="1:1" x14ac:dyDescent="0.25">
      <c r="A9451" s="5"/>
    </row>
    <row r="9452" spans="1:1" x14ac:dyDescent="0.25">
      <c r="A9452" s="5"/>
    </row>
    <row r="9453" spans="1:1" x14ac:dyDescent="0.25">
      <c r="A9453" s="5"/>
    </row>
    <row r="9454" spans="1:1" x14ac:dyDescent="0.25">
      <c r="A9454" s="5"/>
    </row>
    <row r="9455" spans="1:1" x14ac:dyDescent="0.25">
      <c r="A9455" s="5"/>
    </row>
    <row r="9456" spans="1:1" x14ac:dyDescent="0.25">
      <c r="A9456" s="5"/>
    </row>
    <row r="9457" spans="1:1" x14ac:dyDescent="0.25">
      <c r="A9457" s="5"/>
    </row>
    <row r="9458" spans="1:1" x14ac:dyDescent="0.25">
      <c r="A9458" s="5"/>
    </row>
    <row r="9459" spans="1:1" x14ac:dyDescent="0.25">
      <c r="A9459" s="5"/>
    </row>
    <row r="9460" spans="1:1" x14ac:dyDescent="0.25">
      <c r="A9460" s="5"/>
    </row>
    <row r="9461" spans="1:1" x14ac:dyDescent="0.25">
      <c r="A9461" s="5"/>
    </row>
    <row r="9462" spans="1:1" x14ac:dyDescent="0.25">
      <c r="A9462" s="5"/>
    </row>
    <row r="9463" spans="1:1" x14ac:dyDescent="0.25">
      <c r="A9463" s="5"/>
    </row>
    <row r="9464" spans="1:1" x14ac:dyDescent="0.25">
      <c r="A9464" s="5"/>
    </row>
    <row r="9465" spans="1:1" x14ac:dyDescent="0.25">
      <c r="A9465" s="5"/>
    </row>
    <row r="9466" spans="1:1" x14ac:dyDescent="0.25">
      <c r="A9466" s="5"/>
    </row>
    <row r="9467" spans="1:1" x14ac:dyDescent="0.25">
      <c r="A9467" s="5"/>
    </row>
    <row r="9468" spans="1:1" x14ac:dyDescent="0.25">
      <c r="A9468" s="5"/>
    </row>
    <row r="9469" spans="1:1" x14ac:dyDescent="0.25">
      <c r="A9469" s="5"/>
    </row>
    <row r="9470" spans="1:1" x14ac:dyDescent="0.25">
      <c r="A9470" s="5"/>
    </row>
    <row r="9471" spans="1:1" x14ac:dyDescent="0.25">
      <c r="A9471" s="5"/>
    </row>
    <row r="9472" spans="1:1" x14ac:dyDescent="0.25">
      <c r="A9472" s="5"/>
    </row>
    <row r="9473" spans="1:1" x14ac:dyDescent="0.25">
      <c r="A9473" s="5"/>
    </row>
    <row r="9474" spans="1:1" x14ac:dyDescent="0.25">
      <c r="A9474" s="5"/>
    </row>
    <row r="9475" spans="1:1" x14ac:dyDescent="0.25">
      <c r="A9475" s="5"/>
    </row>
    <row r="9476" spans="1:1" x14ac:dyDescent="0.25">
      <c r="A9476" s="5"/>
    </row>
    <row r="9477" spans="1:1" x14ac:dyDescent="0.25">
      <c r="A9477" s="5"/>
    </row>
    <row r="9478" spans="1:1" x14ac:dyDescent="0.25">
      <c r="A9478" s="5"/>
    </row>
    <row r="9479" spans="1:1" x14ac:dyDescent="0.25">
      <c r="A9479" s="5"/>
    </row>
    <row r="9480" spans="1:1" x14ac:dyDescent="0.25">
      <c r="A9480" s="5"/>
    </row>
    <row r="9481" spans="1:1" x14ac:dyDescent="0.25">
      <c r="A9481" s="5"/>
    </row>
    <row r="9482" spans="1:1" x14ac:dyDescent="0.25">
      <c r="A9482" s="5"/>
    </row>
    <row r="9483" spans="1:1" x14ac:dyDescent="0.25">
      <c r="A9483" s="5"/>
    </row>
    <row r="9484" spans="1:1" x14ac:dyDescent="0.25">
      <c r="A9484" s="5"/>
    </row>
    <row r="9485" spans="1:1" x14ac:dyDescent="0.25">
      <c r="A9485" s="5"/>
    </row>
    <row r="9486" spans="1:1" x14ac:dyDescent="0.25">
      <c r="A9486" s="5"/>
    </row>
    <row r="9487" spans="1:1" x14ac:dyDescent="0.25">
      <c r="A9487" s="5"/>
    </row>
    <row r="9488" spans="1:1" x14ac:dyDescent="0.25">
      <c r="A9488" s="5"/>
    </row>
    <row r="9489" spans="1:1" x14ac:dyDescent="0.25">
      <c r="A9489" s="5"/>
    </row>
    <row r="9490" spans="1:1" x14ac:dyDescent="0.25">
      <c r="A9490" s="5"/>
    </row>
    <row r="9491" spans="1:1" x14ac:dyDescent="0.25">
      <c r="A9491" s="5"/>
    </row>
    <row r="9492" spans="1:1" x14ac:dyDescent="0.25">
      <c r="A9492" s="5"/>
    </row>
    <row r="9493" spans="1:1" x14ac:dyDescent="0.25">
      <c r="A9493" s="5"/>
    </row>
    <row r="9494" spans="1:1" x14ac:dyDescent="0.25">
      <c r="A9494" s="5"/>
    </row>
    <row r="9495" spans="1:1" x14ac:dyDescent="0.25">
      <c r="A9495" s="5"/>
    </row>
    <row r="9496" spans="1:1" x14ac:dyDescent="0.25">
      <c r="A9496" s="5"/>
    </row>
    <row r="9497" spans="1:1" x14ac:dyDescent="0.25">
      <c r="A9497" s="5"/>
    </row>
    <row r="9498" spans="1:1" x14ac:dyDescent="0.25">
      <c r="A9498" s="5"/>
    </row>
    <row r="9499" spans="1:1" x14ac:dyDescent="0.25">
      <c r="A9499" s="5"/>
    </row>
    <row r="9500" spans="1:1" x14ac:dyDescent="0.25">
      <c r="A9500" s="5"/>
    </row>
    <row r="9501" spans="1:1" x14ac:dyDescent="0.25">
      <c r="A9501" s="5"/>
    </row>
    <row r="9502" spans="1:1" x14ac:dyDescent="0.25">
      <c r="A9502" s="5"/>
    </row>
    <row r="9503" spans="1:1" x14ac:dyDescent="0.25">
      <c r="A9503" s="5"/>
    </row>
    <row r="9504" spans="1:1" x14ac:dyDescent="0.25">
      <c r="A9504" s="5"/>
    </row>
    <row r="9505" spans="1:1" x14ac:dyDescent="0.25">
      <c r="A9505" s="5"/>
    </row>
    <row r="9506" spans="1:1" x14ac:dyDescent="0.25">
      <c r="A9506" s="5"/>
    </row>
    <row r="9507" spans="1:1" x14ac:dyDescent="0.25">
      <c r="A9507" s="5"/>
    </row>
    <row r="9508" spans="1:1" x14ac:dyDescent="0.25">
      <c r="A9508" s="5"/>
    </row>
    <row r="9509" spans="1:1" x14ac:dyDescent="0.25">
      <c r="A9509" s="5"/>
    </row>
    <row r="9510" spans="1:1" x14ac:dyDescent="0.25">
      <c r="A9510" s="5"/>
    </row>
    <row r="9511" spans="1:1" x14ac:dyDescent="0.25">
      <c r="A9511" s="5"/>
    </row>
    <row r="9512" spans="1:1" x14ac:dyDescent="0.25">
      <c r="A9512" s="5"/>
    </row>
    <row r="9513" spans="1:1" x14ac:dyDescent="0.25">
      <c r="A9513" s="5"/>
    </row>
    <row r="9514" spans="1:1" x14ac:dyDescent="0.25">
      <c r="A9514" s="5"/>
    </row>
    <row r="9515" spans="1:1" x14ac:dyDescent="0.25">
      <c r="A9515" s="5"/>
    </row>
    <row r="9516" spans="1:1" x14ac:dyDescent="0.25">
      <c r="A9516" s="5"/>
    </row>
    <row r="9517" spans="1:1" x14ac:dyDescent="0.25">
      <c r="A9517" s="5"/>
    </row>
    <row r="9518" spans="1:1" x14ac:dyDescent="0.25">
      <c r="A9518" s="5"/>
    </row>
    <row r="9519" spans="1:1" x14ac:dyDescent="0.25">
      <c r="A9519" s="5"/>
    </row>
    <row r="9520" spans="1:1" x14ac:dyDescent="0.25">
      <c r="A9520" s="5"/>
    </row>
    <row r="9521" spans="1:1" x14ac:dyDescent="0.25">
      <c r="A9521" s="5"/>
    </row>
    <row r="9522" spans="1:1" x14ac:dyDescent="0.25">
      <c r="A9522" s="5"/>
    </row>
    <row r="9523" spans="1:1" x14ac:dyDescent="0.25">
      <c r="A9523" s="5"/>
    </row>
    <row r="9524" spans="1:1" x14ac:dyDescent="0.25">
      <c r="A9524" s="5"/>
    </row>
    <row r="9525" spans="1:1" x14ac:dyDescent="0.25">
      <c r="A9525" s="5"/>
    </row>
    <row r="9526" spans="1:1" x14ac:dyDescent="0.25">
      <c r="A9526" s="5"/>
    </row>
    <row r="9527" spans="1:1" x14ac:dyDescent="0.25">
      <c r="A9527" s="5"/>
    </row>
    <row r="9528" spans="1:1" x14ac:dyDescent="0.25">
      <c r="A9528" s="5"/>
    </row>
    <row r="9529" spans="1:1" x14ac:dyDescent="0.25">
      <c r="A9529" s="5"/>
    </row>
    <row r="9530" spans="1:1" x14ac:dyDescent="0.25">
      <c r="A9530" s="5"/>
    </row>
    <row r="9531" spans="1:1" x14ac:dyDescent="0.25">
      <c r="A9531" s="5"/>
    </row>
    <row r="9532" spans="1:1" x14ac:dyDescent="0.25">
      <c r="A9532" s="5"/>
    </row>
    <row r="9533" spans="1:1" x14ac:dyDescent="0.25">
      <c r="A9533" s="5"/>
    </row>
    <row r="9534" spans="1:1" x14ac:dyDescent="0.25">
      <c r="A9534" s="5"/>
    </row>
    <row r="9535" spans="1:1" x14ac:dyDescent="0.25">
      <c r="A9535" s="5"/>
    </row>
    <row r="9536" spans="1:1" x14ac:dyDescent="0.25">
      <c r="A9536" s="5"/>
    </row>
    <row r="9537" spans="1:1" x14ac:dyDescent="0.25">
      <c r="A9537" s="5"/>
    </row>
    <row r="9538" spans="1:1" x14ac:dyDescent="0.25">
      <c r="A9538" s="5"/>
    </row>
    <row r="9539" spans="1:1" x14ac:dyDescent="0.25">
      <c r="A9539" s="5"/>
    </row>
    <row r="9540" spans="1:1" x14ac:dyDescent="0.25">
      <c r="A9540" s="5"/>
    </row>
    <row r="9541" spans="1:1" x14ac:dyDescent="0.25">
      <c r="A9541" s="5"/>
    </row>
    <row r="9542" spans="1:1" x14ac:dyDescent="0.25">
      <c r="A9542" s="5"/>
    </row>
    <row r="9543" spans="1:1" x14ac:dyDescent="0.25">
      <c r="A9543" s="5"/>
    </row>
    <row r="9544" spans="1:1" x14ac:dyDescent="0.25">
      <c r="A9544" s="5"/>
    </row>
    <row r="9545" spans="1:1" x14ac:dyDescent="0.25">
      <c r="A9545" s="5"/>
    </row>
    <row r="9546" spans="1:1" x14ac:dyDescent="0.25">
      <c r="A9546" s="5"/>
    </row>
    <row r="9547" spans="1:1" x14ac:dyDescent="0.25">
      <c r="A9547" s="5"/>
    </row>
    <row r="9548" spans="1:1" x14ac:dyDescent="0.25">
      <c r="A9548" s="5"/>
    </row>
    <row r="9549" spans="1:1" x14ac:dyDescent="0.25">
      <c r="A9549" s="5"/>
    </row>
    <row r="9550" spans="1:1" x14ac:dyDescent="0.25">
      <c r="A9550" s="5"/>
    </row>
    <row r="9551" spans="1:1" x14ac:dyDescent="0.25">
      <c r="A9551" s="5"/>
    </row>
    <row r="9552" spans="1:1" x14ac:dyDescent="0.25">
      <c r="A9552" s="5"/>
    </row>
    <row r="9553" spans="1:1" x14ac:dyDescent="0.25">
      <c r="A9553" s="5"/>
    </row>
    <row r="9554" spans="1:1" x14ac:dyDescent="0.25">
      <c r="A9554" s="5"/>
    </row>
    <row r="9555" spans="1:1" x14ac:dyDescent="0.25">
      <c r="A9555" s="5"/>
    </row>
    <row r="9556" spans="1:1" x14ac:dyDescent="0.25">
      <c r="A9556" s="5"/>
    </row>
    <row r="9557" spans="1:1" x14ac:dyDescent="0.25">
      <c r="A9557" s="5"/>
    </row>
    <row r="9558" spans="1:1" x14ac:dyDescent="0.25">
      <c r="A9558" s="5"/>
    </row>
    <row r="9559" spans="1:1" x14ac:dyDescent="0.25">
      <c r="A9559" s="5"/>
    </row>
    <row r="9560" spans="1:1" x14ac:dyDescent="0.25">
      <c r="A9560" s="5"/>
    </row>
    <row r="9561" spans="1:1" x14ac:dyDescent="0.25">
      <c r="A9561" s="5"/>
    </row>
    <row r="9562" spans="1:1" x14ac:dyDescent="0.25">
      <c r="A9562" s="5"/>
    </row>
    <row r="9563" spans="1:1" x14ac:dyDescent="0.25">
      <c r="A9563" s="5"/>
    </row>
    <row r="9564" spans="1:1" x14ac:dyDescent="0.25">
      <c r="A9564" s="5"/>
    </row>
    <row r="9565" spans="1:1" x14ac:dyDescent="0.25">
      <c r="A9565" s="5"/>
    </row>
    <row r="9566" spans="1:1" x14ac:dyDescent="0.25">
      <c r="A9566" s="5"/>
    </row>
    <row r="9567" spans="1:1" x14ac:dyDescent="0.25">
      <c r="A9567" s="5"/>
    </row>
    <row r="9568" spans="1:1" x14ac:dyDescent="0.25">
      <c r="A9568" s="5"/>
    </row>
    <row r="9569" spans="1:1" x14ac:dyDescent="0.25">
      <c r="A9569" s="5"/>
    </row>
    <row r="9570" spans="1:1" x14ac:dyDescent="0.25">
      <c r="A9570" s="5"/>
    </row>
    <row r="9571" spans="1:1" x14ac:dyDescent="0.25">
      <c r="A9571" s="5"/>
    </row>
    <row r="9572" spans="1:1" x14ac:dyDescent="0.25">
      <c r="A9572" s="5"/>
    </row>
    <row r="9573" spans="1:1" x14ac:dyDescent="0.25">
      <c r="A9573" s="5"/>
    </row>
    <row r="9574" spans="1:1" x14ac:dyDescent="0.25">
      <c r="A9574" s="5"/>
    </row>
    <row r="9575" spans="1:1" x14ac:dyDescent="0.25">
      <c r="A9575" s="5"/>
    </row>
    <row r="9576" spans="1:1" x14ac:dyDescent="0.25">
      <c r="A9576" s="5"/>
    </row>
    <row r="9577" spans="1:1" x14ac:dyDescent="0.25">
      <c r="A9577" s="5"/>
    </row>
    <row r="9578" spans="1:1" x14ac:dyDescent="0.25">
      <c r="A9578" s="5"/>
    </row>
    <row r="9579" spans="1:1" x14ac:dyDescent="0.25">
      <c r="A9579" s="5"/>
    </row>
    <row r="9580" spans="1:1" x14ac:dyDescent="0.25">
      <c r="A9580" s="5"/>
    </row>
    <row r="9581" spans="1:1" x14ac:dyDescent="0.25">
      <c r="A9581" s="5"/>
    </row>
    <row r="9582" spans="1:1" x14ac:dyDescent="0.25">
      <c r="A9582" s="5"/>
    </row>
    <row r="9583" spans="1:1" x14ac:dyDescent="0.25">
      <c r="A9583" s="5"/>
    </row>
    <row r="9584" spans="1:1" x14ac:dyDescent="0.25">
      <c r="A9584" s="5"/>
    </row>
    <row r="9585" spans="1:1" x14ac:dyDescent="0.25">
      <c r="A9585" s="5"/>
    </row>
    <row r="9586" spans="1:1" x14ac:dyDescent="0.25">
      <c r="A9586" s="5"/>
    </row>
    <row r="9587" spans="1:1" x14ac:dyDescent="0.25">
      <c r="A9587" s="5"/>
    </row>
    <row r="9588" spans="1:1" x14ac:dyDescent="0.25">
      <c r="A9588" s="5"/>
    </row>
    <row r="9589" spans="1:1" x14ac:dyDescent="0.25">
      <c r="A9589" s="5"/>
    </row>
    <row r="9590" spans="1:1" x14ac:dyDescent="0.25">
      <c r="A9590" s="5"/>
    </row>
    <row r="9591" spans="1:1" x14ac:dyDescent="0.25">
      <c r="A9591" s="5"/>
    </row>
    <row r="9592" spans="1:1" x14ac:dyDescent="0.25">
      <c r="A9592" s="5"/>
    </row>
    <row r="9593" spans="1:1" x14ac:dyDescent="0.25">
      <c r="A9593" s="5"/>
    </row>
    <row r="9594" spans="1:1" x14ac:dyDescent="0.25">
      <c r="A9594" s="5"/>
    </row>
    <row r="9595" spans="1:1" x14ac:dyDescent="0.25">
      <c r="A9595" s="5"/>
    </row>
    <row r="9596" spans="1:1" x14ac:dyDescent="0.25">
      <c r="A9596" s="5"/>
    </row>
    <row r="9597" spans="1:1" x14ac:dyDescent="0.25">
      <c r="A9597" s="5"/>
    </row>
    <row r="9598" spans="1:1" x14ac:dyDescent="0.25">
      <c r="A9598" s="5"/>
    </row>
    <row r="9599" spans="1:1" x14ac:dyDescent="0.25">
      <c r="A9599" s="5"/>
    </row>
    <row r="9600" spans="1:1" x14ac:dyDescent="0.25">
      <c r="A9600" s="5"/>
    </row>
    <row r="9601" spans="1:1" x14ac:dyDescent="0.25">
      <c r="A9601" s="5"/>
    </row>
    <row r="9602" spans="1:1" x14ac:dyDescent="0.25">
      <c r="A9602" s="5"/>
    </row>
    <row r="9603" spans="1:1" x14ac:dyDescent="0.25">
      <c r="A9603" s="5"/>
    </row>
    <row r="9604" spans="1:1" x14ac:dyDescent="0.25">
      <c r="A9604" s="5"/>
    </row>
    <row r="9605" spans="1:1" x14ac:dyDescent="0.25">
      <c r="A9605" s="5"/>
    </row>
    <row r="9606" spans="1:1" x14ac:dyDescent="0.25">
      <c r="A9606" s="5"/>
    </row>
    <row r="9607" spans="1:1" x14ac:dyDescent="0.25">
      <c r="A9607" s="5"/>
    </row>
    <row r="9608" spans="1:1" x14ac:dyDescent="0.25">
      <c r="A9608" s="5"/>
    </row>
    <row r="9609" spans="1:1" x14ac:dyDescent="0.25">
      <c r="A9609" s="5"/>
    </row>
    <row r="9610" spans="1:1" x14ac:dyDescent="0.25">
      <c r="A9610" s="5"/>
    </row>
    <row r="9611" spans="1:1" x14ac:dyDescent="0.25">
      <c r="A9611" s="5"/>
    </row>
    <row r="9612" spans="1:1" x14ac:dyDescent="0.25">
      <c r="A9612" s="5"/>
    </row>
    <row r="9613" spans="1:1" x14ac:dyDescent="0.25">
      <c r="A9613" s="5"/>
    </row>
    <row r="9614" spans="1:1" x14ac:dyDescent="0.25">
      <c r="A9614" s="5"/>
    </row>
    <row r="9615" spans="1:1" x14ac:dyDescent="0.25">
      <c r="A9615" s="5"/>
    </row>
    <row r="9616" spans="1:1" x14ac:dyDescent="0.25">
      <c r="A9616" s="5"/>
    </row>
    <row r="9617" spans="1:1" x14ac:dyDescent="0.25">
      <c r="A9617" s="5"/>
    </row>
    <row r="9618" spans="1:1" x14ac:dyDescent="0.25">
      <c r="A9618" s="5"/>
    </row>
    <row r="9619" spans="1:1" x14ac:dyDescent="0.25">
      <c r="A9619" s="5"/>
    </row>
    <row r="9620" spans="1:1" x14ac:dyDescent="0.25">
      <c r="A9620" s="5"/>
    </row>
    <row r="9621" spans="1:1" x14ac:dyDescent="0.25">
      <c r="A9621" s="5"/>
    </row>
    <row r="9622" spans="1:1" x14ac:dyDescent="0.25">
      <c r="A9622" s="5"/>
    </row>
    <row r="9623" spans="1:1" x14ac:dyDescent="0.25">
      <c r="A9623" s="5"/>
    </row>
    <row r="9624" spans="1:1" x14ac:dyDescent="0.25">
      <c r="A9624" s="5"/>
    </row>
    <row r="9625" spans="1:1" x14ac:dyDescent="0.25">
      <c r="A9625" s="5"/>
    </row>
    <row r="9626" spans="1:1" x14ac:dyDescent="0.25">
      <c r="A9626" s="5"/>
    </row>
    <row r="9627" spans="1:1" x14ac:dyDescent="0.25">
      <c r="A9627" s="5"/>
    </row>
    <row r="9628" spans="1:1" x14ac:dyDescent="0.25">
      <c r="A9628" s="5"/>
    </row>
    <row r="9629" spans="1:1" x14ac:dyDescent="0.25">
      <c r="A9629" s="5"/>
    </row>
    <row r="9630" spans="1:1" x14ac:dyDescent="0.25">
      <c r="A9630" s="5"/>
    </row>
    <row r="9631" spans="1:1" x14ac:dyDescent="0.25">
      <c r="A9631" s="5"/>
    </row>
    <row r="9632" spans="1:1" x14ac:dyDescent="0.25">
      <c r="A9632" s="5"/>
    </row>
    <row r="9633" spans="1:1" x14ac:dyDescent="0.25">
      <c r="A9633" s="5"/>
    </row>
    <row r="9634" spans="1:1" x14ac:dyDescent="0.25">
      <c r="A9634" s="5"/>
    </row>
    <row r="9635" spans="1:1" x14ac:dyDescent="0.25">
      <c r="A9635" s="5"/>
    </row>
    <row r="9636" spans="1:1" x14ac:dyDescent="0.25">
      <c r="A9636" s="5"/>
    </row>
    <row r="9637" spans="1:1" x14ac:dyDescent="0.25">
      <c r="A9637" s="5"/>
    </row>
    <row r="9638" spans="1:1" x14ac:dyDescent="0.25">
      <c r="A9638" s="5"/>
    </row>
    <row r="9639" spans="1:1" x14ac:dyDescent="0.25">
      <c r="A9639" s="5"/>
    </row>
    <row r="9640" spans="1:1" x14ac:dyDescent="0.25">
      <c r="A9640" s="5"/>
    </row>
    <row r="9641" spans="1:1" x14ac:dyDescent="0.25">
      <c r="A9641" s="5"/>
    </row>
    <row r="9642" spans="1:1" x14ac:dyDescent="0.25">
      <c r="A9642" s="5"/>
    </row>
    <row r="9643" spans="1:1" x14ac:dyDescent="0.25">
      <c r="A9643" s="5"/>
    </row>
    <row r="9644" spans="1:1" x14ac:dyDescent="0.25">
      <c r="A9644" s="5"/>
    </row>
    <row r="9645" spans="1:1" x14ac:dyDescent="0.25">
      <c r="A9645" s="5"/>
    </row>
    <row r="9646" spans="1:1" x14ac:dyDescent="0.25">
      <c r="A9646" s="5"/>
    </row>
    <row r="9647" spans="1:1" x14ac:dyDescent="0.25">
      <c r="A9647" s="5"/>
    </row>
    <row r="9648" spans="1:1" x14ac:dyDescent="0.25">
      <c r="A9648" s="5"/>
    </row>
    <row r="9649" spans="1:1" x14ac:dyDescent="0.25">
      <c r="A9649" s="5"/>
    </row>
    <row r="9650" spans="1:1" x14ac:dyDescent="0.25">
      <c r="A9650" s="5"/>
    </row>
    <row r="9651" spans="1:1" x14ac:dyDescent="0.25">
      <c r="A9651" s="5"/>
    </row>
    <row r="9652" spans="1:1" x14ac:dyDescent="0.25">
      <c r="A9652" s="5"/>
    </row>
    <row r="9653" spans="1:1" x14ac:dyDescent="0.25">
      <c r="A9653" s="5"/>
    </row>
    <row r="9654" spans="1:1" x14ac:dyDescent="0.25">
      <c r="A9654" s="5"/>
    </row>
    <row r="9655" spans="1:1" x14ac:dyDescent="0.25">
      <c r="A9655" s="5"/>
    </row>
    <row r="9656" spans="1:1" x14ac:dyDescent="0.25">
      <c r="A9656" s="5"/>
    </row>
    <row r="9657" spans="1:1" x14ac:dyDescent="0.25">
      <c r="A9657" s="5"/>
    </row>
    <row r="9658" spans="1:1" x14ac:dyDescent="0.25">
      <c r="A9658" s="5"/>
    </row>
    <row r="9659" spans="1:1" x14ac:dyDescent="0.25">
      <c r="A9659" s="5"/>
    </row>
    <row r="9660" spans="1:1" x14ac:dyDescent="0.25">
      <c r="A9660" s="5"/>
    </row>
    <row r="9661" spans="1:1" x14ac:dyDescent="0.25">
      <c r="A9661" s="5"/>
    </row>
    <row r="9662" spans="1:1" x14ac:dyDescent="0.25">
      <c r="A9662" s="5"/>
    </row>
    <row r="9663" spans="1:1" x14ac:dyDescent="0.25">
      <c r="A9663" s="5"/>
    </row>
    <row r="9664" spans="1:1" x14ac:dyDescent="0.25">
      <c r="A9664" s="5"/>
    </row>
    <row r="9665" spans="1:1" x14ac:dyDescent="0.25">
      <c r="A9665" s="5"/>
    </row>
    <row r="9666" spans="1:1" x14ac:dyDescent="0.25">
      <c r="A9666" s="5"/>
    </row>
    <row r="9667" spans="1:1" x14ac:dyDescent="0.25">
      <c r="A9667" s="5"/>
    </row>
    <row r="9668" spans="1:1" x14ac:dyDescent="0.25">
      <c r="A9668" s="5"/>
    </row>
    <row r="9669" spans="1:1" x14ac:dyDescent="0.25">
      <c r="A9669" s="5"/>
    </row>
    <row r="9670" spans="1:1" x14ac:dyDescent="0.25">
      <c r="A9670" s="5"/>
    </row>
    <row r="9671" spans="1:1" x14ac:dyDescent="0.25">
      <c r="A9671" s="5"/>
    </row>
    <row r="9672" spans="1:1" x14ac:dyDescent="0.25">
      <c r="A9672" s="5"/>
    </row>
    <row r="9673" spans="1:1" x14ac:dyDescent="0.25">
      <c r="A9673" s="5"/>
    </row>
    <row r="9674" spans="1:1" x14ac:dyDescent="0.25">
      <c r="A9674" s="5"/>
    </row>
    <row r="9675" spans="1:1" x14ac:dyDescent="0.25">
      <c r="A9675" s="5"/>
    </row>
    <row r="9676" spans="1:1" x14ac:dyDescent="0.25">
      <c r="A9676" s="5"/>
    </row>
    <row r="9677" spans="1:1" x14ac:dyDescent="0.25">
      <c r="A9677" s="5"/>
    </row>
    <row r="9678" spans="1:1" x14ac:dyDescent="0.25">
      <c r="A9678" s="5"/>
    </row>
    <row r="9679" spans="1:1" x14ac:dyDescent="0.25">
      <c r="A9679" s="5"/>
    </row>
    <row r="9680" spans="1:1" x14ac:dyDescent="0.25">
      <c r="A9680" s="5"/>
    </row>
    <row r="9681" spans="1:1" x14ac:dyDescent="0.25">
      <c r="A9681" s="5"/>
    </row>
    <row r="9682" spans="1:1" x14ac:dyDescent="0.25">
      <c r="A9682" s="5"/>
    </row>
    <row r="9683" spans="1:1" x14ac:dyDescent="0.25">
      <c r="A9683" s="5"/>
    </row>
    <row r="9684" spans="1:1" x14ac:dyDescent="0.25">
      <c r="A9684" s="5"/>
    </row>
    <row r="9685" spans="1:1" x14ac:dyDescent="0.25">
      <c r="A9685" s="5"/>
    </row>
    <row r="9686" spans="1:1" x14ac:dyDescent="0.25">
      <c r="A9686" s="5"/>
    </row>
    <row r="9687" spans="1:1" x14ac:dyDescent="0.25">
      <c r="A9687" s="5"/>
    </row>
    <row r="9688" spans="1:1" x14ac:dyDescent="0.25">
      <c r="A9688" s="5"/>
    </row>
    <row r="9689" spans="1:1" x14ac:dyDescent="0.25">
      <c r="A9689" s="5"/>
    </row>
    <row r="9690" spans="1:1" x14ac:dyDescent="0.25">
      <c r="A9690" s="5"/>
    </row>
    <row r="9691" spans="1:1" x14ac:dyDescent="0.25">
      <c r="A9691" s="5"/>
    </row>
    <row r="9692" spans="1:1" x14ac:dyDescent="0.25">
      <c r="A9692" s="5"/>
    </row>
    <row r="9693" spans="1:1" x14ac:dyDescent="0.25">
      <c r="A9693" s="5"/>
    </row>
    <row r="9694" spans="1:1" x14ac:dyDescent="0.25">
      <c r="A9694" s="5"/>
    </row>
    <row r="9695" spans="1:1" x14ac:dyDescent="0.25">
      <c r="A9695" s="5"/>
    </row>
    <row r="9696" spans="1:1" x14ac:dyDescent="0.25">
      <c r="A9696" s="5"/>
    </row>
    <row r="9697" spans="1:1" x14ac:dyDescent="0.25">
      <c r="A9697" s="5"/>
    </row>
    <row r="9698" spans="1:1" x14ac:dyDescent="0.25">
      <c r="A9698" s="5"/>
    </row>
    <row r="9699" spans="1:1" x14ac:dyDescent="0.25">
      <c r="A9699" s="5"/>
    </row>
    <row r="9700" spans="1:1" x14ac:dyDescent="0.25">
      <c r="A9700" s="5"/>
    </row>
    <row r="9701" spans="1:1" x14ac:dyDescent="0.25">
      <c r="A9701" s="5"/>
    </row>
    <row r="9702" spans="1:1" x14ac:dyDescent="0.25">
      <c r="A9702" s="5"/>
    </row>
    <row r="9703" spans="1:1" x14ac:dyDescent="0.25">
      <c r="A9703" s="5"/>
    </row>
    <row r="9704" spans="1:1" x14ac:dyDescent="0.25">
      <c r="A9704" s="5"/>
    </row>
    <row r="9705" spans="1:1" x14ac:dyDescent="0.25">
      <c r="A9705" s="5"/>
    </row>
    <row r="9706" spans="1:1" x14ac:dyDescent="0.25">
      <c r="A9706" s="5"/>
    </row>
    <row r="9707" spans="1:1" x14ac:dyDescent="0.25">
      <c r="A9707" s="5"/>
    </row>
    <row r="9708" spans="1:1" x14ac:dyDescent="0.25">
      <c r="A9708" s="5"/>
    </row>
    <row r="9709" spans="1:1" x14ac:dyDescent="0.25">
      <c r="A9709" s="5"/>
    </row>
    <row r="9710" spans="1:1" x14ac:dyDescent="0.25">
      <c r="A9710" s="5"/>
    </row>
    <row r="9711" spans="1:1" x14ac:dyDescent="0.25">
      <c r="A9711" s="5"/>
    </row>
    <row r="9712" spans="1:1" x14ac:dyDescent="0.25">
      <c r="A9712" s="5"/>
    </row>
    <row r="9713" spans="1:1" x14ac:dyDescent="0.25">
      <c r="A9713" s="5"/>
    </row>
    <row r="9714" spans="1:1" x14ac:dyDescent="0.25">
      <c r="A9714" s="5"/>
    </row>
    <row r="9715" spans="1:1" x14ac:dyDescent="0.25">
      <c r="A9715" s="5"/>
    </row>
    <row r="9716" spans="1:1" x14ac:dyDescent="0.25">
      <c r="A9716" s="5"/>
    </row>
    <row r="9717" spans="1:1" x14ac:dyDescent="0.25">
      <c r="A9717" s="5"/>
    </row>
    <row r="9718" spans="1:1" x14ac:dyDescent="0.25">
      <c r="A9718" s="5"/>
    </row>
    <row r="9719" spans="1:1" x14ac:dyDescent="0.25">
      <c r="A9719" s="5"/>
    </row>
    <row r="9720" spans="1:1" x14ac:dyDescent="0.25">
      <c r="A9720" s="5"/>
    </row>
    <row r="9721" spans="1:1" x14ac:dyDescent="0.25">
      <c r="A9721" s="5"/>
    </row>
    <row r="9722" spans="1:1" x14ac:dyDescent="0.25">
      <c r="A9722" s="5"/>
    </row>
    <row r="9723" spans="1:1" x14ac:dyDescent="0.25">
      <c r="A9723" s="5"/>
    </row>
    <row r="9724" spans="1:1" x14ac:dyDescent="0.25">
      <c r="A9724" s="5"/>
    </row>
    <row r="9725" spans="1:1" x14ac:dyDescent="0.25">
      <c r="A9725" s="5"/>
    </row>
    <row r="9726" spans="1:1" x14ac:dyDescent="0.25">
      <c r="A9726" s="5"/>
    </row>
    <row r="9727" spans="1:1" x14ac:dyDescent="0.25">
      <c r="A9727" s="5"/>
    </row>
    <row r="9728" spans="1:1" x14ac:dyDescent="0.25">
      <c r="A9728" s="5"/>
    </row>
    <row r="9729" spans="1:1" x14ac:dyDescent="0.25">
      <c r="A9729" s="5"/>
    </row>
    <row r="9730" spans="1:1" x14ac:dyDescent="0.25">
      <c r="A9730" s="5"/>
    </row>
    <row r="9731" spans="1:1" x14ac:dyDescent="0.25">
      <c r="A9731" s="5"/>
    </row>
    <row r="9732" spans="1:1" x14ac:dyDescent="0.25">
      <c r="A9732" s="5"/>
    </row>
    <row r="9733" spans="1:1" x14ac:dyDescent="0.25">
      <c r="A9733" s="5"/>
    </row>
    <row r="9734" spans="1:1" x14ac:dyDescent="0.25">
      <c r="A9734" s="5"/>
    </row>
    <row r="9735" spans="1:1" x14ac:dyDescent="0.25">
      <c r="A9735" s="5"/>
    </row>
    <row r="9736" spans="1:1" x14ac:dyDescent="0.25">
      <c r="A9736" s="5"/>
    </row>
    <row r="9737" spans="1:1" x14ac:dyDescent="0.25">
      <c r="A9737" s="5"/>
    </row>
    <row r="9738" spans="1:1" x14ac:dyDescent="0.25">
      <c r="A9738" s="5"/>
    </row>
    <row r="9739" spans="1:1" x14ac:dyDescent="0.25">
      <c r="A9739" s="5"/>
    </row>
    <row r="9740" spans="1:1" x14ac:dyDescent="0.25">
      <c r="A9740" s="5"/>
    </row>
    <row r="9741" spans="1:1" x14ac:dyDescent="0.25">
      <c r="A9741" s="5"/>
    </row>
    <row r="9742" spans="1:1" x14ac:dyDescent="0.25">
      <c r="A9742" s="5"/>
    </row>
    <row r="9743" spans="1:1" x14ac:dyDescent="0.25">
      <c r="A9743" s="5"/>
    </row>
    <row r="9744" spans="1:1" x14ac:dyDescent="0.25">
      <c r="A9744" s="5"/>
    </row>
    <row r="9745" spans="1:1" x14ac:dyDescent="0.25">
      <c r="A9745" s="5"/>
    </row>
    <row r="9746" spans="1:1" x14ac:dyDescent="0.25">
      <c r="A9746" s="5"/>
    </row>
    <row r="9747" spans="1:1" x14ac:dyDescent="0.25">
      <c r="A9747" s="5"/>
    </row>
    <row r="9748" spans="1:1" x14ac:dyDescent="0.25">
      <c r="A9748" s="5"/>
    </row>
    <row r="9749" spans="1:1" x14ac:dyDescent="0.25">
      <c r="A9749" s="5"/>
    </row>
    <row r="9750" spans="1:1" x14ac:dyDescent="0.25">
      <c r="A9750" s="5"/>
    </row>
    <row r="9751" spans="1:1" x14ac:dyDescent="0.25">
      <c r="A9751" s="5"/>
    </row>
    <row r="9752" spans="1:1" x14ac:dyDescent="0.25">
      <c r="A9752" s="5"/>
    </row>
    <row r="9753" spans="1:1" x14ac:dyDescent="0.25">
      <c r="A9753" s="5"/>
    </row>
    <row r="9754" spans="1:1" x14ac:dyDescent="0.25">
      <c r="A9754" s="5"/>
    </row>
    <row r="9755" spans="1:1" x14ac:dyDescent="0.25">
      <c r="A9755" s="5"/>
    </row>
    <row r="9756" spans="1:1" x14ac:dyDescent="0.25">
      <c r="A9756" s="5"/>
    </row>
    <row r="9757" spans="1:1" x14ac:dyDescent="0.25">
      <c r="A9757" s="5"/>
    </row>
    <row r="9758" spans="1:1" x14ac:dyDescent="0.25">
      <c r="A9758" s="5"/>
    </row>
    <row r="9759" spans="1:1" x14ac:dyDescent="0.25">
      <c r="A9759" s="5"/>
    </row>
    <row r="9760" spans="1:1" x14ac:dyDescent="0.25">
      <c r="A9760" s="5"/>
    </row>
    <row r="9761" spans="1:1" x14ac:dyDescent="0.25">
      <c r="A9761" s="5"/>
    </row>
    <row r="9762" spans="1:1" x14ac:dyDescent="0.25">
      <c r="A9762" s="5"/>
    </row>
    <row r="9763" spans="1:1" x14ac:dyDescent="0.25">
      <c r="A9763" s="5"/>
    </row>
    <row r="9764" spans="1:1" x14ac:dyDescent="0.25">
      <c r="A9764" s="5"/>
    </row>
    <row r="9765" spans="1:1" x14ac:dyDescent="0.25">
      <c r="A9765" s="5"/>
    </row>
    <row r="9766" spans="1:1" x14ac:dyDescent="0.25">
      <c r="A9766" s="5"/>
    </row>
    <row r="9767" spans="1:1" x14ac:dyDescent="0.25">
      <c r="A9767" s="5"/>
    </row>
    <row r="9768" spans="1:1" x14ac:dyDescent="0.25">
      <c r="A9768" s="5"/>
    </row>
    <row r="9769" spans="1:1" x14ac:dyDescent="0.25">
      <c r="A9769" s="5"/>
    </row>
    <row r="9770" spans="1:1" x14ac:dyDescent="0.25">
      <c r="A9770" s="5"/>
    </row>
    <row r="9771" spans="1:1" x14ac:dyDescent="0.25">
      <c r="A9771" s="5"/>
    </row>
    <row r="9772" spans="1:1" x14ac:dyDescent="0.25">
      <c r="A9772" s="5"/>
    </row>
    <row r="9773" spans="1:1" x14ac:dyDescent="0.25">
      <c r="A9773" s="5"/>
    </row>
    <row r="9774" spans="1:1" x14ac:dyDescent="0.25">
      <c r="A9774" s="5"/>
    </row>
    <row r="9775" spans="1:1" x14ac:dyDescent="0.25">
      <c r="A9775" s="5"/>
    </row>
    <row r="9776" spans="1:1" x14ac:dyDescent="0.25">
      <c r="A9776" s="5"/>
    </row>
    <row r="9777" spans="1:1" x14ac:dyDescent="0.25">
      <c r="A9777" s="5"/>
    </row>
    <row r="9778" spans="1:1" x14ac:dyDescent="0.25">
      <c r="A9778" s="5"/>
    </row>
    <row r="9779" spans="1:1" x14ac:dyDescent="0.25">
      <c r="A9779" s="5"/>
    </row>
    <row r="9780" spans="1:1" x14ac:dyDescent="0.25">
      <c r="A9780" s="5"/>
    </row>
    <row r="9781" spans="1:1" x14ac:dyDescent="0.25">
      <c r="A9781" s="5"/>
    </row>
    <row r="9782" spans="1:1" x14ac:dyDescent="0.25">
      <c r="A9782" s="5"/>
    </row>
    <row r="9783" spans="1:1" x14ac:dyDescent="0.25">
      <c r="A9783" s="5"/>
    </row>
    <row r="9784" spans="1:1" x14ac:dyDescent="0.25">
      <c r="A9784" s="5"/>
    </row>
    <row r="9785" spans="1:1" x14ac:dyDescent="0.25">
      <c r="A9785" s="5"/>
    </row>
    <row r="9786" spans="1:1" x14ac:dyDescent="0.25">
      <c r="A9786" s="5"/>
    </row>
    <row r="9787" spans="1:1" x14ac:dyDescent="0.25">
      <c r="A9787" s="5"/>
    </row>
    <row r="9788" spans="1:1" x14ac:dyDescent="0.25">
      <c r="A9788" s="5"/>
    </row>
    <row r="9789" spans="1:1" x14ac:dyDescent="0.25">
      <c r="A9789" s="5"/>
    </row>
    <row r="9790" spans="1:1" x14ac:dyDescent="0.25">
      <c r="A9790" s="5"/>
    </row>
    <row r="9791" spans="1:1" x14ac:dyDescent="0.25">
      <c r="A9791" s="5"/>
    </row>
    <row r="9792" spans="1:1" x14ac:dyDescent="0.25">
      <c r="A9792" s="5"/>
    </row>
    <row r="9793" spans="1:1" x14ac:dyDescent="0.25">
      <c r="A9793" s="5"/>
    </row>
    <row r="9794" spans="1:1" x14ac:dyDescent="0.25">
      <c r="A9794" s="5"/>
    </row>
    <row r="9795" spans="1:1" x14ac:dyDescent="0.25">
      <c r="A9795" s="5"/>
    </row>
    <row r="9796" spans="1:1" x14ac:dyDescent="0.25">
      <c r="A9796" s="5"/>
    </row>
    <row r="9797" spans="1:1" x14ac:dyDescent="0.25">
      <c r="A9797" s="5"/>
    </row>
    <row r="9798" spans="1:1" x14ac:dyDescent="0.25">
      <c r="A9798" s="5"/>
    </row>
    <row r="9799" spans="1:1" x14ac:dyDescent="0.25">
      <c r="A9799" s="5"/>
    </row>
    <row r="9800" spans="1:1" x14ac:dyDescent="0.25">
      <c r="A9800" s="5"/>
    </row>
    <row r="9801" spans="1:1" x14ac:dyDescent="0.25">
      <c r="A9801" s="5"/>
    </row>
    <row r="9802" spans="1:1" x14ac:dyDescent="0.25">
      <c r="A9802" s="5"/>
    </row>
    <row r="9803" spans="1:1" x14ac:dyDescent="0.25">
      <c r="A9803" s="5"/>
    </row>
    <row r="9804" spans="1:1" x14ac:dyDescent="0.25">
      <c r="A9804" s="5"/>
    </row>
    <row r="9805" spans="1:1" x14ac:dyDescent="0.25">
      <c r="A9805" s="5"/>
    </row>
    <row r="9806" spans="1:1" x14ac:dyDescent="0.25">
      <c r="A9806" s="5"/>
    </row>
    <row r="9807" spans="1:1" x14ac:dyDescent="0.25">
      <c r="A9807" s="5"/>
    </row>
    <row r="9808" spans="1:1" x14ac:dyDescent="0.25">
      <c r="A9808" s="5"/>
    </row>
    <row r="9809" spans="1:1" x14ac:dyDescent="0.25">
      <c r="A9809" s="5"/>
    </row>
    <row r="9810" spans="1:1" x14ac:dyDescent="0.25">
      <c r="A9810" s="5"/>
    </row>
    <row r="9811" spans="1:1" x14ac:dyDescent="0.25">
      <c r="A9811" s="5"/>
    </row>
    <row r="9812" spans="1:1" x14ac:dyDescent="0.25">
      <c r="A9812" s="5"/>
    </row>
    <row r="9813" spans="1:1" x14ac:dyDescent="0.25">
      <c r="A9813" s="5"/>
    </row>
    <row r="9814" spans="1:1" x14ac:dyDescent="0.25">
      <c r="A9814" s="5"/>
    </row>
    <row r="9815" spans="1:1" x14ac:dyDescent="0.25">
      <c r="A9815" s="5"/>
    </row>
    <row r="9816" spans="1:1" x14ac:dyDescent="0.25">
      <c r="A9816" s="5"/>
    </row>
    <row r="9817" spans="1:1" x14ac:dyDescent="0.25">
      <c r="A9817" s="5"/>
    </row>
    <row r="9818" spans="1:1" x14ac:dyDescent="0.25">
      <c r="A9818" s="5"/>
    </row>
    <row r="9819" spans="1:1" x14ac:dyDescent="0.25">
      <c r="A9819" s="5"/>
    </row>
    <row r="9820" spans="1:1" x14ac:dyDescent="0.25">
      <c r="A9820" s="5"/>
    </row>
    <row r="9821" spans="1:1" x14ac:dyDescent="0.25">
      <c r="A9821" s="5"/>
    </row>
    <row r="9822" spans="1:1" x14ac:dyDescent="0.25">
      <c r="A9822" s="5"/>
    </row>
    <row r="9823" spans="1:1" x14ac:dyDescent="0.25">
      <c r="A9823" s="5"/>
    </row>
    <row r="9824" spans="1:1" x14ac:dyDescent="0.25">
      <c r="A9824" s="5"/>
    </row>
    <row r="9825" spans="1:1" x14ac:dyDescent="0.25">
      <c r="A9825" s="5"/>
    </row>
    <row r="9826" spans="1:1" x14ac:dyDescent="0.25">
      <c r="A9826" s="5"/>
    </row>
    <row r="9827" spans="1:1" x14ac:dyDescent="0.25">
      <c r="A9827" s="5"/>
    </row>
    <row r="9828" spans="1:1" x14ac:dyDescent="0.25">
      <c r="A9828" s="5"/>
    </row>
    <row r="9829" spans="1:1" x14ac:dyDescent="0.25">
      <c r="A9829" s="5"/>
    </row>
    <row r="9830" spans="1:1" x14ac:dyDescent="0.25">
      <c r="A9830" s="5"/>
    </row>
    <row r="9831" spans="1:1" x14ac:dyDescent="0.25">
      <c r="A9831" s="5"/>
    </row>
    <row r="9832" spans="1:1" x14ac:dyDescent="0.25">
      <c r="A9832" s="5"/>
    </row>
    <row r="9833" spans="1:1" x14ac:dyDescent="0.25">
      <c r="A9833" s="5"/>
    </row>
    <row r="9834" spans="1:1" x14ac:dyDescent="0.25">
      <c r="A9834" s="5"/>
    </row>
    <row r="9835" spans="1:1" x14ac:dyDescent="0.25">
      <c r="A9835" s="5"/>
    </row>
    <row r="9836" spans="1:1" x14ac:dyDescent="0.25">
      <c r="A9836" s="5"/>
    </row>
    <row r="9837" spans="1:1" x14ac:dyDescent="0.25">
      <c r="A9837" s="5"/>
    </row>
    <row r="9838" spans="1:1" x14ac:dyDescent="0.25">
      <c r="A9838" s="5"/>
    </row>
    <row r="9839" spans="1:1" x14ac:dyDescent="0.25">
      <c r="A9839" s="5"/>
    </row>
    <row r="9840" spans="1:1" x14ac:dyDescent="0.25">
      <c r="A9840" s="5"/>
    </row>
    <row r="9841" spans="1:1" x14ac:dyDescent="0.25">
      <c r="A9841" s="5"/>
    </row>
    <row r="9842" spans="1:1" x14ac:dyDescent="0.25">
      <c r="A9842" s="5"/>
    </row>
    <row r="9843" spans="1:1" x14ac:dyDescent="0.25">
      <c r="A9843" s="5"/>
    </row>
    <row r="9844" spans="1:1" x14ac:dyDescent="0.25">
      <c r="A9844" s="5"/>
    </row>
    <row r="9845" spans="1:1" x14ac:dyDescent="0.25">
      <c r="A9845" s="5"/>
    </row>
    <row r="9846" spans="1:1" x14ac:dyDescent="0.25">
      <c r="A9846" s="5"/>
    </row>
    <row r="9847" spans="1:1" x14ac:dyDescent="0.25">
      <c r="A9847" s="5"/>
    </row>
    <row r="9848" spans="1:1" x14ac:dyDescent="0.25">
      <c r="A9848" s="5"/>
    </row>
    <row r="9849" spans="1:1" x14ac:dyDescent="0.25">
      <c r="A9849" s="5"/>
    </row>
    <row r="9850" spans="1:1" x14ac:dyDescent="0.25">
      <c r="A9850" s="5"/>
    </row>
    <row r="9851" spans="1:1" x14ac:dyDescent="0.25">
      <c r="A9851" s="5"/>
    </row>
    <row r="9852" spans="1:1" x14ac:dyDescent="0.25">
      <c r="A9852" s="5"/>
    </row>
    <row r="9853" spans="1:1" x14ac:dyDescent="0.25">
      <c r="A9853" s="5"/>
    </row>
    <row r="9854" spans="1:1" x14ac:dyDescent="0.25">
      <c r="A9854" s="5"/>
    </row>
    <row r="9855" spans="1:1" x14ac:dyDescent="0.25">
      <c r="A9855" s="5"/>
    </row>
    <row r="9856" spans="1:1" x14ac:dyDescent="0.25">
      <c r="A9856" s="5"/>
    </row>
    <row r="9857" spans="1:1" x14ac:dyDescent="0.25">
      <c r="A9857" s="5"/>
    </row>
    <row r="9858" spans="1:1" x14ac:dyDescent="0.25">
      <c r="A9858" s="5"/>
    </row>
    <row r="9859" spans="1:1" x14ac:dyDescent="0.25">
      <c r="A9859" s="5"/>
    </row>
    <row r="9860" spans="1:1" x14ac:dyDescent="0.25">
      <c r="A9860" s="5"/>
    </row>
    <row r="9861" spans="1:1" x14ac:dyDescent="0.25">
      <c r="A9861" s="5"/>
    </row>
    <row r="9862" spans="1:1" x14ac:dyDescent="0.25">
      <c r="A9862" s="5"/>
    </row>
    <row r="9863" spans="1:1" x14ac:dyDescent="0.25">
      <c r="A9863" s="5"/>
    </row>
    <row r="9864" spans="1:1" x14ac:dyDescent="0.25">
      <c r="A9864" s="5"/>
    </row>
    <row r="9865" spans="1:1" x14ac:dyDescent="0.25">
      <c r="A9865" s="5"/>
    </row>
    <row r="9866" spans="1:1" x14ac:dyDescent="0.25">
      <c r="A9866" s="5"/>
    </row>
    <row r="9867" spans="1:1" x14ac:dyDescent="0.25">
      <c r="A9867" s="5"/>
    </row>
    <row r="9868" spans="1:1" x14ac:dyDescent="0.25">
      <c r="A9868" s="5"/>
    </row>
    <row r="9869" spans="1:1" x14ac:dyDescent="0.25">
      <c r="A9869" s="5"/>
    </row>
    <row r="9870" spans="1:1" x14ac:dyDescent="0.25">
      <c r="A9870" s="5"/>
    </row>
    <row r="9871" spans="1:1" x14ac:dyDescent="0.25">
      <c r="A9871" s="5"/>
    </row>
    <row r="9872" spans="1:1" x14ac:dyDescent="0.25">
      <c r="A9872" s="5"/>
    </row>
    <row r="9873" spans="1:1" x14ac:dyDescent="0.25">
      <c r="A9873" s="5"/>
    </row>
    <row r="9874" spans="1:1" x14ac:dyDescent="0.25">
      <c r="A9874" s="5"/>
    </row>
    <row r="9875" spans="1:1" x14ac:dyDescent="0.25">
      <c r="A9875" s="5"/>
    </row>
    <row r="9876" spans="1:1" x14ac:dyDescent="0.25">
      <c r="A9876" s="5"/>
    </row>
    <row r="9877" spans="1:1" x14ac:dyDescent="0.25">
      <c r="A9877" s="5"/>
    </row>
    <row r="9878" spans="1:1" x14ac:dyDescent="0.25">
      <c r="A9878" s="5"/>
    </row>
    <row r="9879" spans="1:1" x14ac:dyDescent="0.25">
      <c r="A9879" s="5"/>
    </row>
    <row r="9880" spans="1:1" x14ac:dyDescent="0.25">
      <c r="A9880" s="5"/>
    </row>
    <row r="9881" spans="1:1" x14ac:dyDescent="0.25">
      <c r="A9881" s="5"/>
    </row>
    <row r="9882" spans="1:1" x14ac:dyDescent="0.25">
      <c r="A9882" s="5"/>
    </row>
    <row r="9883" spans="1:1" x14ac:dyDescent="0.25">
      <c r="A9883" s="5"/>
    </row>
    <row r="9884" spans="1:1" x14ac:dyDescent="0.25">
      <c r="A9884" s="5"/>
    </row>
    <row r="9885" spans="1:1" x14ac:dyDescent="0.25">
      <c r="A9885" s="5"/>
    </row>
    <row r="9886" spans="1:1" x14ac:dyDescent="0.25">
      <c r="A9886" s="5"/>
    </row>
    <row r="9887" spans="1:1" x14ac:dyDescent="0.25">
      <c r="A9887" s="5"/>
    </row>
    <row r="9888" spans="1:1" x14ac:dyDescent="0.25">
      <c r="A9888" s="5"/>
    </row>
    <row r="9889" spans="1:1" x14ac:dyDescent="0.25">
      <c r="A9889" s="5"/>
    </row>
    <row r="9890" spans="1:1" x14ac:dyDescent="0.25">
      <c r="A9890" s="5"/>
    </row>
    <row r="9891" spans="1:1" x14ac:dyDescent="0.25">
      <c r="A9891" s="5"/>
    </row>
    <row r="9892" spans="1:1" x14ac:dyDescent="0.25">
      <c r="A9892" s="5"/>
    </row>
    <row r="9893" spans="1:1" x14ac:dyDescent="0.25">
      <c r="A9893" s="5"/>
    </row>
    <row r="9894" spans="1:1" x14ac:dyDescent="0.25">
      <c r="A9894" s="5"/>
    </row>
    <row r="9895" spans="1:1" x14ac:dyDescent="0.25">
      <c r="A9895" s="5"/>
    </row>
    <row r="9896" spans="1:1" x14ac:dyDescent="0.25">
      <c r="A9896" s="5"/>
    </row>
    <row r="9897" spans="1:1" x14ac:dyDescent="0.25">
      <c r="A9897" s="5"/>
    </row>
    <row r="9898" spans="1:1" x14ac:dyDescent="0.25">
      <c r="A9898" s="5"/>
    </row>
    <row r="9899" spans="1:1" x14ac:dyDescent="0.25">
      <c r="A9899" s="5"/>
    </row>
    <row r="9900" spans="1:1" x14ac:dyDescent="0.25">
      <c r="A9900" s="5"/>
    </row>
    <row r="9901" spans="1:1" x14ac:dyDescent="0.25">
      <c r="A9901" s="5"/>
    </row>
    <row r="9902" spans="1:1" x14ac:dyDescent="0.25">
      <c r="A9902" s="5"/>
    </row>
    <row r="9903" spans="1:1" x14ac:dyDescent="0.25">
      <c r="A9903" s="5"/>
    </row>
    <row r="9904" spans="1:1" x14ac:dyDescent="0.25">
      <c r="A9904" s="5"/>
    </row>
    <row r="9905" spans="1:1" x14ac:dyDescent="0.25">
      <c r="A9905" s="5"/>
    </row>
    <row r="9906" spans="1:1" x14ac:dyDescent="0.25">
      <c r="A9906" s="5"/>
    </row>
    <row r="9907" spans="1:1" x14ac:dyDescent="0.25">
      <c r="A9907" s="5"/>
    </row>
    <row r="9908" spans="1:1" x14ac:dyDescent="0.25">
      <c r="A9908" s="5"/>
    </row>
    <row r="9909" spans="1:1" x14ac:dyDescent="0.25">
      <c r="A9909" s="5"/>
    </row>
    <row r="9910" spans="1:1" x14ac:dyDescent="0.25">
      <c r="A9910" s="5"/>
    </row>
    <row r="9911" spans="1:1" x14ac:dyDescent="0.25">
      <c r="A9911" s="5"/>
    </row>
    <row r="9912" spans="1:1" x14ac:dyDescent="0.25">
      <c r="A9912" s="5"/>
    </row>
    <row r="9913" spans="1:1" x14ac:dyDescent="0.25">
      <c r="A9913" s="5"/>
    </row>
    <row r="9914" spans="1:1" x14ac:dyDescent="0.25">
      <c r="A9914" s="5"/>
    </row>
    <row r="9915" spans="1:1" x14ac:dyDescent="0.25">
      <c r="A9915" s="5"/>
    </row>
    <row r="9916" spans="1:1" x14ac:dyDescent="0.25">
      <c r="A9916" s="5"/>
    </row>
    <row r="9917" spans="1:1" x14ac:dyDescent="0.25">
      <c r="A9917" s="5"/>
    </row>
    <row r="9918" spans="1:1" x14ac:dyDescent="0.25">
      <c r="A9918" s="5"/>
    </row>
    <row r="9919" spans="1:1" x14ac:dyDescent="0.25">
      <c r="A9919" s="5"/>
    </row>
    <row r="9920" spans="1:1" x14ac:dyDescent="0.25">
      <c r="A9920" s="5"/>
    </row>
    <row r="9921" spans="1:1" x14ac:dyDescent="0.25">
      <c r="A9921" s="5"/>
    </row>
    <row r="9922" spans="1:1" x14ac:dyDescent="0.25">
      <c r="A9922" s="5"/>
    </row>
    <row r="9923" spans="1:1" x14ac:dyDescent="0.25">
      <c r="A9923" s="5"/>
    </row>
    <row r="9924" spans="1:1" x14ac:dyDescent="0.25">
      <c r="A9924" s="5"/>
    </row>
    <row r="9925" spans="1:1" x14ac:dyDescent="0.25">
      <c r="A9925" s="5"/>
    </row>
    <row r="9926" spans="1:1" x14ac:dyDescent="0.25">
      <c r="A9926" s="5"/>
    </row>
    <row r="9927" spans="1:1" x14ac:dyDescent="0.25">
      <c r="A9927" s="5"/>
    </row>
    <row r="9928" spans="1:1" x14ac:dyDescent="0.25">
      <c r="A9928" s="5"/>
    </row>
    <row r="9929" spans="1:1" x14ac:dyDescent="0.25">
      <c r="A9929" s="5"/>
    </row>
    <row r="9930" spans="1:1" x14ac:dyDescent="0.25">
      <c r="A9930" s="5"/>
    </row>
    <row r="9931" spans="1:1" x14ac:dyDescent="0.25">
      <c r="A9931" s="5"/>
    </row>
    <row r="9932" spans="1:1" x14ac:dyDescent="0.25">
      <c r="A9932" s="5"/>
    </row>
    <row r="9933" spans="1:1" x14ac:dyDescent="0.25">
      <c r="A9933" s="5"/>
    </row>
    <row r="9934" spans="1:1" x14ac:dyDescent="0.25">
      <c r="A9934" s="5"/>
    </row>
    <row r="9935" spans="1:1" x14ac:dyDescent="0.25">
      <c r="A9935" s="5"/>
    </row>
    <row r="9936" spans="1:1" x14ac:dyDescent="0.25">
      <c r="A9936" s="5"/>
    </row>
    <row r="9937" spans="1:1" x14ac:dyDescent="0.25">
      <c r="A9937" s="5"/>
    </row>
    <row r="9938" spans="1:1" x14ac:dyDescent="0.25">
      <c r="A9938" s="5"/>
    </row>
    <row r="9939" spans="1:1" x14ac:dyDescent="0.25">
      <c r="A9939" s="5"/>
    </row>
    <row r="9940" spans="1:1" x14ac:dyDescent="0.25">
      <c r="A9940" s="5"/>
    </row>
    <row r="9941" spans="1:1" x14ac:dyDescent="0.25">
      <c r="A9941" s="5"/>
    </row>
    <row r="9942" spans="1:1" x14ac:dyDescent="0.25">
      <c r="A9942" s="5"/>
    </row>
    <row r="9943" spans="1:1" x14ac:dyDescent="0.25">
      <c r="A9943" s="5"/>
    </row>
    <row r="9944" spans="1:1" x14ac:dyDescent="0.25">
      <c r="A9944" s="5"/>
    </row>
    <row r="9945" spans="1:1" x14ac:dyDescent="0.25">
      <c r="A9945" s="5"/>
    </row>
    <row r="9946" spans="1:1" x14ac:dyDescent="0.25">
      <c r="A9946" s="5"/>
    </row>
    <row r="9947" spans="1:1" x14ac:dyDescent="0.25">
      <c r="A9947" s="5"/>
    </row>
    <row r="9948" spans="1:1" x14ac:dyDescent="0.25">
      <c r="A9948" s="5"/>
    </row>
    <row r="9949" spans="1:1" x14ac:dyDescent="0.25">
      <c r="A9949" s="5"/>
    </row>
    <row r="9950" spans="1:1" x14ac:dyDescent="0.25">
      <c r="A9950" s="5"/>
    </row>
    <row r="9951" spans="1:1" x14ac:dyDescent="0.25">
      <c r="A9951" s="5"/>
    </row>
    <row r="9952" spans="1:1" x14ac:dyDescent="0.25">
      <c r="A9952" s="5"/>
    </row>
    <row r="9953" spans="1:1" x14ac:dyDescent="0.25">
      <c r="A9953" s="5"/>
    </row>
    <row r="9954" spans="1:1" x14ac:dyDescent="0.25">
      <c r="A9954" s="5"/>
    </row>
    <row r="9955" spans="1:1" x14ac:dyDescent="0.25">
      <c r="A9955" s="5"/>
    </row>
    <row r="9956" spans="1:1" x14ac:dyDescent="0.25">
      <c r="A9956" s="5"/>
    </row>
    <row r="9957" spans="1:1" x14ac:dyDescent="0.25">
      <c r="A9957" s="5"/>
    </row>
    <row r="9958" spans="1:1" x14ac:dyDescent="0.25">
      <c r="A9958" s="5"/>
    </row>
    <row r="9959" spans="1:1" x14ac:dyDescent="0.25">
      <c r="A9959" s="5"/>
    </row>
    <row r="9960" spans="1:1" x14ac:dyDescent="0.25">
      <c r="A9960" s="5"/>
    </row>
    <row r="9961" spans="1:1" x14ac:dyDescent="0.25">
      <c r="A9961" s="5"/>
    </row>
    <row r="9962" spans="1:1" x14ac:dyDescent="0.25">
      <c r="A9962" s="5"/>
    </row>
    <row r="9963" spans="1:1" x14ac:dyDescent="0.25">
      <c r="A9963" s="5"/>
    </row>
    <row r="9964" spans="1:1" x14ac:dyDescent="0.25">
      <c r="A9964" s="5"/>
    </row>
    <row r="9965" spans="1:1" x14ac:dyDescent="0.25">
      <c r="A9965" s="5"/>
    </row>
    <row r="9966" spans="1:1" x14ac:dyDescent="0.25">
      <c r="A9966" s="5"/>
    </row>
    <row r="9967" spans="1:1" x14ac:dyDescent="0.25">
      <c r="A9967" s="5"/>
    </row>
    <row r="9968" spans="1:1" x14ac:dyDescent="0.25">
      <c r="A9968" s="5"/>
    </row>
    <row r="9969" spans="1:1" x14ac:dyDescent="0.25">
      <c r="A9969" s="5"/>
    </row>
    <row r="9970" spans="1:1" x14ac:dyDescent="0.25">
      <c r="A9970" s="5"/>
    </row>
    <row r="9971" spans="1:1" x14ac:dyDescent="0.25">
      <c r="A9971" s="5"/>
    </row>
    <row r="9972" spans="1:1" x14ac:dyDescent="0.25">
      <c r="A9972" s="5"/>
    </row>
    <row r="9973" spans="1:1" x14ac:dyDescent="0.25">
      <c r="A9973" s="5"/>
    </row>
    <row r="9974" spans="1:1" x14ac:dyDescent="0.25">
      <c r="A9974" s="5"/>
    </row>
    <row r="9975" spans="1:1" x14ac:dyDescent="0.25">
      <c r="A9975" s="5"/>
    </row>
    <row r="9976" spans="1:1" x14ac:dyDescent="0.25">
      <c r="A9976" s="5"/>
    </row>
    <row r="9977" spans="1:1" x14ac:dyDescent="0.25">
      <c r="A9977" s="5"/>
    </row>
    <row r="9978" spans="1:1" x14ac:dyDescent="0.25">
      <c r="A9978" s="5"/>
    </row>
    <row r="9979" spans="1:1" x14ac:dyDescent="0.25">
      <c r="A9979" s="5"/>
    </row>
    <row r="9980" spans="1:1" x14ac:dyDescent="0.25">
      <c r="A9980" s="5"/>
    </row>
    <row r="9981" spans="1:1" x14ac:dyDescent="0.25">
      <c r="A9981" s="5"/>
    </row>
    <row r="9982" spans="1:1" x14ac:dyDescent="0.25">
      <c r="A9982" s="5"/>
    </row>
    <row r="9983" spans="1:1" x14ac:dyDescent="0.25">
      <c r="A9983" s="5"/>
    </row>
    <row r="9984" spans="1:1" x14ac:dyDescent="0.25">
      <c r="A9984" s="5"/>
    </row>
    <row r="9985" spans="1:1" x14ac:dyDescent="0.25">
      <c r="A9985" s="5"/>
    </row>
    <row r="9986" spans="1:1" x14ac:dyDescent="0.25">
      <c r="A9986" s="5"/>
    </row>
    <row r="9987" spans="1:1" x14ac:dyDescent="0.25">
      <c r="A9987" s="5"/>
    </row>
    <row r="9988" spans="1:1" x14ac:dyDescent="0.25">
      <c r="A9988" s="5"/>
    </row>
    <row r="9989" spans="1:1" x14ac:dyDescent="0.25">
      <c r="A9989" s="5"/>
    </row>
    <row r="9990" spans="1:1" x14ac:dyDescent="0.25">
      <c r="A9990" s="5"/>
    </row>
    <row r="9991" spans="1:1" x14ac:dyDescent="0.25">
      <c r="A9991" s="5"/>
    </row>
    <row r="9992" spans="1:1" x14ac:dyDescent="0.25">
      <c r="A9992" s="5"/>
    </row>
    <row r="9993" spans="1:1" x14ac:dyDescent="0.25">
      <c r="A9993" s="5"/>
    </row>
    <row r="9994" spans="1:1" x14ac:dyDescent="0.25">
      <c r="A9994" s="5"/>
    </row>
    <row r="9995" spans="1:1" x14ac:dyDescent="0.25">
      <c r="A9995" s="5"/>
    </row>
    <row r="9996" spans="1:1" x14ac:dyDescent="0.25">
      <c r="A9996" s="5"/>
    </row>
    <row r="9997" spans="1:1" x14ac:dyDescent="0.25">
      <c r="A9997" s="5"/>
    </row>
    <row r="9998" spans="1:1" x14ac:dyDescent="0.25">
      <c r="A9998" s="5"/>
    </row>
    <row r="9999" spans="1:1" x14ac:dyDescent="0.25">
      <c r="A9999" s="5"/>
    </row>
    <row r="10000" spans="1:1" x14ac:dyDescent="0.25">
      <c r="A10000" s="5"/>
    </row>
    <row r="10001" spans="1:1" x14ac:dyDescent="0.25">
      <c r="A10001" s="5"/>
    </row>
    <row r="10002" spans="1:1" x14ac:dyDescent="0.25">
      <c r="A10002" s="5"/>
    </row>
    <row r="10003" spans="1:1" x14ac:dyDescent="0.25">
      <c r="A10003" s="5"/>
    </row>
    <row r="10004" spans="1:1" x14ac:dyDescent="0.25">
      <c r="A10004" s="5"/>
    </row>
    <row r="10005" spans="1:1" x14ac:dyDescent="0.25">
      <c r="A10005" s="5"/>
    </row>
    <row r="10006" spans="1:1" x14ac:dyDescent="0.25">
      <c r="A10006" s="5"/>
    </row>
    <row r="10007" spans="1:1" x14ac:dyDescent="0.25">
      <c r="A10007" s="5"/>
    </row>
    <row r="10008" spans="1:1" x14ac:dyDescent="0.25">
      <c r="A10008" s="5"/>
    </row>
    <row r="10009" spans="1:1" x14ac:dyDescent="0.25">
      <c r="A10009" s="5"/>
    </row>
    <row r="10010" spans="1:1" x14ac:dyDescent="0.25">
      <c r="A10010" s="5"/>
    </row>
    <row r="10011" spans="1:1" x14ac:dyDescent="0.25">
      <c r="A10011" s="5"/>
    </row>
    <row r="10012" spans="1:1" x14ac:dyDescent="0.25">
      <c r="A10012" s="5"/>
    </row>
    <row r="10013" spans="1:1" x14ac:dyDescent="0.25">
      <c r="A10013" s="5"/>
    </row>
    <row r="10014" spans="1:1" x14ac:dyDescent="0.25">
      <c r="A10014" s="5"/>
    </row>
    <row r="10015" spans="1:1" x14ac:dyDescent="0.25">
      <c r="A10015" s="5"/>
    </row>
    <row r="10016" spans="1:1" x14ac:dyDescent="0.25">
      <c r="A10016" s="5"/>
    </row>
    <row r="10017" spans="1:1" x14ac:dyDescent="0.25">
      <c r="A10017" s="5"/>
    </row>
    <row r="10018" spans="1:1" x14ac:dyDescent="0.25">
      <c r="A10018" s="5"/>
    </row>
    <row r="10019" spans="1:1" x14ac:dyDescent="0.25">
      <c r="A10019" s="5"/>
    </row>
    <row r="10020" spans="1:1" x14ac:dyDescent="0.25">
      <c r="A10020" s="5"/>
    </row>
    <row r="10021" spans="1:1" x14ac:dyDescent="0.25">
      <c r="A10021" s="5"/>
    </row>
    <row r="10022" spans="1:1" x14ac:dyDescent="0.25">
      <c r="A10022" s="5"/>
    </row>
    <row r="10023" spans="1:1" x14ac:dyDescent="0.25">
      <c r="A10023" s="5"/>
    </row>
    <row r="10024" spans="1:1" x14ac:dyDescent="0.25">
      <c r="A10024" s="5"/>
    </row>
    <row r="10025" spans="1:1" x14ac:dyDescent="0.25">
      <c r="A10025" s="5"/>
    </row>
    <row r="10026" spans="1:1" x14ac:dyDescent="0.25">
      <c r="A10026" s="5"/>
    </row>
    <row r="10027" spans="1:1" x14ac:dyDescent="0.25">
      <c r="A10027" s="5"/>
    </row>
    <row r="10028" spans="1:1" x14ac:dyDescent="0.25">
      <c r="A10028" s="5"/>
    </row>
    <row r="10029" spans="1:1" x14ac:dyDescent="0.25">
      <c r="A10029" s="5"/>
    </row>
    <row r="10030" spans="1:1" x14ac:dyDescent="0.25">
      <c r="A10030" s="5"/>
    </row>
    <row r="10031" spans="1:1" x14ac:dyDescent="0.25">
      <c r="A10031" s="5"/>
    </row>
    <row r="10032" spans="1:1" x14ac:dyDescent="0.25">
      <c r="A10032" s="5"/>
    </row>
    <row r="10033" spans="1:1" x14ac:dyDescent="0.25">
      <c r="A10033" s="5"/>
    </row>
    <row r="10034" spans="1:1" x14ac:dyDescent="0.25">
      <c r="A10034" s="5"/>
    </row>
    <row r="10035" spans="1:1" x14ac:dyDescent="0.25">
      <c r="A10035" s="5"/>
    </row>
    <row r="10036" spans="1:1" x14ac:dyDescent="0.25">
      <c r="A10036" s="5"/>
    </row>
    <row r="10037" spans="1:1" x14ac:dyDescent="0.25">
      <c r="A10037" s="5"/>
    </row>
    <row r="10038" spans="1:1" x14ac:dyDescent="0.25">
      <c r="A10038" s="5"/>
    </row>
    <row r="10039" spans="1:1" x14ac:dyDescent="0.25">
      <c r="A10039" s="5"/>
    </row>
    <row r="10040" spans="1:1" x14ac:dyDescent="0.25">
      <c r="A10040" s="5"/>
    </row>
    <row r="10041" spans="1:1" x14ac:dyDescent="0.25">
      <c r="A10041" s="5"/>
    </row>
    <row r="10042" spans="1:1" x14ac:dyDescent="0.25">
      <c r="A10042" s="5"/>
    </row>
    <row r="10043" spans="1:1" x14ac:dyDescent="0.25">
      <c r="A10043" s="5"/>
    </row>
    <row r="10044" spans="1:1" x14ac:dyDescent="0.25">
      <c r="A10044" s="5"/>
    </row>
    <row r="10045" spans="1:1" x14ac:dyDescent="0.25">
      <c r="A10045" s="5"/>
    </row>
    <row r="10046" spans="1:1" x14ac:dyDescent="0.25">
      <c r="A10046" s="5"/>
    </row>
    <row r="10047" spans="1:1" x14ac:dyDescent="0.25">
      <c r="A10047" s="5"/>
    </row>
    <row r="10048" spans="1:1" x14ac:dyDescent="0.25">
      <c r="A10048" s="5"/>
    </row>
    <row r="10049" spans="1:1" x14ac:dyDescent="0.25">
      <c r="A10049" s="5"/>
    </row>
    <row r="10050" spans="1:1" x14ac:dyDescent="0.25">
      <c r="A10050" s="5"/>
    </row>
    <row r="10051" spans="1:1" x14ac:dyDescent="0.25">
      <c r="A10051" s="5"/>
    </row>
    <row r="10052" spans="1:1" x14ac:dyDescent="0.25">
      <c r="A10052" s="5"/>
    </row>
    <row r="10053" spans="1:1" x14ac:dyDescent="0.25">
      <c r="A10053" s="5"/>
    </row>
    <row r="10054" spans="1:1" x14ac:dyDescent="0.25">
      <c r="A10054" s="5"/>
    </row>
    <row r="10055" spans="1:1" x14ac:dyDescent="0.25">
      <c r="A10055" s="5"/>
    </row>
    <row r="10056" spans="1:1" x14ac:dyDescent="0.25">
      <c r="A10056" s="5"/>
    </row>
    <row r="10057" spans="1:1" x14ac:dyDescent="0.25">
      <c r="A10057" s="5"/>
    </row>
    <row r="10058" spans="1:1" x14ac:dyDescent="0.25">
      <c r="A10058" s="5"/>
    </row>
    <row r="10059" spans="1:1" x14ac:dyDescent="0.25">
      <c r="A10059" s="5"/>
    </row>
    <row r="10060" spans="1:1" x14ac:dyDescent="0.25">
      <c r="A10060" s="5"/>
    </row>
    <row r="10061" spans="1:1" x14ac:dyDescent="0.25">
      <c r="A10061" s="5"/>
    </row>
    <row r="10062" spans="1:1" x14ac:dyDescent="0.25">
      <c r="A10062" s="5"/>
    </row>
    <row r="10063" spans="1:1" x14ac:dyDescent="0.25">
      <c r="A10063" s="5"/>
    </row>
    <row r="10064" spans="1:1" x14ac:dyDescent="0.25">
      <c r="A10064" s="5"/>
    </row>
    <row r="10065" spans="1:1" x14ac:dyDescent="0.25">
      <c r="A10065" s="5"/>
    </row>
    <row r="10066" spans="1:1" x14ac:dyDescent="0.25">
      <c r="A10066" s="5"/>
    </row>
    <row r="10067" spans="1:1" x14ac:dyDescent="0.25">
      <c r="A10067" s="5"/>
    </row>
    <row r="10068" spans="1:1" x14ac:dyDescent="0.25">
      <c r="A10068" s="5"/>
    </row>
    <row r="10069" spans="1:1" x14ac:dyDescent="0.25">
      <c r="A10069" s="5"/>
    </row>
    <row r="10070" spans="1:1" x14ac:dyDescent="0.25">
      <c r="A10070" s="5"/>
    </row>
    <row r="10071" spans="1:1" x14ac:dyDescent="0.25">
      <c r="A10071" s="5"/>
    </row>
    <row r="10072" spans="1:1" x14ac:dyDescent="0.25">
      <c r="A10072" s="5"/>
    </row>
    <row r="10073" spans="1:1" x14ac:dyDescent="0.25">
      <c r="A10073" s="5"/>
    </row>
    <row r="10074" spans="1:1" x14ac:dyDescent="0.25">
      <c r="A10074" s="5"/>
    </row>
    <row r="10075" spans="1:1" x14ac:dyDescent="0.25">
      <c r="A10075" s="5"/>
    </row>
    <row r="10076" spans="1:1" x14ac:dyDescent="0.25">
      <c r="A10076" s="5"/>
    </row>
    <row r="10077" spans="1:1" x14ac:dyDescent="0.25">
      <c r="A10077" s="5"/>
    </row>
    <row r="10078" spans="1:1" x14ac:dyDescent="0.25">
      <c r="A10078" s="5"/>
    </row>
    <row r="10079" spans="1:1" x14ac:dyDescent="0.25">
      <c r="A10079" s="5"/>
    </row>
    <row r="10080" spans="1:1" x14ac:dyDescent="0.25">
      <c r="A10080" s="5"/>
    </row>
    <row r="10081" spans="1:1" x14ac:dyDescent="0.25">
      <c r="A10081" s="5"/>
    </row>
    <row r="10082" spans="1:1" x14ac:dyDescent="0.25">
      <c r="A10082" s="5"/>
    </row>
    <row r="10083" spans="1:1" x14ac:dyDescent="0.25">
      <c r="A10083" s="5"/>
    </row>
    <row r="10084" spans="1:1" x14ac:dyDescent="0.25">
      <c r="A10084" s="5"/>
    </row>
    <row r="10085" spans="1:1" x14ac:dyDescent="0.25">
      <c r="A10085" s="5"/>
    </row>
    <row r="10086" spans="1:1" x14ac:dyDescent="0.25">
      <c r="A10086" s="5"/>
    </row>
    <row r="10087" spans="1:1" x14ac:dyDescent="0.25">
      <c r="A10087" s="5"/>
    </row>
    <row r="10088" spans="1:1" x14ac:dyDescent="0.25">
      <c r="A10088" s="5"/>
    </row>
    <row r="10089" spans="1:1" x14ac:dyDescent="0.25">
      <c r="A10089" s="5"/>
    </row>
    <row r="10090" spans="1:1" x14ac:dyDescent="0.25">
      <c r="A10090" s="5"/>
    </row>
    <row r="10091" spans="1:1" x14ac:dyDescent="0.25">
      <c r="A10091" s="5"/>
    </row>
    <row r="10092" spans="1:1" x14ac:dyDescent="0.25">
      <c r="A10092" s="5"/>
    </row>
    <row r="10093" spans="1:1" x14ac:dyDescent="0.25">
      <c r="A10093" s="5"/>
    </row>
    <row r="10094" spans="1:1" x14ac:dyDescent="0.25">
      <c r="A10094" s="5"/>
    </row>
    <row r="10095" spans="1:1" x14ac:dyDescent="0.25">
      <c r="A10095" s="5"/>
    </row>
    <row r="10096" spans="1:1" x14ac:dyDescent="0.25">
      <c r="A10096" s="5"/>
    </row>
    <row r="10097" spans="1:1" x14ac:dyDescent="0.25">
      <c r="A10097" s="5"/>
    </row>
    <row r="10098" spans="1:1" x14ac:dyDescent="0.25">
      <c r="A10098" s="5"/>
    </row>
    <row r="10099" spans="1:1" x14ac:dyDescent="0.25">
      <c r="A10099" s="5"/>
    </row>
    <row r="10100" spans="1:1" x14ac:dyDescent="0.25">
      <c r="A10100" s="5"/>
    </row>
    <row r="10101" spans="1:1" x14ac:dyDescent="0.25">
      <c r="A10101" s="5"/>
    </row>
    <row r="10102" spans="1:1" x14ac:dyDescent="0.25">
      <c r="A10102" s="5"/>
    </row>
    <row r="10103" spans="1:1" x14ac:dyDescent="0.25">
      <c r="A10103" s="5"/>
    </row>
    <row r="10104" spans="1:1" x14ac:dyDescent="0.25">
      <c r="A10104" s="5"/>
    </row>
    <row r="10105" spans="1:1" x14ac:dyDescent="0.25">
      <c r="A10105" s="5"/>
    </row>
    <row r="10106" spans="1:1" x14ac:dyDescent="0.25">
      <c r="A10106" s="5"/>
    </row>
    <row r="10107" spans="1:1" x14ac:dyDescent="0.25">
      <c r="A10107" s="5"/>
    </row>
    <row r="10108" spans="1:1" x14ac:dyDescent="0.25">
      <c r="A10108" s="5"/>
    </row>
    <row r="10109" spans="1:1" x14ac:dyDescent="0.25">
      <c r="A10109" s="5"/>
    </row>
    <row r="10110" spans="1:1" x14ac:dyDescent="0.25">
      <c r="A10110" s="5"/>
    </row>
    <row r="10111" spans="1:1" x14ac:dyDescent="0.25">
      <c r="A10111" s="5"/>
    </row>
    <row r="10112" spans="1:1" x14ac:dyDescent="0.25">
      <c r="A10112" s="5"/>
    </row>
    <row r="10113" spans="1:1" x14ac:dyDescent="0.25">
      <c r="A10113" s="5"/>
    </row>
    <row r="10114" spans="1:1" x14ac:dyDescent="0.25">
      <c r="A10114" s="5"/>
    </row>
    <row r="10115" spans="1:1" x14ac:dyDescent="0.25">
      <c r="A10115" s="5"/>
    </row>
    <row r="10116" spans="1:1" x14ac:dyDescent="0.25">
      <c r="A10116" s="5"/>
    </row>
    <row r="10117" spans="1:1" x14ac:dyDescent="0.25">
      <c r="A10117" s="5"/>
    </row>
    <row r="10118" spans="1:1" x14ac:dyDescent="0.25">
      <c r="A10118" s="5"/>
    </row>
    <row r="10119" spans="1:1" x14ac:dyDescent="0.25">
      <c r="A10119" s="5"/>
    </row>
    <row r="10120" spans="1:1" x14ac:dyDescent="0.25">
      <c r="A10120" s="5"/>
    </row>
    <row r="10121" spans="1:1" x14ac:dyDescent="0.25">
      <c r="A10121" s="5"/>
    </row>
    <row r="10122" spans="1:1" x14ac:dyDescent="0.25">
      <c r="A10122" s="5"/>
    </row>
    <row r="10123" spans="1:1" x14ac:dyDescent="0.25">
      <c r="A10123" s="5"/>
    </row>
    <row r="10124" spans="1:1" x14ac:dyDescent="0.25">
      <c r="A10124" s="5"/>
    </row>
    <row r="10125" spans="1:1" x14ac:dyDescent="0.25">
      <c r="A10125" s="5"/>
    </row>
    <row r="10126" spans="1:1" x14ac:dyDescent="0.25">
      <c r="A10126" s="5"/>
    </row>
    <row r="10127" spans="1:1" x14ac:dyDescent="0.25">
      <c r="A10127" s="5"/>
    </row>
    <row r="10128" spans="1:1" x14ac:dyDescent="0.25">
      <c r="A10128" s="5"/>
    </row>
    <row r="10129" spans="1:1" x14ac:dyDescent="0.25">
      <c r="A10129" s="5"/>
    </row>
    <row r="10130" spans="1:1" x14ac:dyDescent="0.25">
      <c r="A10130" s="5"/>
    </row>
    <row r="10131" spans="1:1" x14ac:dyDescent="0.25">
      <c r="A10131" s="5"/>
    </row>
    <row r="10132" spans="1:1" x14ac:dyDescent="0.25">
      <c r="A10132" s="5"/>
    </row>
    <row r="10133" spans="1:1" x14ac:dyDescent="0.25">
      <c r="A10133" s="5"/>
    </row>
    <row r="10134" spans="1:1" x14ac:dyDescent="0.25">
      <c r="A10134" s="5"/>
    </row>
    <row r="10135" spans="1:1" x14ac:dyDescent="0.25">
      <c r="A10135" s="5"/>
    </row>
    <row r="10136" spans="1:1" x14ac:dyDescent="0.25">
      <c r="A10136" s="5"/>
    </row>
    <row r="10137" spans="1:1" x14ac:dyDescent="0.25">
      <c r="A10137" s="5"/>
    </row>
    <row r="10138" spans="1:1" x14ac:dyDescent="0.25">
      <c r="A10138" s="5"/>
    </row>
    <row r="10139" spans="1:1" x14ac:dyDescent="0.25">
      <c r="A10139" s="5"/>
    </row>
    <row r="10140" spans="1:1" x14ac:dyDescent="0.25">
      <c r="A10140" s="5"/>
    </row>
    <row r="10141" spans="1:1" x14ac:dyDescent="0.25">
      <c r="A10141" s="5"/>
    </row>
    <row r="10142" spans="1:1" x14ac:dyDescent="0.25">
      <c r="A10142" s="5"/>
    </row>
    <row r="10143" spans="1:1" x14ac:dyDescent="0.25">
      <c r="A10143" s="5"/>
    </row>
    <row r="10144" spans="1:1" x14ac:dyDescent="0.25">
      <c r="A10144" s="5"/>
    </row>
    <row r="10145" spans="1:1" x14ac:dyDescent="0.25">
      <c r="A10145" s="5"/>
    </row>
    <row r="10146" spans="1:1" x14ac:dyDescent="0.25">
      <c r="A10146" s="5"/>
    </row>
    <row r="10147" spans="1:1" x14ac:dyDescent="0.25">
      <c r="A10147" s="5"/>
    </row>
    <row r="10148" spans="1:1" x14ac:dyDescent="0.25">
      <c r="A10148" s="5"/>
    </row>
    <row r="10149" spans="1:1" x14ac:dyDescent="0.25">
      <c r="A10149" s="5"/>
    </row>
    <row r="10150" spans="1:1" x14ac:dyDescent="0.25">
      <c r="A10150" s="5"/>
    </row>
    <row r="10151" spans="1:1" x14ac:dyDescent="0.25">
      <c r="A10151" s="5"/>
    </row>
    <row r="10152" spans="1:1" x14ac:dyDescent="0.25">
      <c r="A10152" s="5"/>
    </row>
    <row r="10153" spans="1:1" x14ac:dyDescent="0.25">
      <c r="A10153" s="5"/>
    </row>
    <row r="10154" spans="1:1" x14ac:dyDescent="0.25">
      <c r="A10154" s="5"/>
    </row>
    <row r="10155" spans="1:1" x14ac:dyDescent="0.25">
      <c r="A10155" s="5"/>
    </row>
    <row r="10156" spans="1:1" x14ac:dyDescent="0.25">
      <c r="A10156" s="5"/>
    </row>
    <row r="10157" spans="1:1" x14ac:dyDescent="0.25">
      <c r="A10157" s="5"/>
    </row>
    <row r="10158" spans="1:1" x14ac:dyDescent="0.25">
      <c r="A10158" s="5"/>
    </row>
    <row r="10159" spans="1:1" x14ac:dyDescent="0.25">
      <c r="A10159" s="5"/>
    </row>
    <row r="10160" spans="1:1" x14ac:dyDescent="0.25">
      <c r="A10160" s="5"/>
    </row>
    <row r="10161" spans="1:1" x14ac:dyDescent="0.25">
      <c r="A10161" s="5"/>
    </row>
    <row r="10162" spans="1:1" x14ac:dyDescent="0.25">
      <c r="A10162" s="5"/>
    </row>
    <row r="10163" spans="1:1" x14ac:dyDescent="0.25">
      <c r="A10163" s="5"/>
    </row>
    <row r="10164" spans="1:1" x14ac:dyDescent="0.25">
      <c r="A10164" s="5"/>
    </row>
    <row r="10165" spans="1:1" x14ac:dyDescent="0.25">
      <c r="A10165" s="5"/>
    </row>
    <row r="10166" spans="1:1" x14ac:dyDescent="0.25">
      <c r="A10166" s="5"/>
    </row>
    <row r="10167" spans="1:1" x14ac:dyDescent="0.25">
      <c r="A10167" s="5"/>
    </row>
    <row r="10168" spans="1:1" x14ac:dyDescent="0.25">
      <c r="A10168" s="5"/>
    </row>
    <row r="10169" spans="1:1" x14ac:dyDescent="0.25">
      <c r="A10169" s="5"/>
    </row>
    <row r="10170" spans="1:1" x14ac:dyDescent="0.25">
      <c r="A10170" s="5"/>
    </row>
    <row r="10171" spans="1:1" x14ac:dyDescent="0.25">
      <c r="A10171" s="5"/>
    </row>
    <row r="10172" spans="1:1" x14ac:dyDescent="0.25">
      <c r="A10172" s="5"/>
    </row>
    <row r="10173" spans="1:1" x14ac:dyDescent="0.25">
      <c r="A10173" s="5"/>
    </row>
    <row r="10174" spans="1:1" x14ac:dyDescent="0.25">
      <c r="A10174" s="5"/>
    </row>
    <row r="10175" spans="1:1" x14ac:dyDescent="0.25">
      <c r="A10175" s="5"/>
    </row>
    <row r="10176" spans="1:1" x14ac:dyDescent="0.25">
      <c r="A10176" s="5"/>
    </row>
    <row r="10177" spans="1:1" x14ac:dyDescent="0.25">
      <c r="A10177" s="5"/>
    </row>
    <row r="10178" spans="1:1" x14ac:dyDescent="0.25">
      <c r="A10178" s="5"/>
    </row>
    <row r="10179" spans="1:1" x14ac:dyDescent="0.25">
      <c r="A10179" s="5"/>
    </row>
    <row r="10180" spans="1:1" x14ac:dyDescent="0.25">
      <c r="A10180" s="5"/>
    </row>
    <row r="10181" spans="1:1" x14ac:dyDescent="0.25">
      <c r="A10181" s="5"/>
    </row>
    <row r="10182" spans="1:1" x14ac:dyDescent="0.25">
      <c r="A10182" s="5"/>
    </row>
    <row r="10183" spans="1:1" x14ac:dyDescent="0.25">
      <c r="A10183" s="5"/>
    </row>
    <row r="10184" spans="1:1" x14ac:dyDescent="0.25">
      <c r="A10184" s="5"/>
    </row>
    <row r="10185" spans="1:1" x14ac:dyDescent="0.25">
      <c r="A10185" s="5"/>
    </row>
    <row r="10186" spans="1:1" x14ac:dyDescent="0.25">
      <c r="A10186" s="5"/>
    </row>
    <row r="10187" spans="1:1" x14ac:dyDescent="0.25">
      <c r="A10187" s="5"/>
    </row>
    <row r="10188" spans="1:1" x14ac:dyDescent="0.25">
      <c r="A10188" s="5"/>
    </row>
    <row r="10189" spans="1:1" x14ac:dyDescent="0.25">
      <c r="A10189" s="5"/>
    </row>
    <row r="10190" spans="1:1" x14ac:dyDescent="0.25">
      <c r="A10190" s="5"/>
    </row>
    <row r="10191" spans="1:1" x14ac:dyDescent="0.25">
      <c r="A10191" s="5"/>
    </row>
    <row r="10192" spans="1:1" x14ac:dyDescent="0.25">
      <c r="A10192" s="5"/>
    </row>
    <row r="10193" spans="1:1" x14ac:dyDescent="0.25">
      <c r="A10193" s="5"/>
    </row>
    <row r="10194" spans="1:1" x14ac:dyDescent="0.25">
      <c r="A10194" s="5"/>
    </row>
    <row r="10195" spans="1:1" x14ac:dyDescent="0.25">
      <c r="A10195" s="5"/>
    </row>
    <row r="10196" spans="1:1" x14ac:dyDescent="0.25">
      <c r="A10196" s="5"/>
    </row>
    <row r="10197" spans="1:1" x14ac:dyDescent="0.25">
      <c r="A10197" s="5"/>
    </row>
    <row r="10198" spans="1:1" x14ac:dyDescent="0.25">
      <c r="A10198" s="5"/>
    </row>
    <row r="10199" spans="1:1" x14ac:dyDescent="0.25">
      <c r="A10199" s="5"/>
    </row>
    <row r="10200" spans="1:1" x14ac:dyDescent="0.25">
      <c r="A10200" s="5"/>
    </row>
    <row r="10201" spans="1:1" x14ac:dyDescent="0.25">
      <c r="A10201" s="5"/>
    </row>
    <row r="10202" spans="1:1" x14ac:dyDescent="0.25">
      <c r="A10202" s="5"/>
    </row>
    <row r="10203" spans="1:1" x14ac:dyDescent="0.25">
      <c r="A10203" s="5"/>
    </row>
    <row r="10204" spans="1:1" x14ac:dyDescent="0.25">
      <c r="A10204" s="5"/>
    </row>
    <row r="10205" spans="1:1" x14ac:dyDescent="0.25">
      <c r="A10205" s="5"/>
    </row>
    <row r="10206" spans="1:1" x14ac:dyDescent="0.25">
      <c r="A10206" s="5"/>
    </row>
    <row r="10207" spans="1:1" x14ac:dyDescent="0.25">
      <c r="A10207" s="5"/>
    </row>
    <row r="10208" spans="1:1" x14ac:dyDescent="0.25">
      <c r="A10208" s="5"/>
    </row>
    <row r="10209" spans="1:1" x14ac:dyDescent="0.25">
      <c r="A10209" s="5"/>
    </row>
    <row r="10210" spans="1:1" x14ac:dyDescent="0.25">
      <c r="A10210" s="5"/>
    </row>
    <row r="10211" spans="1:1" x14ac:dyDescent="0.25">
      <c r="A10211" s="5"/>
    </row>
    <row r="10212" spans="1:1" x14ac:dyDescent="0.25">
      <c r="A10212" s="5"/>
    </row>
    <row r="10213" spans="1:1" x14ac:dyDescent="0.25">
      <c r="A10213" s="5"/>
    </row>
    <row r="10214" spans="1:1" x14ac:dyDescent="0.25">
      <c r="A10214" s="5"/>
    </row>
    <row r="10215" spans="1:1" x14ac:dyDescent="0.25">
      <c r="A10215" s="5"/>
    </row>
    <row r="10216" spans="1:1" x14ac:dyDescent="0.25">
      <c r="A10216" s="5"/>
    </row>
    <row r="10217" spans="1:1" x14ac:dyDescent="0.25">
      <c r="A10217" s="5"/>
    </row>
    <row r="10218" spans="1:1" x14ac:dyDescent="0.25">
      <c r="A10218" s="5"/>
    </row>
    <row r="10219" spans="1:1" x14ac:dyDescent="0.25">
      <c r="A10219" s="5"/>
    </row>
    <row r="10220" spans="1:1" x14ac:dyDescent="0.25">
      <c r="A10220" s="5"/>
    </row>
    <row r="10221" spans="1:1" x14ac:dyDescent="0.25">
      <c r="A10221" s="5"/>
    </row>
    <row r="10222" spans="1:1" x14ac:dyDescent="0.25">
      <c r="A10222" s="5"/>
    </row>
    <row r="10223" spans="1:1" x14ac:dyDescent="0.25">
      <c r="A10223" s="5"/>
    </row>
    <row r="10224" spans="1:1" x14ac:dyDescent="0.25">
      <c r="A10224" s="5"/>
    </row>
    <row r="10225" spans="1:1" x14ac:dyDescent="0.25">
      <c r="A10225" s="5"/>
    </row>
    <row r="10226" spans="1:1" x14ac:dyDescent="0.25">
      <c r="A10226" s="5"/>
    </row>
    <row r="10227" spans="1:1" x14ac:dyDescent="0.25">
      <c r="A10227" s="5"/>
    </row>
    <row r="10228" spans="1:1" x14ac:dyDescent="0.25">
      <c r="A10228" s="5"/>
    </row>
    <row r="10229" spans="1:1" x14ac:dyDescent="0.25">
      <c r="A10229" s="5"/>
    </row>
    <row r="10230" spans="1:1" x14ac:dyDescent="0.25">
      <c r="A10230" s="5"/>
    </row>
    <row r="10231" spans="1:1" x14ac:dyDescent="0.25">
      <c r="A10231" s="5"/>
    </row>
    <row r="10232" spans="1:1" x14ac:dyDescent="0.25">
      <c r="A10232" s="5"/>
    </row>
    <row r="10233" spans="1:1" x14ac:dyDescent="0.25">
      <c r="A10233" s="5"/>
    </row>
    <row r="10234" spans="1:1" x14ac:dyDescent="0.25">
      <c r="A10234" s="5"/>
    </row>
    <row r="10235" spans="1:1" x14ac:dyDescent="0.25">
      <c r="A10235" s="5"/>
    </row>
    <row r="10236" spans="1:1" x14ac:dyDescent="0.25">
      <c r="A10236" s="5"/>
    </row>
    <row r="10237" spans="1:1" x14ac:dyDescent="0.25">
      <c r="A10237" s="5"/>
    </row>
    <row r="10238" spans="1:1" x14ac:dyDescent="0.25">
      <c r="A10238" s="5"/>
    </row>
    <row r="10239" spans="1:1" x14ac:dyDescent="0.25">
      <c r="A10239" s="5"/>
    </row>
    <row r="10240" spans="1:1" x14ac:dyDescent="0.25">
      <c r="A10240" s="5"/>
    </row>
    <row r="10241" spans="1:1" x14ac:dyDescent="0.25">
      <c r="A10241" s="5"/>
    </row>
    <row r="10242" spans="1:1" x14ac:dyDescent="0.25">
      <c r="A10242" s="5"/>
    </row>
    <row r="10243" spans="1:1" x14ac:dyDescent="0.25">
      <c r="A10243" s="5"/>
    </row>
    <row r="10244" spans="1:1" x14ac:dyDescent="0.25">
      <c r="A10244" s="5"/>
    </row>
    <row r="10245" spans="1:1" x14ac:dyDescent="0.25">
      <c r="A10245" s="5"/>
    </row>
    <row r="10246" spans="1:1" x14ac:dyDescent="0.25">
      <c r="A10246" s="5"/>
    </row>
    <row r="10247" spans="1:1" x14ac:dyDescent="0.25">
      <c r="A10247" s="5"/>
    </row>
    <row r="10248" spans="1:1" x14ac:dyDescent="0.25">
      <c r="A10248" s="5"/>
    </row>
    <row r="10249" spans="1:1" x14ac:dyDescent="0.25">
      <c r="A10249" s="5"/>
    </row>
    <row r="10250" spans="1:1" x14ac:dyDescent="0.25">
      <c r="A10250" s="5"/>
    </row>
    <row r="10251" spans="1:1" x14ac:dyDescent="0.25">
      <c r="A10251" s="5"/>
    </row>
    <row r="10252" spans="1:1" x14ac:dyDescent="0.25">
      <c r="A10252" s="5"/>
    </row>
    <row r="10253" spans="1:1" x14ac:dyDescent="0.25">
      <c r="A10253" s="5"/>
    </row>
    <row r="10254" spans="1:1" x14ac:dyDescent="0.25">
      <c r="A10254" s="5"/>
    </row>
    <row r="10255" spans="1:1" x14ac:dyDescent="0.25">
      <c r="A10255" s="5"/>
    </row>
    <row r="10256" spans="1:1" x14ac:dyDescent="0.25">
      <c r="A10256" s="5"/>
    </row>
    <row r="10257" spans="1:1" x14ac:dyDescent="0.25">
      <c r="A10257" s="5"/>
    </row>
    <row r="10258" spans="1:1" x14ac:dyDescent="0.25">
      <c r="A10258" s="5"/>
    </row>
    <row r="10259" spans="1:1" x14ac:dyDescent="0.25">
      <c r="A10259" s="5"/>
    </row>
    <row r="10260" spans="1:1" x14ac:dyDescent="0.25">
      <c r="A10260" s="5"/>
    </row>
    <row r="10261" spans="1:1" x14ac:dyDescent="0.25">
      <c r="A10261" s="5"/>
    </row>
    <row r="10262" spans="1:1" x14ac:dyDescent="0.25">
      <c r="A10262" s="5"/>
    </row>
    <row r="10263" spans="1:1" x14ac:dyDescent="0.25">
      <c r="A10263" s="5"/>
    </row>
    <row r="10264" spans="1:1" x14ac:dyDescent="0.25">
      <c r="A10264" s="5"/>
    </row>
    <row r="10265" spans="1:1" x14ac:dyDescent="0.25">
      <c r="A10265" s="5"/>
    </row>
    <row r="10266" spans="1:1" x14ac:dyDescent="0.25">
      <c r="A10266" s="5"/>
    </row>
    <row r="10267" spans="1:1" x14ac:dyDescent="0.25">
      <c r="A10267" s="5"/>
    </row>
    <row r="10268" spans="1:1" x14ac:dyDescent="0.25">
      <c r="A10268" s="5"/>
    </row>
    <row r="10269" spans="1:1" x14ac:dyDescent="0.25">
      <c r="A10269" s="5"/>
    </row>
    <row r="10270" spans="1:1" x14ac:dyDescent="0.25">
      <c r="A10270" s="5"/>
    </row>
    <row r="10271" spans="1:1" x14ac:dyDescent="0.25">
      <c r="A10271" s="5"/>
    </row>
    <row r="10272" spans="1:1" x14ac:dyDescent="0.25">
      <c r="A10272" s="5"/>
    </row>
    <row r="10273" spans="1:1" x14ac:dyDescent="0.25">
      <c r="A10273" s="5"/>
    </row>
    <row r="10274" spans="1:1" x14ac:dyDescent="0.25">
      <c r="A10274" s="5"/>
    </row>
    <row r="10275" spans="1:1" x14ac:dyDescent="0.25">
      <c r="A10275" s="5"/>
    </row>
    <row r="10276" spans="1:1" x14ac:dyDescent="0.25">
      <c r="A10276" s="5"/>
    </row>
    <row r="10277" spans="1:1" x14ac:dyDescent="0.25">
      <c r="A10277" s="5"/>
    </row>
    <row r="10278" spans="1:1" x14ac:dyDescent="0.25">
      <c r="A10278" s="5"/>
    </row>
    <row r="10279" spans="1:1" x14ac:dyDescent="0.25">
      <c r="A10279" s="5"/>
    </row>
    <row r="10280" spans="1:1" x14ac:dyDescent="0.25">
      <c r="A10280" s="5"/>
    </row>
    <row r="10281" spans="1:1" x14ac:dyDescent="0.25">
      <c r="A10281" s="5"/>
    </row>
    <row r="10282" spans="1:1" x14ac:dyDescent="0.25">
      <c r="A10282" s="5"/>
    </row>
    <row r="10283" spans="1:1" x14ac:dyDescent="0.25">
      <c r="A10283" s="5"/>
    </row>
    <row r="10284" spans="1:1" x14ac:dyDescent="0.25">
      <c r="A10284" s="5"/>
    </row>
    <row r="10285" spans="1:1" x14ac:dyDescent="0.25">
      <c r="A10285" s="5"/>
    </row>
    <row r="10286" spans="1:1" x14ac:dyDescent="0.25">
      <c r="A10286" s="5"/>
    </row>
    <row r="10287" spans="1:1" x14ac:dyDescent="0.25">
      <c r="A10287" s="5"/>
    </row>
    <row r="10288" spans="1:1" x14ac:dyDescent="0.25">
      <c r="A10288" s="5"/>
    </row>
    <row r="10289" spans="1:1" x14ac:dyDescent="0.25">
      <c r="A10289" s="5"/>
    </row>
    <row r="10290" spans="1:1" x14ac:dyDescent="0.25">
      <c r="A10290" s="5"/>
    </row>
    <row r="10291" spans="1:1" x14ac:dyDescent="0.25">
      <c r="A10291" s="5"/>
    </row>
    <row r="10292" spans="1:1" x14ac:dyDescent="0.25">
      <c r="A10292" s="5"/>
    </row>
    <row r="10293" spans="1:1" x14ac:dyDescent="0.25">
      <c r="A10293" s="5"/>
    </row>
    <row r="10294" spans="1:1" x14ac:dyDescent="0.25">
      <c r="A10294" s="5"/>
    </row>
    <row r="10295" spans="1:1" x14ac:dyDescent="0.25">
      <c r="A10295" s="5"/>
    </row>
    <row r="10296" spans="1:1" x14ac:dyDescent="0.25">
      <c r="A10296" s="5"/>
    </row>
    <row r="10297" spans="1:1" x14ac:dyDescent="0.25">
      <c r="A10297" s="5"/>
    </row>
    <row r="10298" spans="1:1" x14ac:dyDescent="0.25">
      <c r="A10298" s="5"/>
    </row>
    <row r="10299" spans="1:1" x14ac:dyDescent="0.25">
      <c r="A10299" s="5"/>
    </row>
    <row r="10300" spans="1:1" x14ac:dyDescent="0.25">
      <c r="A10300" s="5"/>
    </row>
    <row r="10301" spans="1:1" x14ac:dyDescent="0.25">
      <c r="A10301" s="5"/>
    </row>
    <row r="10302" spans="1:1" x14ac:dyDescent="0.25">
      <c r="A10302" s="5"/>
    </row>
    <row r="10303" spans="1:1" x14ac:dyDescent="0.25">
      <c r="A10303" s="5"/>
    </row>
    <row r="10304" spans="1:1" x14ac:dyDescent="0.25">
      <c r="A10304" s="5"/>
    </row>
    <row r="10305" spans="1:1" x14ac:dyDescent="0.25">
      <c r="A10305" s="5"/>
    </row>
    <row r="10306" spans="1:1" x14ac:dyDescent="0.25">
      <c r="A10306" s="5"/>
    </row>
    <row r="10307" spans="1:1" x14ac:dyDescent="0.25">
      <c r="A10307" s="5"/>
    </row>
    <row r="10308" spans="1:1" x14ac:dyDescent="0.25">
      <c r="A10308" s="5"/>
    </row>
    <row r="10309" spans="1:1" x14ac:dyDescent="0.25">
      <c r="A10309" s="5"/>
    </row>
    <row r="10310" spans="1:1" x14ac:dyDescent="0.25">
      <c r="A10310" s="5"/>
    </row>
    <row r="10311" spans="1:1" x14ac:dyDescent="0.25">
      <c r="A10311" s="5"/>
    </row>
    <row r="10312" spans="1:1" x14ac:dyDescent="0.25">
      <c r="A10312" s="5"/>
    </row>
    <row r="10313" spans="1:1" x14ac:dyDescent="0.25">
      <c r="A10313" s="5"/>
    </row>
    <row r="10314" spans="1:1" x14ac:dyDescent="0.25">
      <c r="A10314" s="5"/>
    </row>
    <row r="10315" spans="1:1" x14ac:dyDescent="0.25">
      <c r="A10315" s="5"/>
    </row>
    <row r="10316" spans="1:1" x14ac:dyDescent="0.25">
      <c r="A10316" s="5"/>
    </row>
    <row r="10317" spans="1:1" x14ac:dyDescent="0.25">
      <c r="A10317" s="5"/>
    </row>
    <row r="10318" spans="1:1" x14ac:dyDescent="0.25">
      <c r="A10318" s="5"/>
    </row>
    <row r="10319" spans="1:1" x14ac:dyDescent="0.25">
      <c r="A10319" s="5"/>
    </row>
    <row r="10320" spans="1:1" x14ac:dyDescent="0.25">
      <c r="A10320" s="5"/>
    </row>
    <row r="10321" spans="1:1" x14ac:dyDescent="0.25">
      <c r="A10321" s="5"/>
    </row>
    <row r="10322" spans="1:1" x14ac:dyDescent="0.25">
      <c r="A10322" s="5"/>
    </row>
    <row r="10323" spans="1:1" x14ac:dyDescent="0.25">
      <c r="A10323" s="5"/>
    </row>
    <row r="10324" spans="1:1" x14ac:dyDescent="0.25">
      <c r="A10324" s="5"/>
    </row>
    <row r="10325" spans="1:1" x14ac:dyDescent="0.25">
      <c r="A10325" s="5"/>
    </row>
    <row r="10326" spans="1:1" x14ac:dyDescent="0.25">
      <c r="A10326" s="5"/>
    </row>
    <row r="10327" spans="1:1" x14ac:dyDescent="0.25">
      <c r="A10327" s="5"/>
    </row>
    <row r="10328" spans="1:1" x14ac:dyDescent="0.25">
      <c r="A10328" s="5"/>
    </row>
    <row r="10329" spans="1:1" x14ac:dyDescent="0.25">
      <c r="A10329" s="5"/>
    </row>
    <row r="10330" spans="1:1" x14ac:dyDescent="0.25">
      <c r="A10330" s="5"/>
    </row>
    <row r="10331" spans="1:1" x14ac:dyDescent="0.25">
      <c r="A10331" s="5"/>
    </row>
    <row r="10332" spans="1:1" x14ac:dyDescent="0.25">
      <c r="A10332" s="5"/>
    </row>
    <row r="10333" spans="1:1" x14ac:dyDescent="0.25">
      <c r="A10333" s="5"/>
    </row>
    <row r="10334" spans="1:1" x14ac:dyDescent="0.25">
      <c r="A10334" s="5"/>
    </row>
    <row r="10335" spans="1:1" x14ac:dyDescent="0.25">
      <c r="A10335" s="5"/>
    </row>
    <row r="10336" spans="1:1" x14ac:dyDescent="0.25">
      <c r="A10336" s="5"/>
    </row>
    <row r="10337" spans="1:1" x14ac:dyDescent="0.25">
      <c r="A10337" s="5"/>
    </row>
    <row r="10338" spans="1:1" x14ac:dyDescent="0.25">
      <c r="A10338" s="5"/>
    </row>
    <row r="10339" spans="1:1" x14ac:dyDescent="0.25">
      <c r="A10339" s="5"/>
    </row>
    <row r="10340" spans="1:1" x14ac:dyDescent="0.25">
      <c r="A10340" s="5"/>
    </row>
    <row r="10341" spans="1:1" x14ac:dyDescent="0.25">
      <c r="A10341" s="5"/>
    </row>
    <row r="10342" spans="1:1" x14ac:dyDescent="0.25">
      <c r="A10342" s="5"/>
    </row>
    <row r="10343" spans="1:1" x14ac:dyDescent="0.25">
      <c r="A10343" s="5"/>
    </row>
    <row r="10344" spans="1:1" x14ac:dyDescent="0.25">
      <c r="A10344" s="5"/>
    </row>
    <row r="10345" spans="1:1" x14ac:dyDescent="0.25">
      <c r="A10345" s="5"/>
    </row>
    <row r="10346" spans="1:1" x14ac:dyDescent="0.25">
      <c r="A10346" s="5"/>
    </row>
    <row r="10347" spans="1:1" x14ac:dyDescent="0.25">
      <c r="A10347" s="5"/>
    </row>
    <row r="10348" spans="1:1" x14ac:dyDescent="0.25">
      <c r="A10348" s="5"/>
    </row>
    <row r="10349" spans="1:1" x14ac:dyDescent="0.25">
      <c r="A10349" s="5"/>
    </row>
    <row r="10350" spans="1:1" x14ac:dyDescent="0.25">
      <c r="A10350" s="5"/>
    </row>
    <row r="10351" spans="1:1" x14ac:dyDescent="0.25">
      <c r="A10351" s="5"/>
    </row>
    <row r="10352" spans="1:1" x14ac:dyDescent="0.25">
      <c r="A10352" s="5"/>
    </row>
    <row r="10353" spans="1:1" x14ac:dyDescent="0.25">
      <c r="A10353" s="5"/>
    </row>
    <row r="10354" spans="1:1" x14ac:dyDescent="0.25">
      <c r="A10354" s="5"/>
    </row>
    <row r="10355" spans="1:1" x14ac:dyDescent="0.25">
      <c r="A10355" s="5"/>
    </row>
    <row r="10356" spans="1:1" x14ac:dyDescent="0.25">
      <c r="A10356" s="5"/>
    </row>
    <row r="10357" spans="1:1" x14ac:dyDescent="0.25">
      <c r="A10357" s="5"/>
    </row>
    <row r="10358" spans="1:1" x14ac:dyDescent="0.25">
      <c r="A10358" s="5"/>
    </row>
    <row r="10359" spans="1:1" x14ac:dyDescent="0.25">
      <c r="A10359" s="5"/>
    </row>
    <row r="10360" spans="1:1" x14ac:dyDescent="0.25">
      <c r="A10360" s="5"/>
    </row>
    <row r="10361" spans="1:1" x14ac:dyDescent="0.25">
      <c r="A10361" s="5"/>
    </row>
    <row r="10362" spans="1:1" x14ac:dyDescent="0.25">
      <c r="A10362" s="5"/>
    </row>
    <row r="10363" spans="1:1" x14ac:dyDescent="0.25">
      <c r="A10363" s="5"/>
    </row>
    <row r="10364" spans="1:1" x14ac:dyDescent="0.25">
      <c r="A10364" s="5"/>
    </row>
    <row r="10365" spans="1:1" x14ac:dyDescent="0.25">
      <c r="A10365" s="5"/>
    </row>
    <row r="10366" spans="1:1" x14ac:dyDescent="0.25">
      <c r="A10366" s="5"/>
    </row>
    <row r="10367" spans="1:1" x14ac:dyDescent="0.25">
      <c r="A10367" s="5"/>
    </row>
    <row r="10368" spans="1:1" x14ac:dyDescent="0.25">
      <c r="A10368" s="5"/>
    </row>
    <row r="10369" spans="1:1" x14ac:dyDescent="0.25">
      <c r="A10369" s="5"/>
    </row>
    <row r="10370" spans="1:1" x14ac:dyDescent="0.25">
      <c r="A10370" s="5"/>
    </row>
    <row r="10371" spans="1:1" x14ac:dyDescent="0.25">
      <c r="A10371" s="5"/>
    </row>
    <row r="10372" spans="1:1" x14ac:dyDescent="0.25">
      <c r="A10372" s="5"/>
    </row>
    <row r="10373" spans="1:1" x14ac:dyDescent="0.25">
      <c r="A10373" s="5"/>
    </row>
    <row r="10374" spans="1:1" x14ac:dyDescent="0.25">
      <c r="A10374" s="5"/>
    </row>
    <row r="10375" spans="1:1" x14ac:dyDescent="0.25">
      <c r="A10375" s="5"/>
    </row>
    <row r="10376" spans="1:1" x14ac:dyDescent="0.25">
      <c r="A10376" s="5"/>
    </row>
    <row r="10377" spans="1:1" x14ac:dyDescent="0.25">
      <c r="A10377" s="5"/>
    </row>
    <row r="10378" spans="1:1" x14ac:dyDescent="0.25">
      <c r="A10378" s="5"/>
    </row>
    <row r="10379" spans="1:1" x14ac:dyDescent="0.25">
      <c r="A10379" s="5"/>
    </row>
    <row r="10380" spans="1:1" x14ac:dyDescent="0.25">
      <c r="A10380" s="5"/>
    </row>
    <row r="10381" spans="1:1" x14ac:dyDescent="0.25">
      <c r="A10381" s="5"/>
    </row>
    <row r="10382" spans="1:1" x14ac:dyDescent="0.25">
      <c r="A10382" s="5"/>
    </row>
    <row r="10383" spans="1:1" x14ac:dyDescent="0.25">
      <c r="A10383" s="5"/>
    </row>
    <row r="10384" spans="1:1" x14ac:dyDescent="0.25">
      <c r="A10384" s="5"/>
    </row>
    <row r="10385" spans="1:1" x14ac:dyDescent="0.25">
      <c r="A10385" s="5"/>
    </row>
    <row r="10386" spans="1:1" x14ac:dyDescent="0.25">
      <c r="A10386" s="5"/>
    </row>
    <row r="10387" spans="1:1" x14ac:dyDescent="0.25">
      <c r="A10387" s="5"/>
    </row>
    <row r="10388" spans="1:1" x14ac:dyDescent="0.25">
      <c r="A10388" s="5"/>
    </row>
    <row r="10389" spans="1:1" x14ac:dyDescent="0.25">
      <c r="A10389" s="5"/>
    </row>
    <row r="10390" spans="1:1" x14ac:dyDescent="0.25">
      <c r="A10390" s="5"/>
    </row>
    <row r="10391" spans="1:1" x14ac:dyDescent="0.25">
      <c r="A10391" s="5"/>
    </row>
    <row r="10392" spans="1:1" x14ac:dyDescent="0.25">
      <c r="A10392" s="5"/>
    </row>
    <row r="10393" spans="1:1" x14ac:dyDescent="0.25">
      <c r="A10393" s="5"/>
    </row>
    <row r="10394" spans="1:1" x14ac:dyDescent="0.25">
      <c r="A10394" s="5"/>
    </row>
    <row r="10395" spans="1:1" x14ac:dyDescent="0.25">
      <c r="A10395" s="5"/>
    </row>
    <row r="10396" spans="1:1" x14ac:dyDescent="0.25">
      <c r="A10396" s="5"/>
    </row>
    <row r="10397" spans="1:1" x14ac:dyDescent="0.25">
      <c r="A10397" s="5"/>
    </row>
    <row r="10398" spans="1:1" x14ac:dyDescent="0.25">
      <c r="A10398" s="5"/>
    </row>
    <row r="10399" spans="1:1" x14ac:dyDescent="0.25">
      <c r="A10399" s="5"/>
    </row>
    <row r="10400" spans="1:1" x14ac:dyDescent="0.25">
      <c r="A10400" s="5"/>
    </row>
    <row r="10401" spans="1:1" x14ac:dyDescent="0.25">
      <c r="A10401" s="5"/>
    </row>
    <row r="10402" spans="1:1" x14ac:dyDescent="0.25">
      <c r="A10402" s="5"/>
    </row>
    <row r="10403" spans="1:1" x14ac:dyDescent="0.25">
      <c r="A10403" s="5"/>
    </row>
    <row r="10404" spans="1:1" x14ac:dyDescent="0.25">
      <c r="A10404" s="5"/>
    </row>
    <row r="10405" spans="1:1" x14ac:dyDescent="0.25">
      <c r="A10405" s="5"/>
    </row>
    <row r="10406" spans="1:1" x14ac:dyDescent="0.25">
      <c r="A10406" s="5"/>
    </row>
    <row r="10407" spans="1:1" x14ac:dyDescent="0.25">
      <c r="A10407" s="5"/>
    </row>
    <row r="10408" spans="1:1" x14ac:dyDescent="0.25">
      <c r="A10408" s="5"/>
    </row>
    <row r="10409" spans="1:1" x14ac:dyDescent="0.25">
      <c r="A10409" s="5"/>
    </row>
    <row r="10410" spans="1:1" x14ac:dyDescent="0.25">
      <c r="A10410" s="5"/>
    </row>
    <row r="10411" spans="1:1" x14ac:dyDescent="0.25">
      <c r="A10411" s="5"/>
    </row>
    <row r="10412" spans="1:1" x14ac:dyDescent="0.25">
      <c r="A10412" s="5"/>
    </row>
    <row r="10413" spans="1:1" x14ac:dyDescent="0.25">
      <c r="A10413" s="5"/>
    </row>
    <row r="10414" spans="1:1" x14ac:dyDescent="0.25">
      <c r="A10414" s="5"/>
    </row>
    <row r="10415" spans="1:1" x14ac:dyDescent="0.25">
      <c r="A10415" s="5"/>
    </row>
    <row r="10416" spans="1:1" x14ac:dyDescent="0.25">
      <c r="A10416" s="5"/>
    </row>
    <row r="10417" spans="1:1" x14ac:dyDescent="0.25">
      <c r="A10417" s="5"/>
    </row>
    <row r="10418" spans="1:1" x14ac:dyDescent="0.25">
      <c r="A10418" s="5"/>
    </row>
    <row r="10419" spans="1:1" x14ac:dyDescent="0.25">
      <c r="A10419" s="5"/>
    </row>
    <row r="10420" spans="1:1" x14ac:dyDescent="0.25">
      <c r="A10420" s="5"/>
    </row>
    <row r="10421" spans="1:1" x14ac:dyDescent="0.25">
      <c r="A10421" s="5"/>
    </row>
    <row r="10422" spans="1:1" x14ac:dyDescent="0.25">
      <c r="A10422" s="5"/>
    </row>
    <row r="10423" spans="1:1" x14ac:dyDescent="0.25">
      <c r="A10423" s="5"/>
    </row>
    <row r="10424" spans="1:1" x14ac:dyDescent="0.25">
      <c r="A10424" s="5"/>
    </row>
    <row r="10425" spans="1:1" x14ac:dyDescent="0.25">
      <c r="A10425" s="5"/>
    </row>
    <row r="10426" spans="1:1" x14ac:dyDescent="0.25">
      <c r="A10426" s="5"/>
    </row>
    <row r="10427" spans="1:1" x14ac:dyDescent="0.25">
      <c r="A10427" s="5"/>
    </row>
    <row r="10428" spans="1:1" x14ac:dyDescent="0.25">
      <c r="A10428" s="5"/>
    </row>
    <row r="10429" spans="1:1" x14ac:dyDescent="0.25">
      <c r="A10429" s="5"/>
    </row>
    <row r="10430" spans="1:1" x14ac:dyDescent="0.25">
      <c r="A10430" s="5"/>
    </row>
    <row r="10431" spans="1:1" x14ac:dyDescent="0.25">
      <c r="A10431" s="5"/>
    </row>
    <row r="10432" spans="1:1" x14ac:dyDescent="0.25">
      <c r="A10432" s="5"/>
    </row>
    <row r="10433" spans="1:1" x14ac:dyDescent="0.25">
      <c r="A10433" s="5"/>
    </row>
    <row r="10434" spans="1:1" x14ac:dyDescent="0.25">
      <c r="A10434" s="5"/>
    </row>
    <row r="10435" spans="1:1" x14ac:dyDescent="0.25">
      <c r="A10435" s="5"/>
    </row>
    <row r="10436" spans="1:1" x14ac:dyDescent="0.25">
      <c r="A10436" s="5"/>
    </row>
    <row r="10437" spans="1:1" x14ac:dyDescent="0.25">
      <c r="A10437" s="5"/>
    </row>
    <row r="10438" spans="1:1" x14ac:dyDescent="0.25">
      <c r="A10438" s="5"/>
    </row>
    <row r="10439" spans="1:1" x14ac:dyDescent="0.25">
      <c r="A10439" s="5"/>
    </row>
    <row r="10440" spans="1:1" x14ac:dyDescent="0.25">
      <c r="A10440" s="5"/>
    </row>
    <row r="10441" spans="1:1" x14ac:dyDescent="0.25">
      <c r="A10441" s="5"/>
    </row>
    <row r="10442" spans="1:1" x14ac:dyDescent="0.25">
      <c r="A10442" s="5"/>
    </row>
    <row r="10443" spans="1:1" x14ac:dyDescent="0.25">
      <c r="A10443" s="5"/>
    </row>
    <row r="10444" spans="1:1" x14ac:dyDescent="0.25">
      <c r="A10444" s="5"/>
    </row>
    <row r="10445" spans="1:1" x14ac:dyDescent="0.25">
      <c r="A10445" s="5"/>
    </row>
    <row r="10446" spans="1:1" x14ac:dyDescent="0.25">
      <c r="A10446" s="5"/>
    </row>
    <row r="10447" spans="1:1" x14ac:dyDescent="0.25">
      <c r="A10447" s="5"/>
    </row>
    <row r="10448" spans="1:1" x14ac:dyDescent="0.25">
      <c r="A10448" s="5"/>
    </row>
    <row r="10449" spans="1:1" x14ac:dyDescent="0.25">
      <c r="A10449" s="5"/>
    </row>
    <row r="10450" spans="1:1" x14ac:dyDescent="0.25">
      <c r="A10450" s="5"/>
    </row>
    <row r="10451" spans="1:1" x14ac:dyDescent="0.25">
      <c r="A10451" s="5"/>
    </row>
    <row r="10452" spans="1:1" x14ac:dyDescent="0.25">
      <c r="A10452" s="5"/>
    </row>
    <row r="10453" spans="1:1" x14ac:dyDescent="0.25">
      <c r="A10453" s="5"/>
    </row>
    <row r="10454" spans="1:1" x14ac:dyDescent="0.25">
      <c r="A10454" s="5"/>
    </row>
    <row r="10455" spans="1:1" x14ac:dyDescent="0.25">
      <c r="A10455" s="5"/>
    </row>
    <row r="10456" spans="1:1" x14ac:dyDescent="0.25">
      <c r="A10456" s="5"/>
    </row>
    <row r="10457" spans="1:1" x14ac:dyDescent="0.25">
      <c r="A10457" s="5"/>
    </row>
    <row r="10458" spans="1:1" x14ac:dyDescent="0.25">
      <c r="A10458" s="5"/>
    </row>
    <row r="10459" spans="1:1" x14ac:dyDescent="0.25">
      <c r="A10459" s="5"/>
    </row>
    <row r="10460" spans="1:1" x14ac:dyDescent="0.25">
      <c r="A10460" s="5"/>
    </row>
    <row r="10461" spans="1:1" x14ac:dyDescent="0.25">
      <c r="A10461" s="5"/>
    </row>
    <row r="10462" spans="1:1" x14ac:dyDescent="0.25">
      <c r="A10462" s="5"/>
    </row>
    <row r="10463" spans="1:1" x14ac:dyDescent="0.25">
      <c r="A10463" s="5"/>
    </row>
    <row r="10464" spans="1:1" x14ac:dyDescent="0.25">
      <c r="A10464" s="5"/>
    </row>
    <row r="10465" spans="1:1" x14ac:dyDescent="0.25">
      <c r="A10465" s="5"/>
    </row>
    <row r="10466" spans="1:1" x14ac:dyDescent="0.25">
      <c r="A10466" s="5"/>
    </row>
    <row r="10467" spans="1:1" x14ac:dyDescent="0.25">
      <c r="A10467" s="5"/>
    </row>
    <row r="10468" spans="1:1" x14ac:dyDescent="0.25">
      <c r="A10468" s="5"/>
    </row>
    <row r="10469" spans="1:1" x14ac:dyDescent="0.25">
      <c r="A10469" s="5"/>
    </row>
    <row r="10470" spans="1:1" x14ac:dyDescent="0.25">
      <c r="A10470" s="5"/>
    </row>
    <row r="10471" spans="1:1" x14ac:dyDescent="0.25">
      <c r="A10471" s="5"/>
    </row>
    <row r="10472" spans="1:1" x14ac:dyDescent="0.25">
      <c r="A10472" s="5"/>
    </row>
    <row r="10473" spans="1:1" x14ac:dyDescent="0.25">
      <c r="A10473" s="5"/>
    </row>
    <row r="10474" spans="1:1" x14ac:dyDescent="0.25">
      <c r="A10474" s="5"/>
    </row>
    <row r="10475" spans="1:1" x14ac:dyDescent="0.25">
      <c r="A10475" s="5"/>
    </row>
    <row r="10476" spans="1:1" x14ac:dyDescent="0.25">
      <c r="A10476" s="5"/>
    </row>
    <row r="10477" spans="1:1" x14ac:dyDescent="0.25">
      <c r="A10477" s="5"/>
    </row>
    <row r="10478" spans="1:1" x14ac:dyDescent="0.25">
      <c r="A10478" s="5"/>
    </row>
    <row r="10479" spans="1:1" x14ac:dyDescent="0.25">
      <c r="A10479" s="5"/>
    </row>
    <row r="10480" spans="1:1" x14ac:dyDescent="0.25">
      <c r="A10480" s="5"/>
    </row>
    <row r="10481" spans="1:1" x14ac:dyDescent="0.25">
      <c r="A10481" s="5"/>
    </row>
    <row r="10482" spans="1:1" x14ac:dyDescent="0.25">
      <c r="A10482" s="5"/>
    </row>
    <row r="10483" spans="1:1" x14ac:dyDescent="0.25">
      <c r="A10483" s="5"/>
    </row>
    <row r="10484" spans="1:1" x14ac:dyDescent="0.25">
      <c r="A10484" s="5"/>
    </row>
    <row r="10485" spans="1:1" x14ac:dyDescent="0.25">
      <c r="A10485" s="5"/>
    </row>
    <row r="10486" spans="1:1" x14ac:dyDescent="0.25">
      <c r="A10486" s="5"/>
    </row>
    <row r="10487" spans="1:1" x14ac:dyDescent="0.25">
      <c r="A10487" s="5"/>
    </row>
    <row r="10488" spans="1:1" x14ac:dyDescent="0.25">
      <c r="A10488" s="5"/>
    </row>
    <row r="10489" spans="1:1" x14ac:dyDescent="0.25">
      <c r="A10489" s="5"/>
    </row>
    <row r="10490" spans="1:1" x14ac:dyDescent="0.25">
      <c r="A10490" s="5"/>
    </row>
    <row r="10491" spans="1:1" x14ac:dyDescent="0.25">
      <c r="A10491" s="5"/>
    </row>
    <row r="10492" spans="1:1" x14ac:dyDescent="0.25">
      <c r="A10492" s="5"/>
    </row>
    <row r="10493" spans="1:1" x14ac:dyDescent="0.25">
      <c r="A10493" s="5"/>
    </row>
    <row r="10494" spans="1:1" x14ac:dyDescent="0.25">
      <c r="A10494" s="5"/>
    </row>
    <row r="10495" spans="1:1" x14ac:dyDescent="0.25">
      <c r="A10495" s="5"/>
    </row>
    <row r="10496" spans="1:1" x14ac:dyDescent="0.25">
      <c r="A10496" s="5"/>
    </row>
    <row r="10497" spans="1:1" x14ac:dyDescent="0.25">
      <c r="A10497" s="5"/>
    </row>
    <row r="10498" spans="1:1" x14ac:dyDescent="0.25">
      <c r="A10498" s="5"/>
    </row>
    <row r="10499" spans="1:1" x14ac:dyDescent="0.25">
      <c r="A10499" s="5"/>
    </row>
    <row r="10500" spans="1:1" x14ac:dyDescent="0.25">
      <c r="A10500" s="5"/>
    </row>
    <row r="10501" spans="1:1" x14ac:dyDescent="0.25">
      <c r="A10501" s="5"/>
    </row>
    <row r="10502" spans="1:1" x14ac:dyDescent="0.25">
      <c r="A10502" s="5"/>
    </row>
    <row r="10503" spans="1:1" x14ac:dyDescent="0.25">
      <c r="A10503" s="5"/>
    </row>
    <row r="10504" spans="1:1" x14ac:dyDescent="0.25">
      <c r="A10504" s="5"/>
    </row>
    <row r="10505" spans="1:1" x14ac:dyDescent="0.25">
      <c r="A10505" s="5"/>
    </row>
    <row r="10506" spans="1:1" x14ac:dyDescent="0.25">
      <c r="A10506" s="5"/>
    </row>
    <row r="10507" spans="1:1" x14ac:dyDescent="0.25">
      <c r="A10507" s="5"/>
    </row>
    <row r="10508" spans="1:1" x14ac:dyDescent="0.25">
      <c r="A10508" s="5"/>
    </row>
    <row r="10509" spans="1:1" x14ac:dyDescent="0.25">
      <c r="A10509" s="5"/>
    </row>
    <row r="10510" spans="1:1" x14ac:dyDescent="0.25">
      <c r="A10510" s="5"/>
    </row>
    <row r="10511" spans="1:1" x14ac:dyDescent="0.25">
      <c r="A10511" s="5"/>
    </row>
    <row r="10512" spans="1:1" x14ac:dyDescent="0.25">
      <c r="A10512" s="5"/>
    </row>
    <row r="10513" spans="1:1" x14ac:dyDescent="0.25">
      <c r="A10513" s="5"/>
    </row>
    <row r="10514" spans="1:1" x14ac:dyDescent="0.25">
      <c r="A10514" s="5"/>
    </row>
    <row r="10515" spans="1:1" x14ac:dyDescent="0.25">
      <c r="A10515" s="5"/>
    </row>
    <row r="10516" spans="1:1" x14ac:dyDescent="0.25">
      <c r="A10516" s="5"/>
    </row>
    <row r="10517" spans="1:1" x14ac:dyDescent="0.25">
      <c r="A10517" s="5"/>
    </row>
    <row r="10518" spans="1:1" x14ac:dyDescent="0.25">
      <c r="A10518" s="5"/>
    </row>
    <row r="10519" spans="1:1" x14ac:dyDescent="0.25">
      <c r="A10519" s="5"/>
    </row>
    <row r="10520" spans="1:1" x14ac:dyDescent="0.25">
      <c r="A10520" s="5"/>
    </row>
    <row r="10521" spans="1:1" x14ac:dyDescent="0.25">
      <c r="A10521" s="5"/>
    </row>
    <row r="10522" spans="1:1" x14ac:dyDescent="0.25">
      <c r="A10522" s="5"/>
    </row>
    <row r="10523" spans="1:1" x14ac:dyDescent="0.25">
      <c r="A10523" s="5"/>
    </row>
    <row r="10524" spans="1:1" x14ac:dyDescent="0.25">
      <c r="A10524" s="5"/>
    </row>
    <row r="10525" spans="1:1" x14ac:dyDescent="0.25">
      <c r="A10525" s="5"/>
    </row>
    <row r="10526" spans="1:1" x14ac:dyDescent="0.25">
      <c r="A10526" s="5"/>
    </row>
    <row r="10527" spans="1:1" x14ac:dyDescent="0.25">
      <c r="A10527" s="5"/>
    </row>
    <row r="10528" spans="1:1" x14ac:dyDescent="0.25">
      <c r="A10528" s="5"/>
    </row>
    <row r="10529" spans="1:1" x14ac:dyDescent="0.25">
      <c r="A10529" s="5"/>
    </row>
    <row r="10530" spans="1:1" x14ac:dyDescent="0.25">
      <c r="A10530" s="5"/>
    </row>
    <row r="10531" spans="1:1" x14ac:dyDescent="0.25">
      <c r="A10531" s="5"/>
    </row>
    <row r="10532" spans="1:1" x14ac:dyDescent="0.25">
      <c r="A10532" s="5"/>
    </row>
    <row r="10533" spans="1:1" x14ac:dyDescent="0.25">
      <c r="A10533" s="5"/>
    </row>
    <row r="10534" spans="1:1" x14ac:dyDescent="0.25">
      <c r="A10534" s="5"/>
    </row>
    <row r="10535" spans="1:1" x14ac:dyDescent="0.25">
      <c r="A10535" s="5"/>
    </row>
    <row r="10536" spans="1:1" x14ac:dyDescent="0.25">
      <c r="A10536" s="5"/>
    </row>
    <row r="10537" spans="1:1" x14ac:dyDescent="0.25">
      <c r="A10537" s="5"/>
    </row>
    <row r="10538" spans="1:1" x14ac:dyDescent="0.25">
      <c r="A10538" s="5"/>
    </row>
    <row r="10539" spans="1:1" x14ac:dyDescent="0.25">
      <c r="A10539" s="5"/>
    </row>
    <row r="10540" spans="1:1" x14ac:dyDescent="0.25">
      <c r="A10540" s="5"/>
    </row>
    <row r="10541" spans="1:1" x14ac:dyDescent="0.25">
      <c r="A10541" s="5"/>
    </row>
    <row r="10542" spans="1:1" x14ac:dyDescent="0.25">
      <c r="A10542" s="5"/>
    </row>
    <row r="10543" spans="1:1" x14ac:dyDescent="0.25">
      <c r="A10543" s="5"/>
    </row>
    <row r="10544" spans="1:1" x14ac:dyDescent="0.25">
      <c r="A10544" s="5"/>
    </row>
    <row r="10545" spans="1:1" x14ac:dyDescent="0.25">
      <c r="A10545" s="5"/>
    </row>
    <row r="10546" spans="1:1" x14ac:dyDescent="0.25">
      <c r="A10546" s="5"/>
    </row>
    <row r="10547" spans="1:1" x14ac:dyDescent="0.25">
      <c r="A10547" s="5"/>
    </row>
    <row r="10548" spans="1:1" x14ac:dyDescent="0.25">
      <c r="A10548" s="5"/>
    </row>
    <row r="10549" spans="1:1" x14ac:dyDescent="0.25">
      <c r="A10549" s="5"/>
    </row>
    <row r="10550" spans="1:1" x14ac:dyDescent="0.25">
      <c r="A10550" s="5"/>
    </row>
    <row r="10551" spans="1:1" x14ac:dyDescent="0.25">
      <c r="A10551" s="5"/>
    </row>
    <row r="10552" spans="1:1" x14ac:dyDescent="0.25">
      <c r="A10552" s="5"/>
    </row>
    <row r="10553" spans="1:1" x14ac:dyDescent="0.25">
      <c r="A10553" s="5"/>
    </row>
    <row r="10554" spans="1:1" x14ac:dyDescent="0.25">
      <c r="A10554" s="5"/>
    </row>
    <row r="10555" spans="1:1" x14ac:dyDescent="0.25">
      <c r="A10555" s="5"/>
    </row>
    <row r="10556" spans="1:1" x14ac:dyDescent="0.25">
      <c r="A10556" s="5"/>
    </row>
    <row r="10557" spans="1:1" x14ac:dyDescent="0.25">
      <c r="A10557" s="5"/>
    </row>
    <row r="10558" spans="1:1" x14ac:dyDescent="0.25">
      <c r="A10558" s="5"/>
    </row>
    <row r="10559" spans="1:1" x14ac:dyDescent="0.25">
      <c r="A10559" s="5"/>
    </row>
    <row r="10560" spans="1:1" x14ac:dyDescent="0.25">
      <c r="A10560" s="5"/>
    </row>
    <row r="10561" spans="1:1" x14ac:dyDescent="0.25">
      <c r="A10561" s="5"/>
    </row>
    <row r="10562" spans="1:1" x14ac:dyDescent="0.25">
      <c r="A10562" s="5"/>
    </row>
    <row r="10563" spans="1:1" x14ac:dyDescent="0.25">
      <c r="A10563" s="5"/>
    </row>
    <row r="10564" spans="1:1" x14ac:dyDescent="0.25">
      <c r="A10564" s="5"/>
    </row>
    <row r="10565" spans="1:1" x14ac:dyDescent="0.25">
      <c r="A10565" s="5"/>
    </row>
    <row r="10566" spans="1:1" x14ac:dyDescent="0.25">
      <c r="A10566" s="5"/>
    </row>
    <row r="10567" spans="1:1" x14ac:dyDescent="0.25">
      <c r="A10567" s="5"/>
    </row>
    <row r="10568" spans="1:1" x14ac:dyDescent="0.25">
      <c r="A10568" s="5"/>
    </row>
    <row r="10569" spans="1:1" x14ac:dyDescent="0.25">
      <c r="A10569" s="5"/>
    </row>
    <row r="10570" spans="1:1" x14ac:dyDescent="0.25">
      <c r="A10570" s="5"/>
    </row>
    <row r="10571" spans="1:1" x14ac:dyDescent="0.25">
      <c r="A10571" s="5"/>
    </row>
    <row r="10572" spans="1:1" x14ac:dyDescent="0.25">
      <c r="A10572" s="5"/>
    </row>
    <row r="10573" spans="1:1" x14ac:dyDescent="0.25">
      <c r="A10573" s="5"/>
    </row>
    <row r="10574" spans="1:1" x14ac:dyDescent="0.25">
      <c r="A10574" s="5"/>
    </row>
    <row r="10575" spans="1:1" x14ac:dyDescent="0.25">
      <c r="A10575" s="5"/>
    </row>
    <row r="10576" spans="1:1" x14ac:dyDescent="0.25">
      <c r="A10576" s="5"/>
    </row>
    <row r="10577" spans="1:1" x14ac:dyDescent="0.25">
      <c r="A10577" s="5"/>
    </row>
    <row r="10578" spans="1:1" x14ac:dyDescent="0.25">
      <c r="A10578" s="5"/>
    </row>
    <row r="10579" spans="1:1" x14ac:dyDescent="0.25">
      <c r="A10579" s="5"/>
    </row>
    <row r="10580" spans="1:1" x14ac:dyDescent="0.25">
      <c r="A10580" s="5"/>
    </row>
    <row r="10581" spans="1:1" x14ac:dyDescent="0.25">
      <c r="A10581" s="5"/>
    </row>
    <row r="10582" spans="1:1" x14ac:dyDescent="0.25">
      <c r="A10582" s="5"/>
    </row>
    <row r="10583" spans="1:1" x14ac:dyDescent="0.25">
      <c r="A10583" s="5"/>
    </row>
    <row r="10584" spans="1:1" x14ac:dyDescent="0.25">
      <c r="A10584" s="5"/>
    </row>
    <row r="10585" spans="1:1" x14ac:dyDescent="0.25">
      <c r="A10585" s="5"/>
    </row>
    <row r="10586" spans="1:1" x14ac:dyDescent="0.25">
      <c r="A10586" s="5"/>
    </row>
    <row r="10587" spans="1:1" x14ac:dyDescent="0.25">
      <c r="A10587" s="5"/>
    </row>
    <row r="10588" spans="1:1" x14ac:dyDescent="0.25">
      <c r="A10588" s="5"/>
    </row>
    <row r="10589" spans="1:1" x14ac:dyDescent="0.25">
      <c r="A10589" s="5"/>
    </row>
    <row r="10590" spans="1:1" x14ac:dyDescent="0.25">
      <c r="A10590" s="5"/>
    </row>
    <row r="10591" spans="1:1" x14ac:dyDescent="0.25">
      <c r="A10591" s="5"/>
    </row>
    <row r="10592" spans="1:1" x14ac:dyDescent="0.25">
      <c r="A10592" s="5"/>
    </row>
    <row r="10593" spans="1:1" x14ac:dyDescent="0.25">
      <c r="A10593" s="5"/>
    </row>
    <row r="10594" spans="1:1" x14ac:dyDescent="0.25">
      <c r="A10594" s="5"/>
    </row>
    <row r="10595" spans="1:1" x14ac:dyDescent="0.25">
      <c r="A10595" s="5"/>
    </row>
    <row r="10596" spans="1:1" x14ac:dyDescent="0.25">
      <c r="A10596" s="5"/>
    </row>
    <row r="10597" spans="1:1" x14ac:dyDescent="0.25">
      <c r="A10597" s="5"/>
    </row>
    <row r="10598" spans="1:1" x14ac:dyDescent="0.25">
      <c r="A10598" s="5"/>
    </row>
    <row r="10599" spans="1:1" x14ac:dyDescent="0.25">
      <c r="A10599" s="5"/>
    </row>
    <row r="10600" spans="1:1" x14ac:dyDescent="0.25">
      <c r="A10600" s="5"/>
    </row>
    <row r="10601" spans="1:1" x14ac:dyDescent="0.25">
      <c r="A10601" s="5"/>
    </row>
    <row r="10602" spans="1:1" x14ac:dyDescent="0.25">
      <c r="A10602" s="5"/>
    </row>
    <row r="10603" spans="1:1" x14ac:dyDescent="0.25">
      <c r="A10603" s="5"/>
    </row>
    <row r="10604" spans="1:1" x14ac:dyDescent="0.25">
      <c r="A10604" s="5"/>
    </row>
    <row r="10605" spans="1:1" x14ac:dyDescent="0.25">
      <c r="A10605" s="5"/>
    </row>
    <row r="10606" spans="1:1" x14ac:dyDescent="0.25">
      <c r="A10606" s="5"/>
    </row>
    <row r="10607" spans="1:1" x14ac:dyDescent="0.25">
      <c r="A10607" s="5"/>
    </row>
    <row r="10608" spans="1:1" x14ac:dyDescent="0.25">
      <c r="A10608" s="5"/>
    </row>
    <row r="10609" spans="1:1" x14ac:dyDescent="0.25">
      <c r="A10609" s="5"/>
    </row>
    <row r="10610" spans="1:1" x14ac:dyDescent="0.25">
      <c r="A10610" s="5"/>
    </row>
    <row r="10611" spans="1:1" x14ac:dyDescent="0.25">
      <c r="A10611" s="5"/>
    </row>
    <row r="10612" spans="1:1" x14ac:dyDescent="0.25">
      <c r="A10612" s="5"/>
    </row>
    <row r="10613" spans="1:1" x14ac:dyDescent="0.25">
      <c r="A10613" s="5"/>
    </row>
    <row r="10614" spans="1:1" x14ac:dyDescent="0.25">
      <c r="A10614" s="5"/>
    </row>
    <row r="10615" spans="1:1" x14ac:dyDescent="0.25">
      <c r="A10615" s="5"/>
    </row>
    <row r="10616" spans="1:1" x14ac:dyDescent="0.25">
      <c r="A10616" s="5"/>
    </row>
    <row r="10617" spans="1:1" x14ac:dyDescent="0.25">
      <c r="A10617" s="5"/>
    </row>
    <row r="10618" spans="1:1" x14ac:dyDescent="0.25">
      <c r="A10618" s="5"/>
    </row>
    <row r="10619" spans="1:1" x14ac:dyDescent="0.25">
      <c r="A10619" s="5"/>
    </row>
    <row r="10620" spans="1:1" x14ac:dyDescent="0.25">
      <c r="A10620" s="5"/>
    </row>
    <row r="10621" spans="1:1" x14ac:dyDescent="0.25">
      <c r="A10621" s="5"/>
    </row>
    <row r="10622" spans="1:1" x14ac:dyDescent="0.25">
      <c r="A10622" s="5"/>
    </row>
    <row r="10623" spans="1:1" x14ac:dyDescent="0.25">
      <c r="A10623" s="5"/>
    </row>
    <row r="10624" spans="1:1" x14ac:dyDescent="0.25">
      <c r="A10624" s="5"/>
    </row>
    <row r="10625" spans="1:1" x14ac:dyDescent="0.25">
      <c r="A10625" s="5"/>
    </row>
    <row r="10626" spans="1:1" x14ac:dyDescent="0.25">
      <c r="A10626" s="5"/>
    </row>
    <row r="10627" spans="1:1" x14ac:dyDescent="0.25">
      <c r="A10627" s="5"/>
    </row>
    <row r="10628" spans="1:1" x14ac:dyDescent="0.25">
      <c r="A10628" s="5"/>
    </row>
    <row r="10629" spans="1:1" x14ac:dyDescent="0.25">
      <c r="A10629" s="5"/>
    </row>
    <row r="10630" spans="1:1" x14ac:dyDescent="0.25">
      <c r="A10630" s="5"/>
    </row>
    <row r="10631" spans="1:1" x14ac:dyDescent="0.25">
      <c r="A10631" s="5"/>
    </row>
    <row r="10632" spans="1:1" x14ac:dyDescent="0.25">
      <c r="A10632" s="5"/>
    </row>
    <row r="10633" spans="1:1" x14ac:dyDescent="0.25">
      <c r="A10633" s="5"/>
    </row>
    <row r="10634" spans="1:1" x14ac:dyDescent="0.25">
      <c r="A10634" s="5"/>
    </row>
    <row r="10635" spans="1:1" x14ac:dyDescent="0.25">
      <c r="A10635" s="5"/>
    </row>
    <row r="10636" spans="1:1" x14ac:dyDescent="0.25">
      <c r="A10636" s="5"/>
    </row>
    <row r="10637" spans="1:1" x14ac:dyDescent="0.25">
      <c r="A10637" s="5"/>
    </row>
    <row r="10638" spans="1:1" x14ac:dyDescent="0.25">
      <c r="A10638" s="5"/>
    </row>
    <row r="10639" spans="1:1" x14ac:dyDescent="0.25">
      <c r="A10639" s="5"/>
    </row>
    <row r="10640" spans="1:1" x14ac:dyDescent="0.25">
      <c r="A10640" s="5"/>
    </row>
    <row r="10641" spans="1:1" x14ac:dyDescent="0.25">
      <c r="A10641" s="5"/>
    </row>
    <row r="10642" spans="1:1" x14ac:dyDescent="0.25">
      <c r="A10642" s="5"/>
    </row>
    <row r="10643" spans="1:1" x14ac:dyDescent="0.25">
      <c r="A10643" s="5"/>
    </row>
    <row r="10644" spans="1:1" x14ac:dyDescent="0.25">
      <c r="A10644" s="5"/>
    </row>
    <row r="10645" spans="1:1" x14ac:dyDescent="0.25">
      <c r="A10645" s="5"/>
    </row>
    <row r="10646" spans="1:1" x14ac:dyDescent="0.25">
      <c r="A10646" s="5"/>
    </row>
    <row r="10647" spans="1:1" x14ac:dyDescent="0.25">
      <c r="A10647" s="5"/>
    </row>
    <row r="10648" spans="1:1" x14ac:dyDescent="0.25">
      <c r="A10648" s="5"/>
    </row>
    <row r="10649" spans="1:1" x14ac:dyDescent="0.25">
      <c r="A10649" s="5"/>
    </row>
    <row r="10650" spans="1:1" x14ac:dyDescent="0.25">
      <c r="A10650" s="5"/>
    </row>
    <row r="10651" spans="1:1" x14ac:dyDescent="0.25">
      <c r="A10651" s="5"/>
    </row>
    <row r="10652" spans="1:1" x14ac:dyDescent="0.25">
      <c r="A10652" s="5"/>
    </row>
    <row r="10653" spans="1:1" x14ac:dyDescent="0.25">
      <c r="A10653" s="5"/>
    </row>
    <row r="10654" spans="1:1" x14ac:dyDescent="0.25">
      <c r="A10654" s="5"/>
    </row>
    <row r="10655" spans="1:1" x14ac:dyDescent="0.25">
      <c r="A10655" s="5"/>
    </row>
    <row r="10656" spans="1:1" x14ac:dyDescent="0.25">
      <c r="A10656" s="5"/>
    </row>
    <row r="10657" spans="1:1" x14ac:dyDescent="0.25">
      <c r="A10657" s="5"/>
    </row>
    <row r="10658" spans="1:1" x14ac:dyDescent="0.25">
      <c r="A10658" s="5"/>
    </row>
    <row r="10659" spans="1:1" x14ac:dyDescent="0.25">
      <c r="A10659" s="5"/>
    </row>
    <row r="10660" spans="1:1" x14ac:dyDescent="0.25">
      <c r="A10660" s="5"/>
    </row>
    <row r="10661" spans="1:1" x14ac:dyDescent="0.25">
      <c r="A10661" s="5"/>
    </row>
    <row r="10662" spans="1:1" x14ac:dyDescent="0.25">
      <c r="A10662" s="5"/>
    </row>
    <row r="10663" spans="1:1" x14ac:dyDescent="0.25">
      <c r="A10663" s="5"/>
    </row>
    <row r="10664" spans="1:1" x14ac:dyDescent="0.25">
      <c r="A10664" s="5"/>
    </row>
    <row r="10665" spans="1:1" x14ac:dyDescent="0.25">
      <c r="A10665" s="5"/>
    </row>
    <row r="10666" spans="1:1" x14ac:dyDescent="0.25">
      <c r="A10666" s="5"/>
    </row>
    <row r="10667" spans="1:1" x14ac:dyDescent="0.25">
      <c r="A10667" s="5"/>
    </row>
    <row r="10668" spans="1:1" x14ac:dyDescent="0.25">
      <c r="A10668" s="5"/>
    </row>
    <row r="10669" spans="1:1" x14ac:dyDescent="0.25">
      <c r="A10669" s="5"/>
    </row>
    <row r="10670" spans="1:1" x14ac:dyDescent="0.25">
      <c r="A10670" s="5"/>
    </row>
    <row r="10671" spans="1:1" x14ac:dyDescent="0.25">
      <c r="A10671" s="5"/>
    </row>
    <row r="10672" spans="1:1" x14ac:dyDescent="0.25">
      <c r="A10672" s="5"/>
    </row>
    <row r="10673" spans="1:1" x14ac:dyDescent="0.25">
      <c r="A10673" s="5"/>
    </row>
    <row r="10674" spans="1:1" x14ac:dyDescent="0.25">
      <c r="A10674" s="5"/>
    </row>
    <row r="10675" spans="1:1" x14ac:dyDescent="0.25">
      <c r="A10675" s="5"/>
    </row>
    <row r="10676" spans="1:1" x14ac:dyDescent="0.25">
      <c r="A10676" s="5"/>
    </row>
    <row r="10677" spans="1:1" x14ac:dyDescent="0.25">
      <c r="A10677" s="5"/>
    </row>
    <row r="10678" spans="1:1" x14ac:dyDescent="0.25">
      <c r="A10678" s="5"/>
    </row>
    <row r="10679" spans="1:1" x14ac:dyDescent="0.25">
      <c r="A10679" s="5"/>
    </row>
    <row r="10680" spans="1:1" x14ac:dyDescent="0.25">
      <c r="A10680" s="5"/>
    </row>
    <row r="10681" spans="1:1" x14ac:dyDescent="0.25">
      <c r="A10681" s="5"/>
    </row>
    <row r="10682" spans="1:1" x14ac:dyDescent="0.25">
      <c r="A10682" s="5"/>
    </row>
    <row r="10683" spans="1:1" x14ac:dyDescent="0.25">
      <c r="A10683" s="5"/>
    </row>
    <row r="10684" spans="1:1" x14ac:dyDescent="0.25">
      <c r="A10684" s="5"/>
    </row>
    <row r="10685" spans="1:1" x14ac:dyDescent="0.25">
      <c r="A10685" s="5"/>
    </row>
    <row r="10686" spans="1:1" x14ac:dyDescent="0.25">
      <c r="A10686" s="5"/>
    </row>
    <row r="10687" spans="1:1" x14ac:dyDescent="0.25">
      <c r="A10687" s="5"/>
    </row>
    <row r="10688" spans="1:1" x14ac:dyDescent="0.25">
      <c r="A10688" s="5"/>
    </row>
    <row r="10689" spans="1:1" x14ac:dyDescent="0.25">
      <c r="A10689" s="5"/>
    </row>
    <row r="10690" spans="1:1" x14ac:dyDescent="0.25">
      <c r="A10690" s="5"/>
    </row>
    <row r="10691" spans="1:1" x14ac:dyDescent="0.25">
      <c r="A10691" s="5"/>
    </row>
    <row r="10692" spans="1:1" x14ac:dyDescent="0.25">
      <c r="A10692" s="5"/>
    </row>
    <row r="10693" spans="1:1" x14ac:dyDescent="0.25">
      <c r="A10693" s="5"/>
    </row>
    <row r="10694" spans="1:1" x14ac:dyDescent="0.25">
      <c r="A10694" s="5"/>
    </row>
    <row r="10695" spans="1:1" x14ac:dyDescent="0.25">
      <c r="A10695" s="5"/>
    </row>
    <row r="10696" spans="1:1" x14ac:dyDescent="0.25">
      <c r="A10696" s="5"/>
    </row>
    <row r="10697" spans="1:1" x14ac:dyDescent="0.25">
      <c r="A10697" s="5"/>
    </row>
    <row r="10698" spans="1:1" x14ac:dyDescent="0.25">
      <c r="A10698" s="5"/>
    </row>
    <row r="10699" spans="1:1" x14ac:dyDescent="0.25">
      <c r="A10699" s="5"/>
    </row>
    <row r="10700" spans="1:1" x14ac:dyDescent="0.25">
      <c r="A10700" s="5"/>
    </row>
    <row r="10701" spans="1:1" x14ac:dyDescent="0.25">
      <c r="A10701" s="5"/>
    </row>
    <row r="10702" spans="1:1" x14ac:dyDescent="0.25">
      <c r="A10702" s="5"/>
    </row>
    <row r="10703" spans="1:1" x14ac:dyDescent="0.25">
      <c r="A10703" s="5"/>
    </row>
    <row r="10704" spans="1:1" x14ac:dyDescent="0.25">
      <c r="A10704" s="5"/>
    </row>
    <row r="10705" spans="1:1" x14ac:dyDescent="0.25">
      <c r="A10705" s="5"/>
    </row>
    <row r="10706" spans="1:1" x14ac:dyDescent="0.25">
      <c r="A10706" s="5"/>
    </row>
    <row r="10707" spans="1:1" x14ac:dyDescent="0.25">
      <c r="A10707" s="5"/>
    </row>
    <row r="10708" spans="1:1" x14ac:dyDescent="0.25">
      <c r="A10708" s="5"/>
    </row>
    <row r="10709" spans="1:1" x14ac:dyDescent="0.25">
      <c r="A10709" s="5"/>
    </row>
    <row r="10710" spans="1:1" x14ac:dyDescent="0.25">
      <c r="A10710" s="5"/>
    </row>
    <row r="10711" spans="1:1" x14ac:dyDescent="0.25">
      <c r="A10711" s="5"/>
    </row>
    <row r="10712" spans="1:1" x14ac:dyDescent="0.25">
      <c r="A10712" s="5"/>
    </row>
    <row r="10713" spans="1:1" x14ac:dyDescent="0.25">
      <c r="A10713" s="5"/>
    </row>
    <row r="10714" spans="1:1" x14ac:dyDescent="0.25">
      <c r="A10714" s="5"/>
    </row>
    <row r="10715" spans="1:1" x14ac:dyDescent="0.25">
      <c r="A10715" s="5"/>
    </row>
    <row r="10716" spans="1:1" x14ac:dyDescent="0.25">
      <c r="A10716" s="5"/>
    </row>
    <row r="10717" spans="1:1" x14ac:dyDescent="0.25">
      <c r="A10717" s="5"/>
    </row>
    <row r="10718" spans="1:1" x14ac:dyDescent="0.25">
      <c r="A10718" s="5"/>
    </row>
    <row r="10719" spans="1:1" x14ac:dyDescent="0.25">
      <c r="A10719" s="5"/>
    </row>
    <row r="10720" spans="1:1" x14ac:dyDescent="0.25">
      <c r="A10720" s="5"/>
    </row>
    <row r="10721" spans="1:1" x14ac:dyDescent="0.25">
      <c r="A10721" s="5"/>
    </row>
    <row r="10722" spans="1:1" x14ac:dyDescent="0.25">
      <c r="A10722" s="5"/>
    </row>
    <row r="10723" spans="1:1" x14ac:dyDescent="0.25">
      <c r="A10723" s="5"/>
    </row>
    <row r="10724" spans="1:1" x14ac:dyDescent="0.25">
      <c r="A10724" s="5"/>
    </row>
    <row r="10725" spans="1:1" x14ac:dyDescent="0.25">
      <c r="A10725" s="5"/>
    </row>
    <row r="10726" spans="1:1" x14ac:dyDescent="0.25">
      <c r="A10726" s="5"/>
    </row>
    <row r="10727" spans="1:1" x14ac:dyDescent="0.25">
      <c r="A10727" s="5"/>
    </row>
    <row r="10728" spans="1:1" x14ac:dyDescent="0.25">
      <c r="A10728" s="5"/>
    </row>
    <row r="10729" spans="1:1" x14ac:dyDescent="0.25">
      <c r="A10729" s="5"/>
    </row>
    <row r="10730" spans="1:1" x14ac:dyDescent="0.25">
      <c r="A10730" s="5"/>
    </row>
    <row r="10731" spans="1:1" x14ac:dyDescent="0.25">
      <c r="A10731" s="5"/>
    </row>
    <row r="10732" spans="1:1" x14ac:dyDescent="0.25">
      <c r="A10732" s="5"/>
    </row>
    <row r="10733" spans="1:1" x14ac:dyDescent="0.25">
      <c r="A10733" s="5"/>
    </row>
    <row r="10734" spans="1:1" x14ac:dyDescent="0.25">
      <c r="A10734" s="5"/>
    </row>
    <row r="10735" spans="1:1" x14ac:dyDescent="0.25">
      <c r="A10735" s="5"/>
    </row>
    <row r="10736" spans="1:1" x14ac:dyDescent="0.25">
      <c r="A10736" s="5"/>
    </row>
    <row r="10737" spans="1:1" x14ac:dyDescent="0.25">
      <c r="A10737" s="5"/>
    </row>
    <row r="10738" spans="1:1" x14ac:dyDescent="0.25">
      <c r="A10738" s="5"/>
    </row>
    <row r="10739" spans="1:1" x14ac:dyDescent="0.25">
      <c r="A10739" s="5"/>
    </row>
    <row r="10740" spans="1:1" x14ac:dyDescent="0.25">
      <c r="A10740" s="5"/>
    </row>
    <row r="10741" spans="1:1" x14ac:dyDescent="0.25">
      <c r="A10741" s="5"/>
    </row>
    <row r="10742" spans="1:1" x14ac:dyDescent="0.25">
      <c r="A10742" s="5"/>
    </row>
    <row r="10743" spans="1:1" x14ac:dyDescent="0.25">
      <c r="A10743" s="5"/>
    </row>
    <row r="10744" spans="1:1" x14ac:dyDescent="0.25">
      <c r="A10744" s="5"/>
    </row>
    <row r="10745" spans="1:1" x14ac:dyDescent="0.25">
      <c r="A10745" s="5"/>
    </row>
    <row r="10746" spans="1:1" x14ac:dyDescent="0.25">
      <c r="A10746" s="5"/>
    </row>
    <row r="10747" spans="1:1" x14ac:dyDescent="0.25">
      <c r="A10747" s="5"/>
    </row>
    <row r="10748" spans="1:1" x14ac:dyDescent="0.25">
      <c r="A10748" s="5"/>
    </row>
    <row r="10749" spans="1:1" x14ac:dyDescent="0.25">
      <c r="A10749" s="5"/>
    </row>
    <row r="10750" spans="1:1" x14ac:dyDescent="0.25">
      <c r="A10750" s="5"/>
    </row>
    <row r="10751" spans="1:1" x14ac:dyDescent="0.25">
      <c r="A10751" s="5"/>
    </row>
    <row r="10752" spans="1:1" x14ac:dyDescent="0.25">
      <c r="A10752" s="5"/>
    </row>
    <row r="10753" spans="1:1" x14ac:dyDescent="0.25">
      <c r="A10753" s="5"/>
    </row>
    <row r="10754" spans="1:1" x14ac:dyDescent="0.25">
      <c r="A10754" s="5"/>
    </row>
    <row r="10755" spans="1:1" x14ac:dyDescent="0.25">
      <c r="A10755" s="5"/>
    </row>
    <row r="10756" spans="1:1" x14ac:dyDescent="0.25">
      <c r="A10756" s="5"/>
    </row>
    <row r="10757" spans="1:1" x14ac:dyDescent="0.25">
      <c r="A10757" s="5"/>
    </row>
    <row r="10758" spans="1:1" x14ac:dyDescent="0.25">
      <c r="A10758" s="5"/>
    </row>
    <row r="10759" spans="1:1" x14ac:dyDescent="0.25">
      <c r="A10759" s="5"/>
    </row>
    <row r="10760" spans="1:1" x14ac:dyDescent="0.25">
      <c r="A10760" s="5"/>
    </row>
    <row r="10761" spans="1:1" x14ac:dyDescent="0.25">
      <c r="A10761" s="5"/>
    </row>
    <row r="10762" spans="1:1" x14ac:dyDescent="0.25">
      <c r="A10762" s="5"/>
    </row>
    <row r="10763" spans="1:1" x14ac:dyDescent="0.25">
      <c r="A10763" s="5"/>
    </row>
    <row r="10764" spans="1:1" x14ac:dyDescent="0.25">
      <c r="A10764" s="5"/>
    </row>
    <row r="10765" spans="1:1" x14ac:dyDescent="0.25">
      <c r="A10765" s="5"/>
    </row>
    <row r="10766" spans="1:1" x14ac:dyDescent="0.25">
      <c r="A10766" s="5"/>
    </row>
    <row r="10767" spans="1:1" x14ac:dyDescent="0.25">
      <c r="A10767" s="5"/>
    </row>
    <row r="10768" spans="1:1" x14ac:dyDescent="0.25">
      <c r="A10768" s="5"/>
    </row>
    <row r="10769" spans="1:1" x14ac:dyDescent="0.25">
      <c r="A10769" s="5"/>
    </row>
    <row r="10770" spans="1:1" x14ac:dyDescent="0.25">
      <c r="A10770" s="5"/>
    </row>
    <row r="10771" spans="1:1" x14ac:dyDescent="0.25">
      <c r="A10771" s="5"/>
    </row>
    <row r="10772" spans="1:1" x14ac:dyDescent="0.25">
      <c r="A10772" s="5"/>
    </row>
    <row r="10773" spans="1:1" x14ac:dyDescent="0.25">
      <c r="A10773" s="5"/>
    </row>
    <row r="10774" spans="1:1" x14ac:dyDescent="0.25">
      <c r="A10774" s="5"/>
    </row>
    <row r="10775" spans="1:1" x14ac:dyDescent="0.25">
      <c r="A10775" s="5"/>
    </row>
    <row r="10776" spans="1:1" x14ac:dyDescent="0.25">
      <c r="A10776" s="5"/>
    </row>
    <row r="10777" spans="1:1" x14ac:dyDescent="0.25">
      <c r="A10777" s="5"/>
    </row>
    <row r="10778" spans="1:1" x14ac:dyDescent="0.25">
      <c r="A10778" s="5"/>
    </row>
    <row r="10779" spans="1:1" x14ac:dyDescent="0.25">
      <c r="A10779" s="5"/>
    </row>
    <row r="10780" spans="1:1" x14ac:dyDescent="0.25">
      <c r="A10780" s="5"/>
    </row>
    <row r="10781" spans="1:1" x14ac:dyDescent="0.25">
      <c r="A10781" s="5"/>
    </row>
    <row r="10782" spans="1:1" x14ac:dyDescent="0.25">
      <c r="A10782" s="5"/>
    </row>
    <row r="10783" spans="1:1" x14ac:dyDescent="0.25">
      <c r="A10783" s="5"/>
    </row>
    <row r="10784" spans="1:1" x14ac:dyDescent="0.25">
      <c r="A10784" s="5"/>
    </row>
    <row r="10785" spans="1:1" x14ac:dyDescent="0.25">
      <c r="A10785" s="5"/>
    </row>
    <row r="10786" spans="1:1" x14ac:dyDescent="0.25">
      <c r="A10786" s="5"/>
    </row>
    <row r="10787" spans="1:1" x14ac:dyDescent="0.25">
      <c r="A10787" s="5"/>
    </row>
    <row r="10788" spans="1:1" x14ac:dyDescent="0.25">
      <c r="A10788" s="5"/>
    </row>
    <row r="10789" spans="1:1" x14ac:dyDescent="0.25">
      <c r="A10789" s="5"/>
    </row>
    <row r="10790" spans="1:1" x14ac:dyDescent="0.25">
      <c r="A10790" s="5"/>
    </row>
    <row r="10791" spans="1:1" x14ac:dyDescent="0.25">
      <c r="A10791" s="5"/>
    </row>
    <row r="10792" spans="1:1" x14ac:dyDescent="0.25">
      <c r="A10792" s="5"/>
    </row>
    <row r="10793" spans="1:1" x14ac:dyDescent="0.25">
      <c r="A10793" s="5"/>
    </row>
    <row r="10794" spans="1:1" x14ac:dyDescent="0.25">
      <c r="A10794" s="5"/>
    </row>
    <row r="10795" spans="1:1" x14ac:dyDescent="0.25">
      <c r="A10795" s="5"/>
    </row>
    <row r="10796" spans="1:1" x14ac:dyDescent="0.25">
      <c r="A10796" s="5"/>
    </row>
    <row r="10797" spans="1:1" x14ac:dyDescent="0.25">
      <c r="A10797" s="5"/>
    </row>
    <row r="10798" spans="1:1" x14ac:dyDescent="0.25">
      <c r="A10798" s="5"/>
    </row>
    <row r="10799" spans="1:1" x14ac:dyDescent="0.25">
      <c r="A10799" s="5"/>
    </row>
    <row r="10800" spans="1:1" x14ac:dyDescent="0.25">
      <c r="A10800" s="5"/>
    </row>
    <row r="10801" spans="1:1" x14ac:dyDescent="0.25">
      <c r="A10801" s="5"/>
    </row>
    <row r="10802" spans="1:1" x14ac:dyDescent="0.25">
      <c r="A10802" s="5"/>
    </row>
    <row r="10803" spans="1:1" x14ac:dyDescent="0.25">
      <c r="A10803" s="5"/>
    </row>
    <row r="10804" spans="1:1" x14ac:dyDescent="0.25">
      <c r="A10804" s="5"/>
    </row>
    <row r="10805" spans="1:1" x14ac:dyDescent="0.25">
      <c r="A10805" s="5"/>
    </row>
    <row r="10806" spans="1:1" x14ac:dyDescent="0.25">
      <c r="A10806" s="5"/>
    </row>
    <row r="10807" spans="1:1" x14ac:dyDescent="0.25">
      <c r="A10807" s="5"/>
    </row>
    <row r="10808" spans="1:1" x14ac:dyDescent="0.25">
      <c r="A10808" s="5"/>
    </row>
    <row r="10809" spans="1:1" x14ac:dyDescent="0.25">
      <c r="A10809" s="5"/>
    </row>
    <row r="10810" spans="1:1" x14ac:dyDescent="0.25">
      <c r="A10810" s="5"/>
    </row>
    <row r="10811" spans="1:1" x14ac:dyDescent="0.25">
      <c r="A10811" s="5"/>
    </row>
    <row r="10812" spans="1:1" x14ac:dyDescent="0.25">
      <c r="A10812" s="5"/>
    </row>
    <row r="10813" spans="1:1" x14ac:dyDescent="0.25">
      <c r="A10813" s="5"/>
    </row>
    <row r="10814" spans="1:1" x14ac:dyDescent="0.25">
      <c r="A10814" s="5"/>
    </row>
    <row r="10815" spans="1:1" x14ac:dyDescent="0.25">
      <c r="A10815" s="5"/>
    </row>
    <row r="10816" spans="1:1" x14ac:dyDescent="0.25">
      <c r="A10816" s="5"/>
    </row>
    <row r="10817" spans="1:1" x14ac:dyDescent="0.25">
      <c r="A10817" s="5"/>
    </row>
    <row r="10818" spans="1:1" x14ac:dyDescent="0.25">
      <c r="A10818" s="5"/>
    </row>
    <row r="10819" spans="1:1" x14ac:dyDescent="0.25">
      <c r="A10819" s="5"/>
    </row>
    <row r="10820" spans="1:1" x14ac:dyDescent="0.25">
      <c r="A10820" s="5"/>
    </row>
    <row r="10821" spans="1:1" x14ac:dyDescent="0.25">
      <c r="A10821" s="5"/>
    </row>
    <row r="10822" spans="1:1" x14ac:dyDescent="0.25">
      <c r="A10822" s="5"/>
    </row>
    <row r="10823" spans="1:1" x14ac:dyDescent="0.25">
      <c r="A10823" s="5"/>
    </row>
    <row r="10824" spans="1:1" x14ac:dyDescent="0.25">
      <c r="A10824" s="5"/>
    </row>
    <row r="10825" spans="1:1" x14ac:dyDescent="0.25">
      <c r="A10825" s="5"/>
    </row>
    <row r="10826" spans="1:1" x14ac:dyDescent="0.25">
      <c r="A10826" s="5"/>
    </row>
    <row r="10827" spans="1:1" x14ac:dyDescent="0.25">
      <c r="A10827" s="5"/>
    </row>
    <row r="10828" spans="1:1" x14ac:dyDescent="0.25">
      <c r="A10828" s="5"/>
    </row>
    <row r="10829" spans="1:1" x14ac:dyDescent="0.25">
      <c r="A10829" s="5"/>
    </row>
    <row r="10830" spans="1:1" x14ac:dyDescent="0.25">
      <c r="A10830" s="5"/>
    </row>
    <row r="10831" spans="1:1" x14ac:dyDescent="0.25">
      <c r="A10831" s="5"/>
    </row>
    <row r="10832" spans="1:1" x14ac:dyDescent="0.25">
      <c r="A10832" s="5"/>
    </row>
    <row r="10833" spans="1:1" x14ac:dyDescent="0.25">
      <c r="A10833" s="5"/>
    </row>
    <row r="10834" spans="1:1" x14ac:dyDescent="0.25">
      <c r="A10834" s="5"/>
    </row>
    <row r="10835" spans="1:1" x14ac:dyDescent="0.25">
      <c r="A10835" s="5"/>
    </row>
    <row r="10836" spans="1:1" x14ac:dyDescent="0.25">
      <c r="A10836" s="5"/>
    </row>
    <row r="10837" spans="1:1" x14ac:dyDescent="0.25">
      <c r="A10837" s="5"/>
    </row>
    <row r="10838" spans="1:1" x14ac:dyDescent="0.25">
      <c r="A10838" s="5"/>
    </row>
    <row r="10839" spans="1:1" x14ac:dyDescent="0.25">
      <c r="A10839" s="5"/>
    </row>
    <row r="10840" spans="1:1" x14ac:dyDescent="0.25">
      <c r="A10840" s="5"/>
    </row>
    <row r="10841" spans="1:1" x14ac:dyDescent="0.25">
      <c r="A10841" s="5"/>
    </row>
    <row r="10842" spans="1:1" x14ac:dyDescent="0.25">
      <c r="A10842" s="5"/>
    </row>
    <row r="10843" spans="1:1" x14ac:dyDescent="0.25">
      <c r="A10843" s="5"/>
    </row>
    <row r="10844" spans="1:1" x14ac:dyDescent="0.25">
      <c r="A10844" s="5"/>
    </row>
    <row r="10845" spans="1:1" x14ac:dyDescent="0.25">
      <c r="A10845" s="5"/>
    </row>
    <row r="10846" spans="1:1" x14ac:dyDescent="0.25">
      <c r="A10846" s="5"/>
    </row>
    <row r="10847" spans="1:1" x14ac:dyDescent="0.25">
      <c r="A10847" s="5"/>
    </row>
    <row r="10848" spans="1:1" x14ac:dyDescent="0.25">
      <c r="A10848" s="5"/>
    </row>
    <row r="10849" spans="1:1" x14ac:dyDescent="0.25">
      <c r="A10849" s="5"/>
    </row>
    <row r="10850" spans="1:1" x14ac:dyDescent="0.25">
      <c r="A10850" s="5"/>
    </row>
    <row r="10851" spans="1:1" x14ac:dyDescent="0.25">
      <c r="A10851" s="5"/>
    </row>
    <row r="10852" spans="1:1" x14ac:dyDescent="0.25">
      <c r="A10852" s="5"/>
    </row>
    <row r="10853" spans="1:1" x14ac:dyDescent="0.25">
      <c r="A10853" s="5"/>
    </row>
    <row r="10854" spans="1:1" x14ac:dyDescent="0.25">
      <c r="A10854" s="5"/>
    </row>
    <row r="10855" spans="1:1" x14ac:dyDescent="0.25">
      <c r="A10855" s="5"/>
    </row>
    <row r="10856" spans="1:1" x14ac:dyDescent="0.25">
      <c r="A10856" s="5"/>
    </row>
    <row r="10857" spans="1:1" x14ac:dyDescent="0.25">
      <c r="A10857" s="5"/>
    </row>
    <row r="10858" spans="1:1" x14ac:dyDescent="0.25">
      <c r="A10858" s="5"/>
    </row>
    <row r="10859" spans="1:1" x14ac:dyDescent="0.25">
      <c r="A10859" s="5"/>
    </row>
    <row r="10860" spans="1:1" x14ac:dyDescent="0.25">
      <c r="A10860" s="5"/>
    </row>
    <row r="10861" spans="1:1" x14ac:dyDescent="0.25">
      <c r="A10861" s="5"/>
    </row>
    <row r="10862" spans="1:1" x14ac:dyDescent="0.25">
      <c r="A10862" s="5"/>
    </row>
    <row r="10863" spans="1:1" x14ac:dyDescent="0.25">
      <c r="A10863" s="5"/>
    </row>
    <row r="10864" spans="1:1" x14ac:dyDescent="0.25">
      <c r="A10864" s="5"/>
    </row>
    <row r="10865" spans="1:1" x14ac:dyDescent="0.25">
      <c r="A10865" s="5"/>
    </row>
    <row r="10866" spans="1:1" x14ac:dyDescent="0.25">
      <c r="A10866" s="5"/>
    </row>
    <row r="10867" spans="1:1" x14ac:dyDescent="0.25">
      <c r="A10867" s="5"/>
    </row>
    <row r="10868" spans="1:1" x14ac:dyDescent="0.25">
      <c r="A10868" s="5"/>
    </row>
    <row r="10869" spans="1:1" x14ac:dyDescent="0.25">
      <c r="A10869" s="5"/>
    </row>
    <row r="10870" spans="1:1" x14ac:dyDescent="0.25">
      <c r="A10870" s="5"/>
    </row>
    <row r="10871" spans="1:1" x14ac:dyDescent="0.25">
      <c r="A10871" s="5"/>
    </row>
    <row r="10872" spans="1:1" x14ac:dyDescent="0.25">
      <c r="A10872" s="5"/>
    </row>
    <row r="10873" spans="1:1" x14ac:dyDescent="0.25">
      <c r="A10873" s="5"/>
    </row>
    <row r="10874" spans="1:1" x14ac:dyDescent="0.25">
      <c r="A10874" s="5"/>
    </row>
    <row r="10875" spans="1:1" x14ac:dyDescent="0.25">
      <c r="A10875" s="5"/>
    </row>
    <row r="10876" spans="1:1" x14ac:dyDescent="0.25">
      <c r="A10876" s="5"/>
    </row>
    <row r="10877" spans="1:1" x14ac:dyDescent="0.25">
      <c r="A10877" s="5"/>
    </row>
    <row r="10878" spans="1:1" x14ac:dyDescent="0.25">
      <c r="A10878" s="5"/>
    </row>
    <row r="10879" spans="1:1" x14ac:dyDescent="0.25">
      <c r="A10879" s="5"/>
    </row>
    <row r="10880" spans="1:1" x14ac:dyDescent="0.25">
      <c r="A10880" s="5"/>
    </row>
    <row r="10881" spans="1:1" x14ac:dyDescent="0.25">
      <c r="A10881" s="5"/>
    </row>
    <row r="10882" spans="1:1" x14ac:dyDescent="0.25">
      <c r="A10882" s="5"/>
    </row>
    <row r="10883" spans="1:1" x14ac:dyDescent="0.25">
      <c r="A10883" s="5"/>
    </row>
    <row r="10884" spans="1:1" x14ac:dyDescent="0.25">
      <c r="A10884" s="5"/>
    </row>
    <row r="10885" spans="1:1" x14ac:dyDescent="0.25">
      <c r="A10885" s="5"/>
    </row>
    <row r="10886" spans="1:1" x14ac:dyDescent="0.25">
      <c r="A10886" s="5"/>
    </row>
    <row r="10887" spans="1:1" x14ac:dyDescent="0.25">
      <c r="A10887" s="5"/>
    </row>
    <row r="10888" spans="1:1" x14ac:dyDescent="0.25">
      <c r="A10888" s="5"/>
    </row>
    <row r="10889" spans="1:1" x14ac:dyDescent="0.25">
      <c r="A10889" s="5"/>
    </row>
    <row r="10890" spans="1:1" x14ac:dyDescent="0.25">
      <c r="A10890" s="5"/>
    </row>
    <row r="10891" spans="1:1" x14ac:dyDescent="0.25">
      <c r="A10891" s="5"/>
    </row>
    <row r="10892" spans="1:1" x14ac:dyDescent="0.25">
      <c r="A10892" s="5"/>
    </row>
    <row r="10893" spans="1:1" x14ac:dyDescent="0.25">
      <c r="A10893" s="5"/>
    </row>
    <row r="10894" spans="1:1" x14ac:dyDescent="0.25">
      <c r="A10894" s="5"/>
    </row>
    <row r="10895" spans="1:1" x14ac:dyDescent="0.25">
      <c r="A10895" s="5"/>
    </row>
    <row r="10896" spans="1:1" x14ac:dyDescent="0.25">
      <c r="A10896" s="5"/>
    </row>
    <row r="10897" spans="1:1" x14ac:dyDescent="0.25">
      <c r="A10897" s="5"/>
    </row>
    <row r="10898" spans="1:1" x14ac:dyDescent="0.25">
      <c r="A10898" s="5"/>
    </row>
    <row r="10899" spans="1:1" x14ac:dyDescent="0.25">
      <c r="A10899" s="5"/>
    </row>
    <row r="10900" spans="1:1" x14ac:dyDescent="0.25">
      <c r="A10900" s="5"/>
    </row>
    <row r="10901" spans="1:1" x14ac:dyDescent="0.25">
      <c r="A10901" s="5"/>
    </row>
    <row r="10902" spans="1:1" x14ac:dyDescent="0.25">
      <c r="A10902" s="5"/>
    </row>
    <row r="10903" spans="1:1" x14ac:dyDescent="0.25">
      <c r="A10903" s="5"/>
    </row>
    <row r="10904" spans="1:1" x14ac:dyDescent="0.25">
      <c r="A10904" s="5"/>
    </row>
    <row r="10905" spans="1:1" x14ac:dyDescent="0.25">
      <c r="A10905" s="5"/>
    </row>
    <row r="10906" spans="1:1" x14ac:dyDescent="0.25">
      <c r="A10906" s="5"/>
    </row>
    <row r="10907" spans="1:1" x14ac:dyDescent="0.25">
      <c r="A10907" s="5"/>
    </row>
    <row r="10908" spans="1:1" x14ac:dyDescent="0.25">
      <c r="A10908" s="5"/>
    </row>
    <row r="10909" spans="1:1" x14ac:dyDescent="0.25">
      <c r="A10909" s="5"/>
    </row>
    <row r="10910" spans="1:1" x14ac:dyDescent="0.25">
      <c r="A10910" s="5"/>
    </row>
    <row r="10911" spans="1:1" x14ac:dyDescent="0.25">
      <c r="A10911" s="5"/>
    </row>
    <row r="10912" spans="1:1" x14ac:dyDescent="0.25">
      <c r="A10912" s="5"/>
    </row>
    <row r="10913" spans="1:1" x14ac:dyDescent="0.25">
      <c r="A10913" s="5"/>
    </row>
    <row r="10914" spans="1:1" x14ac:dyDescent="0.25">
      <c r="A10914" s="5"/>
    </row>
    <row r="10915" spans="1:1" x14ac:dyDescent="0.25">
      <c r="A10915" s="5"/>
    </row>
    <row r="10916" spans="1:1" x14ac:dyDescent="0.25">
      <c r="A10916" s="5"/>
    </row>
    <row r="10917" spans="1:1" x14ac:dyDescent="0.25">
      <c r="A10917" s="5"/>
    </row>
    <row r="10918" spans="1:1" x14ac:dyDescent="0.25">
      <c r="A10918" s="5"/>
    </row>
    <row r="10919" spans="1:1" x14ac:dyDescent="0.25">
      <c r="A10919" s="5"/>
    </row>
    <row r="10920" spans="1:1" x14ac:dyDescent="0.25">
      <c r="A10920" s="5"/>
    </row>
    <row r="10921" spans="1:1" x14ac:dyDescent="0.25">
      <c r="A10921" s="5"/>
    </row>
    <row r="10922" spans="1:1" x14ac:dyDescent="0.25">
      <c r="A10922" s="5"/>
    </row>
    <row r="10923" spans="1:1" x14ac:dyDescent="0.25">
      <c r="A10923" s="5"/>
    </row>
    <row r="10924" spans="1:1" x14ac:dyDescent="0.25">
      <c r="A10924" s="5"/>
    </row>
    <row r="10925" spans="1:1" x14ac:dyDescent="0.25">
      <c r="A10925" s="5"/>
    </row>
    <row r="10926" spans="1:1" x14ac:dyDescent="0.25">
      <c r="A10926" s="5"/>
    </row>
    <row r="10927" spans="1:1" x14ac:dyDescent="0.25">
      <c r="A10927" s="5"/>
    </row>
    <row r="10928" spans="1:1" x14ac:dyDescent="0.25">
      <c r="A10928" s="5"/>
    </row>
    <row r="10929" spans="1:1" x14ac:dyDescent="0.25">
      <c r="A10929" s="5"/>
    </row>
    <row r="10930" spans="1:1" x14ac:dyDescent="0.25">
      <c r="A10930" s="5"/>
    </row>
    <row r="10931" spans="1:1" x14ac:dyDescent="0.25">
      <c r="A10931" s="5"/>
    </row>
    <row r="10932" spans="1:1" x14ac:dyDescent="0.25">
      <c r="A10932" s="5"/>
    </row>
    <row r="10933" spans="1:1" x14ac:dyDescent="0.25">
      <c r="A10933" s="5"/>
    </row>
    <row r="10934" spans="1:1" x14ac:dyDescent="0.25">
      <c r="A10934" s="5"/>
    </row>
    <row r="10935" spans="1:1" x14ac:dyDescent="0.25">
      <c r="A10935" s="5"/>
    </row>
    <row r="10936" spans="1:1" x14ac:dyDescent="0.25">
      <c r="A10936" s="5"/>
    </row>
    <row r="10937" spans="1:1" x14ac:dyDescent="0.25">
      <c r="A10937" s="5"/>
    </row>
    <row r="10938" spans="1:1" x14ac:dyDescent="0.25">
      <c r="A10938" s="5"/>
    </row>
    <row r="10939" spans="1:1" x14ac:dyDescent="0.25">
      <c r="A10939" s="5"/>
    </row>
    <row r="10940" spans="1:1" x14ac:dyDescent="0.25">
      <c r="A10940" s="5"/>
    </row>
    <row r="10941" spans="1:1" x14ac:dyDescent="0.25">
      <c r="A10941" s="5"/>
    </row>
    <row r="10942" spans="1:1" x14ac:dyDescent="0.25">
      <c r="A10942" s="5"/>
    </row>
    <row r="10943" spans="1:1" x14ac:dyDescent="0.25">
      <c r="A10943" s="5"/>
    </row>
    <row r="10944" spans="1:1" x14ac:dyDescent="0.25">
      <c r="A10944" s="5"/>
    </row>
    <row r="10945" spans="1:1" x14ac:dyDescent="0.25">
      <c r="A10945" s="5"/>
    </row>
    <row r="10946" spans="1:1" x14ac:dyDescent="0.25">
      <c r="A10946" s="5"/>
    </row>
    <row r="10947" spans="1:1" x14ac:dyDescent="0.25">
      <c r="A10947" s="5"/>
    </row>
    <row r="10948" spans="1:1" x14ac:dyDescent="0.25">
      <c r="A10948" s="5"/>
    </row>
    <row r="10949" spans="1:1" x14ac:dyDescent="0.25">
      <c r="A10949" s="5"/>
    </row>
    <row r="10950" spans="1:1" x14ac:dyDescent="0.25">
      <c r="A10950" s="5"/>
    </row>
    <row r="10951" spans="1:1" x14ac:dyDescent="0.25">
      <c r="A10951" s="5"/>
    </row>
    <row r="10952" spans="1:1" x14ac:dyDescent="0.25">
      <c r="A10952" s="5"/>
    </row>
    <row r="10953" spans="1:1" x14ac:dyDescent="0.25">
      <c r="A10953" s="5"/>
    </row>
    <row r="10954" spans="1:1" x14ac:dyDescent="0.25">
      <c r="A10954" s="5"/>
    </row>
    <row r="10955" spans="1:1" x14ac:dyDescent="0.25">
      <c r="A10955" s="5"/>
    </row>
    <row r="10956" spans="1:1" x14ac:dyDescent="0.25">
      <c r="A10956" s="5"/>
    </row>
    <row r="10957" spans="1:1" x14ac:dyDescent="0.25">
      <c r="A10957" s="5"/>
    </row>
    <row r="10958" spans="1:1" x14ac:dyDescent="0.25">
      <c r="A10958" s="5"/>
    </row>
    <row r="10959" spans="1:1" x14ac:dyDescent="0.25">
      <c r="A10959" s="5"/>
    </row>
    <row r="10960" spans="1:1" x14ac:dyDescent="0.25">
      <c r="A10960" s="5"/>
    </row>
    <row r="10961" spans="1:1" x14ac:dyDescent="0.25">
      <c r="A10961" s="5"/>
    </row>
    <row r="10962" spans="1:1" x14ac:dyDescent="0.25">
      <c r="A10962" s="5"/>
    </row>
    <row r="10963" spans="1:1" x14ac:dyDescent="0.25">
      <c r="A10963" s="5"/>
    </row>
    <row r="10964" spans="1:1" x14ac:dyDescent="0.25">
      <c r="A10964" s="5"/>
    </row>
    <row r="10965" spans="1:1" x14ac:dyDescent="0.25">
      <c r="A10965" s="5"/>
    </row>
    <row r="10966" spans="1:1" x14ac:dyDescent="0.25">
      <c r="A10966" s="5"/>
    </row>
    <row r="10967" spans="1:1" x14ac:dyDescent="0.25">
      <c r="A10967" s="5"/>
    </row>
    <row r="10968" spans="1:1" x14ac:dyDescent="0.25">
      <c r="A10968" s="5"/>
    </row>
    <row r="10969" spans="1:1" x14ac:dyDescent="0.25">
      <c r="A10969" s="5"/>
    </row>
    <row r="10970" spans="1:1" x14ac:dyDescent="0.25">
      <c r="A10970" s="5"/>
    </row>
    <row r="10971" spans="1:1" x14ac:dyDescent="0.25">
      <c r="A10971" s="5"/>
    </row>
    <row r="10972" spans="1:1" x14ac:dyDescent="0.25">
      <c r="A10972" s="5"/>
    </row>
    <row r="10973" spans="1:1" x14ac:dyDescent="0.25">
      <c r="A10973" s="5"/>
    </row>
    <row r="10974" spans="1:1" x14ac:dyDescent="0.25">
      <c r="A10974" s="5"/>
    </row>
    <row r="10975" spans="1:1" x14ac:dyDescent="0.25">
      <c r="A10975" s="5"/>
    </row>
    <row r="10976" spans="1:1" x14ac:dyDescent="0.25">
      <c r="A10976" s="5"/>
    </row>
    <row r="10977" spans="1:1" x14ac:dyDescent="0.25">
      <c r="A10977" s="5"/>
    </row>
    <row r="10978" spans="1:1" x14ac:dyDescent="0.25">
      <c r="A10978" s="5"/>
    </row>
    <row r="10979" spans="1:1" x14ac:dyDescent="0.25">
      <c r="A10979" s="5"/>
    </row>
    <row r="10980" spans="1:1" x14ac:dyDescent="0.25">
      <c r="A10980" s="5"/>
    </row>
    <row r="10981" spans="1:1" x14ac:dyDescent="0.25">
      <c r="A10981" s="5"/>
    </row>
    <row r="10982" spans="1:1" x14ac:dyDescent="0.25">
      <c r="A10982" s="5"/>
    </row>
    <row r="10983" spans="1:1" x14ac:dyDescent="0.25">
      <c r="A10983" s="5"/>
    </row>
    <row r="10984" spans="1:1" x14ac:dyDescent="0.25">
      <c r="A10984" s="5"/>
    </row>
    <row r="10985" spans="1:1" x14ac:dyDescent="0.25">
      <c r="A10985" s="5"/>
    </row>
    <row r="10986" spans="1:1" x14ac:dyDescent="0.25">
      <c r="A10986" s="5"/>
    </row>
    <row r="10987" spans="1:1" x14ac:dyDescent="0.25">
      <c r="A10987" s="5"/>
    </row>
    <row r="10988" spans="1:1" x14ac:dyDescent="0.25">
      <c r="A10988" s="5"/>
    </row>
    <row r="10989" spans="1:1" x14ac:dyDescent="0.25">
      <c r="A10989" s="5"/>
    </row>
    <row r="10990" spans="1:1" x14ac:dyDescent="0.25">
      <c r="A10990" s="5"/>
    </row>
    <row r="10991" spans="1:1" x14ac:dyDescent="0.25">
      <c r="A10991" s="5"/>
    </row>
    <row r="10992" spans="1:1" x14ac:dyDescent="0.25">
      <c r="A10992" s="5"/>
    </row>
    <row r="10993" spans="1:1" x14ac:dyDescent="0.25">
      <c r="A10993" s="5"/>
    </row>
    <row r="10994" spans="1:1" x14ac:dyDescent="0.25">
      <c r="A10994" s="5"/>
    </row>
    <row r="10995" spans="1:1" x14ac:dyDescent="0.25">
      <c r="A10995" s="5"/>
    </row>
    <row r="10996" spans="1:1" x14ac:dyDescent="0.25">
      <c r="A10996" s="5"/>
    </row>
    <row r="10997" spans="1:1" x14ac:dyDescent="0.25">
      <c r="A10997" s="5"/>
    </row>
    <row r="10998" spans="1:1" x14ac:dyDescent="0.25">
      <c r="A10998" s="5"/>
    </row>
    <row r="10999" spans="1:1" x14ac:dyDescent="0.25">
      <c r="A10999" s="5"/>
    </row>
    <row r="11000" spans="1:1" x14ac:dyDescent="0.25">
      <c r="A11000" s="5"/>
    </row>
    <row r="11001" spans="1:1" x14ac:dyDescent="0.25">
      <c r="A11001" s="5"/>
    </row>
    <row r="11002" spans="1:1" x14ac:dyDescent="0.25">
      <c r="A11002" s="5"/>
    </row>
    <row r="11003" spans="1:1" x14ac:dyDescent="0.25">
      <c r="A11003" s="5"/>
    </row>
    <row r="11004" spans="1:1" x14ac:dyDescent="0.25">
      <c r="A11004" s="5"/>
    </row>
    <row r="11005" spans="1:1" x14ac:dyDescent="0.25">
      <c r="A11005" s="5"/>
    </row>
    <row r="11006" spans="1:1" x14ac:dyDescent="0.25">
      <c r="A11006" s="5"/>
    </row>
    <row r="11007" spans="1:1" x14ac:dyDescent="0.25">
      <c r="A11007" s="5"/>
    </row>
    <row r="11008" spans="1:1" x14ac:dyDescent="0.25">
      <c r="A11008" s="5"/>
    </row>
    <row r="11009" spans="1:1" x14ac:dyDescent="0.25">
      <c r="A11009" s="5"/>
    </row>
    <row r="11010" spans="1:1" x14ac:dyDescent="0.25">
      <c r="A11010" s="5"/>
    </row>
    <row r="11011" spans="1:1" x14ac:dyDescent="0.25">
      <c r="A11011" s="5"/>
    </row>
    <row r="11012" spans="1:1" x14ac:dyDescent="0.25">
      <c r="A11012" s="5"/>
    </row>
    <row r="11013" spans="1:1" x14ac:dyDescent="0.25">
      <c r="A11013" s="5"/>
    </row>
    <row r="11014" spans="1:1" x14ac:dyDescent="0.25">
      <c r="A11014" s="5"/>
    </row>
    <row r="11015" spans="1:1" x14ac:dyDescent="0.25">
      <c r="A11015" s="5"/>
    </row>
    <row r="11016" spans="1:1" x14ac:dyDescent="0.25">
      <c r="A11016" s="5"/>
    </row>
    <row r="11017" spans="1:1" x14ac:dyDescent="0.25">
      <c r="A11017" s="5"/>
    </row>
    <row r="11018" spans="1:1" x14ac:dyDescent="0.25">
      <c r="A11018" s="5"/>
    </row>
    <row r="11019" spans="1:1" x14ac:dyDescent="0.25">
      <c r="A11019" s="5"/>
    </row>
    <row r="11020" spans="1:1" x14ac:dyDescent="0.25">
      <c r="A11020" s="5"/>
    </row>
    <row r="11021" spans="1:1" x14ac:dyDescent="0.25">
      <c r="A11021" s="5"/>
    </row>
    <row r="11022" spans="1:1" x14ac:dyDescent="0.25">
      <c r="A11022" s="5"/>
    </row>
    <row r="11023" spans="1:1" x14ac:dyDescent="0.25">
      <c r="A11023" s="5"/>
    </row>
    <row r="11024" spans="1:1" x14ac:dyDescent="0.25">
      <c r="A11024" s="5"/>
    </row>
    <row r="11025" spans="1:1" x14ac:dyDescent="0.25">
      <c r="A11025" s="5"/>
    </row>
    <row r="11026" spans="1:1" x14ac:dyDescent="0.25">
      <c r="A11026" s="5"/>
    </row>
    <row r="11027" spans="1:1" x14ac:dyDescent="0.25">
      <c r="A11027" s="5"/>
    </row>
    <row r="11028" spans="1:1" x14ac:dyDescent="0.25">
      <c r="A11028" s="5"/>
    </row>
    <row r="11029" spans="1:1" x14ac:dyDescent="0.25">
      <c r="A11029" s="5"/>
    </row>
    <row r="11030" spans="1:1" x14ac:dyDescent="0.25">
      <c r="A11030" s="5"/>
    </row>
    <row r="11031" spans="1:1" x14ac:dyDescent="0.25">
      <c r="A11031" s="5"/>
    </row>
    <row r="11032" spans="1:1" x14ac:dyDescent="0.25">
      <c r="A11032" s="5"/>
    </row>
    <row r="11033" spans="1:1" x14ac:dyDescent="0.25">
      <c r="A11033" s="5"/>
    </row>
    <row r="11034" spans="1:1" x14ac:dyDescent="0.25">
      <c r="A11034" s="5"/>
    </row>
    <row r="11035" spans="1:1" x14ac:dyDescent="0.25">
      <c r="A11035" s="5"/>
    </row>
    <row r="11036" spans="1:1" x14ac:dyDescent="0.25">
      <c r="A11036" s="5"/>
    </row>
    <row r="11037" spans="1:1" x14ac:dyDescent="0.25">
      <c r="A11037" s="5"/>
    </row>
    <row r="11038" spans="1:1" x14ac:dyDescent="0.25">
      <c r="A11038" s="5"/>
    </row>
    <row r="11039" spans="1:1" x14ac:dyDescent="0.25">
      <c r="A11039" s="5"/>
    </row>
    <row r="11040" spans="1:1" x14ac:dyDescent="0.25">
      <c r="A11040" s="5"/>
    </row>
    <row r="11041" spans="1:1" x14ac:dyDescent="0.25">
      <c r="A11041" s="5"/>
    </row>
    <row r="11042" spans="1:1" x14ac:dyDescent="0.25">
      <c r="A11042" s="5"/>
    </row>
    <row r="11043" spans="1:1" x14ac:dyDescent="0.25">
      <c r="A11043" s="5"/>
    </row>
    <row r="11044" spans="1:1" x14ac:dyDescent="0.25">
      <c r="A11044" s="5"/>
    </row>
    <row r="11045" spans="1:1" x14ac:dyDescent="0.25">
      <c r="A11045" s="5"/>
    </row>
    <row r="11046" spans="1:1" x14ac:dyDescent="0.25">
      <c r="A11046" s="5"/>
    </row>
    <row r="11047" spans="1:1" x14ac:dyDescent="0.25">
      <c r="A11047" s="5"/>
    </row>
    <row r="11048" spans="1:1" x14ac:dyDescent="0.25">
      <c r="A11048" s="5"/>
    </row>
    <row r="11049" spans="1:1" x14ac:dyDescent="0.25">
      <c r="A11049" s="5"/>
    </row>
    <row r="11050" spans="1:1" x14ac:dyDescent="0.25">
      <c r="A11050" s="5"/>
    </row>
    <row r="11051" spans="1:1" x14ac:dyDescent="0.25">
      <c r="A11051" s="5"/>
    </row>
    <row r="11052" spans="1:1" x14ac:dyDescent="0.25">
      <c r="A11052" s="5"/>
    </row>
    <row r="11053" spans="1:1" x14ac:dyDescent="0.25">
      <c r="A11053" s="5"/>
    </row>
    <row r="11054" spans="1:1" x14ac:dyDescent="0.25">
      <c r="A11054" s="5"/>
    </row>
    <row r="11055" spans="1:1" x14ac:dyDescent="0.25">
      <c r="A11055" s="5"/>
    </row>
    <row r="11056" spans="1:1" x14ac:dyDescent="0.25">
      <c r="A11056" s="5"/>
    </row>
    <row r="11057" spans="1:1" x14ac:dyDescent="0.25">
      <c r="A11057" s="5"/>
    </row>
    <row r="11058" spans="1:1" x14ac:dyDescent="0.25">
      <c r="A11058" s="5"/>
    </row>
    <row r="11059" spans="1:1" x14ac:dyDescent="0.25">
      <c r="A11059" s="5"/>
    </row>
    <row r="11060" spans="1:1" x14ac:dyDescent="0.25">
      <c r="A11060" s="5"/>
    </row>
    <row r="11061" spans="1:1" x14ac:dyDescent="0.25">
      <c r="A11061" s="5"/>
    </row>
    <row r="11062" spans="1:1" x14ac:dyDescent="0.25">
      <c r="A11062" s="5"/>
    </row>
    <row r="11063" spans="1:1" x14ac:dyDescent="0.25">
      <c r="A11063" s="5"/>
    </row>
    <row r="11064" spans="1:1" x14ac:dyDescent="0.25">
      <c r="A11064" s="5"/>
    </row>
    <row r="11065" spans="1:1" x14ac:dyDescent="0.25">
      <c r="A11065" s="5"/>
    </row>
    <row r="11066" spans="1:1" x14ac:dyDescent="0.25">
      <c r="A11066" s="5"/>
    </row>
    <row r="11067" spans="1:1" x14ac:dyDescent="0.25">
      <c r="A11067" s="5"/>
    </row>
    <row r="11068" spans="1:1" x14ac:dyDescent="0.25">
      <c r="A11068" s="5"/>
    </row>
    <row r="11069" spans="1:1" x14ac:dyDescent="0.25">
      <c r="A11069" s="5"/>
    </row>
    <row r="11070" spans="1:1" x14ac:dyDescent="0.25">
      <c r="A11070" s="5"/>
    </row>
    <row r="11071" spans="1:1" x14ac:dyDescent="0.25">
      <c r="A11071" s="5"/>
    </row>
    <row r="11072" spans="1:1" x14ac:dyDescent="0.25">
      <c r="A11072" s="5"/>
    </row>
    <row r="11073" spans="1:1" x14ac:dyDescent="0.25">
      <c r="A11073" s="5"/>
    </row>
    <row r="11074" spans="1:1" x14ac:dyDescent="0.25">
      <c r="A11074" s="5"/>
    </row>
    <row r="11075" spans="1:1" x14ac:dyDescent="0.25">
      <c r="A11075" s="5"/>
    </row>
    <row r="11076" spans="1:1" x14ac:dyDescent="0.25">
      <c r="A11076" s="5"/>
    </row>
    <row r="11077" spans="1:1" x14ac:dyDescent="0.25">
      <c r="A11077" s="5"/>
    </row>
    <row r="11078" spans="1:1" x14ac:dyDescent="0.25">
      <c r="A11078" s="5"/>
    </row>
    <row r="11079" spans="1:1" x14ac:dyDescent="0.25">
      <c r="A11079" s="5"/>
    </row>
    <row r="11080" spans="1:1" x14ac:dyDescent="0.25">
      <c r="A11080" s="5"/>
    </row>
    <row r="11081" spans="1:1" x14ac:dyDescent="0.25">
      <c r="A11081" s="5"/>
    </row>
    <row r="11082" spans="1:1" x14ac:dyDescent="0.25">
      <c r="A11082" s="5"/>
    </row>
    <row r="11083" spans="1:1" x14ac:dyDescent="0.25">
      <c r="A11083" s="5"/>
    </row>
    <row r="11084" spans="1:1" x14ac:dyDescent="0.25">
      <c r="A11084" s="5"/>
    </row>
    <row r="11085" spans="1:1" x14ac:dyDescent="0.25">
      <c r="A11085" s="5"/>
    </row>
    <row r="11086" spans="1:1" x14ac:dyDescent="0.25">
      <c r="A11086" s="5"/>
    </row>
    <row r="11087" spans="1:1" x14ac:dyDescent="0.25">
      <c r="A11087" s="5"/>
    </row>
    <row r="11088" spans="1:1" x14ac:dyDescent="0.25">
      <c r="A11088" s="5"/>
    </row>
    <row r="11089" spans="1:1" x14ac:dyDescent="0.25">
      <c r="A11089" s="5"/>
    </row>
    <row r="11090" spans="1:1" x14ac:dyDescent="0.25">
      <c r="A11090" s="5"/>
    </row>
    <row r="11091" spans="1:1" x14ac:dyDescent="0.25">
      <c r="A11091" s="5"/>
    </row>
    <row r="11092" spans="1:1" x14ac:dyDescent="0.25">
      <c r="A11092" s="5"/>
    </row>
    <row r="11093" spans="1:1" x14ac:dyDescent="0.25">
      <c r="A11093" s="5"/>
    </row>
    <row r="11094" spans="1:1" x14ac:dyDescent="0.25">
      <c r="A11094" s="5"/>
    </row>
    <row r="11095" spans="1:1" x14ac:dyDescent="0.25">
      <c r="A11095" s="5"/>
    </row>
    <row r="11096" spans="1:1" x14ac:dyDescent="0.25">
      <c r="A11096" s="5"/>
    </row>
    <row r="11097" spans="1:1" x14ac:dyDescent="0.25">
      <c r="A11097" s="5"/>
    </row>
    <row r="11098" spans="1:1" x14ac:dyDescent="0.25">
      <c r="A11098" s="5"/>
    </row>
    <row r="11099" spans="1:1" x14ac:dyDescent="0.25">
      <c r="A11099" s="5"/>
    </row>
    <row r="11100" spans="1:1" x14ac:dyDescent="0.25">
      <c r="A11100" s="5"/>
    </row>
    <row r="11101" spans="1:1" x14ac:dyDescent="0.25">
      <c r="A11101" s="5"/>
    </row>
    <row r="11102" spans="1:1" x14ac:dyDescent="0.25">
      <c r="A11102" s="5"/>
    </row>
    <row r="11103" spans="1:1" x14ac:dyDescent="0.25">
      <c r="A11103" s="5"/>
    </row>
    <row r="11104" spans="1:1" x14ac:dyDescent="0.25">
      <c r="A11104" s="5"/>
    </row>
    <row r="11105" spans="1:1" x14ac:dyDescent="0.25">
      <c r="A11105" s="5"/>
    </row>
    <row r="11106" spans="1:1" x14ac:dyDescent="0.25">
      <c r="A11106" s="5"/>
    </row>
    <row r="11107" spans="1:1" x14ac:dyDescent="0.25">
      <c r="A11107" s="5"/>
    </row>
    <row r="11108" spans="1:1" x14ac:dyDescent="0.25">
      <c r="A11108" s="5"/>
    </row>
    <row r="11109" spans="1:1" x14ac:dyDescent="0.25">
      <c r="A11109" s="5"/>
    </row>
    <row r="11110" spans="1:1" x14ac:dyDescent="0.25">
      <c r="A11110" s="5"/>
    </row>
    <row r="11111" spans="1:1" x14ac:dyDescent="0.25">
      <c r="A11111" s="5"/>
    </row>
    <row r="11112" spans="1:1" x14ac:dyDescent="0.25">
      <c r="A11112" s="5"/>
    </row>
    <row r="11113" spans="1:1" x14ac:dyDescent="0.25">
      <c r="A11113" s="5"/>
    </row>
    <row r="11114" spans="1:1" x14ac:dyDescent="0.25">
      <c r="A11114" s="5"/>
    </row>
    <row r="11115" spans="1:1" x14ac:dyDescent="0.25">
      <c r="A11115" s="5"/>
    </row>
    <row r="11116" spans="1:1" x14ac:dyDescent="0.25">
      <c r="A11116" s="5"/>
    </row>
    <row r="11117" spans="1:1" x14ac:dyDescent="0.25">
      <c r="A11117" s="5"/>
    </row>
    <row r="11118" spans="1:1" x14ac:dyDescent="0.25">
      <c r="A11118" s="5"/>
    </row>
    <row r="11119" spans="1:1" x14ac:dyDescent="0.25">
      <c r="A11119" s="5"/>
    </row>
    <row r="11120" spans="1:1" x14ac:dyDescent="0.25">
      <c r="A11120" s="5"/>
    </row>
    <row r="11121" spans="1:1" x14ac:dyDescent="0.25">
      <c r="A11121" s="5"/>
    </row>
    <row r="11122" spans="1:1" x14ac:dyDescent="0.25">
      <c r="A11122" s="5"/>
    </row>
    <row r="11123" spans="1:1" x14ac:dyDescent="0.25">
      <c r="A11123" s="5"/>
    </row>
    <row r="11124" spans="1:1" x14ac:dyDescent="0.25">
      <c r="A11124" s="5"/>
    </row>
    <row r="11125" spans="1:1" x14ac:dyDescent="0.25">
      <c r="A11125" s="5"/>
    </row>
    <row r="11126" spans="1:1" x14ac:dyDescent="0.25">
      <c r="A11126" s="5"/>
    </row>
    <row r="11127" spans="1:1" x14ac:dyDescent="0.25">
      <c r="A11127" s="5"/>
    </row>
    <row r="11128" spans="1:1" x14ac:dyDescent="0.25">
      <c r="A11128" s="5"/>
    </row>
    <row r="11129" spans="1:1" x14ac:dyDescent="0.25">
      <c r="A11129" s="5"/>
    </row>
    <row r="11130" spans="1:1" x14ac:dyDescent="0.25">
      <c r="A11130" s="5"/>
    </row>
    <row r="11131" spans="1:1" x14ac:dyDescent="0.25">
      <c r="A11131" s="5"/>
    </row>
    <row r="11132" spans="1:1" x14ac:dyDescent="0.25">
      <c r="A11132" s="5"/>
    </row>
    <row r="11133" spans="1:1" x14ac:dyDescent="0.25">
      <c r="A11133" s="5"/>
    </row>
    <row r="11134" spans="1:1" x14ac:dyDescent="0.25">
      <c r="A11134" s="5"/>
    </row>
    <row r="11135" spans="1:1" x14ac:dyDescent="0.25">
      <c r="A11135" s="5"/>
    </row>
    <row r="11136" spans="1:1" x14ac:dyDescent="0.25">
      <c r="A11136" s="5"/>
    </row>
    <row r="11137" spans="1:1" x14ac:dyDescent="0.25">
      <c r="A11137" s="5"/>
    </row>
    <row r="11138" spans="1:1" x14ac:dyDescent="0.25">
      <c r="A11138" s="5"/>
    </row>
    <row r="11139" spans="1:1" x14ac:dyDescent="0.25">
      <c r="A11139" s="5"/>
    </row>
    <row r="11140" spans="1:1" x14ac:dyDescent="0.25">
      <c r="A11140" s="5"/>
    </row>
    <row r="11141" spans="1:1" x14ac:dyDescent="0.25">
      <c r="A11141" s="5"/>
    </row>
    <row r="11142" spans="1:1" x14ac:dyDescent="0.25">
      <c r="A11142" s="5"/>
    </row>
    <row r="11143" spans="1:1" x14ac:dyDescent="0.25">
      <c r="A11143" s="5"/>
    </row>
    <row r="11144" spans="1:1" x14ac:dyDescent="0.25">
      <c r="A11144" s="5"/>
    </row>
    <row r="11145" spans="1:1" x14ac:dyDescent="0.25">
      <c r="A11145" s="5"/>
    </row>
    <row r="11146" spans="1:1" x14ac:dyDescent="0.25">
      <c r="A11146" s="5"/>
    </row>
    <row r="11147" spans="1:1" x14ac:dyDescent="0.25">
      <c r="A11147" s="5"/>
    </row>
    <row r="11148" spans="1:1" x14ac:dyDescent="0.25">
      <c r="A11148" s="5"/>
    </row>
    <row r="11149" spans="1:1" x14ac:dyDescent="0.25">
      <c r="A11149" s="5"/>
    </row>
    <row r="11150" spans="1:1" x14ac:dyDescent="0.25">
      <c r="A11150" s="5"/>
    </row>
    <row r="11151" spans="1:1" x14ac:dyDescent="0.25">
      <c r="A11151" s="5"/>
    </row>
    <row r="11152" spans="1:1" x14ac:dyDescent="0.25">
      <c r="A11152" s="5"/>
    </row>
    <row r="11153" spans="1:1" x14ac:dyDescent="0.25">
      <c r="A11153" s="5"/>
    </row>
    <row r="11154" spans="1:1" x14ac:dyDescent="0.25">
      <c r="A11154" s="5"/>
    </row>
    <row r="11155" spans="1:1" x14ac:dyDescent="0.25">
      <c r="A11155" s="5"/>
    </row>
    <row r="11156" spans="1:1" x14ac:dyDescent="0.25">
      <c r="A11156" s="5"/>
    </row>
    <row r="11157" spans="1:1" x14ac:dyDescent="0.25">
      <c r="A11157" s="5"/>
    </row>
    <row r="11158" spans="1:1" x14ac:dyDescent="0.25">
      <c r="A11158" s="5"/>
    </row>
    <row r="11159" spans="1:1" x14ac:dyDescent="0.25">
      <c r="A11159" s="5"/>
    </row>
    <row r="11160" spans="1:1" x14ac:dyDescent="0.25">
      <c r="A11160" s="5"/>
    </row>
    <row r="11161" spans="1:1" x14ac:dyDescent="0.25">
      <c r="A11161" s="5"/>
    </row>
    <row r="11162" spans="1:1" x14ac:dyDescent="0.25">
      <c r="A11162" s="5"/>
    </row>
    <row r="11163" spans="1:1" x14ac:dyDescent="0.25">
      <c r="A11163" s="5"/>
    </row>
    <row r="11164" spans="1:1" x14ac:dyDescent="0.25">
      <c r="A11164" s="5"/>
    </row>
    <row r="11165" spans="1:1" x14ac:dyDescent="0.25">
      <c r="A11165" s="5"/>
    </row>
    <row r="11166" spans="1:1" x14ac:dyDescent="0.25">
      <c r="A11166" s="5"/>
    </row>
    <row r="11167" spans="1:1" x14ac:dyDescent="0.25">
      <c r="A11167" s="5"/>
    </row>
    <row r="11168" spans="1:1" x14ac:dyDescent="0.25">
      <c r="A11168" s="5"/>
    </row>
    <row r="11169" spans="1:1" x14ac:dyDescent="0.25">
      <c r="A11169" s="5"/>
    </row>
    <row r="11170" spans="1:1" x14ac:dyDescent="0.25">
      <c r="A11170" s="5"/>
    </row>
    <row r="11171" spans="1:1" x14ac:dyDescent="0.25">
      <c r="A11171" s="5"/>
    </row>
    <row r="11172" spans="1:1" x14ac:dyDescent="0.25">
      <c r="A11172" s="5"/>
    </row>
    <row r="11173" spans="1:1" x14ac:dyDescent="0.25">
      <c r="A11173" s="5"/>
    </row>
    <row r="11174" spans="1:1" x14ac:dyDescent="0.25">
      <c r="A11174" s="5"/>
    </row>
    <row r="11175" spans="1:1" x14ac:dyDescent="0.25">
      <c r="A11175" s="5"/>
    </row>
    <row r="11176" spans="1:1" x14ac:dyDescent="0.25">
      <c r="A11176" s="5"/>
    </row>
    <row r="11177" spans="1:1" x14ac:dyDescent="0.25">
      <c r="A11177" s="5"/>
    </row>
    <row r="11178" spans="1:1" x14ac:dyDescent="0.25">
      <c r="A11178" s="5"/>
    </row>
    <row r="11179" spans="1:1" x14ac:dyDescent="0.25">
      <c r="A11179" s="5"/>
    </row>
    <row r="11180" spans="1:1" x14ac:dyDescent="0.25">
      <c r="A11180" s="5"/>
    </row>
    <row r="11181" spans="1:1" x14ac:dyDescent="0.25">
      <c r="A11181" s="5"/>
    </row>
    <row r="11182" spans="1:1" x14ac:dyDescent="0.25">
      <c r="A11182" s="5"/>
    </row>
    <row r="11183" spans="1:1" x14ac:dyDescent="0.25">
      <c r="A11183" s="5"/>
    </row>
    <row r="11184" spans="1:1" x14ac:dyDescent="0.25">
      <c r="A11184" s="5"/>
    </row>
    <row r="11185" spans="1:1" x14ac:dyDescent="0.25">
      <c r="A11185" s="5"/>
    </row>
    <row r="11186" spans="1:1" x14ac:dyDescent="0.25">
      <c r="A11186" s="5"/>
    </row>
    <row r="11187" spans="1:1" x14ac:dyDescent="0.25">
      <c r="A11187" s="5"/>
    </row>
    <row r="11188" spans="1:1" x14ac:dyDescent="0.25">
      <c r="A11188" s="5"/>
    </row>
    <row r="11189" spans="1:1" x14ac:dyDescent="0.25">
      <c r="A11189" s="5"/>
    </row>
    <row r="11190" spans="1:1" x14ac:dyDescent="0.25">
      <c r="A11190" s="5"/>
    </row>
    <row r="11191" spans="1:1" x14ac:dyDescent="0.25">
      <c r="A11191" s="5"/>
    </row>
    <row r="11192" spans="1:1" x14ac:dyDescent="0.25">
      <c r="A11192" s="5"/>
    </row>
    <row r="11193" spans="1:1" x14ac:dyDescent="0.25">
      <c r="A11193" s="5"/>
    </row>
    <row r="11194" spans="1:1" x14ac:dyDescent="0.25">
      <c r="A11194" s="5"/>
    </row>
    <row r="11195" spans="1:1" x14ac:dyDescent="0.25">
      <c r="A11195" s="5"/>
    </row>
    <row r="11196" spans="1:1" x14ac:dyDescent="0.25">
      <c r="A11196" s="5"/>
    </row>
    <row r="11197" spans="1:1" x14ac:dyDescent="0.25">
      <c r="A11197" s="5"/>
    </row>
    <row r="11198" spans="1:1" x14ac:dyDescent="0.25">
      <c r="A11198" s="5"/>
    </row>
    <row r="11199" spans="1:1" x14ac:dyDescent="0.25">
      <c r="A11199" s="5"/>
    </row>
    <row r="11200" spans="1:1" x14ac:dyDescent="0.25">
      <c r="A11200" s="5"/>
    </row>
    <row r="11201" spans="1:1" x14ac:dyDescent="0.25">
      <c r="A11201" s="5"/>
    </row>
    <row r="11202" spans="1:1" x14ac:dyDescent="0.25">
      <c r="A11202" s="5"/>
    </row>
    <row r="11203" spans="1:1" x14ac:dyDescent="0.25">
      <c r="A11203" s="5"/>
    </row>
    <row r="11204" spans="1:1" x14ac:dyDescent="0.25">
      <c r="A11204" s="5"/>
    </row>
    <row r="11205" spans="1:1" x14ac:dyDescent="0.25">
      <c r="A11205" s="5"/>
    </row>
    <row r="11206" spans="1:1" x14ac:dyDescent="0.25">
      <c r="A11206" s="5"/>
    </row>
    <row r="11207" spans="1:1" x14ac:dyDescent="0.25">
      <c r="A11207" s="5"/>
    </row>
    <row r="11208" spans="1:1" x14ac:dyDescent="0.25">
      <c r="A11208" s="5"/>
    </row>
    <row r="11209" spans="1:1" x14ac:dyDescent="0.25">
      <c r="A11209" s="5"/>
    </row>
    <row r="11210" spans="1:1" x14ac:dyDescent="0.25">
      <c r="A11210" s="5"/>
    </row>
    <row r="11211" spans="1:1" x14ac:dyDescent="0.25">
      <c r="A11211" s="5"/>
    </row>
    <row r="11212" spans="1:1" x14ac:dyDescent="0.25">
      <c r="A11212" s="5"/>
    </row>
    <row r="11213" spans="1:1" x14ac:dyDescent="0.25">
      <c r="A11213" s="5"/>
    </row>
    <row r="11214" spans="1:1" x14ac:dyDescent="0.25">
      <c r="A11214" s="5"/>
    </row>
    <row r="11215" spans="1:1" x14ac:dyDescent="0.25">
      <c r="A11215" s="5"/>
    </row>
    <row r="11216" spans="1:1" x14ac:dyDescent="0.25">
      <c r="A11216" s="5"/>
    </row>
    <row r="11217" spans="1:1" x14ac:dyDescent="0.25">
      <c r="A11217" s="5"/>
    </row>
    <row r="11218" spans="1:1" x14ac:dyDescent="0.25">
      <c r="A11218" s="5"/>
    </row>
    <row r="11219" spans="1:1" x14ac:dyDescent="0.25">
      <c r="A11219" s="5"/>
    </row>
    <row r="11220" spans="1:1" x14ac:dyDescent="0.25">
      <c r="A11220" s="5"/>
    </row>
    <row r="11221" spans="1:1" x14ac:dyDescent="0.25">
      <c r="A11221" s="5"/>
    </row>
    <row r="11222" spans="1:1" x14ac:dyDescent="0.25">
      <c r="A11222" s="5"/>
    </row>
    <row r="11223" spans="1:1" x14ac:dyDescent="0.25">
      <c r="A11223" s="5"/>
    </row>
    <row r="11224" spans="1:1" x14ac:dyDescent="0.25">
      <c r="A11224" s="5"/>
    </row>
    <row r="11225" spans="1:1" x14ac:dyDescent="0.25">
      <c r="A11225" s="5"/>
    </row>
    <row r="11226" spans="1:1" x14ac:dyDescent="0.25">
      <c r="A11226" s="5"/>
    </row>
    <row r="11227" spans="1:1" x14ac:dyDescent="0.25">
      <c r="A11227" s="5"/>
    </row>
    <row r="11228" spans="1:1" x14ac:dyDescent="0.25">
      <c r="A11228" s="5"/>
    </row>
    <row r="11229" spans="1:1" x14ac:dyDescent="0.25">
      <c r="A11229" s="5"/>
    </row>
    <row r="11230" spans="1:1" x14ac:dyDescent="0.25">
      <c r="A11230" s="5"/>
    </row>
    <row r="11231" spans="1:1" x14ac:dyDescent="0.25">
      <c r="A11231" s="5"/>
    </row>
    <row r="11232" spans="1:1" x14ac:dyDescent="0.25">
      <c r="A11232" s="5"/>
    </row>
    <row r="11233" spans="1:1" x14ac:dyDescent="0.25">
      <c r="A11233" s="5"/>
    </row>
    <row r="11234" spans="1:1" x14ac:dyDescent="0.25">
      <c r="A11234" s="5"/>
    </row>
    <row r="11235" spans="1:1" x14ac:dyDescent="0.25">
      <c r="A11235" s="5"/>
    </row>
    <row r="11236" spans="1:1" x14ac:dyDescent="0.25">
      <c r="A11236" s="5"/>
    </row>
    <row r="11237" spans="1:1" x14ac:dyDescent="0.25">
      <c r="A11237" s="5"/>
    </row>
    <row r="11238" spans="1:1" x14ac:dyDescent="0.25">
      <c r="A11238" s="5"/>
    </row>
    <row r="11239" spans="1:1" x14ac:dyDescent="0.25">
      <c r="A11239" s="5"/>
    </row>
    <row r="11240" spans="1:1" x14ac:dyDescent="0.25">
      <c r="A11240" s="5"/>
    </row>
    <row r="11241" spans="1:1" x14ac:dyDescent="0.25">
      <c r="A11241" s="5"/>
    </row>
    <row r="11242" spans="1:1" x14ac:dyDescent="0.25">
      <c r="A11242" s="5"/>
    </row>
    <row r="11243" spans="1:1" x14ac:dyDescent="0.25">
      <c r="A11243" s="5"/>
    </row>
    <row r="11244" spans="1:1" x14ac:dyDescent="0.25">
      <c r="A11244" s="5"/>
    </row>
    <row r="11245" spans="1:1" x14ac:dyDescent="0.25">
      <c r="A11245" s="5"/>
    </row>
    <row r="11246" spans="1:1" x14ac:dyDescent="0.25">
      <c r="A11246" s="5"/>
    </row>
    <row r="11247" spans="1:1" x14ac:dyDescent="0.25">
      <c r="A11247" s="5"/>
    </row>
    <row r="11248" spans="1:1" x14ac:dyDescent="0.25">
      <c r="A11248" s="5"/>
    </row>
    <row r="11249" spans="1:1" x14ac:dyDescent="0.25">
      <c r="A11249" s="5"/>
    </row>
    <row r="11250" spans="1:1" x14ac:dyDescent="0.25">
      <c r="A11250" s="5"/>
    </row>
    <row r="11251" spans="1:1" x14ac:dyDescent="0.25">
      <c r="A11251" s="5"/>
    </row>
    <row r="11252" spans="1:1" x14ac:dyDescent="0.25">
      <c r="A11252" s="5"/>
    </row>
    <row r="11253" spans="1:1" x14ac:dyDescent="0.25">
      <c r="A11253" s="5"/>
    </row>
    <row r="11254" spans="1:1" x14ac:dyDescent="0.25">
      <c r="A11254" s="5"/>
    </row>
    <row r="11255" spans="1:1" x14ac:dyDescent="0.25">
      <c r="A11255" s="5"/>
    </row>
    <row r="11256" spans="1:1" x14ac:dyDescent="0.25">
      <c r="A11256" s="5"/>
    </row>
    <row r="11257" spans="1:1" x14ac:dyDescent="0.25">
      <c r="A11257" s="5"/>
    </row>
    <row r="11258" spans="1:1" x14ac:dyDescent="0.25">
      <c r="A11258" s="5"/>
    </row>
    <row r="11259" spans="1:1" x14ac:dyDescent="0.25">
      <c r="A11259" s="5"/>
    </row>
    <row r="11260" spans="1:1" x14ac:dyDescent="0.25">
      <c r="A11260" s="5"/>
    </row>
    <row r="11261" spans="1:1" x14ac:dyDescent="0.25">
      <c r="A11261" s="5"/>
    </row>
    <row r="11262" spans="1:1" x14ac:dyDescent="0.25">
      <c r="A11262" s="5"/>
    </row>
    <row r="11263" spans="1:1" x14ac:dyDescent="0.25">
      <c r="A11263" s="5"/>
    </row>
    <row r="11264" spans="1:1" x14ac:dyDescent="0.25">
      <c r="A11264" s="5"/>
    </row>
    <row r="11265" spans="1:1" x14ac:dyDescent="0.25">
      <c r="A11265" s="5"/>
    </row>
    <row r="11266" spans="1:1" x14ac:dyDescent="0.25">
      <c r="A11266" s="5"/>
    </row>
    <row r="11267" spans="1:1" x14ac:dyDescent="0.25">
      <c r="A11267" s="5"/>
    </row>
    <row r="11268" spans="1:1" x14ac:dyDescent="0.25">
      <c r="A11268" s="5"/>
    </row>
    <row r="11269" spans="1:1" x14ac:dyDescent="0.25">
      <c r="A11269" s="5"/>
    </row>
    <row r="11270" spans="1:1" x14ac:dyDescent="0.25">
      <c r="A11270" s="5"/>
    </row>
    <row r="11271" spans="1:1" x14ac:dyDescent="0.25">
      <c r="A11271" s="5"/>
    </row>
    <row r="11272" spans="1:1" x14ac:dyDescent="0.25">
      <c r="A11272" s="5"/>
    </row>
    <row r="11273" spans="1:1" x14ac:dyDescent="0.25">
      <c r="A11273" s="5"/>
    </row>
    <row r="11274" spans="1:1" x14ac:dyDescent="0.25">
      <c r="A11274" s="5"/>
    </row>
    <row r="11275" spans="1:1" x14ac:dyDescent="0.25">
      <c r="A11275" s="5"/>
    </row>
    <row r="11276" spans="1:1" x14ac:dyDescent="0.25">
      <c r="A11276" s="5"/>
    </row>
    <row r="11277" spans="1:1" x14ac:dyDescent="0.25">
      <c r="A11277" s="5"/>
    </row>
    <row r="11278" spans="1:1" x14ac:dyDescent="0.25">
      <c r="A11278" s="5"/>
    </row>
    <row r="11279" spans="1:1" x14ac:dyDescent="0.25">
      <c r="A11279" s="5"/>
    </row>
    <row r="11280" spans="1:1" x14ac:dyDescent="0.25">
      <c r="A11280" s="5"/>
    </row>
    <row r="11281" spans="1:1" x14ac:dyDescent="0.25">
      <c r="A11281" s="5"/>
    </row>
    <row r="11282" spans="1:1" x14ac:dyDescent="0.25">
      <c r="A11282" s="5"/>
    </row>
    <row r="11283" spans="1:1" x14ac:dyDescent="0.25">
      <c r="A11283" s="5"/>
    </row>
    <row r="11284" spans="1:1" x14ac:dyDescent="0.25">
      <c r="A11284" s="5"/>
    </row>
    <row r="11285" spans="1:1" x14ac:dyDescent="0.25">
      <c r="A11285" s="5"/>
    </row>
    <row r="11286" spans="1:1" x14ac:dyDescent="0.25">
      <c r="A11286" s="5"/>
    </row>
    <row r="11287" spans="1:1" x14ac:dyDescent="0.25">
      <c r="A11287" s="5"/>
    </row>
    <row r="11288" spans="1:1" x14ac:dyDescent="0.25">
      <c r="A11288" s="5"/>
    </row>
    <row r="11289" spans="1:1" x14ac:dyDescent="0.25">
      <c r="A11289" s="5"/>
    </row>
    <row r="11290" spans="1:1" x14ac:dyDescent="0.25">
      <c r="A11290" s="5"/>
    </row>
    <row r="11291" spans="1:1" x14ac:dyDescent="0.25">
      <c r="A11291" s="5"/>
    </row>
    <row r="11292" spans="1:1" x14ac:dyDescent="0.25">
      <c r="A11292" s="5"/>
    </row>
    <row r="11293" spans="1:1" x14ac:dyDescent="0.25">
      <c r="A11293" s="5"/>
    </row>
    <row r="11294" spans="1:1" x14ac:dyDescent="0.25">
      <c r="A11294" s="5"/>
    </row>
    <row r="11295" spans="1:1" x14ac:dyDescent="0.25">
      <c r="A11295" s="5"/>
    </row>
    <row r="11296" spans="1:1" x14ac:dyDescent="0.25">
      <c r="A11296" s="5"/>
    </row>
    <row r="11297" spans="1:1" x14ac:dyDescent="0.25">
      <c r="A11297" s="5"/>
    </row>
    <row r="11298" spans="1:1" x14ac:dyDescent="0.25">
      <c r="A11298" s="5"/>
    </row>
    <row r="11299" spans="1:1" x14ac:dyDescent="0.25">
      <c r="A11299" s="5"/>
    </row>
    <row r="11300" spans="1:1" x14ac:dyDescent="0.25">
      <c r="A11300" s="5"/>
    </row>
    <row r="11301" spans="1:1" x14ac:dyDescent="0.25">
      <c r="A11301" s="5"/>
    </row>
    <row r="11302" spans="1:1" x14ac:dyDescent="0.25">
      <c r="A11302" s="5"/>
    </row>
    <row r="11303" spans="1:1" x14ac:dyDescent="0.25">
      <c r="A11303" s="5"/>
    </row>
    <row r="11304" spans="1:1" x14ac:dyDescent="0.25">
      <c r="A11304" s="5"/>
    </row>
    <row r="11305" spans="1:1" x14ac:dyDescent="0.25">
      <c r="A11305" s="5"/>
    </row>
    <row r="11306" spans="1:1" x14ac:dyDescent="0.25">
      <c r="A11306" s="5"/>
    </row>
    <row r="11307" spans="1:1" x14ac:dyDescent="0.25">
      <c r="A11307" s="5"/>
    </row>
    <row r="11308" spans="1:1" x14ac:dyDescent="0.25">
      <c r="A11308" s="5"/>
    </row>
    <row r="11309" spans="1:1" x14ac:dyDescent="0.25">
      <c r="A11309" s="5"/>
    </row>
    <row r="11310" spans="1:1" x14ac:dyDescent="0.25">
      <c r="A11310" s="5"/>
    </row>
    <row r="11311" spans="1:1" x14ac:dyDescent="0.25">
      <c r="A11311" s="5"/>
    </row>
    <row r="11312" spans="1:1" x14ac:dyDescent="0.25">
      <c r="A11312" s="5"/>
    </row>
    <row r="11313" spans="1:1" x14ac:dyDescent="0.25">
      <c r="A11313" s="5"/>
    </row>
    <row r="11314" spans="1:1" x14ac:dyDescent="0.25">
      <c r="A11314" s="5"/>
    </row>
    <row r="11315" spans="1:1" x14ac:dyDescent="0.25">
      <c r="A11315" s="5"/>
    </row>
    <row r="11316" spans="1:1" x14ac:dyDescent="0.25">
      <c r="A11316" s="5"/>
    </row>
    <row r="11317" spans="1:1" x14ac:dyDescent="0.25">
      <c r="A11317" s="5"/>
    </row>
    <row r="11318" spans="1:1" x14ac:dyDescent="0.25">
      <c r="A11318" s="5"/>
    </row>
    <row r="11319" spans="1:1" x14ac:dyDescent="0.25">
      <c r="A11319" s="5"/>
    </row>
    <row r="11320" spans="1:1" x14ac:dyDescent="0.25">
      <c r="A11320" s="5"/>
    </row>
    <row r="11321" spans="1:1" x14ac:dyDescent="0.25">
      <c r="A11321" s="5"/>
    </row>
    <row r="11322" spans="1:1" x14ac:dyDescent="0.25">
      <c r="A11322" s="5"/>
    </row>
    <row r="11323" spans="1:1" x14ac:dyDescent="0.25">
      <c r="A11323" s="5"/>
    </row>
    <row r="11324" spans="1:1" x14ac:dyDescent="0.25">
      <c r="A11324" s="5"/>
    </row>
    <row r="11325" spans="1:1" x14ac:dyDescent="0.25">
      <c r="A11325" s="5"/>
    </row>
    <row r="11326" spans="1:1" x14ac:dyDescent="0.25">
      <c r="A11326" s="5"/>
    </row>
    <row r="11327" spans="1:1" x14ac:dyDescent="0.25">
      <c r="A11327" s="5"/>
    </row>
    <row r="11328" spans="1:1" x14ac:dyDescent="0.25">
      <c r="A11328" s="5"/>
    </row>
    <row r="11329" spans="1:1" x14ac:dyDescent="0.25">
      <c r="A11329" s="5"/>
    </row>
    <row r="11330" spans="1:1" x14ac:dyDescent="0.25">
      <c r="A11330" s="5"/>
    </row>
    <row r="11331" spans="1:1" x14ac:dyDescent="0.25">
      <c r="A11331" s="5"/>
    </row>
    <row r="11332" spans="1:1" x14ac:dyDescent="0.25">
      <c r="A11332" s="5"/>
    </row>
    <row r="11333" spans="1:1" x14ac:dyDescent="0.25">
      <c r="A11333" s="5"/>
    </row>
    <row r="11334" spans="1:1" x14ac:dyDescent="0.25">
      <c r="A11334" s="5"/>
    </row>
    <row r="11335" spans="1:1" x14ac:dyDescent="0.25">
      <c r="A11335" s="5"/>
    </row>
    <row r="11336" spans="1:1" x14ac:dyDescent="0.25">
      <c r="A11336" s="5"/>
    </row>
    <row r="11337" spans="1:1" x14ac:dyDescent="0.25">
      <c r="A11337" s="5"/>
    </row>
    <row r="11338" spans="1:1" x14ac:dyDescent="0.25">
      <c r="A11338" s="5"/>
    </row>
    <row r="11339" spans="1:1" x14ac:dyDescent="0.25">
      <c r="A11339" s="5"/>
    </row>
    <row r="11340" spans="1:1" x14ac:dyDescent="0.25">
      <c r="A11340" s="5"/>
    </row>
    <row r="11341" spans="1:1" x14ac:dyDescent="0.25">
      <c r="A11341" s="5"/>
    </row>
    <row r="11342" spans="1:1" x14ac:dyDescent="0.25">
      <c r="A11342" s="5"/>
    </row>
    <row r="11343" spans="1:1" x14ac:dyDescent="0.25">
      <c r="A11343" s="5"/>
    </row>
    <row r="11344" spans="1:1" x14ac:dyDescent="0.25">
      <c r="A11344" s="5"/>
    </row>
    <row r="11345" spans="1:1" x14ac:dyDescent="0.25">
      <c r="A11345" s="5"/>
    </row>
    <row r="11346" spans="1:1" x14ac:dyDescent="0.25">
      <c r="A11346" s="5"/>
    </row>
    <row r="11347" spans="1:1" x14ac:dyDescent="0.25">
      <c r="A11347" s="5"/>
    </row>
    <row r="11348" spans="1:1" x14ac:dyDescent="0.25">
      <c r="A11348" s="5"/>
    </row>
    <row r="11349" spans="1:1" x14ac:dyDescent="0.25">
      <c r="A11349" s="5"/>
    </row>
    <row r="11350" spans="1:1" x14ac:dyDescent="0.25">
      <c r="A11350" s="5"/>
    </row>
    <row r="11351" spans="1:1" x14ac:dyDescent="0.25">
      <c r="A11351" s="5"/>
    </row>
    <row r="11352" spans="1:1" x14ac:dyDescent="0.25">
      <c r="A11352" s="5"/>
    </row>
    <row r="11353" spans="1:1" x14ac:dyDescent="0.25">
      <c r="A11353" s="5"/>
    </row>
    <row r="11354" spans="1:1" x14ac:dyDescent="0.25">
      <c r="A11354" s="5"/>
    </row>
    <row r="11355" spans="1:1" x14ac:dyDescent="0.25">
      <c r="A11355" s="5"/>
    </row>
    <row r="11356" spans="1:1" x14ac:dyDescent="0.25">
      <c r="A11356" s="5"/>
    </row>
    <row r="11357" spans="1:1" x14ac:dyDescent="0.25">
      <c r="A11357" s="5"/>
    </row>
    <row r="11358" spans="1:1" x14ac:dyDescent="0.25">
      <c r="A11358" s="5"/>
    </row>
    <row r="11359" spans="1:1" x14ac:dyDescent="0.25">
      <c r="A11359" s="5"/>
    </row>
    <row r="11360" spans="1:1" x14ac:dyDescent="0.25">
      <c r="A11360" s="5"/>
    </row>
    <row r="11361" spans="1:1" x14ac:dyDescent="0.25">
      <c r="A11361" s="5"/>
    </row>
    <row r="11362" spans="1:1" x14ac:dyDescent="0.25">
      <c r="A11362" s="5"/>
    </row>
    <row r="11363" spans="1:1" x14ac:dyDescent="0.25">
      <c r="A11363" s="5"/>
    </row>
    <row r="11364" spans="1:1" x14ac:dyDescent="0.25">
      <c r="A11364" s="5"/>
    </row>
    <row r="11365" spans="1:1" x14ac:dyDescent="0.25">
      <c r="A11365" s="5"/>
    </row>
    <row r="11366" spans="1:1" x14ac:dyDescent="0.25">
      <c r="A11366" s="5"/>
    </row>
    <row r="11367" spans="1:1" x14ac:dyDescent="0.25">
      <c r="A11367" s="5"/>
    </row>
    <row r="11368" spans="1:1" x14ac:dyDescent="0.25">
      <c r="A11368" s="5"/>
    </row>
    <row r="11369" spans="1:1" x14ac:dyDescent="0.25">
      <c r="A11369" s="5"/>
    </row>
    <row r="11370" spans="1:1" x14ac:dyDescent="0.25">
      <c r="A11370" s="5"/>
    </row>
    <row r="11371" spans="1:1" x14ac:dyDescent="0.25">
      <c r="A11371" s="5"/>
    </row>
    <row r="11372" spans="1:1" x14ac:dyDescent="0.25">
      <c r="A11372" s="5"/>
    </row>
    <row r="11373" spans="1:1" x14ac:dyDescent="0.25">
      <c r="A11373" s="5"/>
    </row>
    <row r="11374" spans="1:1" x14ac:dyDescent="0.25">
      <c r="A11374" s="5"/>
    </row>
    <row r="11375" spans="1:1" x14ac:dyDescent="0.25">
      <c r="A11375" s="5"/>
    </row>
    <row r="11376" spans="1:1" x14ac:dyDescent="0.25">
      <c r="A11376" s="5"/>
    </row>
    <row r="11377" spans="1:1" x14ac:dyDescent="0.25">
      <c r="A11377" s="5"/>
    </row>
    <row r="11378" spans="1:1" x14ac:dyDescent="0.25">
      <c r="A11378" s="5"/>
    </row>
    <row r="11379" spans="1:1" x14ac:dyDescent="0.25">
      <c r="A11379" s="5"/>
    </row>
    <row r="11380" spans="1:1" x14ac:dyDescent="0.25">
      <c r="A11380" s="5"/>
    </row>
    <row r="11381" spans="1:1" x14ac:dyDescent="0.25">
      <c r="A11381" s="5"/>
    </row>
    <row r="11382" spans="1:1" x14ac:dyDescent="0.25">
      <c r="A11382" s="5"/>
    </row>
    <row r="11383" spans="1:1" x14ac:dyDescent="0.25">
      <c r="A11383" s="5"/>
    </row>
    <row r="11384" spans="1:1" x14ac:dyDescent="0.25">
      <c r="A11384" s="5"/>
    </row>
    <row r="11385" spans="1:1" x14ac:dyDescent="0.25">
      <c r="A11385" s="5"/>
    </row>
    <row r="11386" spans="1:1" x14ac:dyDescent="0.25">
      <c r="A11386" s="5"/>
    </row>
    <row r="11387" spans="1:1" x14ac:dyDescent="0.25">
      <c r="A11387" s="5"/>
    </row>
    <row r="11388" spans="1:1" x14ac:dyDescent="0.25">
      <c r="A11388" s="5"/>
    </row>
    <row r="11389" spans="1:1" x14ac:dyDescent="0.25">
      <c r="A11389" s="5"/>
    </row>
    <row r="11390" spans="1:1" x14ac:dyDescent="0.25">
      <c r="A11390" s="5"/>
    </row>
    <row r="11391" spans="1:1" x14ac:dyDescent="0.25">
      <c r="A11391" s="5"/>
    </row>
    <row r="11392" spans="1:1" x14ac:dyDescent="0.25">
      <c r="A11392" s="5"/>
    </row>
    <row r="11393" spans="1:1" x14ac:dyDescent="0.25">
      <c r="A11393" s="5"/>
    </row>
    <row r="11394" spans="1:1" x14ac:dyDescent="0.25">
      <c r="A11394" s="5"/>
    </row>
    <row r="11395" spans="1:1" x14ac:dyDescent="0.25">
      <c r="A11395" s="5"/>
    </row>
    <row r="11396" spans="1:1" x14ac:dyDescent="0.25">
      <c r="A11396" s="5"/>
    </row>
    <row r="11397" spans="1:1" x14ac:dyDescent="0.25">
      <c r="A11397" s="5"/>
    </row>
    <row r="11398" spans="1:1" x14ac:dyDescent="0.25">
      <c r="A11398" s="5"/>
    </row>
    <row r="11399" spans="1:1" x14ac:dyDescent="0.25">
      <c r="A11399" s="5"/>
    </row>
    <row r="11400" spans="1:1" x14ac:dyDescent="0.25">
      <c r="A11400" s="5"/>
    </row>
    <row r="11401" spans="1:1" x14ac:dyDescent="0.25">
      <c r="A11401" s="5"/>
    </row>
    <row r="11402" spans="1:1" x14ac:dyDescent="0.25">
      <c r="A11402" s="5"/>
    </row>
    <row r="11403" spans="1:1" x14ac:dyDescent="0.25">
      <c r="A11403" s="5"/>
    </row>
    <row r="11404" spans="1:1" x14ac:dyDescent="0.25">
      <c r="A11404" s="5"/>
    </row>
    <row r="11405" spans="1:1" x14ac:dyDescent="0.25">
      <c r="A11405" s="5"/>
    </row>
    <row r="11406" spans="1:1" x14ac:dyDescent="0.25">
      <c r="A11406" s="5"/>
    </row>
    <row r="11407" spans="1:1" x14ac:dyDescent="0.25">
      <c r="A11407" s="5"/>
    </row>
    <row r="11408" spans="1:1" x14ac:dyDescent="0.25">
      <c r="A11408" s="5"/>
    </row>
    <row r="11409" spans="1:1" x14ac:dyDescent="0.25">
      <c r="A11409" s="5"/>
    </row>
    <row r="11410" spans="1:1" x14ac:dyDescent="0.25">
      <c r="A11410" s="5"/>
    </row>
    <row r="11411" spans="1:1" x14ac:dyDescent="0.25">
      <c r="A11411" s="5"/>
    </row>
    <row r="11412" spans="1:1" x14ac:dyDescent="0.25">
      <c r="A11412" s="5"/>
    </row>
    <row r="11413" spans="1:1" x14ac:dyDescent="0.25">
      <c r="A11413" s="5"/>
    </row>
    <row r="11414" spans="1:1" x14ac:dyDescent="0.25">
      <c r="A11414" s="5"/>
    </row>
    <row r="11415" spans="1:1" x14ac:dyDescent="0.25">
      <c r="A11415" s="5"/>
    </row>
    <row r="11416" spans="1:1" x14ac:dyDescent="0.25">
      <c r="A11416" s="5"/>
    </row>
    <row r="11417" spans="1:1" x14ac:dyDescent="0.25">
      <c r="A11417" s="5"/>
    </row>
    <row r="11418" spans="1:1" x14ac:dyDescent="0.25">
      <c r="A11418" s="5"/>
    </row>
    <row r="11419" spans="1:1" x14ac:dyDescent="0.25">
      <c r="A11419" s="5"/>
    </row>
    <row r="11420" spans="1:1" x14ac:dyDescent="0.25">
      <c r="A11420" s="5"/>
    </row>
    <row r="11421" spans="1:1" x14ac:dyDescent="0.25">
      <c r="A11421" s="5"/>
    </row>
    <row r="11422" spans="1:1" x14ac:dyDescent="0.25">
      <c r="A11422" s="5"/>
    </row>
    <row r="11423" spans="1:1" x14ac:dyDescent="0.25">
      <c r="A11423" s="5"/>
    </row>
    <row r="11424" spans="1:1" x14ac:dyDescent="0.25">
      <c r="A11424" s="5"/>
    </row>
    <row r="11425" spans="1:1" x14ac:dyDescent="0.25">
      <c r="A11425" s="5"/>
    </row>
    <row r="11426" spans="1:1" x14ac:dyDescent="0.25">
      <c r="A11426" s="5"/>
    </row>
    <row r="11427" spans="1:1" x14ac:dyDescent="0.25">
      <c r="A11427" s="5"/>
    </row>
    <row r="11428" spans="1:1" x14ac:dyDescent="0.25">
      <c r="A11428" s="5"/>
    </row>
    <row r="11429" spans="1:1" x14ac:dyDescent="0.25">
      <c r="A11429" s="5"/>
    </row>
    <row r="11430" spans="1:1" x14ac:dyDescent="0.25">
      <c r="A11430" s="5"/>
    </row>
    <row r="11431" spans="1:1" x14ac:dyDescent="0.25">
      <c r="A11431" s="5"/>
    </row>
    <row r="11432" spans="1:1" x14ac:dyDescent="0.25">
      <c r="A11432" s="5"/>
    </row>
    <row r="11433" spans="1:1" x14ac:dyDescent="0.25">
      <c r="A11433" s="5"/>
    </row>
    <row r="11434" spans="1:1" x14ac:dyDescent="0.25">
      <c r="A11434" s="5"/>
    </row>
    <row r="11435" spans="1:1" x14ac:dyDescent="0.25">
      <c r="A11435" s="5"/>
    </row>
    <row r="11436" spans="1:1" x14ac:dyDescent="0.25">
      <c r="A11436" s="5"/>
    </row>
    <row r="11437" spans="1:1" x14ac:dyDescent="0.25">
      <c r="A11437" s="5"/>
    </row>
    <row r="11438" spans="1:1" x14ac:dyDescent="0.25">
      <c r="A11438" s="5"/>
    </row>
    <row r="11439" spans="1:1" x14ac:dyDescent="0.25">
      <c r="A11439" s="5"/>
    </row>
    <row r="11440" spans="1:1" x14ac:dyDescent="0.25">
      <c r="A11440" s="5"/>
    </row>
    <row r="11441" spans="1:1" x14ac:dyDescent="0.25">
      <c r="A11441" s="5"/>
    </row>
    <row r="11442" spans="1:1" x14ac:dyDescent="0.25">
      <c r="A11442" s="5"/>
    </row>
    <row r="11443" spans="1:1" x14ac:dyDescent="0.25">
      <c r="A11443" s="5"/>
    </row>
    <row r="11444" spans="1:1" x14ac:dyDescent="0.25">
      <c r="A11444" s="5"/>
    </row>
    <row r="11445" spans="1:1" x14ac:dyDescent="0.25">
      <c r="A11445" s="5"/>
    </row>
    <row r="11446" spans="1:1" x14ac:dyDescent="0.25">
      <c r="A11446" s="5"/>
    </row>
    <row r="11447" spans="1:1" x14ac:dyDescent="0.25">
      <c r="A11447" s="5"/>
    </row>
    <row r="11448" spans="1:1" x14ac:dyDescent="0.25">
      <c r="A11448" s="5"/>
    </row>
    <row r="11449" spans="1:1" x14ac:dyDescent="0.25">
      <c r="A11449" s="5"/>
    </row>
    <row r="11450" spans="1:1" x14ac:dyDescent="0.25">
      <c r="A11450" s="5"/>
    </row>
    <row r="11451" spans="1:1" x14ac:dyDescent="0.25">
      <c r="A11451" s="5"/>
    </row>
    <row r="11452" spans="1:1" x14ac:dyDescent="0.25">
      <c r="A11452" s="5"/>
    </row>
    <row r="11453" spans="1:1" x14ac:dyDescent="0.25">
      <c r="A11453" s="5"/>
    </row>
    <row r="11454" spans="1:1" x14ac:dyDescent="0.25">
      <c r="A11454" s="5"/>
    </row>
    <row r="11455" spans="1:1" x14ac:dyDescent="0.25">
      <c r="A11455" s="5"/>
    </row>
    <row r="11456" spans="1:1" x14ac:dyDescent="0.25">
      <c r="A11456" s="5"/>
    </row>
    <row r="11457" spans="1:1" x14ac:dyDescent="0.25">
      <c r="A11457" s="5"/>
    </row>
    <row r="11458" spans="1:1" x14ac:dyDescent="0.25">
      <c r="A11458" s="5"/>
    </row>
    <row r="11459" spans="1:1" x14ac:dyDescent="0.25">
      <c r="A11459" s="5"/>
    </row>
    <row r="11460" spans="1:1" x14ac:dyDescent="0.25">
      <c r="A11460" s="5"/>
    </row>
    <row r="11461" spans="1:1" x14ac:dyDescent="0.25">
      <c r="A11461" s="5"/>
    </row>
    <row r="11462" spans="1:1" x14ac:dyDescent="0.25">
      <c r="A11462" s="5"/>
    </row>
    <row r="11463" spans="1:1" x14ac:dyDescent="0.25">
      <c r="A11463" s="5"/>
    </row>
    <row r="11464" spans="1:1" x14ac:dyDescent="0.25">
      <c r="A11464" s="5"/>
    </row>
    <row r="11465" spans="1:1" x14ac:dyDescent="0.25">
      <c r="A11465" s="5"/>
    </row>
    <row r="11466" spans="1:1" x14ac:dyDescent="0.25">
      <c r="A11466" s="5"/>
    </row>
    <row r="11467" spans="1:1" x14ac:dyDescent="0.25">
      <c r="A11467" s="5"/>
    </row>
    <row r="11468" spans="1:1" x14ac:dyDescent="0.25">
      <c r="A11468" s="5"/>
    </row>
    <row r="11469" spans="1:1" x14ac:dyDescent="0.25">
      <c r="A11469" s="5"/>
    </row>
    <row r="11470" spans="1:1" x14ac:dyDescent="0.25">
      <c r="A11470" s="5"/>
    </row>
    <row r="11471" spans="1:1" x14ac:dyDescent="0.25">
      <c r="A11471" s="5"/>
    </row>
    <row r="11472" spans="1:1" x14ac:dyDescent="0.25">
      <c r="A11472" s="5"/>
    </row>
    <row r="11473" spans="1:1" x14ac:dyDescent="0.25">
      <c r="A11473" s="5"/>
    </row>
    <row r="11474" spans="1:1" x14ac:dyDescent="0.25">
      <c r="A11474" s="5"/>
    </row>
    <row r="11475" spans="1:1" x14ac:dyDescent="0.25">
      <c r="A11475" s="5"/>
    </row>
    <row r="11476" spans="1:1" x14ac:dyDescent="0.25">
      <c r="A11476" s="5"/>
    </row>
    <row r="11477" spans="1:1" x14ac:dyDescent="0.25">
      <c r="A11477" s="5"/>
    </row>
    <row r="11478" spans="1:1" x14ac:dyDescent="0.25">
      <c r="A11478" s="5"/>
    </row>
    <row r="11479" spans="1:1" x14ac:dyDescent="0.25">
      <c r="A11479" s="5"/>
    </row>
    <row r="11480" spans="1:1" x14ac:dyDescent="0.25">
      <c r="A11480" s="5"/>
    </row>
    <row r="11481" spans="1:1" x14ac:dyDescent="0.25">
      <c r="A11481" s="5"/>
    </row>
    <row r="11482" spans="1:1" x14ac:dyDescent="0.25">
      <c r="A11482" s="5"/>
    </row>
    <row r="11483" spans="1:1" x14ac:dyDescent="0.25">
      <c r="A11483" s="5"/>
    </row>
    <row r="11484" spans="1:1" x14ac:dyDescent="0.25">
      <c r="A11484" s="5"/>
    </row>
    <row r="11485" spans="1:1" x14ac:dyDescent="0.25">
      <c r="A11485" s="5"/>
    </row>
    <row r="11486" spans="1:1" x14ac:dyDescent="0.25">
      <c r="A11486" s="5"/>
    </row>
    <row r="11487" spans="1:1" x14ac:dyDescent="0.25">
      <c r="A11487" s="5"/>
    </row>
    <row r="11488" spans="1:1" x14ac:dyDescent="0.25">
      <c r="A11488" s="5"/>
    </row>
    <row r="11489" spans="1:1" x14ac:dyDescent="0.25">
      <c r="A11489" s="5"/>
    </row>
    <row r="11490" spans="1:1" x14ac:dyDescent="0.25">
      <c r="A11490" s="5"/>
    </row>
    <row r="11491" spans="1:1" x14ac:dyDescent="0.25">
      <c r="A11491" s="5"/>
    </row>
    <row r="11492" spans="1:1" x14ac:dyDescent="0.25">
      <c r="A11492" s="5"/>
    </row>
    <row r="11493" spans="1:1" x14ac:dyDescent="0.25">
      <c r="A11493" s="5"/>
    </row>
    <row r="11494" spans="1:1" x14ac:dyDescent="0.25">
      <c r="A11494" s="5"/>
    </row>
    <row r="11495" spans="1:1" x14ac:dyDescent="0.25">
      <c r="A11495" s="5"/>
    </row>
    <row r="11496" spans="1:1" x14ac:dyDescent="0.25">
      <c r="A11496" s="5"/>
    </row>
    <row r="11497" spans="1:1" x14ac:dyDescent="0.25">
      <c r="A11497" s="5"/>
    </row>
    <row r="11498" spans="1:1" x14ac:dyDescent="0.25">
      <c r="A11498" s="5"/>
    </row>
    <row r="11499" spans="1:1" x14ac:dyDescent="0.25">
      <c r="A11499" s="5"/>
    </row>
    <row r="11500" spans="1:1" x14ac:dyDescent="0.25">
      <c r="A11500" s="5"/>
    </row>
    <row r="11501" spans="1:1" x14ac:dyDescent="0.25">
      <c r="A11501" s="5"/>
    </row>
    <row r="11502" spans="1:1" x14ac:dyDescent="0.25">
      <c r="A11502" s="5"/>
    </row>
    <row r="11503" spans="1:1" x14ac:dyDescent="0.25">
      <c r="A11503" s="5"/>
    </row>
    <row r="11504" spans="1:1" x14ac:dyDescent="0.25">
      <c r="A11504" s="5"/>
    </row>
    <row r="11505" spans="1:1" x14ac:dyDescent="0.25">
      <c r="A11505" s="5"/>
    </row>
    <row r="11506" spans="1:1" x14ac:dyDescent="0.25">
      <c r="A11506" s="5"/>
    </row>
    <row r="11507" spans="1:1" x14ac:dyDescent="0.25">
      <c r="A11507" s="5"/>
    </row>
    <row r="11508" spans="1:1" x14ac:dyDescent="0.25">
      <c r="A11508" s="5"/>
    </row>
    <row r="11509" spans="1:1" x14ac:dyDescent="0.25">
      <c r="A11509" s="5"/>
    </row>
    <row r="11510" spans="1:1" x14ac:dyDescent="0.25">
      <c r="A11510" s="5"/>
    </row>
    <row r="11511" spans="1:1" x14ac:dyDescent="0.25">
      <c r="A11511" s="5"/>
    </row>
    <row r="11512" spans="1:1" x14ac:dyDescent="0.25">
      <c r="A11512" s="5"/>
    </row>
    <row r="11513" spans="1:1" x14ac:dyDescent="0.25">
      <c r="A11513" s="5"/>
    </row>
    <row r="11514" spans="1:1" x14ac:dyDescent="0.25">
      <c r="A11514" s="5"/>
    </row>
    <row r="11515" spans="1:1" x14ac:dyDescent="0.25">
      <c r="A11515" s="5"/>
    </row>
    <row r="11516" spans="1:1" x14ac:dyDescent="0.25">
      <c r="A11516" s="5"/>
    </row>
    <row r="11517" spans="1:1" x14ac:dyDescent="0.25">
      <c r="A11517" s="5"/>
    </row>
    <row r="11518" spans="1:1" x14ac:dyDescent="0.25">
      <c r="A11518" s="5"/>
    </row>
    <row r="11519" spans="1:1" x14ac:dyDescent="0.25">
      <c r="A11519" s="5"/>
    </row>
    <row r="11520" spans="1:1" x14ac:dyDescent="0.25">
      <c r="A11520" s="5"/>
    </row>
    <row r="11521" spans="1:1" x14ac:dyDescent="0.25">
      <c r="A11521" s="5"/>
    </row>
    <row r="11522" spans="1:1" x14ac:dyDescent="0.25">
      <c r="A11522" s="5"/>
    </row>
    <row r="11523" spans="1:1" x14ac:dyDescent="0.25">
      <c r="A11523" s="5"/>
    </row>
    <row r="11524" spans="1:1" x14ac:dyDescent="0.25">
      <c r="A11524" s="5"/>
    </row>
    <row r="11525" spans="1:1" x14ac:dyDescent="0.25">
      <c r="A11525" s="5"/>
    </row>
    <row r="11526" spans="1:1" x14ac:dyDescent="0.25">
      <c r="A11526" s="5"/>
    </row>
    <row r="11527" spans="1:1" x14ac:dyDescent="0.25">
      <c r="A11527" s="5"/>
    </row>
    <row r="11528" spans="1:1" x14ac:dyDescent="0.25">
      <c r="A11528" s="5"/>
    </row>
    <row r="11529" spans="1:1" x14ac:dyDescent="0.25">
      <c r="A11529" s="5"/>
    </row>
    <row r="11530" spans="1:1" x14ac:dyDescent="0.25">
      <c r="A11530" s="5"/>
    </row>
    <row r="11531" spans="1:1" x14ac:dyDescent="0.25">
      <c r="A11531" s="5"/>
    </row>
    <row r="11532" spans="1:1" x14ac:dyDescent="0.25">
      <c r="A11532" s="5"/>
    </row>
    <row r="11533" spans="1:1" x14ac:dyDescent="0.25">
      <c r="A11533" s="5"/>
    </row>
    <row r="11534" spans="1:1" x14ac:dyDescent="0.25">
      <c r="A11534" s="5"/>
    </row>
    <row r="11535" spans="1:1" x14ac:dyDescent="0.25">
      <c r="A11535" s="5"/>
    </row>
    <row r="11536" spans="1:1" x14ac:dyDescent="0.25">
      <c r="A11536" s="5"/>
    </row>
    <row r="11537" spans="1:1" x14ac:dyDescent="0.25">
      <c r="A11537" s="5"/>
    </row>
    <row r="11538" spans="1:1" x14ac:dyDescent="0.25">
      <c r="A11538" s="5"/>
    </row>
    <row r="11539" spans="1:1" x14ac:dyDescent="0.25">
      <c r="A11539" s="5"/>
    </row>
    <row r="11540" spans="1:1" x14ac:dyDescent="0.25">
      <c r="A11540" s="5"/>
    </row>
    <row r="11541" spans="1:1" x14ac:dyDescent="0.25">
      <c r="A11541" s="5"/>
    </row>
    <row r="11542" spans="1:1" x14ac:dyDescent="0.25">
      <c r="A11542" s="5"/>
    </row>
    <row r="11543" spans="1:1" x14ac:dyDescent="0.25">
      <c r="A11543" s="5"/>
    </row>
    <row r="11544" spans="1:1" x14ac:dyDescent="0.25">
      <c r="A11544" s="5"/>
    </row>
    <row r="11545" spans="1:1" x14ac:dyDescent="0.25">
      <c r="A11545" s="5"/>
    </row>
    <row r="11546" spans="1:1" x14ac:dyDescent="0.25">
      <c r="A11546" s="5"/>
    </row>
    <row r="11547" spans="1:1" x14ac:dyDescent="0.25">
      <c r="A11547" s="5"/>
    </row>
    <row r="11548" spans="1:1" x14ac:dyDescent="0.25">
      <c r="A11548" s="5"/>
    </row>
    <row r="11549" spans="1:1" x14ac:dyDescent="0.25">
      <c r="A11549" s="5"/>
    </row>
    <row r="11550" spans="1:1" x14ac:dyDescent="0.25">
      <c r="A11550" s="5"/>
    </row>
    <row r="11551" spans="1:1" x14ac:dyDescent="0.25">
      <c r="A11551" s="5"/>
    </row>
    <row r="11552" spans="1:1" x14ac:dyDescent="0.25">
      <c r="A11552" s="5"/>
    </row>
    <row r="11553" spans="1:1" x14ac:dyDescent="0.25">
      <c r="A11553" s="5"/>
    </row>
    <row r="11554" spans="1:1" x14ac:dyDescent="0.25">
      <c r="A11554" s="5"/>
    </row>
    <row r="11555" spans="1:1" x14ac:dyDescent="0.25">
      <c r="A11555" s="5"/>
    </row>
    <row r="11556" spans="1:1" x14ac:dyDescent="0.25">
      <c r="A11556" s="5"/>
    </row>
    <row r="11557" spans="1:1" x14ac:dyDescent="0.25">
      <c r="A11557" s="5"/>
    </row>
    <row r="11558" spans="1:1" x14ac:dyDescent="0.25">
      <c r="A11558" s="5"/>
    </row>
    <row r="11559" spans="1:1" x14ac:dyDescent="0.25">
      <c r="A11559" s="5"/>
    </row>
    <row r="11560" spans="1:1" x14ac:dyDescent="0.25">
      <c r="A11560" s="5"/>
    </row>
    <row r="11561" spans="1:1" x14ac:dyDescent="0.25">
      <c r="A11561" s="5"/>
    </row>
    <row r="11562" spans="1:1" x14ac:dyDescent="0.25">
      <c r="A11562" s="5"/>
    </row>
    <row r="11563" spans="1:1" x14ac:dyDescent="0.25">
      <c r="A11563" s="5"/>
    </row>
    <row r="11564" spans="1:1" x14ac:dyDescent="0.25">
      <c r="A11564" s="5"/>
    </row>
    <row r="11565" spans="1:1" x14ac:dyDescent="0.25">
      <c r="A11565" s="5"/>
    </row>
    <row r="11566" spans="1:1" x14ac:dyDescent="0.25">
      <c r="A11566" s="5"/>
    </row>
    <row r="11567" spans="1:1" x14ac:dyDescent="0.25">
      <c r="A11567" s="5"/>
    </row>
    <row r="11568" spans="1:1" x14ac:dyDescent="0.25">
      <c r="A11568" s="5"/>
    </row>
    <row r="11569" spans="1:1" x14ac:dyDescent="0.25">
      <c r="A11569" s="5"/>
    </row>
    <row r="11570" spans="1:1" x14ac:dyDescent="0.25">
      <c r="A11570" s="5"/>
    </row>
    <row r="11571" spans="1:1" x14ac:dyDescent="0.25">
      <c r="A11571" s="5"/>
    </row>
    <row r="11572" spans="1:1" x14ac:dyDescent="0.25">
      <c r="A11572" s="5"/>
    </row>
    <row r="11573" spans="1:1" x14ac:dyDescent="0.25">
      <c r="A11573" s="5"/>
    </row>
    <row r="11574" spans="1:1" x14ac:dyDescent="0.25">
      <c r="A11574" s="5"/>
    </row>
    <row r="11575" spans="1:1" x14ac:dyDescent="0.25">
      <c r="A11575" s="5"/>
    </row>
    <row r="11576" spans="1:1" x14ac:dyDescent="0.25">
      <c r="A11576" s="5"/>
    </row>
    <row r="11577" spans="1:1" x14ac:dyDescent="0.25">
      <c r="A11577" s="5"/>
    </row>
    <row r="11578" spans="1:1" x14ac:dyDescent="0.25">
      <c r="A11578" s="5"/>
    </row>
    <row r="11579" spans="1:1" x14ac:dyDescent="0.25">
      <c r="A11579" s="5"/>
    </row>
    <row r="11580" spans="1:1" x14ac:dyDescent="0.25">
      <c r="A11580" s="5"/>
    </row>
    <row r="11581" spans="1:1" x14ac:dyDescent="0.25">
      <c r="A11581" s="5"/>
    </row>
    <row r="11582" spans="1:1" x14ac:dyDescent="0.25">
      <c r="A11582" s="5"/>
    </row>
    <row r="11583" spans="1:1" x14ac:dyDescent="0.25">
      <c r="A11583" s="5"/>
    </row>
    <row r="11584" spans="1:1" x14ac:dyDescent="0.25">
      <c r="A11584" s="5"/>
    </row>
    <row r="11585" spans="1:1" x14ac:dyDescent="0.25">
      <c r="A11585" s="5"/>
    </row>
    <row r="11586" spans="1:1" x14ac:dyDescent="0.25">
      <c r="A11586" s="5"/>
    </row>
    <row r="11587" spans="1:1" x14ac:dyDescent="0.25">
      <c r="A11587" s="5"/>
    </row>
    <row r="11588" spans="1:1" x14ac:dyDescent="0.25">
      <c r="A11588" s="5"/>
    </row>
    <row r="11589" spans="1:1" x14ac:dyDescent="0.25">
      <c r="A11589" s="5"/>
    </row>
    <row r="11590" spans="1:1" x14ac:dyDescent="0.25">
      <c r="A11590" s="5"/>
    </row>
    <row r="11591" spans="1:1" x14ac:dyDescent="0.25">
      <c r="A11591" s="5"/>
    </row>
    <row r="11592" spans="1:1" x14ac:dyDescent="0.25">
      <c r="A11592" s="5"/>
    </row>
    <row r="11593" spans="1:1" x14ac:dyDescent="0.25">
      <c r="A11593" s="5"/>
    </row>
    <row r="11594" spans="1:1" x14ac:dyDescent="0.25">
      <c r="A11594" s="5"/>
    </row>
    <row r="11595" spans="1:1" x14ac:dyDescent="0.25">
      <c r="A11595" s="5"/>
    </row>
    <row r="11596" spans="1:1" x14ac:dyDescent="0.25">
      <c r="A11596" s="5"/>
    </row>
    <row r="11597" spans="1:1" x14ac:dyDescent="0.25">
      <c r="A11597" s="5"/>
    </row>
    <row r="11598" spans="1:1" x14ac:dyDescent="0.25">
      <c r="A11598" s="5"/>
    </row>
    <row r="11599" spans="1:1" x14ac:dyDescent="0.25">
      <c r="A11599" s="5"/>
    </row>
    <row r="11600" spans="1:1" x14ac:dyDescent="0.25">
      <c r="A11600" s="5"/>
    </row>
    <row r="11601" spans="1:1" x14ac:dyDescent="0.25">
      <c r="A11601" s="5"/>
    </row>
    <row r="11602" spans="1:1" x14ac:dyDescent="0.25">
      <c r="A11602" s="5"/>
    </row>
    <row r="11603" spans="1:1" x14ac:dyDescent="0.25">
      <c r="A11603" s="5"/>
    </row>
    <row r="11604" spans="1:1" x14ac:dyDescent="0.25">
      <c r="A11604" s="5"/>
    </row>
    <row r="11605" spans="1:1" x14ac:dyDescent="0.25">
      <c r="A11605" s="5"/>
    </row>
    <row r="11606" spans="1:1" x14ac:dyDescent="0.25">
      <c r="A11606" s="5"/>
    </row>
    <row r="11607" spans="1:1" x14ac:dyDescent="0.25">
      <c r="A11607" s="5"/>
    </row>
    <row r="11608" spans="1:1" x14ac:dyDescent="0.25">
      <c r="A11608" s="5"/>
    </row>
    <row r="11609" spans="1:1" x14ac:dyDescent="0.25">
      <c r="A11609" s="5"/>
    </row>
    <row r="11610" spans="1:1" x14ac:dyDescent="0.25">
      <c r="A11610" s="5"/>
    </row>
    <row r="11611" spans="1:1" x14ac:dyDescent="0.25">
      <c r="A11611" s="5"/>
    </row>
    <row r="11612" spans="1:1" x14ac:dyDescent="0.25">
      <c r="A11612" s="5"/>
    </row>
    <row r="11613" spans="1:1" x14ac:dyDescent="0.25">
      <c r="A11613" s="5"/>
    </row>
    <row r="11614" spans="1:1" x14ac:dyDescent="0.25">
      <c r="A11614" s="5"/>
    </row>
    <row r="11615" spans="1:1" x14ac:dyDescent="0.25">
      <c r="A11615" s="5"/>
    </row>
    <row r="11616" spans="1:1" x14ac:dyDescent="0.25">
      <c r="A11616" s="5"/>
    </row>
    <row r="11617" spans="1:1" x14ac:dyDescent="0.25">
      <c r="A11617" s="5"/>
    </row>
    <row r="11618" spans="1:1" x14ac:dyDescent="0.25">
      <c r="A11618" s="5"/>
    </row>
    <row r="11619" spans="1:1" x14ac:dyDescent="0.25">
      <c r="A11619" s="5"/>
    </row>
    <row r="11620" spans="1:1" x14ac:dyDescent="0.25">
      <c r="A11620" s="5"/>
    </row>
    <row r="11621" spans="1:1" x14ac:dyDescent="0.25">
      <c r="A11621" s="5"/>
    </row>
    <row r="11622" spans="1:1" x14ac:dyDescent="0.25">
      <c r="A11622" s="5"/>
    </row>
    <row r="11623" spans="1:1" x14ac:dyDescent="0.25">
      <c r="A11623" s="5"/>
    </row>
    <row r="11624" spans="1:1" x14ac:dyDescent="0.25">
      <c r="A11624" s="5"/>
    </row>
    <row r="11625" spans="1:1" x14ac:dyDescent="0.25">
      <c r="A11625" s="5"/>
    </row>
    <row r="11626" spans="1:1" x14ac:dyDescent="0.25">
      <c r="A11626" s="5"/>
    </row>
    <row r="11627" spans="1:1" x14ac:dyDescent="0.25">
      <c r="A11627" s="5"/>
    </row>
    <row r="11628" spans="1:1" x14ac:dyDescent="0.25">
      <c r="A11628" s="5"/>
    </row>
    <row r="11629" spans="1:1" x14ac:dyDescent="0.25">
      <c r="A11629" s="5"/>
    </row>
    <row r="11630" spans="1:1" x14ac:dyDescent="0.25">
      <c r="A11630" s="5"/>
    </row>
    <row r="11631" spans="1:1" x14ac:dyDescent="0.25">
      <c r="A11631" s="5"/>
    </row>
    <row r="11632" spans="1:1" x14ac:dyDescent="0.25">
      <c r="A11632" s="5"/>
    </row>
    <row r="11633" spans="1:1" x14ac:dyDescent="0.25">
      <c r="A11633" s="5"/>
    </row>
    <row r="11634" spans="1:1" x14ac:dyDescent="0.25">
      <c r="A11634" s="5"/>
    </row>
    <row r="11635" spans="1:1" x14ac:dyDescent="0.25">
      <c r="A11635" s="5"/>
    </row>
    <row r="11636" spans="1:1" x14ac:dyDescent="0.25">
      <c r="A11636" s="5"/>
    </row>
    <row r="11637" spans="1:1" x14ac:dyDescent="0.25">
      <c r="A11637" s="5"/>
    </row>
    <row r="11638" spans="1:1" x14ac:dyDescent="0.25">
      <c r="A11638" s="5"/>
    </row>
    <row r="11639" spans="1:1" x14ac:dyDescent="0.25">
      <c r="A11639" s="5"/>
    </row>
    <row r="11640" spans="1:1" x14ac:dyDescent="0.25">
      <c r="A11640" s="5"/>
    </row>
    <row r="11641" spans="1:1" x14ac:dyDescent="0.25">
      <c r="A11641" s="5"/>
    </row>
    <row r="11642" spans="1:1" x14ac:dyDescent="0.25">
      <c r="A11642" s="5"/>
    </row>
    <row r="11643" spans="1:1" x14ac:dyDescent="0.25">
      <c r="A11643" s="5"/>
    </row>
    <row r="11644" spans="1:1" x14ac:dyDescent="0.25">
      <c r="A11644" s="5"/>
    </row>
    <row r="11645" spans="1:1" x14ac:dyDescent="0.25">
      <c r="A11645" s="5"/>
    </row>
    <row r="11646" spans="1:1" x14ac:dyDescent="0.25">
      <c r="A11646" s="5"/>
    </row>
    <row r="11647" spans="1:1" x14ac:dyDescent="0.25">
      <c r="A11647" s="5"/>
    </row>
    <row r="11648" spans="1:1" x14ac:dyDescent="0.25">
      <c r="A11648" s="5"/>
    </row>
    <row r="11649" spans="1:1" x14ac:dyDescent="0.25">
      <c r="A11649" s="5"/>
    </row>
    <row r="11650" spans="1:1" x14ac:dyDescent="0.25">
      <c r="A11650" s="5"/>
    </row>
    <row r="11651" spans="1:1" x14ac:dyDescent="0.25">
      <c r="A11651" s="5"/>
    </row>
    <row r="11652" spans="1:1" x14ac:dyDescent="0.25">
      <c r="A11652" s="5"/>
    </row>
    <row r="11653" spans="1:1" x14ac:dyDescent="0.25">
      <c r="A11653" s="5"/>
    </row>
    <row r="11654" spans="1:1" x14ac:dyDescent="0.25">
      <c r="A11654" s="5"/>
    </row>
    <row r="11655" spans="1:1" x14ac:dyDescent="0.25">
      <c r="A11655" s="5"/>
    </row>
    <row r="11656" spans="1:1" x14ac:dyDescent="0.25">
      <c r="A11656" s="5"/>
    </row>
    <row r="11657" spans="1:1" x14ac:dyDescent="0.25">
      <c r="A11657" s="5"/>
    </row>
    <row r="11658" spans="1:1" x14ac:dyDescent="0.25">
      <c r="A11658" s="5"/>
    </row>
    <row r="11659" spans="1:1" x14ac:dyDescent="0.25">
      <c r="A11659" s="5"/>
    </row>
    <row r="11660" spans="1:1" x14ac:dyDescent="0.25">
      <c r="A11660" s="5"/>
    </row>
    <row r="11661" spans="1:1" x14ac:dyDescent="0.25">
      <c r="A11661" s="5"/>
    </row>
    <row r="11662" spans="1:1" x14ac:dyDescent="0.25">
      <c r="A11662" s="5"/>
    </row>
    <row r="11663" spans="1:1" x14ac:dyDescent="0.25">
      <c r="A11663" s="5"/>
    </row>
    <row r="11664" spans="1:1" x14ac:dyDescent="0.25">
      <c r="A11664" s="5"/>
    </row>
    <row r="11665" spans="1:1" x14ac:dyDescent="0.25">
      <c r="A11665" s="5"/>
    </row>
    <row r="11666" spans="1:1" x14ac:dyDescent="0.25">
      <c r="A11666" s="5"/>
    </row>
    <row r="11667" spans="1:1" x14ac:dyDescent="0.25">
      <c r="A11667" s="5"/>
    </row>
    <row r="11668" spans="1:1" x14ac:dyDescent="0.25">
      <c r="A11668" s="5"/>
    </row>
    <row r="11669" spans="1:1" x14ac:dyDescent="0.25">
      <c r="A11669" s="5"/>
    </row>
    <row r="11670" spans="1:1" x14ac:dyDescent="0.25">
      <c r="A11670" s="5"/>
    </row>
    <row r="11671" spans="1:1" x14ac:dyDescent="0.25">
      <c r="A11671" s="5"/>
    </row>
    <row r="11672" spans="1:1" x14ac:dyDescent="0.25">
      <c r="A11672" s="5"/>
    </row>
    <row r="11673" spans="1:1" x14ac:dyDescent="0.25">
      <c r="A11673" s="5"/>
    </row>
    <row r="11674" spans="1:1" x14ac:dyDescent="0.25">
      <c r="A11674" s="5"/>
    </row>
    <row r="11675" spans="1:1" x14ac:dyDescent="0.25">
      <c r="A11675" s="5"/>
    </row>
    <row r="11676" spans="1:1" x14ac:dyDescent="0.25">
      <c r="A11676" s="5"/>
    </row>
    <row r="11677" spans="1:1" x14ac:dyDescent="0.25">
      <c r="A11677" s="5"/>
    </row>
    <row r="11678" spans="1:1" x14ac:dyDescent="0.25">
      <c r="A11678" s="5"/>
    </row>
    <row r="11679" spans="1:1" x14ac:dyDescent="0.25">
      <c r="A11679" s="5"/>
    </row>
    <row r="11680" spans="1:1" x14ac:dyDescent="0.25">
      <c r="A11680" s="5"/>
    </row>
    <row r="11681" spans="1:1" x14ac:dyDescent="0.25">
      <c r="A11681" s="5"/>
    </row>
    <row r="11682" spans="1:1" x14ac:dyDescent="0.25">
      <c r="A11682" s="5"/>
    </row>
    <row r="11683" spans="1:1" x14ac:dyDescent="0.25">
      <c r="A11683" s="5"/>
    </row>
    <row r="11684" spans="1:1" x14ac:dyDescent="0.25">
      <c r="A11684" s="5"/>
    </row>
    <row r="11685" spans="1:1" x14ac:dyDescent="0.25">
      <c r="A11685" s="5"/>
    </row>
    <row r="11686" spans="1:1" x14ac:dyDescent="0.25">
      <c r="A11686" s="5"/>
    </row>
    <row r="11687" spans="1:1" x14ac:dyDescent="0.25">
      <c r="A11687" s="5"/>
    </row>
    <row r="11688" spans="1:1" x14ac:dyDescent="0.25">
      <c r="A11688" s="5"/>
    </row>
    <row r="11689" spans="1:1" x14ac:dyDescent="0.25">
      <c r="A11689" s="5"/>
    </row>
    <row r="11690" spans="1:1" x14ac:dyDescent="0.25">
      <c r="A11690" s="5"/>
    </row>
    <row r="11691" spans="1:1" x14ac:dyDescent="0.25">
      <c r="A11691" s="5"/>
    </row>
    <row r="11692" spans="1:1" x14ac:dyDescent="0.25">
      <c r="A11692" s="5"/>
    </row>
    <row r="11693" spans="1:1" x14ac:dyDescent="0.25">
      <c r="A11693" s="5"/>
    </row>
    <row r="11694" spans="1:1" x14ac:dyDescent="0.25">
      <c r="A11694" s="5"/>
    </row>
    <row r="11695" spans="1:1" x14ac:dyDescent="0.25">
      <c r="A11695" s="5"/>
    </row>
    <row r="11696" spans="1:1" x14ac:dyDescent="0.25">
      <c r="A11696" s="5"/>
    </row>
    <row r="11697" spans="1:1" x14ac:dyDescent="0.25">
      <c r="A11697" s="5"/>
    </row>
    <row r="11698" spans="1:1" x14ac:dyDescent="0.25">
      <c r="A11698" s="5"/>
    </row>
    <row r="11699" spans="1:1" x14ac:dyDescent="0.25">
      <c r="A11699" s="5"/>
    </row>
    <row r="11700" spans="1:1" x14ac:dyDescent="0.25">
      <c r="A11700" s="5"/>
    </row>
    <row r="11701" spans="1:1" x14ac:dyDescent="0.25">
      <c r="A11701" s="5"/>
    </row>
    <row r="11702" spans="1:1" x14ac:dyDescent="0.25">
      <c r="A11702" s="5"/>
    </row>
    <row r="11703" spans="1:1" x14ac:dyDescent="0.25">
      <c r="A11703" s="5"/>
    </row>
    <row r="11704" spans="1:1" x14ac:dyDescent="0.25">
      <c r="A11704" s="5"/>
    </row>
    <row r="11705" spans="1:1" x14ac:dyDescent="0.25">
      <c r="A11705" s="5"/>
    </row>
    <row r="11706" spans="1:1" x14ac:dyDescent="0.25">
      <c r="A11706" s="5"/>
    </row>
    <row r="11707" spans="1:1" x14ac:dyDescent="0.25">
      <c r="A11707" s="5"/>
    </row>
    <row r="11708" spans="1:1" x14ac:dyDescent="0.25">
      <c r="A11708" s="5"/>
    </row>
    <row r="11709" spans="1:1" x14ac:dyDescent="0.25">
      <c r="A11709" s="5"/>
    </row>
    <row r="11710" spans="1:1" x14ac:dyDescent="0.25">
      <c r="A11710" s="5"/>
    </row>
    <row r="11711" spans="1:1" x14ac:dyDescent="0.25">
      <c r="A11711" s="5"/>
    </row>
    <row r="11712" spans="1:1" x14ac:dyDescent="0.25">
      <c r="A11712" s="5"/>
    </row>
    <row r="11713" spans="1:1" x14ac:dyDescent="0.25">
      <c r="A11713" s="5"/>
    </row>
    <row r="11714" spans="1:1" x14ac:dyDescent="0.25">
      <c r="A11714" s="5"/>
    </row>
    <row r="11715" spans="1:1" x14ac:dyDescent="0.25">
      <c r="A11715" s="5"/>
    </row>
    <row r="11716" spans="1:1" x14ac:dyDescent="0.25">
      <c r="A11716" s="5"/>
    </row>
    <row r="11717" spans="1:1" x14ac:dyDescent="0.25">
      <c r="A11717" s="5"/>
    </row>
    <row r="11718" spans="1:1" x14ac:dyDescent="0.25">
      <c r="A11718" s="5"/>
    </row>
    <row r="11719" spans="1:1" x14ac:dyDescent="0.25">
      <c r="A11719" s="5"/>
    </row>
    <row r="11720" spans="1:1" x14ac:dyDescent="0.25">
      <c r="A11720" s="5"/>
    </row>
    <row r="11721" spans="1:1" x14ac:dyDescent="0.25">
      <c r="A11721" s="5"/>
    </row>
    <row r="11722" spans="1:1" x14ac:dyDescent="0.25">
      <c r="A11722" s="5"/>
    </row>
    <row r="11723" spans="1:1" x14ac:dyDescent="0.25">
      <c r="A11723" s="5"/>
    </row>
    <row r="11724" spans="1:1" x14ac:dyDescent="0.25">
      <c r="A11724" s="5"/>
    </row>
    <row r="11725" spans="1:1" x14ac:dyDescent="0.25">
      <c r="A11725" s="5"/>
    </row>
    <row r="11726" spans="1:1" x14ac:dyDescent="0.25">
      <c r="A11726" s="5"/>
    </row>
    <row r="11727" spans="1:1" x14ac:dyDescent="0.25">
      <c r="A11727" s="5"/>
    </row>
    <row r="11728" spans="1:1" x14ac:dyDescent="0.25">
      <c r="A11728" s="5"/>
    </row>
    <row r="11729" spans="1:1" x14ac:dyDescent="0.25">
      <c r="A11729" s="5"/>
    </row>
    <row r="11730" spans="1:1" x14ac:dyDescent="0.25">
      <c r="A11730" s="5"/>
    </row>
    <row r="11731" spans="1:1" x14ac:dyDescent="0.25">
      <c r="A11731" s="5"/>
    </row>
    <row r="11732" spans="1:1" x14ac:dyDescent="0.25">
      <c r="A11732" s="5"/>
    </row>
    <row r="11733" spans="1:1" x14ac:dyDescent="0.25">
      <c r="A11733" s="5"/>
    </row>
    <row r="11734" spans="1:1" x14ac:dyDescent="0.25">
      <c r="A11734" s="5"/>
    </row>
    <row r="11735" spans="1:1" x14ac:dyDescent="0.25">
      <c r="A11735" s="5"/>
    </row>
    <row r="11736" spans="1:1" x14ac:dyDescent="0.25">
      <c r="A11736" s="5"/>
    </row>
    <row r="11737" spans="1:1" x14ac:dyDescent="0.25">
      <c r="A11737" s="5"/>
    </row>
    <row r="11738" spans="1:1" x14ac:dyDescent="0.25">
      <c r="A11738" s="5"/>
    </row>
    <row r="11739" spans="1:1" x14ac:dyDescent="0.25">
      <c r="A11739" s="5"/>
    </row>
    <row r="11740" spans="1:1" x14ac:dyDescent="0.25">
      <c r="A11740" s="5"/>
    </row>
    <row r="11741" spans="1:1" x14ac:dyDescent="0.25">
      <c r="A11741" s="5"/>
    </row>
    <row r="11742" spans="1:1" x14ac:dyDescent="0.25">
      <c r="A11742" s="5"/>
    </row>
    <row r="11743" spans="1:1" x14ac:dyDescent="0.25">
      <c r="A11743" s="5"/>
    </row>
    <row r="11744" spans="1:1" x14ac:dyDescent="0.25">
      <c r="A11744" s="5"/>
    </row>
    <row r="11745" spans="1:1" x14ac:dyDescent="0.25">
      <c r="A11745" s="5"/>
    </row>
    <row r="11746" spans="1:1" x14ac:dyDescent="0.25">
      <c r="A11746" s="5"/>
    </row>
    <row r="11747" spans="1:1" x14ac:dyDescent="0.25">
      <c r="A11747" s="5"/>
    </row>
    <row r="11748" spans="1:1" x14ac:dyDescent="0.25">
      <c r="A11748" s="5"/>
    </row>
    <row r="11749" spans="1:1" x14ac:dyDescent="0.25">
      <c r="A11749" s="5"/>
    </row>
    <row r="11750" spans="1:1" x14ac:dyDescent="0.25">
      <c r="A11750" s="5"/>
    </row>
    <row r="11751" spans="1:1" x14ac:dyDescent="0.25">
      <c r="A11751" s="5"/>
    </row>
    <row r="11752" spans="1:1" x14ac:dyDescent="0.25">
      <c r="A11752" s="5"/>
    </row>
    <row r="11753" spans="1:1" x14ac:dyDescent="0.25">
      <c r="A11753" s="5"/>
    </row>
    <row r="11754" spans="1:1" x14ac:dyDescent="0.25">
      <c r="A11754" s="5"/>
    </row>
    <row r="11755" spans="1:1" x14ac:dyDescent="0.25">
      <c r="A11755" s="5"/>
    </row>
    <row r="11756" spans="1:1" x14ac:dyDescent="0.25">
      <c r="A11756" s="5"/>
    </row>
    <row r="11757" spans="1:1" x14ac:dyDescent="0.25">
      <c r="A11757" s="5"/>
    </row>
    <row r="11758" spans="1:1" x14ac:dyDescent="0.25">
      <c r="A11758" s="5"/>
    </row>
    <row r="11759" spans="1:1" x14ac:dyDescent="0.25">
      <c r="A11759" s="5"/>
    </row>
    <row r="11760" spans="1:1" x14ac:dyDescent="0.25">
      <c r="A11760" s="5"/>
    </row>
    <row r="11761" spans="1:1" x14ac:dyDescent="0.25">
      <c r="A11761" s="5"/>
    </row>
    <row r="11762" spans="1:1" x14ac:dyDescent="0.25">
      <c r="A11762" s="5"/>
    </row>
    <row r="11763" spans="1:1" x14ac:dyDescent="0.25">
      <c r="A11763" s="5"/>
    </row>
    <row r="11764" spans="1:1" x14ac:dyDescent="0.25">
      <c r="A11764" s="5"/>
    </row>
    <row r="11765" spans="1:1" x14ac:dyDescent="0.25">
      <c r="A11765" s="5"/>
    </row>
    <row r="11766" spans="1:1" x14ac:dyDescent="0.25">
      <c r="A11766" s="5"/>
    </row>
    <row r="11767" spans="1:1" x14ac:dyDescent="0.25">
      <c r="A11767" s="5"/>
    </row>
    <row r="11768" spans="1:1" x14ac:dyDescent="0.25">
      <c r="A11768" s="5"/>
    </row>
    <row r="11769" spans="1:1" x14ac:dyDescent="0.25">
      <c r="A11769" s="5"/>
    </row>
    <row r="11770" spans="1:1" x14ac:dyDescent="0.25">
      <c r="A11770" s="5"/>
    </row>
    <row r="11771" spans="1:1" x14ac:dyDescent="0.25">
      <c r="A11771" s="5"/>
    </row>
    <row r="11772" spans="1:1" x14ac:dyDescent="0.25">
      <c r="A11772" s="5"/>
    </row>
    <row r="11773" spans="1:1" x14ac:dyDescent="0.25">
      <c r="A11773" s="5"/>
    </row>
    <row r="11774" spans="1:1" x14ac:dyDescent="0.25">
      <c r="A11774" s="5"/>
    </row>
    <row r="11775" spans="1:1" x14ac:dyDescent="0.25">
      <c r="A11775" s="5"/>
    </row>
    <row r="11776" spans="1:1" x14ac:dyDescent="0.25">
      <c r="A11776" s="5"/>
    </row>
    <row r="11777" spans="1:1" x14ac:dyDescent="0.25">
      <c r="A11777" s="5"/>
    </row>
    <row r="11778" spans="1:1" x14ac:dyDescent="0.25">
      <c r="A11778" s="5"/>
    </row>
    <row r="11779" spans="1:1" x14ac:dyDescent="0.25">
      <c r="A11779" s="5"/>
    </row>
    <row r="11780" spans="1:1" x14ac:dyDescent="0.25">
      <c r="A11780" s="5"/>
    </row>
    <row r="11781" spans="1:1" x14ac:dyDescent="0.25">
      <c r="A11781" s="5"/>
    </row>
    <row r="11782" spans="1:1" x14ac:dyDescent="0.25">
      <c r="A11782" s="5"/>
    </row>
    <row r="11783" spans="1:1" x14ac:dyDescent="0.25">
      <c r="A11783" s="5"/>
    </row>
    <row r="11784" spans="1:1" x14ac:dyDescent="0.25">
      <c r="A11784" s="5"/>
    </row>
    <row r="11785" spans="1:1" x14ac:dyDescent="0.25">
      <c r="A11785" s="5"/>
    </row>
    <row r="11786" spans="1:1" x14ac:dyDescent="0.25">
      <c r="A11786" s="5"/>
    </row>
    <row r="11787" spans="1:1" x14ac:dyDescent="0.25">
      <c r="A11787" s="5"/>
    </row>
    <row r="11788" spans="1:1" x14ac:dyDescent="0.25">
      <c r="A11788" s="5"/>
    </row>
    <row r="11789" spans="1:1" x14ac:dyDescent="0.25">
      <c r="A11789" s="5"/>
    </row>
    <row r="11790" spans="1:1" x14ac:dyDescent="0.25">
      <c r="A11790" s="5"/>
    </row>
    <row r="11791" spans="1:1" x14ac:dyDescent="0.25">
      <c r="A11791" s="5"/>
    </row>
    <row r="11792" spans="1:1" x14ac:dyDescent="0.25">
      <c r="A11792" s="5"/>
    </row>
    <row r="11793" spans="1:1" x14ac:dyDescent="0.25">
      <c r="A11793" s="5"/>
    </row>
    <row r="11794" spans="1:1" x14ac:dyDescent="0.25">
      <c r="A11794" s="5"/>
    </row>
    <row r="11795" spans="1:1" x14ac:dyDescent="0.25">
      <c r="A11795" s="5"/>
    </row>
    <row r="11796" spans="1:1" x14ac:dyDescent="0.25">
      <c r="A11796" s="5"/>
    </row>
    <row r="11797" spans="1:1" x14ac:dyDescent="0.25">
      <c r="A11797" s="5"/>
    </row>
    <row r="11798" spans="1:1" x14ac:dyDescent="0.25">
      <c r="A11798" s="5"/>
    </row>
    <row r="11799" spans="1:1" x14ac:dyDescent="0.25">
      <c r="A11799" s="5"/>
    </row>
    <row r="11800" spans="1:1" x14ac:dyDescent="0.25">
      <c r="A11800" s="5"/>
    </row>
    <row r="11801" spans="1:1" x14ac:dyDescent="0.25">
      <c r="A11801" s="5"/>
    </row>
    <row r="11802" spans="1:1" x14ac:dyDescent="0.25">
      <c r="A11802" s="5"/>
    </row>
    <row r="11803" spans="1:1" x14ac:dyDescent="0.25">
      <c r="A11803" s="5"/>
    </row>
    <row r="11804" spans="1:1" x14ac:dyDescent="0.25">
      <c r="A11804" s="5"/>
    </row>
    <row r="11805" spans="1:1" x14ac:dyDescent="0.25">
      <c r="A11805" s="5"/>
    </row>
    <row r="11806" spans="1:1" x14ac:dyDescent="0.25">
      <c r="A11806" s="5"/>
    </row>
    <row r="11807" spans="1:1" x14ac:dyDescent="0.25">
      <c r="A11807" s="5"/>
    </row>
    <row r="11808" spans="1:1" x14ac:dyDescent="0.25">
      <c r="A11808" s="5"/>
    </row>
    <row r="11809" spans="1:1" x14ac:dyDescent="0.25">
      <c r="A11809" s="5"/>
    </row>
    <row r="11810" spans="1:1" x14ac:dyDescent="0.25">
      <c r="A11810" s="5"/>
    </row>
    <row r="11811" spans="1:1" x14ac:dyDescent="0.25">
      <c r="A11811" s="5"/>
    </row>
    <row r="11812" spans="1:1" x14ac:dyDescent="0.25">
      <c r="A11812" s="5"/>
    </row>
    <row r="11813" spans="1:1" x14ac:dyDescent="0.25">
      <c r="A11813" s="5"/>
    </row>
    <row r="11814" spans="1:1" x14ac:dyDescent="0.25">
      <c r="A11814" s="5"/>
    </row>
    <row r="11815" spans="1:1" x14ac:dyDescent="0.25">
      <c r="A11815" s="5"/>
    </row>
    <row r="11816" spans="1:1" x14ac:dyDescent="0.25">
      <c r="A11816" s="5"/>
    </row>
    <row r="11817" spans="1:1" x14ac:dyDescent="0.25">
      <c r="A11817" s="5"/>
    </row>
    <row r="11818" spans="1:1" x14ac:dyDescent="0.25">
      <c r="A11818" s="5"/>
    </row>
    <row r="11819" spans="1:1" x14ac:dyDescent="0.25">
      <c r="A11819" s="5"/>
    </row>
    <row r="11820" spans="1:1" x14ac:dyDescent="0.25">
      <c r="A11820" s="5"/>
    </row>
    <row r="11821" spans="1:1" x14ac:dyDescent="0.25">
      <c r="A11821" s="5"/>
    </row>
    <row r="11822" spans="1:1" x14ac:dyDescent="0.25">
      <c r="A11822" s="5"/>
    </row>
    <row r="11823" spans="1:1" x14ac:dyDescent="0.25">
      <c r="A11823" s="5"/>
    </row>
    <row r="11824" spans="1:1" x14ac:dyDescent="0.25">
      <c r="A11824" s="5"/>
    </row>
    <row r="11825" spans="1:1" x14ac:dyDescent="0.25">
      <c r="A11825" s="5"/>
    </row>
    <row r="11826" spans="1:1" x14ac:dyDescent="0.25">
      <c r="A11826" s="5"/>
    </row>
    <row r="11827" spans="1:1" x14ac:dyDescent="0.25">
      <c r="A11827" s="5"/>
    </row>
    <row r="11828" spans="1:1" x14ac:dyDescent="0.25">
      <c r="A11828" s="5"/>
    </row>
    <row r="11829" spans="1:1" x14ac:dyDescent="0.25">
      <c r="A11829" s="5"/>
    </row>
    <row r="11830" spans="1:1" x14ac:dyDescent="0.25">
      <c r="A11830" s="5"/>
    </row>
    <row r="11831" spans="1:1" x14ac:dyDescent="0.25">
      <c r="A11831" s="5"/>
    </row>
    <row r="11832" spans="1:1" x14ac:dyDescent="0.25">
      <c r="A11832" s="5"/>
    </row>
    <row r="11833" spans="1:1" x14ac:dyDescent="0.25">
      <c r="A11833" s="5"/>
    </row>
    <row r="11834" spans="1:1" x14ac:dyDescent="0.25">
      <c r="A11834" s="5"/>
    </row>
    <row r="11835" spans="1:1" x14ac:dyDescent="0.25">
      <c r="A11835" s="5"/>
    </row>
    <row r="11836" spans="1:1" x14ac:dyDescent="0.25">
      <c r="A11836" s="5"/>
    </row>
    <row r="11837" spans="1:1" x14ac:dyDescent="0.25">
      <c r="A11837" s="5"/>
    </row>
    <row r="11838" spans="1:1" x14ac:dyDescent="0.25">
      <c r="A11838" s="5"/>
    </row>
    <row r="11839" spans="1:1" x14ac:dyDescent="0.25">
      <c r="A11839" s="5"/>
    </row>
    <row r="11840" spans="1:1" x14ac:dyDescent="0.25">
      <c r="A11840" s="5"/>
    </row>
    <row r="11841" spans="1:1" x14ac:dyDescent="0.25">
      <c r="A11841" s="5"/>
    </row>
    <row r="11842" spans="1:1" x14ac:dyDescent="0.25">
      <c r="A11842" s="5"/>
    </row>
    <row r="11843" spans="1:1" x14ac:dyDescent="0.25">
      <c r="A11843" s="5"/>
    </row>
    <row r="11844" spans="1:1" x14ac:dyDescent="0.25">
      <c r="A11844" s="5"/>
    </row>
    <row r="11845" spans="1:1" x14ac:dyDescent="0.25">
      <c r="A11845" s="5"/>
    </row>
    <row r="11846" spans="1:1" x14ac:dyDescent="0.25">
      <c r="A11846" s="5"/>
    </row>
    <row r="11847" spans="1:1" x14ac:dyDescent="0.25">
      <c r="A11847" s="5"/>
    </row>
    <row r="11848" spans="1:1" x14ac:dyDescent="0.25">
      <c r="A11848" s="5"/>
    </row>
    <row r="11849" spans="1:1" x14ac:dyDescent="0.25">
      <c r="A11849" s="5"/>
    </row>
    <row r="11850" spans="1:1" x14ac:dyDescent="0.25">
      <c r="A11850" s="5"/>
    </row>
    <row r="11851" spans="1:1" x14ac:dyDescent="0.25">
      <c r="A11851" s="5"/>
    </row>
    <row r="11852" spans="1:1" x14ac:dyDescent="0.25">
      <c r="A11852" s="5"/>
    </row>
    <row r="11853" spans="1:1" x14ac:dyDescent="0.25">
      <c r="A11853" s="5"/>
    </row>
    <row r="11854" spans="1:1" x14ac:dyDescent="0.25">
      <c r="A11854" s="5"/>
    </row>
    <row r="11855" spans="1:1" x14ac:dyDescent="0.25">
      <c r="A11855" s="5"/>
    </row>
    <row r="11856" spans="1:1" x14ac:dyDescent="0.25">
      <c r="A11856" s="5"/>
    </row>
    <row r="11857" spans="1:1" x14ac:dyDescent="0.25">
      <c r="A11857" s="5"/>
    </row>
    <row r="11858" spans="1:1" x14ac:dyDescent="0.25">
      <c r="A11858" s="5"/>
    </row>
    <row r="11859" spans="1:1" x14ac:dyDescent="0.25">
      <c r="A11859" s="5"/>
    </row>
    <row r="11860" spans="1:1" x14ac:dyDescent="0.25">
      <c r="A11860" s="5"/>
    </row>
    <row r="11861" spans="1:1" x14ac:dyDescent="0.25">
      <c r="A11861" s="5"/>
    </row>
    <row r="11862" spans="1:1" x14ac:dyDescent="0.25">
      <c r="A11862" s="5"/>
    </row>
    <row r="11863" spans="1:1" x14ac:dyDescent="0.25">
      <c r="A11863" s="5"/>
    </row>
    <row r="11864" spans="1:1" x14ac:dyDescent="0.25">
      <c r="A11864" s="5"/>
    </row>
    <row r="11865" spans="1:1" x14ac:dyDescent="0.25">
      <c r="A11865" s="5"/>
    </row>
    <row r="11866" spans="1:1" x14ac:dyDescent="0.25">
      <c r="A11866" s="5"/>
    </row>
    <row r="11867" spans="1:1" x14ac:dyDescent="0.25">
      <c r="A11867" s="5"/>
    </row>
    <row r="11868" spans="1:1" x14ac:dyDescent="0.25">
      <c r="A11868" s="5"/>
    </row>
    <row r="11869" spans="1:1" x14ac:dyDescent="0.25">
      <c r="A11869" s="5"/>
    </row>
    <row r="11870" spans="1:1" x14ac:dyDescent="0.25">
      <c r="A11870" s="5"/>
    </row>
    <row r="11871" spans="1:1" x14ac:dyDescent="0.25">
      <c r="A11871" s="5"/>
    </row>
    <row r="11872" spans="1:1" x14ac:dyDescent="0.25">
      <c r="A11872" s="5"/>
    </row>
    <row r="11873" spans="1:1" x14ac:dyDescent="0.25">
      <c r="A11873" s="5"/>
    </row>
    <row r="11874" spans="1:1" x14ac:dyDescent="0.25">
      <c r="A11874" s="5"/>
    </row>
    <row r="11875" spans="1:1" x14ac:dyDescent="0.25">
      <c r="A11875" s="5"/>
    </row>
    <row r="11876" spans="1:1" x14ac:dyDescent="0.25">
      <c r="A11876" s="5"/>
    </row>
    <row r="11877" spans="1:1" x14ac:dyDescent="0.25">
      <c r="A11877" s="5"/>
    </row>
    <row r="11878" spans="1:1" x14ac:dyDescent="0.25">
      <c r="A11878" s="5"/>
    </row>
    <row r="11879" spans="1:1" x14ac:dyDescent="0.25">
      <c r="A11879" s="5"/>
    </row>
    <row r="11880" spans="1:1" x14ac:dyDescent="0.25">
      <c r="A11880" s="5"/>
    </row>
    <row r="11881" spans="1:1" x14ac:dyDescent="0.25">
      <c r="A11881" s="5"/>
    </row>
    <row r="11882" spans="1:1" x14ac:dyDescent="0.25">
      <c r="A11882" s="5"/>
    </row>
    <row r="11883" spans="1:1" x14ac:dyDescent="0.25">
      <c r="A11883" s="5"/>
    </row>
    <row r="11884" spans="1:1" x14ac:dyDescent="0.25">
      <c r="A11884" s="5"/>
    </row>
    <row r="11885" spans="1:1" x14ac:dyDescent="0.25">
      <c r="A11885" s="5"/>
    </row>
    <row r="11886" spans="1:1" x14ac:dyDescent="0.25">
      <c r="A11886" s="5"/>
    </row>
    <row r="11887" spans="1:1" x14ac:dyDescent="0.25">
      <c r="A11887" s="5"/>
    </row>
    <row r="11888" spans="1:1" x14ac:dyDescent="0.25">
      <c r="A11888" s="5"/>
    </row>
    <row r="11889" spans="1:1" x14ac:dyDescent="0.25">
      <c r="A11889" s="5"/>
    </row>
    <row r="11890" spans="1:1" x14ac:dyDescent="0.25">
      <c r="A11890" s="5"/>
    </row>
    <row r="11891" spans="1:1" x14ac:dyDescent="0.25">
      <c r="A11891" s="5"/>
    </row>
    <row r="11892" spans="1:1" x14ac:dyDescent="0.25">
      <c r="A11892" s="5"/>
    </row>
    <row r="11893" spans="1:1" x14ac:dyDescent="0.25">
      <c r="A11893" s="5"/>
    </row>
    <row r="11894" spans="1:1" x14ac:dyDescent="0.25">
      <c r="A11894" s="5"/>
    </row>
    <row r="11895" spans="1:1" x14ac:dyDescent="0.25">
      <c r="A11895" s="5"/>
    </row>
    <row r="11896" spans="1:1" x14ac:dyDescent="0.25">
      <c r="A11896" s="5"/>
    </row>
    <row r="11897" spans="1:1" x14ac:dyDescent="0.25">
      <c r="A11897" s="5"/>
    </row>
    <row r="11898" spans="1:1" x14ac:dyDescent="0.25">
      <c r="A11898" s="5"/>
    </row>
    <row r="11899" spans="1:1" x14ac:dyDescent="0.25">
      <c r="A11899" s="5"/>
    </row>
    <row r="11900" spans="1:1" x14ac:dyDescent="0.25">
      <c r="A11900" s="5"/>
    </row>
    <row r="11901" spans="1:1" x14ac:dyDescent="0.25">
      <c r="A11901" s="5"/>
    </row>
    <row r="11902" spans="1:1" x14ac:dyDescent="0.25">
      <c r="A11902" s="5"/>
    </row>
    <row r="11903" spans="1:1" x14ac:dyDescent="0.25">
      <c r="A11903" s="5"/>
    </row>
    <row r="11904" spans="1:1" x14ac:dyDescent="0.25">
      <c r="A11904" s="5"/>
    </row>
    <row r="11905" spans="1:1" x14ac:dyDescent="0.25">
      <c r="A11905" s="5"/>
    </row>
    <row r="11906" spans="1:1" x14ac:dyDescent="0.25">
      <c r="A11906" s="5"/>
    </row>
    <row r="11907" spans="1:1" x14ac:dyDescent="0.25">
      <c r="A11907" s="5"/>
    </row>
    <row r="11908" spans="1:1" x14ac:dyDescent="0.25">
      <c r="A11908" s="5"/>
    </row>
    <row r="11909" spans="1:1" x14ac:dyDescent="0.25">
      <c r="A11909" s="5"/>
    </row>
    <row r="11910" spans="1:1" x14ac:dyDescent="0.25">
      <c r="A11910" s="5"/>
    </row>
    <row r="11911" spans="1:1" x14ac:dyDescent="0.25">
      <c r="A11911" s="5"/>
    </row>
    <row r="11912" spans="1:1" x14ac:dyDescent="0.25">
      <c r="A11912" s="5"/>
    </row>
    <row r="11913" spans="1:1" x14ac:dyDescent="0.25">
      <c r="A11913" s="5"/>
    </row>
    <row r="11914" spans="1:1" x14ac:dyDescent="0.25">
      <c r="A11914" s="5"/>
    </row>
    <row r="11915" spans="1:1" x14ac:dyDescent="0.25">
      <c r="A11915" s="5"/>
    </row>
    <row r="11916" spans="1:1" x14ac:dyDescent="0.25">
      <c r="A11916" s="5"/>
    </row>
    <row r="11917" spans="1:1" x14ac:dyDescent="0.25">
      <c r="A11917" s="5"/>
    </row>
    <row r="11918" spans="1:1" x14ac:dyDescent="0.25">
      <c r="A11918" s="5"/>
    </row>
    <row r="11919" spans="1:1" x14ac:dyDescent="0.25">
      <c r="A11919" s="5"/>
    </row>
    <row r="11920" spans="1:1" x14ac:dyDescent="0.25">
      <c r="A11920" s="5"/>
    </row>
    <row r="11921" spans="1:1" x14ac:dyDescent="0.25">
      <c r="A11921" s="5"/>
    </row>
    <row r="11922" spans="1:1" x14ac:dyDescent="0.25">
      <c r="A11922" s="5"/>
    </row>
    <row r="11923" spans="1:1" x14ac:dyDescent="0.25">
      <c r="A11923" s="5"/>
    </row>
    <row r="11924" spans="1:1" x14ac:dyDescent="0.25">
      <c r="A11924" s="5"/>
    </row>
    <row r="11925" spans="1:1" x14ac:dyDescent="0.25">
      <c r="A11925" s="5"/>
    </row>
    <row r="11926" spans="1:1" x14ac:dyDescent="0.25">
      <c r="A11926" s="5"/>
    </row>
    <row r="11927" spans="1:1" x14ac:dyDescent="0.25">
      <c r="A11927" s="5"/>
    </row>
    <row r="11928" spans="1:1" x14ac:dyDescent="0.25">
      <c r="A11928" s="5"/>
    </row>
    <row r="11929" spans="1:1" x14ac:dyDescent="0.25">
      <c r="A11929" s="5"/>
    </row>
    <row r="11930" spans="1:1" x14ac:dyDescent="0.25">
      <c r="A11930" s="5"/>
    </row>
    <row r="11931" spans="1:1" x14ac:dyDescent="0.25">
      <c r="A11931" s="5"/>
    </row>
    <row r="11932" spans="1:1" x14ac:dyDescent="0.25">
      <c r="A11932" s="5"/>
    </row>
    <row r="11933" spans="1:1" x14ac:dyDescent="0.25">
      <c r="A11933" s="5"/>
    </row>
    <row r="11934" spans="1:1" x14ac:dyDescent="0.25">
      <c r="A11934" s="5"/>
    </row>
    <row r="11935" spans="1:1" x14ac:dyDescent="0.25">
      <c r="A11935" s="5"/>
    </row>
    <row r="11936" spans="1:1" x14ac:dyDescent="0.25">
      <c r="A11936" s="5"/>
    </row>
    <row r="11937" spans="1:1" x14ac:dyDescent="0.25">
      <c r="A11937" s="5"/>
    </row>
    <row r="11938" spans="1:1" x14ac:dyDescent="0.25">
      <c r="A11938" s="5"/>
    </row>
    <row r="11939" spans="1:1" x14ac:dyDescent="0.25">
      <c r="A11939" s="5"/>
    </row>
    <row r="11940" spans="1:1" x14ac:dyDescent="0.25">
      <c r="A11940" s="5"/>
    </row>
    <row r="11941" spans="1:1" x14ac:dyDescent="0.25">
      <c r="A11941" s="5"/>
    </row>
    <row r="11942" spans="1:1" x14ac:dyDescent="0.25">
      <c r="A11942" s="5"/>
    </row>
    <row r="11943" spans="1:1" x14ac:dyDescent="0.25">
      <c r="A11943" s="5"/>
    </row>
    <row r="11944" spans="1:1" x14ac:dyDescent="0.25">
      <c r="A11944" s="5"/>
    </row>
    <row r="11945" spans="1:1" x14ac:dyDescent="0.25">
      <c r="A11945" s="5"/>
    </row>
    <row r="11946" spans="1:1" x14ac:dyDescent="0.25">
      <c r="A11946" s="5"/>
    </row>
    <row r="11947" spans="1:1" x14ac:dyDescent="0.25">
      <c r="A11947" s="5"/>
    </row>
    <row r="11948" spans="1:1" x14ac:dyDescent="0.25">
      <c r="A11948" s="5"/>
    </row>
    <row r="11949" spans="1:1" x14ac:dyDescent="0.25">
      <c r="A11949" s="5"/>
    </row>
    <row r="11950" spans="1:1" x14ac:dyDescent="0.25">
      <c r="A11950" s="5"/>
    </row>
    <row r="11951" spans="1:1" x14ac:dyDescent="0.25">
      <c r="A11951" s="5"/>
    </row>
    <row r="11952" spans="1:1" x14ac:dyDescent="0.25">
      <c r="A11952" s="5"/>
    </row>
    <row r="11953" spans="1:1" x14ac:dyDescent="0.25">
      <c r="A11953" s="5"/>
    </row>
    <row r="11954" spans="1:1" x14ac:dyDescent="0.25">
      <c r="A11954" s="5"/>
    </row>
    <row r="11955" spans="1:1" x14ac:dyDescent="0.25">
      <c r="A11955" s="5"/>
    </row>
    <row r="11956" spans="1:1" x14ac:dyDescent="0.25">
      <c r="A11956" s="5"/>
    </row>
    <row r="11957" spans="1:1" x14ac:dyDescent="0.25">
      <c r="A11957" s="5"/>
    </row>
    <row r="11958" spans="1:1" x14ac:dyDescent="0.25">
      <c r="A11958" s="5"/>
    </row>
    <row r="11959" spans="1:1" x14ac:dyDescent="0.25">
      <c r="A11959" s="5"/>
    </row>
    <row r="11960" spans="1:1" x14ac:dyDescent="0.25">
      <c r="A11960" s="5"/>
    </row>
    <row r="11961" spans="1:1" x14ac:dyDescent="0.25">
      <c r="A11961" s="5"/>
    </row>
    <row r="11962" spans="1:1" x14ac:dyDescent="0.25">
      <c r="A11962" s="5"/>
    </row>
    <row r="11963" spans="1:1" x14ac:dyDescent="0.25">
      <c r="A11963" s="5"/>
    </row>
    <row r="11964" spans="1:1" x14ac:dyDescent="0.25">
      <c r="A11964" s="5"/>
    </row>
    <row r="11965" spans="1:1" x14ac:dyDescent="0.25">
      <c r="A11965" s="5"/>
    </row>
    <row r="11966" spans="1:1" x14ac:dyDescent="0.25">
      <c r="A11966" s="5"/>
    </row>
    <row r="11967" spans="1:1" x14ac:dyDescent="0.25">
      <c r="A11967" s="5"/>
    </row>
    <row r="11968" spans="1:1" x14ac:dyDescent="0.25">
      <c r="A11968" s="5"/>
    </row>
    <row r="11969" spans="1:1" x14ac:dyDescent="0.25">
      <c r="A11969" s="5"/>
    </row>
    <row r="11970" spans="1:1" x14ac:dyDescent="0.25">
      <c r="A11970" s="5"/>
    </row>
    <row r="11971" spans="1:1" x14ac:dyDescent="0.25">
      <c r="A11971" s="5"/>
    </row>
    <row r="11972" spans="1:1" x14ac:dyDescent="0.25">
      <c r="A11972" s="5"/>
    </row>
    <row r="11973" spans="1:1" x14ac:dyDescent="0.25">
      <c r="A11973" s="5"/>
    </row>
    <row r="11974" spans="1:1" x14ac:dyDescent="0.25">
      <c r="A11974" s="5"/>
    </row>
    <row r="11975" spans="1:1" x14ac:dyDescent="0.25">
      <c r="A11975" s="5"/>
    </row>
    <row r="11976" spans="1:1" x14ac:dyDescent="0.25">
      <c r="A11976" s="5"/>
    </row>
    <row r="11977" spans="1:1" x14ac:dyDescent="0.25">
      <c r="A11977" s="5"/>
    </row>
    <row r="11978" spans="1:1" x14ac:dyDescent="0.25">
      <c r="A11978" s="5"/>
    </row>
    <row r="11979" spans="1:1" x14ac:dyDescent="0.25">
      <c r="A11979" s="5"/>
    </row>
    <row r="11980" spans="1:1" x14ac:dyDescent="0.25">
      <c r="A11980" s="5"/>
    </row>
    <row r="11981" spans="1:1" x14ac:dyDescent="0.25">
      <c r="A11981" s="5"/>
    </row>
    <row r="11982" spans="1:1" x14ac:dyDescent="0.25">
      <c r="A11982" s="5"/>
    </row>
    <row r="11983" spans="1:1" x14ac:dyDescent="0.25">
      <c r="A11983" s="5"/>
    </row>
    <row r="11984" spans="1:1" x14ac:dyDescent="0.25">
      <c r="A11984" s="5"/>
    </row>
    <row r="11985" spans="1:1" x14ac:dyDescent="0.25">
      <c r="A11985" s="5"/>
    </row>
    <row r="11986" spans="1:1" x14ac:dyDescent="0.25">
      <c r="A11986" s="5"/>
    </row>
    <row r="11987" spans="1:1" x14ac:dyDescent="0.25">
      <c r="A11987" s="5"/>
    </row>
    <row r="11988" spans="1:1" x14ac:dyDescent="0.25">
      <c r="A11988" s="5"/>
    </row>
    <row r="11989" spans="1:1" x14ac:dyDescent="0.25">
      <c r="A11989" s="5"/>
    </row>
    <row r="11990" spans="1:1" x14ac:dyDescent="0.25">
      <c r="A11990" s="5"/>
    </row>
    <row r="11991" spans="1:1" x14ac:dyDescent="0.25">
      <c r="A11991" s="5"/>
    </row>
    <row r="11992" spans="1:1" x14ac:dyDescent="0.25">
      <c r="A11992" s="5"/>
    </row>
    <row r="11993" spans="1:1" x14ac:dyDescent="0.25">
      <c r="A11993" s="5"/>
    </row>
    <row r="11994" spans="1:1" x14ac:dyDescent="0.25">
      <c r="A11994" s="5"/>
    </row>
    <row r="11995" spans="1:1" x14ac:dyDescent="0.25">
      <c r="A11995" s="5"/>
    </row>
    <row r="11996" spans="1:1" x14ac:dyDescent="0.25">
      <c r="A11996" s="5"/>
    </row>
    <row r="11997" spans="1:1" x14ac:dyDescent="0.25">
      <c r="A11997" s="5"/>
    </row>
    <row r="11998" spans="1:1" x14ac:dyDescent="0.25">
      <c r="A11998" s="5"/>
    </row>
    <row r="11999" spans="1:1" x14ac:dyDescent="0.25">
      <c r="A11999" s="5"/>
    </row>
    <row r="12000" spans="1:1" x14ac:dyDescent="0.25">
      <c r="A12000" s="5"/>
    </row>
    <row r="12001" spans="1:1" x14ac:dyDescent="0.25">
      <c r="A12001" s="5"/>
    </row>
    <row r="12002" spans="1:1" x14ac:dyDescent="0.25">
      <c r="A12002" s="5"/>
    </row>
    <row r="12003" spans="1:1" x14ac:dyDescent="0.25">
      <c r="A12003" s="5"/>
    </row>
    <row r="12004" spans="1:1" x14ac:dyDescent="0.25">
      <c r="A12004" s="5"/>
    </row>
    <row r="12005" spans="1:1" x14ac:dyDescent="0.25">
      <c r="A12005" s="5"/>
    </row>
    <row r="12006" spans="1:1" x14ac:dyDescent="0.25">
      <c r="A12006" s="5"/>
    </row>
    <row r="12007" spans="1:1" x14ac:dyDescent="0.25">
      <c r="A12007" s="5"/>
    </row>
    <row r="12008" spans="1:1" x14ac:dyDescent="0.25">
      <c r="A12008" s="5"/>
    </row>
    <row r="12009" spans="1:1" x14ac:dyDescent="0.25">
      <c r="A12009" s="5"/>
    </row>
    <row r="12010" spans="1:1" x14ac:dyDescent="0.25">
      <c r="A12010" s="5"/>
    </row>
    <row r="12011" spans="1:1" x14ac:dyDescent="0.25">
      <c r="A12011" s="5"/>
    </row>
    <row r="12012" spans="1:1" x14ac:dyDescent="0.25">
      <c r="A12012" s="5"/>
    </row>
    <row r="12013" spans="1:1" x14ac:dyDescent="0.25">
      <c r="A12013" s="5"/>
    </row>
    <row r="12014" spans="1:1" x14ac:dyDescent="0.25">
      <c r="A12014" s="5"/>
    </row>
    <row r="12015" spans="1:1" x14ac:dyDescent="0.25">
      <c r="A12015" s="5"/>
    </row>
    <row r="12016" spans="1:1" x14ac:dyDescent="0.25">
      <c r="A12016" s="5"/>
    </row>
    <row r="12017" spans="1:1" x14ac:dyDescent="0.25">
      <c r="A12017" s="5"/>
    </row>
    <row r="12018" spans="1:1" x14ac:dyDescent="0.25">
      <c r="A12018" s="5"/>
    </row>
    <row r="12019" spans="1:1" x14ac:dyDescent="0.25">
      <c r="A12019" s="5"/>
    </row>
    <row r="12020" spans="1:1" x14ac:dyDescent="0.25">
      <c r="A12020" s="5"/>
    </row>
    <row r="12021" spans="1:1" x14ac:dyDescent="0.25">
      <c r="A12021" s="5"/>
    </row>
    <row r="12022" spans="1:1" x14ac:dyDescent="0.25">
      <c r="A12022" s="5"/>
    </row>
    <row r="12023" spans="1:1" x14ac:dyDescent="0.25">
      <c r="A12023" s="5"/>
    </row>
    <row r="12024" spans="1:1" x14ac:dyDescent="0.25">
      <c r="A12024" s="5"/>
    </row>
    <row r="12025" spans="1:1" x14ac:dyDescent="0.25">
      <c r="A12025" s="5"/>
    </row>
    <row r="12026" spans="1:1" x14ac:dyDescent="0.25">
      <c r="A12026" s="5"/>
    </row>
    <row r="12027" spans="1:1" x14ac:dyDescent="0.25">
      <c r="A12027" s="5"/>
    </row>
    <row r="12028" spans="1:1" x14ac:dyDescent="0.25">
      <c r="A12028" s="5"/>
    </row>
    <row r="12029" spans="1:1" x14ac:dyDescent="0.25">
      <c r="A12029" s="5"/>
    </row>
    <row r="12030" spans="1:1" x14ac:dyDescent="0.25">
      <c r="A12030" s="5"/>
    </row>
    <row r="12031" spans="1:1" x14ac:dyDescent="0.25">
      <c r="A12031" s="5"/>
    </row>
    <row r="12032" spans="1:1" x14ac:dyDescent="0.25">
      <c r="A12032" s="5"/>
    </row>
    <row r="12033" spans="1:1" x14ac:dyDescent="0.25">
      <c r="A12033" s="5"/>
    </row>
    <row r="12034" spans="1:1" x14ac:dyDescent="0.25">
      <c r="A12034" s="5"/>
    </row>
    <row r="12035" spans="1:1" x14ac:dyDescent="0.25">
      <c r="A12035" s="5"/>
    </row>
    <row r="12036" spans="1:1" x14ac:dyDescent="0.25">
      <c r="A12036" s="5"/>
    </row>
    <row r="12037" spans="1:1" x14ac:dyDescent="0.25">
      <c r="A12037" s="5"/>
    </row>
    <row r="12038" spans="1:1" x14ac:dyDescent="0.25">
      <c r="A12038" s="5"/>
    </row>
    <row r="12039" spans="1:1" x14ac:dyDescent="0.25">
      <c r="A12039" s="5"/>
    </row>
    <row r="12040" spans="1:1" x14ac:dyDescent="0.25">
      <c r="A12040" s="5"/>
    </row>
    <row r="12041" spans="1:1" x14ac:dyDescent="0.25">
      <c r="A12041" s="5"/>
    </row>
    <row r="12042" spans="1:1" x14ac:dyDescent="0.25">
      <c r="A12042" s="5"/>
    </row>
    <row r="12043" spans="1:1" x14ac:dyDescent="0.25">
      <c r="A12043" s="5"/>
    </row>
    <row r="12044" spans="1:1" x14ac:dyDescent="0.25">
      <c r="A12044" s="5"/>
    </row>
    <row r="12045" spans="1:1" x14ac:dyDescent="0.25">
      <c r="A12045" s="5"/>
    </row>
    <row r="12046" spans="1:1" x14ac:dyDescent="0.25">
      <c r="A12046" s="5"/>
    </row>
    <row r="12047" spans="1:1" x14ac:dyDescent="0.25">
      <c r="A12047" s="5"/>
    </row>
    <row r="12048" spans="1:1" x14ac:dyDescent="0.25">
      <c r="A12048" s="5"/>
    </row>
    <row r="12049" spans="1:1" x14ac:dyDescent="0.25">
      <c r="A12049" s="5"/>
    </row>
    <row r="12050" spans="1:1" x14ac:dyDescent="0.25">
      <c r="A12050" s="5"/>
    </row>
    <row r="12051" spans="1:1" x14ac:dyDescent="0.25">
      <c r="A12051" s="5"/>
    </row>
    <row r="12052" spans="1:1" x14ac:dyDescent="0.25">
      <c r="A12052" s="5"/>
    </row>
    <row r="12053" spans="1:1" x14ac:dyDescent="0.25">
      <c r="A12053" s="5"/>
    </row>
    <row r="12054" spans="1:1" x14ac:dyDescent="0.25">
      <c r="A12054" s="5"/>
    </row>
    <row r="12055" spans="1:1" x14ac:dyDescent="0.25">
      <c r="A12055" s="5"/>
    </row>
    <row r="12056" spans="1:1" x14ac:dyDescent="0.25">
      <c r="A12056" s="5"/>
    </row>
    <row r="12057" spans="1:1" x14ac:dyDescent="0.25">
      <c r="A12057" s="5"/>
    </row>
    <row r="12058" spans="1:1" x14ac:dyDescent="0.25">
      <c r="A12058" s="5"/>
    </row>
    <row r="12059" spans="1:1" x14ac:dyDescent="0.25">
      <c r="A12059" s="5"/>
    </row>
    <row r="12060" spans="1:1" x14ac:dyDescent="0.25">
      <c r="A12060" s="5"/>
    </row>
    <row r="12061" spans="1:1" x14ac:dyDescent="0.25">
      <c r="A12061" s="5"/>
    </row>
    <row r="12062" spans="1:1" x14ac:dyDescent="0.25">
      <c r="A12062" s="5"/>
    </row>
    <row r="12063" spans="1:1" x14ac:dyDescent="0.25">
      <c r="A12063" s="5"/>
    </row>
    <row r="12064" spans="1:1" x14ac:dyDescent="0.25">
      <c r="A12064" s="5"/>
    </row>
    <row r="12065" spans="1:1" x14ac:dyDescent="0.25">
      <c r="A12065" s="5"/>
    </row>
    <row r="12066" spans="1:1" x14ac:dyDescent="0.25">
      <c r="A12066" s="5"/>
    </row>
    <row r="12067" spans="1:1" x14ac:dyDescent="0.25">
      <c r="A12067" s="5"/>
    </row>
    <row r="12068" spans="1:1" x14ac:dyDescent="0.25">
      <c r="A12068" s="5"/>
    </row>
    <row r="12069" spans="1:1" x14ac:dyDescent="0.25">
      <c r="A12069" s="5"/>
    </row>
    <row r="12070" spans="1:1" x14ac:dyDescent="0.25">
      <c r="A12070" s="5"/>
    </row>
    <row r="12071" spans="1:1" x14ac:dyDescent="0.25">
      <c r="A12071" s="5"/>
    </row>
    <row r="12072" spans="1:1" x14ac:dyDescent="0.25">
      <c r="A12072" s="5"/>
    </row>
    <row r="12073" spans="1:1" x14ac:dyDescent="0.25">
      <c r="A12073" s="5"/>
    </row>
    <row r="12074" spans="1:1" x14ac:dyDescent="0.25">
      <c r="A12074" s="5"/>
    </row>
    <row r="12075" spans="1:1" x14ac:dyDescent="0.25">
      <c r="A12075" s="5"/>
    </row>
    <row r="12076" spans="1:1" x14ac:dyDescent="0.25">
      <c r="A12076" s="5"/>
    </row>
    <row r="12077" spans="1:1" x14ac:dyDescent="0.25">
      <c r="A12077" s="5"/>
    </row>
    <row r="12078" spans="1:1" x14ac:dyDescent="0.25">
      <c r="A12078" s="5"/>
    </row>
    <row r="12079" spans="1:1" x14ac:dyDescent="0.25">
      <c r="A12079" s="5"/>
    </row>
    <row r="12080" spans="1:1" x14ac:dyDescent="0.25">
      <c r="A12080" s="5"/>
    </row>
    <row r="12081" spans="1:1" x14ac:dyDescent="0.25">
      <c r="A12081" s="5"/>
    </row>
    <row r="12082" spans="1:1" x14ac:dyDescent="0.25">
      <c r="A12082" s="5"/>
    </row>
    <row r="12083" spans="1:1" x14ac:dyDescent="0.25">
      <c r="A12083" s="5"/>
    </row>
    <row r="12084" spans="1:1" x14ac:dyDescent="0.25">
      <c r="A12084" s="5"/>
    </row>
    <row r="12085" spans="1:1" x14ac:dyDescent="0.25">
      <c r="A12085" s="5"/>
    </row>
    <row r="12086" spans="1:1" x14ac:dyDescent="0.25">
      <c r="A12086" s="5"/>
    </row>
    <row r="12087" spans="1:1" x14ac:dyDescent="0.25">
      <c r="A12087" s="5"/>
    </row>
    <row r="12088" spans="1:1" x14ac:dyDescent="0.25">
      <c r="A12088" s="5"/>
    </row>
    <row r="12089" spans="1:1" x14ac:dyDescent="0.25">
      <c r="A12089" s="5"/>
    </row>
    <row r="12090" spans="1:1" x14ac:dyDescent="0.25">
      <c r="A12090" s="5"/>
    </row>
    <row r="12091" spans="1:1" x14ac:dyDescent="0.25">
      <c r="A12091" s="5"/>
    </row>
    <row r="12092" spans="1:1" x14ac:dyDescent="0.25">
      <c r="A12092" s="5"/>
    </row>
    <row r="12093" spans="1:1" x14ac:dyDescent="0.25">
      <c r="A12093" s="5"/>
    </row>
    <row r="12094" spans="1:1" x14ac:dyDescent="0.25">
      <c r="A12094" s="5"/>
    </row>
    <row r="12095" spans="1:1" x14ac:dyDescent="0.25">
      <c r="A12095" s="5"/>
    </row>
    <row r="12096" spans="1:1" x14ac:dyDescent="0.25">
      <c r="A12096" s="5"/>
    </row>
    <row r="12097" spans="1:1" x14ac:dyDescent="0.25">
      <c r="A12097" s="5"/>
    </row>
    <row r="12098" spans="1:1" x14ac:dyDescent="0.25">
      <c r="A12098" s="5"/>
    </row>
    <row r="12099" spans="1:1" x14ac:dyDescent="0.25">
      <c r="A12099" s="5"/>
    </row>
    <row r="12100" spans="1:1" x14ac:dyDescent="0.25">
      <c r="A12100" s="5"/>
    </row>
    <row r="12101" spans="1:1" x14ac:dyDescent="0.25">
      <c r="A12101" s="5"/>
    </row>
    <row r="12102" spans="1:1" x14ac:dyDescent="0.25">
      <c r="A12102" s="5"/>
    </row>
    <row r="12103" spans="1:1" x14ac:dyDescent="0.25">
      <c r="A12103" s="5"/>
    </row>
    <row r="12104" spans="1:1" x14ac:dyDescent="0.25">
      <c r="A12104" s="5"/>
    </row>
    <row r="12105" spans="1:1" x14ac:dyDescent="0.25">
      <c r="A12105" s="5"/>
    </row>
    <row r="12106" spans="1:1" x14ac:dyDescent="0.25">
      <c r="A12106" s="5"/>
    </row>
    <row r="12107" spans="1:1" x14ac:dyDescent="0.25">
      <c r="A12107" s="5"/>
    </row>
    <row r="12108" spans="1:1" x14ac:dyDescent="0.25">
      <c r="A12108" s="5"/>
    </row>
    <row r="12109" spans="1:1" x14ac:dyDescent="0.25">
      <c r="A12109" s="5"/>
    </row>
    <row r="12110" spans="1:1" x14ac:dyDescent="0.25">
      <c r="A12110" s="5"/>
    </row>
    <row r="12111" spans="1:1" x14ac:dyDescent="0.25">
      <c r="A12111" s="5"/>
    </row>
    <row r="12112" spans="1:1" x14ac:dyDescent="0.25">
      <c r="A12112" s="5"/>
    </row>
    <row r="12113" spans="1:1" x14ac:dyDescent="0.25">
      <c r="A12113" s="5"/>
    </row>
    <row r="12114" spans="1:1" x14ac:dyDescent="0.25">
      <c r="A12114" s="5"/>
    </row>
    <row r="12115" spans="1:1" x14ac:dyDescent="0.25">
      <c r="A12115" s="5"/>
    </row>
    <row r="12116" spans="1:1" x14ac:dyDescent="0.25">
      <c r="A12116" s="5"/>
    </row>
    <row r="12117" spans="1:1" x14ac:dyDescent="0.25">
      <c r="A12117" s="5"/>
    </row>
    <row r="12118" spans="1:1" x14ac:dyDescent="0.25">
      <c r="A12118" s="5"/>
    </row>
    <row r="12119" spans="1:1" x14ac:dyDescent="0.25">
      <c r="A12119" s="5"/>
    </row>
    <row r="12120" spans="1:1" x14ac:dyDescent="0.25">
      <c r="A12120" s="5"/>
    </row>
    <row r="12121" spans="1:1" x14ac:dyDescent="0.25">
      <c r="A12121" s="5"/>
    </row>
    <row r="12122" spans="1:1" x14ac:dyDescent="0.25">
      <c r="A12122" s="5"/>
    </row>
    <row r="12123" spans="1:1" x14ac:dyDescent="0.25">
      <c r="A12123" s="5"/>
    </row>
    <row r="12124" spans="1:1" x14ac:dyDescent="0.25">
      <c r="A12124" s="5"/>
    </row>
    <row r="12125" spans="1:1" x14ac:dyDescent="0.25">
      <c r="A12125" s="5"/>
    </row>
    <row r="12126" spans="1:1" x14ac:dyDescent="0.25">
      <c r="A12126" s="5"/>
    </row>
    <row r="12127" spans="1:1" x14ac:dyDescent="0.25">
      <c r="A12127" s="5"/>
    </row>
    <row r="12128" spans="1:1" x14ac:dyDescent="0.25">
      <c r="A12128" s="5"/>
    </row>
    <row r="12129" spans="1:1" x14ac:dyDescent="0.25">
      <c r="A12129" s="5"/>
    </row>
    <row r="12130" spans="1:1" x14ac:dyDescent="0.25">
      <c r="A12130" s="5"/>
    </row>
    <row r="12131" spans="1:1" x14ac:dyDescent="0.25">
      <c r="A12131" s="5"/>
    </row>
    <row r="12132" spans="1:1" x14ac:dyDescent="0.25">
      <c r="A12132" s="5"/>
    </row>
    <row r="12133" spans="1:1" x14ac:dyDescent="0.25">
      <c r="A12133" s="5"/>
    </row>
    <row r="12134" spans="1:1" x14ac:dyDescent="0.25">
      <c r="A12134" s="5"/>
    </row>
    <row r="12135" spans="1:1" x14ac:dyDescent="0.25">
      <c r="A12135" s="5"/>
    </row>
    <row r="12136" spans="1:1" x14ac:dyDescent="0.25">
      <c r="A12136" s="5"/>
    </row>
    <row r="12137" spans="1:1" x14ac:dyDescent="0.25">
      <c r="A12137" s="5"/>
    </row>
    <row r="12138" spans="1:1" x14ac:dyDescent="0.25">
      <c r="A12138" s="5"/>
    </row>
    <row r="12139" spans="1:1" x14ac:dyDescent="0.25">
      <c r="A12139" s="5"/>
    </row>
    <row r="12140" spans="1:1" x14ac:dyDescent="0.25">
      <c r="A12140" s="5"/>
    </row>
    <row r="12141" spans="1:1" x14ac:dyDescent="0.25">
      <c r="A12141" s="5"/>
    </row>
    <row r="12142" spans="1:1" x14ac:dyDescent="0.25">
      <c r="A12142" s="5"/>
    </row>
    <row r="12143" spans="1:1" x14ac:dyDescent="0.25">
      <c r="A12143" s="5"/>
    </row>
    <row r="12144" spans="1:1" x14ac:dyDescent="0.25">
      <c r="A12144" s="5"/>
    </row>
    <row r="12145" spans="1:1" x14ac:dyDescent="0.25">
      <c r="A12145" s="5"/>
    </row>
    <row r="12146" spans="1:1" x14ac:dyDescent="0.25">
      <c r="A12146" s="5"/>
    </row>
    <row r="12147" spans="1:1" x14ac:dyDescent="0.25">
      <c r="A12147" s="5"/>
    </row>
    <row r="12148" spans="1:1" x14ac:dyDescent="0.25">
      <c r="A12148" s="5"/>
    </row>
    <row r="12149" spans="1:1" x14ac:dyDescent="0.25">
      <c r="A12149" s="5"/>
    </row>
    <row r="12150" spans="1:1" x14ac:dyDescent="0.25">
      <c r="A12150" s="5"/>
    </row>
    <row r="12151" spans="1:1" x14ac:dyDescent="0.25">
      <c r="A12151" s="5"/>
    </row>
    <row r="12152" spans="1:1" x14ac:dyDescent="0.25">
      <c r="A12152" s="5"/>
    </row>
    <row r="12153" spans="1:1" x14ac:dyDescent="0.25">
      <c r="A12153" s="5"/>
    </row>
    <row r="12154" spans="1:1" x14ac:dyDescent="0.25">
      <c r="A12154" s="5"/>
    </row>
    <row r="12155" spans="1:1" x14ac:dyDescent="0.25">
      <c r="A12155" s="5"/>
    </row>
    <row r="12156" spans="1:1" x14ac:dyDescent="0.25">
      <c r="A12156" s="5"/>
    </row>
    <row r="12157" spans="1:1" x14ac:dyDescent="0.25">
      <c r="A12157" s="5"/>
    </row>
    <row r="12158" spans="1:1" x14ac:dyDescent="0.25">
      <c r="A12158" s="5"/>
    </row>
    <row r="12159" spans="1:1" x14ac:dyDescent="0.25">
      <c r="A12159" s="5"/>
    </row>
    <row r="12160" spans="1:1" x14ac:dyDescent="0.25">
      <c r="A12160" s="5"/>
    </row>
    <row r="12161" spans="1:1" x14ac:dyDescent="0.25">
      <c r="A12161" s="5"/>
    </row>
    <row r="12162" spans="1:1" x14ac:dyDescent="0.25">
      <c r="A12162" s="5"/>
    </row>
    <row r="12163" spans="1:1" x14ac:dyDescent="0.25">
      <c r="A12163" s="5"/>
    </row>
    <row r="12164" spans="1:1" x14ac:dyDescent="0.25">
      <c r="A12164" s="5"/>
    </row>
    <row r="12165" spans="1:1" x14ac:dyDescent="0.25">
      <c r="A12165" s="5"/>
    </row>
    <row r="12166" spans="1:1" x14ac:dyDescent="0.25">
      <c r="A12166" s="5"/>
    </row>
    <row r="12167" spans="1:1" x14ac:dyDescent="0.25">
      <c r="A12167" s="5"/>
    </row>
    <row r="12168" spans="1:1" x14ac:dyDescent="0.25">
      <c r="A12168" s="5"/>
    </row>
    <row r="12169" spans="1:1" x14ac:dyDescent="0.25">
      <c r="A12169" s="5"/>
    </row>
    <row r="12170" spans="1:1" x14ac:dyDescent="0.25">
      <c r="A12170" s="5"/>
    </row>
    <row r="12171" spans="1:1" x14ac:dyDescent="0.25">
      <c r="A12171" s="5"/>
    </row>
    <row r="12172" spans="1:1" x14ac:dyDescent="0.25">
      <c r="A12172" s="5"/>
    </row>
    <row r="12173" spans="1:1" x14ac:dyDescent="0.25">
      <c r="A12173" s="5"/>
    </row>
    <row r="12174" spans="1:1" x14ac:dyDescent="0.25">
      <c r="A12174" s="5"/>
    </row>
    <row r="12175" spans="1:1" x14ac:dyDescent="0.25">
      <c r="A12175" s="5"/>
    </row>
    <row r="12176" spans="1:1" x14ac:dyDescent="0.25">
      <c r="A12176" s="5"/>
    </row>
    <row r="12177" spans="1:1" x14ac:dyDescent="0.25">
      <c r="A12177" s="5"/>
    </row>
    <row r="12178" spans="1:1" x14ac:dyDescent="0.25">
      <c r="A12178" s="5"/>
    </row>
    <row r="12179" spans="1:1" x14ac:dyDescent="0.25">
      <c r="A12179" s="5"/>
    </row>
    <row r="12180" spans="1:1" x14ac:dyDescent="0.25">
      <c r="A12180" s="5"/>
    </row>
    <row r="12181" spans="1:1" x14ac:dyDescent="0.25">
      <c r="A12181" s="5"/>
    </row>
    <row r="12182" spans="1:1" x14ac:dyDescent="0.25">
      <c r="A12182" s="5"/>
    </row>
    <row r="12183" spans="1:1" x14ac:dyDescent="0.25">
      <c r="A12183" s="5"/>
    </row>
    <row r="12184" spans="1:1" x14ac:dyDescent="0.25">
      <c r="A12184" s="5"/>
    </row>
    <row r="12185" spans="1:1" x14ac:dyDescent="0.25">
      <c r="A12185" s="5"/>
    </row>
    <row r="12186" spans="1:1" x14ac:dyDescent="0.25">
      <c r="A12186" s="5"/>
    </row>
    <row r="12187" spans="1:1" x14ac:dyDescent="0.25">
      <c r="A12187" s="5"/>
    </row>
    <row r="12188" spans="1:1" x14ac:dyDescent="0.25">
      <c r="A12188" s="5"/>
    </row>
    <row r="12189" spans="1:1" x14ac:dyDescent="0.25">
      <c r="A12189" s="5"/>
    </row>
    <row r="12190" spans="1:1" x14ac:dyDescent="0.25">
      <c r="A12190" s="5"/>
    </row>
    <row r="12191" spans="1:1" x14ac:dyDescent="0.25">
      <c r="A12191" s="5"/>
    </row>
    <row r="12192" spans="1:1" x14ac:dyDescent="0.25">
      <c r="A12192" s="5"/>
    </row>
    <row r="12193" spans="1:1" x14ac:dyDescent="0.25">
      <c r="A12193" s="5"/>
    </row>
    <row r="12194" spans="1:1" x14ac:dyDescent="0.25">
      <c r="A12194" s="5"/>
    </row>
    <row r="12195" spans="1:1" x14ac:dyDescent="0.25">
      <c r="A12195" s="5"/>
    </row>
    <row r="12196" spans="1:1" x14ac:dyDescent="0.25">
      <c r="A12196" s="5"/>
    </row>
    <row r="12197" spans="1:1" x14ac:dyDescent="0.25">
      <c r="A12197" s="5"/>
    </row>
    <row r="12198" spans="1:1" x14ac:dyDescent="0.25">
      <c r="A12198" s="5"/>
    </row>
    <row r="12199" spans="1:1" x14ac:dyDescent="0.25">
      <c r="A12199" s="5"/>
    </row>
    <row r="12200" spans="1:1" x14ac:dyDescent="0.25">
      <c r="A12200" s="5"/>
    </row>
    <row r="12201" spans="1:1" x14ac:dyDescent="0.25">
      <c r="A12201" s="5"/>
    </row>
    <row r="12202" spans="1:1" x14ac:dyDescent="0.25">
      <c r="A12202" s="5"/>
    </row>
    <row r="12203" spans="1:1" x14ac:dyDescent="0.25">
      <c r="A12203" s="5"/>
    </row>
    <row r="12204" spans="1:1" x14ac:dyDescent="0.25">
      <c r="A12204" s="5"/>
    </row>
    <row r="12205" spans="1:1" x14ac:dyDescent="0.25">
      <c r="A12205" s="5"/>
    </row>
    <row r="12206" spans="1:1" x14ac:dyDescent="0.25">
      <c r="A12206" s="5"/>
    </row>
    <row r="12207" spans="1:1" x14ac:dyDescent="0.25">
      <c r="A12207" s="5"/>
    </row>
    <row r="12208" spans="1:1" x14ac:dyDescent="0.25">
      <c r="A12208" s="5"/>
    </row>
    <row r="12209" spans="1:1" x14ac:dyDescent="0.25">
      <c r="A12209" s="5"/>
    </row>
    <row r="12210" spans="1:1" x14ac:dyDescent="0.25">
      <c r="A12210" s="5"/>
    </row>
    <row r="12211" spans="1:1" x14ac:dyDescent="0.25">
      <c r="A12211" s="5"/>
    </row>
    <row r="12212" spans="1:1" x14ac:dyDescent="0.25">
      <c r="A12212" s="5"/>
    </row>
    <row r="12213" spans="1:1" x14ac:dyDescent="0.25">
      <c r="A12213" s="5"/>
    </row>
    <row r="12214" spans="1:1" x14ac:dyDescent="0.25">
      <c r="A12214" s="5"/>
    </row>
    <row r="12215" spans="1:1" x14ac:dyDescent="0.25">
      <c r="A12215" s="5"/>
    </row>
    <row r="12216" spans="1:1" x14ac:dyDescent="0.25">
      <c r="A12216" s="5"/>
    </row>
    <row r="12217" spans="1:1" x14ac:dyDescent="0.25">
      <c r="A12217" s="5"/>
    </row>
    <row r="12218" spans="1:1" x14ac:dyDescent="0.25">
      <c r="A12218" s="5"/>
    </row>
    <row r="12219" spans="1:1" x14ac:dyDescent="0.25">
      <c r="A12219" s="5"/>
    </row>
    <row r="12220" spans="1:1" x14ac:dyDescent="0.25">
      <c r="A12220" s="5"/>
    </row>
    <row r="12221" spans="1:1" x14ac:dyDescent="0.25">
      <c r="A12221" s="5"/>
    </row>
    <row r="12222" spans="1:1" x14ac:dyDescent="0.25">
      <c r="A12222" s="5"/>
    </row>
    <row r="12223" spans="1:1" x14ac:dyDescent="0.25">
      <c r="A12223" s="5"/>
    </row>
    <row r="12224" spans="1:1" x14ac:dyDescent="0.25">
      <c r="A12224" s="5"/>
    </row>
    <row r="12225" spans="1:1" x14ac:dyDescent="0.25">
      <c r="A12225" s="5"/>
    </row>
    <row r="12226" spans="1:1" x14ac:dyDescent="0.25">
      <c r="A12226" s="5"/>
    </row>
    <row r="12227" spans="1:1" x14ac:dyDescent="0.25">
      <c r="A12227" s="5"/>
    </row>
    <row r="12228" spans="1:1" x14ac:dyDescent="0.25">
      <c r="A12228" s="5"/>
    </row>
    <row r="12229" spans="1:1" x14ac:dyDescent="0.25">
      <c r="A12229" s="5"/>
    </row>
    <row r="12230" spans="1:1" x14ac:dyDescent="0.25">
      <c r="A12230" s="5"/>
    </row>
    <row r="12231" spans="1:1" x14ac:dyDescent="0.25">
      <c r="A12231" s="5"/>
    </row>
    <row r="12232" spans="1:1" x14ac:dyDescent="0.25">
      <c r="A12232" s="5"/>
    </row>
    <row r="12233" spans="1:1" x14ac:dyDescent="0.25">
      <c r="A12233" s="5"/>
    </row>
    <row r="12234" spans="1:1" x14ac:dyDescent="0.25">
      <c r="A12234" s="5"/>
    </row>
    <row r="12235" spans="1:1" x14ac:dyDescent="0.25">
      <c r="A12235" s="5"/>
    </row>
    <row r="12236" spans="1:1" x14ac:dyDescent="0.25">
      <c r="A12236" s="5"/>
    </row>
    <row r="12237" spans="1:1" x14ac:dyDescent="0.25">
      <c r="A12237" s="5"/>
    </row>
    <row r="12238" spans="1:1" x14ac:dyDescent="0.25">
      <c r="A12238" s="5"/>
    </row>
    <row r="12239" spans="1:1" x14ac:dyDescent="0.25">
      <c r="A12239" s="5"/>
    </row>
    <row r="12240" spans="1:1" x14ac:dyDescent="0.25">
      <c r="A12240" s="5"/>
    </row>
    <row r="12241" spans="1:1" x14ac:dyDescent="0.25">
      <c r="A12241" s="5"/>
    </row>
    <row r="12242" spans="1:1" x14ac:dyDescent="0.25">
      <c r="A12242" s="5"/>
    </row>
    <row r="12243" spans="1:1" x14ac:dyDescent="0.25">
      <c r="A12243" s="5"/>
    </row>
    <row r="12244" spans="1:1" x14ac:dyDescent="0.25">
      <c r="A12244" s="5"/>
    </row>
    <row r="12245" spans="1:1" x14ac:dyDescent="0.25">
      <c r="A12245" s="5"/>
    </row>
    <row r="12246" spans="1:1" x14ac:dyDescent="0.25">
      <c r="A12246" s="5"/>
    </row>
    <row r="12247" spans="1:1" x14ac:dyDescent="0.25">
      <c r="A12247" s="5"/>
    </row>
    <row r="12248" spans="1:1" x14ac:dyDescent="0.25">
      <c r="A12248" s="5"/>
    </row>
    <row r="12249" spans="1:1" x14ac:dyDescent="0.25">
      <c r="A12249" s="5"/>
    </row>
    <row r="12250" spans="1:1" x14ac:dyDescent="0.25">
      <c r="A12250" s="5"/>
    </row>
    <row r="12251" spans="1:1" x14ac:dyDescent="0.25">
      <c r="A12251" s="5"/>
    </row>
    <row r="12252" spans="1:1" x14ac:dyDescent="0.25">
      <c r="A12252" s="5"/>
    </row>
    <row r="12253" spans="1:1" x14ac:dyDescent="0.25">
      <c r="A12253" s="5"/>
    </row>
    <row r="12254" spans="1:1" x14ac:dyDescent="0.25">
      <c r="A12254" s="5"/>
    </row>
    <row r="12255" spans="1:1" x14ac:dyDescent="0.25">
      <c r="A12255" s="5"/>
    </row>
    <row r="12256" spans="1:1" x14ac:dyDescent="0.25">
      <c r="A12256" s="5"/>
    </row>
    <row r="12257" spans="1:1" x14ac:dyDescent="0.25">
      <c r="A12257" s="5"/>
    </row>
    <row r="12258" spans="1:1" x14ac:dyDescent="0.25">
      <c r="A12258" s="5"/>
    </row>
    <row r="12259" spans="1:1" x14ac:dyDescent="0.25">
      <c r="A12259" s="5"/>
    </row>
    <row r="12260" spans="1:1" x14ac:dyDescent="0.25">
      <c r="A12260" s="5"/>
    </row>
    <row r="12261" spans="1:1" x14ac:dyDescent="0.25">
      <c r="A12261" s="5"/>
    </row>
    <row r="12262" spans="1:1" x14ac:dyDescent="0.25">
      <c r="A12262" s="5"/>
    </row>
    <row r="12263" spans="1:1" x14ac:dyDescent="0.25">
      <c r="A12263" s="5"/>
    </row>
    <row r="12264" spans="1:1" x14ac:dyDescent="0.25">
      <c r="A12264" s="5"/>
    </row>
    <row r="12265" spans="1:1" x14ac:dyDescent="0.25">
      <c r="A12265" s="5"/>
    </row>
    <row r="12266" spans="1:1" x14ac:dyDescent="0.25">
      <c r="A12266" s="5"/>
    </row>
    <row r="12267" spans="1:1" x14ac:dyDescent="0.25">
      <c r="A12267" s="5"/>
    </row>
    <row r="12268" spans="1:1" x14ac:dyDescent="0.25">
      <c r="A12268" s="5"/>
    </row>
    <row r="12269" spans="1:1" x14ac:dyDescent="0.25">
      <c r="A12269" s="5"/>
    </row>
    <row r="12270" spans="1:1" x14ac:dyDescent="0.25">
      <c r="A12270" s="5"/>
    </row>
    <row r="12271" spans="1:1" x14ac:dyDescent="0.25">
      <c r="A12271" s="5"/>
    </row>
    <row r="12272" spans="1:1" x14ac:dyDescent="0.25">
      <c r="A12272" s="5"/>
    </row>
    <row r="12273" spans="1:1" x14ac:dyDescent="0.25">
      <c r="A12273" s="5"/>
    </row>
    <row r="12274" spans="1:1" x14ac:dyDescent="0.25">
      <c r="A12274" s="5"/>
    </row>
    <row r="12275" spans="1:1" x14ac:dyDescent="0.25">
      <c r="A12275" s="5"/>
    </row>
    <row r="12276" spans="1:1" x14ac:dyDescent="0.25">
      <c r="A12276" s="5"/>
    </row>
    <row r="12277" spans="1:1" x14ac:dyDescent="0.25">
      <c r="A12277" s="5"/>
    </row>
    <row r="12278" spans="1:1" x14ac:dyDescent="0.25">
      <c r="A12278" s="5"/>
    </row>
    <row r="12279" spans="1:1" x14ac:dyDescent="0.25">
      <c r="A12279" s="5"/>
    </row>
    <row r="12280" spans="1:1" x14ac:dyDescent="0.25">
      <c r="A12280" s="5"/>
    </row>
    <row r="12281" spans="1:1" x14ac:dyDescent="0.25">
      <c r="A12281" s="5"/>
    </row>
    <row r="12282" spans="1:1" x14ac:dyDescent="0.25">
      <c r="A12282" s="5"/>
    </row>
    <row r="12283" spans="1:1" x14ac:dyDescent="0.25">
      <c r="A12283" s="5"/>
    </row>
    <row r="12284" spans="1:1" x14ac:dyDescent="0.25">
      <c r="A12284" s="5"/>
    </row>
    <row r="12285" spans="1:1" x14ac:dyDescent="0.25">
      <c r="A12285" s="5"/>
    </row>
    <row r="12286" spans="1:1" x14ac:dyDescent="0.25">
      <c r="A12286" s="5"/>
    </row>
    <row r="12287" spans="1:1" x14ac:dyDescent="0.25">
      <c r="A12287" s="5"/>
    </row>
    <row r="12288" spans="1:1" x14ac:dyDescent="0.25">
      <c r="A12288" s="5"/>
    </row>
    <row r="12289" spans="1:1" x14ac:dyDescent="0.25">
      <c r="A12289" s="5"/>
    </row>
    <row r="12290" spans="1:1" x14ac:dyDescent="0.25">
      <c r="A12290" s="5"/>
    </row>
    <row r="12291" spans="1:1" x14ac:dyDescent="0.25">
      <c r="A12291" s="5"/>
    </row>
    <row r="12292" spans="1:1" x14ac:dyDescent="0.25">
      <c r="A12292" s="5"/>
    </row>
    <row r="12293" spans="1:1" x14ac:dyDescent="0.25">
      <c r="A12293" s="5"/>
    </row>
    <row r="12294" spans="1:1" x14ac:dyDescent="0.25">
      <c r="A12294" s="5"/>
    </row>
    <row r="12295" spans="1:1" x14ac:dyDescent="0.25">
      <c r="A12295" s="5"/>
    </row>
    <row r="12296" spans="1:1" x14ac:dyDescent="0.25">
      <c r="A12296" s="5"/>
    </row>
    <row r="12297" spans="1:1" x14ac:dyDescent="0.25">
      <c r="A12297" s="5"/>
    </row>
    <row r="12298" spans="1:1" x14ac:dyDescent="0.25">
      <c r="A12298" s="5"/>
    </row>
    <row r="12299" spans="1:1" x14ac:dyDescent="0.25">
      <c r="A12299" s="5"/>
    </row>
    <row r="12300" spans="1:1" x14ac:dyDescent="0.25">
      <c r="A12300" s="5"/>
    </row>
    <row r="12301" spans="1:1" x14ac:dyDescent="0.25">
      <c r="A12301" s="5"/>
    </row>
    <row r="12302" spans="1:1" x14ac:dyDescent="0.25">
      <c r="A12302" s="5"/>
    </row>
    <row r="12303" spans="1:1" x14ac:dyDescent="0.25">
      <c r="A12303" s="5"/>
    </row>
    <row r="12304" spans="1:1" x14ac:dyDescent="0.25">
      <c r="A12304" s="5"/>
    </row>
    <row r="12305" spans="1:1" x14ac:dyDescent="0.25">
      <c r="A12305" s="5"/>
    </row>
    <row r="12306" spans="1:1" x14ac:dyDescent="0.25">
      <c r="A12306" s="5"/>
    </row>
    <row r="12307" spans="1:1" x14ac:dyDescent="0.25">
      <c r="A12307" s="5"/>
    </row>
    <row r="12308" spans="1:1" x14ac:dyDescent="0.25">
      <c r="A12308" s="5"/>
    </row>
    <row r="12309" spans="1:1" x14ac:dyDescent="0.25">
      <c r="A12309" s="5"/>
    </row>
    <row r="12310" spans="1:1" x14ac:dyDescent="0.25">
      <c r="A12310" s="5"/>
    </row>
    <row r="12311" spans="1:1" x14ac:dyDescent="0.25">
      <c r="A12311" s="5"/>
    </row>
    <row r="12312" spans="1:1" x14ac:dyDescent="0.25">
      <c r="A12312" s="5"/>
    </row>
    <row r="12313" spans="1:1" x14ac:dyDescent="0.25">
      <c r="A12313" s="5"/>
    </row>
    <row r="12314" spans="1:1" x14ac:dyDescent="0.25">
      <c r="A12314" s="5"/>
    </row>
    <row r="12315" spans="1:1" x14ac:dyDescent="0.25">
      <c r="A12315" s="5"/>
    </row>
    <row r="12316" spans="1:1" x14ac:dyDescent="0.25">
      <c r="A12316" s="5"/>
    </row>
    <row r="12317" spans="1:1" x14ac:dyDescent="0.25">
      <c r="A12317" s="5"/>
    </row>
    <row r="12318" spans="1:1" x14ac:dyDescent="0.25">
      <c r="A12318" s="5"/>
    </row>
    <row r="12319" spans="1:1" x14ac:dyDescent="0.25">
      <c r="A12319" s="5"/>
    </row>
    <row r="12320" spans="1:1" x14ac:dyDescent="0.25">
      <c r="A12320" s="5"/>
    </row>
    <row r="12321" spans="1:1" x14ac:dyDescent="0.25">
      <c r="A12321" s="5"/>
    </row>
    <row r="12322" spans="1:1" x14ac:dyDescent="0.25">
      <c r="A12322" s="5"/>
    </row>
    <row r="12323" spans="1:1" x14ac:dyDescent="0.25">
      <c r="A12323" s="5"/>
    </row>
    <row r="12324" spans="1:1" x14ac:dyDescent="0.25">
      <c r="A12324" s="5"/>
    </row>
    <row r="12325" spans="1:1" x14ac:dyDescent="0.25">
      <c r="A12325" s="5"/>
    </row>
    <row r="12326" spans="1:1" x14ac:dyDescent="0.25">
      <c r="A12326" s="5"/>
    </row>
    <row r="12327" spans="1:1" x14ac:dyDescent="0.25">
      <c r="A12327" s="5"/>
    </row>
    <row r="12328" spans="1:1" x14ac:dyDescent="0.25">
      <c r="A12328" s="5"/>
    </row>
    <row r="12329" spans="1:1" x14ac:dyDescent="0.25">
      <c r="A12329" s="5"/>
    </row>
    <row r="12330" spans="1:1" x14ac:dyDescent="0.25">
      <c r="A12330" s="5"/>
    </row>
    <row r="12331" spans="1:1" x14ac:dyDescent="0.25">
      <c r="A12331" s="5"/>
    </row>
    <row r="12332" spans="1:1" x14ac:dyDescent="0.25">
      <c r="A12332" s="5"/>
    </row>
    <row r="12333" spans="1:1" x14ac:dyDescent="0.25">
      <c r="A12333" s="5"/>
    </row>
    <row r="12334" spans="1:1" x14ac:dyDescent="0.25">
      <c r="A12334" s="5"/>
    </row>
    <row r="12335" spans="1:1" x14ac:dyDescent="0.25">
      <c r="A12335" s="5"/>
    </row>
    <row r="12336" spans="1:1" x14ac:dyDescent="0.25">
      <c r="A12336" s="5"/>
    </row>
    <row r="12337" spans="1:1" x14ac:dyDescent="0.25">
      <c r="A12337" s="5"/>
    </row>
    <row r="12338" spans="1:1" x14ac:dyDescent="0.25">
      <c r="A12338" s="5"/>
    </row>
    <row r="12339" spans="1:1" x14ac:dyDescent="0.25">
      <c r="A12339" s="5"/>
    </row>
    <row r="12340" spans="1:1" x14ac:dyDescent="0.25">
      <c r="A12340" s="5"/>
    </row>
    <row r="12341" spans="1:1" x14ac:dyDescent="0.25">
      <c r="A12341" s="5"/>
    </row>
    <row r="12342" spans="1:1" x14ac:dyDescent="0.25">
      <c r="A12342" s="5"/>
    </row>
    <row r="12343" spans="1:1" x14ac:dyDescent="0.25">
      <c r="A12343" s="5"/>
    </row>
    <row r="12344" spans="1:1" x14ac:dyDescent="0.25">
      <c r="A12344" s="5"/>
    </row>
    <row r="12345" spans="1:1" x14ac:dyDescent="0.25">
      <c r="A12345" s="5"/>
    </row>
    <row r="12346" spans="1:1" x14ac:dyDescent="0.25">
      <c r="A12346" s="5"/>
    </row>
    <row r="12347" spans="1:1" x14ac:dyDescent="0.25">
      <c r="A12347" s="5"/>
    </row>
    <row r="12348" spans="1:1" x14ac:dyDescent="0.25">
      <c r="A12348" s="5"/>
    </row>
    <row r="12349" spans="1:1" x14ac:dyDescent="0.25">
      <c r="A12349" s="5"/>
    </row>
    <row r="12350" spans="1:1" x14ac:dyDescent="0.25">
      <c r="A12350" s="5"/>
    </row>
    <row r="12351" spans="1:1" x14ac:dyDescent="0.25">
      <c r="A12351" s="5"/>
    </row>
    <row r="12352" spans="1:1" x14ac:dyDescent="0.25">
      <c r="A12352" s="5"/>
    </row>
    <row r="12353" spans="1:1" x14ac:dyDescent="0.25">
      <c r="A12353" s="5"/>
    </row>
    <row r="12354" spans="1:1" x14ac:dyDescent="0.25">
      <c r="A12354" s="5"/>
    </row>
    <row r="12355" spans="1:1" x14ac:dyDescent="0.25">
      <c r="A12355" s="5"/>
    </row>
    <row r="12356" spans="1:1" x14ac:dyDescent="0.25">
      <c r="A12356" s="5"/>
    </row>
    <row r="12357" spans="1:1" x14ac:dyDescent="0.25">
      <c r="A12357" s="5"/>
    </row>
    <row r="12358" spans="1:1" x14ac:dyDescent="0.25">
      <c r="A12358" s="5"/>
    </row>
    <row r="12359" spans="1:1" x14ac:dyDescent="0.25">
      <c r="A12359" s="5"/>
    </row>
    <row r="12360" spans="1:1" x14ac:dyDescent="0.25">
      <c r="A12360" s="5"/>
    </row>
    <row r="12361" spans="1:1" x14ac:dyDescent="0.25">
      <c r="A12361" s="5"/>
    </row>
    <row r="12362" spans="1:1" x14ac:dyDescent="0.25">
      <c r="A12362" s="5"/>
    </row>
    <row r="12363" spans="1:1" x14ac:dyDescent="0.25">
      <c r="A12363" s="5"/>
    </row>
    <row r="12364" spans="1:1" x14ac:dyDescent="0.25">
      <c r="A12364" s="5"/>
    </row>
    <row r="12365" spans="1:1" x14ac:dyDescent="0.25">
      <c r="A12365" s="5"/>
    </row>
    <row r="12366" spans="1:1" x14ac:dyDescent="0.25">
      <c r="A12366" s="5"/>
    </row>
    <row r="12367" spans="1:1" x14ac:dyDescent="0.25">
      <c r="A12367" s="5"/>
    </row>
    <row r="12368" spans="1:1" x14ac:dyDescent="0.25">
      <c r="A12368" s="5"/>
    </row>
    <row r="12369" spans="1:1" x14ac:dyDescent="0.25">
      <c r="A12369" s="5"/>
    </row>
    <row r="12370" spans="1:1" x14ac:dyDescent="0.25">
      <c r="A12370" s="5"/>
    </row>
    <row r="12371" spans="1:1" x14ac:dyDescent="0.25">
      <c r="A12371" s="5"/>
    </row>
    <row r="12372" spans="1:1" x14ac:dyDescent="0.25">
      <c r="A12372" s="5"/>
    </row>
    <row r="12373" spans="1:1" x14ac:dyDescent="0.25">
      <c r="A12373" s="5"/>
    </row>
    <row r="12374" spans="1:1" x14ac:dyDescent="0.25">
      <c r="A12374" s="5"/>
    </row>
    <row r="12375" spans="1:1" x14ac:dyDescent="0.25">
      <c r="A12375" s="5"/>
    </row>
    <row r="12376" spans="1:1" x14ac:dyDescent="0.25">
      <c r="A12376" s="5"/>
    </row>
    <row r="12377" spans="1:1" x14ac:dyDescent="0.25">
      <c r="A12377" s="5"/>
    </row>
    <row r="12378" spans="1:1" x14ac:dyDescent="0.25">
      <c r="A12378" s="5"/>
    </row>
    <row r="12379" spans="1:1" x14ac:dyDescent="0.25">
      <c r="A12379" s="5"/>
    </row>
    <row r="12380" spans="1:1" x14ac:dyDescent="0.25">
      <c r="A12380" s="5"/>
    </row>
    <row r="12381" spans="1:1" x14ac:dyDescent="0.25">
      <c r="A12381" s="5"/>
    </row>
    <row r="12382" spans="1:1" x14ac:dyDescent="0.25">
      <c r="A12382" s="5"/>
    </row>
    <row r="12383" spans="1:1" x14ac:dyDescent="0.25">
      <c r="A12383" s="5"/>
    </row>
    <row r="12384" spans="1:1" x14ac:dyDescent="0.25">
      <c r="A12384" s="5"/>
    </row>
    <row r="12385" spans="1:1" x14ac:dyDescent="0.25">
      <c r="A12385" s="5"/>
    </row>
    <row r="12386" spans="1:1" x14ac:dyDescent="0.25">
      <c r="A12386" s="5"/>
    </row>
    <row r="12387" spans="1:1" x14ac:dyDescent="0.25">
      <c r="A12387" s="5"/>
    </row>
    <row r="12388" spans="1:1" x14ac:dyDescent="0.25">
      <c r="A12388" s="5"/>
    </row>
    <row r="12389" spans="1:1" x14ac:dyDescent="0.25">
      <c r="A12389" s="5"/>
    </row>
    <row r="12390" spans="1:1" x14ac:dyDescent="0.25">
      <c r="A12390" s="5"/>
    </row>
    <row r="12391" spans="1:1" x14ac:dyDescent="0.25">
      <c r="A12391" s="5"/>
    </row>
    <row r="12392" spans="1:1" x14ac:dyDescent="0.25">
      <c r="A12392" s="5"/>
    </row>
    <row r="12393" spans="1:1" x14ac:dyDescent="0.25">
      <c r="A12393" s="5"/>
    </row>
    <row r="12394" spans="1:1" x14ac:dyDescent="0.25">
      <c r="A12394" s="5"/>
    </row>
    <row r="12395" spans="1:1" x14ac:dyDescent="0.25">
      <c r="A12395" s="5"/>
    </row>
    <row r="12396" spans="1:1" x14ac:dyDescent="0.25">
      <c r="A12396" s="5"/>
    </row>
    <row r="12397" spans="1:1" x14ac:dyDescent="0.25">
      <c r="A12397" s="5"/>
    </row>
    <row r="12398" spans="1:1" x14ac:dyDescent="0.25">
      <c r="A12398" s="5"/>
    </row>
    <row r="12399" spans="1:1" x14ac:dyDescent="0.25">
      <c r="A12399" s="5"/>
    </row>
    <row r="12400" spans="1:1" x14ac:dyDescent="0.25">
      <c r="A12400" s="5"/>
    </row>
    <row r="12401" spans="1:1" x14ac:dyDescent="0.25">
      <c r="A12401" s="5"/>
    </row>
    <row r="12402" spans="1:1" x14ac:dyDescent="0.25">
      <c r="A12402" s="5"/>
    </row>
    <row r="12403" spans="1:1" x14ac:dyDescent="0.25">
      <c r="A12403" s="5"/>
    </row>
    <row r="12404" spans="1:1" x14ac:dyDescent="0.25">
      <c r="A12404" s="5"/>
    </row>
    <row r="12405" spans="1:1" x14ac:dyDescent="0.25">
      <c r="A12405" s="5"/>
    </row>
    <row r="12406" spans="1:1" x14ac:dyDescent="0.25">
      <c r="A12406" s="5"/>
    </row>
    <row r="12407" spans="1:1" x14ac:dyDescent="0.25">
      <c r="A12407" s="5"/>
    </row>
    <row r="12408" spans="1:1" x14ac:dyDescent="0.25">
      <c r="A12408" s="5"/>
    </row>
    <row r="12409" spans="1:1" x14ac:dyDescent="0.25">
      <c r="A12409" s="5"/>
    </row>
    <row r="12410" spans="1:1" x14ac:dyDescent="0.25">
      <c r="A12410" s="5"/>
    </row>
    <row r="12411" spans="1:1" x14ac:dyDescent="0.25">
      <c r="A12411" s="5"/>
    </row>
    <row r="12412" spans="1:1" x14ac:dyDescent="0.25">
      <c r="A12412" s="5"/>
    </row>
    <row r="12413" spans="1:1" x14ac:dyDescent="0.25">
      <c r="A12413" s="5"/>
    </row>
    <row r="12414" spans="1:1" x14ac:dyDescent="0.25">
      <c r="A12414" s="5"/>
    </row>
    <row r="12415" spans="1:1" x14ac:dyDescent="0.25">
      <c r="A12415" s="5"/>
    </row>
    <row r="12416" spans="1:1" x14ac:dyDescent="0.25">
      <c r="A12416" s="5"/>
    </row>
    <row r="12417" spans="1:1" x14ac:dyDescent="0.25">
      <c r="A12417" s="5"/>
    </row>
    <row r="12418" spans="1:1" x14ac:dyDescent="0.25">
      <c r="A12418" s="5"/>
    </row>
    <row r="12419" spans="1:1" x14ac:dyDescent="0.25">
      <c r="A12419" s="5"/>
    </row>
    <row r="12420" spans="1:1" x14ac:dyDescent="0.25">
      <c r="A12420" s="5"/>
    </row>
    <row r="12421" spans="1:1" x14ac:dyDescent="0.25">
      <c r="A12421" s="5"/>
    </row>
    <row r="12422" spans="1:1" x14ac:dyDescent="0.25">
      <c r="A12422" s="5"/>
    </row>
    <row r="12423" spans="1:1" x14ac:dyDescent="0.25">
      <c r="A12423" s="5"/>
    </row>
    <row r="12424" spans="1:1" x14ac:dyDescent="0.25">
      <c r="A12424" s="5"/>
    </row>
    <row r="12425" spans="1:1" x14ac:dyDescent="0.25">
      <c r="A12425" s="5"/>
    </row>
    <row r="12426" spans="1:1" x14ac:dyDescent="0.25">
      <c r="A12426" s="5"/>
    </row>
    <row r="12427" spans="1:1" x14ac:dyDescent="0.25">
      <c r="A12427" s="5"/>
    </row>
    <row r="12428" spans="1:1" x14ac:dyDescent="0.25">
      <c r="A12428" s="5"/>
    </row>
    <row r="12429" spans="1:1" x14ac:dyDescent="0.25">
      <c r="A12429" s="5"/>
    </row>
    <row r="12430" spans="1:1" x14ac:dyDescent="0.25">
      <c r="A12430" s="5"/>
    </row>
    <row r="12431" spans="1:1" x14ac:dyDescent="0.25">
      <c r="A12431" s="5"/>
    </row>
    <row r="12432" spans="1:1" x14ac:dyDescent="0.25">
      <c r="A12432" s="5"/>
    </row>
    <row r="12433" spans="1:1" x14ac:dyDescent="0.25">
      <c r="A12433" s="5"/>
    </row>
    <row r="12434" spans="1:1" x14ac:dyDescent="0.25">
      <c r="A12434" s="5"/>
    </row>
    <row r="12435" spans="1:1" x14ac:dyDescent="0.25">
      <c r="A12435" s="5"/>
    </row>
    <row r="12436" spans="1:1" x14ac:dyDescent="0.25">
      <c r="A12436" s="5"/>
    </row>
    <row r="12437" spans="1:1" x14ac:dyDescent="0.25">
      <c r="A12437" s="5"/>
    </row>
    <row r="12438" spans="1:1" x14ac:dyDescent="0.25">
      <c r="A12438" s="5"/>
    </row>
    <row r="12439" spans="1:1" x14ac:dyDescent="0.25">
      <c r="A12439" s="5"/>
    </row>
    <row r="12440" spans="1:1" x14ac:dyDescent="0.25">
      <c r="A12440" s="5"/>
    </row>
    <row r="12441" spans="1:1" x14ac:dyDescent="0.25">
      <c r="A12441" s="5"/>
    </row>
    <row r="12442" spans="1:1" x14ac:dyDescent="0.25">
      <c r="A12442" s="5"/>
    </row>
    <row r="12443" spans="1:1" x14ac:dyDescent="0.25">
      <c r="A12443" s="5"/>
    </row>
    <row r="12444" spans="1:1" x14ac:dyDescent="0.25">
      <c r="A12444" s="5"/>
    </row>
    <row r="12445" spans="1:1" x14ac:dyDescent="0.25">
      <c r="A12445" s="5"/>
    </row>
    <row r="12446" spans="1:1" x14ac:dyDescent="0.25">
      <c r="A12446" s="5"/>
    </row>
    <row r="12447" spans="1:1" x14ac:dyDescent="0.25">
      <c r="A12447" s="5"/>
    </row>
    <row r="12448" spans="1:1" x14ac:dyDescent="0.25">
      <c r="A12448" s="5"/>
    </row>
    <row r="12449" spans="1:1" x14ac:dyDescent="0.25">
      <c r="A12449" s="5"/>
    </row>
    <row r="12450" spans="1:1" x14ac:dyDescent="0.25">
      <c r="A12450" s="5"/>
    </row>
    <row r="12451" spans="1:1" x14ac:dyDescent="0.25">
      <c r="A12451" s="5"/>
    </row>
    <row r="12452" spans="1:1" x14ac:dyDescent="0.25">
      <c r="A12452" s="5"/>
    </row>
    <row r="12453" spans="1:1" x14ac:dyDescent="0.25">
      <c r="A12453" s="5"/>
    </row>
    <row r="12454" spans="1:1" x14ac:dyDescent="0.25">
      <c r="A12454" s="5"/>
    </row>
    <row r="12455" spans="1:1" x14ac:dyDescent="0.25">
      <c r="A12455" s="5"/>
    </row>
    <row r="12456" spans="1:1" x14ac:dyDescent="0.25">
      <c r="A12456" s="5"/>
    </row>
    <row r="12457" spans="1:1" x14ac:dyDescent="0.25">
      <c r="A12457" s="5"/>
    </row>
    <row r="12458" spans="1:1" x14ac:dyDescent="0.25">
      <c r="A12458" s="5"/>
    </row>
    <row r="12459" spans="1:1" x14ac:dyDescent="0.25">
      <c r="A12459" s="5"/>
    </row>
    <row r="12460" spans="1:1" x14ac:dyDescent="0.25">
      <c r="A12460" s="5"/>
    </row>
    <row r="12461" spans="1:1" x14ac:dyDescent="0.25">
      <c r="A12461" s="5"/>
    </row>
    <row r="12462" spans="1:1" x14ac:dyDescent="0.25">
      <c r="A12462" s="5"/>
    </row>
    <row r="12463" spans="1:1" x14ac:dyDescent="0.25">
      <c r="A12463" s="5"/>
    </row>
    <row r="12464" spans="1:1" x14ac:dyDescent="0.25">
      <c r="A12464" s="5"/>
    </row>
    <row r="12465" spans="1:1" x14ac:dyDescent="0.25">
      <c r="A12465" s="5"/>
    </row>
    <row r="12466" spans="1:1" x14ac:dyDescent="0.25">
      <c r="A12466" s="5"/>
    </row>
    <row r="12467" spans="1:1" x14ac:dyDescent="0.25">
      <c r="A12467" s="5"/>
    </row>
    <row r="12468" spans="1:1" x14ac:dyDescent="0.25">
      <c r="A12468" s="5"/>
    </row>
    <row r="12469" spans="1:1" x14ac:dyDescent="0.25">
      <c r="A12469" s="5"/>
    </row>
    <row r="12470" spans="1:1" x14ac:dyDescent="0.25">
      <c r="A12470" s="5"/>
    </row>
    <row r="12471" spans="1:1" x14ac:dyDescent="0.25">
      <c r="A12471" s="5"/>
    </row>
    <row r="12472" spans="1:1" x14ac:dyDescent="0.25">
      <c r="A12472" s="5"/>
    </row>
    <row r="12473" spans="1:1" x14ac:dyDescent="0.25">
      <c r="A12473" s="5"/>
    </row>
    <row r="12474" spans="1:1" x14ac:dyDescent="0.25">
      <c r="A12474" s="5"/>
    </row>
    <row r="12475" spans="1:1" x14ac:dyDescent="0.25">
      <c r="A12475" s="5"/>
    </row>
    <row r="12476" spans="1:1" x14ac:dyDescent="0.25">
      <c r="A12476" s="5"/>
    </row>
    <row r="12477" spans="1:1" x14ac:dyDescent="0.25">
      <c r="A12477" s="5"/>
    </row>
    <row r="12478" spans="1:1" x14ac:dyDescent="0.25">
      <c r="A12478" s="5"/>
    </row>
    <row r="12479" spans="1:1" x14ac:dyDescent="0.25">
      <c r="A12479" s="5"/>
    </row>
    <row r="12480" spans="1:1" x14ac:dyDescent="0.25">
      <c r="A12480" s="5"/>
    </row>
    <row r="12481" spans="1:1" x14ac:dyDescent="0.25">
      <c r="A12481" s="5"/>
    </row>
    <row r="12482" spans="1:1" x14ac:dyDescent="0.25">
      <c r="A12482" s="5"/>
    </row>
    <row r="12483" spans="1:1" x14ac:dyDescent="0.25">
      <c r="A12483" s="5"/>
    </row>
    <row r="12484" spans="1:1" x14ac:dyDescent="0.25">
      <c r="A12484" s="5"/>
    </row>
    <row r="12485" spans="1:1" x14ac:dyDescent="0.25">
      <c r="A12485" s="5"/>
    </row>
    <row r="12486" spans="1:1" x14ac:dyDescent="0.25">
      <c r="A12486" s="5"/>
    </row>
    <row r="12487" spans="1:1" x14ac:dyDescent="0.25">
      <c r="A12487" s="5"/>
    </row>
    <row r="12488" spans="1:1" x14ac:dyDescent="0.25">
      <c r="A12488" s="5"/>
    </row>
    <row r="12489" spans="1:1" x14ac:dyDescent="0.25">
      <c r="A12489" s="5"/>
    </row>
    <row r="12490" spans="1:1" x14ac:dyDescent="0.25">
      <c r="A12490" s="5"/>
    </row>
    <row r="12491" spans="1:1" x14ac:dyDescent="0.25">
      <c r="A12491" s="5"/>
    </row>
    <row r="12492" spans="1:1" x14ac:dyDescent="0.25">
      <c r="A12492" s="5"/>
    </row>
    <row r="12493" spans="1:1" x14ac:dyDescent="0.25">
      <c r="A12493" s="5"/>
    </row>
    <row r="12494" spans="1:1" x14ac:dyDescent="0.25">
      <c r="A12494" s="5"/>
    </row>
    <row r="12495" spans="1:1" x14ac:dyDescent="0.25">
      <c r="A12495" s="5"/>
    </row>
    <row r="12496" spans="1:1" x14ac:dyDescent="0.25">
      <c r="A12496" s="5"/>
    </row>
    <row r="12497" spans="1:1" x14ac:dyDescent="0.25">
      <c r="A12497" s="5"/>
    </row>
    <row r="12498" spans="1:1" x14ac:dyDescent="0.25">
      <c r="A12498" s="5"/>
    </row>
    <row r="12499" spans="1:1" x14ac:dyDescent="0.25">
      <c r="A12499" s="5"/>
    </row>
    <row r="12500" spans="1:1" x14ac:dyDescent="0.25">
      <c r="A12500" s="5"/>
    </row>
    <row r="12501" spans="1:1" x14ac:dyDescent="0.25">
      <c r="A12501" s="5"/>
    </row>
    <row r="12502" spans="1:1" x14ac:dyDescent="0.25">
      <c r="A12502" s="5"/>
    </row>
    <row r="12503" spans="1:1" x14ac:dyDescent="0.25">
      <c r="A12503" s="5"/>
    </row>
    <row r="12504" spans="1:1" x14ac:dyDescent="0.25">
      <c r="A12504" s="5"/>
    </row>
    <row r="12505" spans="1:1" x14ac:dyDescent="0.25">
      <c r="A12505" s="5"/>
    </row>
    <row r="12506" spans="1:1" x14ac:dyDescent="0.25">
      <c r="A12506" s="5"/>
    </row>
    <row r="12507" spans="1:1" x14ac:dyDescent="0.25">
      <c r="A12507" s="5"/>
    </row>
    <row r="12508" spans="1:1" x14ac:dyDescent="0.25">
      <c r="A12508" s="5"/>
    </row>
    <row r="12509" spans="1:1" x14ac:dyDescent="0.25">
      <c r="A12509" s="5"/>
    </row>
    <row r="12510" spans="1:1" x14ac:dyDescent="0.25">
      <c r="A12510" s="5"/>
    </row>
    <row r="12511" spans="1:1" x14ac:dyDescent="0.25">
      <c r="A12511" s="5"/>
    </row>
    <row r="12512" spans="1:1" x14ac:dyDescent="0.25">
      <c r="A12512" s="5"/>
    </row>
    <row r="12513" spans="1:1" x14ac:dyDescent="0.25">
      <c r="A12513" s="5"/>
    </row>
    <row r="12514" spans="1:1" x14ac:dyDescent="0.25">
      <c r="A12514" s="5"/>
    </row>
    <row r="12515" spans="1:1" x14ac:dyDescent="0.25">
      <c r="A12515" s="5"/>
    </row>
    <row r="12516" spans="1:1" x14ac:dyDescent="0.25">
      <c r="A12516" s="5"/>
    </row>
    <row r="12517" spans="1:1" x14ac:dyDescent="0.25">
      <c r="A12517" s="5"/>
    </row>
    <row r="12518" spans="1:1" x14ac:dyDescent="0.25">
      <c r="A12518" s="5"/>
    </row>
    <row r="12519" spans="1:1" x14ac:dyDescent="0.25">
      <c r="A12519" s="5"/>
    </row>
    <row r="12520" spans="1:1" x14ac:dyDescent="0.25">
      <c r="A12520" s="5"/>
    </row>
    <row r="12521" spans="1:1" x14ac:dyDescent="0.25">
      <c r="A12521" s="5"/>
    </row>
    <row r="12522" spans="1:1" x14ac:dyDescent="0.25">
      <c r="A12522" s="5"/>
    </row>
    <row r="12523" spans="1:1" x14ac:dyDescent="0.25">
      <c r="A12523" s="5"/>
    </row>
    <row r="12524" spans="1:1" x14ac:dyDescent="0.25">
      <c r="A12524" s="5"/>
    </row>
    <row r="12525" spans="1:1" x14ac:dyDescent="0.25">
      <c r="A12525" s="5"/>
    </row>
    <row r="12526" spans="1:1" x14ac:dyDescent="0.25">
      <c r="A12526" s="5"/>
    </row>
    <row r="12527" spans="1:1" x14ac:dyDescent="0.25">
      <c r="A12527" s="5"/>
    </row>
    <row r="12528" spans="1:1" x14ac:dyDescent="0.25">
      <c r="A12528" s="5"/>
    </row>
    <row r="12529" spans="1:1" x14ac:dyDescent="0.25">
      <c r="A12529" s="5"/>
    </row>
    <row r="12530" spans="1:1" x14ac:dyDescent="0.25">
      <c r="A12530" s="5"/>
    </row>
    <row r="12531" spans="1:1" x14ac:dyDescent="0.25">
      <c r="A12531" s="5"/>
    </row>
    <row r="12532" spans="1:1" x14ac:dyDescent="0.25">
      <c r="A12532" s="5"/>
    </row>
    <row r="12533" spans="1:1" x14ac:dyDescent="0.25">
      <c r="A12533" s="5"/>
    </row>
    <row r="12534" spans="1:1" x14ac:dyDescent="0.25">
      <c r="A12534" s="5"/>
    </row>
    <row r="12535" spans="1:1" x14ac:dyDescent="0.25">
      <c r="A12535" s="5"/>
    </row>
    <row r="12536" spans="1:1" x14ac:dyDescent="0.25">
      <c r="A12536" s="5"/>
    </row>
    <row r="12537" spans="1:1" x14ac:dyDescent="0.25">
      <c r="A12537" s="5"/>
    </row>
    <row r="12538" spans="1:1" x14ac:dyDescent="0.25">
      <c r="A12538" s="5"/>
    </row>
    <row r="12539" spans="1:1" x14ac:dyDescent="0.25">
      <c r="A12539" s="5"/>
    </row>
    <row r="12540" spans="1:1" x14ac:dyDescent="0.25">
      <c r="A12540" s="5"/>
    </row>
    <row r="12541" spans="1:1" x14ac:dyDescent="0.25">
      <c r="A12541" s="5"/>
    </row>
    <row r="12542" spans="1:1" x14ac:dyDescent="0.25">
      <c r="A12542" s="5"/>
    </row>
    <row r="12543" spans="1:1" x14ac:dyDescent="0.25">
      <c r="A12543" s="5"/>
    </row>
    <row r="12544" spans="1:1" x14ac:dyDescent="0.25">
      <c r="A12544" s="5"/>
    </row>
    <row r="12545" spans="1:1" x14ac:dyDescent="0.25">
      <c r="A12545" s="5"/>
    </row>
    <row r="12546" spans="1:1" x14ac:dyDescent="0.25">
      <c r="A12546" s="5"/>
    </row>
    <row r="12547" spans="1:1" x14ac:dyDescent="0.25">
      <c r="A12547" s="5"/>
    </row>
    <row r="12548" spans="1:1" x14ac:dyDescent="0.25">
      <c r="A12548" s="5"/>
    </row>
    <row r="12549" spans="1:1" x14ac:dyDescent="0.25">
      <c r="A12549" s="5"/>
    </row>
    <row r="12550" spans="1:1" x14ac:dyDescent="0.25">
      <c r="A12550" s="5"/>
    </row>
    <row r="12551" spans="1:1" x14ac:dyDescent="0.25">
      <c r="A12551" s="5"/>
    </row>
    <row r="12552" spans="1:1" x14ac:dyDescent="0.25">
      <c r="A12552" s="5"/>
    </row>
    <row r="12553" spans="1:1" x14ac:dyDescent="0.25">
      <c r="A12553" s="5"/>
    </row>
    <row r="12554" spans="1:1" x14ac:dyDescent="0.25">
      <c r="A12554" s="5"/>
    </row>
    <row r="12555" spans="1:1" x14ac:dyDescent="0.25">
      <c r="A12555" s="5"/>
    </row>
    <row r="12556" spans="1:1" x14ac:dyDescent="0.25">
      <c r="A12556" s="5"/>
    </row>
    <row r="12557" spans="1:1" x14ac:dyDescent="0.25">
      <c r="A12557" s="5"/>
    </row>
    <row r="12558" spans="1:1" x14ac:dyDescent="0.25">
      <c r="A12558" s="5"/>
    </row>
    <row r="12559" spans="1:1" x14ac:dyDescent="0.25">
      <c r="A12559" s="5"/>
    </row>
    <row r="12560" spans="1:1" x14ac:dyDescent="0.25">
      <c r="A12560" s="5"/>
    </row>
    <row r="12561" spans="1:1" x14ac:dyDescent="0.25">
      <c r="A12561" s="5"/>
    </row>
    <row r="12562" spans="1:1" x14ac:dyDescent="0.25">
      <c r="A12562" s="5"/>
    </row>
    <row r="12563" spans="1:1" x14ac:dyDescent="0.25">
      <c r="A12563" s="5"/>
    </row>
    <row r="12564" spans="1:1" x14ac:dyDescent="0.25">
      <c r="A12564" s="5"/>
    </row>
    <row r="12565" spans="1:1" x14ac:dyDescent="0.25">
      <c r="A12565" s="5"/>
    </row>
    <row r="12566" spans="1:1" x14ac:dyDescent="0.25">
      <c r="A12566" s="5"/>
    </row>
    <row r="12567" spans="1:1" x14ac:dyDescent="0.25">
      <c r="A12567" s="5"/>
    </row>
    <row r="12568" spans="1:1" x14ac:dyDescent="0.25">
      <c r="A12568" s="5"/>
    </row>
    <row r="12569" spans="1:1" x14ac:dyDescent="0.25">
      <c r="A12569" s="5"/>
    </row>
    <row r="12570" spans="1:1" x14ac:dyDescent="0.25">
      <c r="A12570" s="5"/>
    </row>
    <row r="12571" spans="1:1" x14ac:dyDescent="0.25">
      <c r="A12571" s="5"/>
    </row>
    <row r="12572" spans="1:1" x14ac:dyDescent="0.25">
      <c r="A12572" s="5"/>
    </row>
    <row r="12573" spans="1:1" x14ac:dyDescent="0.25">
      <c r="A12573" s="5"/>
    </row>
    <row r="12574" spans="1:1" x14ac:dyDescent="0.25">
      <c r="A12574" s="5"/>
    </row>
    <row r="12575" spans="1:1" x14ac:dyDescent="0.25">
      <c r="A12575" s="5"/>
    </row>
    <row r="12576" spans="1:1" x14ac:dyDescent="0.25">
      <c r="A12576" s="5"/>
    </row>
    <row r="12577" spans="1:1" x14ac:dyDescent="0.25">
      <c r="A12577" s="5"/>
    </row>
    <row r="12578" spans="1:1" x14ac:dyDescent="0.25">
      <c r="A12578" s="5"/>
    </row>
    <row r="12579" spans="1:1" x14ac:dyDescent="0.25">
      <c r="A12579" s="5"/>
    </row>
    <row r="12580" spans="1:1" x14ac:dyDescent="0.25">
      <c r="A12580" s="5"/>
    </row>
    <row r="12581" spans="1:1" x14ac:dyDescent="0.25">
      <c r="A12581" s="5"/>
    </row>
    <row r="12582" spans="1:1" x14ac:dyDescent="0.25">
      <c r="A12582" s="5"/>
    </row>
    <row r="12583" spans="1:1" x14ac:dyDescent="0.25">
      <c r="A12583" s="5"/>
    </row>
    <row r="12584" spans="1:1" x14ac:dyDescent="0.25">
      <c r="A12584" s="5"/>
    </row>
    <row r="12585" spans="1:1" x14ac:dyDescent="0.25">
      <c r="A12585" s="5"/>
    </row>
    <row r="12586" spans="1:1" x14ac:dyDescent="0.25">
      <c r="A12586" s="5"/>
    </row>
    <row r="12587" spans="1:1" x14ac:dyDescent="0.25">
      <c r="A12587" s="5"/>
    </row>
    <row r="12588" spans="1:1" x14ac:dyDescent="0.25">
      <c r="A12588" s="5"/>
    </row>
    <row r="12589" spans="1:1" x14ac:dyDescent="0.25">
      <c r="A12589" s="5"/>
    </row>
    <row r="12590" spans="1:1" x14ac:dyDescent="0.25">
      <c r="A12590" s="5"/>
    </row>
    <row r="12591" spans="1:1" x14ac:dyDescent="0.25">
      <c r="A12591" s="5"/>
    </row>
    <row r="12592" spans="1:1" x14ac:dyDescent="0.25">
      <c r="A12592" s="5"/>
    </row>
    <row r="12593" spans="1:1" x14ac:dyDescent="0.25">
      <c r="A12593" s="5"/>
    </row>
    <row r="12594" spans="1:1" x14ac:dyDescent="0.25">
      <c r="A12594" s="5"/>
    </row>
    <row r="12595" spans="1:1" x14ac:dyDescent="0.25">
      <c r="A12595" s="5"/>
    </row>
    <row r="12596" spans="1:1" x14ac:dyDescent="0.25">
      <c r="A12596" s="5"/>
    </row>
    <row r="12597" spans="1:1" x14ac:dyDescent="0.25">
      <c r="A12597" s="5"/>
    </row>
    <row r="12598" spans="1:1" x14ac:dyDescent="0.25">
      <c r="A12598" s="5"/>
    </row>
    <row r="12599" spans="1:1" x14ac:dyDescent="0.25">
      <c r="A12599" s="5"/>
    </row>
    <row r="12600" spans="1:1" x14ac:dyDescent="0.25">
      <c r="A12600" s="5"/>
    </row>
    <row r="12601" spans="1:1" x14ac:dyDescent="0.25">
      <c r="A12601" s="5"/>
    </row>
    <row r="12602" spans="1:1" x14ac:dyDescent="0.25">
      <c r="A12602" s="5"/>
    </row>
    <row r="12603" spans="1:1" x14ac:dyDescent="0.25">
      <c r="A12603" s="5"/>
    </row>
    <row r="12604" spans="1:1" x14ac:dyDescent="0.25">
      <c r="A12604" s="5"/>
    </row>
    <row r="12605" spans="1:1" x14ac:dyDescent="0.25">
      <c r="A12605" s="5"/>
    </row>
    <row r="12606" spans="1:1" x14ac:dyDescent="0.25">
      <c r="A12606" s="5"/>
    </row>
    <row r="12607" spans="1:1" x14ac:dyDescent="0.25">
      <c r="A12607" s="5"/>
    </row>
    <row r="12608" spans="1:1" x14ac:dyDescent="0.25">
      <c r="A12608" s="5"/>
    </row>
    <row r="12609" spans="1:1" x14ac:dyDescent="0.25">
      <c r="A12609" s="5"/>
    </row>
    <row r="12610" spans="1:1" x14ac:dyDescent="0.25">
      <c r="A12610" s="5"/>
    </row>
    <row r="12611" spans="1:1" x14ac:dyDescent="0.25">
      <c r="A12611" s="5"/>
    </row>
    <row r="12612" spans="1:1" x14ac:dyDescent="0.25">
      <c r="A12612" s="5"/>
    </row>
    <row r="12613" spans="1:1" x14ac:dyDescent="0.25">
      <c r="A12613" s="5"/>
    </row>
    <row r="12614" spans="1:1" x14ac:dyDescent="0.25">
      <c r="A12614" s="5"/>
    </row>
    <row r="12615" spans="1:1" x14ac:dyDescent="0.25">
      <c r="A12615" s="5"/>
    </row>
    <row r="12616" spans="1:1" x14ac:dyDescent="0.25">
      <c r="A12616" s="5"/>
    </row>
    <row r="12617" spans="1:1" x14ac:dyDescent="0.25">
      <c r="A12617" s="5"/>
    </row>
    <row r="12618" spans="1:1" x14ac:dyDescent="0.25">
      <c r="A12618" s="5"/>
    </row>
    <row r="12619" spans="1:1" x14ac:dyDescent="0.25">
      <c r="A12619" s="5"/>
    </row>
    <row r="12620" spans="1:1" x14ac:dyDescent="0.25">
      <c r="A12620" s="5"/>
    </row>
    <row r="12621" spans="1:1" x14ac:dyDescent="0.25">
      <c r="A12621" s="5"/>
    </row>
    <row r="12622" spans="1:1" x14ac:dyDescent="0.25">
      <c r="A12622" s="5"/>
    </row>
    <row r="12623" spans="1:1" x14ac:dyDescent="0.25">
      <c r="A12623" s="5"/>
    </row>
    <row r="12624" spans="1:1" x14ac:dyDescent="0.25">
      <c r="A12624" s="5"/>
    </row>
    <row r="12625" spans="1:1" x14ac:dyDescent="0.25">
      <c r="A12625" s="5"/>
    </row>
    <row r="12626" spans="1:1" x14ac:dyDescent="0.25">
      <c r="A12626" s="5"/>
    </row>
    <row r="12627" spans="1:1" x14ac:dyDescent="0.25">
      <c r="A12627" s="5"/>
    </row>
    <row r="12628" spans="1:1" x14ac:dyDescent="0.25">
      <c r="A12628" s="5"/>
    </row>
    <row r="12629" spans="1:1" x14ac:dyDescent="0.25">
      <c r="A12629" s="5"/>
    </row>
    <row r="12630" spans="1:1" x14ac:dyDescent="0.25">
      <c r="A12630" s="5"/>
    </row>
    <row r="12631" spans="1:1" x14ac:dyDescent="0.25">
      <c r="A12631" s="5"/>
    </row>
    <row r="12632" spans="1:1" x14ac:dyDescent="0.25">
      <c r="A12632" s="5"/>
    </row>
    <row r="12633" spans="1:1" x14ac:dyDescent="0.25">
      <c r="A12633" s="5"/>
    </row>
    <row r="12634" spans="1:1" x14ac:dyDescent="0.25">
      <c r="A12634" s="5"/>
    </row>
    <row r="12635" spans="1:1" x14ac:dyDescent="0.25">
      <c r="A12635" s="5"/>
    </row>
    <row r="12636" spans="1:1" x14ac:dyDescent="0.25">
      <c r="A12636" s="5"/>
    </row>
    <row r="12637" spans="1:1" x14ac:dyDescent="0.25">
      <c r="A12637" s="5"/>
    </row>
    <row r="12638" spans="1:1" x14ac:dyDescent="0.25">
      <c r="A12638" s="5"/>
    </row>
    <row r="12639" spans="1:1" x14ac:dyDescent="0.25">
      <c r="A12639" s="5"/>
    </row>
    <row r="12640" spans="1:1" x14ac:dyDescent="0.25">
      <c r="A12640" s="5"/>
    </row>
    <row r="12641" spans="1:1" x14ac:dyDescent="0.25">
      <c r="A12641" s="5"/>
    </row>
    <row r="12642" spans="1:1" x14ac:dyDescent="0.25">
      <c r="A12642" s="5"/>
    </row>
    <row r="12643" spans="1:1" x14ac:dyDescent="0.25">
      <c r="A12643" s="5"/>
    </row>
    <row r="12644" spans="1:1" x14ac:dyDescent="0.25">
      <c r="A12644" s="5"/>
    </row>
    <row r="12645" spans="1:1" x14ac:dyDescent="0.25">
      <c r="A12645" s="5"/>
    </row>
    <row r="12646" spans="1:1" x14ac:dyDescent="0.25">
      <c r="A12646" s="5"/>
    </row>
    <row r="12647" spans="1:1" x14ac:dyDescent="0.25">
      <c r="A12647" s="5"/>
    </row>
    <row r="12648" spans="1:1" x14ac:dyDescent="0.25">
      <c r="A12648" s="5"/>
    </row>
    <row r="12649" spans="1:1" x14ac:dyDescent="0.25">
      <c r="A12649" s="5"/>
    </row>
    <row r="12650" spans="1:1" x14ac:dyDescent="0.25">
      <c r="A12650" s="5"/>
    </row>
    <row r="12651" spans="1:1" x14ac:dyDescent="0.25">
      <c r="A12651" s="5"/>
    </row>
    <row r="12652" spans="1:1" x14ac:dyDescent="0.25">
      <c r="A12652" s="5"/>
    </row>
    <row r="12653" spans="1:1" x14ac:dyDescent="0.25">
      <c r="A12653" s="5"/>
    </row>
    <row r="12654" spans="1:1" x14ac:dyDescent="0.25">
      <c r="A12654" s="5"/>
    </row>
    <row r="12655" spans="1:1" x14ac:dyDescent="0.25">
      <c r="A12655" s="5"/>
    </row>
    <row r="12656" spans="1:1" x14ac:dyDescent="0.25">
      <c r="A12656" s="5"/>
    </row>
    <row r="12657" spans="1:1" x14ac:dyDescent="0.25">
      <c r="A12657" s="5"/>
    </row>
    <row r="12658" spans="1:1" x14ac:dyDescent="0.25">
      <c r="A12658" s="5"/>
    </row>
    <row r="12659" spans="1:1" x14ac:dyDescent="0.25">
      <c r="A12659" s="5"/>
    </row>
    <row r="12660" spans="1:1" x14ac:dyDescent="0.25">
      <c r="A12660" s="5"/>
    </row>
    <row r="12661" spans="1:1" x14ac:dyDescent="0.25">
      <c r="A12661" s="5"/>
    </row>
    <row r="12662" spans="1:1" x14ac:dyDescent="0.25">
      <c r="A12662" s="5"/>
    </row>
    <row r="12663" spans="1:1" x14ac:dyDescent="0.25">
      <c r="A12663" s="5"/>
    </row>
    <row r="12664" spans="1:1" x14ac:dyDescent="0.25">
      <c r="A12664" s="5"/>
    </row>
    <row r="12665" spans="1:1" x14ac:dyDescent="0.25">
      <c r="A12665" s="5"/>
    </row>
    <row r="12666" spans="1:1" x14ac:dyDescent="0.25">
      <c r="A12666" s="5"/>
    </row>
    <row r="12667" spans="1:1" x14ac:dyDescent="0.25">
      <c r="A12667" s="5"/>
    </row>
    <row r="12668" spans="1:1" x14ac:dyDescent="0.25">
      <c r="A12668" s="5"/>
    </row>
    <row r="12669" spans="1:1" x14ac:dyDescent="0.25">
      <c r="A12669" s="5"/>
    </row>
    <row r="12670" spans="1:1" x14ac:dyDescent="0.25">
      <c r="A12670" s="5"/>
    </row>
    <row r="12671" spans="1:1" x14ac:dyDescent="0.25">
      <c r="A12671" s="5"/>
    </row>
    <row r="12672" spans="1:1" x14ac:dyDescent="0.25">
      <c r="A12672" s="5"/>
    </row>
    <row r="12673" spans="1:1" x14ac:dyDescent="0.25">
      <c r="A12673" s="5"/>
    </row>
    <row r="12674" spans="1:1" x14ac:dyDescent="0.25">
      <c r="A12674" s="5"/>
    </row>
    <row r="12675" spans="1:1" x14ac:dyDescent="0.25">
      <c r="A12675" s="5"/>
    </row>
    <row r="12676" spans="1:1" x14ac:dyDescent="0.25">
      <c r="A12676" s="5"/>
    </row>
    <row r="12677" spans="1:1" x14ac:dyDescent="0.25">
      <c r="A12677" s="5"/>
    </row>
    <row r="12678" spans="1:1" x14ac:dyDescent="0.25">
      <c r="A12678" s="5"/>
    </row>
    <row r="12679" spans="1:1" x14ac:dyDescent="0.25">
      <c r="A12679" s="5"/>
    </row>
    <row r="12680" spans="1:1" x14ac:dyDescent="0.25">
      <c r="A12680" s="5"/>
    </row>
    <row r="12681" spans="1:1" x14ac:dyDescent="0.25">
      <c r="A12681" s="5"/>
    </row>
    <row r="12682" spans="1:1" x14ac:dyDescent="0.25">
      <c r="A12682" s="5"/>
    </row>
    <row r="12683" spans="1:1" x14ac:dyDescent="0.25">
      <c r="A12683" s="5"/>
    </row>
    <row r="12684" spans="1:1" x14ac:dyDescent="0.25">
      <c r="A12684" s="5"/>
    </row>
    <row r="12685" spans="1:1" x14ac:dyDescent="0.25">
      <c r="A12685" s="5"/>
    </row>
    <row r="12686" spans="1:1" x14ac:dyDescent="0.25">
      <c r="A12686" s="5"/>
    </row>
    <row r="12687" spans="1:1" x14ac:dyDescent="0.25">
      <c r="A12687" s="5"/>
    </row>
    <row r="12688" spans="1:1" x14ac:dyDescent="0.25">
      <c r="A12688" s="5"/>
    </row>
    <row r="12689" spans="1:1" x14ac:dyDescent="0.25">
      <c r="A12689" s="5"/>
    </row>
    <row r="12690" spans="1:1" x14ac:dyDescent="0.25">
      <c r="A12690" s="5"/>
    </row>
    <row r="12691" spans="1:1" x14ac:dyDescent="0.25">
      <c r="A12691" s="5"/>
    </row>
    <row r="12692" spans="1:1" x14ac:dyDescent="0.25">
      <c r="A12692" s="5"/>
    </row>
    <row r="12693" spans="1:1" x14ac:dyDescent="0.25">
      <c r="A12693" s="5"/>
    </row>
    <row r="12694" spans="1:1" x14ac:dyDescent="0.25">
      <c r="A12694" s="5"/>
    </row>
    <row r="12695" spans="1:1" x14ac:dyDescent="0.25">
      <c r="A12695" s="5"/>
    </row>
    <row r="12696" spans="1:1" x14ac:dyDescent="0.25">
      <c r="A12696" s="5"/>
    </row>
    <row r="12697" spans="1:1" x14ac:dyDescent="0.25">
      <c r="A12697" s="5"/>
    </row>
    <row r="12698" spans="1:1" x14ac:dyDescent="0.25">
      <c r="A12698" s="5"/>
    </row>
    <row r="12699" spans="1:1" x14ac:dyDescent="0.25">
      <c r="A12699" s="5"/>
    </row>
    <row r="12700" spans="1:1" x14ac:dyDescent="0.25">
      <c r="A12700" s="5"/>
    </row>
    <row r="12701" spans="1:1" x14ac:dyDescent="0.25">
      <c r="A12701" s="5"/>
    </row>
    <row r="12702" spans="1:1" x14ac:dyDescent="0.25">
      <c r="A12702" s="5"/>
    </row>
    <row r="12703" spans="1:1" x14ac:dyDescent="0.25">
      <c r="A12703" s="5"/>
    </row>
    <row r="12704" spans="1:1" x14ac:dyDescent="0.25">
      <c r="A12704" s="5"/>
    </row>
    <row r="12705" spans="1:1" x14ac:dyDescent="0.25">
      <c r="A12705" s="5"/>
    </row>
    <row r="12706" spans="1:1" x14ac:dyDescent="0.25">
      <c r="A12706" s="5"/>
    </row>
    <row r="12707" spans="1:1" x14ac:dyDescent="0.25">
      <c r="A12707" s="5"/>
    </row>
    <row r="12708" spans="1:1" x14ac:dyDescent="0.25">
      <c r="A12708" s="5"/>
    </row>
    <row r="12709" spans="1:1" x14ac:dyDescent="0.25">
      <c r="A12709" s="5"/>
    </row>
    <row r="12710" spans="1:1" x14ac:dyDescent="0.25">
      <c r="A12710" s="5"/>
    </row>
    <row r="12711" spans="1:1" x14ac:dyDescent="0.25">
      <c r="A12711" s="5"/>
    </row>
    <row r="12712" spans="1:1" x14ac:dyDescent="0.25">
      <c r="A12712" s="5"/>
    </row>
    <row r="12713" spans="1:1" x14ac:dyDescent="0.25">
      <c r="A12713" s="5"/>
    </row>
    <row r="12714" spans="1:1" x14ac:dyDescent="0.25">
      <c r="A12714" s="5"/>
    </row>
    <row r="12715" spans="1:1" x14ac:dyDescent="0.25">
      <c r="A12715" s="5"/>
    </row>
    <row r="12716" spans="1:1" x14ac:dyDescent="0.25">
      <c r="A12716" s="5"/>
    </row>
    <row r="12717" spans="1:1" x14ac:dyDescent="0.25">
      <c r="A12717" s="5"/>
    </row>
    <row r="12718" spans="1:1" x14ac:dyDescent="0.25">
      <c r="A12718" s="5"/>
    </row>
    <row r="12719" spans="1:1" x14ac:dyDescent="0.25">
      <c r="A12719" s="5"/>
    </row>
    <row r="12720" spans="1:1" x14ac:dyDescent="0.25">
      <c r="A12720" s="5"/>
    </row>
    <row r="12721" spans="1:1" x14ac:dyDescent="0.25">
      <c r="A12721" s="5"/>
    </row>
    <row r="12722" spans="1:1" x14ac:dyDescent="0.25">
      <c r="A12722" s="5"/>
    </row>
    <row r="12723" spans="1:1" x14ac:dyDescent="0.25">
      <c r="A12723" s="5"/>
    </row>
    <row r="12724" spans="1:1" x14ac:dyDescent="0.25">
      <c r="A12724" s="5"/>
    </row>
    <row r="12725" spans="1:1" x14ac:dyDescent="0.25">
      <c r="A12725" s="5"/>
    </row>
    <row r="12726" spans="1:1" x14ac:dyDescent="0.25">
      <c r="A12726" s="5"/>
    </row>
    <row r="12727" spans="1:1" x14ac:dyDescent="0.25">
      <c r="A12727" s="5"/>
    </row>
    <row r="12728" spans="1:1" x14ac:dyDescent="0.25">
      <c r="A12728" s="5"/>
    </row>
    <row r="12729" spans="1:1" x14ac:dyDescent="0.25">
      <c r="A12729" s="5"/>
    </row>
    <row r="12730" spans="1:1" x14ac:dyDescent="0.25">
      <c r="A12730" s="5"/>
    </row>
    <row r="12731" spans="1:1" x14ac:dyDescent="0.25">
      <c r="A12731" s="5"/>
    </row>
    <row r="12732" spans="1:1" x14ac:dyDescent="0.25">
      <c r="A12732" s="5"/>
    </row>
    <row r="12733" spans="1:1" x14ac:dyDescent="0.25">
      <c r="A12733" s="5"/>
    </row>
    <row r="12734" spans="1:1" x14ac:dyDescent="0.25">
      <c r="A12734" s="5"/>
    </row>
    <row r="12735" spans="1:1" x14ac:dyDescent="0.25">
      <c r="A12735" s="5"/>
    </row>
    <row r="12736" spans="1:1" x14ac:dyDescent="0.25">
      <c r="A12736" s="5"/>
    </row>
    <row r="12737" spans="1:1" x14ac:dyDescent="0.25">
      <c r="A12737" s="5"/>
    </row>
    <row r="12738" spans="1:1" x14ac:dyDescent="0.25">
      <c r="A12738" s="5"/>
    </row>
    <row r="12739" spans="1:1" x14ac:dyDescent="0.25">
      <c r="A12739" s="5"/>
    </row>
    <row r="12740" spans="1:1" x14ac:dyDescent="0.25">
      <c r="A12740" s="5"/>
    </row>
    <row r="12741" spans="1:1" x14ac:dyDescent="0.25">
      <c r="A12741" s="5"/>
    </row>
    <row r="12742" spans="1:1" x14ac:dyDescent="0.25">
      <c r="A12742" s="5"/>
    </row>
    <row r="12743" spans="1:1" x14ac:dyDescent="0.25">
      <c r="A12743" s="5"/>
    </row>
    <row r="12744" spans="1:1" x14ac:dyDescent="0.25">
      <c r="A12744" s="5"/>
    </row>
    <row r="12745" spans="1:1" x14ac:dyDescent="0.25">
      <c r="A12745" s="5"/>
    </row>
    <row r="12746" spans="1:1" x14ac:dyDescent="0.25">
      <c r="A12746" s="5"/>
    </row>
    <row r="12747" spans="1:1" x14ac:dyDescent="0.25">
      <c r="A12747" s="5"/>
    </row>
    <row r="12748" spans="1:1" x14ac:dyDescent="0.25">
      <c r="A12748" s="5"/>
    </row>
    <row r="12749" spans="1:1" x14ac:dyDescent="0.25">
      <c r="A12749" s="5"/>
    </row>
    <row r="12750" spans="1:1" x14ac:dyDescent="0.25">
      <c r="A12750" s="5"/>
    </row>
    <row r="12751" spans="1:1" x14ac:dyDescent="0.25">
      <c r="A12751" s="5"/>
    </row>
    <row r="12752" spans="1:1" x14ac:dyDescent="0.25">
      <c r="A12752" s="5"/>
    </row>
    <row r="12753" spans="1:1" x14ac:dyDescent="0.25">
      <c r="A12753" s="5"/>
    </row>
    <row r="12754" spans="1:1" x14ac:dyDescent="0.25">
      <c r="A12754" s="5"/>
    </row>
    <row r="12755" spans="1:1" x14ac:dyDescent="0.25">
      <c r="A12755" s="5"/>
    </row>
    <row r="12756" spans="1:1" x14ac:dyDescent="0.25">
      <c r="A12756" s="5"/>
    </row>
    <row r="12757" spans="1:1" x14ac:dyDescent="0.25">
      <c r="A12757" s="5"/>
    </row>
    <row r="12758" spans="1:1" x14ac:dyDescent="0.25">
      <c r="A12758" s="5"/>
    </row>
    <row r="12759" spans="1:1" x14ac:dyDescent="0.25">
      <c r="A12759" s="5"/>
    </row>
    <row r="12760" spans="1:1" x14ac:dyDescent="0.25">
      <c r="A12760" s="5"/>
    </row>
    <row r="12761" spans="1:1" x14ac:dyDescent="0.25">
      <c r="A12761" s="5"/>
    </row>
    <row r="12762" spans="1:1" x14ac:dyDescent="0.25">
      <c r="A12762" s="5"/>
    </row>
    <row r="12763" spans="1:1" x14ac:dyDescent="0.25">
      <c r="A12763" s="5"/>
    </row>
    <row r="12764" spans="1:1" x14ac:dyDescent="0.25">
      <c r="A12764" s="5"/>
    </row>
    <row r="12765" spans="1:1" x14ac:dyDescent="0.25">
      <c r="A12765" s="5"/>
    </row>
    <row r="12766" spans="1:1" x14ac:dyDescent="0.25">
      <c r="A12766" s="5"/>
    </row>
    <row r="12767" spans="1:1" x14ac:dyDescent="0.25">
      <c r="A12767" s="5"/>
    </row>
    <row r="12768" spans="1:1" x14ac:dyDescent="0.25">
      <c r="A12768" s="5"/>
    </row>
    <row r="12769" spans="1:1" x14ac:dyDescent="0.25">
      <c r="A12769" s="5"/>
    </row>
    <row r="12770" spans="1:1" x14ac:dyDescent="0.25">
      <c r="A12770" s="5"/>
    </row>
    <row r="12771" spans="1:1" x14ac:dyDescent="0.25">
      <c r="A12771" s="5"/>
    </row>
    <row r="12772" spans="1:1" x14ac:dyDescent="0.25">
      <c r="A12772" s="5"/>
    </row>
    <row r="12773" spans="1:1" x14ac:dyDescent="0.25">
      <c r="A12773" s="5"/>
    </row>
    <row r="12774" spans="1:1" x14ac:dyDescent="0.25">
      <c r="A12774" s="5"/>
    </row>
    <row r="12775" spans="1:1" x14ac:dyDescent="0.25">
      <c r="A12775" s="5"/>
    </row>
    <row r="12776" spans="1:1" x14ac:dyDescent="0.25">
      <c r="A12776" s="5"/>
    </row>
    <row r="12777" spans="1:1" x14ac:dyDescent="0.25">
      <c r="A12777" s="5"/>
    </row>
    <row r="12778" spans="1:1" x14ac:dyDescent="0.25">
      <c r="A12778" s="5"/>
    </row>
    <row r="12779" spans="1:1" x14ac:dyDescent="0.25">
      <c r="A12779" s="5"/>
    </row>
    <row r="12780" spans="1:1" x14ac:dyDescent="0.25">
      <c r="A12780" s="5"/>
    </row>
    <row r="12781" spans="1:1" x14ac:dyDescent="0.25">
      <c r="A12781" s="5"/>
    </row>
    <row r="12782" spans="1:1" x14ac:dyDescent="0.25">
      <c r="A12782" s="5"/>
    </row>
    <row r="12783" spans="1:1" x14ac:dyDescent="0.25">
      <c r="A12783" s="5"/>
    </row>
    <row r="12784" spans="1:1" x14ac:dyDescent="0.25">
      <c r="A12784" s="5"/>
    </row>
    <row r="12785" spans="1:1" x14ac:dyDescent="0.25">
      <c r="A12785" s="5"/>
    </row>
    <row r="12786" spans="1:1" x14ac:dyDescent="0.25">
      <c r="A12786" s="5"/>
    </row>
    <row r="12787" spans="1:1" x14ac:dyDescent="0.25">
      <c r="A12787" s="5"/>
    </row>
    <row r="12788" spans="1:1" x14ac:dyDescent="0.25">
      <c r="A12788" s="5"/>
    </row>
    <row r="12789" spans="1:1" x14ac:dyDescent="0.25">
      <c r="A12789" s="5"/>
    </row>
    <row r="12790" spans="1:1" x14ac:dyDescent="0.25">
      <c r="A12790" s="5"/>
    </row>
    <row r="12791" spans="1:1" x14ac:dyDescent="0.25">
      <c r="A12791" s="5"/>
    </row>
    <row r="12792" spans="1:1" x14ac:dyDescent="0.25">
      <c r="A12792" s="5"/>
    </row>
    <row r="12793" spans="1:1" x14ac:dyDescent="0.25">
      <c r="A12793" s="5"/>
    </row>
    <row r="12794" spans="1:1" x14ac:dyDescent="0.25">
      <c r="A12794" s="5"/>
    </row>
    <row r="12795" spans="1:1" x14ac:dyDescent="0.25">
      <c r="A12795" s="5"/>
    </row>
    <row r="12796" spans="1:1" x14ac:dyDescent="0.25">
      <c r="A12796" s="5"/>
    </row>
    <row r="12797" spans="1:1" x14ac:dyDescent="0.25">
      <c r="A12797" s="5"/>
    </row>
    <row r="12798" spans="1:1" x14ac:dyDescent="0.25">
      <c r="A12798" s="5"/>
    </row>
    <row r="12799" spans="1:1" x14ac:dyDescent="0.25">
      <c r="A12799" s="5"/>
    </row>
    <row r="12800" spans="1:1" x14ac:dyDescent="0.25">
      <c r="A12800" s="5"/>
    </row>
    <row r="12801" spans="1:1" x14ac:dyDescent="0.25">
      <c r="A12801" s="5"/>
    </row>
    <row r="12802" spans="1:1" x14ac:dyDescent="0.25">
      <c r="A12802" s="5"/>
    </row>
    <row r="12803" spans="1:1" x14ac:dyDescent="0.25">
      <c r="A12803" s="5"/>
    </row>
    <row r="12804" spans="1:1" x14ac:dyDescent="0.25">
      <c r="A12804" s="5"/>
    </row>
    <row r="12805" spans="1:1" x14ac:dyDescent="0.25">
      <c r="A12805" s="5"/>
    </row>
    <row r="12806" spans="1:1" x14ac:dyDescent="0.25">
      <c r="A12806" s="5"/>
    </row>
    <row r="12807" spans="1:1" x14ac:dyDescent="0.25">
      <c r="A12807" s="5"/>
    </row>
    <row r="12808" spans="1:1" x14ac:dyDescent="0.25">
      <c r="A12808" s="5"/>
    </row>
    <row r="12809" spans="1:1" x14ac:dyDescent="0.25">
      <c r="A12809" s="5"/>
    </row>
    <row r="12810" spans="1:1" x14ac:dyDescent="0.25">
      <c r="A12810" s="5"/>
    </row>
    <row r="12811" spans="1:1" x14ac:dyDescent="0.25">
      <c r="A12811" s="5"/>
    </row>
    <row r="12812" spans="1:1" x14ac:dyDescent="0.25">
      <c r="A12812" s="5"/>
    </row>
    <row r="12813" spans="1:1" x14ac:dyDescent="0.25">
      <c r="A12813" s="5"/>
    </row>
    <row r="12814" spans="1:1" x14ac:dyDescent="0.25">
      <c r="A12814" s="5"/>
    </row>
    <row r="12815" spans="1:1" x14ac:dyDescent="0.25">
      <c r="A12815" s="5"/>
    </row>
    <row r="12816" spans="1:1" x14ac:dyDescent="0.25">
      <c r="A12816" s="5"/>
    </row>
    <row r="12817" spans="1:1" x14ac:dyDescent="0.25">
      <c r="A12817" s="5"/>
    </row>
    <row r="12818" spans="1:1" x14ac:dyDescent="0.25">
      <c r="A12818" s="5"/>
    </row>
    <row r="12819" spans="1:1" x14ac:dyDescent="0.25">
      <c r="A12819" s="5"/>
    </row>
    <row r="12820" spans="1:1" x14ac:dyDescent="0.25">
      <c r="A12820" s="5"/>
    </row>
    <row r="12821" spans="1:1" x14ac:dyDescent="0.25">
      <c r="A12821" s="5"/>
    </row>
    <row r="12822" spans="1:1" x14ac:dyDescent="0.25">
      <c r="A12822" s="5"/>
    </row>
    <row r="12823" spans="1:1" x14ac:dyDescent="0.25">
      <c r="A12823" s="5"/>
    </row>
    <row r="12824" spans="1:1" x14ac:dyDescent="0.25">
      <c r="A12824" s="5"/>
    </row>
    <row r="12825" spans="1:1" x14ac:dyDescent="0.25">
      <c r="A12825" s="5"/>
    </row>
    <row r="12826" spans="1:1" x14ac:dyDescent="0.25">
      <c r="A12826" s="5"/>
    </row>
    <row r="12827" spans="1:1" x14ac:dyDescent="0.25">
      <c r="A12827" s="5"/>
    </row>
    <row r="12828" spans="1:1" x14ac:dyDescent="0.25">
      <c r="A12828" s="5"/>
    </row>
    <row r="12829" spans="1:1" x14ac:dyDescent="0.25">
      <c r="A12829" s="5"/>
    </row>
    <row r="12830" spans="1:1" x14ac:dyDescent="0.25">
      <c r="A12830" s="5"/>
    </row>
    <row r="12831" spans="1:1" x14ac:dyDescent="0.25">
      <c r="A12831" s="5"/>
    </row>
    <row r="12832" spans="1:1" x14ac:dyDescent="0.25">
      <c r="A12832" s="5"/>
    </row>
    <row r="12833" spans="1:1" x14ac:dyDescent="0.25">
      <c r="A12833" s="5"/>
    </row>
    <row r="12834" spans="1:1" x14ac:dyDescent="0.25">
      <c r="A12834" s="5"/>
    </row>
    <row r="12835" spans="1:1" x14ac:dyDescent="0.25">
      <c r="A12835" s="5"/>
    </row>
    <row r="12836" spans="1:1" x14ac:dyDescent="0.25">
      <c r="A12836" s="5"/>
    </row>
    <row r="12837" spans="1:1" x14ac:dyDescent="0.25">
      <c r="A12837" s="5"/>
    </row>
    <row r="12838" spans="1:1" x14ac:dyDescent="0.25">
      <c r="A12838" s="5"/>
    </row>
    <row r="12839" spans="1:1" x14ac:dyDescent="0.25">
      <c r="A12839" s="5"/>
    </row>
    <row r="12840" spans="1:1" x14ac:dyDescent="0.25">
      <c r="A12840" s="5"/>
    </row>
    <row r="12841" spans="1:1" x14ac:dyDescent="0.25">
      <c r="A12841" s="5"/>
    </row>
    <row r="12842" spans="1:1" x14ac:dyDescent="0.25">
      <c r="A12842" s="5"/>
    </row>
    <row r="12843" spans="1:1" x14ac:dyDescent="0.25">
      <c r="A12843" s="5"/>
    </row>
    <row r="12844" spans="1:1" x14ac:dyDescent="0.25">
      <c r="A12844" s="5"/>
    </row>
    <row r="12845" spans="1:1" x14ac:dyDescent="0.25">
      <c r="A12845" s="5"/>
    </row>
    <row r="12846" spans="1:1" x14ac:dyDescent="0.25">
      <c r="A12846" s="5"/>
    </row>
    <row r="12847" spans="1:1" x14ac:dyDescent="0.25">
      <c r="A12847" s="5"/>
    </row>
    <row r="12848" spans="1:1" x14ac:dyDescent="0.25">
      <c r="A12848" s="5"/>
    </row>
    <row r="12849" spans="1:1" x14ac:dyDescent="0.25">
      <c r="A12849" s="5"/>
    </row>
    <row r="12850" spans="1:1" x14ac:dyDescent="0.25">
      <c r="A12850" s="5"/>
    </row>
    <row r="12851" spans="1:1" x14ac:dyDescent="0.25">
      <c r="A12851" s="5"/>
    </row>
    <row r="12852" spans="1:1" x14ac:dyDescent="0.25">
      <c r="A12852" s="5"/>
    </row>
    <row r="12853" spans="1:1" x14ac:dyDescent="0.25">
      <c r="A12853" s="5"/>
    </row>
    <row r="12854" spans="1:1" x14ac:dyDescent="0.25">
      <c r="A12854" s="5"/>
    </row>
    <row r="12855" spans="1:1" x14ac:dyDescent="0.25">
      <c r="A12855" s="5"/>
    </row>
    <row r="12856" spans="1:1" x14ac:dyDescent="0.25">
      <c r="A12856" s="5"/>
    </row>
    <row r="12857" spans="1:1" x14ac:dyDescent="0.25">
      <c r="A12857" s="5"/>
    </row>
    <row r="12858" spans="1:1" x14ac:dyDescent="0.25">
      <c r="A12858" s="5"/>
    </row>
    <row r="12859" spans="1:1" x14ac:dyDescent="0.25">
      <c r="A12859" s="5"/>
    </row>
    <row r="12860" spans="1:1" x14ac:dyDescent="0.25">
      <c r="A12860" s="5"/>
    </row>
    <row r="12861" spans="1:1" x14ac:dyDescent="0.25">
      <c r="A12861" s="5"/>
    </row>
    <row r="12862" spans="1:1" x14ac:dyDescent="0.25">
      <c r="A12862" s="5"/>
    </row>
    <row r="12863" spans="1:1" x14ac:dyDescent="0.25">
      <c r="A12863" s="5"/>
    </row>
    <row r="12864" spans="1:1" x14ac:dyDescent="0.25">
      <c r="A12864" s="5"/>
    </row>
    <row r="12865" spans="1:1" x14ac:dyDescent="0.25">
      <c r="A12865" s="5"/>
    </row>
    <row r="12866" spans="1:1" x14ac:dyDescent="0.25">
      <c r="A12866" s="5"/>
    </row>
    <row r="12867" spans="1:1" x14ac:dyDescent="0.25">
      <c r="A12867" s="5"/>
    </row>
    <row r="12868" spans="1:1" x14ac:dyDescent="0.25">
      <c r="A12868" s="5"/>
    </row>
    <row r="12869" spans="1:1" x14ac:dyDescent="0.25">
      <c r="A12869" s="5"/>
    </row>
    <row r="12870" spans="1:1" x14ac:dyDescent="0.25">
      <c r="A12870" s="5"/>
    </row>
    <row r="12871" spans="1:1" x14ac:dyDescent="0.25">
      <c r="A12871" s="5"/>
    </row>
    <row r="12872" spans="1:1" x14ac:dyDescent="0.25">
      <c r="A12872" s="5"/>
    </row>
    <row r="12873" spans="1:1" x14ac:dyDescent="0.25">
      <c r="A12873" s="5"/>
    </row>
    <row r="12874" spans="1:1" x14ac:dyDescent="0.25">
      <c r="A12874" s="5"/>
    </row>
    <row r="12875" spans="1:1" x14ac:dyDescent="0.25">
      <c r="A12875" s="5"/>
    </row>
    <row r="12876" spans="1:1" x14ac:dyDescent="0.25">
      <c r="A12876" s="5"/>
    </row>
    <row r="12877" spans="1:1" x14ac:dyDescent="0.25">
      <c r="A12877" s="5"/>
    </row>
    <row r="12878" spans="1:1" x14ac:dyDescent="0.25">
      <c r="A12878" s="5"/>
    </row>
    <row r="12879" spans="1:1" x14ac:dyDescent="0.25">
      <c r="A12879" s="5"/>
    </row>
    <row r="12880" spans="1:1" x14ac:dyDescent="0.25">
      <c r="A12880" s="5"/>
    </row>
    <row r="12881" spans="1:1" x14ac:dyDescent="0.25">
      <c r="A12881" s="5"/>
    </row>
    <row r="12882" spans="1:1" x14ac:dyDescent="0.25">
      <c r="A12882" s="5"/>
    </row>
    <row r="12883" spans="1:1" x14ac:dyDescent="0.25">
      <c r="A12883" s="5"/>
    </row>
    <row r="12884" spans="1:1" x14ac:dyDescent="0.25">
      <c r="A12884" s="5"/>
    </row>
    <row r="12885" spans="1:1" x14ac:dyDescent="0.25">
      <c r="A12885" s="5"/>
    </row>
    <row r="12886" spans="1:1" x14ac:dyDescent="0.25">
      <c r="A12886" s="5"/>
    </row>
    <row r="12887" spans="1:1" x14ac:dyDescent="0.25">
      <c r="A12887" s="5"/>
    </row>
    <row r="12888" spans="1:1" x14ac:dyDescent="0.25">
      <c r="A12888" s="5"/>
    </row>
    <row r="12889" spans="1:1" x14ac:dyDescent="0.25">
      <c r="A12889" s="5"/>
    </row>
    <row r="12890" spans="1:1" x14ac:dyDescent="0.25">
      <c r="A12890" s="5"/>
    </row>
    <row r="12891" spans="1:1" x14ac:dyDescent="0.25">
      <c r="A12891" s="5"/>
    </row>
    <row r="12892" spans="1:1" x14ac:dyDescent="0.25">
      <c r="A12892" s="5"/>
    </row>
    <row r="12893" spans="1:1" x14ac:dyDescent="0.25">
      <c r="A12893" s="5"/>
    </row>
    <row r="12894" spans="1:1" x14ac:dyDescent="0.25">
      <c r="A12894" s="5"/>
    </row>
    <row r="12895" spans="1:1" x14ac:dyDescent="0.25">
      <c r="A12895" s="5"/>
    </row>
    <row r="12896" spans="1:1" x14ac:dyDescent="0.25">
      <c r="A12896" s="5"/>
    </row>
    <row r="12897" spans="1:1" x14ac:dyDescent="0.25">
      <c r="A12897" s="5"/>
    </row>
    <row r="12898" spans="1:1" x14ac:dyDescent="0.25">
      <c r="A12898" s="5"/>
    </row>
    <row r="12899" spans="1:1" x14ac:dyDescent="0.25">
      <c r="A12899" s="5"/>
    </row>
    <row r="12900" spans="1:1" x14ac:dyDescent="0.25">
      <c r="A12900" s="5"/>
    </row>
    <row r="12901" spans="1:1" x14ac:dyDescent="0.25">
      <c r="A12901" s="5"/>
    </row>
    <row r="12902" spans="1:1" x14ac:dyDescent="0.25">
      <c r="A12902" s="5"/>
    </row>
    <row r="12903" spans="1:1" x14ac:dyDescent="0.25">
      <c r="A12903" s="5"/>
    </row>
    <row r="12904" spans="1:1" x14ac:dyDescent="0.25">
      <c r="A12904" s="5"/>
    </row>
    <row r="12905" spans="1:1" x14ac:dyDescent="0.25">
      <c r="A12905" s="5"/>
    </row>
    <row r="12906" spans="1:1" x14ac:dyDescent="0.25">
      <c r="A12906" s="5"/>
    </row>
    <row r="12907" spans="1:1" x14ac:dyDescent="0.25">
      <c r="A12907" s="5"/>
    </row>
    <row r="12908" spans="1:1" x14ac:dyDescent="0.25">
      <c r="A12908" s="5"/>
    </row>
    <row r="12909" spans="1:1" x14ac:dyDescent="0.25">
      <c r="A12909" s="5"/>
    </row>
    <row r="12910" spans="1:1" x14ac:dyDescent="0.25">
      <c r="A12910" s="5"/>
    </row>
    <row r="12911" spans="1:1" x14ac:dyDescent="0.25">
      <c r="A12911" s="5"/>
    </row>
    <row r="12912" spans="1:1" x14ac:dyDescent="0.25">
      <c r="A12912" s="5"/>
    </row>
    <row r="12913" spans="1:1" x14ac:dyDescent="0.25">
      <c r="A12913" s="5"/>
    </row>
    <row r="12914" spans="1:1" x14ac:dyDescent="0.25">
      <c r="A12914" s="5"/>
    </row>
    <row r="12915" spans="1:1" x14ac:dyDescent="0.25">
      <c r="A12915" s="5"/>
    </row>
    <row r="12916" spans="1:1" x14ac:dyDescent="0.25">
      <c r="A12916" s="5"/>
    </row>
    <row r="12917" spans="1:1" x14ac:dyDescent="0.25">
      <c r="A12917" s="5"/>
    </row>
    <row r="12918" spans="1:1" x14ac:dyDescent="0.25">
      <c r="A12918" s="5"/>
    </row>
    <row r="12919" spans="1:1" x14ac:dyDescent="0.25">
      <c r="A12919" s="5"/>
    </row>
    <row r="12920" spans="1:1" x14ac:dyDescent="0.25">
      <c r="A12920" s="5"/>
    </row>
    <row r="12921" spans="1:1" x14ac:dyDescent="0.25">
      <c r="A12921" s="5"/>
    </row>
    <row r="12922" spans="1:1" x14ac:dyDescent="0.25">
      <c r="A12922" s="5"/>
    </row>
    <row r="12923" spans="1:1" x14ac:dyDescent="0.25">
      <c r="A12923" s="5"/>
    </row>
    <row r="12924" spans="1:1" x14ac:dyDescent="0.25">
      <c r="A12924" s="5"/>
    </row>
    <row r="12925" spans="1:1" x14ac:dyDescent="0.25">
      <c r="A12925" s="5"/>
    </row>
    <row r="12926" spans="1:1" x14ac:dyDescent="0.25">
      <c r="A12926" s="5"/>
    </row>
    <row r="12927" spans="1:1" x14ac:dyDescent="0.25">
      <c r="A12927" s="5"/>
    </row>
    <row r="12928" spans="1:1" x14ac:dyDescent="0.25">
      <c r="A12928" s="5"/>
    </row>
    <row r="12929" spans="1:1" x14ac:dyDescent="0.25">
      <c r="A12929" s="5"/>
    </row>
    <row r="12930" spans="1:1" x14ac:dyDescent="0.25">
      <c r="A12930" s="5"/>
    </row>
    <row r="12931" spans="1:1" x14ac:dyDescent="0.25">
      <c r="A12931" s="5"/>
    </row>
    <row r="12932" spans="1:1" x14ac:dyDescent="0.25">
      <c r="A12932" s="5"/>
    </row>
    <row r="12933" spans="1:1" x14ac:dyDescent="0.25">
      <c r="A12933" s="5"/>
    </row>
    <row r="12934" spans="1:1" x14ac:dyDescent="0.25">
      <c r="A12934" s="5"/>
    </row>
    <row r="12935" spans="1:1" x14ac:dyDescent="0.25">
      <c r="A12935" s="5"/>
    </row>
    <row r="12936" spans="1:1" x14ac:dyDescent="0.25">
      <c r="A12936" s="5"/>
    </row>
    <row r="12937" spans="1:1" x14ac:dyDescent="0.25">
      <c r="A12937" s="5"/>
    </row>
    <row r="12938" spans="1:1" x14ac:dyDescent="0.25">
      <c r="A12938" s="5"/>
    </row>
    <row r="12939" spans="1:1" x14ac:dyDescent="0.25">
      <c r="A12939" s="5"/>
    </row>
    <row r="12940" spans="1:1" x14ac:dyDescent="0.25">
      <c r="A12940" s="5"/>
    </row>
    <row r="12941" spans="1:1" x14ac:dyDescent="0.25">
      <c r="A12941" s="5"/>
    </row>
    <row r="12942" spans="1:1" x14ac:dyDescent="0.25">
      <c r="A12942" s="5"/>
    </row>
    <row r="12943" spans="1:1" x14ac:dyDescent="0.25">
      <c r="A12943" s="5"/>
    </row>
    <row r="12944" spans="1:1" x14ac:dyDescent="0.25">
      <c r="A12944" s="5"/>
    </row>
    <row r="12945" spans="1:1" x14ac:dyDescent="0.25">
      <c r="A12945" s="5"/>
    </row>
    <row r="12946" spans="1:1" x14ac:dyDescent="0.25">
      <c r="A12946" s="5"/>
    </row>
    <row r="12947" spans="1:1" x14ac:dyDescent="0.25">
      <c r="A12947" s="5"/>
    </row>
    <row r="12948" spans="1:1" x14ac:dyDescent="0.25">
      <c r="A12948" s="5"/>
    </row>
    <row r="12949" spans="1:1" x14ac:dyDescent="0.25">
      <c r="A12949" s="5"/>
    </row>
    <row r="12950" spans="1:1" x14ac:dyDescent="0.25">
      <c r="A12950" s="5"/>
    </row>
    <row r="12951" spans="1:1" x14ac:dyDescent="0.25">
      <c r="A12951" s="5"/>
    </row>
    <row r="12952" spans="1:1" x14ac:dyDescent="0.25">
      <c r="A12952" s="5"/>
    </row>
    <row r="12953" spans="1:1" x14ac:dyDescent="0.25">
      <c r="A12953" s="5"/>
    </row>
    <row r="12954" spans="1:1" x14ac:dyDescent="0.25">
      <c r="A12954" s="5"/>
    </row>
    <row r="12955" spans="1:1" x14ac:dyDescent="0.25">
      <c r="A12955" s="5"/>
    </row>
    <row r="12956" spans="1:1" x14ac:dyDescent="0.25">
      <c r="A12956" s="5"/>
    </row>
    <row r="12957" spans="1:1" x14ac:dyDescent="0.25">
      <c r="A12957" s="5"/>
    </row>
    <row r="12958" spans="1:1" x14ac:dyDescent="0.25">
      <c r="A12958" s="5"/>
    </row>
    <row r="12959" spans="1:1" x14ac:dyDescent="0.25">
      <c r="A12959" s="5"/>
    </row>
    <row r="12960" spans="1:1" x14ac:dyDescent="0.25">
      <c r="A12960" s="5"/>
    </row>
    <row r="12961" spans="1:1" x14ac:dyDescent="0.25">
      <c r="A12961" s="5"/>
    </row>
    <row r="12962" spans="1:1" x14ac:dyDescent="0.25">
      <c r="A12962" s="5"/>
    </row>
    <row r="12963" spans="1:1" x14ac:dyDescent="0.25">
      <c r="A12963" s="5"/>
    </row>
    <row r="12964" spans="1:1" x14ac:dyDescent="0.25">
      <c r="A12964" s="5"/>
    </row>
    <row r="12965" spans="1:1" x14ac:dyDescent="0.25">
      <c r="A12965" s="5"/>
    </row>
    <row r="12966" spans="1:1" x14ac:dyDescent="0.25">
      <c r="A12966" s="5"/>
    </row>
    <row r="12967" spans="1:1" x14ac:dyDescent="0.25">
      <c r="A12967" s="5"/>
    </row>
    <row r="12968" spans="1:1" x14ac:dyDescent="0.25">
      <c r="A12968" s="5"/>
    </row>
    <row r="12969" spans="1:1" x14ac:dyDescent="0.25">
      <c r="A12969" s="5"/>
    </row>
    <row r="12970" spans="1:1" x14ac:dyDescent="0.25">
      <c r="A12970" s="5"/>
    </row>
    <row r="12971" spans="1:1" x14ac:dyDescent="0.25">
      <c r="A12971" s="5"/>
    </row>
    <row r="12972" spans="1:1" x14ac:dyDescent="0.25">
      <c r="A12972" s="5"/>
    </row>
    <row r="12973" spans="1:1" x14ac:dyDescent="0.25">
      <c r="A12973" s="5"/>
    </row>
    <row r="12974" spans="1:1" x14ac:dyDescent="0.25">
      <c r="A12974" s="5"/>
    </row>
    <row r="12975" spans="1:1" x14ac:dyDescent="0.25">
      <c r="A12975" s="5"/>
    </row>
    <row r="12976" spans="1:1" x14ac:dyDescent="0.25">
      <c r="A12976" s="5"/>
    </row>
    <row r="12977" spans="1:1" x14ac:dyDescent="0.25">
      <c r="A12977" s="5"/>
    </row>
    <row r="12978" spans="1:1" x14ac:dyDescent="0.25">
      <c r="A12978" s="5"/>
    </row>
    <row r="12979" spans="1:1" x14ac:dyDescent="0.25">
      <c r="A12979" s="5"/>
    </row>
    <row r="12980" spans="1:1" x14ac:dyDescent="0.25">
      <c r="A12980" s="5"/>
    </row>
    <row r="12981" spans="1:1" x14ac:dyDescent="0.25">
      <c r="A12981" s="5"/>
    </row>
    <row r="12982" spans="1:1" x14ac:dyDescent="0.25">
      <c r="A12982" s="5"/>
    </row>
    <row r="12983" spans="1:1" x14ac:dyDescent="0.25">
      <c r="A12983" s="5"/>
    </row>
    <row r="12984" spans="1:1" x14ac:dyDescent="0.25">
      <c r="A12984" s="5"/>
    </row>
    <row r="12985" spans="1:1" x14ac:dyDescent="0.25">
      <c r="A12985" s="5"/>
    </row>
    <row r="12986" spans="1:1" x14ac:dyDescent="0.25">
      <c r="A12986" s="5"/>
    </row>
    <row r="12987" spans="1:1" x14ac:dyDescent="0.25">
      <c r="A12987" s="5"/>
    </row>
    <row r="12988" spans="1:1" x14ac:dyDescent="0.25">
      <c r="A12988" s="5"/>
    </row>
    <row r="12989" spans="1:1" x14ac:dyDescent="0.25">
      <c r="A12989" s="5"/>
    </row>
    <row r="12990" spans="1:1" x14ac:dyDescent="0.25">
      <c r="A12990" s="5"/>
    </row>
    <row r="12991" spans="1:1" x14ac:dyDescent="0.25">
      <c r="A12991" s="5"/>
    </row>
    <row r="12992" spans="1:1" x14ac:dyDescent="0.25">
      <c r="A12992" s="5"/>
    </row>
    <row r="12993" spans="1:1" x14ac:dyDescent="0.25">
      <c r="A12993" s="5"/>
    </row>
    <row r="12994" spans="1:1" x14ac:dyDescent="0.25">
      <c r="A12994" s="5"/>
    </row>
    <row r="12995" spans="1:1" x14ac:dyDescent="0.25">
      <c r="A12995" s="5"/>
    </row>
    <row r="12996" spans="1:1" x14ac:dyDescent="0.25">
      <c r="A12996" s="5"/>
    </row>
    <row r="12997" spans="1:1" x14ac:dyDescent="0.25">
      <c r="A12997" s="5"/>
    </row>
    <row r="12998" spans="1:1" x14ac:dyDescent="0.25">
      <c r="A12998" s="5"/>
    </row>
    <row r="12999" spans="1:1" x14ac:dyDescent="0.25">
      <c r="A12999" s="5"/>
    </row>
    <row r="13000" spans="1:1" x14ac:dyDescent="0.25">
      <c r="A13000" s="5"/>
    </row>
    <row r="13001" spans="1:1" x14ac:dyDescent="0.25">
      <c r="A13001" s="5"/>
    </row>
    <row r="13002" spans="1:1" x14ac:dyDescent="0.25">
      <c r="A13002" s="5"/>
    </row>
    <row r="13003" spans="1:1" x14ac:dyDescent="0.25">
      <c r="A13003" s="5"/>
    </row>
    <row r="13004" spans="1:1" x14ac:dyDescent="0.25">
      <c r="A13004" s="5"/>
    </row>
    <row r="13005" spans="1:1" x14ac:dyDescent="0.25">
      <c r="A13005" s="5"/>
    </row>
    <row r="13006" spans="1:1" x14ac:dyDescent="0.25">
      <c r="A13006" s="5"/>
    </row>
    <row r="13007" spans="1:1" x14ac:dyDescent="0.25">
      <c r="A13007" s="5"/>
    </row>
    <row r="13008" spans="1:1" x14ac:dyDescent="0.25">
      <c r="A13008" s="5"/>
    </row>
    <row r="13009" spans="1:1" x14ac:dyDescent="0.25">
      <c r="A13009" s="5"/>
    </row>
    <row r="13010" spans="1:1" x14ac:dyDescent="0.25">
      <c r="A13010" s="5"/>
    </row>
    <row r="13011" spans="1:1" x14ac:dyDescent="0.25">
      <c r="A13011" s="5"/>
    </row>
    <row r="13012" spans="1:1" x14ac:dyDescent="0.25">
      <c r="A13012" s="5"/>
    </row>
    <row r="13013" spans="1:1" x14ac:dyDescent="0.25">
      <c r="A13013" s="5"/>
    </row>
    <row r="13014" spans="1:1" x14ac:dyDescent="0.25">
      <c r="A13014" s="5"/>
    </row>
    <row r="13015" spans="1:1" x14ac:dyDescent="0.25">
      <c r="A13015" s="5"/>
    </row>
    <row r="13016" spans="1:1" x14ac:dyDescent="0.25">
      <c r="A13016" s="5"/>
    </row>
    <row r="13017" spans="1:1" x14ac:dyDescent="0.25">
      <c r="A13017" s="5"/>
    </row>
    <row r="13018" spans="1:1" x14ac:dyDescent="0.25">
      <c r="A13018" s="5"/>
    </row>
    <row r="13019" spans="1:1" x14ac:dyDescent="0.25">
      <c r="A13019" s="5"/>
    </row>
    <row r="13020" spans="1:1" x14ac:dyDescent="0.25">
      <c r="A13020" s="5"/>
    </row>
    <row r="13021" spans="1:1" x14ac:dyDescent="0.25">
      <c r="A13021" s="5"/>
    </row>
    <row r="13022" spans="1:1" x14ac:dyDescent="0.25">
      <c r="A13022" s="5"/>
    </row>
    <row r="13023" spans="1:1" x14ac:dyDescent="0.25">
      <c r="A13023" s="5"/>
    </row>
    <row r="13024" spans="1:1" x14ac:dyDescent="0.25">
      <c r="A13024" s="5"/>
    </row>
    <row r="13025" spans="1:1" x14ac:dyDescent="0.25">
      <c r="A13025" s="5"/>
    </row>
    <row r="13026" spans="1:1" x14ac:dyDescent="0.25">
      <c r="A13026" s="5"/>
    </row>
    <row r="13027" spans="1:1" x14ac:dyDescent="0.25">
      <c r="A13027" s="5"/>
    </row>
    <row r="13028" spans="1:1" x14ac:dyDescent="0.25">
      <c r="A13028" s="5"/>
    </row>
    <row r="13029" spans="1:1" x14ac:dyDescent="0.25">
      <c r="A13029" s="5"/>
    </row>
    <row r="13030" spans="1:1" x14ac:dyDescent="0.25">
      <c r="A13030" s="5"/>
    </row>
    <row r="13031" spans="1:1" x14ac:dyDescent="0.25">
      <c r="A13031" s="5"/>
    </row>
    <row r="13032" spans="1:1" x14ac:dyDescent="0.25">
      <c r="A13032" s="5"/>
    </row>
    <row r="13033" spans="1:1" x14ac:dyDescent="0.25">
      <c r="A13033" s="5"/>
    </row>
    <row r="13034" spans="1:1" x14ac:dyDescent="0.25">
      <c r="A13034" s="5"/>
    </row>
    <row r="13035" spans="1:1" x14ac:dyDescent="0.25">
      <c r="A13035" s="5"/>
    </row>
    <row r="13036" spans="1:1" x14ac:dyDescent="0.25">
      <c r="A13036" s="5"/>
    </row>
    <row r="13037" spans="1:1" x14ac:dyDescent="0.25">
      <c r="A13037" s="5"/>
    </row>
    <row r="13038" spans="1:1" x14ac:dyDescent="0.25">
      <c r="A13038" s="5"/>
    </row>
    <row r="13039" spans="1:1" x14ac:dyDescent="0.25">
      <c r="A13039" s="5"/>
    </row>
    <row r="13040" spans="1:1" x14ac:dyDescent="0.25">
      <c r="A13040" s="5"/>
    </row>
    <row r="13041" spans="1:1" x14ac:dyDescent="0.25">
      <c r="A13041" s="5"/>
    </row>
    <row r="13042" spans="1:1" x14ac:dyDescent="0.25">
      <c r="A13042" s="5"/>
    </row>
    <row r="13043" spans="1:1" x14ac:dyDescent="0.25">
      <c r="A13043" s="5"/>
    </row>
    <row r="13044" spans="1:1" x14ac:dyDescent="0.25">
      <c r="A13044" s="5"/>
    </row>
    <row r="13045" spans="1:1" x14ac:dyDescent="0.25">
      <c r="A13045" s="5"/>
    </row>
    <row r="13046" spans="1:1" x14ac:dyDescent="0.25">
      <c r="A13046" s="5"/>
    </row>
    <row r="13047" spans="1:1" x14ac:dyDescent="0.25">
      <c r="A13047" s="5"/>
    </row>
    <row r="13048" spans="1:1" x14ac:dyDescent="0.25">
      <c r="A13048" s="5"/>
    </row>
    <row r="13049" spans="1:1" x14ac:dyDescent="0.25">
      <c r="A13049" s="5"/>
    </row>
    <row r="13050" spans="1:1" x14ac:dyDescent="0.25">
      <c r="A13050" s="5"/>
    </row>
    <row r="13051" spans="1:1" x14ac:dyDescent="0.25">
      <c r="A13051" s="5"/>
    </row>
    <row r="13052" spans="1:1" x14ac:dyDescent="0.25">
      <c r="A13052" s="5"/>
    </row>
    <row r="13053" spans="1:1" x14ac:dyDescent="0.25">
      <c r="A13053" s="5"/>
    </row>
    <row r="13054" spans="1:1" x14ac:dyDescent="0.25">
      <c r="A13054" s="5"/>
    </row>
    <row r="13055" spans="1:1" x14ac:dyDescent="0.25">
      <c r="A13055" s="5"/>
    </row>
    <row r="13056" spans="1:1" x14ac:dyDescent="0.25">
      <c r="A13056" s="5"/>
    </row>
    <row r="13057" spans="1:1" x14ac:dyDescent="0.25">
      <c r="A13057" s="5"/>
    </row>
    <row r="13058" spans="1:1" x14ac:dyDescent="0.25">
      <c r="A13058" s="5"/>
    </row>
    <row r="13059" spans="1:1" x14ac:dyDescent="0.25">
      <c r="A13059" s="5"/>
    </row>
    <row r="13060" spans="1:1" x14ac:dyDescent="0.25">
      <c r="A13060" s="5"/>
    </row>
    <row r="13061" spans="1:1" x14ac:dyDescent="0.25">
      <c r="A13061" s="5"/>
    </row>
    <row r="13062" spans="1:1" x14ac:dyDescent="0.25">
      <c r="A13062" s="5"/>
    </row>
    <row r="13063" spans="1:1" x14ac:dyDescent="0.25">
      <c r="A13063" s="5"/>
    </row>
    <row r="13064" spans="1:1" x14ac:dyDescent="0.25">
      <c r="A13064" s="5"/>
    </row>
    <row r="13065" spans="1:1" x14ac:dyDescent="0.25">
      <c r="A13065" s="5"/>
    </row>
    <row r="13066" spans="1:1" x14ac:dyDescent="0.25">
      <c r="A13066" s="5"/>
    </row>
    <row r="13067" spans="1:1" x14ac:dyDescent="0.25">
      <c r="A13067" s="5"/>
    </row>
    <row r="13068" spans="1:1" x14ac:dyDescent="0.25">
      <c r="A13068" s="5"/>
    </row>
    <row r="13069" spans="1:1" x14ac:dyDescent="0.25">
      <c r="A13069" s="5"/>
    </row>
    <row r="13070" spans="1:1" x14ac:dyDescent="0.25">
      <c r="A13070" s="5"/>
    </row>
    <row r="13071" spans="1:1" x14ac:dyDescent="0.25">
      <c r="A13071" s="5"/>
    </row>
    <row r="13072" spans="1:1" x14ac:dyDescent="0.25">
      <c r="A13072" s="5"/>
    </row>
    <row r="13073" spans="1:1" x14ac:dyDescent="0.25">
      <c r="A13073" s="5"/>
    </row>
    <row r="13074" spans="1:1" x14ac:dyDescent="0.25">
      <c r="A13074" s="5"/>
    </row>
    <row r="13075" spans="1:1" x14ac:dyDescent="0.25">
      <c r="A13075" s="5"/>
    </row>
    <row r="13076" spans="1:1" x14ac:dyDescent="0.25">
      <c r="A13076" s="5"/>
    </row>
    <row r="13077" spans="1:1" x14ac:dyDescent="0.25">
      <c r="A13077" s="5"/>
    </row>
    <row r="13078" spans="1:1" x14ac:dyDescent="0.25">
      <c r="A13078" s="5"/>
    </row>
    <row r="13079" spans="1:1" x14ac:dyDescent="0.25">
      <c r="A13079" s="5"/>
    </row>
    <row r="13080" spans="1:1" x14ac:dyDescent="0.25">
      <c r="A13080" s="5"/>
    </row>
    <row r="13081" spans="1:1" x14ac:dyDescent="0.25">
      <c r="A13081" s="5"/>
    </row>
    <row r="13082" spans="1:1" x14ac:dyDescent="0.25">
      <c r="A13082" s="5"/>
    </row>
    <row r="13083" spans="1:1" x14ac:dyDescent="0.25">
      <c r="A13083" s="5"/>
    </row>
    <row r="13084" spans="1:1" x14ac:dyDescent="0.25">
      <c r="A13084" s="5"/>
    </row>
    <row r="13085" spans="1:1" x14ac:dyDescent="0.25">
      <c r="A13085" s="5"/>
    </row>
    <row r="13086" spans="1:1" x14ac:dyDescent="0.25">
      <c r="A13086" s="5"/>
    </row>
    <row r="13087" spans="1:1" x14ac:dyDescent="0.25">
      <c r="A13087" s="5"/>
    </row>
    <row r="13088" spans="1:1" x14ac:dyDescent="0.25">
      <c r="A13088" s="5"/>
    </row>
    <row r="13089" spans="1:1" x14ac:dyDescent="0.25">
      <c r="A13089" s="5"/>
    </row>
    <row r="13090" spans="1:1" x14ac:dyDescent="0.25">
      <c r="A13090" s="5"/>
    </row>
    <row r="13091" spans="1:1" x14ac:dyDescent="0.25">
      <c r="A13091" s="5"/>
    </row>
    <row r="13092" spans="1:1" x14ac:dyDescent="0.25">
      <c r="A13092" s="5"/>
    </row>
    <row r="13093" spans="1:1" x14ac:dyDescent="0.25">
      <c r="A13093" s="5"/>
    </row>
    <row r="13094" spans="1:1" x14ac:dyDescent="0.25">
      <c r="A13094" s="5"/>
    </row>
    <row r="13095" spans="1:1" x14ac:dyDescent="0.25">
      <c r="A13095" s="5"/>
    </row>
    <row r="13096" spans="1:1" x14ac:dyDescent="0.25">
      <c r="A13096" s="5"/>
    </row>
    <row r="13097" spans="1:1" x14ac:dyDescent="0.25">
      <c r="A13097" s="5"/>
    </row>
    <row r="13098" spans="1:1" x14ac:dyDescent="0.25">
      <c r="A13098" s="5"/>
    </row>
    <row r="13099" spans="1:1" x14ac:dyDescent="0.25">
      <c r="A13099" s="5"/>
    </row>
    <row r="13100" spans="1:1" x14ac:dyDescent="0.25">
      <c r="A13100" s="5"/>
    </row>
    <row r="13101" spans="1:1" x14ac:dyDescent="0.25">
      <c r="A13101" s="5"/>
    </row>
    <row r="13102" spans="1:1" x14ac:dyDescent="0.25">
      <c r="A13102" s="5"/>
    </row>
    <row r="13103" spans="1:1" x14ac:dyDescent="0.25">
      <c r="A13103" s="5"/>
    </row>
    <row r="13104" spans="1:1" x14ac:dyDescent="0.25">
      <c r="A13104" s="5"/>
    </row>
    <row r="13105" spans="1:1" x14ac:dyDescent="0.25">
      <c r="A13105" s="5"/>
    </row>
    <row r="13106" spans="1:1" x14ac:dyDescent="0.25">
      <c r="A13106" s="5"/>
    </row>
    <row r="13107" spans="1:1" x14ac:dyDescent="0.25">
      <c r="A13107" s="5"/>
    </row>
    <row r="13108" spans="1:1" x14ac:dyDescent="0.25">
      <c r="A13108" s="5"/>
    </row>
    <row r="13109" spans="1:1" x14ac:dyDescent="0.25">
      <c r="A13109" s="5"/>
    </row>
    <row r="13110" spans="1:1" x14ac:dyDescent="0.25">
      <c r="A13110" s="5"/>
    </row>
    <row r="13111" spans="1:1" x14ac:dyDescent="0.25">
      <c r="A13111" s="5"/>
    </row>
    <row r="13112" spans="1:1" x14ac:dyDescent="0.25">
      <c r="A13112" s="5"/>
    </row>
    <row r="13113" spans="1:1" x14ac:dyDescent="0.25">
      <c r="A13113" s="5"/>
    </row>
    <row r="13114" spans="1:1" x14ac:dyDescent="0.25">
      <c r="A13114" s="5"/>
    </row>
    <row r="13115" spans="1:1" x14ac:dyDescent="0.25">
      <c r="A13115" s="5"/>
    </row>
    <row r="13116" spans="1:1" x14ac:dyDescent="0.25">
      <c r="A13116" s="5"/>
    </row>
    <row r="13117" spans="1:1" x14ac:dyDescent="0.25">
      <c r="A13117" s="5"/>
    </row>
    <row r="13118" spans="1:1" x14ac:dyDescent="0.25">
      <c r="A13118" s="5"/>
    </row>
    <row r="13119" spans="1:1" x14ac:dyDescent="0.25">
      <c r="A13119" s="5"/>
    </row>
    <row r="13120" spans="1:1" x14ac:dyDescent="0.25">
      <c r="A13120" s="5"/>
    </row>
    <row r="13121" spans="1:1" x14ac:dyDescent="0.25">
      <c r="A13121" s="5"/>
    </row>
    <row r="13122" spans="1:1" x14ac:dyDescent="0.25">
      <c r="A13122" s="5"/>
    </row>
    <row r="13123" spans="1:1" x14ac:dyDescent="0.25">
      <c r="A13123" s="5"/>
    </row>
    <row r="13124" spans="1:1" x14ac:dyDescent="0.25">
      <c r="A13124" s="5"/>
    </row>
    <row r="13125" spans="1:1" x14ac:dyDescent="0.25">
      <c r="A13125" s="5"/>
    </row>
    <row r="13126" spans="1:1" x14ac:dyDescent="0.25">
      <c r="A13126" s="5"/>
    </row>
    <row r="13127" spans="1:1" x14ac:dyDescent="0.25">
      <c r="A13127" s="5"/>
    </row>
    <row r="13128" spans="1:1" x14ac:dyDescent="0.25">
      <c r="A13128" s="5"/>
    </row>
    <row r="13129" spans="1:1" x14ac:dyDescent="0.25">
      <c r="A13129" s="5"/>
    </row>
    <row r="13130" spans="1:1" x14ac:dyDescent="0.25">
      <c r="A13130" s="5"/>
    </row>
    <row r="13131" spans="1:1" x14ac:dyDescent="0.25">
      <c r="A13131" s="5"/>
    </row>
    <row r="13132" spans="1:1" x14ac:dyDescent="0.25">
      <c r="A13132" s="5"/>
    </row>
    <row r="13133" spans="1:1" x14ac:dyDescent="0.25">
      <c r="A13133" s="5"/>
    </row>
    <row r="13134" spans="1:1" x14ac:dyDescent="0.25">
      <c r="A13134" s="5"/>
    </row>
    <row r="13135" spans="1:1" x14ac:dyDescent="0.25">
      <c r="A13135" s="5"/>
    </row>
    <row r="13136" spans="1:1" x14ac:dyDescent="0.25">
      <c r="A13136" s="5"/>
    </row>
    <row r="13137" spans="1:1" x14ac:dyDescent="0.25">
      <c r="A13137" s="5"/>
    </row>
    <row r="13138" spans="1:1" x14ac:dyDescent="0.25">
      <c r="A13138" s="5"/>
    </row>
    <row r="13139" spans="1:1" x14ac:dyDescent="0.25">
      <c r="A13139" s="5"/>
    </row>
    <row r="13140" spans="1:1" x14ac:dyDescent="0.25">
      <c r="A13140" s="5"/>
    </row>
    <row r="13141" spans="1:1" x14ac:dyDescent="0.25">
      <c r="A13141" s="5"/>
    </row>
    <row r="13142" spans="1:1" x14ac:dyDescent="0.25">
      <c r="A13142" s="5"/>
    </row>
    <row r="13143" spans="1:1" x14ac:dyDescent="0.25">
      <c r="A13143" s="5"/>
    </row>
    <row r="13144" spans="1:1" x14ac:dyDescent="0.25">
      <c r="A13144" s="5"/>
    </row>
    <row r="13145" spans="1:1" x14ac:dyDescent="0.25">
      <c r="A13145" s="5"/>
    </row>
    <row r="13146" spans="1:1" x14ac:dyDescent="0.25">
      <c r="A13146" s="5"/>
    </row>
    <row r="13147" spans="1:1" x14ac:dyDescent="0.25">
      <c r="A13147" s="5"/>
    </row>
    <row r="13148" spans="1:1" x14ac:dyDescent="0.25">
      <c r="A13148" s="5"/>
    </row>
    <row r="13149" spans="1:1" x14ac:dyDescent="0.25">
      <c r="A13149" s="5"/>
    </row>
    <row r="13150" spans="1:1" x14ac:dyDescent="0.25">
      <c r="A13150" s="5"/>
    </row>
    <row r="13151" spans="1:1" x14ac:dyDescent="0.25">
      <c r="A13151" s="5"/>
    </row>
    <row r="13152" spans="1:1" x14ac:dyDescent="0.25">
      <c r="A13152" s="5"/>
    </row>
    <row r="13153" spans="1:1" x14ac:dyDescent="0.25">
      <c r="A13153" s="5"/>
    </row>
    <row r="13154" spans="1:1" x14ac:dyDescent="0.25">
      <c r="A13154" s="5"/>
    </row>
    <row r="13155" spans="1:1" x14ac:dyDescent="0.25">
      <c r="A13155" s="5"/>
    </row>
    <row r="13156" spans="1:1" x14ac:dyDescent="0.25">
      <c r="A13156" s="5"/>
    </row>
    <row r="13157" spans="1:1" x14ac:dyDescent="0.25">
      <c r="A13157" s="5"/>
    </row>
    <row r="13158" spans="1:1" x14ac:dyDescent="0.25">
      <c r="A13158" s="5"/>
    </row>
    <row r="13159" spans="1:1" x14ac:dyDescent="0.25">
      <c r="A13159" s="5"/>
    </row>
    <row r="13160" spans="1:1" x14ac:dyDescent="0.25">
      <c r="A13160" s="5"/>
    </row>
    <row r="13161" spans="1:1" x14ac:dyDescent="0.25">
      <c r="A13161" s="5"/>
    </row>
    <row r="13162" spans="1:1" x14ac:dyDescent="0.25">
      <c r="A13162" s="5"/>
    </row>
    <row r="13163" spans="1:1" x14ac:dyDescent="0.25">
      <c r="A13163" s="5"/>
    </row>
    <row r="13164" spans="1:1" x14ac:dyDescent="0.25">
      <c r="A13164" s="5"/>
    </row>
    <row r="13165" spans="1:1" x14ac:dyDescent="0.25">
      <c r="A13165" s="5"/>
    </row>
    <row r="13166" spans="1:1" x14ac:dyDescent="0.25">
      <c r="A13166" s="5"/>
    </row>
    <row r="13167" spans="1:1" x14ac:dyDescent="0.25">
      <c r="A13167" s="5"/>
    </row>
    <row r="13168" spans="1:1" x14ac:dyDescent="0.25">
      <c r="A13168" s="5"/>
    </row>
    <row r="13169" spans="1:1" x14ac:dyDescent="0.25">
      <c r="A13169" s="5"/>
    </row>
    <row r="13170" spans="1:1" x14ac:dyDescent="0.25">
      <c r="A13170" s="5"/>
    </row>
    <row r="13171" spans="1:1" x14ac:dyDescent="0.25">
      <c r="A13171" s="5"/>
    </row>
    <row r="13172" spans="1:1" x14ac:dyDescent="0.25">
      <c r="A13172" s="5"/>
    </row>
    <row r="13173" spans="1:1" x14ac:dyDescent="0.25">
      <c r="A13173" s="5"/>
    </row>
    <row r="13174" spans="1:1" x14ac:dyDescent="0.25">
      <c r="A13174" s="5"/>
    </row>
    <row r="13175" spans="1:1" x14ac:dyDescent="0.25">
      <c r="A13175" s="5"/>
    </row>
    <row r="13176" spans="1:1" x14ac:dyDescent="0.25">
      <c r="A13176" s="5"/>
    </row>
    <row r="13177" spans="1:1" x14ac:dyDescent="0.25">
      <c r="A13177" s="5"/>
    </row>
    <row r="13178" spans="1:1" x14ac:dyDescent="0.25">
      <c r="A13178" s="5"/>
    </row>
    <row r="13179" spans="1:1" x14ac:dyDescent="0.25">
      <c r="A13179" s="5"/>
    </row>
    <row r="13180" spans="1:1" x14ac:dyDescent="0.25">
      <c r="A13180" s="5"/>
    </row>
    <row r="13181" spans="1:1" x14ac:dyDescent="0.25">
      <c r="A13181" s="5"/>
    </row>
    <row r="13182" spans="1:1" x14ac:dyDescent="0.25">
      <c r="A13182" s="5"/>
    </row>
    <row r="13183" spans="1:1" x14ac:dyDescent="0.25">
      <c r="A13183" s="5"/>
    </row>
    <row r="13184" spans="1:1" x14ac:dyDescent="0.25">
      <c r="A13184" s="5"/>
    </row>
    <row r="13185" spans="1:1" x14ac:dyDescent="0.25">
      <c r="A13185" s="5"/>
    </row>
    <row r="13186" spans="1:1" x14ac:dyDescent="0.25">
      <c r="A13186" s="5"/>
    </row>
    <row r="13187" spans="1:1" x14ac:dyDescent="0.25">
      <c r="A13187" s="5"/>
    </row>
    <row r="13188" spans="1:1" x14ac:dyDescent="0.25">
      <c r="A13188" s="5"/>
    </row>
    <row r="13189" spans="1:1" x14ac:dyDescent="0.25">
      <c r="A13189" s="5"/>
    </row>
    <row r="13190" spans="1:1" x14ac:dyDescent="0.25">
      <c r="A13190" s="5"/>
    </row>
    <row r="13191" spans="1:1" x14ac:dyDescent="0.25">
      <c r="A13191" s="5"/>
    </row>
    <row r="13192" spans="1:1" x14ac:dyDescent="0.25">
      <c r="A13192" s="5"/>
    </row>
    <row r="13193" spans="1:1" x14ac:dyDescent="0.25">
      <c r="A13193" s="5"/>
    </row>
    <row r="13194" spans="1:1" x14ac:dyDescent="0.25">
      <c r="A13194" s="5"/>
    </row>
    <row r="13195" spans="1:1" x14ac:dyDescent="0.25">
      <c r="A13195" s="5"/>
    </row>
    <row r="13196" spans="1:1" x14ac:dyDescent="0.25">
      <c r="A13196" s="5"/>
    </row>
    <row r="13197" spans="1:1" x14ac:dyDescent="0.25">
      <c r="A13197" s="5"/>
    </row>
    <row r="13198" spans="1:1" x14ac:dyDescent="0.25">
      <c r="A13198" s="5"/>
    </row>
    <row r="13199" spans="1:1" x14ac:dyDescent="0.25">
      <c r="A13199" s="5"/>
    </row>
    <row r="13200" spans="1:1" x14ac:dyDescent="0.25">
      <c r="A13200" s="5"/>
    </row>
    <row r="13201" spans="1:1" x14ac:dyDescent="0.25">
      <c r="A13201" s="5"/>
    </row>
    <row r="13202" spans="1:1" x14ac:dyDescent="0.25">
      <c r="A13202" s="5"/>
    </row>
    <row r="13203" spans="1:1" x14ac:dyDescent="0.25">
      <c r="A13203" s="5"/>
    </row>
    <row r="13204" spans="1:1" x14ac:dyDescent="0.25">
      <c r="A13204" s="5"/>
    </row>
    <row r="13205" spans="1:1" x14ac:dyDescent="0.25">
      <c r="A13205" s="5"/>
    </row>
    <row r="13206" spans="1:1" x14ac:dyDescent="0.25">
      <c r="A13206" s="5"/>
    </row>
    <row r="13207" spans="1:1" x14ac:dyDescent="0.25">
      <c r="A13207" s="5"/>
    </row>
    <row r="13208" spans="1:1" x14ac:dyDescent="0.25">
      <c r="A13208" s="5"/>
    </row>
    <row r="13209" spans="1:1" x14ac:dyDescent="0.25">
      <c r="A13209" s="5"/>
    </row>
    <row r="13210" spans="1:1" x14ac:dyDescent="0.25">
      <c r="A13210" s="5"/>
    </row>
    <row r="13211" spans="1:1" x14ac:dyDescent="0.25">
      <c r="A13211" s="5"/>
    </row>
    <row r="13212" spans="1:1" x14ac:dyDescent="0.25">
      <c r="A13212" s="5"/>
    </row>
    <row r="13213" spans="1:1" x14ac:dyDescent="0.25">
      <c r="A13213" s="5"/>
    </row>
    <row r="13214" spans="1:1" x14ac:dyDescent="0.25">
      <c r="A13214" s="5"/>
    </row>
    <row r="13215" spans="1:1" x14ac:dyDescent="0.25">
      <c r="A13215" s="5"/>
    </row>
    <row r="13216" spans="1:1" x14ac:dyDescent="0.25">
      <c r="A13216" s="5"/>
    </row>
    <row r="13217" spans="1:1" x14ac:dyDescent="0.25">
      <c r="A13217" s="5"/>
    </row>
    <row r="13218" spans="1:1" x14ac:dyDescent="0.25">
      <c r="A13218" s="5"/>
    </row>
    <row r="13219" spans="1:1" x14ac:dyDescent="0.25">
      <c r="A13219" s="5"/>
    </row>
    <row r="13220" spans="1:1" x14ac:dyDescent="0.25">
      <c r="A13220" s="5"/>
    </row>
    <row r="13221" spans="1:1" x14ac:dyDescent="0.25">
      <c r="A13221" s="5"/>
    </row>
    <row r="13222" spans="1:1" x14ac:dyDescent="0.25">
      <c r="A13222" s="5"/>
    </row>
    <row r="13223" spans="1:1" x14ac:dyDescent="0.25">
      <c r="A13223" s="5"/>
    </row>
    <row r="13224" spans="1:1" x14ac:dyDescent="0.25">
      <c r="A13224" s="5"/>
    </row>
    <row r="13225" spans="1:1" x14ac:dyDescent="0.25">
      <c r="A13225" s="5"/>
    </row>
    <row r="13226" spans="1:1" x14ac:dyDescent="0.25">
      <c r="A13226" s="5"/>
    </row>
    <row r="13227" spans="1:1" x14ac:dyDescent="0.25">
      <c r="A13227" s="5"/>
    </row>
    <row r="13228" spans="1:1" x14ac:dyDescent="0.25">
      <c r="A13228" s="5"/>
    </row>
    <row r="13229" spans="1:1" x14ac:dyDescent="0.25">
      <c r="A13229" s="5"/>
    </row>
    <row r="13230" spans="1:1" x14ac:dyDescent="0.25">
      <c r="A13230" s="5"/>
    </row>
    <row r="13231" spans="1:1" x14ac:dyDescent="0.25">
      <c r="A13231" s="5"/>
    </row>
    <row r="13232" spans="1:1" x14ac:dyDescent="0.25">
      <c r="A13232" s="5"/>
    </row>
    <row r="13233" spans="1:1" x14ac:dyDescent="0.25">
      <c r="A13233" s="5"/>
    </row>
    <row r="13234" spans="1:1" x14ac:dyDescent="0.25">
      <c r="A13234" s="5"/>
    </row>
    <row r="13235" spans="1:1" x14ac:dyDescent="0.25">
      <c r="A13235" s="5"/>
    </row>
    <row r="13236" spans="1:1" x14ac:dyDescent="0.25">
      <c r="A13236" s="5"/>
    </row>
    <row r="13237" spans="1:1" x14ac:dyDescent="0.25">
      <c r="A13237" s="5"/>
    </row>
    <row r="13238" spans="1:1" x14ac:dyDescent="0.25">
      <c r="A13238" s="5"/>
    </row>
    <row r="13239" spans="1:1" x14ac:dyDescent="0.25">
      <c r="A13239" s="5"/>
    </row>
    <row r="13240" spans="1:1" x14ac:dyDescent="0.25">
      <c r="A13240" s="5"/>
    </row>
    <row r="13241" spans="1:1" x14ac:dyDescent="0.25">
      <c r="A13241" s="5"/>
    </row>
    <row r="13242" spans="1:1" x14ac:dyDescent="0.25">
      <c r="A13242" s="5"/>
    </row>
    <row r="13243" spans="1:1" x14ac:dyDescent="0.25">
      <c r="A13243" s="5"/>
    </row>
    <row r="13244" spans="1:1" x14ac:dyDescent="0.25">
      <c r="A13244" s="5"/>
    </row>
    <row r="13245" spans="1:1" x14ac:dyDescent="0.25">
      <c r="A13245" s="5"/>
    </row>
    <row r="13246" spans="1:1" x14ac:dyDescent="0.25">
      <c r="A13246" s="5"/>
    </row>
    <row r="13247" spans="1:1" x14ac:dyDescent="0.25">
      <c r="A13247" s="5"/>
    </row>
    <row r="13248" spans="1:1" x14ac:dyDescent="0.25">
      <c r="A13248" s="5"/>
    </row>
    <row r="13249" spans="1:1" x14ac:dyDescent="0.25">
      <c r="A13249" s="5"/>
    </row>
    <row r="13250" spans="1:1" x14ac:dyDescent="0.25">
      <c r="A13250" s="5"/>
    </row>
    <row r="13251" spans="1:1" x14ac:dyDescent="0.25">
      <c r="A13251" s="5"/>
    </row>
    <row r="13252" spans="1:1" x14ac:dyDescent="0.25">
      <c r="A13252" s="5"/>
    </row>
    <row r="13253" spans="1:1" x14ac:dyDescent="0.25">
      <c r="A13253" s="5"/>
    </row>
    <row r="13254" spans="1:1" x14ac:dyDescent="0.25">
      <c r="A13254" s="5"/>
    </row>
    <row r="13255" spans="1:1" x14ac:dyDescent="0.25">
      <c r="A13255" s="5"/>
    </row>
    <row r="13256" spans="1:1" x14ac:dyDescent="0.25">
      <c r="A13256" s="5"/>
    </row>
    <row r="13257" spans="1:1" x14ac:dyDescent="0.25">
      <c r="A13257" s="5"/>
    </row>
    <row r="13258" spans="1:1" x14ac:dyDescent="0.25">
      <c r="A13258" s="5"/>
    </row>
    <row r="13259" spans="1:1" x14ac:dyDescent="0.25">
      <c r="A13259" s="5"/>
    </row>
    <row r="13260" spans="1:1" x14ac:dyDescent="0.25">
      <c r="A13260" s="5"/>
    </row>
    <row r="13261" spans="1:1" x14ac:dyDescent="0.25">
      <c r="A13261" s="5"/>
    </row>
    <row r="13262" spans="1:1" x14ac:dyDescent="0.25">
      <c r="A13262" s="5"/>
    </row>
    <row r="13263" spans="1:1" x14ac:dyDescent="0.25">
      <c r="A13263" s="5"/>
    </row>
    <row r="13264" spans="1:1" x14ac:dyDescent="0.25">
      <c r="A13264" s="5"/>
    </row>
    <row r="13265" spans="1:1" x14ac:dyDescent="0.25">
      <c r="A13265" s="5"/>
    </row>
    <row r="13266" spans="1:1" x14ac:dyDescent="0.25">
      <c r="A13266" s="5"/>
    </row>
    <row r="13267" spans="1:1" x14ac:dyDescent="0.25">
      <c r="A13267" s="5"/>
    </row>
    <row r="13268" spans="1:1" x14ac:dyDescent="0.25">
      <c r="A13268" s="5"/>
    </row>
    <row r="13269" spans="1:1" x14ac:dyDescent="0.25">
      <c r="A13269" s="5"/>
    </row>
    <row r="13270" spans="1:1" x14ac:dyDescent="0.25">
      <c r="A13270" s="5"/>
    </row>
    <row r="13271" spans="1:1" x14ac:dyDescent="0.25">
      <c r="A13271" s="5"/>
    </row>
    <row r="13272" spans="1:1" x14ac:dyDescent="0.25">
      <c r="A13272" s="5"/>
    </row>
    <row r="13273" spans="1:1" x14ac:dyDescent="0.25">
      <c r="A13273" s="5"/>
    </row>
    <row r="13274" spans="1:1" x14ac:dyDescent="0.25">
      <c r="A13274" s="5"/>
    </row>
    <row r="13275" spans="1:1" x14ac:dyDescent="0.25">
      <c r="A13275" s="5"/>
    </row>
    <row r="13276" spans="1:1" x14ac:dyDescent="0.25">
      <c r="A13276" s="5"/>
    </row>
    <row r="13277" spans="1:1" x14ac:dyDescent="0.25">
      <c r="A13277" s="5"/>
    </row>
    <row r="13278" spans="1:1" x14ac:dyDescent="0.25">
      <c r="A13278" s="5"/>
    </row>
    <row r="13279" spans="1:1" x14ac:dyDescent="0.25">
      <c r="A13279" s="5"/>
    </row>
    <row r="13280" spans="1:1" x14ac:dyDescent="0.25">
      <c r="A13280" s="5"/>
    </row>
    <row r="13281" spans="1:1" x14ac:dyDescent="0.25">
      <c r="A13281" s="5"/>
    </row>
    <row r="13282" spans="1:1" x14ac:dyDescent="0.25">
      <c r="A13282" s="5"/>
    </row>
    <row r="13283" spans="1:1" x14ac:dyDescent="0.25">
      <c r="A13283" s="5"/>
    </row>
    <row r="13284" spans="1:1" x14ac:dyDescent="0.25">
      <c r="A13284" s="5"/>
    </row>
    <row r="13285" spans="1:1" x14ac:dyDescent="0.25">
      <c r="A13285" s="5"/>
    </row>
    <row r="13286" spans="1:1" x14ac:dyDescent="0.25">
      <c r="A13286" s="5"/>
    </row>
    <row r="13287" spans="1:1" x14ac:dyDescent="0.25">
      <c r="A13287" s="5"/>
    </row>
    <row r="13288" spans="1:1" x14ac:dyDescent="0.25">
      <c r="A13288" s="5"/>
    </row>
    <row r="13289" spans="1:1" x14ac:dyDescent="0.25">
      <c r="A13289" s="5"/>
    </row>
    <row r="13290" spans="1:1" x14ac:dyDescent="0.25">
      <c r="A13290" s="5"/>
    </row>
    <row r="13291" spans="1:1" x14ac:dyDescent="0.25">
      <c r="A13291" s="5"/>
    </row>
    <row r="13292" spans="1:1" x14ac:dyDescent="0.25">
      <c r="A13292" s="5"/>
    </row>
    <row r="13293" spans="1:1" x14ac:dyDescent="0.25">
      <c r="A13293" s="5"/>
    </row>
    <row r="13294" spans="1:1" x14ac:dyDescent="0.25">
      <c r="A13294" s="5"/>
    </row>
    <row r="13295" spans="1:1" x14ac:dyDescent="0.25">
      <c r="A13295" s="5"/>
    </row>
    <row r="13296" spans="1:1" x14ac:dyDescent="0.25">
      <c r="A13296" s="5"/>
    </row>
    <row r="13297" spans="1:1" x14ac:dyDescent="0.25">
      <c r="A13297" s="5"/>
    </row>
    <row r="13298" spans="1:1" x14ac:dyDescent="0.25">
      <c r="A13298" s="5"/>
    </row>
    <row r="13299" spans="1:1" x14ac:dyDescent="0.25">
      <c r="A13299" s="5"/>
    </row>
    <row r="13300" spans="1:1" x14ac:dyDescent="0.25">
      <c r="A13300" s="5"/>
    </row>
    <row r="13301" spans="1:1" x14ac:dyDescent="0.25">
      <c r="A13301" s="5"/>
    </row>
    <row r="13302" spans="1:1" x14ac:dyDescent="0.25">
      <c r="A13302" s="5"/>
    </row>
    <row r="13303" spans="1:1" x14ac:dyDescent="0.25">
      <c r="A13303" s="5"/>
    </row>
    <row r="13304" spans="1:1" x14ac:dyDescent="0.25">
      <c r="A13304" s="5"/>
    </row>
    <row r="13305" spans="1:1" x14ac:dyDescent="0.25">
      <c r="A13305" s="5"/>
    </row>
    <row r="13306" spans="1:1" x14ac:dyDescent="0.25">
      <c r="A13306" s="5"/>
    </row>
    <row r="13307" spans="1:1" x14ac:dyDescent="0.25">
      <c r="A13307" s="5"/>
    </row>
    <row r="13308" spans="1:1" x14ac:dyDescent="0.25">
      <c r="A13308" s="5"/>
    </row>
    <row r="13309" spans="1:1" x14ac:dyDescent="0.25">
      <c r="A13309" s="5"/>
    </row>
    <row r="13310" spans="1:1" x14ac:dyDescent="0.25">
      <c r="A13310" s="5"/>
    </row>
    <row r="13311" spans="1:1" x14ac:dyDescent="0.25">
      <c r="A13311" s="5"/>
    </row>
    <row r="13312" spans="1:1" x14ac:dyDescent="0.25">
      <c r="A13312" s="5"/>
    </row>
    <row r="13313" spans="1:1" x14ac:dyDescent="0.25">
      <c r="A13313" s="5"/>
    </row>
    <row r="13314" spans="1:1" x14ac:dyDescent="0.25">
      <c r="A13314" s="5"/>
    </row>
    <row r="13315" spans="1:1" x14ac:dyDescent="0.25">
      <c r="A13315" s="5"/>
    </row>
    <row r="13316" spans="1:1" x14ac:dyDescent="0.25">
      <c r="A13316" s="5"/>
    </row>
    <row r="13317" spans="1:1" x14ac:dyDescent="0.25">
      <c r="A13317" s="5"/>
    </row>
    <row r="13318" spans="1:1" x14ac:dyDescent="0.25">
      <c r="A13318" s="5"/>
    </row>
    <row r="13319" spans="1:1" x14ac:dyDescent="0.25">
      <c r="A13319" s="5"/>
    </row>
    <row r="13320" spans="1:1" x14ac:dyDescent="0.25">
      <c r="A13320" s="5"/>
    </row>
    <row r="13321" spans="1:1" x14ac:dyDescent="0.25">
      <c r="A13321" s="5"/>
    </row>
    <row r="13322" spans="1:1" x14ac:dyDescent="0.25">
      <c r="A13322" s="5"/>
    </row>
    <row r="13323" spans="1:1" x14ac:dyDescent="0.25">
      <c r="A13323" s="5"/>
    </row>
    <row r="13324" spans="1:1" x14ac:dyDescent="0.25">
      <c r="A13324" s="5"/>
    </row>
    <row r="13325" spans="1:1" x14ac:dyDescent="0.25">
      <c r="A13325" s="5"/>
    </row>
    <row r="13326" spans="1:1" x14ac:dyDescent="0.25">
      <c r="A13326" s="5"/>
    </row>
    <row r="13327" spans="1:1" x14ac:dyDescent="0.25">
      <c r="A13327" s="5"/>
    </row>
    <row r="13328" spans="1:1" x14ac:dyDescent="0.25">
      <c r="A13328" s="5"/>
    </row>
    <row r="13329" spans="1:1" x14ac:dyDescent="0.25">
      <c r="A13329" s="5"/>
    </row>
    <row r="13330" spans="1:1" x14ac:dyDescent="0.25">
      <c r="A13330" s="5"/>
    </row>
    <row r="13331" spans="1:1" x14ac:dyDescent="0.25">
      <c r="A13331" s="5"/>
    </row>
    <row r="13332" spans="1:1" x14ac:dyDescent="0.25">
      <c r="A13332" s="5"/>
    </row>
    <row r="13333" spans="1:1" x14ac:dyDescent="0.25">
      <c r="A13333" s="5"/>
    </row>
    <row r="13334" spans="1:1" x14ac:dyDescent="0.25">
      <c r="A13334" s="5"/>
    </row>
    <row r="13335" spans="1:1" x14ac:dyDescent="0.25">
      <c r="A13335" s="5"/>
    </row>
    <row r="13336" spans="1:1" x14ac:dyDescent="0.25">
      <c r="A13336" s="5"/>
    </row>
    <row r="13337" spans="1:1" x14ac:dyDescent="0.25">
      <c r="A13337" s="5"/>
    </row>
    <row r="13338" spans="1:1" x14ac:dyDescent="0.25">
      <c r="A13338" s="5"/>
    </row>
    <row r="13339" spans="1:1" x14ac:dyDescent="0.25">
      <c r="A13339" s="5"/>
    </row>
    <row r="13340" spans="1:1" x14ac:dyDescent="0.25">
      <c r="A13340" s="5"/>
    </row>
    <row r="13341" spans="1:1" x14ac:dyDescent="0.25">
      <c r="A13341" s="5"/>
    </row>
    <row r="13342" spans="1:1" x14ac:dyDescent="0.25">
      <c r="A13342" s="5"/>
    </row>
    <row r="13343" spans="1:1" x14ac:dyDescent="0.25">
      <c r="A13343" s="5"/>
    </row>
    <row r="13344" spans="1:1" x14ac:dyDescent="0.25">
      <c r="A13344" s="5"/>
    </row>
    <row r="13345" spans="1:1" x14ac:dyDescent="0.25">
      <c r="A13345" s="5"/>
    </row>
    <row r="13346" spans="1:1" x14ac:dyDescent="0.25">
      <c r="A13346" s="5"/>
    </row>
    <row r="13347" spans="1:1" x14ac:dyDescent="0.25">
      <c r="A13347" s="5"/>
    </row>
    <row r="13348" spans="1:1" x14ac:dyDescent="0.25">
      <c r="A13348" s="5"/>
    </row>
    <row r="13349" spans="1:1" x14ac:dyDescent="0.25">
      <c r="A13349" s="5"/>
    </row>
    <row r="13350" spans="1:1" x14ac:dyDescent="0.25">
      <c r="A13350" s="5"/>
    </row>
    <row r="13351" spans="1:1" x14ac:dyDescent="0.25">
      <c r="A13351" s="5"/>
    </row>
    <row r="13352" spans="1:1" x14ac:dyDescent="0.25">
      <c r="A13352" s="5"/>
    </row>
    <row r="13353" spans="1:1" x14ac:dyDescent="0.25">
      <c r="A13353" s="5"/>
    </row>
    <row r="13354" spans="1:1" x14ac:dyDescent="0.25">
      <c r="A13354" s="5"/>
    </row>
    <row r="13355" spans="1:1" x14ac:dyDescent="0.25">
      <c r="A13355" s="5"/>
    </row>
    <row r="13356" spans="1:1" x14ac:dyDescent="0.25">
      <c r="A13356" s="5"/>
    </row>
    <row r="13357" spans="1:1" x14ac:dyDescent="0.25">
      <c r="A13357" s="5"/>
    </row>
    <row r="13358" spans="1:1" x14ac:dyDescent="0.25">
      <c r="A13358" s="5"/>
    </row>
    <row r="13359" spans="1:1" x14ac:dyDescent="0.25">
      <c r="A13359" s="5"/>
    </row>
    <row r="13360" spans="1:1" x14ac:dyDescent="0.25">
      <c r="A13360" s="5"/>
    </row>
    <row r="13361" spans="1:1" x14ac:dyDescent="0.25">
      <c r="A13361" s="5"/>
    </row>
    <row r="13362" spans="1:1" x14ac:dyDescent="0.25">
      <c r="A13362" s="5"/>
    </row>
    <row r="13363" spans="1:1" x14ac:dyDescent="0.25">
      <c r="A13363" s="5"/>
    </row>
    <row r="13364" spans="1:1" x14ac:dyDescent="0.25">
      <c r="A13364" s="5"/>
    </row>
    <row r="13365" spans="1:1" x14ac:dyDescent="0.25">
      <c r="A13365" s="5"/>
    </row>
    <row r="13366" spans="1:1" x14ac:dyDescent="0.25">
      <c r="A13366" s="5"/>
    </row>
    <row r="13367" spans="1:1" x14ac:dyDescent="0.25">
      <c r="A13367" s="5"/>
    </row>
    <row r="13368" spans="1:1" x14ac:dyDescent="0.25">
      <c r="A13368" s="5"/>
    </row>
    <row r="13369" spans="1:1" x14ac:dyDescent="0.25">
      <c r="A13369" s="5"/>
    </row>
    <row r="13370" spans="1:1" x14ac:dyDescent="0.25">
      <c r="A13370" s="5"/>
    </row>
    <row r="13371" spans="1:1" x14ac:dyDescent="0.25">
      <c r="A13371" s="5"/>
    </row>
    <row r="13372" spans="1:1" x14ac:dyDescent="0.25">
      <c r="A13372" s="5"/>
    </row>
    <row r="13373" spans="1:1" x14ac:dyDescent="0.25">
      <c r="A13373" s="5"/>
    </row>
    <row r="13374" spans="1:1" x14ac:dyDescent="0.25">
      <c r="A13374" s="5"/>
    </row>
    <row r="13375" spans="1:1" x14ac:dyDescent="0.25">
      <c r="A13375" s="5"/>
    </row>
    <row r="13376" spans="1:1" x14ac:dyDescent="0.25">
      <c r="A13376" s="5"/>
    </row>
    <row r="13377" spans="1:1" x14ac:dyDescent="0.25">
      <c r="A13377" s="5"/>
    </row>
    <row r="13378" spans="1:1" x14ac:dyDescent="0.25">
      <c r="A13378" s="5"/>
    </row>
    <row r="13379" spans="1:1" x14ac:dyDescent="0.25">
      <c r="A13379" s="5"/>
    </row>
    <row r="13380" spans="1:1" x14ac:dyDescent="0.25">
      <c r="A13380" s="5"/>
    </row>
    <row r="13381" spans="1:1" x14ac:dyDescent="0.25">
      <c r="A13381" s="5"/>
    </row>
    <row r="13382" spans="1:1" x14ac:dyDescent="0.25">
      <c r="A13382" s="5"/>
    </row>
    <row r="13383" spans="1:1" x14ac:dyDescent="0.25">
      <c r="A13383" s="5"/>
    </row>
    <row r="13384" spans="1:1" x14ac:dyDescent="0.25">
      <c r="A13384" s="5"/>
    </row>
    <row r="13385" spans="1:1" x14ac:dyDescent="0.25">
      <c r="A13385" s="5"/>
    </row>
    <row r="13386" spans="1:1" x14ac:dyDescent="0.25">
      <c r="A13386" s="5"/>
    </row>
    <row r="13387" spans="1:1" x14ac:dyDescent="0.25">
      <c r="A13387" s="5"/>
    </row>
    <row r="13388" spans="1:1" x14ac:dyDescent="0.25">
      <c r="A13388" s="5"/>
    </row>
    <row r="13389" spans="1:1" x14ac:dyDescent="0.25">
      <c r="A13389" s="5"/>
    </row>
    <row r="13390" spans="1:1" x14ac:dyDescent="0.25">
      <c r="A13390" s="5"/>
    </row>
    <row r="13391" spans="1:1" x14ac:dyDescent="0.25">
      <c r="A13391" s="5"/>
    </row>
    <row r="13392" spans="1:1" x14ac:dyDescent="0.25">
      <c r="A13392" s="5"/>
    </row>
    <row r="13393" spans="1:1" x14ac:dyDescent="0.25">
      <c r="A13393" s="5"/>
    </row>
    <row r="13394" spans="1:1" x14ac:dyDescent="0.25">
      <c r="A13394" s="5"/>
    </row>
    <row r="13395" spans="1:1" x14ac:dyDescent="0.25">
      <c r="A13395" s="5"/>
    </row>
    <row r="13396" spans="1:1" x14ac:dyDescent="0.25">
      <c r="A13396" s="5"/>
    </row>
    <row r="13397" spans="1:1" x14ac:dyDescent="0.25">
      <c r="A13397" s="5"/>
    </row>
    <row r="13398" spans="1:1" x14ac:dyDescent="0.25">
      <c r="A13398" s="5"/>
    </row>
    <row r="13399" spans="1:1" x14ac:dyDescent="0.25">
      <c r="A13399" s="5"/>
    </row>
    <row r="13400" spans="1:1" x14ac:dyDescent="0.25">
      <c r="A13400" s="5"/>
    </row>
    <row r="13401" spans="1:1" x14ac:dyDescent="0.25">
      <c r="A13401" s="5"/>
    </row>
    <row r="13402" spans="1:1" x14ac:dyDescent="0.25">
      <c r="A13402" s="5"/>
    </row>
    <row r="13403" spans="1:1" x14ac:dyDescent="0.25">
      <c r="A13403" s="5"/>
    </row>
    <row r="13404" spans="1:1" x14ac:dyDescent="0.25">
      <c r="A13404" s="5"/>
    </row>
    <row r="13405" spans="1:1" x14ac:dyDescent="0.25">
      <c r="A13405" s="5"/>
    </row>
    <row r="13406" spans="1:1" x14ac:dyDescent="0.25">
      <c r="A13406" s="5"/>
    </row>
    <row r="13407" spans="1:1" x14ac:dyDescent="0.25">
      <c r="A13407" s="5"/>
    </row>
    <row r="13408" spans="1:1" x14ac:dyDescent="0.25">
      <c r="A13408" s="5"/>
    </row>
    <row r="13409" spans="1:1" x14ac:dyDescent="0.25">
      <c r="A13409" s="5"/>
    </row>
    <row r="13410" spans="1:1" x14ac:dyDescent="0.25">
      <c r="A13410" s="5"/>
    </row>
    <row r="13411" spans="1:1" x14ac:dyDescent="0.25">
      <c r="A13411" s="5"/>
    </row>
    <row r="13412" spans="1:1" x14ac:dyDescent="0.25">
      <c r="A13412" s="5"/>
    </row>
    <row r="13413" spans="1:1" x14ac:dyDescent="0.25">
      <c r="A13413" s="5"/>
    </row>
    <row r="13414" spans="1:1" x14ac:dyDescent="0.25">
      <c r="A13414" s="5"/>
    </row>
    <row r="13415" spans="1:1" x14ac:dyDescent="0.25">
      <c r="A13415" s="5"/>
    </row>
    <row r="13416" spans="1:1" x14ac:dyDescent="0.25">
      <c r="A13416" s="5"/>
    </row>
    <row r="13417" spans="1:1" x14ac:dyDescent="0.25">
      <c r="A13417" s="5"/>
    </row>
    <row r="13418" spans="1:1" x14ac:dyDescent="0.25">
      <c r="A13418" s="5"/>
    </row>
    <row r="13419" spans="1:1" x14ac:dyDescent="0.25">
      <c r="A13419" s="5"/>
    </row>
    <row r="13420" spans="1:1" x14ac:dyDescent="0.25">
      <c r="A13420" s="5"/>
    </row>
    <row r="13421" spans="1:1" x14ac:dyDescent="0.25">
      <c r="A13421" s="5"/>
    </row>
    <row r="13422" spans="1:1" x14ac:dyDescent="0.25">
      <c r="A13422" s="5"/>
    </row>
    <row r="13423" spans="1:1" x14ac:dyDescent="0.25">
      <c r="A13423" s="5"/>
    </row>
    <row r="13424" spans="1:1" x14ac:dyDescent="0.25">
      <c r="A13424" s="5"/>
    </row>
    <row r="13425" spans="1:1" x14ac:dyDescent="0.25">
      <c r="A13425" s="5"/>
    </row>
    <row r="13426" spans="1:1" x14ac:dyDescent="0.25">
      <c r="A13426" s="5"/>
    </row>
    <row r="13427" spans="1:1" x14ac:dyDescent="0.25">
      <c r="A13427" s="5"/>
    </row>
    <row r="13428" spans="1:1" x14ac:dyDescent="0.25">
      <c r="A13428" s="5"/>
    </row>
    <row r="13429" spans="1:1" x14ac:dyDescent="0.25">
      <c r="A13429" s="5"/>
    </row>
    <row r="13430" spans="1:1" x14ac:dyDescent="0.25">
      <c r="A13430" s="5"/>
    </row>
    <row r="13431" spans="1:1" x14ac:dyDescent="0.25">
      <c r="A13431" s="5"/>
    </row>
    <row r="13432" spans="1:1" x14ac:dyDescent="0.25">
      <c r="A13432" s="5"/>
    </row>
    <row r="13433" spans="1:1" x14ac:dyDescent="0.25">
      <c r="A13433" s="5"/>
    </row>
    <row r="13434" spans="1:1" x14ac:dyDescent="0.25">
      <c r="A13434" s="5"/>
    </row>
    <row r="13435" spans="1:1" x14ac:dyDescent="0.25">
      <c r="A13435" s="5"/>
    </row>
    <row r="13436" spans="1:1" x14ac:dyDescent="0.25">
      <c r="A13436" s="5"/>
    </row>
    <row r="13437" spans="1:1" x14ac:dyDescent="0.25">
      <c r="A13437" s="5"/>
    </row>
    <row r="13438" spans="1:1" x14ac:dyDescent="0.25">
      <c r="A13438" s="5"/>
    </row>
    <row r="13439" spans="1:1" x14ac:dyDescent="0.25">
      <c r="A13439" s="5"/>
    </row>
    <row r="13440" spans="1:1" x14ac:dyDescent="0.25">
      <c r="A13440" s="5"/>
    </row>
    <row r="13441" spans="1:1" x14ac:dyDescent="0.25">
      <c r="A13441" s="5"/>
    </row>
    <row r="13442" spans="1:1" x14ac:dyDescent="0.25">
      <c r="A13442" s="5"/>
    </row>
    <row r="13443" spans="1:1" x14ac:dyDescent="0.25">
      <c r="A13443" s="5"/>
    </row>
    <row r="13444" spans="1:1" x14ac:dyDescent="0.25">
      <c r="A13444" s="5"/>
    </row>
    <row r="13445" spans="1:1" x14ac:dyDescent="0.25">
      <c r="A13445" s="5"/>
    </row>
    <row r="13446" spans="1:1" x14ac:dyDescent="0.25">
      <c r="A13446" s="5"/>
    </row>
    <row r="13447" spans="1:1" x14ac:dyDescent="0.25">
      <c r="A13447" s="5"/>
    </row>
    <row r="13448" spans="1:1" x14ac:dyDescent="0.25">
      <c r="A13448" s="5"/>
    </row>
    <row r="13449" spans="1:1" x14ac:dyDescent="0.25">
      <c r="A13449" s="5"/>
    </row>
    <row r="13450" spans="1:1" x14ac:dyDescent="0.25">
      <c r="A13450" s="5"/>
    </row>
    <row r="13451" spans="1:1" x14ac:dyDescent="0.25">
      <c r="A13451" s="5"/>
    </row>
    <row r="13452" spans="1:1" x14ac:dyDescent="0.25">
      <c r="A13452" s="5"/>
    </row>
    <row r="13453" spans="1:1" x14ac:dyDescent="0.25">
      <c r="A13453" s="5"/>
    </row>
    <row r="13454" spans="1:1" x14ac:dyDescent="0.25">
      <c r="A13454" s="5"/>
    </row>
    <row r="13455" spans="1:1" x14ac:dyDescent="0.25">
      <c r="A13455" s="5"/>
    </row>
    <row r="13456" spans="1:1" x14ac:dyDescent="0.25">
      <c r="A13456" s="5"/>
    </row>
    <row r="13457" spans="1:1" x14ac:dyDescent="0.25">
      <c r="A13457" s="5"/>
    </row>
    <row r="13458" spans="1:1" x14ac:dyDescent="0.25">
      <c r="A13458" s="5"/>
    </row>
    <row r="13459" spans="1:1" x14ac:dyDescent="0.25">
      <c r="A13459" s="5"/>
    </row>
    <row r="13460" spans="1:1" x14ac:dyDescent="0.25">
      <c r="A13460" s="5"/>
    </row>
    <row r="13461" spans="1:1" x14ac:dyDescent="0.25">
      <c r="A13461" s="5"/>
    </row>
    <row r="13462" spans="1:1" x14ac:dyDescent="0.25">
      <c r="A13462" s="5"/>
    </row>
    <row r="13463" spans="1:1" x14ac:dyDescent="0.25">
      <c r="A13463" s="5"/>
    </row>
    <row r="13464" spans="1:1" x14ac:dyDescent="0.25">
      <c r="A13464" s="5"/>
    </row>
    <row r="13465" spans="1:1" x14ac:dyDescent="0.25">
      <c r="A13465" s="5"/>
    </row>
    <row r="13466" spans="1:1" x14ac:dyDescent="0.25">
      <c r="A13466" s="5"/>
    </row>
    <row r="13467" spans="1:1" x14ac:dyDescent="0.25">
      <c r="A13467" s="5"/>
    </row>
    <row r="13468" spans="1:1" x14ac:dyDescent="0.25">
      <c r="A13468" s="5"/>
    </row>
    <row r="13469" spans="1:1" x14ac:dyDescent="0.25">
      <c r="A13469" s="5"/>
    </row>
    <row r="13470" spans="1:1" x14ac:dyDescent="0.25">
      <c r="A13470" s="5"/>
    </row>
    <row r="13471" spans="1:1" x14ac:dyDescent="0.25">
      <c r="A13471" s="5"/>
    </row>
    <row r="13472" spans="1:1" x14ac:dyDescent="0.25">
      <c r="A13472" s="5"/>
    </row>
    <row r="13473" spans="1:1" x14ac:dyDescent="0.25">
      <c r="A13473" s="5"/>
    </row>
    <row r="13474" spans="1:1" x14ac:dyDescent="0.25">
      <c r="A13474" s="5"/>
    </row>
    <row r="13475" spans="1:1" x14ac:dyDescent="0.25">
      <c r="A13475" s="5"/>
    </row>
    <row r="13476" spans="1:1" x14ac:dyDescent="0.25">
      <c r="A13476" s="5"/>
    </row>
    <row r="13477" spans="1:1" x14ac:dyDescent="0.25">
      <c r="A13477" s="5"/>
    </row>
    <row r="13478" spans="1:1" x14ac:dyDescent="0.25">
      <c r="A13478" s="5"/>
    </row>
    <row r="13479" spans="1:1" x14ac:dyDescent="0.25">
      <c r="A13479" s="5"/>
    </row>
    <row r="13480" spans="1:1" x14ac:dyDescent="0.25">
      <c r="A13480" s="5"/>
    </row>
    <row r="13481" spans="1:1" x14ac:dyDescent="0.25">
      <c r="A13481" s="5"/>
    </row>
    <row r="13482" spans="1:1" x14ac:dyDescent="0.25">
      <c r="A13482" s="5"/>
    </row>
    <row r="13483" spans="1:1" x14ac:dyDescent="0.25">
      <c r="A13483" s="5"/>
    </row>
    <row r="13484" spans="1:1" x14ac:dyDescent="0.25">
      <c r="A13484" s="5"/>
    </row>
    <row r="13485" spans="1:1" x14ac:dyDescent="0.25">
      <c r="A13485" s="5"/>
    </row>
    <row r="13486" spans="1:1" x14ac:dyDescent="0.25">
      <c r="A13486" s="5"/>
    </row>
    <row r="13487" spans="1:1" x14ac:dyDescent="0.25">
      <c r="A13487" s="5"/>
    </row>
    <row r="13488" spans="1:1" x14ac:dyDescent="0.25">
      <c r="A13488" s="5"/>
    </row>
    <row r="13489" spans="1:1" x14ac:dyDescent="0.25">
      <c r="A13489" s="5"/>
    </row>
    <row r="13490" spans="1:1" x14ac:dyDescent="0.25">
      <c r="A13490" s="5"/>
    </row>
    <row r="13491" spans="1:1" x14ac:dyDescent="0.25">
      <c r="A13491" s="5"/>
    </row>
    <row r="13492" spans="1:1" x14ac:dyDescent="0.25">
      <c r="A13492" s="5"/>
    </row>
    <row r="13493" spans="1:1" x14ac:dyDescent="0.25">
      <c r="A13493" s="5"/>
    </row>
    <row r="13494" spans="1:1" x14ac:dyDescent="0.25">
      <c r="A13494" s="5"/>
    </row>
    <row r="13495" spans="1:1" x14ac:dyDescent="0.25">
      <c r="A13495" s="5"/>
    </row>
    <row r="13496" spans="1:1" x14ac:dyDescent="0.25">
      <c r="A13496" s="5"/>
    </row>
    <row r="13497" spans="1:1" x14ac:dyDescent="0.25">
      <c r="A13497" s="5"/>
    </row>
    <row r="13498" spans="1:1" x14ac:dyDescent="0.25">
      <c r="A13498" s="5"/>
    </row>
    <row r="13499" spans="1:1" x14ac:dyDescent="0.25">
      <c r="A13499" s="5"/>
    </row>
    <row r="13500" spans="1:1" x14ac:dyDescent="0.25">
      <c r="A13500" s="5"/>
    </row>
    <row r="13501" spans="1:1" x14ac:dyDescent="0.25">
      <c r="A13501" s="5"/>
    </row>
    <row r="13502" spans="1:1" x14ac:dyDescent="0.25">
      <c r="A13502" s="5"/>
    </row>
    <row r="13503" spans="1:1" x14ac:dyDescent="0.25">
      <c r="A13503" s="5"/>
    </row>
    <row r="13504" spans="1:1" x14ac:dyDescent="0.25">
      <c r="A13504" s="5"/>
    </row>
    <row r="13505" spans="1:1" x14ac:dyDescent="0.25">
      <c r="A13505" s="5"/>
    </row>
    <row r="13506" spans="1:1" x14ac:dyDescent="0.25">
      <c r="A13506" s="5"/>
    </row>
    <row r="13507" spans="1:1" x14ac:dyDescent="0.25">
      <c r="A13507" s="5"/>
    </row>
    <row r="13508" spans="1:1" x14ac:dyDescent="0.25">
      <c r="A13508" s="5"/>
    </row>
    <row r="13509" spans="1:1" x14ac:dyDescent="0.25">
      <c r="A13509" s="5"/>
    </row>
    <row r="13510" spans="1:1" x14ac:dyDescent="0.25">
      <c r="A13510" s="5"/>
    </row>
    <row r="13511" spans="1:1" x14ac:dyDescent="0.25">
      <c r="A13511" s="5"/>
    </row>
    <row r="13512" spans="1:1" x14ac:dyDescent="0.25">
      <c r="A13512" s="5"/>
    </row>
    <row r="13513" spans="1:1" x14ac:dyDescent="0.25">
      <c r="A13513" s="5"/>
    </row>
    <row r="13514" spans="1:1" x14ac:dyDescent="0.25">
      <c r="A13514" s="5"/>
    </row>
    <row r="13515" spans="1:1" x14ac:dyDescent="0.25">
      <c r="A13515" s="5"/>
    </row>
    <row r="13516" spans="1:1" x14ac:dyDescent="0.25">
      <c r="A13516" s="5"/>
    </row>
    <row r="13517" spans="1:1" x14ac:dyDescent="0.25">
      <c r="A13517" s="5"/>
    </row>
    <row r="13518" spans="1:1" x14ac:dyDescent="0.25">
      <c r="A13518" s="5"/>
    </row>
    <row r="13519" spans="1:1" x14ac:dyDescent="0.25">
      <c r="A13519" s="5"/>
    </row>
    <row r="13520" spans="1:1" x14ac:dyDescent="0.25">
      <c r="A13520" s="5"/>
    </row>
    <row r="13521" spans="1:1" x14ac:dyDescent="0.25">
      <c r="A13521" s="5"/>
    </row>
    <row r="13522" spans="1:1" x14ac:dyDescent="0.25">
      <c r="A13522" s="5"/>
    </row>
    <row r="13523" spans="1:1" x14ac:dyDescent="0.25">
      <c r="A13523" s="5"/>
    </row>
    <row r="13524" spans="1:1" x14ac:dyDescent="0.25">
      <c r="A13524" s="5"/>
    </row>
    <row r="13525" spans="1:1" x14ac:dyDescent="0.25">
      <c r="A13525" s="5"/>
    </row>
    <row r="13526" spans="1:1" x14ac:dyDescent="0.25">
      <c r="A13526" s="5"/>
    </row>
    <row r="13527" spans="1:1" x14ac:dyDescent="0.25">
      <c r="A13527" s="5"/>
    </row>
    <row r="13528" spans="1:1" x14ac:dyDescent="0.25">
      <c r="A13528" s="5"/>
    </row>
    <row r="13529" spans="1:1" x14ac:dyDescent="0.25">
      <c r="A13529" s="5"/>
    </row>
    <row r="13530" spans="1:1" x14ac:dyDescent="0.25">
      <c r="A13530" s="5"/>
    </row>
    <row r="13531" spans="1:1" x14ac:dyDescent="0.25">
      <c r="A13531" s="5"/>
    </row>
    <row r="13532" spans="1:1" x14ac:dyDescent="0.25">
      <c r="A13532" s="5"/>
    </row>
    <row r="13533" spans="1:1" x14ac:dyDescent="0.25">
      <c r="A13533" s="5"/>
    </row>
    <row r="13534" spans="1:1" x14ac:dyDescent="0.25">
      <c r="A13534" s="5"/>
    </row>
    <row r="13535" spans="1:1" x14ac:dyDescent="0.25">
      <c r="A13535" s="5"/>
    </row>
    <row r="13536" spans="1:1" x14ac:dyDescent="0.25">
      <c r="A13536" s="5"/>
    </row>
    <row r="13537" spans="1:1" x14ac:dyDescent="0.25">
      <c r="A13537" s="5"/>
    </row>
    <row r="13538" spans="1:1" x14ac:dyDescent="0.25">
      <c r="A13538" s="5"/>
    </row>
    <row r="13539" spans="1:1" x14ac:dyDescent="0.25">
      <c r="A13539" s="5"/>
    </row>
    <row r="13540" spans="1:1" x14ac:dyDescent="0.25">
      <c r="A13540" s="5"/>
    </row>
    <row r="13541" spans="1:1" x14ac:dyDescent="0.25">
      <c r="A13541" s="5"/>
    </row>
    <row r="13542" spans="1:1" x14ac:dyDescent="0.25">
      <c r="A13542" s="5"/>
    </row>
    <row r="13543" spans="1:1" x14ac:dyDescent="0.25">
      <c r="A13543" s="5"/>
    </row>
    <row r="13544" spans="1:1" x14ac:dyDescent="0.25">
      <c r="A13544" s="5"/>
    </row>
    <row r="13545" spans="1:1" x14ac:dyDescent="0.25">
      <c r="A13545" s="5"/>
    </row>
    <row r="13546" spans="1:1" x14ac:dyDescent="0.25">
      <c r="A13546" s="5"/>
    </row>
    <row r="13547" spans="1:1" x14ac:dyDescent="0.25">
      <c r="A13547" s="5"/>
    </row>
    <row r="13548" spans="1:1" x14ac:dyDescent="0.25">
      <c r="A13548" s="5"/>
    </row>
    <row r="13549" spans="1:1" x14ac:dyDescent="0.25">
      <c r="A13549" s="5"/>
    </row>
    <row r="13550" spans="1:1" x14ac:dyDescent="0.25">
      <c r="A13550" s="5"/>
    </row>
    <row r="13551" spans="1:1" x14ac:dyDescent="0.25">
      <c r="A13551" s="5"/>
    </row>
    <row r="13552" spans="1:1" x14ac:dyDescent="0.25">
      <c r="A13552" s="5"/>
    </row>
    <row r="13553" spans="1:1" x14ac:dyDescent="0.25">
      <c r="A13553" s="5"/>
    </row>
    <row r="13554" spans="1:1" x14ac:dyDescent="0.25">
      <c r="A13554" s="5"/>
    </row>
    <row r="13555" spans="1:1" x14ac:dyDescent="0.25">
      <c r="A13555" s="5"/>
    </row>
    <row r="13556" spans="1:1" x14ac:dyDescent="0.25">
      <c r="A13556" s="5"/>
    </row>
    <row r="13557" spans="1:1" x14ac:dyDescent="0.25">
      <c r="A13557" s="5"/>
    </row>
    <row r="13558" spans="1:1" x14ac:dyDescent="0.25">
      <c r="A13558" s="5"/>
    </row>
    <row r="13559" spans="1:1" x14ac:dyDescent="0.25">
      <c r="A13559" s="5"/>
    </row>
    <row r="13560" spans="1:1" x14ac:dyDescent="0.25">
      <c r="A13560" s="5"/>
    </row>
    <row r="13561" spans="1:1" x14ac:dyDescent="0.25">
      <c r="A13561" s="5"/>
    </row>
    <row r="13562" spans="1:1" x14ac:dyDescent="0.25">
      <c r="A13562" s="5"/>
    </row>
    <row r="13563" spans="1:1" x14ac:dyDescent="0.25">
      <c r="A13563" s="5"/>
    </row>
    <row r="13564" spans="1:1" x14ac:dyDescent="0.25">
      <c r="A13564" s="5"/>
    </row>
    <row r="13565" spans="1:1" x14ac:dyDescent="0.25">
      <c r="A13565" s="5"/>
    </row>
    <row r="13566" spans="1:1" x14ac:dyDescent="0.25">
      <c r="A13566" s="5"/>
    </row>
    <row r="13567" spans="1:1" x14ac:dyDescent="0.25">
      <c r="A13567" s="5"/>
    </row>
    <row r="13568" spans="1:1" x14ac:dyDescent="0.25">
      <c r="A13568" s="5"/>
    </row>
    <row r="13569" spans="1:1" x14ac:dyDescent="0.25">
      <c r="A13569" s="5"/>
    </row>
    <row r="13570" spans="1:1" x14ac:dyDescent="0.25">
      <c r="A13570" s="5"/>
    </row>
    <row r="13571" spans="1:1" x14ac:dyDescent="0.25">
      <c r="A13571" s="5"/>
    </row>
    <row r="13572" spans="1:1" x14ac:dyDescent="0.25">
      <c r="A13572" s="5"/>
    </row>
    <row r="13573" spans="1:1" x14ac:dyDescent="0.25">
      <c r="A13573" s="5"/>
    </row>
    <row r="13574" spans="1:1" x14ac:dyDescent="0.25">
      <c r="A13574" s="5"/>
    </row>
    <row r="13575" spans="1:1" x14ac:dyDescent="0.25">
      <c r="A13575" s="5"/>
    </row>
    <row r="13576" spans="1:1" x14ac:dyDescent="0.25">
      <c r="A13576" s="5"/>
    </row>
    <row r="13577" spans="1:1" x14ac:dyDescent="0.25">
      <c r="A13577" s="5"/>
    </row>
    <row r="13578" spans="1:1" x14ac:dyDescent="0.25">
      <c r="A13578" s="5"/>
    </row>
    <row r="13579" spans="1:1" x14ac:dyDescent="0.25">
      <c r="A13579" s="5"/>
    </row>
    <row r="13580" spans="1:1" x14ac:dyDescent="0.25">
      <c r="A13580" s="5"/>
    </row>
    <row r="13581" spans="1:1" x14ac:dyDescent="0.25">
      <c r="A13581" s="5"/>
    </row>
    <row r="13582" spans="1:1" x14ac:dyDescent="0.25">
      <c r="A13582" s="5"/>
    </row>
    <row r="13583" spans="1:1" x14ac:dyDescent="0.25">
      <c r="A13583" s="5"/>
    </row>
    <row r="13584" spans="1:1" x14ac:dyDescent="0.25">
      <c r="A13584" s="5"/>
    </row>
    <row r="13585" spans="1:1" x14ac:dyDescent="0.25">
      <c r="A13585" s="5"/>
    </row>
    <row r="13586" spans="1:1" x14ac:dyDescent="0.25">
      <c r="A13586" s="5"/>
    </row>
    <row r="13587" spans="1:1" x14ac:dyDescent="0.25">
      <c r="A13587" s="5"/>
    </row>
    <row r="13588" spans="1:1" x14ac:dyDescent="0.25">
      <c r="A13588" s="5"/>
    </row>
    <row r="13589" spans="1:1" x14ac:dyDescent="0.25">
      <c r="A13589" s="5"/>
    </row>
    <row r="13590" spans="1:1" x14ac:dyDescent="0.25">
      <c r="A13590" s="5"/>
    </row>
    <row r="13591" spans="1:1" x14ac:dyDescent="0.25">
      <c r="A13591" s="5"/>
    </row>
    <row r="13592" spans="1:1" x14ac:dyDescent="0.25">
      <c r="A13592" s="5"/>
    </row>
    <row r="13593" spans="1:1" x14ac:dyDescent="0.25">
      <c r="A13593" s="5"/>
    </row>
    <row r="13594" spans="1:1" x14ac:dyDescent="0.25">
      <c r="A13594" s="5"/>
    </row>
    <row r="13595" spans="1:1" x14ac:dyDescent="0.25">
      <c r="A13595" s="5"/>
    </row>
    <row r="13596" spans="1:1" x14ac:dyDescent="0.25">
      <c r="A13596" s="5"/>
    </row>
    <row r="13597" spans="1:1" x14ac:dyDescent="0.25">
      <c r="A13597" s="5"/>
    </row>
    <row r="13598" spans="1:1" x14ac:dyDescent="0.25">
      <c r="A13598" s="5"/>
    </row>
    <row r="13599" spans="1:1" x14ac:dyDescent="0.25">
      <c r="A13599" s="5"/>
    </row>
    <row r="13600" spans="1:1" x14ac:dyDescent="0.25">
      <c r="A13600" s="5"/>
    </row>
    <row r="13601" spans="1:1" x14ac:dyDescent="0.25">
      <c r="A13601" s="5"/>
    </row>
    <row r="13602" spans="1:1" x14ac:dyDescent="0.25">
      <c r="A13602" s="5"/>
    </row>
    <row r="13603" spans="1:1" x14ac:dyDescent="0.25">
      <c r="A13603" s="5"/>
    </row>
    <row r="13604" spans="1:1" x14ac:dyDescent="0.25">
      <c r="A13604" s="5"/>
    </row>
    <row r="13605" spans="1:1" x14ac:dyDescent="0.25">
      <c r="A13605" s="5"/>
    </row>
    <row r="13606" spans="1:1" x14ac:dyDescent="0.25">
      <c r="A13606" s="5"/>
    </row>
    <row r="13607" spans="1:1" x14ac:dyDescent="0.25">
      <c r="A13607" s="5"/>
    </row>
    <row r="13608" spans="1:1" x14ac:dyDescent="0.25">
      <c r="A13608" s="5"/>
    </row>
    <row r="13609" spans="1:1" x14ac:dyDescent="0.25">
      <c r="A13609" s="5"/>
    </row>
    <row r="13610" spans="1:1" x14ac:dyDescent="0.25">
      <c r="A13610" s="5"/>
    </row>
    <row r="13611" spans="1:1" x14ac:dyDescent="0.25">
      <c r="A13611" s="5"/>
    </row>
    <row r="13612" spans="1:1" x14ac:dyDescent="0.25">
      <c r="A13612" s="5"/>
    </row>
    <row r="13613" spans="1:1" x14ac:dyDescent="0.25">
      <c r="A13613" s="5"/>
    </row>
    <row r="13614" spans="1:1" x14ac:dyDescent="0.25">
      <c r="A13614" s="5"/>
    </row>
    <row r="13615" spans="1:1" x14ac:dyDescent="0.25">
      <c r="A13615" s="5"/>
    </row>
    <row r="13616" spans="1:1" x14ac:dyDescent="0.25">
      <c r="A13616" s="5"/>
    </row>
    <row r="13617" spans="1:1" x14ac:dyDescent="0.25">
      <c r="A13617" s="5"/>
    </row>
    <row r="13618" spans="1:1" x14ac:dyDescent="0.25">
      <c r="A13618" s="5"/>
    </row>
    <row r="13619" spans="1:1" x14ac:dyDescent="0.25">
      <c r="A13619" s="5"/>
    </row>
    <row r="13620" spans="1:1" x14ac:dyDescent="0.25">
      <c r="A13620" s="5"/>
    </row>
    <row r="13621" spans="1:1" x14ac:dyDescent="0.25">
      <c r="A13621" s="5"/>
    </row>
    <row r="13622" spans="1:1" x14ac:dyDescent="0.25">
      <c r="A13622" s="5"/>
    </row>
    <row r="13623" spans="1:1" x14ac:dyDescent="0.25">
      <c r="A13623" s="5"/>
    </row>
    <row r="13624" spans="1:1" x14ac:dyDescent="0.25">
      <c r="A13624" s="5"/>
    </row>
    <row r="13625" spans="1:1" x14ac:dyDescent="0.25">
      <c r="A13625" s="5"/>
    </row>
    <row r="13626" spans="1:1" x14ac:dyDescent="0.25">
      <c r="A13626" s="5"/>
    </row>
    <row r="13627" spans="1:1" x14ac:dyDescent="0.25">
      <c r="A13627" s="5"/>
    </row>
    <row r="13628" spans="1:1" x14ac:dyDescent="0.25">
      <c r="A13628" s="5"/>
    </row>
    <row r="13629" spans="1:1" x14ac:dyDescent="0.25">
      <c r="A13629" s="5"/>
    </row>
    <row r="13630" spans="1:1" x14ac:dyDescent="0.25">
      <c r="A13630" s="5"/>
    </row>
    <row r="13631" spans="1:1" x14ac:dyDescent="0.25">
      <c r="A13631" s="5"/>
    </row>
    <row r="13632" spans="1:1" x14ac:dyDescent="0.25">
      <c r="A13632" s="5"/>
    </row>
    <row r="13633" spans="1:1" x14ac:dyDescent="0.25">
      <c r="A13633" s="5"/>
    </row>
    <row r="13634" spans="1:1" x14ac:dyDescent="0.25">
      <c r="A13634" s="5"/>
    </row>
    <row r="13635" spans="1:1" x14ac:dyDescent="0.25">
      <c r="A13635" s="5"/>
    </row>
    <row r="13636" spans="1:1" x14ac:dyDescent="0.25">
      <c r="A13636" s="5"/>
    </row>
    <row r="13637" spans="1:1" x14ac:dyDescent="0.25">
      <c r="A13637" s="5"/>
    </row>
    <row r="13638" spans="1:1" x14ac:dyDescent="0.25">
      <c r="A13638" s="5"/>
    </row>
    <row r="13639" spans="1:1" x14ac:dyDescent="0.25">
      <c r="A13639" s="5"/>
    </row>
    <row r="13640" spans="1:1" x14ac:dyDescent="0.25">
      <c r="A13640" s="5"/>
    </row>
    <row r="13641" spans="1:1" x14ac:dyDescent="0.25">
      <c r="A13641" s="5"/>
    </row>
    <row r="13642" spans="1:1" x14ac:dyDescent="0.25">
      <c r="A13642" s="5"/>
    </row>
    <row r="13643" spans="1:1" x14ac:dyDescent="0.25">
      <c r="A13643" s="5"/>
    </row>
    <row r="13644" spans="1:1" x14ac:dyDescent="0.25">
      <c r="A13644" s="5"/>
    </row>
    <row r="13645" spans="1:1" x14ac:dyDescent="0.25">
      <c r="A13645" s="5"/>
    </row>
    <row r="13646" spans="1:1" x14ac:dyDescent="0.25">
      <c r="A13646" s="5"/>
    </row>
    <row r="13647" spans="1:1" x14ac:dyDescent="0.25">
      <c r="A13647" s="5"/>
    </row>
    <row r="13648" spans="1:1" x14ac:dyDescent="0.25">
      <c r="A13648" s="5"/>
    </row>
    <row r="13649" spans="1:1" x14ac:dyDescent="0.25">
      <c r="A13649" s="5"/>
    </row>
    <row r="13650" spans="1:1" x14ac:dyDescent="0.25">
      <c r="A13650" s="5"/>
    </row>
    <row r="13651" spans="1:1" x14ac:dyDescent="0.25">
      <c r="A13651" s="5"/>
    </row>
    <row r="13652" spans="1:1" x14ac:dyDescent="0.25">
      <c r="A13652" s="5"/>
    </row>
    <row r="13653" spans="1:1" x14ac:dyDescent="0.25">
      <c r="A13653" s="5"/>
    </row>
    <row r="13654" spans="1:1" x14ac:dyDescent="0.25">
      <c r="A13654" s="5"/>
    </row>
    <row r="13655" spans="1:1" x14ac:dyDescent="0.25">
      <c r="A13655" s="5"/>
    </row>
    <row r="13656" spans="1:1" x14ac:dyDescent="0.25">
      <c r="A13656" s="5"/>
    </row>
    <row r="13657" spans="1:1" x14ac:dyDescent="0.25">
      <c r="A13657" s="5"/>
    </row>
    <row r="13658" spans="1:1" x14ac:dyDescent="0.25">
      <c r="A13658" s="5"/>
    </row>
    <row r="13659" spans="1:1" x14ac:dyDescent="0.25">
      <c r="A13659" s="5"/>
    </row>
    <row r="13660" spans="1:1" x14ac:dyDescent="0.25">
      <c r="A13660" s="5"/>
    </row>
    <row r="13661" spans="1:1" x14ac:dyDescent="0.25">
      <c r="A13661" s="5"/>
    </row>
    <row r="13662" spans="1:1" x14ac:dyDescent="0.25">
      <c r="A13662" s="5"/>
    </row>
    <row r="13663" spans="1:1" x14ac:dyDescent="0.25">
      <c r="A13663" s="5"/>
    </row>
    <row r="13664" spans="1:1" x14ac:dyDescent="0.25">
      <c r="A13664" s="5"/>
    </row>
    <row r="13665" spans="1:1" x14ac:dyDescent="0.25">
      <c r="A13665" s="5"/>
    </row>
    <row r="13666" spans="1:1" x14ac:dyDescent="0.25">
      <c r="A13666" s="5"/>
    </row>
    <row r="13667" spans="1:1" x14ac:dyDescent="0.25">
      <c r="A13667" s="5"/>
    </row>
    <row r="13668" spans="1:1" x14ac:dyDescent="0.25">
      <c r="A13668" s="5"/>
    </row>
    <row r="13669" spans="1:1" x14ac:dyDescent="0.25">
      <c r="A13669" s="5"/>
    </row>
    <row r="13670" spans="1:1" x14ac:dyDescent="0.25">
      <c r="A13670" s="5"/>
    </row>
    <row r="13671" spans="1:1" x14ac:dyDescent="0.25">
      <c r="A13671" s="5"/>
    </row>
    <row r="13672" spans="1:1" x14ac:dyDescent="0.25">
      <c r="A13672" s="5"/>
    </row>
    <row r="13673" spans="1:1" x14ac:dyDescent="0.25">
      <c r="A13673" s="5"/>
    </row>
    <row r="13674" spans="1:1" x14ac:dyDescent="0.25">
      <c r="A13674" s="5"/>
    </row>
    <row r="13675" spans="1:1" x14ac:dyDescent="0.25">
      <c r="A13675" s="5"/>
    </row>
    <row r="13676" spans="1:1" x14ac:dyDescent="0.25">
      <c r="A13676" s="5"/>
    </row>
    <row r="13677" spans="1:1" x14ac:dyDescent="0.25">
      <c r="A13677" s="5"/>
    </row>
    <row r="13678" spans="1:1" x14ac:dyDescent="0.25">
      <c r="A13678" s="5"/>
    </row>
    <row r="13679" spans="1:1" x14ac:dyDescent="0.25">
      <c r="A13679" s="5"/>
    </row>
    <row r="13680" spans="1:1" x14ac:dyDescent="0.25">
      <c r="A13680" s="5"/>
    </row>
    <row r="13681" spans="1:1" x14ac:dyDescent="0.25">
      <c r="A13681" s="5"/>
    </row>
    <row r="13682" spans="1:1" x14ac:dyDescent="0.25">
      <c r="A13682" s="5"/>
    </row>
    <row r="13683" spans="1:1" x14ac:dyDescent="0.25">
      <c r="A13683" s="5"/>
    </row>
    <row r="13684" spans="1:1" x14ac:dyDescent="0.25">
      <c r="A13684" s="5"/>
    </row>
    <row r="13685" spans="1:1" x14ac:dyDescent="0.25">
      <c r="A13685" s="5"/>
    </row>
    <row r="13686" spans="1:1" x14ac:dyDescent="0.25">
      <c r="A13686" s="5"/>
    </row>
    <row r="13687" spans="1:1" x14ac:dyDescent="0.25">
      <c r="A13687" s="5"/>
    </row>
    <row r="13688" spans="1:1" x14ac:dyDescent="0.25">
      <c r="A13688" s="5"/>
    </row>
    <row r="13689" spans="1:1" x14ac:dyDescent="0.25">
      <c r="A13689" s="5"/>
    </row>
    <row r="13690" spans="1:1" x14ac:dyDescent="0.25">
      <c r="A13690" s="5"/>
    </row>
    <row r="13691" spans="1:1" x14ac:dyDescent="0.25">
      <c r="A13691" s="5"/>
    </row>
    <row r="13692" spans="1:1" x14ac:dyDescent="0.25">
      <c r="A13692" s="5"/>
    </row>
    <row r="13693" spans="1:1" x14ac:dyDescent="0.25">
      <c r="A13693" s="5"/>
    </row>
    <row r="13694" spans="1:1" x14ac:dyDescent="0.25">
      <c r="A13694" s="5"/>
    </row>
    <row r="13695" spans="1:1" x14ac:dyDescent="0.25">
      <c r="A13695" s="5"/>
    </row>
    <row r="13696" spans="1:1" x14ac:dyDescent="0.25">
      <c r="A13696" s="5"/>
    </row>
    <row r="13697" spans="1:1" x14ac:dyDescent="0.25">
      <c r="A13697" s="5"/>
    </row>
    <row r="13698" spans="1:1" x14ac:dyDescent="0.25">
      <c r="A13698" s="5"/>
    </row>
    <row r="13699" spans="1:1" x14ac:dyDescent="0.25">
      <c r="A13699" s="5"/>
    </row>
    <row r="13700" spans="1:1" x14ac:dyDescent="0.25">
      <c r="A13700" s="5"/>
    </row>
    <row r="13701" spans="1:1" x14ac:dyDescent="0.25">
      <c r="A13701" s="5"/>
    </row>
    <row r="13702" spans="1:1" x14ac:dyDescent="0.25">
      <c r="A13702" s="5"/>
    </row>
    <row r="13703" spans="1:1" x14ac:dyDescent="0.25">
      <c r="A13703" s="5"/>
    </row>
    <row r="13704" spans="1:1" x14ac:dyDescent="0.25">
      <c r="A13704" s="5"/>
    </row>
    <row r="13705" spans="1:1" x14ac:dyDescent="0.25">
      <c r="A13705" s="5"/>
    </row>
    <row r="13706" spans="1:1" x14ac:dyDescent="0.25">
      <c r="A13706" s="5"/>
    </row>
    <row r="13707" spans="1:1" x14ac:dyDescent="0.25">
      <c r="A13707" s="5"/>
    </row>
    <row r="13708" spans="1:1" x14ac:dyDescent="0.25">
      <c r="A13708" s="5"/>
    </row>
    <row r="13709" spans="1:1" x14ac:dyDescent="0.25">
      <c r="A13709" s="5"/>
    </row>
    <row r="13710" spans="1:1" x14ac:dyDescent="0.25">
      <c r="A13710" s="5"/>
    </row>
    <row r="13711" spans="1:1" x14ac:dyDescent="0.25">
      <c r="A13711" s="5"/>
    </row>
    <row r="13712" spans="1:1" x14ac:dyDescent="0.25">
      <c r="A13712" s="5"/>
    </row>
    <row r="13713" spans="1:1" x14ac:dyDescent="0.25">
      <c r="A13713" s="5"/>
    </row>
    <row r="13714" spans="1:1" x14ac:dyDescent="0.25">
      <c r="A13714" s="5"/>
    </row>
    <row r="13715" spans="1:1" x14ac:dyDescent="0.25">
      <c r="A13715" s="5"/>
    </row>
    <row r="13716" spans="1:1" x14ac:dyDescent="0.25">
      <c r="A13716" s="5"/>
    </row>
    <row r="13717" spans="1:1" x14ac:dyDescent="0.25">
      <c r="A13717" s="5"/>
    </row>
    <row r="13718" spans="1:1" x14ac:dyDescent="0.25">
      <c r="A13718" s="5"/>
    </row>
    <row r="13719" spans="1:1" x14ac:dyDescent="0.25">
      <c r="A13719" s="5"/>
    </row>
    <row r="13720" spans="1:1" x14ac:dyDescent="0.25">
      <c r="A13720" s="5"/>
    </row>
    <row r="13721" spans="1:1" x14ac:dyDescent="0.25">
      <c r="A13721" s="5"/>
    </row>
    <row r="13722" spans="1:1" x14ac:dyDescent="0.25">
      <c r="A13722" s="5"/>
    </row>
    <row r="13723" spans="1:1" x14ac:dyDescent="0.25">
      <c r="A13723" s="5"/>
    </row>
    <row r="13724" spans="1:1" x14ac:dyDescent="0.25">
      <c r="A13724" s="5"/>
    </row>
    <row r="13725" spans="1:1" x14ac:dyDescent="0.25">
      <c r="A13725" s="5"/>
    </row>
    <row r="13726" spans="1:1" x14ac:dyDescent="0.25">
      <c r="A13726" s="5"/>
    </row>
    <row r="13727" spans="1:1" x14ac:dyDescent="0.25">
      <c r="A13727" s="5"/>
    </row>
    <row r="13728" spans="1:1" x14ac:dyDescent="0.25">
      <c r="A13728" s="5"/>
    </row>
    <row r="13729" spans="1:1" x14ac:dyDescent="0.25">
      <c r="A13729" s="5"/>
    </row>
    <row r="13730" spans="1:1" x14ac:dyDescent="0.25">
      <c r="A13730" s="5"/>
    </row>
    <row r="13731" spans="1:1" x14ac:dyDescent="0.25">
      <c r="A13731" s="5"/>
    </row>
    <row r="13732" spans="1:1" x14ac:dyDescent="0.25">
      <c r="A13732" s="5"/>
    </row>
    <row r="13733" spans="1:1" x14ac:dyDescent="0.25">
      <c r="A13733" s="5"/>
    </row>
    <row r="13734" spans="1:1" x14ac:dyDescent="0.25">
      <c r="A13734" s="5"/>
    </row>
    <row r="13735" spans="1:1" x14ac:dyDescent="0.25">
      <c r="A13735" s="5"/>
    </row>
    <row r="13736" spans="1:1" x14ac:dyDescent="0.25">
      <c r="A13736" s="5"/>
    </row>
    <row r="13737" spans="1:1" x14ac:dyDescent="0.25">
      <c r="A13737" s="5"/>
    </row>
    <row r="13738" spans="1:1" x14ac:dyDescent="0.25">
      <c r="A13738" s="5"/>
    </row>
    <row r="13739" spans="1:1" x14ac:dyDescent="0.25">
      <c r="A13739" s="5"/>
    </row>
    <row r="13740" spans="1:1" x14ac:dyDescent="0.25">
      <c r="A13740" s="5"/>
    </row>
    <row r="13741" spans="1:1" x14ac:dyDescent="0.25">
      <c r="A13741" s="5"/>
    </row>
    <row r="13742" spans="1:1" x14ac:dyDescent="0.25">
      <c r="A13742" s="5"/>
    </row>
    <row r="13743" spans="1:1" x14ac:dyDescent="0.25">
      <c r="A13743" s="5"/>
    </row>
    <row r="13744" spans="1:1" x14ac:dyDescent="0.25">
      <c r="A13744" s="5"/>
    </row>
    <row r="13745" spans="1:1" x14ac:dyDescent="0.25">
      <c r="A13745" s="5"/>
    </row>
    <row r="13746" spans="1:1" x14ac:dyDescent="0.25">
      <c r="A13746" s="5"/>
    </row>
    <row r="13747" spans="1:1" x14ac:dyDescent="0.25">
      <c r="A13747" s="5"/>
    </row>
    <row r="13748" spans="1:1" x14ac:dyDescent="0.25">
      <c r="A13748" s="5"/>
    </row>
    <row r="13749" spans="1:1" x14ac:dyDescent="0.25">
      <c r="A13749" s="5"/>
    </row>
    <row r="13750" spans="1:1" x14ac:dyDescent="0.25">
      <c r="A13750" s="5"/>
    </row>
    <row r="13751" spans="1:1" x14ac:dyDescent="0.25">
      <c r="A13751" s="5"/>
    </row>
    <row r="13752" spans="1:1" x14ac:dyDescent="0.25">
      <c r="A13752" s="5"/>
    </row>
    <row r="13753" spans="1:1" x14ac:dyDescent="0.25">
      <c r="A13753" s="5"/>
    </row>
    <row r="13754" spans="1:1" x14ac:dyDescent="0.25">
      <c r="A13754" s="5"/>
    </row>
    <row r="13755" spans="1:1" x14ac:dyDescent="0.25">
      <c r="A13755" s="5"/>
    </row>
    <row r="13756" spans="1:1" x14ac:dyDescent="0.25">
      <c r="A13756" s="5"/>
    </row>
    <row r="13757" spans="1:1" x14ac:dyDescent="0.25">
      <c r="A13757" s="5"/>
    </row>
    <row r="13758" spans="1:1" x14ac:dyDescent="0.25">
      <c r="A13758" s="5"/>
    </row>
    <row r="13759" spans="1:1" x14ac:dyDescent="0.25">
      <c r="A13759" s="5"/>
    </row>
    <row r="13760" spans="1:1" x14ac:dyDescent="0.25">
      <c r="A13760" s="5"/>
    </row>
    <row r="13761" spans="1:1" x14ac:dyDescent="0.25">
      <c r="A13761" s="5"/>
    </row>
    <row r="13762" spans="1:1" x14ac:dyDescent="0.25">
      <c r="A13762" s="5"/>
    </row>
    <row r="13763" spans="1:1" x14ac:dyDescent="0.25">
      <c r="A13763" s="5"/>
    </row>
    <row r="13764" spans="1:1" x14ac:dyDescent="0.25">
      <c r="A13764" s="5"/>
    </row>
    <row r="13765" spans="1:1" x14ac:dyDescent="0.25">
      <c r="A13765" s="5"/>
    </row>
    <row r="13766" spans="1:1" x14ac:dyDescent="0.25">
      <c r="A13766" s="5"/>
    </row>
    <row r="13767" spans="1:1" x14ac:dyDescent="0.25">
      <c r="A13767" s="5"/>
    </row>
    <row r="13768" spans="1:1" x14ac:dyDescent="0.25">
      <c r="A13768" s="5"/>
    </row>
    <row r="13769" spans="1:1" x14ac:dyDescent="0.25">
      <c r="A13769" s="5"/>
    </row>
    <row r="13770" spans="1:1" x14ac:dyDescent="0.25">
      <c r="A13770" s="5"/>
    </row>
    <row r="13771" spans="1:1" x14ac:dyDescent="0.25">
      <c r="A13771" s="5"/>
    </row>
    <row r="13772" spans="1:1" x14ac:dyDescent="0.25">
      <c r="A13772" s="5"/>
    </row>
    <row r="13773" spans="1:1" x14ac:dyDescent="0.25">
      <c r="A13773" s="5"/>
    </row>
    <row r="13774" spans="1:1" x14ac:dyDescent="0.25">
      <c r="A13774" s="5"/>
    </row>
    <row r="13775" spans="1:1" x14ac:dyDescent="0.25">
      <c r="A13775" s="5"/>
    </row>
    <row r="13776" spans="1:1" x14ac:dyDescent="0.25">
      <c r="A13776" s="5"/>
    </row>
    <row r="13777" spans="1:1" x14ac:dyDescent="0.25">
      <c r="A13777" s="5"/>
    </row>
    <row r="13778" spans="1:1" x14ac:dyDescent="0.25">
      <c r="A13778" s="5"/>
    </row>
    <row r="13779" spans="1:1" x14ac:dyDescent="0.25">
      <c r="A13779" s="5"/>
    </row>
    <row r="13780" spans="1:1" x14ac:dyDescent="0.25">
      <c r="A13780" s="5"/>
    </row>
    <row r="13781" spans="1:1" x14ac:dyDescent="0.25">
      <c r="A13781" s="5"/>
    </row>
    <row r="13782" spans="1:1" x14ac:dyDescent="0.25">
      <c r="A13782" s="5"/>
    </row>
    <row r="13783" spans="1:1" x14ac:dyDescent="0.25">
      <c r="A13783" s="5"/>
    </row>
    <row r="13784" spans="1:1" x14ac:dyDescent="0.25">
      <c r="A13784" s="5"/>
    </row>
    <row r="13785" spans="1:1" x14ac:dyDescent="0.25">
      <c r="A13785" s="5"/>
    </row>
    <row r="13786" spans="1:1" x14ac:dyDescent="0.25">
      <c r="A13786" s="5"/>
    </row>
    <row r="13787" spans="1:1" x14ac:dyDescent="0.25">
      <c r="A13787" s="5"/>
    </row>
    <row r="13788" spans="1:1" x14ac:dyDescent="0.25">
      <c r="A13788" s="5"/>
    </row>
    <row r="13789" spans="1:1" x14ac:dyDescent="0.25">
      <c r="A13789" s="5"/>
    </row>
    <row r="13790" spans="1:1" x14ac:dyDescent="0.25">
      <c r="A13790" s="5"/>
    </row>
    <row r="13791" spans="1:1" x14ac:dyDescent="0.25">
      <c r="A13791" s="5"/>
    </row>
    <row r="13792" spans="1:1" x14ac:dyDescent="0.25">
      <c r="A13792" s="5"/>
    </row>
    <row r="13793" spans="1:1" x14ac:dyDescent="0.25">
      <c r="A13793" s="5"/>
    </row>
    <row r="13794" spans="1:1" x14ac:dyDescent="0.25">
      <c r="A13794" s="5"/>
    </row>
    <row r="13795" spans="1:1" x14ac:dyDescent="0.25">
      <c r="A13795" s="5"/>
    </row>
    <row r="13796" spans="1:1" x14ac:dyDescent="0.25">
      <c r="A13796" s="5"/>
    </row>
    <row r="13797" spans="1:1" x14ac:dyDescent="0.25">
      <c r="A13797" s="5"/>
    </row>
    <row r="13798" spans="1:1" x14ac:dyDescent="0.25">
      <c r="A13798" s="5"/>
    </row>
    <row r="13799" spans="1:1" x14ac:dyDescent="0.25">
      <c r="A13799" s="5"/>
    </row>
    <row r="13800" spans="1:1" x14ac:dyDescent="0.25">
      <c r="A13800" s="5"/>
    </row>
    <row r="13801" spans="1:1" x14ac:dyDescent="0.25">
      <c r="A13801" s="5"/>
    </row>
    <row r="13802" spans="1:1" x14ac:dyDescent="0.25">
      <c r="A13802" s="5"/>
    </row>
    <row r="13803" spans="1:1" x14ac:dyDescent="0.25">
      <c r="A13803" s="5"/>
    </row>
    <row r="13804" spans="1:1" x14ac:dyDescent="0.25">
      <c r="A13804" s="5"/>
    </row>
    <row r="13805" spans="1:1" x14ac:dyDescent="0.25">
      <c r="A13805" s="5"/>
    </row>
    <row r="13806" spans="1:1" x14ac:dyDescent="0.25">
      <c r="A13806" s="5"/>
    </row>
    <row r="13807" spans="1:1" x14ac:dyDescent="0.25">
      <c r="A13807" s="5"/>
    </row>
    <row r="13808" spans="1:1" x14ac:dyDescent="0.25">
      <c r="A13808" s="5"/>
    </row>
    <row r="13809" spans="1:1" x14ac:dyDescent="0.25">
      <c r="A13809" s="5"/>
    </row>
    <row r="13810" spans="1:1" x14ac:dyDescent="0.25">
      <c r="A13810" s="5"/>
    </row>
    <row r="13811" spans="1:1" x14ac:dyDescent="0.25">
      <c r="A13811" s="5"/>
    </row>
    <row r="13812" spans="1:1" x14ac:dyDescent="0.25">
      <c r="A13812" s="5"/>
    </row>
    <row r="13813" spans="1:1" x14ac:dyDescent="0.25">
      <c r="A13813" s="5"/>
    </row>
    <row r="13814" spans="1:1" x14ac:dyDescent="0.25">
      <c r="A13814" s="5"/>
    </row>
    <row r="13815" spans="1:1" x14ac:dyDescent="0.25">
      <c r="A13815" s="5"/>
    </row>
    <row r="13816" spans="1:1" x14ac:dyDescent="0.25">
      <c r="A13816" s="5"/>
    </row>
    <row r="13817" spans="1:1" x14ac:dyDescent="0.25">
      <c r="A13817" s="5"/>
    </row>
    <row r="13818" spans="1:1" x14ac:dyDescent="0.25">
      <c r="A13818" s="5"/>
    </row>
    <row r="13819" spans="1:1" x14ac:dyDescent="0.25">
      <c r="A13819" s="5"/>
    </row>
    <row r="13820" spans="1:1" x14ac:dyDescent="0.25">
      <c r="A13820" s="5"/>
    </row>
    <row r="13821" spans="1:1" x14ac:dyDescent="0.25">
      <c r="A13821" s="5"/>
    </row>
    <row r="13822" spans="1:1" x14ac:dyDescent="0.25">
      <c r="A13822" s="5"/>
    </row>
    <row r="13823" spans="1:1" x14ac:dyDescent="0.25">
      <c r="A13823" s="5"/>
    </row>
    <row r="13824" spans="1:1" x14ac:dyDescent="0.25">
      <c r="A13824" s="5"/>
    </row>
    <row r="13825" spans="1:1" x14ac:dyDescent="0.25">
      <c r="A13825" s="5"/>
    </row>
    <row r="13826" spans="1:1" x14ac:dyDescent="0.25">
      <c r="A13826" s="5"/>
    </row>
    <row r="13827" spans="1:1" x14ac:dyDescent="0.25">
      <c r="A13827" s="5"/>
    </row>
    <row r="13828" spans="1:1" x14ac:dyDescent="0.25">
      <c r="A13828" s="5"/>
    </row>
    <row r="13829" spans="1:1" x14ac:dyDescent="0.25">
      <c r="A13829" s="5"/>
    </row>
    <row r="13830" spans="1:1" x14ac:dyDescent="0.25">
      <c r="A13830" s="5"/>
    </row>
    <row r="13831" spans="1:1" x14ac:dyDescent="0.25">
      <c r="A13831" s="5"/>
    </row>
    <row r="13832" spans="1:1" x14ac:dyDescent="0.25">
      <c r="A13832" s="5"/>
    </row>
    <row r="13833" spans="1:1" x14ac:dyDescent="0.25">
      <c r="A13833" s="5"/>
    </row>
    <row r="13834" spans="1:1" x14ac:dyDescent="0.25">
      <c r="A13834" s="5"/>
    </row>
    <row r="13835" spans="1:1" x14ac:dyDescent="0.25">
      <c r="A13835" s="5"/>
    </row>
    <row r="13836" spans="1:1" x14ac:dyDescent="0.25">
      <c r="A13836" s="5"/>
    </row>
    <row r="13837" spans="1:1" x14ac:dyDescent="0.25">
      <c r="A13837" s="5"/>
    </row>
    <row r="13838" spans="1:1" x14ac:dyDescent="0.25">
      <c r="A13838" s="5"/>
    </row>
    <row r="13839" spans="1:1" x14ac:dyDescent="0.25">
      <c r="A13839" s="5"/>
    </row>
    <row r="13840" spans="1:1" x14ac:dyDescent="0.25">
      <c r="A13840" s="5"/>
    </row>
    <row r="13841" spans="1:1" x14ac:dyDescent="0.25">
      <c r="A13841" s="5"/>
    </row>
    <row r="13842" spans="1:1" x14ac:dyDescent="0.25">
      <c r="A13842" s="5"/>
    </row>
    <row r="13843" spans="1:1" x14ac:dyDescent="0.25">
      <c r="A13843" s="5"/>
    </row>
    <row r="13844" spans="1:1" x14ac:dyDescent="0.25">
      <c r="A13844" s="5"/>
    </row>
    <row r="13845" spans="1:1" x14ac:dyDescent="0.25">
      <c r="A13845" s="5"/>
    </row>
    <row r="13846" spans="1:1" x14ac:dyDescent="0.25">
      <c r="A13846" s="5"/>
    </row>
    <row r="13847" spans="1:1" x14ac:dyDescent="0.25">
      <c r="A13847" s="5"/>
    </row>
    <row r="13848" spans="1:1" x14ac:dyDescent="0.25">
      <c r="A13848" s="5"/>
    </row>
    <row r="13849" spans="1:1" x14ac:dyDescent="0.25">
      <c r="A13849" s="5"/>
    </row>
    <row r="13850" spans="1:1" x14ac:dyDescent="0.25">
      <c r="A13850" s="5"/>
    </row>
    <row r="13851" spans="1:1" x14ac:dyDescent="0.25">
      <c r="A13851" s="5"/>
    </row>
    <row r="13852" spans="1:1" x14ac:dyDescent="0.25">
      <c r="A13852" s="5"/>
    </row>
    <row r="13853" spans="1:1" x14ac:dyDescent="0.25">
      <c r="A13853" s="5"/>
    </row>
    <row r="13854" spans="1:1" x14ac:dyDescent="0.25">
      <c r="A13854" s="5"/>
    </row>
    <row r="13855" spans="1:1" x14ac:dyDescent="0.25">
      <c r="A13855" s="5"/>
    </row>
    <row r="13856" spans="1:1" x14ac:dyDescent="0.25">
      <c r="A13856" s="5"/>
    </row>
    <row r="13857" spans="1:1" x14ac:dyDescent="0.25">
      <c r="A13857" s="5"/>
    </row>
    <row r="13858" spans="1:1" x14ac:dyDescent="0.25">
      <c r="A13858" s="5"/>
    </row>
    <row r="13859" spans="1:1" x14ac:dyDescent="0.25">
      <c r="A13859" s="5"/>
    </row>
    <row r="13860" spans="1:1" x14ac:dyDescent="0.25">
      <c r="A13860" s="5"/>
    </row>
    <row r="13861" spans="1:1" x14ac:dyDescent="0.25">
      <c r="A13861" s="5"/>
    </row>
    <row r="13862" spans="1:1" x14ac:dyDescent="0.25">
      <c r="A13862" s="5"/>
    </row>
    <row r="13863" spans="1:1" x14ac:dyDescent="0.25">
      <c r="A13863" s="5"/>
    </row>
    <row r="13864" spans="1:1" x14ac:dyDescent="0.25">
      <c r="A13864" s="5"/>
    </row>
    <row r="13865" spans="1:1" x14ac:dyDescent="0.25">
      <c r="A13865" s="5"/>
    </row>
    <row r="13866" spans="1:1" x14ac:dyDescent="0.25">
      <c r="A13866" s="5"/>
    </row>
    <row r="13867" spans="1:1" x14ac:dyDescent="0.25">
      <c r="A13867" s="5"/>
    </row>
    <row r="13868" spans="1:1" x14ac:dyDescent="0.25">
      <c r="A13868" s="5"/>
    </row>
    <row r="13869" spans="1:1" x14ac:dyDescent="0.25">
      <c r="A13869" s="5"/>
    </row>
    <row r="13870" spans="1:1" x14ac:dyDescent="0.25">
      <c r="A13870" s="5"/>
    </row>
    <row r="13871" spans="1:1" x14ac:dyDescent="0.25">
      <c r="A13871" s="5"/>
    </row>
    <row r="13872" spans="1:1" x14ac:dyDescent="0.25">
      <c r="A13872" s="5"/>
    </row>
    <row r="13873" spans="1:1" x14ac:dyDescent="0.25">
      <c r="A13873" s="5"/>
    </row>
    <row r="13874" spans="1:1" x14ac:dyDescent="0.25">
      <c r="A13874" s="5"/>
    </row>
    <row r="13875" spans="1:1" x14ac:dyDescent="0.25">
      <c r="A13875" s="5"/>
    </row>
    <row r="13876" spans="1:1" x14ac:dyDescent="0.25">
      <c r="A13876" s="5"/>
    </row>
    <row r="13877" spans="1:1" x14ac:dyDescent="0.25">
      <c r="A13877" s="5"/>
    </row>
    <row r="13878" spans="1:1" x14ac:dyDescent="0.25">
      <c r="A13878" s="5"/>
    </row>
    <row r="13879" spans="1:1" x14ac:dyDescent="0.25">
      <c r="A13879" s="5"/>
    </row>
    <row r="13880" spans="1:1" x14ac:dyDescent="0.25">
      <c r="A13880" s="5"/>
    </row>
    <row r="13881" spans="1:1" x14ac:dyDescent="0.25">
      <c r="A13881" s="5"/>
    </row>
    <row r="13882" spans="1:1" x14ac:dyDescent="0.25">
      <c r="A13882" s="5"/>
    </row>
    <row r="13883" spans="1:1" x14ac:dyDescent="0.25">
      <c r="A13883" s="5"/>
    </row>
    <row r="13884" spans="1:1" x14ac:dyDescent="0.25">
      <c r="A13884" s="5"/>
    </row>
    <row r="13885" spans="1:1" x14ac:dyDescent="0.25">
      <c r="A13885" s="5"/>
    </row>
    <row r="13886" spans="1:1" x14ac:dyDescent="0.25">
      <c r="A13886" s="5"/>
    </row>
    <row r="13887" spans="1:1" x14ac:dyDescent="0.25">
      <c r="A13887" s="5"/>
    </row>
    <row r="13888" spans="1:1" x14ac:dyDescent="0.25">
      <c r="A13888" s="5"/>
    </row>
    <row r="13889" spans="1:1" x14ac:dyDescent="0.25">
      <c r="A13889" s="5"/>
    </row>
    <row r="13890" spans="1:1" x14ac:dyDescent="0.25">
      <c r="A13890" s="5"/>
    </row>
    <row r="13891" spans="1:1" x14ac:dyDescent="0.25">
      <c r="A13891" s="5"/>
    </row>
    <row r="13892" spans="1:1" x14ac:dyDescent="0.25">
      <c r="A13892" s="5"/>
    </row>
    <row r="13893" spans="1:1" x14ac:dyDescent="0.25">
      <c r="A13893" s="5"/>
    </row>
    <row r="13894" spans="1:1" x14ac:dyDescent="0.25">
      <c r="A13894" s="5"/>
    </row>
    <row r="13895" spans="1:1" x14ac:dyDescent="0.25">
      <c r="A13895" s="5"/>
    </row>
    <row r="13896" spans="1:1" x14ac:dyDescent="0.25">
      <c r="A13896" s="5"/>
    </row>
    <row r="13897" spans="1:1" x14ac:dyDescent="0.25">
      <c r="A13897" s="5"/>
    </row>
    <row r="13898" spans="1:1" x14ac:dyDescent="0.25">
      <c r="A13898" s="5"/>
    </row>
    <row r="13899" spans="1:1" x14ac:dyDescent="0.25">
      <c r="A13899" s="5"/>
    </row>
    <row r="13900" spans="1:1" x14ac:dyDescent="0.25">
      <c r="A13900" s="5"/>
    </row>
    <row r="13901" spans="1:1" x14ac:dyDescent="0.25">
      <c r="A13901" s="5"/>
    </row>
    <row r="13902" spans="1:1" x14ac:dyDescent="0.25">
      <c r="A13902" s="5"/>
    </row>
    <row r="13903" spans="1:1" x14ac:dyDescent="0.25">
      <c r="A13903" s="5"/>
    </row>
    <row r="13904" spans="1:1" x14ac:dyDescent="0.25">
      <c r="A13904" s="5"/>
    </row>
    <row r="13905" spans="1:1" x14ac:dyDescent="0.25">
      <c r="A13905" s="5"/>
    </row>
    <row r="13906" spans="1:1" x14ac:dyDescent="0.25">
      <c r="A13906" s="5"/>
    </row>
    <row r="13907" spans="1:1" x14ac:dyDescent="0.25">
      <c r="A13907" s="5"/>
    </row>
    <row r="13908" spans="1:1" x14ac:dyDescent="0.25">
      <c r="A13908" s="5"/>
    </row>
    <row r="13909" spans="1:1" x14ac:dyDescent="0.25">
      <c r="A13909" s="5"/>
    </row>
    <row r="13910" spans="1:1" x14ac:dyDescent="0.25">
      <c r="A13910" s="5"/>
    </row>
    <row r="13911" spans="1:1" x14ac:dyDescent="0.25">
      <c r="A13911" s="5"/>
    </row>
    <row r="13912" spans="1:1" x14ac:dyDescent="0.25">
      <c r="A13912" s="5"/>
    </row>
    <row r="13913" spans="1:1" x14ac:dyDescent="0.25">
      <c r="A13913" s="5"/>
    </row>
    <row r="13914" spans="1:1" x14ac:dyDescent="0.25">
      <c r="A13914" s="5"/>
    </row>
    <row r="13915" spans="1:1" x14ac:dyDescent="0.25">
      <c r="A13915" s="5"/>
    </row>
    <row r="13916" spans="1:1" x14ac:dyDescent="0.25">
      <c r="A13916" s="5"/>
    </row>
    <row r="13917" spans="1:1" x14ac:dyDescent="0.25">
      <c r="A13917" s="5"/>
    </row>
    <row r="13918" spans="1:1" x14ac:dyDescent="0.25">
      <c r="A13918" s="5"/>
    </row>
    <row r="13919" spans="1:1" x14ac:dyDescent="0.25">
      <c r="A13919" s="5"/>
    </row>
    <row r="13920" spans="1:1" x14ac:dyDescent="0.25">
      <c r="A13920" s="5"/>
    </row>
    <row r="13921" spans="1:1" x14ac:dyDescent="0.25">
      <c r="A13921" s="5"/>
    </row>
    <row r="13922" spans="1:1" x14ac:dyDescent="0.25">
      <c r="A13922" s="5"/>
    </row>
    <row r="13923" spans="1:1" x14ac:dyDescent="0.25">
      <c r="A13923" s="5"/>
    </row>
    <row r="13924" spans="1:1" x14ac:dyDescent="0.25">
      <c r="A13924" s="5"/>
    </row>
    <row r="13925" spans="1:1" x14ac:dyDescent="0.25">
      <c r="A13925" s="5"/>
    </row>
    <row r="13926" spans="1:1" x14ac:dyDescent="0.25">
      <c r="A13926" s="5"/>
    </row>
    <row r="13927" spans="1:1" x14ac:dyDescent="0.25">
      <c r="A13927" s="5"/>
    </row>
    <row r="13928" spans="1:1" x14ac:dyDescent="0.25">
      <c r="A13928" s="5"/>
    </row>
    <row r="13929" spans="1:1" x14ac:dyDescent="0.25">
      <c r="A13929" s="5"/>
    </row>
    <row r="13930" spans="1:1" x14ac:dyDescent="0.25">
      <c r="A13930" s="5"/>
    </row>
    <row r="13931" spans="1:1" x14ac:dyDescent="0.25">
      <c r="A13931" s="5"/>
    </row>
    <row r="13932" spans="1:1" x14ac:dyDescent="0.25">
      <c r="A13932" s="5"/>
    </row>
    <row r="13933" spans="1:1" x14ac:dyDescent="0.25">
      <c r="A13933" s="5"/>
    </row>
    <row r="13934" spans="1:1" x14ac:dyDescent="0.25">
      <c r="A13934" s="5"/>
    </row>
    <row r="13935" spans="1:1" x14ac:dyDescent="0.25">
      <c r="A13935" s="5"/>
    </row>
    <row r="13936" spans="1:1" x14ac:dyDescent="0.25">
      <c r="A13936" s="5"/>
    </row>
    <row r="13937" spans="1:1" x14ac:dyDescent="0.25">
      <c r="A13937" s="5"/>
    </row>
    <row r="13938" spans="1:1" x14ac:dyDescent="0.25">
      <c r="A13938" s="5"/>
    </row>
    <row r="13939" spans="1:1" x14ac:dyDescent="0.25">
      <c r="A13939" s="5"/>
    </row>
    <row r="13940" spans="1:1" x14ac:dyDescent="0.25">
      <c r="A13940" s="5"/>
    </row>
    <row r="13941" spans="1:1" x14ac:dyDescent="0.25">
      <c r="A13941" s="5"/>
    </row>
    <row r="13942" spans="1:1" x14ac:dyDescent="0.25">
      <c r="A13942" s="5"/>
    </row>
    <row r="13943" spans="1:1" x14ac:dyDescent="0.25">
      <c r="A13943" s="5"/>
    </row>
    <row r="13944" spans="1:1" x14ac:dyDescent="0.25">
      <c r="A13944" s="5"/>
    </row>
    <row r="13945" spans="1:1" x14ac:dyDescent="0.25">
      <c r="A13945" s="5"/>
    </row>
    <row r="13946" spans="1:1" x14ac:dyDescent="0.25">
      <c r="A13946" s="5"/>
    </row>
    <row r="13947" spans="1:1" x14ac:dyDescent="0.25">
      <c r="A13947" s="5"/>
    </row>
    <row r="13948" spans="1:1" x14ac:dyDescent="0.25">
      <c r="A13948" s="5"/>
    </row>
    <row r="13949" spans="1:1" x14ac:dyDescent="0.25">
      <c r="A13949" s="5"/>
    </row>
    <row r="13950" spans="1:1" x14ac:dyDescent="0.25">
      <c r="A13950" s="5"/>
    </row>
    <row r="13951" spans="1:1" x14ac:dyDescent="0.25">
      <c r="A13951" s="5"/>
    </row>
    <row r="13952" spans="1:1" x14ac:dyDescent="0.25">
      <c r="A13952" s="5"/>
    </row>
    <row r="13953" spans="1:1" x14ac:dyDescent="0.25">
      <c r="A13953" s="5"/>
    </row>
    <row r="13954" spans="1:1" x14ac:dyDescent="0.25">
      <c r="A13954" s="5"/>
    </row>
    <row r="13955" spans="1:1" x14ac:dyDescent="0.25">
      <c r="A13955" s="5"/>
    </row>
    <row r="13956" spans="1:1" x14ac:dyDescent="0.25">
      <c r="A13956" s="5"/>
    </row>
    <row r="13957" spans="1:1" x14ac:dyDescent="0.25">
      <c r="A13957" s="5"/>
    </row>
    <row r="13958" spans="1:1" x14ac:dyDescent="0.25">
      <c r="A13958" s="5"/>
    </row>
    <row r="13959" spans="1:1" x14ac:dyDescent="0.25">
      <c r="A13959" s="5"/>
    </row>
    <row r="13960" spans="1:1" x14ac:dyDescent="0.25">
      <c r="A13960" s="5"/>
    </row>
    <row r="13961" spans="1:1" x14ac:dyDescent="0.25">
      <c r="A13961" s="5"/>
    </row>
    <row r="13962" spans="1:1" x14ac:dyDescent="0.25">
      <c r="A13962" s="5"/>
    </row>
    <row r="13963" spans="1:1" x14ac:dyDescent="0.25">
      <c r="A13963" s="5"/>
    </row>
    <row r="13964" spans="1:1" x14ac:dyDescent="0.25">
      <c r="A13964" s="5"/>
    </row>
    <row r="13965" spans="1:1" x14ac:dyDescent="0.25">
      <c r="A13965" s="5"/>
    </row>
    <row r="13966" spans="1:1" x14ac:dyDescent="0.25">
      <c r="A13966" s="5"/>
    </row>
    <row r="13967" spans="1:1" x14ac:dyDescent="0.25">
      <c r="A13967" s="5"/>
    </row>
    <row r="13968" spans="1:1" x14ac:dyDescent="0.25">
      <c r="A13968" s="5"/>
    </row>
    <row r="13969" spans="1:1" x14ac:dyDescent="0.25">
      <c r="A13969" s="5"/>
    </row>
    <row r="13970" spans="1:1" x14ac:dyDescent="0.25">
      <c r="A13970" s="5"/>
    </row>
    <row r="13971" spans="1:1" x14ac:dyDescent="0.25">
      <c r="A13971" s="5"/>
    </row>
    <row r="13972" spans="1:1" x14ac:dyDescent="0.25">
      <c r="A13972" s="5"/>
    </row>
    <row r="13973" spans="1:1" x14ac:dyDescent="0.25">
      <c r="A13973" s="5"/>
    </row>
    <row r="13974" spans="1:1" x14ac:dyDescent="0.25">
      <c r="A13974" s="5"/>
    </row>
    <row r="13975" spans="1:1" x14ac:dyDescent="0.25">
      <c r="A13975" s="5"/>
    </row>
    <row r="13976" spans="1:1" x14ac:dyDescent="0.25">
      <c r="A13976" s="5"/>
    </row>
    <row r="13977" spans="1:1" x14ac:dyDescent="0.25">
      <c r="A13977" s="5"/>
    </row>
    <row r="13978" spans="1:1" x14ac:dyDescent="0.25">
      <c r="A13978" s="5"/>
    </row>
    <row r="13979" spans="1:1" x14ac:dyDescent="0.25">
      <c r="A13979" s="5"/>
    </row>
    <row r="13980" spans="1:1" x14ac:dyDescent="0.25">
      <c r="A13980" s="5"/>
    </row>
    <row r="13981" spans="1:1" x14ac:dyDescent="0.25">
      <c r="A13981" s="5"/>
    </row>
    <row r="13982" spans="1:1" x14ac:dyDescent="0.25">
      <c r="A13982" s="5"/>
    </row>
    <row r="13983" spans="1:1" x14ac:dyDescent="0.25">
      <c r="A13983" s="5"/>
    </row>
    <row r="13984" spans="1:1" x14ac:dyDescent="0.25">
      <c r="A13984" s="5"/>
    </row>
    <row r="13985" spans="1:1" x14ac:dyDescent="0.25">
      <c r="A13985" s="5"/>
    </row>
    <row r="13986" spans="1:1" x14ac:dyDescent="0.25">
      <c r="A13986" s="5"/>
    </row>
    <row r="13987" spans="1:1" x14ac:dyDescent="0.25">
      <c r="A13987" s="5"/>
    </row>
    <row r="13988" spans="1:1" x14ac:dyDescent="0.25">
      <c r="A13988" s="5"/>
    </row>
    <row r="13989" spans="1:1" x14ac:dyDescent="0.25">
      <c r="A13989" s="5"/>
    </row>
    <row r="13990" spans="1:1" x14ac:dyDescent="0.25">
      <c r="A13990" s="5"/>
    </row>
    <row r="13991" spans="1:1" x14ac:dyDescent="0.25">
      <c r="A13991" s="5"/>
    </row>
    <row r="13992" spans="1:1" x14ac:dyDescent="0.25">
      <c r="A13992" s="5"/>
    </row>
    <row r="13993" spans="1:1" x14ac:dyDescent="0.25">
      <c r="A13993" s="5"/>
    </row>
    <row r="13994" spans="1:1" x14ac:dyDescent="0.25">
      <c r="A13994" s="5"/>
    </row>
    <row r="13995" spans="1:1" x14ac:dyDescent="0.25">
      <c r="A13995" s="5"/>
    </row>
    <row r="13996" spans="1:1" x14ac:dyDescent="0.25">
      <c r="A13996" s="5"/>
    </row>
    <row r="13997" spans="1:1" x14ac:dyDescent="0.25">
      <c r="A13997" s="5"/>
    </row>
    <row r="13998" spans="1:1" x14ac:dyDescent="0.25">
      <c r="A13998" s="5"/>
    </row>
    <row r="13999" spans="1:1" x14ac:dyDescent="0.25">
      <c r="A13999" s="5"/>
    </row>
    <row r="14000" spans="1:1" x14ac:dyDescent="0.25">
      <c r="A14000" s="5"/>
    </row>
    <row r="14001" spans="1:1" x14ac:dyDescent="0.25">
      <c r="A14001" s="5"/>
    </row>
    <row r="14002" spans="1:1" x14ac:dyDescent="0.25">
      <c r="A14002" s="5"/>
    </row>
    <row r="14003" spans="1:1" x14ac:dyDescent="0.25">
      <c r="A14003" s="5"/>
    </row>
    <row r="14004" spans="1:1" x14ac:dyDescent="0.25">
      <c r="A14004" s="5"/>
    </row>
    <row r="14005" spans="1:1" x14ac:dyDescent="0.25">
      <c r="A14005" s="5"/>
    </row>
    <row r="14006" spans="1:1" x14ac:dyDescent="0.25">
      <c r="A14006" s="5"/>
    </row>
    <row r="14007" spans="1:1" x14ac:dyDescent="0.25">
      <c r="A14007" s="5"/>
    </row>
    <row r="14008" spans="1:1" x14ac:dyDescent="0.25">
      <c r="A14008" s="5"/>
    </row>
    <row r="14009" spans="1:1" x14ac:dyDescent="0.25">
      <c r="A14009" s="5"/>
    </row>
    <row r="14010" spans="1:1" x14ac:dyDescent="0.25">
      <c r="A14010" s="5"/>
    </row>
    <row r="14011" spans="1:1" x14ac:dyDescent="0.25">
      <c r="A14011" s="5"/>
    </row>
    <row r="14012" spans="1:1" x14ac:dyDescent="0.25">
      <c r="A14012" s="5"/>
    </row>
    <row r="14013" spans="1:1" x14ac:dyDescent="0.25">
      <c r="A14013" s="5"/>
    </row>
    <row r="14014" spans="1:1" x14ac:dyDescent="0.25">
      <c r="A14014" s="5"/>
    </row>
    <row r="14015" spans="1:1" x14ac:dyDescent="0.25">
      <c r="A14015" s="5"/>
    </row>
    <row r="14016" spans="1:1" x14ac:dyDescent="0.25">
      <c r="A14016" s="5"/>
    </row>
    <row r="14017" spans="1:1" x14ac:dyDescent="0.25">
      <c r="A14017" s="5"/>
    </row>
    <row r="14018" spans="1:1" x14ac:dyDescent="0.25">
      <c r="A14018" s="5"/>
    </row>
    <row r="14019" spans="1:1" x14ac:dyDescent="0.25">
      <c r="A14019" s="5"/>
    </row>
    <row r="14020" spans="1:1" x14ac:dyDescent="0.25">
      <c r="A14020" s="5"/>
    </row>
    <row r="14021" spans="1:1" x14ac:dyDescent="0.25">
      <c r="A14021" s="5"/>
    </row>
    <row r="14022" spans="1:1" x14ac:dyDescent="0.25">
      <c r="A14022" s="5"/>
    </row>
    <row r="14023" spans="1:1" x14ac:dyDescent="0.25">
      <c r="A14023" s="5"/>
    </row>
    <row r="14024" spans="1:1" x14ac:dyDescent="0.25">
      <c r="A14024" s="5"/>
    </row>
    <row r="14025" spans="1:1" x14ac:dyDescent="0.25">
      <c r="A14025" s="5"/>
    </row>
    <row r="14026" spans="1:1" x14ac:dyDescent="0.25">
      <c r="A14026" s="5"/>
    </row>
    <row r="14027" spans="1:1" x14ac:dyDescent="0.25">
      <c r="A14027" s="5"/>
    </row>
    <row r="14028" spans="1:1" x14ac:dyDescent="0.25">
      <c r="A14028" s="5"/>
    </row>
    <row r="14029" spans="1:1" x14ac:dyDescent="0.25">
      <c r="A14029" s="5"/>
    </row>
    <row r="14030" spans="1:1" x14ac:dyDescent="0.25">
      <c r="A14030" s="5"/>
    </row>
    <row r="14031" spans="1:1" x14ac:dyDescent="0.25">
      <c r="A14031" s="5"/>
    </row>
    <row r="14032" spans="1:1" x14ac:dyDescent="0.25">
      <c r="A14032" s="5"/>
    </row>
    <row r="14033" spans="1:1" x14ac:dyDescent="0.25">
      <c r="A14033" s="5"/>
    </row>
    <row r="14034" spans="1:1" x14ac:dyDescent="0.25">
      <c r="A14034" s="5"/>
    </row>
    <row r="14035" spans="1:1" x14ac:dyDescent="0.25">
      <c r="A14035" s="5"/>
    </row>
    <row r="14036" spans="1:1" x14ac:dyDescent="0.25">
      <c r="A14036" s="5"/>
    </row>
    <row r="14037" spans="1:1" x14ac:dyDescent="0.25">
      <c r="A14037" s="5"/>
    </row>
    <row r="14038" spans="1:1" x14ac:dyDescent="0.25">
      <c r="A14038" s="5"/>
    </row>
    <row r="14039" spans="1:1" x14ac:dyDescent="0.25">
      <c r="A14039" s="5"/>
    </row>
    <row r="14040" spans="1:1" x14ac:dyDescent="0.25">
      <c r="A14040" s="5"/>
    </row>
    <row r="14041" spans="1:1" x14ac:dyDescent="0.25">
      <c r="A14041" s="5"/>
    </row>
    <row r="14042" spans="1:1" x14ac:dyDescent="0.25">
      <c r="A14042" s="5"/>
    </row>
    <row r="14043" spans="1:1" x14ac:dyDescent="0.25">
      <c r="A14043" s="5"/>
    </row>
    <row r="14044" spans="1:1" x14ac:dyDescent="0.25">
      <c r="A14044" s="5"/>
    </row>
    <row r="14045" spans="1:1" x14ac:dyDescent="0.25">
      <c r="A14045" s="5"/>
    </row>
    <row r="14046" spans="1:1" x14ac:dyDescent="0.25">
      <c r="A14046" s="5"/>
    </row>
    <row r="14047" spans="1:1" x14ac:dyDescent="0.25">
      <c r="A14047" s="5"/>
    </row>
    <row r="14048" spans="1:1" x14ac:dyDescent="0.25">
      <c r="A14048" s="5"/>
    </row>
    <row r="14049" spans="1:1" x14ac:dyDescent="0.25">
      <c r="A14049" s="5"/>
    </row>
    <row r="14050" spans="1:1" x14ac:dyDescent="0.25">
      <c r="A14050" s="5"/>
    </row>
    <row r="14051" spans="1:1" x14ac:dyDescent="0.25">
      <c r="A14051" s="5"/>
    </row>
    <row r="14052" spans="1:1" x14ac:dyDescent="0.25">
      <c r="A14052" s="5"/>
    </row>
    <row r="14053" spans="1:1" x14ac:dyDescent="0.25">
      <c r="A14053" s="5"/>
    </row>
    <row r="14054" spans="1:1" x14ac:dyDescent="0.25">
      <c r="A14054" s="5"/>
    </row>
    <row r="14055" spans="1:1" x14ac:dyDescent="0.25">
      <c r="A14055" s="5"/>
    </row>
    <row r="14056" spans="1:1" x14ac:dyDescent="0.25">
      <c r="A14056" s="5"/>
    </row>
    <row r="14057" spans="1:1" x14ac:dyDescent="0.25">
      <c r="A14057" s="5"/>
    </row>
    <row r="14058" spans="1:1" x14ac:dyDescent="0.25">
      <c r="A14058" s="5"/>
    </row>
    <row r="14059" spans="1:1" x14ac:dyDescent="0.25">
      <c r="A14059" s="5"/>
    </row>
    <row r="14060" spans="1:1" x14ac:dyDescent="0.25">
      <c r="A14060" s="5"/>
    </row>
    <row r="14061" spans="1:1" x14ac:dyDescent="0.25">
      <c r="A14061" s="5"/>
    </row>
    <row r="14062" spans="1:1" x14ac:dyDescent="0.25">
      <c r="A14062" s="5"/>
    </row>
    <row r="14063" spans="1:1" x14ac:dyDescent="0.25">
      <c r="A14063" s="5"/>
    </row>
    <row r="14064" spans="1:1" x14ac:dyDescent="0.25">
      <c r="A14064" s="5"/>
    </row>
    <row r="14065" spans="1:1" x14ac:dyDescent="0.25">
      <c r="A14065" s="5"/>
    </row>
    <row r="14066" spans="1:1" x14ac:dyDescent="0.25">
      <c r="A14066" s="5"/>
    </row>
    <row r="14067" spans="1:1" x14ac:dyDescent="0.25">
      <c r="A14067" s="5"/>
    </row>
    <row r="14068" spans="1:1" x14ac:dyDescent="0.25">
      <c r="A14068" s="5"/>
    </row>
    <row r="14069" spans="1:1" x14ac:dyDescent="0.25">
      <c r="A14069" s="5"/>
    </row>
    <row r="14070" spans="1:1" x14ac:dyDescent="0.25">
      <c r="A14070" s="5"/>
    </row>
    <row r="14071" spans="1:1" x14ac:dyDescent="0.25">
      <c r="A14071" s="5"/>
    </row>
    <row r="14072" spans="1:1" x14ac:dyDescent="0.25">
      <c r="A14072" s="5"/>
    </row>
    <row r="14073" spans="1:1" x14ac:dyDescent="0.25">
      <c r="A14073" s="5"/>
    </row>
    <row r="14074" spans="1:1" x14ac:dyDescent="0.25">
      <c r="A14074" s="5"/>
    </row>
    <row r="14075" spans="1:1" x14ac:dyDescent="0.25">
      <c r="A14075" s="5"/>
    </row>
    <row r="14076" spans="1:1" x14ac:dyDescent="0.25">
      <c r="A14076" s="5"/>
    </row>
    <row r="14077" spans="1:1" x14ac:dyDescent="0.25">
      <c r="A14077" s="5"/>
    </row>
    <row r="14078" spans="1:1" x14ac:dyDescent="0.25">
      <c r="A14078" s="5"/>
    </row>
    <row r="14079" spans="1:1" x14ac:dyDescent="0.25">
      <c r="A14079" s="5"/>
    </row>
    <row r="14080" spans="1:1" x14ac:dyDescent="0.25">
      <c r="A14080" s="5"/>
    </row>
    <row r="14081" spans="1:1" x14ac:dyDescent="0.25">
      <c r="A14081" s="5"/>
    </row>
    <row r="14082" spans="1:1" x14ac:dyDescent="0.25">
      <c r="A14082" s="5"/>
    </row>
    <row r="14083" spans="1:1" x14ac:dyDescent="0.25">
      <c r="A14083" s="5"/>
    </row>
    <row r="14084" spans="1:1" x14ac:dyDescent="0.25">
      <c r="A14084" s="5"/>
    </row>
    <row r="14085" spans="1:1" x14ac:dyDescent="0.25">
      <c r="A14085" s="5"/>
    </row>
    <row r="14086" spans="1:1" x14ac:dyDescent="0.25">
      <c r="A14086" s="5"/>
    </row>
    <row r="14087" spans="1:1" x14ac:dyDescent="0.25">
      <c r="A14087" s="5"/>
    </row>
    <row r="14088" spans="1:1" x14ac:dyDescent="0.25">
      <c r="A14088" s="5"/>
    </row>
    <row r="14089" spans="1:1" x14ac:dyDescent="0.25">
      <c r="A14089" s="5"/>
    </row>
    <row r="14090" spans="1:1" x14ac:dyDescent="0.25">
      <c r="A14090" s="5"/>
    </row>
    <row r="14091" spans="1:1" x14ac:dyDescent="0.25">
      <c r="A14091" s="5"/>
    </row>
    <row r="14092" spans="1:1" x14ac:dyDescent="0.25">
      <c r="A14092" s="5"/>
    </row>
    <row r="14093" spans="1:1" x14ac:dyDescent="0.25">
      <c r="A14093" s="5"/>
    </row>
    <row r="14094" spans="1:1" x14ac:dyDescent="0.25">
      <c r="A14094" s="5"/>
    </row>
    <row r="14095" spans="1:1" x14ac:dyDescent="0.25">
      <c r="A14095" s="5"/>
    </row>
    <row r="14096" spans="1:1" x14ac:dyDescent="0.25">
      <c r="A14096" s="5"/>
    </row>
    <row r="14097" spans="1:1" x14ac:dyDescent="0.25">
      <c r="A14097" s="5"/>
    </row>
    <row r="14098" spans="1:1" x14ac:dyDescent="0.25">
      <c r="A14098" s="5"/>
    </row>
    <row r="14099" spans="1:1" x14ac:dyDescent="0.25">
      <c r="A14099" s="5"/>
    </row>
    <row r="14100" spans="1:1" x14ac:dyDescent="0.25">
      <c r="A14100" s="5"/>
    </row>
    <row r="14101" spans="1:1" x14ac:dyDescent="0.25">
      <c r="A14101" s="5"/>
    </row>
    <row r="14102" spans="1:1" x14ac:dyDescent="0.25">
      <c r="A14102" s="5"/>
    </row>
    <row r="14103" spans="1:1" x14ac:dyDescent="0.25">
      <c r="A14103" s="5"/>
    </row>
    <row r="14104" spans="1:1" x14ac:dyDescent="0.25">
      <c r="A14104" s="5"/>
    </row>
    <row r="14105" spans="1:1" x14ac:dyDescent="0.25">
      <c r="A14105" s="5"/>
    </row>
    <row r="14106" spans="1:1" x14ac:dyDescent="0.25">
      <c r="A14106" s="5"/>
    </row>
    <row r="14107" spans="1:1" x14ac:dyDescent="0.25">
      <c r="A14107" s="5"/>
    </row>
    <row r="14108" spans="1:1" x14ac:dyDescent="0.25">
      <c r="A14108" s="5"/>
    </row>
    <row r="14109" spans="1:1" x14ac:dyDescent="0.25">
      <c r="A14109" s="5"/>
    </row>
    <row r="14110" spans="1:1" x14ac:dyDescent="0.25">
      <c r="A14110" s="5"/>
    </row>
    <row r="14111" spans="1:1" x14ac:dyDescent="0.25">
      <c r="A14111" s="5"/>
    </row>
    <row r="14112" spans="1:1" x14ac:dyDescent="0.25">
      <c r="A14112" s="5"/>
    </row>
    <row r="14113" spans="1:1" x14ac:dyDescent="0.25">
      <c r="A14113" s="5"/>
    </row>
    <row r="14114" spans="1:1" x14ac:dyDescent="0.25">
      <c r="A14114" s="5"/>
    </row>
    <row r="14115" spans="1:1" x14ac:dyDescent="0.25">
      <c r="A14115" s="5"/>
    </row>
    <row r="14116" spans="1:1" x14ac:dyDescent="0.25">
      <c r="A14116" s="5"/>
    </row>
    <row r="14117" spans="1:1" x14ac:dyDescent="0.25">
      <c r="A14117" s="5"/>
    </row>
    <row r="14118" spans="1:1" x14ac:dyDescent="0.25">
      <c r="A14118" s="5"/>
    </row>
    <row r="14119" spans="1:1" x14ac:dyDescent="0.25">
      <c r="A14119" s="5"/>
    </row>
    <row r="14120" spans="1:1" x14ac:dyDescent="0.25">
      <c r="A14120" s="5"/>
    </row>
    <row r="14121" spans="1:1" x14ac:dyDescent="0.25">
      <c r="A14121" s="5"/>
    </row>
    <row r="14122" spans="1:1" x14ac:dyDescent="0.25">
      <c r="A14122" s="5"/>
    </row>
    <row r="14123" spans="1:1" x14ac:dyDescent="0.25">
      <c r="A14123" s="5"/>
    </row>
    <row r="14124" spans="1:1" x14ac:dyDescent="0.25">
      <c r="A14124" s="5"/>
    </row>
    <row r="14125" spans="1:1" x14ac:dyDescent="0.25">
      <c r="A14125" s="5"/>
    </row>
    <row r="14126" spans="1:1" x14ac:dyDescent="0.25">
      <c r="A14126" s="5"/>
    </row>
    <row r="14127" spans="1:1" x14ac:dyDescent="0.25">
      <c r="A14127" s="5"/>
    </row>
    <row r="14128" spans="1:1" x14ac:dyDescent="0.25">
      <c r="A14128" s="5"/>
    </row>
    <row r="14129" spans="1:1" x14ac:dyDescent="0.25">
      <c r="A14129" s="5"/>
    </row>
    <row r="14130" spans="1:1" x14ac:dyDescent="0.25">
      <c r="A14130" s="5"/>
    </row>
    <row r="14131" spans="1:1" x14ac:dyDescent="0.25">
      <c r="A14131" s="5"/>
    </row>
    <row r="14132" spans="1:1" x14ac:dyDescent="0.25">
      <c r="A14132" s="5"/>
    </row>
    <row r="14133" spans="1:1" x14ac:dyDescent="0.25">
      <c r="A14133" s="5"/>
    </row>
    <row r="14134" spans="1:1" x14ac:dyDescent="0.25">
      <c r="A14134" s="5"/>
    </row>
    <row r="14135" spans="1:1" x14ac:dyDescent="0.25">
      <c r="A14135" s="5"/>
    </row>
    <row r="14136" spans="1:1" x14ac:dyDescent="0.25">
      <c r="A14136" s="5"/>
    </row>
    <row r="14137" spans="1:1" x14ac:dyDescent="0.25">
      <c r="A14137" s="5"/>
    </row>
    <row r="14138" spans="1:1" x14ac:dyDescent="0.25">
      <c r="A14138" s="5"/>
    </row>
    <row r="14139" spans="1:1" x14ac:dyDescent="0.25">
      <c r="A14139" s="5"/>
    </row>
    <row r="14140" spans="1:1" x14ac:dyDescent="0.25">
      <c r="A14140" s="5"/>
    </row>
    <row r="14141" spans="1:1" x14ac:dyDescent="0.25">
      <c r="A14141" s="5"/>
    </row>
    <row r="14142" spans="1:1" x14ac:dyDescent="0.25">
      <c r="A14142" s="5"/>
    </row>
    <row r="14143" spans="1:1" x14ac:dyDescent="0.25">
      <c r="A14143" s="5"/>
    </row>
    <row r="14144" spans="1:1" x14ac:dyDescent="0.25">
      <c r="A14144" s="5"/>
    </row>
    <row r="14145" spans="1:1" x14ac:dyDescent="0.25">
      <c r="A14145" s="5"/>
    </row>
    <row r="14146" spans="1:1" x14ac:dyDescent="0.25">
      <c r="A14146" s="5"/>
    </row>
    <row r="14147" spans="1:1" x14ac:dyDescent="0.25">
      <c r="A14147" s="5"/>
    </row>
    <row r="14148" spans="1:1" x14ac:dyDescent="0.25">
      <c r="A14148" s="5"/>
    </row>
    <row r="14149" spans="1:1" x14ac:dyDescent="0.25">
      <c r="A14149" s="5"/>
    </row>
    <row r="14150" spans="1:1" x14ac:dyDescent="0.25">
      <c r="A14150" s="5"/>
    </row>
    <row r="14151" spans="1:1" x14ac:dyDescent="0.25">
      <c r="A14151" s="5"/>
    </row>
    <row r="14152" spans="1:1" x14ac:dyDescent="0.25">
      <c r="A14152" s="5"/>
    </row>
    <row r="14153" spans="1:1" x14ac:dyDescent="0.25">
      <c r="A14153" s="5"/>
    </row>
    <row r="14154" spans="1:1" x14ac:dyDescent="0.25">
      <c r="A14154" s="5"/>
    </row>
    <row r="14155" spans="1:1" x14ac:dyDescent="0.25">
      <c r="A14155" s="5"/>
    </row>
    <row r="14156" spans="1:1" x14ac:dyDescent="0.25">
      <c r="A14156" s="5"/>
    </row>
    <row r="14157" spans="1:1" x14ac:dyDescent="0.25">
      <c r="A14157" s="5"/>
    </row>
    <row r="14158" spans="1:1" x14ac:dyDescent="0.25">
      <c r="A14158" s="5"/>
    </row>
    <row r="14159" spans="1:1" x14ac:dyDescent="0.25">
      <c r="A14159" s="5"/>
    </row>
    <row r="14160" spans="1:1" x14ac:dyDescent="0.25">
      <c r="A14160" s="5"/>
    </row>
    <row r="14161" spans="1:1" x14ac:dyDescent="0.25">
      <c r="A14161" s="5"/>
    </row>
    <row r="14162" spans="1:1" x14ac:dyDescent="0.25">
      <c r="A14162" s="5"/>
    </row>
    <row r="14163" spans="1:1" x14ac:dyDescent="0.25">
      <c r="A14163" s="5"/>
    </row>
    <row r="14164" spans="1:1" x14ac:dyDescent="0.25">
      <c r="A14164" s="5"/>
    </row>
    <row r="14165" spans="1:1" x14ac:dyDescent="0.25">
      <c r="A14165" s="5"/>
    </row>
    <row r="14166" spans="1:1" x14ac:dyDescent="0.25">
      <c r="A14166" s="5"/>
    </row>
    <row r="14167" spans="1:1" x14ac:dyDescent="0.25">
      <c r="A14167" s="5"/>
    </row>
    <row r="14168" spans="1:1" x14ac:dyDescent="0.25">
      <c r="A14168" s="5"/>
    </row>
    <row r="14169" spans="1:1" x14ac:dyDescent="0.25">
      <c r="A14169" s="5"/>
    </row>
    <row r="14170" spans="1:1" x14ac:dyDescent="0.25">
      <c r="A14170" s="5"/>
    </row>
    <row r="14171" spans="1:1" x14ac:dyDescent="0.25">
      <c r="A14171" s="5"/>
    </row>
    <row r="14172" spans="1:1" x14ac:dyDescent="0.25">
      <c r="A14172" s="5"/>
    </row>
    <row r="14173" spans="1:1" x14ac:dyDescent="0.25">
      <c r="A14173" s="5"/>
    </row>
    <row r="14174" spans="1:1" x14ac:dyDescent="0.25">
      <c r="A14174" s="5"/>
    </row>
    <row r="14175" spans="1:1" x14ac:dyDescent="0.25">
      <c r="A14175" s="5"/>
    </row>
    <row r="14176" spans="1:1" x14ac:dyDescent="0.25">
      <c r="A14176" s="5"/>
    </row>
    <row r="14177" spans="1:1" x14ac:dyDescent="0.25">
      <c r="A14177" s="5"/>
    </row>
    <row r="14178" spans="1:1" x14ac:dyDescent="0.25">
      <c r="A14178" s="5"/>
    </row>
    <row r="14179" spans="1:1" x14ac:dyDescent="0.25">
      <c r="A14179" s="5"/>
    </row>
    <row r="14180" spans="1:1" x14ac:dyDescent="0.25">
      <c r="A14180" s="5"/>
    </row>
    <row r="14181" spans="1:1" x14ac:dyDescent="0.25">
      <c r="A14181" s="5"/>
    </row>
    <row r="14182" spans="1:1" x14ac:dyDescent="0.25">
      <c r="A14182" s="5"/>
    </row>
    <row r="14183" spans="1:1" x14ac:dyDescent="0.25">
      <c r="A14183" s="5"/>
    </row>
    <row r="14184" spans="1:1" x14ac:dyDescent="0.25">
      <c r="A14184" s="5"/>
    </row>
    <row r="14185" spans="1:1" x14ac:dyDescent="0.25">
      <c r="A14185" s="5"/>
    </row>
    <row r="14186" spans="1:1" x14ac:dyDescent="0.25">
      <c r="A14186" s="5"/>
    </row>
    <row r="14187" spans="1:1" x14ac:dyDescent="0.25">
      <c r="A14187" s="5"/>
    </row>
    <row r="14188" spans="1:1" x14ac:dyDescent="0.25">
      <c r="A14188" s="5"/>
    </row>
    <row r="14189" spans="1:1" x14ac:dyDescent="0.25">
      <c r="A14189" s="5"/>
    </row>
    <row r="14190" spans="1:1" x14ac:dyDescent="0.25">
      <c r="A14190" s="5"/>
    </row>
    <row r="14191" spans="1:1" x14ac:dyDescent="0.25">
      <c r="A14191" s="5"/>
    </row>
    <row r="14192" spans="1:1" x14ac:dyDescent="0.25">
      <c r="A14192" s="5"/>
    </row>
    <row r="14193" spans="1:1" x14ac:dyDescent="0.25">
      <c r="A14193" s="5"/>
    </row>
    <row r="14194" spans="1:1" x14ac:dyDescent="0.25">
      <c r="A14194" s="5"/>
    </row>
    <row r="14195" spans="1:1" x14ac:dyDescent="0.25">
      <c r="A14195" s="5"/>
    </row>
    <row r="14196" spans="1:1" x14ac:dyDescent="0.25">
      <c r="A14196" s="5"/>
    </row>
    <row r="14197" spans="1:1" x14ac:dyDescent="0.25">
      <c r="A14197" s="5"/>
    </row>
    <row r="14198" spans="1:1" x14ac:dyDescent="0.25">
      <c r="A14198" s="5"/>
    </row>
    <row r="14199" spans="1:1" x14ac:dyDescent="0.25">
      <c r="A14199" s="5"/>
    </row>
    <row r="14200" spans="1:1" x14ac:dyDescent="0.25">
      <c r="A14200" s="5"/>
    </row>
    <row r="14201" spans="1:1" x14ac:dyDescent="0.25">
      <c r="A14201" s="5"/>
    </row>
    <row r="14202" spans="1:1" x14ac:dyDescent="0.25">
      <c r="A14202" s="5"/>
    </row>
    <row r="14203" spans="1:1" x14ac:dyDescent="0.25">
      <c r="A14203" s="5"/>
    </row>
    <row r="14204" spans="1:1" x14ac:dyDescent="0.25">
      <c r="A14204" s="5"/>
    </row>
    <row r="14205" spans="1:1" x14ac:dyDescent="0.25">
      <c r="A14205" s="5"/>
    </row>
    <row r="14206" spans="1:1" x14ac:dyDescent="0.25">
      <c r="A14206" s="5"/>
    </row>
    <row r="14207" spans="1:1" x14ac:dyDescent="0.25">
      <c r="A14207" s="5"/>
    </row>
    <row r="14208" spans="1:1" x14ac:dyDescent="0.25">
      <c r="A14208" s="5"/>
    </row>
    <row r="14209" spans="1:1" x14ac:dyDescent="0.25">
      <c r="A14209" s="5"/>
    </row>
    <row r="14210" spans="1:1" x14ac:dyDescent="0.25">
      <c r="A14210" s="5"/>
    </row>
    <row r="14211" spans="1:1" x14ac:dyDescent="0.25">
      <c r="A14211" s="5"/>
    </row>
    <row r="14212" spans="1:1" x14ac:dyDescent="0.25">
      <c r="A14212" s="5"/>
    </row>
    <row r="14213" spans="1:1" x14ac:dyDescent="0.25">
      <c r="A14213" s="5"/>
    </row>
    <row r="14214" spans="1:1" x14ac:dyDescent="0.25">
      <c r="A14214" s="5"/>
    </row>
    <row r="14215" spans="1:1" x14ac:dyDescent="0.25">
      <c r="A14215" s="5"/>
    </row>
    <row r="14216" spans="1:1" x14ac:dyDescent="0.25">
      <c r="A14216" s="5"/>
    </row>
    <row r="14217" spans="1:1" x14ac:dyDescent="0.25">
      <c r="A14217" s="5"/>
    </row>
    <row r="14218" spans="1:1" x14ac:dyDescent="0.25">
      <c r="A14218" s="5"/>
    </row>
    <row r="14219" spans="1:1" x14ac:dyDescent="0.25">
      <c r="A14219" s="5"/>
    </row>
    <row r="14220" spans="1:1" x14ac:dyDescent="0.25">
      <c r="A14220" s="5"/>
    </row>
    <row r="14221" spans="1:1" x14ac:dyDescent="0.25">
      <c r="A14221" s="5"/>
    </row>
    <row r="14222" spans="1:1" x14ac:dyDescent="0.25">
      <c r="A14222" s="5"/>
    </row>
    <row r="14223" spans="1:1" x14ac:dyDescent="0.25">
      <c r="A14223" s="5"/>
    </row>
    <row r="14224" spans="1:1" x14ac:dyDescent="0.25">
      <c r="A14224" s="5"/>
    </row>
    <row r="14225" spans="1:1" x14ac:dyDescent="0.25">
      <c r="A14225" s="5"/>
    </row>
    <row r="14226" spans="1:1" x14ac:dyDescent="0.25">
      <c r="A14226" s="5"/>
    </row>
    <row r="14227" spans="1:1" x14ac:dyDescent="0.25">
      <c r="A14227" s="5"/>
    </row>
    <row r="14228" spans="1:1" x14ac:dyDescent="0.25">
      <c r="A14228" s="5"/>
    </row>
    <row r="14229" spans="1:1" x14ac:dyDescent="0.25">
      <c r="A14229" s="5"/>
    </row>
    <row r="14230" spans="1:1" x14ac:dyDescent="0.25">
      <c r="A14230" s="5"/>
    </row>
    <row r="14231" spans="1:1" x14ac:dyDescent="0.25">
      <c r="A14231" s="5"/>
    </row>
    <row r="14232" spans="1:1" x14ac:dyDescent="0.25">
      <c r="A14232" s="5"/>
    </row>
    <row r="14233" spans="1:1" x14ac:dyDescent="0.25">
      <c r="A14233" s="5"/>
    </row>
    <row r="14234" spans="1:1" x14ac:dyDescent="0.25">
      <c r="A14234" s="5"/>
    </row>
    <row r="14235" spans="1:1" x14ac:dyDescent="0.25">
      <c r="A14235" s="5"/>
    </row>
    <row r="14236" spans="1:1" x14ac:dyDescent="0.25">
      <c r="A14236" s="5"/>
    </row>
    <row r="14237" spans="1:1" x14ac:dyDescent="0.25">
      <c r="A14237" s="5"/>
    </row>
    <row r="14238" spans="1:1" x14ac:dyDescent="0.25">
      <c r="A14238" s="5"/>
    </row>
    <row r="14239" spans="1:1" x14ac:dyDescent="0.25">
      <c r="A14239" s="5"/>
    </row>
    <row r="14240" spans="1:1" x14ac:dyDescent="0.25">
      <c r="A14240" s="5"/>
    </row>
    <row r="14241" spans="1:1" x14ac:dyDescent="0.25">
      <c r="A14241" s="5"/>
    </row>
    <row r="14242" spans="1:1" x14ac:dyDescent="0.25">
      <c r="A14242" s="5"/>
    </row>
    <row r="14243" spans="1:1" x14ac:dyDescent="0.25">
      <c r="A14243" s="5"/>
    </row>
    <row r="14244" spans="1:1" x14ac:dyDescent="0.25">
      <c r="A14244" s="5"/>
    </row>
    <row r="14245" spans="1:1" x14ac:dyDescent="0.25">
      <c r="A14245" s="5"/>
    </row>
    <row r="14246" spans="1:1" x14ac:dyDescent="0.25">
      <c r="A14246" s="5"/>
    </row>
    <row r="14247" spans="1:1" x14ac:dyDescent="0.25">
      <c r="A14247" s="5"/>
    </row>
    <row r="14248" spans="1:1" x14ac:dyDescent="0.25">
      <c r="A14248" s="5"/>
    </row>
    <row r="14249" spans="1:1" x14ac:dyDescent="0.25">
      <c r="A14249" s="5"/>
    </row>
    <row r="14250" spans="1:1" x14ac:dyDescent="0.25">
      <c r="A14250" s="5"/>
    </row>
    <row r="14251" spans="1:1" x14ac:dyDescent="0.25">
      <c r="A14251" s="5"/>
    </row>
    <row r="14252" spans="1:1" x14ac:dyDescent="0.25">
      <c r="A14252" s="5"/>
    </row>
    <row r="14253" spans="1:1" x14ac:dyDescent="0.25">
      <c r="A14253" s="5"/>
    </row>
    <row r="14254" spans="1:1" x14ac:dyDescent="0.25">
      <c r="A14254" s="5"/>
    </row>
    <row r="14255" spans="1:1" x14ac:dyDescent="0.25">
      <c r="A14255" s="5"/>
    </row>
    <row r="14256" spans="1:1" x14ac:dyDescent="0.25">
      <c r="A14256" s="5"/>
    </row>
    <row r="14257" spans="1:1" x14ac:dyDescent="0.25">
      <c r="A14257" s="5"/>
    </row>
    <row r="14258" spans="1:1" x14ac:dyDescent="0.25">
      <c r="A14258" s="5"/>
    </row>
    <row r="14259" spans="1:1" x14ac:dyDescent="0.25">
      <c r="A14259" s="5"/>
    </row>
    <row r="14260" spans="1:1" x14ac:dyDescent="0.25">
      <c r="A14260" s="5"/>
    </row>
    <row r="14261" spans="1:1" x14ac:dyDescent="0.25">
      <c r="A14261" s="5"/>
    </row>
    <row r="14262" spans="1:1" x14ac:dyDescent="0.25">
      <c r="A14262" s="5"/>
    </row>
    <row r="14263" spans="1:1" x14ac:dyDescent="0.25">
      <c r="A14263" s="5"/>
    </row>
    <row r="14264" spans="1:1" x14ac:dyDescent="0.25">
      <c r="A14264" s="5"/>
    </row>
    <row r="14265" spans="1:1" x14ac:dyDescent="0.25">
      <c r="A14265" s="5"/>
    </row>
    <row r="14266" spans="1:1" x14ac:dyDescent="0.25">
      <c r="A14266" s="5"/>
    </row>
    <row r="14267" spans="1:1" x14ac:dyDescent="0.25">
      <c r="A14267" s="5"/>
    </row>
    <row r="14268" spans="1:1" x14ac:dyDescent="0.25">
      <c r="A14268" s="5"/>
    </row>
    <row r="14269" spans="1:1" x14ac:dyDescent="0.25">
      <c r="A14269" s="5"/>
    </row>
    <row r="14270" spans="1:1" x14ac:dyDescent="0.25">
      <c r="A14270" s="5"/>
    </row>
    <row r="14271" spans="1:1" x14ac:dyDescent="0.25">
      <c r="A14271" s="5"/>
    </row>
    <row r="14272" spans="1:1" x14ac:dyDescent="0.25">
      <c r="A14272" s="5"/>
    </row>
    <row r="14273" spans="1:1" x14ac:dyDescent="0.25">
      <c r="A14273" s="5"/>
    </row>
    <row r="14274" spans="1:1" x14ac:dyDescent="0.25">
      <c r="A14274" s="5"/>
    </row>
    <row r="14275" spans="1:1" x14ac:dyDescent="0.25">
      <c r="A14275" s="5"/>
    </row>
    <row r="14276" spans="1:1" x14ac:dyDescent="0.25">
      <c r="A14276" s="5"/>
    </row>
    <row r="14277" spans="1:1" x14ac:dyDescent="0.25">
      <c r="A14277" s="5"/>
    </row>
    <row r="14278" spans="1:1" x14ac:dyDescent="0.25">
      <c r="A14278" s="5"/>
    </row>
    <row r="14279" spans="1:1" x14ac:dyDescent="0.25">
      <c r="A14279" s="5"/>
    </row>
    <row r="14280" spans="1:1" x14ac:dyDescent="0.25">
      <c r="A14280" s="5"/>
    </row>
    <row r="14281" spans="1:1" x14ac:dyDescent="0.25">
      <c r="A14281" s="5"/>
    </row>
    <row r="14282" spans="1:1" x14ac:dyDescent="0.25">
      <c r="A14282" s="5"/>
    </row>
    <row r="14283" spans="1:1" x14ac:dyDescent="0.25">
      <c r="A14283" s="5"/>
    </row>
    <row r="14284" spans="1:1" x14ac:dyDescent="0.25">
      <c r="A14284" s="5"/>
    </row>
    <row r="14285" spans="1:1" x14ac:dyDescent="0.25">
      <c r="A14285" s="5"/>
    </row>
    <row r="14286" spans="1:1" x14ac:dyDescent="0.25">
      <c r="A14286" s="5"/>
    </row>
    <row r="14287" spans="1:1" x14ac:dyDescent="0.25">
      <c r="A14287" s="5"/>
    </row>
    <row r="14288" spans="1:1" x14ac:dyDescent="0.25">
      <c r="A14288" s="5"/>
    </row>
    <row r="14289" spans="1:1" x14ac:dyDescent="0.25">
      <c r="A14289" s="5"/>
    </row>
    <row r="14290" spans="1:1" x14ac:dyDescent="0.25">
      <c r="A14290" s="5"/>
    </row>
    <row r="14291" spans="1:1" x14ac:dyDescent="0.25">
      <c r="A14291" s="5"/>
    </row>
    <row r="14292" spans="1:1" x14ac:dyDescent="0.25">
      <c r="A14292" s="5"/>
    </row>
    <row r="14293" spans="1:1" x14ac:dyDescent="0.25">
      <c r="A14293" s="5"/>
    </row>
    <row r="14294" spans="1:1" x14ac:dyDescent="0.25">
      <c r="A14294" s="5"/>
    </row>
    <row r="14295" spans="1:1" x14ac:dyDescent="0.25">
      <c r="A14295" s="5"/>
    </row>
    <row r="14296" spans="1:1" x14ac:dyDescent="0.25">
      <c r="A14296" s="5"/>
    </row>
    <row r="14297" spans="1:1" x14ac:dyDescent="0.25">
      <c r="A14297" s="5"/>
    </row>
    <row r="14298" spans="1:1" x14ac:dyDescent="0.25">
      <c r="A14298" s="5"/>
    </row>
    <row r="14299" spans="1:1" x14ac:dyDescent="0.25">
      <c r="A14299" s="5"/>
    </row>
    <row r="14300" spans="1:1" x14ac:dyDescent="0.25">
      <c r="A14300" s="5"/>
    </row>
    <row r="14301" spans="1:1" x14ac:dyDescent="0.25">
      <c r="A14301" s="5"/>
    </row>
    <row r="14302" spans="1:1" x14ac:dyDescent="0.25">
      <c r="A14302" s="5"/>
    </row>
    <row r="14303" spans="1:1" x14ac:dyDescent="0.25">
      <c r="A14303" s="5"/>
    </row>
    <row r="14304" spans="1:1" x14ac:dyDescent="0.25">
      <c r="A14304" s="5"/>
    </row>
    <row r="14305" spans="1:1" x14ac:dyDescent="0.25">
      <c r="A14305" s="5"/>
    </row>
    <row r="14306" spans="1:1" x14ac:dyDescent="0.25">
      <c r="A14306" s="5"/>
    </row>
    <row r="14307" spans="1:1" x14ac:dyDescent="0.25">
      <c r="A14307" s="5"/>
    </row>
    <row r="14308" spans="1:1" x14ac:dyDescent="0.25">
      <c r="A14308" s="5"/>
    </row>
    <row r="14309" spans="1:1" x14ac:dyDescent="0.25">
      <c r="A14309" s="5"/>
    </row>
    <row r="14310" spans="1:1" x14ac:dyDescent="0.25">
      <c r="A14310" s="5"/>
    </row>
    <row r="14311" spans="1:1" x14ac:dyDescent="0.25">
      <c r="A14311" s="5"/>
    </row>
    <row r="14312" spans="1:1" x14ac:dyDescent="0.25">
      <c r="A14312" s="5"/>
    </row>
    <row r="14313" spans="1:1" x14ac:dyDescent="0.25">
      <c r="A14313" s="5"/>
    </row>
    <row r="14314" spans="1:1" x14ac:dyDescent="0.25">
      <c r="A14314" s="5"/>
    </row>
    <row r="14315" spans="1:1" x14ac:dyDescent="0.25">
      <c r="A14315" s="5"/>
    </row>
    <row r="14316" spans="1:1" x14ac:dyDescent="0.25">
      <c r="A14316" s="5"/>
    </row>
    <row r="14317" spans="1:1" x14ac:dyDescent="0.25">
      <c r="A14317" s="5"/>
    </row>
    <row r="14318" spans="1:1" x14ac:dyDescent="0.25">
      <c r="A14318" s="5"/>
    </row>
    <row r="14319" spans="1:1" x14ac:dyDescent="0.25">
      <c r="A14319" s="5"/>
    </row>
    <row r="14320" spans="1:1" x14ac:dyDescent="0.25">
      <c r="A14320" s="5"/>
    </row>
    <row r="14321" spans="1:1" x14ac:dyDescent="0.25">
      <c r="A14321" s="5"/>
    </row>
    <row r="14322" spans="1:1" x14ac:dyDescent="0.25">
      <c r="A14322" s="5"/>
    </row>
    <row r="14323" spans="1:1" x14ac:dyDescent="0.25">
      <c r="A14323" s="5"/>
    </row>
    <row r="14324" spans="1:1" x14ac:dyDescent="0.25">
      <c r="A14324" s="5"/>
    </row>
    <row r="14325" spans="1:1" x14ac:dyDescent="0.25">
      <c r="A14325" s="5"/>
    </row>
    <row r="14326" spans="1:1" x14ac:dyDescent="0.25">
      <c r="A14326" s="5"/>
    </row>
    <row r="14327" spans="1:1" x14ac:dyDescent="0.25">
      <c r="A14327" s="5"/>
    </row>
    <row r="14328" spans="1:1" x14ac:dyDescent="0.25">
      <c r="A14328" s="5"/>
    </row>
    <row r="14329" spans="1:1" x14ac:dyDescent="0.25">
      <c r="A14329" s="5"/>
    </row>
    <row r="14330" spans="1:1" x14ac:dyDescent="0.25">
      <c r="A14330" s="5"/>
    </row>
    <row r="14331" spans="1:1" x14ac:dyDescent="0.25">
      <c r="A14331" s="5"/>
    </row>
    <row r="14332" spans="1:1" x14ac:dyDescent="0.25">
      <c r="A14332" s="5"/>
    </row>
    <row r="14333" spans="1:1" x14ac:dyDescent="0.25">
      <c r="A14333" s="5"/>
    </row>
    <row r="14334" spans="1:1" x14ac:dyDescent="0.25">
      <c r="A14334" s="5"/>
    </row>
    <row r="14335" spans="1:1" x14ac:dyDescent="0.25">
      <c r="A14335" s="5"/>
    </row>
    <row r="14336" spans="1:1" x14ac:dyDescent="0.25">
      <c r="A14336" s="5"/>
    </row>
    <row r="14337" spans="1:1" x14ac:dyDescent="0.25">
      <c r="A14337" s="5"/>
    </row>
    <row r="14338" spans="1:1" x14ac:dyDescent="0.25">
      <c r="A14338" s="5"/>
    </row>
    <row r="14339" spans="1:1" x14ac:dyDescent="0.25">
      <c r="A14339" s="5"/>
    </row>
    <row r="14340" spans="1:1" x14ac:dyDescent="0.25">
      <c r="A14340" s="5"/>
    </row>
    <row r="14341" spans="1:1" x14ac:dyDescent="0.25">
      <c r="A14341" s="5"/>
    </row>
    <row r="14342" spans="1:1" x14ac:dyDescent="0.25">
      <c r="A14342" s="5"/>
    </row>
    <row r="14343" spans="1:1" x14ac:dyDescent="0.25">
      <c r="A14343" s="5"/>
    </row>
    <row r="14344" spans="1:1" x14ac:dyDescent="0.25">
      <c r="A14344" s="5"/>
    </row>
    <row r="14345" spans="1:1" x14ac:dyDescent="0.25">
      <c r="A14345" s="5"/>
    </row>
    <row r="14346" spans="1:1" x14ac:dyDescent="0.25">
      <c r="A14346" s="5"/>
    </row>
    <row r="14347" spans="1:1" x14ac:dyDescent="0.25">
      <c r="A14347" s="5"/>
    </row>
    <row r="14348" spans="1:1" x14ac:dyDescent="0.25">
      <c r="A14348" s="5"/>
    </row>
    <row r="14349" spans="1:1" x14ac:dyDescent="0.25">
      <c r="A14349" s="5"/>
    </row>
    <row r="14350" spans="1:1" x14ac:dyDescent="0.25">
      <c r="A14350" s="5"/>
    </row>
    <row r="14351" spans="1:1" x14ac:dyDescent="0.25">
      <c r="A14351" s="5"/>
    </row>
    <row r="14352" spans="1:1" x14ac:dyDescent="0.25">
      <c r="A14352" s="5"/>
    </row>
    <row r="14353" spans="1:1" x14ac:dyDescent="0.25">
      <c r="A14353" s="5"/>
    </row>
    <row r="14354" spans="1:1" x14ac:dyDescent="0.25">
      <c r="A14354" s="5"/>
    </row>
    <row r="14355" spans="1:1" x14ac:dyDescent="0.25">
      <c r="A14355" s="5"/>
    </row>
    <row r="14356" spans="1:1" x14ac:dyDescent="0.25">
      <c r="A14356" s="5"/>
    </row>
    <row r="14357" spans="1:1" x14ac:dyDescent="0.25">
      <c r="A14357" s="5"/>
    </row>
    <row r="14358" spans="1:1" x14ac:dyDescent="0.25">
      <c r="A14358" s="5"/>
    </row>
    <row r="14359" spans="1:1" x14ac:dyDescent="0.25">
      <c r="A14359" s="5"/>
    </row>
    <row r="14360" spans="1:1" x14ac:dyDescent="0.25">
      <c r="A14360" s="5"/>
    </row>
    <row r="14361" spans="1:1" x14ac:dyDescent="0.25">
      <c r="A14361" s="5"/>
    </row>
    <row r="14362" spans="1:1" x14ac:dyDescent="0.25">
      <c r="A14362" s="5"/>
    </row>
    <row r="14363" spans="1:1" x14ac:dyDescent="0.25">
      <c r="A14363" s="5"/>
    </row>
    <row r="14364" spans="1:1" x14ac:dyDescent="0.25">
      <c r="A14364" s="5"/>
    </row>
    <row r="14365" spans="1:1" x14ac:dyDescent="0.25">
      <c r="A14365" s="5"/>
    </row>
    <row r="14366" spans="1:1" x14ac:dyDescent="0.25">
      <c r="A14366" s="5"/>
    </row>
    <row r="14367" spans="1:1" x14ac:dyDescent="0.25">
      <c r="A14367" s="5"/>
    </row>
    <row r="14368" spans="1:1" x14ac:dyDescent="0.25">
      <c r="A14368" s="5"/>
    </row>
    <row r="14369" spans="1:1" x14ac:dyDescent="0.25">
      <c r="A14369" s="5"/>
    </row>
    <row r="14370" spans="1:1" x14ac:dyDescent="0.25">
      <c r="A14370" s="5"/>
    </row>
    <row r="14371" spans="1:1" x14ac:dyDescent="0.25">
      <c r="A14371" s="5"/>
    </row>
    <row r="14372" spans="1:1" x14ac:dyDescent="0.25">
      <c r="A14372" s="5"/>
    </row>
    <row r="14373" spans="1:1" x14ac:dyDescent="0.25">
      <c r="A14373" s="5"/>
    </row>
    <row r="14374" spans="1:1" x14ac:dyDescent="0.25">
      <c r="A14374" s="5"/>
    </row>
    <row r="14375" spans="1:1" x14ac:dyDescent="0.25">
      <c r="A14375" s="5"/>
    </row>
    <row r="14376" spans="1:1" x14ac:dyDescent="0.25">
      <c r="A14376" s="5"/>
    </row>
    <row r="14377" spans="1:1" x14ac:dyDescent="0.25">
      <c r="A14377" s="5"/>
    </row>
    <row r="14378" spans="1:1" x14ac:dyDescent="0.25">
      <c r="A14378" s="5"/>
    </row>
    <row r="14379" spans="1:1" x14ac:dyDescent="0.25">
      <c r="A14379" s="5"/>
    </row>
    <row r="14380" spans="1:1" x14ac:dyDescent="0.25">
      <c r="A14380" s="5"/>
    </row>
    <row r="14381" spans="1:1" x14ac:dyDescent="0.25">
      <c r="A14381" s="5"/>
    </row>
    <row r="14382" spans="1:1" x14ac:dyDescent="0.25">
      <c r="A14382" s="5"/>
    </row>
    <row r="14383" spans="1:1" x14ac:dyDescent="0.25">
      <c r="A14383" s="5"/>
    </row>
    <row r="14384" spans="1:1" x14ac:dyDescent="0.25">
      <c r="A14384" s="5"/>
    </row>
    <row r="14385" spans="1:1" x14ac:dyDescent="0.25">
      <c r="A14385" s="5"/>
    </row>
    <row r="14386" spans="1:1" x14ac:dyDescent="0.25">
      <c r="A14386" s="5"/>
    </row>
    <row r="14387" spans="1:1" x14ac:dyDescent="0.25">
      <c r="A14387" s="5"/>
    </row>
    <row r="14388" spans="1:1" x14ac:dyDescent="0.25">
      <c r="A14388" s="5"/>
    </row>
    <row r="14389" spans="1:1" x14ac:dyDescent="0.25">
      <c r="A14389" s="5"/>
    </row>
    <row r="14390" spans="1:1" x14ac:dyDescent="0.25">
      <c r="A14390" s="5"/>
    </row>
    <row r="14391" spans="1:1" x14ac:dyDescent="0.25">
      <c r="A14391" s="5"/>
    </row>
    <row r="14392" spans="1:1" x14ac:dyDescent="0.25">
      <c r="A14392" s="5"/>
    </row>
    <row r="14393" spans="1:1" x14ac:dyDescent="0.25">
      <c r="A14393" s="5"/>
    </row>
    <row r="14394" spans="1:1" x14ac:dyDescent="0.25">
      <c r="A14394" s="5"/>
    </row>
    <row r="14395" spans="1:1" x14ac:dyDescent="0.25">
      <c r="A14395" s="5"/>
    </row>
    <row r="14396" spans="1:1" x14ac:dyDescent="0.25">
      <c r="A14396" s="5"/>
    </row>
    <row r="14397" spans="1:1" x14ac:dyDescent="0.25">
      <c r="A14397" s="5"/>
    </row>
    <row r="14398" spans="1:1" x14ac:dyDescent="0.25">
      <c r="A14398" s="5"/>
    </row>
    <row r="14399" spans="1:1" x14ac:dyDescent="0.25">
      <c r="A14399" s="5"/>
    </row>
    <row r="14400" spans="1:1" x14ac:dyDescent="0.25">
      <c r="A14400" s="5"/>
    </row>
    <row r="14401" spans="1:1" x14ac:dyDescent="0.25">
      <c r="A14401" s="5"/>
    </row>
    <row r="14402" spans="1:1" x14ac:dyDescent="0.25">
      <c r="A14402" s="5"/>
    </row>
    <row r="14403" spans="1:1" x14ac:dyDescent="0.25">
      <c r="A14403" s="5"/>
    </row>
    <row r="14404" spans="1:1" x14ac:dyDescent="0.25">
      <c r="A14404" s="5"/>
    </row>
    <row r="14405" spans="1:1" x14ac:dyDescent="0.25">
      <c r="A14405" s="5"/>
    </row>
    <row r="14406" spans="1:1" x14ac:dyDescent="0.25">
      <c r="A14406" s="5"/>
    </row>
    <row r="14407" spans="1:1" x14ac:dyDescent="0.25">
      <c r="A14407" s="5"/>
    </row>
    <row r="14408" spans="1:1" x14ac:dyDescent="0.25">
      <c r="A14408" s="5"/>
    </row>
    <row r="14409" spans="1:1" x14ac:dyDescent="0.25">
      <c r="A14409" s="5"/>
    </row>
    <row r="14410" spans="1:1" x14ac:dyDescent="0.25">
      <c r="A14410" s="5"/>
    </row>
    <row r="14411" spans="1:1" x14ac:dyDescent="0.25">
      <c r="A14411" s="5"/>
    </row>
    <row r="14412" spans="1:1" x14ac:dyDescent="0.25">
      <c r="A14412" s="5"/>
    </row>
    <row r="14413" spans="1:1" x14ac:dyDescent="0.25">
      <c r="A14413" s="5"/>
    </row>
    <row r="14414" spans="1:1" x14ac:dyDescent="0.25">
      <c r="A14414" s="5"/>
    </row>
    <row r="14415" spans="1:1" x14ac:dyDescent="0.25">
      <c r="A14415" s="5"/>
    </row>
    <row r="14416" spans="1:1" x14ac:dyDescent="0.25">
      <c r="A14416" s="5"/>
    </row>
    <row r="14417" spans="1:1" x14ac:dyDescent="0.25">
      <c r="A14417" s="5"/>
    </row>
    <row r="14418" spans="1:1" x14ac:dyDescent="0.25">
      <c r="A14418" s="5"/>
    </row>
    <row r="14419" spans="1:1" x14ac:dyDescent="0.25">
      <c r="A14419" s="5"/>
    </row>
    <row r="14420" spans="1:1" x14ac:dyDescent="0.25">
      <c r="A14420" s="5"/>
    </row>
    <row r="14421" spans="1:1" x14ac:dyDescent="0.25">
      <c r="A14421" s="5"/>
    </row>
    <row r="14422" spans="1:1" x14ac:dyDescent="0.25">
      <c r="A14422" s="5"/>
    </row>
    <row r="14423" spans="1:1" x14ac:dyDescent="0.25">
      <c r="A14423" s="5"/>
    </row>
    <row r="14424" spans="1:1" x14ac:dyDescent="0.25">
      <c r="A14424" s="5"/>
    </row>
    <row r="14425" spans="1:1" x14ac:dyDescent="0.25">
      <c r="A14425" s="5"/>
    </row>
    <row r="14426" spans="1:1" x14ac:dyDescent="0.25">
      <c r="A14426" s="5"/>
    </row>
    <row r="14427" spans="1:1" x14ac:dyDescent="0.25">
      <c r="A14427" s="5"/>
    </row>
    <row r="14428" spans="1:1" x14ac:dyDescent="0.25">
      <c r="A14428" s="5"/>
    </row>
    <row r="14429" spans="1:1" x14ac:dyDescent="0.25">
      <c r="A14429" s="5"/>
    </row>
    <row r="14430" spans="1:1" x14ac:dyDescent="0.25">
      <c r="A14430" s="5"/>
    </row>
    <row r="14431" spans="1:1" x14ac:dyDescent="0.25">
      <c r="A14431" s="5"/>
    </row>
    <row r="14432" spans="1:1" x14ac:dyDescent="0.25">
      <c r="A14432" s="5"/>
    </row>
    <row r="14433" spans="1:1" x14ac:dyDescent="0.25">
      <c r="A14433" s="5"/>
    </row>
    <row r="14434" spans="1:1" x14ac:dyDescent="0.25">
      <c r="A14434" s="5"/>
    </row>
    <row r="14435" spans="1:1" x14ac:dyDescent="0.25">
      <c r="A14435" s="5"/>
    </row>
    <row r="14436" spans="1:1" x14ac:dyDescent="0.25">
      <c r="A14436" s="5"/>
    </row>
    <row r="14437" spans="1:1" x14ac:dyDescent="0.25">
      <c r="A14437" s="5"/>
    </row>
    <row r="14438" spans="1:1" x14ac:dyDescent="0.25">
      <c r="A14438" s="5"/>
    </row>
    <row r="14439" spans="1:1" x14ac:dyDescent="0.25">
      <c r="A14439" s="5"/>
    </row>
    <row r="14440" spans="1:1" x14ac:dyDescent="0.25">
      <c r="A14440" s="5"/>
    </row>
    <row r="14441" spans="1:1" x14ac:dyDescent="0.25">
      <c r="A14441" s="5"/>
    </row>
    <row r="14442" spans="1:1" x14ac:dyDescent="0.25">
      <c r="A14442" s="5"/>
    </row>
    <row r="14443" spans="1:1" x14ac:dyDescent="0.25">
      <c r="A14443" s="5"/>
    </row>
    <row r="14444" spans="1:1" x14ac:dyDescent="0.25">
      <c r="A14444" s="5"/>
    </row>
    <row r="14445" spans="1:1" x14ac:dyDescent="0.25">
      <c r="A14445" s="5"/>
    </row>
    <row r="14446" spans="1:1" x14ac:dyDescent="0.25">
      <c r="A14446" s="5"/>
    </row>
    <row r="14447" spans="1:1" x14ac:dyDescent="0.25">
      <c r="A14447" s="5"/>
    </row>
    <row r="14448" spans="1:1" x14ac:dyDescent="0.25">
      <c r="A14448" s="5"/>
    </row>
    <row r="14449" spans="1:1" x14ac:dyDescent="0.25">
      <c r="A14449" s="5"/>
    </row>
    <row r="14450" spans="1:1" x14ac:dyDescent="0.25">
      <c r="A14450" s="5"/>
    </row>
    <row r="14451" spans="1:1" x14ac:dyDescent="0.25">
      <c r="A14451" s="5"/>
    </row>
    <row r="14452" spans="1:1" x14ac:dyDescent="0.25">
      <c r="A14452" s="5"/>
    </row>
    <row r="14453" spans="1:1" x14ac:dyDescent="0.25">
      <c r="A14453" s="5"/>
    </row>
    <row r="14454" spans="1:1" x14ac:dyDescent="0.25">
      <c r="A14454" s="5"/>
    </row>
    <row r="14455" spans="1:1" x14ac:dyDescent="0.25">
      <c r="A14455" s="5"/>
    </row>
    <row r="14456" spans="1:1" x14ac:dyDescent="0.25">
      <c r="A14456" s="5"/>
    </row>
    <row r="14457" spans="1:1" x14ac:dyDescent="0.25">
      <c r="A14457" s="5"/>
    </row>
    <row r="14458" spans="1:1" x14ac:dyDescent="0.25">
      <c r="A14458" s="5"/>
    </row>
    <row r="14459" spans="1:1" x14ac:dyDescent="0.25">
      <c r="A14459" s="5"/>
    </row>
    <row r="14460" spans="1:1" x14ac:dyDescent="0.25">
      <c r="A14460" s="5"/>
    </row>
    <row r="14461" spans="1:1" x14ac:dyDescent="0.25">
      <c r="A14461" s="5"/>
    </row>
    <row r="14462" spans="1:1" x14ac:dyDescent="0.25">
      <c r="A14462" s="5"/>
    </row>
    <row r="14463" spans="1:1" x14ac:dyDescent="0.25">
      <c r="A14463" s="5"/>
    </row>
    <row r="14464" spans="1:1" x14ac:dyDescent="0.25">
      <c r="A14464" s="5"/>
    </row>
    <row r="14465" spans="1:1" x14ac:dyDescent="0.25">
      <c r="A14465" s="5"/>
    </row>
    <row r="14466" spans="1:1" x14ac:dyDescent="0.25">
      <c r="A14466" s="5"/>
    </row>
    <row r="14467" spans="1:1" x14ac:dyDescent="0.25">
      <c r="A14467" s="5"/>
    </row>
    <row r="14468" spans="1:1" x14ac:dyDescent="0.25">
      <c r="A14468" s="5"/>
    </row>
    <row r="14469" spans="1:1" x14ac:dyDescent="0.25">
      <c r="A14469" s="5"/>
    </row>
    <row r="14470" spans="1:1" x14ac:dyDescent="0.25">
      <c r="A14470" s="5"/>
    </row>
    <row r="14471" spans="1:1" x14ac:dyDescent="0.25">
      <c r="A14471" s="5"/>
    </row>
    <row r="14472" spans="1:1" x14ac:dyDescent="0.25">
      <c r="A14472" s="5"/>
    </row>
    <row r="14473" spans="1:1" x14ac:dyDescent="0.25">
      <c r="A14473" s="5"/>
    </row>
    <row r="14474" spans="1:1" x14ac:dyDescent="0.25">
      <c r="A14474" s="5"/>
    </row>
    <row r="14475" spans="1:1" x14ac:dyDescent="0.25">
      <c r="A14475" s="5"/>
    </row>
    <row r="14476" spans="1:1" x14ac:dyDescent="0.25">
      <c r="A14476" s="5"/>
    </row>
    <row r="14477" spans="1:1" x14ac:dyDescent="0.25">
      <c r="A14477" s="5"/>
    </row>
    <row r="14478" spans="1:1" x14ac:dyDescent="0.25">
      <c r="A14478" s="5"/>
    </row>
    <row r="14479" spans="1:1" x14ac:dyDescent="0.25">
      <c r="A14479" s="5"/>
    </row>
    <row r="14480" spans="1:1" x14ac:dyDescent="0.25">
      <c r="A14480" s="5"/>
    </row>
    <row r="14481" spans="1:1" x14ac:dyDescent="0.25">
      <c r="A14481" s="5"/>
    </row>
    <row r="14482" spans="1:1" x14ac:dyDescent="0.25">
      <c r="A14482" s="5"/>
    </row>
    <row r="14483" spans="1:1" x14ac:dyDescent="0.25">
      <c r="A14483" s="5"/>
    </row>
    <row r="14484" spans="1:1" x14ac:dyDescent="0.25">
      <c r="A14484" s="5"/>
    </row>
    <row r="14485" spans="1:1" x14ac:dyDescent="0.25">
      <c r="A14485" s="5"/>
    </row>
    <row r="14486" spans="1:1" x14ac:dyDescent="0.25">
      <c r="A14486" s="5"/>
    </row>
    <row r="14487" spans="1:1" x14ac:dyDescent="0.25">
      <c r="A14487" s="5"/>
    </row>
    <row r="14488" spans="1:1" x14ac:dyDescent="0.25">
      <c r="A14488" s="5"/>
    </row>
    <row r="14489" spans="1:1" x14ac:dyDescent="0.25">
      <c r="A14489" s="5"/>
    </row>
    <row r="14490" spans="1:1" x14ac:dyDescent="0.25">
      <c r="A14490" s="5"/>
    </row>
    <row r="14491" spans="1:1" x14ac:dyDescent="0.25">
      <c r="A14491" s="5"/>
    </row>
    <row r="14492" spans="1:1" x14ac:dyDescent="0.25">
      <c r="A14492" s="5"/>
    </row>
    <row r="14493" spans="1:1" x14ac:dyDescent="0.25">
      <c r="A14493" s="5"/>
    </row>
    <row r="14494" spans="1:1" x14ac:dyDescent="0.25">
      <c r="A14494" s="5"/>
    </row>
    <row r="14495" spans="1:1" x14ac:dyDescent="0.25">
      <c r="A14495" s="5"/>
    </row>
    <row r="14496" spans="1:1" x14ac:dyDescent="0.25">
      <c r="A14496" s="5"/>
    </row>
    <row r="14497" spans="1:1" x14ac:dyDescent="0.25">
      <c r="A14497" s="5"/>
    </row>
    <row r="14498" spans="1:1" x14ac:dyDescent="0.25">
      <c r="A14498" s="5"/>
    </row>
    <row r="14499" spans="1:1" x14ac:dyDescent="0.25">
      <c r="A14499" s="5"/>
    </row>
    <row r="14500" spans="1:1" x14ac:dyDescent="0.25">
      <c r="A14500" s="5"/>
    </row>
    <row r="14501" spans="1:1" x14ac:dyDescent="0.25">
      <c r="A14501" s="5"/>
    </row>
    <row r="14502" spans="1:1" x14ac:dyDescent="0.25">
      <c r="A14502" s="5"/>
    </row>
    <row r="14503" spans="1:1" x14ac:dyDescent="0.25">
      <c r="A14503" s="5"/>
    </row>
    <row r="14504" spans="1:1" x14ac:dyDescent="0.25">
      <c r="A14504" s="5"/>
    </row>
    <row r="14505" spans="1:1" x14ac:dyDescent="0.25">
      <c r="A14505" s="5"/>
    </row>
    <row r="14506" spans="1:1" x14ac:dyDescent="0.25">
      <c r="A14506" s="5"/>
    </row>
    <row r="14507" spans="1:1" x14ac:dyDescent="0.25">
      <c r="A14507" s="5"/>
    </row>
    <row r="14508" spans="1:1" x14ac:dyDescent="0.25">
      <c r="A14508" s="5"/>
    </row>
    <row r="14509" spans="1:1" x14ac:dyDescent="0.25">
      <c r="A14509" s="5"/>
    </row>
    <row r="14510" spans="1:1" x14ac:dyDescent="0.25">
      <c r="A14510" s="5"/>
    </row>
    <row r="14511" spans="1:1" x14ac:dyDescent="0.25">
      <c r="A14511" s="5"/>
    </row>
    <row r="14512" spans="1:1" x14ac:dyDescent="0.25">
      <c r="A14512" s="5"/>
    </row>
    <row r="14513" spans="1:1" x14ac:dyDescent="0.25">
      <c r="A14513" s="5"/>
    </row>
    <row r="14514" spans="1:1" x14ac:dyDescent="0.25">
      <c r="A14514" s="5"/>
    </row>
    <row r="14515" spans="1:1" x14ac:dyDescent="0.25">
      <c r="A14515" s="5"/>
    </row>
    <row r="14516" spans="1:1" x14ac:dyDescent="0.25">
      <c r="A14516" s="5"/>
    </row>
    <row r="14517" spans="1:1" x14ac:dyDescent="0.25">
      <c r="A14517" s="5"/>
    </row>
    <row r="14518" spans="1:1" x14ac:dyDescent="0.25">
      <c r="A14518" s="5"/>
    </row>
    <row r="14519" spans="1:1" x14ac:dyDescent="0.25">
      <c r="A14519" s="5"/>
    </row>
    <row r="14520" spans="1:1" x14ac:dyDescent="0.25">
      <c r="A14520" s="5"/>
    </row>
    <row r="14521" spans="1:1" x14ac:dyDescent="0.25">
      <c r="A14521" s="5"/>
    </row>
    <row r="14522" spans="1:1" x14ac:dyDescent="0.25">
      <c r="A14522" s="5"/>
    </row>
    <row r="14523" spans="1:1" x14ac:dyDescent="0.25">
      <c r="A14523" s="5"/>
    </row>
    <row r="14524" spans="1:1" x14ac:dyDescent="0.25">
      <c r="A14524" s="5"/>
    </row>
    <row r="14525" spans="1:1" x14ac:dyDescent="0.25">
      <c r="A14525" s="5"/>
    </row>
    <row r="14526" spans="1:1" x14ac:dyDescent="0.25">
      <c r="A14526" s="5"/>
    </row>
    <row r="14527" spans="1:1" x14ac:dyDescent="0.25">
      <c r="A14527" s="5"/>
    </row>
    <row r="14528" spans="1:1" x14ac:dyDescent="0.25">
      <c r="A14528" s="5"/>
    </row>
    <row r="14529" spans="1:1" x14ac:dyDescent="0.25">
      <c r="A14529" s="5"/>
    </row>
    <row r="14530" spans="1:1" x14ac:dyDescent="0.25">
      <c r="A14530" s="5"/>
    </row>
    <row r="14531" spans="1:1" x14ac:dyDescent="0.25">
      <c r="A14531" s="5"/>
    </row>
    <row r="14532" spans="1:1" x14ac:dyDescent="0.25">
      <c r="A14532" s="5"/>
    </row>
    <row r="14533" spans="1:1" x14ac:dyDescent="0.25">
      <c r="A14533" s="5"/>
    </row>
    <row r="14534" spans="1:1" x14ac:dyDescent="0.25">
      <c r="A14534" s="5"/>
    </row>
    <row r="14535" spans="1:1" x14ac:dyDescent="0.25">
      <c r="A14535" s="5"/>
    </row>
    <row r="14536" spans="1:1" x14ac:dyDescent="0.25">
      <c r="A14536" s="5"/>
    </row>
    <row r="14537" spans="1:1" x14ac:dyDescent="0.25">
      <c r="A14537" s="5"/>
    </row>
    <row r="14538" spans="1:1" x14ac:dyDescent="0.25">
      <c r="A14538" s="5"/>
    </row>
    <row r="14539" spans="1:1" x14ac:dyDescent="0.25">
      <c r="A14539" s="5"/>
    </row>
    <row r="14540" spans="1:1" x14ac:dyDescent="0.25">
      <c r="A14540" s="5"/>
    </row>
    <row r="14541" spans="1:1" x14ac:dyDescent="0.25">
      <c r="A14541" s="5"/>
    </row>
    <row r="14542" spans="1:1" x14ac:dyDescent="0.25">
      <c r="A14542" s="5"/>
    </row>
    <row r="14543" spans="1:1" x14ac:dyDescent="0.25">
      <c r="A14543" s="5"/>
    </row>
    <row r="14544" spans="1:1" x14ac:dyDescent="0.25">
      <c r="A14544" s="5"/>
    </row>
    <row r="14545" spans="1:1" x14ac:dyDescent="0.25">
      <c r="A14545" s="5"/>
    </row>
    <row r="14546" spans="1:1" x14ac:dyDescent="0.25">
      <c r="A14546" s="5"/>
    </row>
    <row r="14547" spans="1:1" x14ac:dyDescent="0.25">
      <c r="A14547" s="5"/>
    </row>
    <row r="14548" spans="1:1" x14ac:dyDescent="0.25">
      <c r="A14548" s="5"/>
    </row>
    <row r="14549" spans="1:1" x14ac:dyDescent="0.25">
      <c r="A14549" s="5"/>
    </row>
    <row r="14550" spans="1:1" x14ac:dyDescent="0.25">
      <c r="A14550" s="5"/>
    </row>
    <row r="14551" spans="1:1" x14ac:dyDescent="0.25">
      <c r="A14551" s="5"/>
    </row>
    <row r="14552" spans="1:1" x14ac:dyDescent="0.25">
      <c r="A14552" s="5"/>
    </row>
    <row r="14553" spans="1:1" x14ac:dyDescent="0.25">
      <c r="A14553" s="5"/>
    </row>
    <row r="14554" spans="1:1" x14ac:dyDescent="0.25">
      <c r="A14554" s="5"/>
    </row>
    <row r="14555" spans="1:1" x14ac:dyDescent="0.25">
      <c r="A14555" s="5"/>
    </row>
    <row r="14556" spans="1:1" x14ac:dyDescent="0.25">
      <c r="A14556" s="5"/>
    </row>
    <row r="14557" spans="1:1" x14ac:dyDescent="0.25">
      <c r="A14557" s="5"/>
    </row>
    <row r="14558" spans="1:1" x14ac:dyDescent="0.25">
      <c r="A14558" s="5"/>
    </row>
    <row r="14559" spans="1:1" x14ac:dyDescent="0.25">
      <c r="A14559" s="5"/>
    </row>
    <row r="14560" spans="1:1" x14ac:dyDescent="0.25">
      <c r="A14560" s="5"/>
    </row>
    <row r="14561" spans="1:1" x14ac:dyDescent="0.25">
      <c r="A14561" s="5"/>
    </row>
    <row r="14562" spans="1:1" x14ac:dyDescent="0.25">
      <c r="A14562" s="5"/>
    </row>
    <row r="14563" spans="1:1" x14ac:dyDescent="0.25">
      <c r="A14563" s="5"/>
    </row>
    <row r="14564" spans="1:1" x14ac:dyDescent="0.25">
      <c r="A14564" s="5"/>
    </row>
    <row r="14565" spans="1:1" x14ac:dyDescent="0.25">
      <c r="A14565" s="5"/>
    </row>
    <row r="14566" spans="1:1" x14ac:dyDescent="0.25">
      <c r="A14566" s="5"/>
    </row>
    <row r="14567" spans="1:1" x14ac:dyDescent="0.25">
      <c r="A14567" s="5"/>
    </row>
    <row r="14568" spans="1:1" x14ac:dyDescent="0.25">
      <c r="A14568" s="5"/>
    </row>
    <row r="14569" spans="1:1" x14ac:dyDescent="0.25">
      <c r="A14569" s="5"/>
    </row>
    <row r="14570" spans="1:1" x14ac:dyDescent="0.25">
      <c r="A14570" s="5"/>
    </row>
    <row r="14571" spans="1:1" x14ac:dyDescent="0.25">
      <c r="A14571" s="5"/>
    </row>
    <row r="14572" spans="1:1" x14ac:dyDescent="0.25">
      <c r="A14572" s="5"/>
    </row>
    <row r="14573" spans="1:1" x14ac:dyDescent="0.25">
      <c r="A14573" s="5"/>
    </row>
    <row r="14574" spans="1:1" x14ac:dyDescent="0.25">
      <c r="A14574" s="5"/>
    </row>
    <row r="14575" spans="1:1" x14ac:dyDescent="0.25">
      <c r="A14575" s="5"/>
    </row>
    <row r="14576" spans="1:1" x14ac:dyDescent="0.25">
      <c r="A14576" s="5"/>
    </row>
    <row r="14577" spans="1:1" x14ac:dyDescent="0.25">
      <c r="A14577" s="5"/>
    </row>
    <row r="14578" spans="1:1" x14ac:dyDescent="0.25">
      <c r="A14578" s="5"/>
    </row>
    <row r="14579" spans="1:1" x14ac:dyDescent="0.25">
      <c r="A14579" s="5"/>
    </row>
    <row r="14580" spans="1:1" x14ac:dyDescent="0.25">
      <c r="A14580" s="5"/>
    </row>
    <row r="14581" spans="1:1" x14ac:dyDescent="0.25">
      <c r="A14581" s="5"/>
    </row>
    <row r="14582" spans="1:1" x14ac:dyDescent="0.25">
      <c r="A14582" s="5"/>
    </row>
    <row r="14583" spans="1:1" x14ac:dyDescent="0.25">
      <c r="A14583" s="5"/>
    </row>
    <row r="14584" spans="1:1" x14ac:dyDescent="0.25">
      <c r="A14584" s="5"/>
    </row>
    <row r="14585" spans="1:1" x14ac:dyDescent="0.25">
      <c r="A14585" s="5"/>
    </row>
    <row r="14586" spans="1:1" x14ac:dyDescent="0.25">
      <c r="A14586" s="5"/>
    </row>
    <row r="14587" spans="1:1" x14ac:dyDescent="0.25">
      <c r="A14587" s="5"/>
    </row>
    <row r="14588" spans="1:1" x14ac:dyDescent="0.25">
      <c r="A14588" s="5"/>
    </row>
    <row r="14589" spans="1:1" x14ac:dyDescent="0.25">
      <c r="A14589" s="5"/>
    </row>
    <row r="14590" spans="1:1" x14ac:dyDescent="0.25">
      <c r="A14590" s="5"/>
    </row>
    <row r="14591" spans="1:1" x14ac:dyDescent="0.25">
      <c r="A14591" s="5"/>
    </row>
    <row r="14592" spans="1:1" x14ac:dyDescent="0.25">
      <c r="A14592" s="5"/>
    </row>
    <row r="14593" spans="1:1" x14ac:dyDescent="0.25">
      <c r="A14593" s="5"/>
    </row>
    <row r="14594" spans="1:1" x14ac:dyDescent="0.25">
      <c r="A14594" s="5"/>
    </row>
    <row r="14595" spans="1:1" x14ac:dyDescent="0.25">
      <c r="A14595" s="5"/>
    </row>
    <row r="14596" spans="1:1" x14ac:dyDescent="0.25">
      <c r="A14596" s="5"/>
    </row>
    <row r="14597" spans="1:1" x14ac:dyDescent="0.25">
      <c r="A14597" s="5"/>
    </row>
    <row r="14598" spans="1:1" x14ac:dyDescent="0.25">
      <c r="A14598" s="5"/>
    </row>
    <row r="14599" spans="1:1" x14ac:dyDescent="0.25">
      <c r="A14599" s="5"/>
    </row>
    <row r="14600" spans="1:1" x14ac:dyDescent="0.25">
      <c r="A14600" s="5"/>
    </row>
    <row r="14601" spans="1:1" x14ac:dyDescent="0.25">
      <c r="A14601" s="5"/>
    </row>
    <row r="14602" spans="1:1" x14ac:dyDescent="0.25">
      <c r="A14602" s="5"/>
    </row>
    <row r="14603" spans="1:1" x14ac:dyDescent="0.25">
      <c r="A14603" s="5"/>
    </row>
    <row r="14604" spans="1:1" x14ac:dyDescent="0.25">
      <c r="A14604" s="5"/>
    </row>
    <row r="14605" spans="1:1" x14ac:dyDescent="0.25">
      <c r="A14605" s="5"/>
    </row>
    <row r="14606" spans="1:1" x14ac:dyDescent="0.25">
      <c r="A14606" s="5"/>
    </row>
    <row r="14607" spans="1:1" x14ac:dyDescent="0.25">
      <c r="A14607" s="5"/>
    </row>
    <row r="14608" spans="1:1" x14ac:dyDescent="0.25">
      <c r="A14608" s="5"/>
    </row>
    <row r="14609" spans="1:1" x14ac:dyDescent="0.25">
      <c r="A14609" s="5"/>
    </row>
    <row r="14610" spans="1:1" x14ac:dyDescent="0.25">
      <c r="A14610" s="5"/>
    </row>
    <row r="14611" spans="1:1" x14ac:dyDescent="0.25">
      <c r="A14611" s="5"/>
    </row>
    <row r="14612" spans="1:1" x14ac:dyDescent="0.25">
      <c r="A14612" s="5"/>
    </row>
    <row r="14613" spans="1:1" x14ac:dyDescent="0.25">
      <c r="A14613" s="5"/>
    </row>
    <row r="14614" spans="1:1" x14ac:dyDescent="0.25">
      <c r="A14614" s="5"/>
    </row>
    <row r="14615" spans="1:1" x14ac:dyDescent="0.25">
      <c r="A14615" s="5"/>
    </row>
    <row r="14616" spans="1:1" x14ac:dyDescent="0.25">
      <c r="A14616" s="5"/>
    </row>
    <row r="14617" spans="1:1" x14ac:dyDescent="0.25">
      <c r="A14617" s="5"/>
    </row>
    <row r="14618" spans="1:1" x14ac:dyDescent="0.25">
      <c r="A14618" s="5"/>
    </row>
    <row r="14619" spans="1:1" x14ac:dyDescent="0.25">
      <c r="A14619" s="5"/>
    </row>
    <row r="14620" spans="1:1" x14ac:dyDescent="0.25">
      <c r="A14620" s="5"/>
    </row>
    <row r="14621" spans="1:1" x14ac:dyDescent="0.25">
      <c r="A14621" s="5"/>
    </row>
    <row r="14622" spans="1:1" x14ac:dyDescent="0.25">
      <c r="A14622" s="5"/>
    </row>
    <row r="14623" spans="1:1" x14ac:dyDescent="0.25">
      <c r="A14623" s="5"/>
    </row>
    <row r="14624" spans="1:1" x14ac:dyDescent="0.25">
      <c r="A14624" s="5"/>
    </row>
    <row r="14625" spans="1:1" x14ac:dyDescent="0.25">
      <c r="A14625" s="5"/>
    </row>
    <row r="14626" spans="1:1" x14ac:dyDescent="0.25">
      <c r="A14626" s="5"/>
    </row>
    <row r="14627" spans="1:1" x14ac:dyDescent="0.25">
      <c r="A14627" s="5"/>
    </row>
    <row r="14628" spans="1:1" x14ac:dyDescent="0.25">
      <c r="A14628" s="5"/>
    </row>
    <row r="14629" spans="1:1" x14ac:dyDescent="0.25">
      <c r="A14629" s="5"/>
    </row>
    <row r="14630" spans="1:1" x14ac:dyDescent="0.25">
      <c r="A14630" s="5"/>
    </row>
    <row r="14631" spans="1:1" x14ac:dyDescent="0.25">
      <c r="A14631" s="5"/>
    </row>
    <row r="14632" spans="1:1" x14ac:dyDescent="0.25">
      <c r="A14632" s="5"/>
    </row>
    <row r="14633" spans="1:1" x14ac:dyDescent="0.25">
      <c r="A14633" s="5"/>
    </row>
    <row r="14634" spans="1:1" x14ac:dyDescent="0.25">
      <c r="A14634" s="5"/>
    </row>
    <row r="14635" spans="1:1" x14ac:dyDescent="0.25">
      <c r="A14635" s="5"/>
    </row>
    <row r="14636" spans="1:1" x14ac:dyDescent="0.25">
      <c r="A14636" s="5"/>
    </row>
    <row r="14637" spans="1:1" x14ac:dyDescent="0.25">
      <c r="A14637" s="5"/>
    </row>
    <row r="14638" spans="1:1" x14ac:dyDescent="0.25">
      <c r="A14638" s="5"/>
    </row>
    <row r="14639" spans="1:1" x14ac:dyDescent="0.25">
      <c r="A14639" s="5"/>
    </row>
    <row r="14640" spans="1:1" x14ac:dyDescent="0.25">
      <c r="A14640" s="5"/>
    </row>
    <row r="14641" spans="1:1" x14ac:dyDescent="0.25">
      <c r="A14641" s="5"/>
    </row>
    <row r="14642" spans="1:1" x14ac:dyDescent="0.25">
      <c r="A14642" s="5"/>
    </row>
    <row r="14643" spans="1:1" x14ac:dyDescent="0.25">
      <c r="A14643" s="5"/>
    </row>
    <row r="14644" spans="1:1" x14ac:dyDescent="0.25">
      <c r="A14644" s="5"/>
    </row>
    <row r="14645" spans="1:1" x14ac:dyDescent="0.25">
      <c r="A14645" s="5"/>
    </row>
    <row r="14646" spans="1:1" x14ac:dyDescent="0.25">
      <c r="A14646" s="5"/>
    </row>
    <row r="14647" spans="1:1" x14ac:dyDescent="0.25">
      <c r="A14647" s="5"/>
    </row>
    <row r="14648" spans="1:1" x14ac:dyDescent="0.25">
      <c r="A14648" s="5"/>
    </row>
    <row r="14649" spans="1:1" x14ac:dyDescent="0.25">
      <c r="A14649" s="5"/>
    </row>
    <row r="14650" spans="1:1" x14ac:dyDescent="0.25">
      <c r="A14650" s="5"/>
    </row>
    <row r="14651" spans="1:1" x14ac:dyDescent="0.25">
      <c r="A14651" s="5"/>
    </row>
    <row r="14652" spans="1:1" x14ac:dyDescent="0.25">
      <c r="A14652" s="5"/>
    </row>
    <row r="14653" spans="1:1" x14ac:dyDescent="0.25">
      <c r="A14653" s="5"/>
    </row>
    <row r="14654" spans="1:1" x14ac:dyDescent="0.25">
      <c r="A14654" s="5"/>
    </row>
    <row r="14655" spans="1:1" x14ac:dyDescent="0.25">
      <c r="A14655" s="5"/>
    </row>
    <row r="14656" spans="1:1" x14ac:dyDescent="0.25">
      <c r="A14656" s="5"/>
    </row>
    <row r="14657" spans="1:1" x14ac:dyDescent="0.25">
      <c r="A14657" s="5"/>
    </row>
    <row r="14658" spans="1:1" x14ac:dyDescent="0.25">
      <c r="A14658" s="5"/>
    </row>
    <row r="14659" spans="1:1" x14ac:dyDescent="0.25">
      <c r="A14659" s="5"/>
    </row>
    <row r="14660" spans="1:1" x14ac:dyDescent="0.25">
      <c r="A14660" s="5"/>
    </row>
    <row r="14661" spans="1:1" x14ac:dyDescent="0.25">
      <c r="A14661" s="5"/>
    </row>
    <row r="14662" spans="1:1" x14ac:dyDescent="0.25">
      <c r="A14662" s="5"/>
    </row>
    <row r="14663" spans="1:1" x14ac:dyDescent="0.25">
      <c r="A14663" s="5"/>
    </row>
    <row r="14664" spans="1:1" x14ac:dyDescent="0.25">
      <c r="A14664" s="5"/>
    </row>
    <row r="14665" spans="1:1" x14ac:dyDescent="0.25">
      <c r="A14665" s="5"/>
    </row>
    <row r="14666" spans="1:1" x14ac:dyDescent="0.25">
      <c r="A14666" s="5"/>
    </row>
    <row r="14667" spans="1:1" x14ac:dyDescent="0.25">
      <c r="A14667" s="5"/>
    </row>
    <row r="14668" spans="1:1" x14ac:dyDescent="0.25">
      <c r="A14668" s="5"/>
    </row>
    <row r="14669" spans="1:1" x14ac:dyDescent="0.25">
      <c r="A14669" s="5"/>
    </row>
    <row r="14670" spans="1:1" x14ac:dyDescent="0.25">
      <c r="A14670" s="5"/>
    </row>
    <row r="14671" spans="1:1" x14ac:dyDescent="0.25">
      <c r="A14671" s="5"/>
    </row>
    <row r="14672" spans="1:1" x14ac:dyDescent="0.25">
      <c r="A14672" s="5"/>
    </row>
    <row r="14673" spans="1:1" x14ac:dyDescent="0.25">
      <c r="A14673" s="5"/>
    </row>
    <row r="14674" spans="1:1" x14ac:dyDescent="0.25">
      <c r="A14674" s="5"/>
    </row>
    <row r="14675" spans="1:1" x14ac:dyDescent="0.25">
      <c r="A14675" s="5"/>
    </row>
    <row r="14676" spans="1:1" x14ac:dyDescent="0.25">
      <c r="A14676" s="5"/>
    </row>
    <row r="14677" spans="1:1" x14ac:dyDescent="0.25">
      <c r="A14677" s="5"/>
    </row>
    <row r="14678" spans="1:1" x14ac:dyDescent="0.25">
      <c r="A14678" s="5"/>
    </row>
    <row r="14679" spans="1:1" x14ac:dyDescent="0.25">
      <c r="A14679" s="5"/>
    </row>
    <row r="14680" spans="1:1" x14ac:dyDescent="0.25">
      <c r="A14680" s="5"/>
    </row>
    <row r="14681" spans="1:1" x14ac:dyDescent="0.25">
      <c r="A14681" s="5"/>
    </row>
    <row r="14682" spans="1:1" x14ac:dyDescent="0.25">
      <c r="A14682" s="5"/>
    </row>
    <row r="14683" spans="1:1" x14ac:dyDescent="0.25">
      <c r="A14683" s="5"/>
    </row>
    <row r="14684" spans="1:1" x14ac:dyDescent="0.25">
      <c r="A14684" s="5"/>
    </row>
    <row r="14685" spans="1:1" x14ac:dyDescent="0.25">
      <c r="A14685" s="5"/>
    </row>
    <row r="14686" spans="1:1" x14ac:dyDescent="0.25">
      <c r="A14686" s="5"/>
    </row>
    <row r="14687" spans="1:1" x14ac:dyDescent="0.25">
      <c r="A14687" s="5"/>
    </row>
    <row r="14688" spans="1:1" x14ac:dyDescent="0.25">
      <c r="A14688" s="5"/>
    </row>
    <row r="14689" spans="1:1" x14ac:dyDescent="0.25">
      <c r="A14689" s="5"/>
    </row>
    <row r="14690" spans="1:1" x14ac:dyDescent="0.25">
      <c r="A14690" s="5"/>
    </row>
    <row r="14691" spans="1:1" x14ac:dyDescent="0.25">
      <c r="A14691" s="5"/>
    </row>
    <row r="14692" spans="1:1" x14ac:dyDescent="0.25">
      <c r="A14692" s="5"/>
    </row>
    <row r="14693" spans="1:1" x14ac:dyDescent="0.25">
      <c r="A14693" s="5"/>
    </row>
    <row r="14694" spans="1:1" x14ac:dyDescent="0.25">
      <c r="A14694" s="5"/>
    </row>
    <row r="14695" spans="1:1" x14ac:dyDescent="0.25">
      <c r="A14695" s="5"/>
    </row>
    <row r="14696" spans="1:1" x14ac:dyDescent="0.25">
      <c r="A14696" s="5"/>
    </row>
    <row r="14697" spans="1:1" x14ac:dyDescent="0.25">
      <c r="A14697" s="5"/>
    </row>
    <row r="14698" spans="1:1" x14ac:dyDescent="0.25">
      <c r="A14698" s="5"/>
    </row>
    <row r="14699" spans="1:1" x14ac:dyDescent="0.25">
      <c r="A14699" s="5"/>
    </row>
    <row r="14700" spans="1:1" x14ac:dyDescent="0.25">
      <c r="A14700" s="5"/>
    </row>
    <row r="14701" spans="1:1" x14ac:dyDescent="0.25">
      <c r="A14701" s="5"/>
    </row>
    <row r="14702" spans="1:1" x14ac:dyDescent="0.25">
      <c r="A14702" s="5"/>
    </row>
    <row r="14703" spans="1:1" x14ac:dyDescent="0.25">
      <c r="A14703" s="5"/>
    </row>
    <row r="14704" spans="1:1" x14ac:dyDescent="0.25">
      <c r="A14704" s="5"/>
    </row>
    <row r="14705" spans="1:1" x14ac:dyDescent="0.25">
      <c r="A14705" s="5"/>
    </row>
    <row r="14706" spans="1:1" x14ac:dyDescent="0.25">
      <c r="A14706" s="5"/>
    </row>
    <row r="14707" spans="1:1" x14ac:dyDescent="0.25">
      <c r="A14707" s="5"/>
    </row>
    <row r="14708" spans="1:1" x14ac:dyDescent="0.25">
      <c r="A14708" s="5"/>
    </row>
    <row r="14709" spans="1:1" x14ac:dyDescent="0.25">
      <c r="A14709" s="5"/>
    </row>
    <row r="14710" spans="1:1" x14ac:dyDescent="0.25">
      <c r="A14710" s="5"/>
    </row>
    <row r="14711" spans="1:1" x14ac:dyDescent="0.25">
      <c r="A14711" s="5"/>
    </row>
    <row r="14712" spans="1:1" x14ac:dyDescent="0.25">
      <c r="A14712" s="5"/>
    </row>
    <row r="14713" spans="1:1" x14ac:dyDescent="0.25">
      <c r="A14713" s="5"/>
    </row>
    <row r="14714" spans="1:1" x14ac:dyDescent="0.25">
      <c r="A14714" s="5"/>
    </row>
    <row r="14715" spans="1:1" x14ac:dyDescent="0.25">
      <c r="A14715" s="5"/>
    </row>
    <row r="14716" spans="1:1" x14ac:dyDescent="0.25">
      <c r="A14716" s="5"/>
    </row>
    <row r="14717" spans="1:1" x14ac:dyDescent="0.25">
      <c r="A14717" s="5"/>
    </row>
    <row r="14718" spans="1:1" x14ac:dyDescent="0.25">
      <c r="A14718" s="5"/>
    </row>
    <row r="14719" spans="1:1" x14ac:dyDescent="0.25">
      <c r="A14719" s="5"/>
    </row>
    <row r="14720" spans="1:1" x14ac:dyDescent="0.25">
      <c r="A14720" s="5"/>
    </row>
    <row r="14721" spans="1:1" x14ac:dyDescent="0.25">
      <c r="A14721" s="5"/>
    </row>
    <row r="14722" spans="1:1" x14ac:dyDescent="0.25">
      <c r="A14722" s="5"/>
    </row>
    <row r="14723" spans="1:1" x14ac:dyDescent="0.25">
      <c r="A14723" s="5"/>
    </row>
    <row r="14724" spans="1:1" x14ac:dyDescent="0.25">
      <c r="A14724" s="5"/>
    </row>
    <row r="14725" spans="1:1" x14ac:dyDescent="0.25">
      <c r="A14725" s="5"/>
    </row>
    <row r="14726" spans="1:1" x14ac:dyDescent="0.25">
      <c r="A14726" s="5"/>
    </row>
    <row r="14727" spans="1:1" x14ac:dyDescent="0.25">
      <c r="A14727" s="5"/>
    </row>
    <row r="14728" spans="1:1" x14ac:dyDescent="0.25">
      <c r="A14728" s="5"/>
    </row>
    <row r="14729" spans="1:1" x14ac:dyDescent="0.25">
      <c r="A14729" s="5"/>
    </row>
    <row r="14730" spans="1:1" x14ac:dyDescent="0.25">
      <c r="A14730" s="5"/>
    </row>
    <row r="14731" spans="1:1" x14ac:dyDescent="0.25">
      <c r="A14731" s="5"/>
    </row>
    <row r="14732" spans="1:1" x14ac:dyDescent="0.25">
      <c r="A14732" s="5"/>
    </row>
    <row r="14733" spans="1:1" x14ac:dyDescent="0.25">
      <c r="A14733" s="5"/>
    </row>
    <row r="14734" spans="1:1" x14ac:dyDescent="0.25">
      <c r="A14734" s="5"/>
    </row>
    <row r="14735" spans="1:1" x14ac:dyDescent="0.25">
      <c r="A14735" s="5"/>
    </row>
    <row r="14736" spans="1:1" x14ac:dyDescent="0.25">
      <c r="A14736" s="5"/>
    </row>
    <row r="14737" spans="1:1" x14ac:dyDescent="0.25">
      <c r="A14737" s="5"/>
    </row>
    <row r="14738" spans="1:1" x14ac:dyDescent="0.25">
      <c r="A14738" s="5"/>
    </row>
    <row r="14739" spans="1:1" x14ac:dyDescent="0.25">
      <c r="A14739" s="5"/>
    </row>
    <row r="14740" spans="1:1" x14ac:dyDescent="0.25">
      <c r="A14740" s="5"/>
    </row>
    <row r="14741" spans="1:1" x14ac:dyDescent="0.25">
      <c r="A14741" s="5"/>
    </row>
    <row r="14742" spans="1:1" x14ac:dyDescent="0.25">
      <c r="A14742" s="5"/>
    </row>
    <row r="14743" spans="1:1" x14ac:dyDescent="0.25">
      <c r="A14743" s="5"/>
    </row>
    <row r="14744" spans="1:1" x14ac:dyDescent="0.25">
      <c r="A14744" s="5"/>
    </row>
    <row r="14745" spans="1:1" x14ac:dyDescent="0.25">
      <c r="A14745" s="5"/>
    </row>
    <row r="14746" spans="1:1" x14ac:dyDescent="0.25">
      <c r="A14746" s="5"/>
    </row>
    <row r="14747" spans="1:1" x14ac:dyDescent="0.25">
      <c r="A14747" s="5"/>
    </row>
    <row r="14748" spans="1:1" x14ac:dyDescent="0.25">
      <c r="A14748" s="5"/>
    </row>
    <row r="14749" spans="1:1" x14ac:dyDescent="0.25">
      <c r="A14749" s="5"/>
    </row>
    <row r="14750" spans="1:1" x14ac:dyDescent="0.25">
      <c r="A14750" s="5"/>
    </row>
    <row r="14751" spans="1:1" x14ac:dyDescent="0.25">
      <c r="A14751" s="5"/>
    </row>
    <row r="14752" spans="1:1" x14ac:dyDescent="0.25">
      <c r="A14752" s="5"/>
    </row>
    <row r="14753" spans="1:1" x14ac:dyDescent="0.25">
      <c r="A14753" s="5"/>
    </row>
    <row r="14754" spans="1:1" x14ac:dyDescent="0.25">
      <c r="A14754" s="5"/>
    </row>
    <row r="14755" spans="1:1" x14ac:dyDescent="0.25">
      <c r="A14755" s="5"/>
    </row>
    <row r="14756" spans="1:1" x14ac:dyDescent="0.25">
      <c r="A14756" s="5"/>
    </row>
    <row r="14757" spans="1:1" x14ac:dyDescent="0.25">
      <c r="A14757" s="5"/>
    </row>
    <row r="14758" spans="1:1" x14ac:dyDescent="0.25">
      <c r="A14758" s="5"/>
    </row>
    <row r="14759" spans="1:1" x14ac:dyDescent="0.25">
      <c r="A14759" s="5"/>
    </row>
    <row r="14760" spans="1:1" x14ac:dyDescent="0.25">
      <c r="A14760" s="5"/>
    </row>
    <row r="14761" spans="1:1" x14ac:dyDescent="0.25">
      <c r="A14761" s="5"/>
    </row>
    <row r="14762" spans="1:1" x14ac:dyDescent="0.25">
      <c r="A14762" s="5"/>
    </row>
    <row r="14763" spans="1:1" x14ac:dyDescent="0.25">
      <c r="A14763" s="5"/>
    </row>
    <row r="14764" spans="1:1" x14ac:dyDescent="0.25">
      <c r="A14764" s="5"/>
    </row>
    <row r="14765" spans="1:1" x14ac:dyDescent="0.25">
      <c r="A14765" s="5"/>
    </row>
    <row r="14766" spans="1:1" x14ac:dyDescent="0.25">
      <c r="A14766" s="5"/>
    </row>
    <row r="14767" spans="1:1" x14ac:dyDescent="0.25">
      <c r="A14767" s="5"/>
    </row>
    <row r="14768" spans="1:1" x14ac:dyDescent="0.25">
      <c r="A14768" s="5"/>
    </row>
    <row r="14769" spans="1:1" x14ac:dyDescent="0.25">
      <c r="A14769" s="5"/>
    </row>
    <row r="14770" spans="1:1" x14ac:dyDescent="0.25">
      <c r="A14770" s="5"/>
    </row>
    <row r="14771" spans="1:1" x14ac:dyDescent="0.25">
      <c r="A14771" s="5"/>
    </row>
    <row r="14772" spans="1:1" x14ac:dyDescent="0.25">
      <c r="A14772" s="5"/>
    </row>
    <row r="14773" spans="1:1" x14ac:dyDescent="0.25">
      <c r="A14773" s="5"/>
    </row>
    <row r="14774" spans="1:1" x14ac:dyDescent="0.25">
      <c r="A14774" s="5"/>
    </row>
    <row r="14775" spans="1:1" x14ac:dyDescent="0.25">
      <c r="A14775" s="5"/>
    </row>
    <row r="14776" spans="1:1" x14ac:dyDescent="0.25">
      <c r="A14776" s="5"/>
    </row>
    <row r="14777" spans="1:1" x14ac:dyDescent="0.25">
      <c r="A14777" s="5"/>
    </row>
    <row r="14778" spans="1:1" x14ac:dyDescent="0.25">
      <c r="A14778" s="5"/>
    </row>
    <row r="14779" spans="1:1" x14ac:dyDescent="0.25">
      <c r="A14779" s="5"/>
    </row>
    <row r="14780" spans="1:1" x14ac:dyDescent="0.25">
      <c r="A14780" s="5"/>
    </row>
    <row r="14781" spans="1:1" x14ac:dyDescent="0.25">
      <c r="A14781" s="5"/>
    </row>
    <row r="14782" spans="1:1" x14ac:dyDescent="0.25">
      <c r="A14782" s="5"/>
    </row>
    <row r="14783" spans="1:1" x14ac:dyDescent="0.25">
      <c r="A14783" s="5"/>
    </row>
    <row r="14784" spans="1:1" x14ac:dyDescent="0.25">
      <c r="A14784" s="5"/>
    </row>
    <row r="14785" spans="1:1" x14ac:dyDescent="0.25">
      <c r="A14785" s="5"/>
    </row>
    <row r="14786" spans="1:1" x14ac:dyDescent="0.25">
      <c r="A14786" s="5"/>
    </row>
    <row r="14787" spans="1:1" x14ac:dyDescent="0.25">
      <c r="A14787" s="5"/>
    </row>
    <row r="14788" spans="1:1" x14ac:dyDescent="0.25">
      <c r="A14788" s="5"/>
    </row>
    <row r="14789" spans="1:1" x14ac:dyDescent="0.25">
      <c r="A14789" s="5"/>
    </row>
    <row r="14790" spans="1:1" x14ac:dyDescent="0.25">
      <c r="A14790" s="5"/>
    </row>
    <row r="14791" spans="1:1" x14ac:dyDescent="0.25">
      <c r="A14791" s="5"/>
    </row>
    <row r="14792" spans="1:1" x14ac:dyDescent="0.25">
      <c r="A14792" s="5"/>
    </row>
    <row r="14793" spans="1:1" x14ac:dyDescent="0.25">
      <c r="A14793" s="5"/>
    </row>
    <row r="14794" spans="1:1" x14ac:dyDescent="0.25">
      <c r="A14794" s="5"/>
    </row>
    <row r="14795" spans="1:1" x14ac:dyDescent="0.25">
      <c r="A14795" s="5"/>
    </row>
    <row r="14796" spans="1:1" x14ac:dyDescent="0.25">
      <c r="A14796" s="5"/>
    </row>
    <row r="14797" spans="1:1" x14ac:dyDescent="0.25">
      <c r="A14797" s="5"/>
    </row>
    <row r="14798" spans="1:1" x14ac:dyDescent="0.25">
      <c r="A14798" s="5"/>
    </row>
    <row r="14799" spans="1:1" x14ac:dyDescent="0.25">
      <c r="A14799" s="5"/>
    </row>
    <row r="14800" spans="1:1" x14ac:dyDescent="0.25">
      <c r="A14800" s="5"/>
    </row>
    <row r="14801" spans="1:1" x14ac:dyDescent="0.25">
      <c r="A14801" s="5"/>
    </row>
    <row r="14802" spans="1:1" x14ac:dyDescent="0.25">
      <c r="A14802" s="5"/>
    </row>
    <row r="14803" spans="1:1" x14ac:dyDescent="0.25">
      <c r="A14803" s="5"/>
    </row>
    <row r="14804" spans="1:1" x14ac:dyDescent="0.25">
      <c r="A14804" s="5"/>
    </row>
    <row r="14805" spans="1:1" x14ac:dyDescent="0.25">
      <c r="A14805" s="5"/>
    </row>
    <row r="14806" spans="1:1" x14ac:dyDescent="0.25">
      <c r="A14806" s="5"/>
    </row>
    <row r="14807" spans="1:1" x14ac:dyDescent="0.25">
      <c r="A14807" s="5"/>
    </row>
    <row r="14808" spans="1:1" x14ac:dyDescent="0.25">
      <c r="A14808" s="5"/>
    </row>
    <row r="14809" spans="1:1" x14ac:dyDescent="0.25">
      <c r="A14809" s="5"/>
    </row>
    <row r="14810" spans="1:1" x14ac:dyDescent="0.25">
      <c r="A14810" s="5"/>
    </row>
    <row r="14811" spans="1:1" x14ac:dyDescent="0.25">
      <c r="A14811" s="5"/>
    </row>
    <row r="14812" spans="1:1" x14ac:dyDescent="0.25">
      <c r="A14812" s="5"/>
    </row>
    <row r="14813" spans="1:1" x14ac:dyDescent="0.25">
      <c r="A14813" s="5"/>
    </row>
    <row r="14814" spans="1:1" x14ac:dyDescent="0.25">
      <c r="A14814" s="5"/>
    </row>
    <row r="14815" spans="1:1" x14ac:dyDescent="0.25">
      <c r="A14815" s="5"/>
    </row>
    <row r="14816" spans="1:1" x14ac:dyDescent="0.25">
      <c r="A14816" s="5"/>
    </row>
    <row r="14817" spans="1:1" x14ac:dyDescent="0.25">
      <c r="A14817" s="5"/>
    </row>
    <row r="14818" spans="1:1" x14ac:dyDescent="0.25">
      <c r="A14818" s="5"/>
    </row>
    <row r="14819" spans="1:1" x14ac:dyDescent="0.25">
      <c r="A14819" s="5"/>
    </row>
    <row r="14820" spans="1:1" x14ac:dyDescent="0.25">
      <c r="A14820" s="5"/>
    </row>
    <row r="14821" spans="1:1" x14ac:dyDescent="0.25">
      <c r="A14821" s="5"/>
    </row>
    <row r="14822" spans="1:1" x14ac:dyDescent="0.25">
      <c r="A14822" s="5"/>
    </row>
    <row r="14823" spans="1:1" x14ac:dyDescent="0.25">
      <c r="A14823" s="5"/>
    </row>
    <row r="14824" spans="1:1" x14ac:dyDescent="0.25">
      <c r="A14824" s="5"/>
    </row>
    <row r="14825" spans="1:1" x14ac:dyDescent="0.25">
      <c r="A14825" s="5"/>
    </row>
    <row r="14826" spans="1:1" x14ac:dyDescent="0.25">
      <c r="A14826" s="5"/>
    </row>
    <row r="14827" spans="1:1" x14ac:dyDescent="0.25">
      <c r="A14827" s="5"/>
    </row>
    <row r="14828" spans="1:1" x14ac:dyDescent="0.25">
      <c r="A14828" s="5"/>
    </row>
    <row r="14829" spans="1:1" x14ac:dyDescent="0.25">
      <c r="A14829" s="5"/>
    </row>
    <row r="14830" spans="1:1" x14ac:dyDescent="0.25">
      <c r="A14830" s="5"/>
    </row>
    <row r="14831" spans="1:1" x14ac:dyDescent="0.25">
      <c r="A14831" s="5"/>
    </row>
    <row r="14832" spans="1:1" x14ac:dyDescent="0.25">
      <c r="A14832" s="5"/>
    </row>
    <row r="14833" spans="1:1" x14ac:dyDescent="0.25">
      <c r="A14833" s="5"/>
    </row>
    <row r="14834" spans="1:1" x14ac:dyDescent="0.25">
      <c r="A14834" s="5"/>
    </row>
    <row r="14835" spans="1:1" x14ac:dyDescent="0.25">
      <c r="A14835" s="5"/>
    </row>
    <row r="14836" spans="1:1" x14ac:dyDescent="0.25">
      <c r="A14836" s="5"/>
    </row>
    <row r="14837" spans="1:1" x14ac:dyDescent="0.25">
      <c r="A14837" s="5"/>
    </row>
    <row r="14838" spans="1:1" x14ac:dyDescent="0.25">
      <c r="A14838" s="5"/>
    </row>
    <row r="14839" spans="1:1" x14ac:dyDescent="0.25">
      <c r="A14839" s="5"/>
    </row>
    <row r="14840" spans="1:1" x14ac:dyDescent="0.25">
      <c r="A14840" s="5"/>
    </row>
    <row r="14841" spans="1:1" x14ac:dyDescent="0.25">
      <c r="A14841" s="5"/>
    </row>
    <row r="14842" spans="1:1" x14ac:dyDescent="0.25">
      <c r="A14842" s="5"/>
    </row>
    <row r="14843" spans="1:1" x14ac:dyDescent="0.25">
      <c r="A14843" s="5"/>
    </row>
    <row r="14844" spans="1:1" x14ac:dyDescent="0.25">
      <c r="A14844" s="5"/>
    </row>
    <row r="14845" spans="1:1" x14ac:dyDescent="0.25">
      <c r="A14845" s="5"/>
    </row>
    <row r="14846" spans="1:1" x14ac:dyDescent="0.25">
      <c r="A14846" s="5"/>
    </row>
    <row r="14847" spans="1:1" x14ac:dyDescent="0.25">
      <c r="A14847" s="5"/>
    </row>
    <row r="14848" spans="1:1" x14ac:dyDescent="0.25">
      <c r="A14848" s="5"/>
    </row>
    <row r="14849" spans="1:1" x14ac:dyDescent="0.25">
      <c r="A14849" s="5"/>
    </row>
    <row r="14850" spans="1:1" x14ac:dyDescent="0.25">
      <c r="A14850" s="5"/>
    </row>
    <row r="14851" spans="1:1" x14ac:dyDescent="0.25">
      <c r="A14851" s="5"/>
    </row>
    <row r="14852" spans="1:1" x14ac:dyDescent="0.25">
      <c r="A14852" s="5"/>
    </row>
    <row r="14853" spans="1:1" x14ac:dyDescent="0.25">
      <c r="A14853" s="5"/>
    </row>
    <row r="14854" spans="1:1" x14ac:dyDescent="0.25">
      <c r="A14854" s="5"/>
    </row>
    <row r="14855" spans="1:1" x14ac:dyDescent="0.25">
      <c r="A14855" s="5"/>
    </row>
    <row r="14856" spans="1:1" x14ac:dyDescent="0.25">
      <c r="A14856" s="5"/>
    </row>
    <row r="14857" spans="1:1" x14ac:dyDescent="0.25">
      <c r="A14857" s="5"/>
    </row>
    <row r="14858" spans="1:1" x14ac:dyDescent="0.25">
      <c r="A14858" s="5"/>
    </row>
    <row r="14859" spans="1:1" x14ac:dyDescent="0.25">
      <c r="A14859" s="5"/>
    </row>
    <row r="14860" spans="1:1" x14ac:dyDescent="0.25">
      <c r="A14860" s="5"/>
    </row>
    <row r="14861" spans="1:1" x14ac:dyDescent="0.25">
      <c r="A14861" s="5"/>
    </row>
    <row r="14862" spans="1:1" x14ac:dyDescent="0.25">
      <c r="A14862" s="5"/>
    </row>
    <row r="14863" spans="1:1" x14ac:dyDescent="0.25">
      <c r="A14863" s="5"/>
    </row>
    <row r="14864" spans="1:1" x14ac:dyDescent="0.25">
      <c r="A14864" s="5"/>
    </row>
    <row r="14865" spans="1:1" x14ac:dyDescent="0.25">
      <c r="A14865" s="5"/>
    </row>
    <row r="14866" spans="1:1" x14ac:dyDescent="0.25">
      <c r="A14866" s="5"/>
    </row>
    <row r="14867" spans="1:1" x14ac:dyDescent="0.25">
      <c r="A14867" s="5"/>
    </row>
    <row r="14868" spans="1:1" x14ac:dyDescent="0.25">
      <c r="A14868" s="5"/>
    </row>
    <row r="14869" spans="1:1" x14ac:dyDescent="0.25">
      <c r="A14869" s="5"/>
    </row>
    <row r="14870" spans="1:1" x14ac:dyDescent="0.25">
      <c r="A14870" s="5"/>
    </row>
    <row r="14871" spans="1:1" x14ac:dyDescent="0.25">
      <c r="A14871" s="5"/>
    </row>
    <row r="14872" spans="1:1" x14ac:dyDescent="0.25">
      <c r="A14872" s="5"/>
    </row>
    <row r="14873" spans="1:1" x14ac:dyDescent="0.25">
      <c r="A14873" s="5"/>
    </row>
    <row r="14874" spans="1:1" x14ac:dyDescent="0.25">
      <c r="A14874" s="5"/>
    </row>
    <row r="14875" spans="1:1" x14ac:dyDescent="0.25">
      <c r="A14875" s="5"/>
    </row>
    <row r="14876" spans="1:1" x14ac:dyDescent="0.25">
      <c r="A14876" s="5"/>
    </row>
    <row r="14877" spans="1:1" x14ac:dyDescent="0.25">
      <c r="A14877" s="5"/>
    </row>
    <row r="14878" spans="1:1" x14ac:dyDescent="0.25">
      <c r="A14878" s="5"/>
    </row>
    <row r="14879" spans="1:1" x14ac:dyDescent="0.25">
      <c r="A14879" s="5"/>
    </row>
    <row r="14880" spans="1:1" x14ac:dyDescent="0.25">
      <c r="A14880" s="5"/>
    </row>
    <row r="14881" spans="1:1" x14ac:dyDescent="0.25">
      <c r="A14881" s="5"/>
    </row>
    <row r="14882" spans="1:1" x14ac:dyDescent="0.25">
      <c r="A14882" s="5"/>
    </row>
    <row r="14883" spans="1:1" x14ac:dyDescent="0.25">
      <c r="A14883" s="5"/>
    </row>
    <row r="14884" spans="1:1" x14ac:dyDescent="0.25">
      <c r="A14884" s="5"/>
    </row>
    <row r="14885" spans="1:1" x14ac:dyDescent="0.25">
      <c r="A14885" s="5"/>
    </row>
    <row r="14886" spans="1:1" x14ac:dyDescent="0.25">
      <c r="A14886" s="5"/>
    </row>
    <row r="14887" spans="1:1" x14ac:dyDescent="0.25">
      <c r="A14887" s="5"/>
    </row>
    <row r="14888" spans="1:1" x14ac:dyDescent="0.25">
      <c r="A14888" s="5"/>
    </row>
    <row r="14889" spans="1:1" x14ac:dyDescent="0.25">
      <c r="A14889" s="5"/>
    </row>
    <row r="14890" spans="1:1" x14ac:dyDescent="0.25">
      <c r="A14890" s="5"/>
    </row>
    <row r="14891" spans="1:1" x14ac:dyDescent="0.25">
      <c r="A14891" s="5"/>
    </row>
    <row r="14892" spans="1:1" x14ac:dyDescent="0.25">
      <c r="A14892" s="5"/>
    </row>
    <row r="14893" spans="1:1" x14ac:dyDescent="0.25">
      <c r="A14893" s="5"/>
    </row>
    <row r="14894" spans="1:1" x14ac:dyDescent="0.25">
      <c r="A14894" s="5"/>
    </row>
    <row r="14895" spans="1:1" x14ac:dyDescent="0.25">
      <c r="A14895" s="5"/>
    </row>
    <row r="14896" spans="1:1" x14ac:dyDescent="0.25">
      <c r="A14896" s="5"/>
    </row>
    <row r="14897" spans="1:1" x14ac:dyDescent="0.25">
      <c r="A14897" s="5"/>
    </row>
    <row r="14898" spans="1:1" x14ac:dyDescent="0.25">
      <c r="A14898" s="5"/>
    </row>
    <row r="14899" spans="1:1" x14ac:dyDescent="0.25">
      <c r="A14899" s="5"/>
    </row>
    <row r="14900" spans="1:1" x14ac:dyDescent="0.25">
      <c r="A14900" s="5"/>
    </row>
    <row r="14901" spans="1:1" x14ac:dyDescent="0.25">
      <c r="A14901" s="5"/>
    </row>
    <row r="14902" spans="1:1" x14ac:dyDescent="0.25">
      <c r="A14902" s="5"/>
    </row>
    <row r="14903" spans="1:1" x14ac:dyDescent="0.25">
      <c r="A14903" s="5"/>
    </row>
    <row r="14904" spans="1:1" x14ac:dyDescent="0.25">
      <c r="A14904" s="5"/>
    </row>
    <row r="14905" spans="1:1" x14ac:dyDescent="0.25">
      <c r="A14905" s="5"/>
    </row>
    <row r="14906" spans="1:1" x14ac:dyDescent="0.25">
      <c r="A14906" s="5"/>
    </row>
    <row r="14907" spans="1:1" x14ac:dyDescent="0.25">
      <c r="A14907" s="5"/>
    </row>
    <row r="14908" spans="1:1" x14ac:dyDescent="0.25">
      <c r="A14908" s="5"/>
    </row>
    <row r="14909" spans="1:1" x14ac:dyDescent="0.25">
      <c r="A14909" s="5"/>
    </row>
    <row r="14910" spans="1:1" x14ac:dyDescent="0.25">
      <c r="A14910" s="5"/>
    </row>
    <row r="14911" spans="1:1" x14ac:dyDescent="0.25">
      <c r="A14911" s="5"/>
    </row>
    <row r="14912" spans="1:1" x14ac:dyDescent="0.25">
      <c r="A14912" s="5"/>
    </row>
    <row r="14913" spans="1:1" x14ac:dyDescent="0.25">
      <c r="A14913" s="5"/>
    </row>
    <row r="14914" spans="1:1" x14ac:dyDescent="0.25">
      <c r="A14914" s="5"/>
    </row>
    <row r="14915" spans="1:1" x14ac:dyDescent="0.25">
      <c r="A14915" s="5"/>
    </row>
    <row r="14916" spans="1:1" x14ac:dyDescent="0.25">
      <c r="A14916" s="5"/>
    </row>
    <row r="14917" spans="1:1" x14ac:dyDescent="0.25">
      <c r="A14917" s="5"/>
    </row>
    <row r="14918" spans="1:1" x14ac:dyDescent="0.25">
      <c r="A14918" s="5"/>
    </row>
    <row r="14919" spans="1:1" x14ac:dyDescent="0.25">
      <c r="A14919" s="5"/>
    </row>
    <row r="14920" spans="1:1" x14ac:dyDescent="0.25">
      <c r="A14920" s="5"/>
    </row>
    <row r="14921" spans="1:1" x14ac:dyDescent="0.25">
      <c r="A14921" s="5"/>
    </row>
    <row r="14922" spans="1:1" x14ac:dyDescent="0.25">
      <c r="A14922" s="5"/>
    </row>
    <row r="14923" spans="1:1" x14ac:dyDescent="0.25">
      <c r="A14923" s="5"/>
    </row>
    <row r="14924" spans="1:1" x14ac:dyDescent="0.25">
      <c r="A14924" s="5"/>
    </row>
    <row r="14925" spans="1:1" x14ac:dyDescent="0.25">
      <c r="A14925" s="5"/>
    </row>
    <row r="14926" spans="1:1" x14ac:dyDescent="0.25">
      <c r="A14926" s="5"/>
    </row>
    <row r="14927" spans="1:1" x14ac:dyDescent="0.25">
      <c r="A14927" s="5"/>
    </row>
    <row r="14928" spans="1:1" x14ac:dyDescent="0.25">
      <c r="A14928" s="5"/>
    </row>
    <row r="14929" spans="1:1" x14ac:dyDescent="0.25">
      <c r="A14929" s="5"/>
    </row>
    <row r="14930" spans="1:1" x14ac:dyDescent="0.25">
      <c r="A14930" s="5"/>
    </row>
    <row r="14931" spans="1:1" x14ac:dyDescent="0.25">
      <c r="A14931" s="5"/>
    </row>
    <row r="14932" spans="1:1" x14ac:dyDescent="0.25">
      <c r="A14932" s="5"/>
    </row>
    <row r="14933" spans="1:1" x14ac:dyDescent="0.25">
      <c r="A14933" s="5"/>
    </row>
    <row r="14934" spans="1:1" x14ac:dyDescent="0.25">
      <c r="A14934" s="5"/>
    </row>
    <row r="14935" spans="1:1" x14ac:dyDescent="0.25">
      <c r="A14935" s="5"/>
    </row>
    <row r="14936" spans="1:1" x14ac:dyDescent="0.25">
      <c r="A14936" s="5"/>
    </row>
    <row r="14937" spans="1:1" x14ac:dyDescent="0.25">
      <c r="A14937" s="5"/>
    </row>
    <row r="14938" spans="1:1" x14ac:dyDescent="0.25">
      <c r="A14938" s="5"/>
    </row>
    <row r="14939" spans="1:1" x14ac:dyDescent="0.25">
      <c r="A14939" s="5"/>
    </row>
    <row r="14940" spans="1:1" x14ac:dyDescent="0.25">
      <c r="A14940" s="5"/>
    </row>
    <row r="14941" spans="1:1" x14ac:dyDescent="0.25">
      <c r="A14941" s="5"/>
    </row>
    <row r="14942" spans="1:1" x14ac:dyDescent="0.25">
      <c r="A14942" s="5"/>
    </row>
    <row r="14943" spans="1:1" x14ac:dyDescent="0.25">
      <c r="A14943" s="5"/>
    </row>
    <row r="14944" spans="1:1" x14ac:dyDescent="0.25">
      <c r="A14944" s="5"/>
    </row>
    <row r="14945" spans="1:1" x14ac:dyDescent="0.25">
      <c r="A14945" s="5"/>
    </row>
    <row r="14946" spans="1:1" x14ac:dyDescent="0.25">
      <c r="A14946" s="5"/>
    </row>
    <row r="14947" spans="1:1" x14ac:dyDescent="0.25">
      <c r="A14947" s="5"/>
    </row>
    <row r="14948" spans="1:1" x14ac:dyDescent="0.25">
      <c r="A14948" s="5"/>
    </row>
    <row r="14949" spans="1:1" x14ac:dyDescent="0.25">
      <c r="A14949" s="5"/>
    </row>
    <row r="14950" spans="1:1" x14ac:dyDescent="0.25">
      <c r="A14950" s="5"/>
    </row>
    <row r="14951" spans="1:1" x14ac:dyDescent="0.25">
      <c r="A14951" s="5"/>
    </row>
    <row r="14952" spans="1:1" x14ac:dyDescent="0.25">
      <c r="A14952" s="5"/>
    </row>
    <row r="14953" spans="1:1" x14ac:dyDescent="0.25">
      <c r="A14953" s="5"/>
    </row>
    <row r="14954" spans="1:1" x14ac:dyDescent="0.25">
      <c r="A14954" s="5"/>
    </row>
    <row r="14955" spans="1:1" x14ac:dyDescent="0.25">
      <c r="A14955" s="5"/>
    </row>
    <row r="14956" spans="1:1" x14ac:dyDescent="0.25">
      <c r="A14956" s="5"/>
    </row>
    <row r="14957" spans="1:1" x14ac:dyDescent="0.25">
      <c r="A14957" s="5"/>
    </row>
    <row r="14958" spans="1:1" x14ac:dyDescent="0.25">
      <c r="A14958" s="5"/>
    </row>
    <row r="14959" spans="1:1" x14ac:dyDescent="0.25">
      <c r="A14959" s="5"/>
    </row>
    <row r="14960" spans="1:1" x14ac:dyDescent="0.25">
      <c r="A14960" s="5"/>
    </row>
    <row r="14961" spans="1:1" x14ac:dyDescent="0.25">
      <c r="A14961" s="5"/>
    </row>
    <row r="14962" spans="1:1" x14ac:dyDescent="0.25">
      <c r="A14962" s="5"/>
    </row>
    <row r="14963" spans="1:1" x14ac:dyDescent="0.25">
      <c r="A14963" s="5"/>
    </row>
    <row r="14964" spans="1:1" x14ac:dyDescent="0.25">
      <c r="A14964" s="5"/>
    </row>
    <row r="14965" spans="1:1" x14ac:dyDescent="0.25">
      <c r="A14965" s="5"/>
    </row>
    <row r="14966" spans="1:1" x14ac:dyDescent="0.25">
      <c r="A14966" s="5"/>
    </row>
    <row r="14967" spans="1:1" x14ac:dyDescent="0.25">
      <c r="A14967" s="5"/>
    </row>
    <row r="14968" spans="1:1" x14ac:dyDescent="0.25">
      <c r="A14968" s="5"/>
    </row>
    <row r="14969" spans="1:1" x14ac:dyDescent="0.25">
      <c r="A14969" s="5"/>
    </row>
    <row r="14970" spans="1:1" x14ac:dyDescent="0.25">
      <c r="A14970" s="5"/>
    </row>
    <row r="14971" spans="1:1" x14ac:dyDescent="0.25">
      <c r="A14971" s="5"/>
    </row>
    <row r="14972" spans="1:1" x14ac:dyDescent="0.25">
      <c r="A14972" s="5"/>
    </row>
    <row r="14973" spans="1:1" x14ac:dyDescent="0.25">
      <c r="A14973" s="5"/>
    </row>
    <row r="14974" spans="1:1" x14ac:dyDescent="0.25">
      <c r="A14974" s="5"/>
    </row>
    <row r="14975" spans="1:1" x14ac:dyDescent="0.25">
      <c r="A14975" s="5"/>
    </row>
    <row r="14976" spans="1:1" x14ac:dyDescent="0.25">
      <c r="A14976" s="5"/>
    </row>
    <row r="14977" spans="1:1" x14ac:dyDescent="0.25">
      <c r="A14977" s="5"/>
    </row>
    <row r="14978" spans="1:1" x14ac:dyDescent="0.25">
      <c r="A14978" s="5"/>
    </row>
    <row r="14979" spans="1:1" x14ac:dyDescent="0.25">
      <c r="A14979" s="5"/>
    </row>
    <row r="14980" spans="1:1" x14ac:dyDescent="0.25">
      <c r="A14980" s="5"/>
    </row>
    <row r="14981" spans="1:1" x14ac:dyDescent="0.25">
      <c r="A14981" s="5"/>
    </row>
    <row r="14982" spans="1:1" x14ac:dyDescent="0.25">
      <c r="A14982" s="5"/>
    </row>
    <row r="14983" spans="1:1" x14ac:dyDescent="0.25">
      <c r="A14983" s="5"/>
    </row>
    <row r="14984" spans="1:1" x14ac:dyDescent="0.25">
      <c r="A14984" s="5"/>
    </row>
    <row r="14985" spans="1:1" x14ac:dyDescent="0.25">
      <c r="A14985" s="5"/>
    </row>
    <row r="14986" spans="1:1" x14ac:dyDescent="0.25">
      <c r="A14986" s="5"/>
    </row>
    <row r="14987" spans="1:1" x14ac:dyDescent="0.25">
      <c r="A14987" s="5"/>
    </row>
    <row r="14988" spans="1:1" x14ac:dyDescent="0.25">
      <c r="A14988" s="5"/>
    </row>
    <row r="14989" spans="1:1" x14ac:dyDescent="0.25">
      <c r="A14989" s="5"/>
    </row>
    <row r="14990" spans="1:1" x14ac:dyDescent="0.25">
      <c r="A14990" s="5"/>
    </row>
    <row r="14991" spans="1:1" x14ac:dyDescent="0.25">
      <c r="A14991" s="5"/>
    </row>
    <row r="14992" spans="1:1" x14ac:dyDescent="0.25">
      <c r="A14992" s="5"/>
    </row>
    <row r="14993" spans="1:1" x14ac:dyDescent="0.25">
      <c r="A14993" s="5"/>
    </row>
    <row r="14994" spans="1:1" x14ac:dyDescent="0.25">
      <c r="A14994" s="5"/>
    </row>
    <row r="14995" spans="1:1" x14ac:dyDescent="0.25">
      <c r="A14995" s="5"/>
    </row>
    <row r="14996" spans="1:1" x14ac:dyDescent="0.25">
      <c r="A14996" s="5"/>
    </row>
    <row r="14997" spans="1:1" x14ac:dyDescent="0.25">
      <c r="A14997" s="5"/>
    </row>
    <row r="14998" spans="1:1" x14ac:dyDescent="0.25">
      <c r="A14998" s="5"/>
    </row>
    <row r="14999" spans="1:1" x14ac:dyDescent="0.25">
      <c r="A14999" s="5"/>
    </row>
    <row r="15000" spans="1:1" x14ac:dyDescent="0.25">
      <c r="A15000" s="5"/>
    </row>
    <row r="15001" spans="1:1" x14ac:dyDescent="0.25">
      <c r="A15001" s="5"/>
    </row>
    <row r="15002" spans="1:1" x14ac:dyDescent="0.25">
      <c r="A15002" s="5"/>
    </row>
    <row r="15003" spans="1:1" x14ac:dyDescent="0.25">
      <c r="A15003" s="5"/>
    </row>
    <row r="15004" spans="1:1" x14ac:dyDescent="0.25">
      <c r="A15004" s="5"/>
    </row>
    <row r="15005" spans="1:1" x14ac:dyDescent="0.25">
      <c r="A15005" s="5"/>
    </row>
    <row r="15006" spans="1:1" x14ac:dyDescent="0.25">
      <c r="A15006" s="5"/>
    </row>
    <row r="15007" spans="1:1" x14ac:dyDescent="0.25">
      <c r="A15007" s="5"/>
    </row>
    <row r="15008" spans="1:1" x14ac:dyDescent="0.25">
      <c r="A15008" s="5"/>
    </row>
    <row r="15009" spans="1:1" x14ac:dyDescent="0.25">
      <c r="A15009" s="5"/>
    </row>
    <row r="15010" spans="1:1" x14ac:dyDescent="0.25">
      <c r="A15010" s="5"/>
    </row>
    <row r="15011" spans="1:1" x14ac:dyDescent="0.25">
      <c r="A15011" s="5"/>
    </row>
    <row r="15012" spans="1:1" x14ac:dyDescent="0.25">
      <c r="A15012" s="5"/>
    </row>
    <row r="15013" spans="1:1" x14ac:dyDescent="0.25">
      <c r="A15013" s="5"/>
    </row>
    <row r="15014" spans="1:1" x14ac:dyDescent="0.25">
      <c r="A15014" s="5"/>
    </row>
    <row r="15015" spans="1:1" x14ac:dyDescent="0.25">
      <c r="A15015" s="5"/>
    </row>
    <row r="15016" spans="1:1" x14ac:dyDescent="0.25">
      <c r="A15016" s="5"/>
    </row>
    <row r="15017" spans="1:1" x14ac:dyDescent="0.25">
      <c r="A15017" s="5"/>
    </row>
    <row r="15018" spans="1:1" x14ac:dyDescent="0.25">
      <c r="A15018" s="5"/>
    </row>
    <row r="15019" spans="1:1" x14ac:dyDescent="0.25">
      <c r="A15019" s="5"/>
    </row>
    <row r="15020" spans="1:1" x14ac:dyDescent="0.25">
      <c r="A15020" s="5"/>
    </row>
    <row r="15021" spans="1:1" x14ac:dyDescent="0.25">
      <c r="A15021" s="5"/>
    </row>
    <row r="15022" spans="1:1" x14ac:dyDescent="0.25">
      <c r="A15022" s="5"/>
    </row>
    <row r="15023" spans="1:1" x14ac:dyDescent="0.25">
      <c r="A15023" s="5"/>
    </row>
    <row r="15024" spans="1:1" x14ac:dyDescent="0.25">
      <c r="A15024" s="5"/>
    </row>
    <row r="15025" spans="1:1" x14ac:dyDescent="0.25">
      <c r="A15025" s="5"/>
    </row>
    <row r="15026" spans="1:1" x14ac:dyDescent="0.25">
      <c r="A15026" s="5"/>
    </row>
    <row r="15027" spans="1:1" x14ac:dyDescent="0.25">
      <c r="A15027" s="5"/>
    </row>
    <row r="15028" spans="1:1" x14ac:dyDescent="0.25">
      <c r="A15028" s="5"/>
    </row>
    <row r="15029" spans="1:1" x14ac:dyDescent="0.25">
      <c r="A15029" s="5"/>
    </row>
    <row r="15030" spans="1:1" x14ac:dyDescent="0.25">
      <c r="A15030" s="5"/>
    </row>
    <row r="15031" spans="1:1" x14ac:dyDescent="0.25">
      <c r="A15031" s="5"/>
    </row>
    <row r="15032" spans="1:1" x14ac:dyDescent="0.25">
      <c r="A15032" s="5"/>
    </row>
    <row r="15033" spans="1:1" x14ac:dyDescent="0.25">
      <c r="A15033" s="5"/>
    </row>
    <row r="15034" spans="1:1" x14ac:dyDescent="0.25">
      <c r="A15034" s="5"/>
    </row>
    <row r="15035" spans="1:1" x14ac:dyDescent="0.25">
      <c r="A15035" s="5"/>
    </row>
    <row r="15036" spans="1:1" x14ac:dyDescent="0.25">
      <c r="A15036" s="5"/>
    </row>
    <row r="15037" spans="1:1" x14ac:dyDescent="0.25">
      <c r="A15037" s="5"/>
    </row>
    <row r="15038" spans="1:1" x14ac:dyDescent="0.25">
      <c r="A15038" s="5"/>
    </row>
    <row r="15039" spans="1:1" x14ac:dyDescent="0.25">
      <c r="A15039" s="5"/>
    </row>
    <row r="15040" spans="1:1" x14ac:dyDescent="0.25">
      <c r="A15040" s="5"/>
    </row>
    <row r="15041" spans="1:1" x14ac:dyDescent="0.25">
      <c r="A15041" s="5"/>
    </row>
    <row r="15042" spans="1:1" x14ac:dyDescent="0.25">
      <c r="A15042" s="5"/>
    </row>
    <row r="15043" spans="1:1" x14ac:dyDescent="0.25">
      <c r="A15043" s="5"/>
    </row>
    <row r="15044" spans="1:1" x14ac:dyDescent="0.25">
      <c r="A15044" s="5"/>
    </row>
    <row r="15045" spans="1:1" x14ac:dyDescent="0.25">
      <c r="A15045" s="5"/>
    </row>
    <row r="15046" spans="1:1" x14ac:dyDescent="0.25">
      <c r="A15046" s="5"/>
    </row>
    <row r="15047" spans="1:1" x14ac:dyDescent="0.25">
      <c r="A15047" s="5"/>
    </row>
    <row r="15048" spans="1:1" x14ac:dyDescent="0.25">
      <c r="A15048" s="5"/>
    </row>
    <row r="15049" spans="1:1" x14ac:dyDescent="0.25">
      <c r="A15049" s="5"/>
    </row>
    <row r="15050" spans="1:1" x14ac:dyDescent="0.25">
      <c r="A15050" s="5"/>
    </row>
    <row r="15051" spans="1:1" x14ac:dyDescent="0.25">
      <c r="A15051" s="5"/>
    </row>
    <row r="15052" spans="1:1" x14ac:dyDescent="0.25">
      <c r="A15052" s="5"/>
    </row>
    <row r="15053" spans="1:1" x14ac:dyDescent="0.25">
      <c r="A15053" s="5"/>
    </row>
    <row r="15054" spans="1:1" x14ac:dyDescent="0.25">
      <c r="A15054" s="5"/>
    </row>
    <row r="15055" spans="1:1" x14ac:dyDescent="0.25">
      <c r="A15055" s="5"/>
    </row>
    <row r="15056" spans="1:1" x14ac:dyDescent="0.25">
      <c r="A15056" s="5"/>
    </row>
    <row r="15057" spans="1:1" x14ac:dyDescent="0.25">
      <c r="A15057" s="5"/>
    </row>
    <row r="15058" spans="1:1" x14ac:dyDescent="0.25">
      <c r="A15058" s="5"/>
    </row>
    <row r="15059" spans="1:1" x14ac:dyDescent="0.25">
      <c r="A15059" s="5"/>
    </row>
    <row r="15060" spans="1:1" x14ac:dyDescent="0.25">
      <c r="A15060" s="5"/>
    </row>
    <row r="15061" spans="1:1" x14ac:dyDescent="0.25">
      <c r="A15061" s="5"/>
    </row>
    <row r="15062" spans="1:1" x14ac:dyDescent="0.25">
      <c r="A15062" s="5"/>
    </row>
    <row r="15063" spans="1:1" x14ac:dyDescent="0.25">
      <c r="A15063" s="5"/>
    </row>
    <row r="15064" spans="1:1" x14ac:dyDescent="0.25">
      <c r="A15064" s="5"/>
    </row>
    <row r="15065" spans="1:1" x14ac:dyDescent="0.25">
      <c r="A15065" s="5"/>
    </row>
    <row r="15066" spans="1:1" x14ac:dyDescent="0.25">
      <c r="A15066" s="5"/>
    </row>
    <row r="15067" spans="1:1" x14ac:dyDescent="0.25">
      <c r="A15067" s="5"/>
    </row>
    <row r="15068" spans="1:1" x14ac:dyDescent="0.25">
      <c r="A15068" s="5"/>
    </row>
    <row r="15069" spans="1:1" x14ac:dyDescent="0.25">
      <c r="A15069" s="5"/>
    </row>
    <row r="15070" spans="1:1" x14ac:dyDescent="0.25">
      <c r="A15070" s="5"/>
    </row>
    <row r="15071" spans="1:1" x14ac:dyDescent="0.25">
      <c r="A15071" s="5"/>
    </row>
    <row r="15072" spans="1:1" x14ac:dyDescent="0.25">
      <c r="A15072" s="5"/>
    </row>
    <row r="15073" spans="1:1" x14ac:dyDescent="0.25">
      <c r="A15073" s="5"/>
    </row>
    <row r="15074" spans="1:1" x14ac:dyDescent="0.25">
      <c r="A15074" s="5"/>
    </row>
    <row r="15075" spans="1:1" x14ac:dyDescent="0.25">
      <c r="A15075" s="5"/>
    </row>
    <row r="15076" spans="1:1" x14ac:dyDescent="0.25">
      <c r="A15076" s="5"/>
    </row>
    <row r="15077" spans="1:1" x14ac:dyDescent="0.25">
      <c r="A15077" s="5"/>
    </row>
    <row r="15078" spans="1:1" x14ac:dyDescent="0.25">
      <c r="A15078" s="5"/>
    </row>
    <row r="15079" spans="1:1" x14ac:dyDescent="0.25">
      <c r="A15079" s="5"/>
    </row>
    <row r="15080" spans="1:1" x14ac:dyDescent="0.25">
      <c r="A15080" s="5"/>
    </row>
    <row r="15081" spans="1:1" x14ac:dyDescent="0.25">
      <c r="A15081" s="5"/>
    </row>
    <row r="15082" spans="1:1" x14ac:dyDescent="0.25">
      <c r="A15082" s="5"/>
    </row>
    <row r="15083" spans="1:1" x14ac:dyDescent="0.25">
      <c r="A15083" s="5"/>
    </row>
    <row r="15084" spans="1:1" x14ac:dyDescent="0.25">
      <c r="A15084" s="5"/>
    </row>
    <row r="15085" spans="1:1" x14ac:dyDescent="0.25">
      <c r="A15085" s="5"/>
    </row>
    <row r="15086" spans="1:1" x14ac:dyDescent="0.25">
      <c r="A15086" s="5"/>
    </row>
    <row r="15087" spans="1:1" x14ac:dyDescent="0.25">
      <c r="A15087" s="5"/>
    </row>
    <row r="15088" spans="1:1" x14ac:dyDescent="0.25">
      <c r="A15088" s="5"/>
    </row>
    <row r="15089" spans="1:1" x14ac:dyDescent="0.25">
      <c r="A15089" s="5"/>
    </row>
    <row r="15090" spans="1:1" x14ac:dyDescent="0.25">
      <c r="A15090" s="5"/>
    </row>
    <row r="15091" spans="1:1" x14ac:dyDescent="0.25">
      <c r="A15091" s="5"/>
    </row>
    <row r="15092" spans="1:1" x14ac:dyDescent="0.25">
      <c r="A15092" s="5"/>
    </row>
    <row r="15093" spans="1:1" x14ac:dyDescent="0.25">
      <c r="A15093" s="5"/>
    </row>
    <row r="15094" spans="1:1" x14ac:dyDescent="0.25">
      <c r="A15094" s="5"/>
    </row>
    <row r="15095" spans="1:1" x14ac:dyDescent="0.25">
      <c r="A15095" s="5"/>
    </row>
    <row r="15096" spans="1:1" x14ac:dyDescent="0.25">
      <c r="A15096" s="5"/>
    </row>
    <row r="15097" spans="1:1" x14ac:dyDescent="0.25">
      <c r="A15097" s="5"/>
    </row>
    <row r="15098" spans="1:1" x14ac:dyDescent="0.25">
      <c r="A15098" s="5"/>
    </row>
    <row r="15099" spans="1:1" x14ac:dyDescent="0.25">
      <c r="A15099" s="5"/>
    </row>
    <row r="15100" spans="1:1" x14ac:dyDescent="0.25">
      <c r="A15100" s="5"/>
    </row>
    <row r="15101" spans="1:1" x14ac:dyDescent="0.25">
      <c r="A15101" s="5"/>
    </row>
    <row r="15102" spans="1:1" x14ac:dyDescent="0.25">
      <c r="A15102" s="5"/>
    </row>
    <row r="15103" spans="1:1" x14ac:dyDescent="0.25">
      <c r="A15103" s="5"/>
    </row>
    <row r="15104" spans="1:1" x14ac:dyDescent="0.25">
      <c r="A15104" s="5"/>
    </row>
    <row r="15105" spans="1:1" x14ac:dyDescent="0.25">
      <c r="A15105" s="5"/>
    </row>
    <row r="15106" spans="1:1" x14ac:dyDescent="0.25">
      <c r="A15106" s="5"/>
    </row>
    <row r="15107" spans="1:1" x14ac:dyDescent="0.25">
      <c r="A15107" s="5"/>
    </row>
    <row r="15108" spans="1:1" x14ac:dyDescent="0.25">
      <c r="A15108" s="5"/>
    </row>
    <row r="15109" spans="1:1" x14ac:dyDescent="0.25">
      <c r="A15109" s="5"/>
    </row>
    <row r="15110" spans="1:1" x14ac:dyDescent="0.25">
      <c r="A15110" s="5"/>
    </row>
    <row r="15111" spans="1:1" x14ac:dyDescent="0.25">
      <c r="A15111" s="5"/>
    </row>
    <row r="15112" spans="1:1" x14ac:dyDescent="0.25">
      <c r="A15112" s="5"/>
    </row>
    <row r="15113" spans="1:1" x14ac:dyDescent="0.25">
      <c r="A15113" s="5"/>
    </row>
    <row r="15114" spans="1:1" x14ac:dyDescent="0.25">
      <c r="A15114" s="5"/>
    </row>
    <row r="15115" spans="1:1" x14ac:dyDescent="0.25">
      <c r="A15115" s="5"/>
    </row>
    <row r="15116" spans="1:1" x14ac:dyDescent="0.25">
      <c r="A15116" s="5"/>
    </row>
    <row r="15117" spans="1:1" x14ac:dyDescent="0.25">
      <c r="A15117" s="5"/>
    </row>
    <row r="15118" spans="1:1" x14ac:dyDescent="0.25">
      <c r="A15118" s="5"/>
    </row>
    <row r="15119" spans="1:1" x14ac:dyDescent="0.25">
      <c r="A15119" s="5"/>
    </row>
    <row r="15120" spans="1:1" x14ac:dyDescent="0.25">
      <c r="A15120" s="5"/>
    </row>
    <row r="15121" spans="1:1" x14ac:dyDescent="0.25">
      <c r="A15121" s="5"/>
    </row>
    <row r="15122" spans="1:1" x14ac:dyDescent="0.25">
      <c r="A15122" s="5"/>
    </row>
    <row r="15123" spans="1:1" x14ac:dyDescent="0.25">
      <c r="A15123" s="5"/>
    </row>
    <row r="15124" spans="1:1" x14ac:dyDescent="0.25">
      <c r="A15124" s="5"/>
    </row>
    <row r="15125" spans="1:1" x14ac:dyDescent="0.25">
      <c r="A15125" s="5"/>
    </row>
    <row r="15126" spans="1:1" x14ac:dyDescent="0.25">
      <c r="A15126" s="5"/>
    </row>
    <row r="15127" spans="1:1" x14ac:dyDescent="0.25">
      <c r="A15127" s="5"/>
    </row>
    <row r="15128" spans="1:1" x14ac:dyDescent="0.25">
      <c r="A15128" s="5"/>
    </row>
    <row r="15129" spans="1:1" x14ac:dyDescent="0.25">
      <c r="A15129" s="5"/>
    </row>
    <row r="15130" spans="1:1" x14ac:dyDescent="0.25">
      <c r="A15130" s="5"/>
    </row>
    <row r="15131" spans="1:1" x14ac:dyDescent="0.25">
      <c r="A15131" s="5"/>
    </row>
    <row r="15132" spans="1:1" x14ac:dyDescent="0.25">
      <c r="A15132" s="5"/>
    </row>
    <row r="15133" spans="1:1" x14ac:dyDescent="0.25">
      <c r="A15133" s="5"/>
    </row>
    <row r="15134" spans="1:1" x14ac:dyDescent="0.25">
      <c r="A15134" s="5"/>
    </row>
    <row r="15135" spans="1:1" x14ac:dyDescent="0.25">
      <c r="A15135" s="5"/>
    </row>
    <row r="15136" spans="1:1" x14ac:dyDescent="0.25">
      <c r="A15136" s="5"/>
    </row>
    <row r="15137" spans="1:1" x14ac:dyDescent="0.25">
      <c r="A15137" s="5"/>
    </row>
    <row r="15138" spans="1:1" x14ac:dyDescent="0.25">
      <c r="A15138" s="5"/>
    </row>
    <row r="15139" spans="1:1" x14ac:dyDescent="0.25">
      <c r="A15139" s="5"/>
    </row>
    <row r="15140" spans="1:1" x14ac:dyDescent="0.25">
      <c r="A15140" s="5"/>
    </row>
    <row r="15141" spans="1:1" x14ac:dyDescent="0.25">
      <c r="A15141" s="5"/>
    </row>
    <row r="15142" spans="1:1" x14ac:dyDescent="0.25">
      <c r="A15142" s="5"/>
    </row>
    <row r="15143" spans="1:1" x14ac:dyDescent="0.25">
      <c r="A15143" s="5"/>
    </row>
    <row r="15144" spans="1:1" x14ac:dyDescent="0.25">
      <c r="A15144" s="5"/>
    </row>
    <row r="15145" spans="1:1" x14ac:dyDescent="0.25">
      <c r="A15145" s="5"/>
    </row>
    <row r="15146" spans="1:1" x14ac:dyDescent="0.25">
      <c r="A15146" s="5"/>
    </row>
    <row r="15147" spans="1:1" x14ac:dyDescent="0.25">
      <c r="A15147" s="5"/>
    </row>
    <row r="15148" spans="1:1" x14ac:dyDescent="0.25">
      <c r="A15148" s="5"/>
    </row>
    <row r="15149" spans="1:1" x14ac:dyDescent="0.25">
      <c r="A15149" s="5"/>
    </row>
    <row r="15150" spans="1:1" x14ac:dyDescent="0.25">
      <c r="A15150" s="5"/>
    </row>
    <row r="15151" spans="1:1" x14ac:dyDescent="0.25">
      <c r="A15151" s="5"/>
    </row>
    <row r="15152" spans="1:1" x14ac:dyDescent="0.25">
      <c r="A15152" s="5"/>
    </row>
    <row r="15153" spans="1:1" x14ac:dyDescent="0.25">
      <c r="A15153" s="5"/>
    </row>
    <row r="15154" spans="1:1" x14ac:dyDescent="0.25">
      <c r="A15154" s="5"/>
    </row>
    <row r="15155" spans="1:1" x14ac:dyDescent="0.25">
      <c r="A15155" s="5"/>
    </row>
    <row r="15156" spans="1:1" x14ac:dyDescent="0.25">
      <c r="A15156" s="5"/>
    </row>
    <row r="15157" spans="1:1" x14ac:dyDescent="0.25">
      <c r="A15157" s="5"/>
    </row>
    <row r="15158" spans="1:1" x14ac:dyDescent="0.25">
      <c r="A15158" s="5"/>
    </row>
    <row r="15159" spans="1:1" x14ac:dyDescent="0.25">
      <c r="A15159" s="5"/>
    </row>
    <row r="15160" spans="1:1" x14ac:dyDescent="0.25">
      <c r="A15160" s="5"/>
    </row>
    <row r="15161" spans="1:1" x14ac:dyDescent="0.25">
      <c r="A15161" s="5"/>
    </row>
    <row r="15162" spans="1:1" x14ac:dyDescent="0.25">
      <c r="A15162" s="5"/>
    </row>
    <row r="15163" spans="1:1" x14ac:dyDescent="0.25">
      <c r="A15163" s="5"/>
    </row>
    <row r="15164" spans="1:1" x14ac:dyDescent="0.25">
      <c r="A15164" s="5"/>
    </row>
    <row r="15165" spans="1:1" x14ac:dyDescent="0.25">
      <c r="A15165" s="5"/>
    </row>
    <row r="15166" spans="1:1" x14ac:dyDescent="0.25">
      <c r="A15166" s="5"/>
    </row>
    <row r="15167" spans="1:1" x14ac:dyDescent="0.25">
      <c r="A15167" s="5"/>
    </row>
    <row r="15168" spans="1:1" x14ac:dyDescent="0.25">
      <c r="A15168" s="5"/>
    </row>
    <row r="15169" spans="1:1" x14ac:dyDescent="0.25">
      <c r="A15169" s="5"/>
    </row>
    <row r="15170" spans="1:1" x14ac:dyDescent="0.25">
      <c r="A15170" s="5"/>
    </row>
    <row r="15171" spans="1:1" x14ac:dyDescent="0.25">
      <c r="A15171" s="5"/>
    </row>
    <row r="15172" spans="1:1" x14ac:dyDescent="0.25">
      <c r="A15172" s="5"/>
    </row>
    <row r="15173" spans="1:1" x14ac:dyDescent="0.25">
      <c r="A15173" s="5"/>
    </row>
    <row r="15174" spans="1:1" x14ac:dyDescent="0.25">
      <c r="A15174" s="5"/>
    </row>
    <row r="15175" spans="1:1" x14ac:dyDescent="0.25">
      <c r="A15175" s="5"/>
    </row>
    <row r="15176" spans="1:1" x14ac:dyDescent="0.25">
      <c r="A15176" s="5"/>
    </row>
    <row r="15177" spans="1:1" x14ac:dyDescent="0.25">
      <c r="A15177" s="5"/>
    </row>
    <row r="15178" spans="1:1" x14ac:dyDescent="0.25">
      <c r="A15178" s="5"/>
    </row>
    <row r="15179" spans="1:1" x14ac:dyDescent="0.25">
      <c r="A15179" s="5"/>
    </row>
    <row r="15180" spans="1:1" x14ac:dyDescent="0.25">
      <c r="A15180" s="5"/>
    </row>
    <row r="15181" spans="1:1" x14ac:dyDescent="0.25">
      <c r="A15181" s="5"/>
    </row>
    <row r="15182" spans="1:1" x14ac:dyDescent="0.25">
      <c r="A15182" s="5"/>
    </row>
    <row r="15183" spans="1:1" x14ac:dyDescent="0.25">
      <c r="A15183" s="5"/>
    </row>
    <row r="15184" spans="1:1" x14ac:dyDescent="0.25">
      <c r="A15184" s="5"/>
    </row>
    <row r="15185" spans="1:1" x14ac:dyDescent="0.25">
      <c r="A15185" s="5"/>
    </row>
    <row r="15186" spans="1:1" x14ac:dyDescent="0.25">
      <c r="A15186" s="5"/>
    </row>
    <row r="15187" spans="1:1" x14ac:dyDescent="0.25">
      <c r="A15187" s="5"/>
    </row>
    <row r="15188" spans="1:1" x14ac:dyDescent="0.25">
      <c r="A15188" s="5"/>
    </row>
    <row r="15189" spans="1:1" x14ac:dyDescent="0.25">
      <c r="A15189" s="5"/>
    </row>
    <row r="15190" spans="1:1" x14ac:dyDescent="0.25">
      <c r="A15190" s="5"/>
    </row>
    <row r="15191" spans="1:1" x14ac:dyDescent="0.25">
      <c r="A15191" s="5"/>
    </row>
    <row r="15192" spans="1:1" x14ac:dyDescent="0.25">
      <c r="A15192" s="5"/>
    </row>
    <row r="15193" spans="1:1" x14ac:dyDescent="0.25">
      <c r="A15193" s="5"/>
    </row>
    <row r="15194" spans="1:1" x14ac:dyDescent="0.25">
      <c r="A15194" s="5"/>
    </row>
    <row r="15195" spans="1:1" x14ac:dyDescent="0.25">
      <c r="A15195" s="5"/>
    </row>
    <row r="15196" spans="1:1" x14ac:dyDescent="0.25">
      <c r="A15196" s="5"/>
    </row>
    <row r="15197" spans="1:1" x14ac:dyDescent="0.25">
      <c r="A15197" s="5"/>
    </row>
    <row r="15198" spans="1:1" x14ac:dyDescent="0.25">
      <c r="A15198" s="5"/>
    </row>
    <row r="15199" spans="1:1" x14ac:dyDescent="0.25">
      <c r="A15199" s="5"/>
    </row>
    <row r="15200" spans="1:1" x14ac:dyDescent="0.25">
      <c r="A15200" s="5"/>
    </row>
    <row r="15201" spans="1:1" x14ac:dyDescent="0.25">
      <c r="A15201" s="5"/>
    </row>
    <row r="15202" spans="1:1" x14ac:dyDescent="0.25">
      <c r="A15202" s="5"/>
    </row>
    <row r="15203" spans="1:1" x14ac:dyDescent="0.25">
      <c r="A15203" s="5"/>
    </row>
    <row r="15204" spans="1:1" x14ac:dyDescent="0.25">
      <c r="A15204" s="5"/>
    </row>
    <row r="15205" spans="1:1" x14ac:dyDescent="0.25">
      <c r="A15205" s="5"/>
    </row>
    <row r="15206" spans="1:1" x14ac:dyDescent="0.25">
      <c r="A15206" s="5"/>
    </row>
    <row r="15207" spans="1:1" x14ac:dyDescent="0.25">
      <c r="A15207" s="5"/>
    </row>
    <row r="15208" spans="1:1" x14ac:dyDescent="0.25">
      <c r="A15208" s="5"/>
    </row>
    <row r="15209" spans="1:1" x14ac:dyDescent="0.25">
      <c r="A15209" s="5"/>
    </row>
    <row r="15210" spans="1:1" x14ac:dyDescent="0.25">
      <c r="A15210" s="5"/>
    </row>
    <row r="15211" spans="1:1" x14ac:dyDescent="0.25">
      <c r="A15211" s="5"/>
    </row>
    <row r="15212" spans="1:1" x14ac:dyDescent="0.25">
      <c r="A15212" s="5"/>
    </row>
    <row r="15213" spans="1:1" x14ac:dyDescent="0.25">
      <c r="A15213" s="5"/>
    </row>
    <row r="15214" spans="1:1" x14ac:dyDescent="0.25">
      <c r="A15214" s="5"/>
    </row>
    <row r="15215" spans="1:1" x14ac:dyDescent="0.25">
      <c r="A15215" s="5"/>
    </row>
    <row r="15216" spans="1:1" x14ac:dyDescent="0.25">
      <c r="A15216" s="5"/>
    </row>
    <row r="15217" spans="1:1" x14ac:dyDescent="0.25">
      <c r="A15217" s="5"/>
    </row>
    <row r="15218" spans="1:1" x14ac:dyDescent="0.25">
      <c r="A15218" s="5"/>
    </row>
    <row r="15219" spans="1:1" x14ac:dyDescent="0.25">
      <c r="A15219" s="5"/>
    </row>
    <row r="15220" spans="1:1" x14ac:dyDescent="0.25">
      <c r="A15220" s="5"/>
    </row>
    <row r="15221" spans="1:1" x14ac:dyDescent="0.25">
      <c r="A15221" s="5"/>
    </row>
    <row r="15222" spans="1:1" x14ac:dyDescent="0.25">
      <c r="A15222" s="5"/>
    </row>
    <row r="15223" spans="1:1" x14ac:dyDescent="0.25">
      <c r="A15223" s="5"/>
    </row>
    <row r="15224" spans="1:1" x14ac:dyDescent="0.25">
      <c r="A15224" s="5"/>
    </row>
    <row r="15225" spans="1:1" x14ac:dyDescent="0.25">
      <c r="A15225" s="5"/>
    </row>
    <row r="15226" spans="1:1" x14ac:dyDescent="0.25">
      <c r="A15226" s="5"/>
    </row>
    <row r="15227" spans="1:1" x14ac:dyDescent="0.25">
      <c r="A15227" s="5"/>
    </row>
    <row r="15228" spans="1:1" x14ac:dyDescent="0.25">
      <c r="A15228" s="5"/>
    </row>
    <row r="15229" spans="1:1" x14ac:dyDescent="0.25">
      <c r="A15229" s="5"/>
    </row>
    <row r="15230" spans="1:1" x14ac:dyDescent="0.25">
      <c r="A15230" s="5"/>
    </row>
    <row r="15231" spans="1:1" x14ac:dyDescent="0.25">
      <c r="A15231" s="5"/>
    </row>
    <row r="15232" spans="1:1" x14ac:dyDescent="0.25">
      <c r="A15232" s="5"/>
    </row>
    <row r="15233" spans="1:1" x14ac:dyDescent="0.25">
      <c r="A15233" s="5"/>
    </row>
    <row r="15234" spans="1:1" x14ac:dyDescent="0.25">
      <c r="A15234" s="5"/>
    </row>
    <row r="15235" spans="1:1" x14ac:dyDescent="0.25">
      <c r="A15235" s="5"/>
    </row>
    <row r="15236" spans="1:1" x14ac:dyDescent="0.25">
      <c r="A15236" s="5"/>
    </row>
    <row r="15237" spans="1:1" x14ac:dyDescent="0.25">
      <c r="A15237" s="5"/>
    </row>
    <row r="15238" spans="1:1" x14ac:dyDescent="0.25">
      <c r="A15238" s="5"/>
    </row>
    <row r="15239" spans="1:1" x14ac:dyDescent="0.25">
      <c r="A15239" s="5"/>
    </row>
    <row r="15240" spans="1:1" x14ac:dyDescent="0.25">
      <c r="A15240" s="5"/>
    </row>
    <row r="15241" spans="1:1" x14ac:dyDescent="0.25">
      <c r="A15241" s="5"/>
    </row>
    <row r="15242" spans="1:1" x14ac:dyDescent="0.25">
      <c r="A15242" s="5"/>
    </row>
    <row r="15243" spans="1:1" x14ac:dyDescent="0.25">
      <c r="A15243" s="5"/>
    </row>
    <row r="15244" spans="1:1" x14ac:dyDescent="0.25">
      <c r="A15244" s="5"/>
    </row>
    <row r="15245" spans="1:1" x14ac:dyDescent="0.25">
      <c r="A15245" s="5"/>
    </row>
    <row r="15246" spans="1:1" x14ac:dyDescent="0.25">
      <c r="A15246" s="5"/>
    </row>
    <row r="15247" spans="1:1" x14ac:dyDescent="0.25">
      <c r="A15247" s="5"/>
    </row>
    <row r="15248" spans="1:1" x14ac:dyDescent="0.25">
      <c r="A15248" s="5"/>
    </row>
    <row r="15249" spans="1:1" x14ac:dyDescent="0.25">
      <c r="A15249" s="5"/>
    </row>
    <row r="15250" spans="1:1" x14ac:dyDescent="0.25">
      <c r="A15250" s="5"/>
    </row>
    <row r="15251" spans="1:1" x14ac:dyDescent="0.25">
      <c r="A15251" s="5"/>
    </row>
    <row r="15252" spans="1:1" x14ac:dyDescent="0.25">
      <c r="A15252" s="5"/>
    </row>
    <row r="15253" spans="1:1" x14ac:dyDescent="0.25">
      <c r="A15253" s="5"/>
    </row>
    <row r="15254" spans="1:1" x14ac:dyDescent="0.25">
      <c r="A15254" s="5"/>
    </row>
    <row r="15255" spans="1:1" x14ac:dyDescent="0.25">
      <c r="A15255" s="5"/>
    </row>
    <row r="15256" spans="1:1" x14ac:dyDescent="0.25">
      <c r="A15256" s="5"/>
    </row>
    <row r="15257" spans="1:1" x14ac:dyDescent="0.25">
      <c r="A15257" s="5"/>
    </row>
    <row r="15258" spans="1:1" x14ac:dyDescent="0.25">
      <c r="A15258" s="5"/>
    </row>
    <row r="15259" spans="1:1" x14ac:dyDescent="0.25">
      <c r="A15259" s="5"/>
    </row>
    <row r="15260" spans="1:1" x14ac:dyDescent="0.25">
      <c r="A15260" s="5"/>
    </row>
    <row r="15261" spans="1:1" x14ac:dyDescent="0.25">
      <c r="A15261" s="5"/>
    </row>
    <row r="15262" spans="1:1" x14ac:dyDescent="0.25">
      <c r="A15262" s="5"/>
    </row>
    <row r="15263" spans="1:1" x14ac:dyDescent="0.25">
      <c r="A15263" s="5"/>
    </row>
    <row r="15264" spans="1:1" x14ac:dyDescent="0.25">
      <c r="A15264" s="5"/>
    </row>
    <row r="15265" spans="1:1" x14ac:dyDescent="0.25">
      <c r="A15265" s="5"/>
    </row>
    <row r="15266" spans="1:1" x14ac:dyDescent="0.25">
      <c r="A15266" s="5"/>
    </row>
    <row r="15267" spans="1:1" x14ac:dyDescent="0.25">
      <c r="A15267" s="5"/>
    </row>
    <row r="15268" spans="1:1" x14ac:dyDescent="0.25">
      <c r="A15268" s="5"/>
    </row>
    <row r="15269" spans="1:1" x14ac:dyDescent="0.25">
      <c r="A15269" s="5"/>
    </row>
    <row r="15270" spans="1:1" x14ac:dyDescent="0.25">
      <c r="A15270" s="5"/>
    </row>
    <row r="15271" spans="1:1" x14ac:dyDescent="0.25">
      <c r="A15271" s="5"/>
    </row>
    <row r="15272" spans="1:1" x14ac:dyDescent="0.25">
      <c r="A15272" s="5"/>
    </row>
    <row r="15273" spans="1:1" x14ac:dyDescent="0.25">
      <c r="A15273" s="5"/>
    </row>
    <row r="15274" spans="1:1" x14ac:dyDescent="0.25">
      <c r="A15274" s="5"/>
    </row>
    <row r="15275" spans="1:1" x14ac:dyDescent="0.25">
      <c r="A15275" s="5"/>
    </row>
    <row r="15276" spans="1:1" x14ac:dyDescent="0.25">
      <c r="A15276" s="5"/>
    </row>
    <row r="15277" spans="1:1" x14ac:dyDescent="0.25">
      <c r="A15277" s="5"/>
    </row>
    <row r="15278" spans="1:1" x14ac:dyDescent="0.25">
      <c r="A15278" s="5"/>
    </row>
    <row r="15279" spans="1:1" x14ac:dyDescent="0.25">
      <c r="A15279" s="5"/>
    </row>
    <row r="15280" spans="1:1" x14ac:dyDescent="0.25">
      <c r="A15280" s="5"/>
    </row>
    <row r="15281" spans="1:1" x14ac:dyDescent="0.25">
      <c r="A15281" s="5"/>
    </row>
    <row r="15282" spans="1:1" x14ac:dyDescent="0.25">
      <c r="A15282" s="5"/>
    </row>
    <row r="15283" spans="1:1" x14ac:dyDescent="0.25">
      <c r="A15283" s="5"/>
    </row>
    <row r="15284" spans="1:1" x14ac:dyDescent="0.25">
      <c r="A15284" s="5"/>
    </row>
    <row r="15285" spans="1:1" x14ac:dyDescent="0.25">
      <c r="A15285" s="5"/>
    </row>
    <row r="15286" spans="1:1" x14ac:dyDescent="0.25">
      <c r="A15286" s="5"/>
    </row>
    <row r="15287" spans="1:1" x14ac:dyDescent="0.25">
      <c r="A15287" s="5"/>
    </row>
    <row r="15288" spans="1:1" x14ac:dyDescent="0.25">
      <c r="A15288" s="5"/>
    </row>
    <row r="15289" spans="1:1" x14ac:dyDescent="0.25">
      <c r="A15289" s="5"/>
    </row>
    <row r="15290" spans="1:1" x14ac:dyDescent="0.25">
      <c r="A15290" s="5"/>
    </row>
    <row r="15291" spans="1:1" x14ac:dyDescent="0.25">
      <c r="A15291" s="5"/>
    </row>
    <row r="15292" spans="1:1" x14ac:dyDescent="0.25">
      <c r="A15292" s="5"/>
    </row>
    <row r="15293" spans="1:1" x14ac:dyDescent="0.25">
      <c r="A15293" s="5"/>
    </row>
    <row r="15294" spans="1:1" x14ac:dyDescent="0.25">
      <c r="A15294" s="5"/>
    </row>
    <row r="15295" spans="1:1" x14ac:dyDescent="0.25">
      <c r="A15295" s="5"/>
    </row>
    <row r="15296" spans="1:1" x14ac:dyDescent="0.25">
      <c r="A15296" s="5"/>
    </row>
    <row r="15297" spans="1:1" x14ac:dyDescent="0.25">
      <c r="A15297" s="5"/>
    </row>
    <row r="15298" spans="1:1" x14ac:dyDescent="0.25">
      <c r="A15298" s="5"/>
    </row>
    <row r="15299" spans="1:1" x14ac:dyDescent="0.25">
      <c r="A15299" s="5"/>
    </row>
    <row r="15300" spans="1:1" x14ac:dyDescent="0.25">
      <c r="A15300" s="5"/>
    </row>
    <row r="15301" spans="1:1" x14ac:dyDescent="0.25">
      <c r="A15301" s="5"/>
    </row>
    <row r="15302" spans="1:1" x14ac:dyDescent="0.25">
      <c r="A15302" s="5"/>
    </row>
    <row r="15303" spans="1:1" x14ac:dyDescent="0.25">
      <c r="A15303" s="5"/>
    </row>
    <row r="15304" spans="1:1" x14ac:dyDescent="0.25">
      <c r="A15304" s="5"/>
    </row>
    <row r="15305" spans="1:1" x14ac:dyDescent="0.25">
      <c r="A15305" s="5"/>
    </row>
    <row r="15306" spans="1:1" x14ac:dyDescent="0.25">
      <c r="A15306" s="5"/>
    </row>
    <row r="15307" spans="1:1" x14ac:dyDescent="0.25">
      <c r="A15307" s="5"/>
    </row>
    <row r="15308" spans="1:1" x14ac:dyDescent="0.25">
      <c r="A15308" s="5"/>
    </row>
    <row r="15309" spans="1:1" x14ac:dyDescent="0.25">
      <c r="A15309" s="5"/>
    </row>
    <row r="15310" spans="1:1" x14ac:dyDescent="0.25">
      <c r="A15310" s="5"/>
    </row>
    <row r="15311" spans="1:1" x14ac:dyDescent="0.25">
      <c r="A15311" s="5"/>
    </row>
    <row r="15312" spans="1:1" x14ac:dyDescent="0.25">
      <c r="A15312" s="5"/>
    </row>
    <row r="15313" spans="1:1" x14ac:dyDescent="0.25">
      <c r="A15313" s="5"/>
    </row>
    <row r="15314" spans="1:1" x14ac:dyDescent="0.25">
      <c r="A15314" s="5"/>
    </row>
    <row r="15315" spans="1:1" x14ac:dyDescent="0.25">
      <c r="A15315" s="5"/>
    </row>
    <row r="15316" spans="1:1" x14ac:dyDescent="0.25">
      <c r="A15316" s="5"/>
    </row>
    <row r="15317" spans="1:1" x14ac:dyDescent="0.25">
      <c r="A15317" s="5"/>
    </row>
    <row r="15318" spans="1:1" x14ac:dyDescent="0.25">
      <c r="A15318" s="5"/>
    </row>
    <row r="15319" spans="1:1" x14ac:dyDescent="0.25">
      <c r="A15319" s="5"/>
    </row>
    <row r="15320" spans="1:1" x14ac:dyDescent="0.25">
      <c r="A15320" s="5"/>
    </row>
    <row r="15321" spans="1:1" x14ac:dyDescent="0.25">
      <c r="A15321" s="5"/>
    </row>
    <row r="15322" spans="1:1" x14ac:dyDescent="0.25">
      <c r="A15322" s="5"/>
    </row>
    <row r="15323" spans="1:1" x14ac:dyDescent="0.25">
      <c r="A15323" s="5"/>
    </row>
    <row r="15324" spans="1:1" x14ac:dyDescent="0.25">
      <c r="A15324" s="5"/>
    </row>
    <row r="15325" spans="1:1" x14ac:dyDescent="0.25">
      <c r="A15325" s="5"/>
    </row>
    <row r="15326" spans="1:1" x14ac:dyDescent="0.25">
      <c r="A15326" s="5"/>
    </row>
    <row r="15327" spans="1:1" x14ac:dyDescent="0.25">
      <c r="A15327" s="5"/>
    </row>
    <row r="15328" spans="1:1" x14ac:dyDescent="0.25">
      <c r="A15328" s="5"/>
    </row>
    <row r="15329" spans="1:1" x14ac:dyDescent="0.25">
      <c r="A15329" s="5"/>
    </row>
    <row r="15330" spans="1:1" x14ac:dyDescent="0.25">
      <c r="A15330" s="5"/>
    </row>
    <row r="15331" spans="1:1" x14ac:dyDescent="0.25">
      <c r="A15331" s="5"/>
    </row>
    <row r="15332" spans="1:1" x14ac:dyDescent="0.25">
      <c r="A15332" s="5"/>
    </row>
    <row r="15333" spans="1:1" x14ac:dyDescent="0.25">
      <c r="A15333" s="5"/>
    </row>
    <row r="15334" spans="1:1" x14ac:dyDescent="0.25">
      <c r="A15334" s="5"/>
    </row>
    <row r="15335" spans="1:1" x14ac:dyDescent="0.25">
      <c r="A15335" s="5"/>
    </row>
    <row r="15336" spans="1:1" x14ac:dyDescent="0.25">
      <c r="A15336" s="5"/>
    </row>
    <row r="15337" spans="1:1" x14ac:dyDescent="0.25">
      <c r="A15337" s="5"/>
    </row>
    <row r="15338" spans="1:1" x14ac:dyDescent="0.25">
      <c r="A15338" s="5"/>
    </row>
    <row r="15339" spans="1:1" x14ac:dyDescent="0.25">
      <c r="A15339" s="5"/>
    </row>
    <row r="15340" spans="1:1" x14ac:dyDescent="0.25">
      <c r="A15340" s="5"/>
    </row>
    <row r="15341" spans="1:1" x14ac:dyDescent="0.25">
      <c r="A15341" s="5"/>
    </row>
    <row r="15342" spans="1:1" x14ac:dyDescent="0.25">
      <c r="A15342" s="5"/>
    </row>
    <row r="15343" spans="1:1" x14ac:dyDescent="0.25">
      <c r="A15343" s="5"/>
    </row>
    <row r="15344" spans="1:1" x14ac:dyDescent="0.25">
      <c r="A15344" s="5"/>
    </row>
    <row r="15345" spans="1:1" x14ac:dyDescent="0.25">
      <c r="A15345" s="5"/>
    </row>
    <row r="15346" spans="1:1" x14ac:dyDescent="0.25">
      <c r="A15346" s="5"/>
    </row>
    <row r="15347" spans="1:1" x14ac:dyDescent="0.25">
      <c r="A15347" s="5"/>
    </row>
    <row r="15348" spans="1:1" x14ac:dyDescent="0.25">
      <c r="A15348" s="5"/>
    </row>
    <row r="15349" spans="1:1" x14ac:dyDescent="0.25">
      <c r="A15349" s="5"/>
    </row>
    <row r="15350" spans="1:1" x14ac:dyDescent="0.25">
      <c r="A15350" s="5"/>
    </row>
    <row r="15351" spans="1:1" x14ac:dyDescent="0.25">
      <c r="A15351" s="5"/>
    </row>
    <row r="15352" spans="1:1" x14ac:dyDescent="0.25">
      <c r="A15352" s="5"/>
    </row>
    <row r="15353" spans="1:1" x14ac:dyDescent="0.25">
      <c r="A15353" s="5"/>
    </row>
    <row r="15354" spans="1:1" x14ac:dyDescent="0.25">
      <c r="A15354" s="5"/>
    </row>
    <row r="15355" spans="1:1" x14ac:dyDescent="0.25">
      <c r="A15355" s="5"/>
    </row>
    <row r="15356" spans="1:1" x14ac:dyDescent="0.25">
      <c r="A15356" s="5"/>
    </row>
    <row r="15357" spans="1:1" x14ac:dyDescent="0.25">
      <c r="A15357" s="5"/>
    </row>
    <row r="15358" spans="1:1" x14ac:dyDescent="0.25">
      <c r="A15358" s="5"/>
    </row>
    <row r="15359" spans="1:1" x14ac:dyDescent="0.25">
      <c r="A15359" s="5"/>
    </row>
    <row r="15360" spans="1:1" x14ac:dyDescent="0.25">
      <c r="A15360" s="5"/>
    </row>
    <row r="15361" spans="1:1" x14ac:dyDescent="0.25">
      <c r="A15361" s="5"/>
    </row>
    <row r="15362" spans="1:1" x14ac:dyDescent="0.25">
      <c r="A15362" s="5"/>
    </row>
    <row r="15363" spans="1:1" x14ac:dyDescent="0.25">
      <c r="A15363" s="5"/>
    </row>
    <row r="15364" spans="1:1" x14ac:dyDescent="0.25">
      <c r="A15364" s="5"/>
    </row>
    <row r="15365" spans="1:1" x14ac:dyDescent="0.25">
      <c r="A15365" s="5"/>
    </row>
    <row r="15366" spans="1:1" x14ac:dyDescent="0.25">
      <c r="A15366" s="5"/>
    </row>
    <row r="15367" spans="1:1" x14ac:dyDescent="0.25">
      <c r="A15367" s="5"/>
    </row>
    <row r="15368" spans="1:1" x14ac:dyDescent="0.25">
      <c r="A15368" s="5"/>
    </row>
    <row r="15369" spans="1:1" x14ac:dyDescent="0.25">
      <c r="A15369" s="5"/>
    </row>
    <row r="15370" spans="1:1" x14ac:dyDescent="0.25">
      <c r="A15370" s="5"/>
    </row>
    <row r="15371" spans="1:1" x14ac:dyDescent="0.25">
      <c r="A15371" s="5"/>
    </row>
    <row r="15372" spans="1:1" x14ac:dyDescent="0.25">
      <c r="A15372" s="5"/>
    </row>
    <row r="15373" spans="1:1" x14ac:dyDescent="0.25">
      <c r="A15373" s="5"/>
    </row>
    <row r="15374" spans="1:1" x14ac:dyDescent="0.25">
      <c r="A15374" s="5"/>
    </row>
    <row r="15375" spans="1:1" x14ac:dyDescent="0.25">
      <c r="A15375" s="5"/>
    </row>
    <row r="15376" spans="1:1" x14ac:dyDescent="0.25">
      <c r="A15376" s="5"/>
    </row>
    <row r="15377" spans="1:1" x14ac:dyDescent="0.25">
      <c r="A15377" s="5"/>
    </row>
    <row r="15378" spans="1:1" x14ac:dyDescent="0.25">
      <c r="A15378" s="5"/>
    </row>
    <row r="15379" spans="1:1" x14ac:dyDescent="0.25">
      <c r="A15379" s="5"/>
    </row>
    <row r="15380" spans="1:1" x14ac:dyDescent="0.25">
      <c r="A15380" s="5"/>
    </row>
    <row r="15381" spans="1:1" x14ac:dyDescent="0.25">
      <c r="A15381" s="5"/>
    </row>
    <row r="15382" spans="1:1" x14ac:dyDescent="0.25">
      <c r="A15382" s="5"/>
    </row>
    <row r="15383" spans="1:1" x14ac:dyDescent="0.25">
      <c r="A15383" s="5"/>
    </row>
    <row r="15384" spans="1:1" x14ac:dyDescent="0.25">
      <c r="A15384" s="5"/>
    </row>
    <row r="15385" spans="1:1" x14ac:dyDescent="0.25">
      <c r="A15385" s="5"/>
    </row>
    <row r="15386" spans="1:1" x14ac:dyDescent="0.25">
      <c r="A15386" s="5"/>
    </row>
    <row r="15387" spans="1:1" x14ac:dyDescent="0.25">
      <c r="A15387" s="5"/>
    </row>
    <row r="15388" spans="1:1" x14ac:dyDescent="0.25">
      <c r="A15388" s="5"/>
    </row>
    <row r="15389" spans="1:1" x14ac:dyDescent="0.25">
      <c r="A15389" s="5"/>
    </row>
    <row r="15390" spans="1:1" x14ac:dyDescent="0.25">
      <c r="A15390" s="5"/>
    </row>
    <row r="15391" spans="1:1" x14ac:dyDescent="0.25">
      <c r="A15391" s="5"/>
    </row>
    <row r="15392" spans="1:1" x14ac:dyDescent="0.25">
      <c r="A15392" s="5"/>
    </row>
    <row r="15393" spans="1:1" x14ac:dyDescent="0.25">
      <c r="A15393" s="5"/>
    </row>
    <row r="15394" spans="1:1" x14ac:dyDescent="0.25">
      <c r="A15394" s="5"/>
    </row>
    <row r="15395" spans="1:1" x14ac:dyDescent="0.25">
      <c r="A15395" s="5"/>
    </row>
    <row r="15396" spans="1:1" x14ac:dyDescent="0.25">
      <c r="A15396" s="5"/>
    </row>
    <row r="15397" spans="1:1" x14ac:dyDescent="0.25">
      <c r="A15397" s="5"/>
    </row>
    <row r="15398" spans="1:1" x14ac:dyDescent="0.25">
      <c r="A15398" s="5"/>
    </row>
    <row r="15399" spans="1:1" x14ac:dyDescent="0.25">
      <c r="A15399" s="5"/>
    </row>
    <row r="15400" spans="1:1" x14ac:dyDescent="0.25">
      <c r="A15400" s="5"/>
    </row>
    <row r="15401" spans="1:1" x14ac:dyDescent="0.25">
      <c r="A15401" s="5"/>
    </row>
    <row r="15402" spans="1:1" x14ac:dyDescent="0.25">
      <c r="A15402" s="5"/>
    </row>
    <row r="15403" spans="1:1" x14ac:dyDescent="0.25">
      <c r="A15403" s="5"/>
    </row>
    <row r="15404" spans="1:1" x14ac:dyDescent="0.25">
      <c r="A15404" s="5"/>
    </row>
    <row r="15405" spans="1:1" x14ac:dyDescent="0.25">
      <c r="A15405" s="5"/>
    </row>
    <row r="15406" spans="1:1" x14ac:dyDescent="0.25">
      <c r="A15406" s="5"/>
    </row>
    <row r="15407" spans="1:1" x14ac:dyDescent="0.25">
      <c r="A15407" s="5"/>
    </row>
    <row r="15408" spans="1:1" x14ac:dyDescent="0.25">
      <c r="A15408" s="5"/>
    </row>
    <row r="15409" spans="1:1" x14ac:dyDescent="0.25">
      <c r="A15409" s="5"/>
    </row>
    <row r="15410" spans="1:1" x14ac:dyDescent="0.25">
      <c r="A15410" s="5"/>
    </row>
    <row r="15411" spans="1:1" x14ac:dyDescent="0.25">
      <c r="A15411" s="5"/>
    </row>
    <row r="15412" spans="1:1" x14ac:dyDescent="0.25">
      <c r="A15412" s="5"/>
    </row>
    <row r="15413" spans="1:1" x14ac:dyDescent="0.25">
      <c r="A15413" s="5"/>
    </row>
    <row r="15414" spans="1:1" x14ac:dyDescent="0.25">
      <c r="A15414" s="5"/>
    </row>
    <row r="15415" spans="1:1" x14ac:dyDescent="0.25">
      <c r="A15415" s="5"/>
    </row>
    <row r="15416" spans="1:1" x14ac:dyDescent="0.25">
      <c r="A15416" s="5"/>
    </row>
    <row r="15417" spans="1:1" x14ac:dyDescent="0.25">
      <c r="A15417" s="5"/>
    </row>
    <row r="15418" spans="1:1" x14ac:dyDescent="0.25">
      <c r="A15418" s="5"/>
    </row>
    <row r="15419" spans="1:1" x14ac:dyDescent="0.25">
      <c r="A15419" s="5"/>
    </row>
    <row r="15420" spans="1:1" x14ac:dyDescent="0.25">
      <c r="A15420" s="5"/>
    </row>
    <row r="15421" spans="1:1" x14ac:dyDescent="0.25">
      <c r="A15421" s="5"/>
    </row>
    <row r="15422" spans="1:1" x14ac:dyDescent="0.25">
      <c r="A15422" s="5"/>
    </row>
    <row r="15423" spans="1:1" x14ac:dyDescent="0.25">
      <c r="A15423" s="5"/>
    </row>
    <row r="15424" spans="1:1" x14ac:dyDescent="0.25">
      <c r="A15424" s="5"/>
    </row>
    <row r="15425" spans="1:1" x14ac:dyDescent="0.25">
      <c r="A15425" s="5"/>
    </row>
    <row r="15426" spans="1:1" x14ac:dyDescent="0.25">
      <c r="A15426" s="5"/>
    </row>
    <row r="15427" spans="1:1" x14ac:dyDescent="0.25">
      <c r="A15427" s="5"/>
    </row>
    <row r="15428" spans="1:1" x14ac:dyDescent="0.25">
      <c r="A15428" s="5"/>
    </row>
    <row r="15429" spans="1:1" x14ac:dyDescent="0.25">
      <c r="A15429" s="5"/>
    </row>
    <row r="15430" spans="1:1" x14ac:dyDescent="0.25">
      <c r="A15430" s="5"/>
    </row>
    <row r="15431" spans="1:1" x14ac:dyDescent="0.25">
      <c r="A15431" s="5"/>
    </row>
    <row r="15432" spans="1:1" x14ac:dyDescent="0.25">
      <c r="A15432" s="5"/>
    </row>
    <row r="15433" spans="1:1" x14ac:dyDescent="0.25">
      <c r="A15433" s="5"/>
    </row>
    <row r="15434" spans="1:1" x14ac:dyDescent="0.25">
      <c r="A15434" s="5"/>
    </row>
    <row r="15435" spans="1:1" x14ac:dyDescent="0.25">
      <c r="A15435" s="5"/>
    </row>
    <row r="15436" spans="1:1" x14ac:dyDescent="0.25">
      <c r="A15436" s="5"/>
    </row>
    <row r="15437" spans="1:1" x14ac:dyDescent="0.25">
      <c r="A15437" s="5"/>
    </row>
    <row r="15438" spans="1:1" x14ac:dyDescent="0.25">
      <c r="A15438" s="5"/>
    </row>
    <row r="15439" spans="1:1" x14ac:dyDescent="0.25">
      <c r="A15439" s="5"/>
    </row>
    <row r="15440" spans="1:1" x14ac:dyDescent="0.25">
      <c r="A15440" s="5"/>
    </row>
    <row r="15441" spans="1:1" x14ac:dyDescent="0.25">
      <c r="A15441" s="5"/>
    </row>
    <row r="15442" spans="1:1" x14ac:dyDescent="0.25">
      <c r="A15442" s="5"/>
    </row>
    <row r="15443" spans="1:1" x14ac:dyDescent="0.25">
      <c r="A15443" s="5"/>
    </row>
    <row r="15444" spans="1:1" x14ac:dyDescent="0.25">
      <c r="A15444" s="5"/>
    </row>
    <row r="15445" spans="1:1" x14ac:dyDescent="0.25">
      <c r="A15445" s="5"/>
    </row>
    <row r="15446" spans="1:1" x14ac:dyDescent="0.25">
      <c r="A15446" s="5"/>
    </row>
    <row r="15447" spans="1:1" x14ac:dyDescent="0.25">
      <c r="A15447" s="5"/>
    </row>
    <row r="15448" spans="1:1" x14ac:dyDescent="0.25">
      <c r="A15448" s="5"/>
    </row>
    <row r="15449" spans="1:1" x14ac:dyDescent="0.25">
      <c r="A15449" s="5"/>
    </row>
    <row r="15450" spans="1:1" x14ac:dyDescent="0.25">
      <c r="A15450" s="5"/>
    </row>
    <row r="15451" spans="1:1" x14ac:dyDescent="0.25">
      <c r="A15451" s="5"/>
    </row>
    <row r="15452" spans="1:1" x14ac:dyDescent="0.25">
      <c r="A15452" s="5"/>
    </row>
    <row r="15453" spans="1:1" x14ac:dyDescent="0.25">
      <c r="A15453" s="5"/>
    </row>
    <row r="15454" spans="1:1" x14ac:dyDescent="0.25">
      <c r="A15454" s="5"/>
    </row>
    <row r="15455" spans="1:1" x14ac:dyDescent="0.25">
      <c r="A15455" s="5"/>
    </row>
    <row r="15456" spans="1:1" x14ac:dyDescent="0.25">
      <c r="A15456" s="5"/>
    </row>
    <row r="15457" spans="1:1" x14ac:dyDescent="0.25">
      <c r="A15457" s="5"/>
    </row>
    <row r="15458" spans="1:1" x14ac:dyDescent="0.25">
      <c r="A15458" s="5"/>
    </row>
    <row r="15459" spans="1:1" x14ac:dyDescent="0.25">
      <c r="A15459" s="5"/>
    </row>
    <row r="15460" spans="1:1" x14ac:dyDescent="0.25">
      <c r="A15460" s="5"/>
    </row>
    <row r="15461" spans="1:1" x14ac:dyDescent="0.25">
      <c r="A15461" s="5"/>
    </row>
    <row r="15462" spans="1:1" x14ac:dyDescent="0.25">
      <c r="A15462" s="5"/>
    </row>
    <row r="15463" spans="1:1" x14ac:dyDescent="0.25">
      <c r="A15463" s="5"/>
    </row>
    <row r="15464" spans="1:1" x14ac:dyDescent="0.25">
      <c r="A15464" s="5"/>
    </row>
    <row r="15465" spans="1:1" x14ac:dyDescent="0.25">
      <c r="A15465" s="5"/>
    </row>
    <row r="15466" spans="1:1" x14ac:dyDescent="0.25">
      <c r="A15466" s="5"/>
    </row>
    <row r="15467" spans="1:1" x14ac:dyDescent="0.25">
      <c r="A15467" s="5"/>
    </row>
    <row r="15468" spans="1:1" x14ac:dyDescent="0.25">
      <c r="A15468" s="5"/>
    </row>
    <row r="15469" spans="1:1" x14ac:dyDescent="0.25">
      <c r="A15469" s="5"/>
    </row>
    <row r="15470" spans="1:1" x14ac:dyDescent="0.25">
      <c r="A15470" s="5"/>
    </row>
    <row r="15471" spans="1:1" x14ac:dyDescent="0.25">
      <c r="A15471" s="5"/>
    </row>
    <row r="15472" spans="1:1" x14ac:dyDescent="0.25">
      <c r="A15472" s="5"/>
    </row>
    <row r="15473" spans="1:1" x14ac:dyDescent="0.25">
      <c r="A15473" s="5"/>
    </row>
    <row r="15474" spans="1:1" x14ac:dyDescent="0.25">
      <c r="A15474" s="5"/>
    </row>
    <row r="15475" spans="1:1" x14ac:dyDescent="0.25">
      <c r="A15475" s="5"/>
    </row>
    <row r="15476" spans="1:1" x14ac:dyDescent="0.25">
      <c r="A15476" s="5"/>
    </row>
    <row r="15477" spans="1:1" x14ac:dyDescent="0.25">
      <c r="A15477" s="5"/>
    </row>
    <row r="15478" spans="1:1" x14ac:dyDescent="0.25">
      <c r="A15478" s="5"/>
    </row>
    <row r="15479" spans="1:1" x14ac:dyDescent="0.25">
      <c r="A15479" s="5"/>
    </row>
    <row r="15480" spans="1:1" x14ac:dyDescent="0.25">
      <c r="A15480" s="5"/>
    </row>
    <row r="15481" spans="1:1" x14ac:dyDescent="0.25">
      <c r="A15481" s="5"/>
    </row>
    <row r="15482" spans="1:1" x14ac:dyDescent="0.25">
      <c r="A15482" s="5"/>
    </row>
    <row r="15483" spans="1:1" x14ac:dyDescent="0.25">
      <c r="A15483" s="5"/>
    </row>
    <row r="15484" spans="1:1" x14ac:dyDescent="0.25">
      <c r="A15484" s="5"/>
    </row>
    <row r="15485" spans="1:1" x14ac:dyDescent="0.25">
      <c r="A15485" s="5"/>
    </row>
    <row r="15486" spans="1:1" x14ac:dyDescent="0.25">
      <c r="A15486" s="5"/>
    </row>
    <row r="15487" spans="1:1" x14ac:dyDescent="0.25">
      <c r="A15487" s="5"/>
    </row>
    <row r="15488" spans="1:1" x14ac:dyDescent="0.25">
      <c r="A15488" s="5"/>
    </row>
    <row r="15489" spans="1:1" x14ac:dyDescent="0.25">
      <c r="A15489" s="5"/>
    </row>
    <row r="15490" spans="1:1" x14ac:dyDescent="0.25">
      <c r="A15490" s="5"/>
    </row>
    <row r="15491" spans="1:1" x14ac:dyDescent="0.25">
      <c r="A15491" s="5"/>
    </row>
    <row r="15492" spans="1:1" x14ac:dyDescent="0.25">
      <c r="A15492" s="5"/>
    </row>
    <row r="15493" spans="1:1" x14ac:dyDescent="0.25">
      <c r="A15493" s="5"/>
    </row>
    <row r="15494" spans="1:1" x14ac:dyDescent="0.25">
      <c r="A15494" s="5"/>
    </row>
    <row r="15495" spans="1:1" x14ac:dyDescent="0.25">
      <c r="A15495" s="5"/>
    </row>
    <row r="15496" spans="1:1" x14ac:dyDescent="0.25">
      <c r="A15496" s="5"/>
    </row>
    <row r="15497" spans="1:1" x14ac:dyDescent="0.25">
      <c r="A15497" s="5"/>
    </row>
    <row r="15498" spans="1:1" x14ac:dyDescent="0.25">
      <c r="A15498" s="5"/>
    </row>
    <row r="15499" spans="1:1" x14ac:dyDescent="0.25">
      <c r="A15499" s="5"/>
    </row>
    <row r="15500" spans="1:1" x14ac:dyDescent="0.25">
      <c r="A15500" s="5"/>
    </row>
    <row r="15501" spans="1:1" x14ac:dyDescent="0.25">
      <c r="A15501" s="5"/>
    </row>
    <row r="15502" spans="1:1" x14ac:dyDescent="0.25">
      <c r="A15502" s="5"/>
    </row>
    <row r="15503" spans="1:1" x14ac:dyDescent="0.25">
      <c r="A15503" s="5"/>
    </row>
    <row r="15504" spans="1:1" x14ac:dyDescent="0.25">
      <c r="A15504" s="5"/>
    </row>
    <row r="15505" spans="1:1" x14ac:dyDescent="0.25">
      <c r="A15505" s="5"/>
    </row>
    <row r="15506" spans="1:1" x14ac:dyDescent="0.25">
      <c r="A15506" s="5"/>
    </row>
    <row r="15507" spans="1:1" x14ac:dyDescent="0.25">
      <c r="A15507" s="5"/>
    </row>
    <row r="15508" spans="1:1" x14ac:dyDescent="0.25">
      <c r="A15508" s="5"/>
    </row>
    <row r="15509" spans="1:1" x14ac:dyDescent="0.25">
      <c r="A15509" s="5"/>
    </row>
    <row r="15510" spans="1:1" x14ac:dyDescent="0.25">
      <c r="A15510" s="5"/>
    </row>
    <row r="15511" spans="1:1" x14ac:dyDescent="0.25">
      <c r="A15511" s="5"/>
    </row>
    <row r="15512" spans="1:1" x14ac:dyDescent="0.25">
      <c r="A15512" s="5"/>
    </row>
    <row r="15513" spans="1:1" x14ac:dyDescent="0.25">
      <c r="A15513" s="5"/>
    </row>
    <row r="15514" spans="1:1" x14ac:dyDescent="0.25">
      <c r="A15514" s="5"/>
    </row>
    <row r="15515" spans="1:1" x14ac:dyDescent="0.25">
      <c r="A15515" s="5"/>
    </row>
    <row r="15516" spans="1:1" x14ac:dyDescent="0.25">
      <c r="A15516" s="5"/>
    </row>
    <row r="15517" spans="1:1" x14ac:dyDescent="0.25">
      <c r="A15517" s="5"/>
    </row>
    <row r="15518" spans="1:1" x14ac:dyDescent="0.25">
      <c r="A15518" s="5"/>
    </row>
    <row r="15519" spans="1:1" x14ac:dyDescent="0.25">
      <c r="A15519" s="5"/>
    </row>
    <row r="15520" spans="1:1" x14ac:dyDescent="0.25">
      <c r="A15520" s="5"/>
    </row>
    <row r="15521" spans="1:1" x14ac:dyDescent="0.25">
      <c r="A15521" s="5"/>
    </row>
    <row r="15522" spans="1:1" x14ac:dyDescent="0.25">
      <c r="A15522" s="5"/>
    </row>
    <row r="15523" spans="1:1" x14ac:dyDescent="0.25">
      <c r="A15523" s="5"/>
    </row>
    <row r="15524" spans="1:1" x14ac:dyDescent="0.25">
      <c r="A15524" s="5"/>
    </row>
    <row r="15525" spans="1:1" x14ac:dyDescent="0.25">
      <c r="A15525" s="5"/>
    </row>
    <row r="15526" spans="1:1" x14ac:dyDescent="0.25">
      <c r="A15526" s="5"/>
    </row>
    <row r="15527" spans="1:1" x14ac:dyDescent="0.25">
      <c r="A15527" s="5"/>
    </row>
    <row r="15528" spans="1:1" x14ac:dyDescent="0.25">
      <c r="A15528" s="5"/>
    </row>
    <row r="15529" spans="1:1" x14ac:dyDescent="0.25">
      <c r="A15529" s="5"/>
    </row>
    <row r="15530" spans="1:1" x14ac:dyDescent="0.25">
      <c r="A15530" s="5"/>
    </row>
    <row r="15531" spans="1:1" x14ac:dyDescent="0.25">
      <c r="A15531" s="5"/>
    </row>
    <row r="15532" spans="1:1" x14ac:dyDescent="0.25">
      <c r="A15532" s="5"/>
    </row>
    <row r="15533" spans="1:1" x14ac:dyDescent="0.25">
      <c r="A15533" s="5"/>
    </row>
    <row r="15534" spans="1:1" x14ac:dyDescent="0.25">
      <c r="A15534" s="5"/>
    </row>
    <row r="15535" spans="1:1" x14ac:dyDescent="0.25">
      <c r="A15535" s="5"/>
    </row>
    <row r="15536" spans="1:1" x14ac:dyDescent="0.25">
      <c r="A15536" s="5"/>
    </row>
    <row r="15537" spans="1:1" x14ac:dyDescent="0.25">
      <c r="A15537" s="5"/>
    </row>
    <row r="15538" spans="1:1" x14ac:dyDescent="0.25">
      <c r="A15538" s="5"/>
    </row>
    <row r="15539" spans="1:1" x14ac:dyDescent="0.25">
      <c r="A15539" s="5"/>
    </row>
    <row r="15540" spans="1:1" x14ac:dyDescent="0.25">
      <c r="A15540" s="5"/>
    </row>
    <row r="15541" spans="1:1" x14ac:dyDescent="0.25">
      <c r="A15541" s="5"/>
    </row>
    <row r="15542" spans="1:1" x14ac:dyDescent="0.25">
      <c r="A15542" s="5"/>
    </row>
    <row r="15543" spans="1:1" x14ac:dyDescent="0.25">
      <c r="A15543" s="5"/>
    </row>
    <row r="15544" spans="1:1" x14ac:dyDescent="0.25">
      <c r="A15544" s="5"/>
    </row>
    <row r="15545" spans="1:1" x14ac:dyDescent="0.25">
      <c r="A15545" s="5"/>
    </row>
    <row r="15546" spans="1:1" x14ac:dyDescent="0.25">
      <c r="A15546" s="5"/>
    </row>
    <row r="15547" spans="1:1" x14ac:dyDescent="0.25">
      <c r="A15547" s="5"/>
    </row>
    <row r="15548" spans="1:1" x14ac:dyDescent="0.25">
      <c r="A15548" s="5"/>
    </row>
    <row r="15549" spans="1:1" x14ac:dyDescent="0.25">
      <c r="A15549" s="5"/>
    </row>
    <row r="15550" spans="1:1" x14ac:dyDescent="0.25">
      <c r="A15550" s="5"/>
    </row>
    <row r="15551" spans="1:1" x14ac:dyDescent="0.25">
      <c r="A15551" s="5"/>
    </row>
    <row r="15552" spans="1:1" x14ac:dyDescent="0.25">
      <c r="A15552" s="5"/>
    </row>
    <row r="15553" spans="1:1" x14ac:dyDescent="0.25">
      <c r="A15553" s="5"/>
    </row>
    <row r="15554" spans="1:1" x14ac:dyDescent="0.25">
      <c r="A15554" s="5"/>
    </row>
    <row r="15555" spans="1:1" x14ac:dyDescent="0.25">
      <c r="A15555" s="5"/>
    </row>
    <row r="15556" spans="1:1" x14ac:dyDescent="0.25">
      <c r="A15556" s="5"/>
    </row>
    <row r="15557" spans="1:1" x14ac:dyDescent="0.25">
      <c r="A15557" s="5"/>
    </row>
    <row r="15558" spans="1:1" x14ac:dyDescent="0.25">
      <c r="A15558" s="5"/>
    </row>
    <row r="15559" spans="1:1" x14ac:dyDescent="0.25">
      <c r="A15559" s="5"/>
    </row>
    <row r="15560" spans="1:1" x14ac:dyDescent="0.25">
      <c r="A15560" s="5"/>
    </row>
    <row r="15561" spans="1:1" x14ac:dyDescent="0.25">
      <c r="A15561" s="5"/>
    </row>
    <row r="15562" spans="1:1" x14ac:dyDescent="0.25">
      <c r="A15562" s="5"/>
    </row>
    <row r="15563" spans="1:1" x14ac:dyDescent="0.25">
      <c r="A15563" s="5"/>
    </row>
    <row r="15564" spans="1:1" x14ac:dyDescent="0.25">
      <c r="A15564" s="5"/>
    </row>
    <row r="15565" spans="1:1" x14ac:dyDescent="0.25">
      <c r="A15565" s="5"/>
    </row>
    <row r="15566" spans="1:1" x14ac:dyDescent="0.25">
      <c r="A15566" s="5"/>
    </row>
    <row r="15567" spans="1:1" x14ac:dyDescent="0.25">
      <c r="A15567" s="5"/>
    </row>
    <row r="15568" spans="1:1" x14ac:dyDescent="0.25">
      <c r="A15568" s="5"/>
    </row>
    <row r="15569" spans="1:1" x14ac:dyDescent="0.25">
      <c r="A15569" s="5"/>
    </row>
    <row r="15570" spans="1:1" x14ac:dyDescent="0.25">
      <c r="A15570" s="5"/>
    </row>
    <row r="15571" spans="1:1" x14ac:dyDescent="0.25">
      <c r="A15571" s="5"/>
    </row>
    <row r="15572" spans="1:1" x14ac:dyDescent="0.25">
      <c r="A15572" s="5"/>
    </row>
    <row r="15573" spans="1:1" x14ac:dyDescent="0.25">
      <c r="A15573" s="5"/>
    </row>
    <row r="15574" spans="1:1" x14ac:dyDescent="0.25">
      <c r="A15574" s="5"/>
    </row>
    <row r="15575" spans="1:1" x14ac:dyDescent="0.25">
      <c r="A15575" s="5"/>
    </row>
    <row r="15576" spans="1:1" x14ac:dyDescent="0.25">
      <c r="A15576" s="5"/>
    </row>
    <row r="15577" spans="1:1" x14ac:dyDescent="0.25">
      <c r="A15577" s="5"/>
    </row>
    <row r="15578" spans="1:1" x14ac:dyDescent="0.25">
      <c r="A15578" s="5"/>
    </row>
    <row r="15579" spans="1:1" x14ac:dyDescent="0.25">
      <c r="A15579" s="5"/>
    </row>
    <row r="15580" spans="1:1" x14ac:dyDescent="0.25">
      <c r="A15580" s="5"/>
    </row>
    <row r="15581" spans="1:1" x14ac:dyDescent="0.25">
      <c r="A15581" s="5"/>
    </row>
    <row r="15582" spans="1:1" x14ac:dyDescent="0.25">
      <c r="A15582" s="5"/>
    </row>
    <row r="15583" spans="1:1" x14ac:dyDescent="0.25">
      <c r="A15583" s="5"/>
    </row>
    <row r="15584" spans="1:1" x14ac:dyDescent="0.25">
      <c r="A15584" s="5"/>
    </row>
    <row r="15585" spans="1:1" x14ac:dyDescent="0.25">
      <c r="A15585" s="5"/>
    </row>
    <row r="15586" spans="1:1" x14ac:dyDescent="0.25">
      <c r="A15586" s="5"/>
    </row>
    <row r="15587" spans="1:1" x14ac:dyDescent="0.25">
      <c r="A15587" s="5"/>
    </row>
    <row r="15588" spans="1:1" x14ac:dyDescent="0.25">
      <c r="A15588" s="5"/>
    </row>
    <row r="15589" spans="1:1" x14ac:dyDescent="0.25">
      <c r="A15589" s="5"/>
    </row>
    <row r="15590" spans="1:1" x14ac:dyDescent="0.25">
      <c r="A15590" s="5"/>
    </row>
    <row r="15591" spans="1:1" x14ac:dyDescent="0.25">
      <c r="A15591" s="5"/>
    </row>
    <row r="15592" spans="1:1" x14ac:dyDescent="0.25">
      <c r="A15592" s="5"/>
    </row>
    <row r="15593" spans="1:1" x14ac:dyDescent="0.25">
      <c r="A15593" s="5"/>
    </row>
    <row r="15594" spans="1:1" x14ac:dyDescent="0.25">
      <c r="A15594" s="5"/>
    </row>
    <row r="15595" spans="1:1" x14ac:dyDescent="0.25">
      <c r="A15595" s="5"/>
    </row>
    <row r="15596" spans="1:1" x14ac:dyDescent="0.25">
      <c r="A15596" s="5"/>
    </row>
    <row r="15597" spans="1:1" x14ac:dyDescent="0.25">
      <c r="A15597" s="5"/>
    </row>
    <row r="15598" spans="1:1" x14ac:dyDescent="0.25">
      <c r="A15598" s="5"/>
    </row>
    <row r="15599" spans="1:1" x14ac:dyDescent="0.25">
      <c r="A15599" s="5"/>
    </row>
    <row r="15600" spans="1:1" x14ac:dyDescent="0.25">
      <c r="A15600" s="5"/>
    </row>
    <row r="15601" spans="1:1" x14ac:dyDescent="0.25">
      <c r="A15601" s="5"/>
    </row>
    <row r="15602" spans="1:1" x14ac:dyDescent="0.25">
      <c r="A15602" s="5"/>
    </row>
    <row r="15603" spans="1:1" x14ac:dyDescent="0.25">
      <c r="A15603" s="5"/>
    </row>
    <row r="15604" spans="1:1" x14ac:dyDescent="0.25">
      <c r="A15604" s="5"/>
    </row>
    <row r="15605" spans="1:1" x14ac:dyDescent="0.25">
      <c r="A15605" s="5"/>
    </row>
    <row r="15606" spans="1:1" x14ac:dyDescent="0.25">
      <c r="A15606" s="5"/>
    </row>
    <row r="15607" spans="1:1" x14ac:dyDescent="0.25">
      <c r="A15607" s="5"/>
    </row>
    <row r="15608" spans="1:1" x14ac:dyDescent="0.25">
      <c r="A15608" s="5"/>
    </row>
    <row r="15609" spans="1:1" x14ac:dyDescent="0.25">
      <c r="A15609" s="5"/>
    </row>
    <row r="15610" spans="1:1" x14ac:dyDescent="0.25">
      <c r="A15610" s="5"/>
    </row>
    <row r="15611" spans="1:1" x14ac:dyDescent="0.25">
      <c r="A15611" s="5"/>
    </row>
    <row r="15612" spans="1:1" x14ac:dyDescent="0.25">
      <c r="A15612" s="5"/>
    </row>
    <row r="15613" spans="1:1" x14ac:dyDescent="0.25">
      <c r="A15613" s="5"/>
    </row>
    <row r="15614" spans="1:1" x14ac:dyDescent="0.25">
      <c r="A15614" s="5"/>
    </row>
    <row r="15615" spans="1:1" x14ac:dyDescent="0.25">
      <c r="A15615" s="5"/>
    </row>
    <row r="15616" spans="1:1" x14ac:dyDescent="0.25">
      <c r="A15616" s="5"/>
    </row>
    <row r="15617" spans="1:1" x14ac:dyDescent="0.25">
      <c r="A15617" s="5"/>
    </row>
    <row r="15618" spans="1:1" x14ac:dyDescent="0.25">
      <c r="A15618" s="5"/>
    </row>
    <row r="15619" spans="1:1" x14ac:dyDescent="0.25">
      <c r="A15619" s="5"/>
    </row>
    <row r="15620" spans="1:1" x14ac:dyDescent="0.25">
      <c r="A15620" s="5"/>
    </row>
    <row r="15621" spans="1:1" x14ac:dyDescent="0.25">
      <c r="A15621" s="5"/>
    </row>
    <row r="15622" spans="1:1" x14ac:dyDescent="0.25">
      <c r="A15622" s="5"/>
    </row>
    <row r="15623" spans="1:1" x14ac:dyDescent="0.25">
      <c r="A15623" s="5"/>
    </row>
    <row r="15624" spans="1:1" x14ac:dyDescent="0.25">
      <c r="A15624" s="5"/>
    </row>
    <row r="15625" spans="1:1" x14ac:dyDescent="0.25">
      <c r="A15625" s="5"/>
    </row>
    <row r="15626" spans="1:1" x14ac:dyDescent="0.25">
      <c r="A15626" s="5"/>
    </row>
    <row r="15627" spans="1:1" x14ac:dyDescent="0.25">
      <c r="A15627" s="5"/>
    </row>
    <row r="15628" spans="1:1" x14ac:dyDescent="0.25">
      <c r="A15628" s="5"/>
    </row>
    <row r="15629" spans="1:1" x14ac:dyDescent="0.25">
      <c r="A15629" s="5"/>
    </row>
    <row r="15630" spans="1:1" x14ac:dyDescent="0.25">
      <c r="A15630" s="5"/>
    </row>
    <row r="15631" spans="1:1" x14ac:dyDescent="0.25">
      <c r="A15631" s="5"/>
    </row>
    <row r="15632" spans="1:1" x14ac:dyDescent="0.25">
      <c r="A15632" s="5"/>
    </row>
    <row r="15633" spans="1:1" x14ac:dyDescent="0.25">
      <c r="A15633" s="5"/>
    </row>
    <row r="15634" spans="1:1" x14ac:dyDescent="0.25">
      <c r="A15634" s="5"/>
    </row>
    <row r="15635" spans="1:1" x14ac:dyDescent="0.25">
      <c r="A15635" s="5"/>
    </row>
    <row r="15636" spans="1:1" x14ac:dyDescent="0.25">
      <c r="A15636" s="5"/>
    </row>
    <row r="15637" spans="1:1" x14ac:dyDescent="0.25">
      <c r="A15637" s="5"/>
    </row>
    <row r="15638" spans="1:1" x14ac:dyDescent="0.25">
      <c r="A15638" s="5"/>
    </row>
    <row r="15639" spans="1:1" x14ac:dyDescent="0.25">
      <c r="A15639" s="5"/>
    </row>
    <row r="15640" spans="1:1" x14ac:dyDescent="0.25">
      <c r="A15640" s="5"/>
    </row>
    <row r="15641" spans="1:1" x14ac:dyDescent="0.25">
      <c r="A15641" s="5"/>
    </row>
    <row r="15642" spans="1:1" x14ac:dyDescent="0.25">
      <c r="A15642" s="5"/>
    </row>
    <row r="15643" spans="1:1" x14ac:dyDescent="0.25">
      <c r="A15643" s="5"/>
    </row>
    <row r="15644" spans="1:1" x14ac:dyDescent="0.25">
      <c r="A15644" s="5"/>
    </row>
    <row r="15645" spans="1:1" x14ac:dyDescent="0.25">
      <c r="A15645" s="5"/>
    </row>
    <row r="15646" spans="1:1" x14ac:dyDescent="0.25">
      <c r="A15646" s="5"/>
    </row>
    <row r="15647" spans="1:1" x14ac:dyDescent="0.25">
      <c r="A15647" s="5"/>
    </row>
    <row r="15648" spans="1:1" x14ac:dyDescent="0.25">
      <c r="A15648" s="5"/>
    </row>
    <row r="15649" spans="1:1" x14ac:dyDescent="0.25">
      <c r="A15649" s="5"/>
    </row>
    <row r="15650" spans="1:1" x14ac:dyDescent="0.25">
      <c r="A15650" s="5"/>
    </row>
    <row r="15651" spans="1:1" x14ac:dyDescent="0.25">
      <c r="A15651" s="5"/>
    </row>
    <row r="15652" spans="1:1" x14ac:dyDescent="0.25">
      <c r="A15652" s="5"/>
    </row>
    <row r="15653" spans="1:1" x14ac:dyDescent="0.25">
      <c r="A15653" s="5"/>
    </row>
    <row r="15654" spans="1:1" x14ac:dyDescent="0.25">
      <c r="A15654" s="5"/>
    </row>
    <row r="15655" spans="1:1" x14ac:dyDescent="0.25">
      <c r="A15655" s="5"/>
    </row>
    <row r="15656" spans="1:1" x14ac:dyDescent="0.25">
      <c r="A15656" s="5"/>
    </row>
    <row r="15657" spans="1:1" x14ac:dyDescent="0.25">
      <c r="A15657" s="5"/>
    </row>
    <row r="15658" spans="1:1" x14ac:dyDescent="0.25">
      <c r="A15658" s="5"/>
    </row>
    <row r="15659" spans="1:1" x14ac:dyDescent="0.25">
      <c r="A15659" s="5"/>
    </row>
    <row r="15660" spans="1:1" x14ac:dyDescent="0.25">
      <c r="A15660" s="5"/>
    </row>
    <row r="15661" spans="1:1" x14ac:dyDescent="0.25">
      <c r="A15661" s="5"/>
    </row>
    <row r="15662" spans="1:1" x14ac:dyDescent="0.25">
      <c r="A15662" s="5"/>
    </row>
    <row r="15663" spans="1:1" x14ac:dyDescent="0.25">
      <c r="A15663" s="5"/>
    </row>
    <row r="15664" spans="1:1" x14ac:dyDescent="0.25">
      <c r="A15664" s="5"/>
    </row>
    <row r="15665" spans="1:1" x14ac:dyDescent="0.25">
      <c r="A15665" s="5"/>
    </row>
    <row r="15666" spans="1:1" x14ac:dyDescent="0.25">
      <c r="A15666" s="5"/>
    </row>
    <row r="15667" spans="1:1" x14ac:dyDescent="0.25">
      <c r="A15667" s="5"/>
    </row>
    <row r="15668" spans="1:1" x14ac:dyDescent="0.25">
      <c r="A15668" s="5"/>
    </row>
    <row r="15669" spans="1:1" x14ac:dyDescent="0.25">
      <c r="A15669" s="5"/>
    </row>
    <row r="15670" spans="1:1" x14ac:dyDescent="0.25">
      <c r="A15670" s="5"/>
    </row>
    <row r="15671" spans="1:1" x14ac:dyDescent="0.25">
      <c r="A15671" s="5"/>
    </row>
    <row r="15672" spans="1:1" x14ac:dyDescent="0.25">
      <c r="A15672" s="5"/>
    </row>
    <row r="15673" spans="1:1" x14ac:dyDescent="0.25">
      <c r="A15673" s="5"/>
    </row>
    <row r="15674" spans="1:1" x14ac:dyDescent="0.25">
      <c r="A15674" s="5"/>
    </row>
    <row r="15675" spans="1:1" x14ac:dyDescent="0.25">
      <c r="A15675" s="5"/>
    </row>
    <row r="15676" spans="1:1" x14ac:dyDescent="0.25">
      <c r="A15676" s="5"/>
    </row>
    <row r="15677" spans="1:1" x14ac:dyDescent="0.25">
      <c r="A15677" s="5"/>
    </row>
    <row r="15678" spans="1:1" x14ac:dyDescent="0.25">
      <c r="A15678" s="5"/>
    </row>
    <row r="15679" spans="1:1" x14ac:dyDescent="0.25">
      <c r="A15679" s="5"/>
    </row>
    <row r="15680" spans="1:1" x14ac:dyDescent="0.25">
      <c r="A15680" s="5"/>
    </row>
    <row r="15681" spans="1:1" x14ac:dyDescent="0.25">
      <c r="A15681" s="5"/>
    </row>
    <row r="15682" spans="1:1" x14ac:dyDescent="0.25">
      <c r="A15682" s="5"/>
    </row>
    <row r="15683" spans="1:1" x14ac:dyDescent="0.25">
      <c r="A15683" s="5"/>
    </row>
    <row r="15684" spans="1:1" x14ac:dyDescent="0.25">
      <c r="A15684" s="5"/>
    </row>
    <row r="15685" spans="1:1" x14ac:dyDescent="0.25">
      <c r="A15685" s="5"/>
    </row>
    <row r="15686" spans="1:1" x14ac:dyDescent="0.25">
      <c r="A15686" s="5"/>
    </row>
    <row r="15687" spans="1:1" x14ac:dyDescent="0.25">
      <c r="A15687" s="5"/>
    </row>
    <row r="15688" spans="1:1" x14ac:dyDescent="0.25">
      <c r="A15688" s="5"/>
    </row>
    <row r="15689" spans="1:1" x14ac:dyDescent="0.25">
      <c r="A15689" s="5"/>
    </row>
    <row r="15690" spans="1:1" x14ac:dyDescent="0.25">
      <c r="A15690" s="5"/>
    </row>
    <row r="15691" spans="1:1" x14ac:dyDescent="0.25">
      <c r="A15691" s="5"/>
    </row>
    <row r="15692" spans="1:1" x14ac:dyDescent="0.25">
      <c r="A15692" s="5"/>
    </row>
    <row r="15693" spans="1:1" x14ac:dyDescent="0.25">
      <c r="A15693" s="5"/>
    </row>
    <row r="15694" spans="1:1" x14ac:dyDescent="0.25">
      <c r="A15694" s="5"/>
    </row>
    <row r="15695" spans="1:1" x14ac:dyDescent="0.25">
      <c r="A15695" s="5"/>
    </row>
    <row r="15696" spans="1:1" x14ac:dyDescent="0.25">
      <c r="A15696" s="5"/>
    </row>
    <row r="15697" spans="1:1" x14ac:dyDescent="0.25">
      <c r="A15697" s="5"/>
    </row>
    <row r="15698" spans="1:1" x14ac:dyDescent="0.25">
      <c r="A15698" s="5"/>
    </row>
    <row r="15699" spans="1:1" x14ac:dyDescent="0.25">
      <c r="A15699" s="5"/>
    </row>
    <row r="15700" spans="1:1" x14ac:dyDescent="0.25">
      <c r="A15700" s="5"/>
    </row>
    <row r="15701" spans="1:1" x14ac:dyDescent="0.25">
      <c r="A15701" s="5"/>
    </row>
    <row r="15702" spans="1:1" x14ac:dyDescent="0.25">
      <c r="A15702" s="5"/>
    </row>
    <row r="15703" spans="1:1" x14ac:dyDescent="0.25">
      <c r="A15703" s="5"/>
    </row>
    <row r="15704" spans="1:1" x14ac:dyDescent="0.25">
      <c r="A15704" s="5"/>
    </row>
    <row r="15705" spans="1:1" x14ac:dyDescent="0.25">
      <c r="A15705" s="5"/>
    </row>
    <row r="15706" spans="1:1" x14ac:dyDescent="0.25">
      <c r="A15706" s="5"/>
    </row>
    <row r="15707" spans="1:1" x14ac:dyDescent="0.25">
      <c r="A15707" s="5"/>
    </row>
    <row r="15708" spans="1:1" x14ac:dyDescent="0.25">
      <c r="A15708" s="5"/>
    </row>
    <row r="15709" spans="1:1" x14ac:dyDescent="0.25">
      <c r="A15709" s="5"/>
    </row>
    <row r="15710" spans="1:1" x14ac:dyDescent="0.25">
      <c r="A15710" s="5"/>
    </row>
    <row r="15711" spans="1:1" x14ac:dyDescent="0.25">
      <c r="A15711" s="5"/>
    </row>
    <row r="15712" spans="1:1" x14ac:dyDescent="0.25">
      <c r="A15712" s="5"/>
    </row>
    <row r="15713" spans="1:1" x14ac:dyDescent="0.25">
      <c r="A15713" s="5"/>
    </row>
    <row r="15714" spans="1:1" x14ac:dyDescent="0.25">
      <c r="A15714" s="5"/>
    </row>
    <row r="15715" spans="1:1" x14ac:dyDescent="0.25">
      <c r="A15715" s="5"/>
    </row>
    <row r="15716" spans="1:1" x14ac:dyDescent="0.25">
      <c r="A15716" s="5"/>
    </row>
    <row r="15717" spans="1:1" x14ac:dyDescent="0.25">
      <c r="A15717" s="5"/>
    </row>
    <row r="15718" spans="1:1" x14ac:dyDescent="0.25">
      <c r="A15718" s="5"/>
    </row>
    <row r="15719" spans="1:1" x14ac:dyDescent="0.25">
      <c r="A15719" s="5"/>
    </row>
    <row r="15720" spans="1:1" x14ac:dyDescent="0.25">
      <c r="A15720" s="5"/>
    </row>
    <row r="15721" spans="1:1" x14ac:dyDescent="0.25">
      <c r="A15721" s="5"/>
    </row>
    <row r="15722" spans="1:1" x14ac:dyDescent="0.25">
      <c r="A15722" s="5"/>
    </row>
    <row r="15723" spans="1:1" x14ac:dyDescent="0.25">
      <c r="A15723" s="5"/>
    </row>
    <row r="15724" spans="1:1" x14ac:dyDescent="0.25">
      <c r="A15724" s="5"/>
    </row>
    <row r="15725" spans="1:1" x14ac:dyDescent="0.25">
      <c r="A15725" s="5"/>
    </row>
    <row r="15726" spans="1:1" x14ac:dyDescent="0.25">
      <c r="A15726" s="5"/>
    </row>
    <row r="15727" spans="1:1" x14ac:dyDescent="0.25">
      <c r="A15727" s="5"/>
    </row>
    <row r="15728" spans="1:1" x14ac:dyDescent="0.25">
      <c r="A15728" s="5"/>
    </row>
    <row r="15729" spans="1:1" x14ac:dyDescent="0.25">
      <c r="A15729" s="5"/>
    </row>
    <row r="15730" spans="1:1" x14ac:dyDescent="0.25">
      <c r="A15730" s="5"/>
    </row>
    <row r="15731" spans="1:1" x14ac:dyDescent="0.25">
      <c r="A15731" s="5"/>
    </row>
    <row r="15732" spans="1:1" x14ac:dyDescent="0.25">
      <c r="A15732" s="5"/>
    </row>
    <row r="15733" spans="1:1" x14ac:dyDescent="0.25">
      <c r="A15733" s="5"/>
    </row>
    <row r="15734" spans="1:1" x14ac:dyDescent="0.25">
      <c r="A15734" s="5"/>
    </row>
    <row r="15735" spans="1:1" x14ac:dyDescent="0.25">
      <c r="A15735" s="5"/>
    </row>
    <row r="15736" spans="1:1" x14ac:dyDescent="0.25">
      <c r="A15736" s="5"/>
    </row>
    <row r="15737" spans="1:1" x14ac:dyDescent="0.25">
      <c r="A15737" s="5"/>
    </row>
    <row r="15738" spans="1:1" x14ac:dyDescent="0.25">
      <c r="A15738" s="5"/>
    </row>
    <row r="15739" spans="1:1" x14ac:dyDescent="0.25">
      <c r="A15739" s="5"/>
    </row>
    <row r="15740" spans="1:1" x14ac:dyDescent="0.25">
      <c r="A15740" s="5"/>
    </row>
    <row r="15741" spans="1:1" x14ac:dyDescent="0.25">
      <c r="A15741" s="5"/>
    </row>
    <row r="15742" spans="1:1" x14ac:dyDescent="0.25">
      <c r="A15742" s="5"/>
    </row>
    <row r="15743" spans="1:1" x14ac:dyDescent="0.25">
      <c r="A15743" s="5"/>
    </row>
    <row r="15744" spans="1:1" x14ac:dyDescent="0.25">
      <c r="A15744" s="5"/>
    </row>
    <row r="15745" spans="1:1" x14ac:dyDescent="0.25">
      <c r="A15745" s="5"/>
    </row>
    <row r="15746" spans="1:1" x14ac:dyDescent="0.25">
      <c r="A15746" s="5"/>
    </row>
    <row r="15747" spans="1:1" x14ac:dyDescent="0.25">
      <c r="A15747" s="5"/>
    </row>
    <row r="15748" spans="1:1" x14ac:dyDescent="0.25">
      <c r="A15748" s="5"/>
    </row>
    <row r="15749" spans="1:1" x14ac:dyDescent="0.25">
      <c r="A15749" s="5"/>
    </row>
    <row r="15750" spans="1:1" x14ac:dyDescent="0.25">
      <c r="A15750" s="5"/>
    </row>
    <row r="15751" spans="1:1" x14ac:dyDescent="0.25">
      <c r="A15751" s="5"/>
    </row>
    <row r="15752" spans="1:1" x14ac:dyDescent="0.25">
      <c r="A15752" s="5"/>
    </row>
    <row r="15753" spans="1:1" x14ac:dyDescent="0.25">
      <c r="A15753" s="5"/>
    </row>
    <row r="15754" spans="1:1" x14ac:dyDescent="0.25">
      <c r="A15754" s="5"/>
    </row>
    <row r="15755" spans="1:1" x14ac:dyDescent="0.25">
      <c r="A15755" s="5"/>
    </row>
    <row r="15756" spans="1:1" x14ac:dyDescent="0.25">
      <c r="A15756" s="5"/>
    </row>
    <row r="15757" spans="1:1" x14ac:dyDescent="0.25">
      <c r="A15757" s="5"/>
    </row>
    <row r="15758" spans="1:1" x14ac:dyDescent="0.25">
      <c r="A15758" s="5"/>
    </row>
    <row r="15759" spans="1:1" x14ac:dyDescent="0.25">
      <c r="A15759" s="5"/>
    </row>
    <row r="15760" spans="1:1" x14ac:dyDescent="0.25">
      <c r="A15760" s="5"/>
    </row>
    <row r="15761" spans="1:1" x14ac:dyDescent="0.25">
      <c r="A15761" s="5"/>
    </row>
    <row r="15762" spans="1:1" x14ac:dyDescent="0.25">
      <c r="A15762" s="5"/>
    </row>
    <row r="15763" spans="1:1" x14ac:dyDescent="0.25">
      <c r="A15763" s="5"/>
    </row>
    <row r="15764" spans="1:1" x14ac:dyDescent="0.25">
      <c r="A15764" s="5"/>
    </row>
    <row r="15765" spans="1:1" x14ac:dyDescent="0.25">
      <c r="A15765" s="5"/>
    </row>
    <row r="15766" spans="1:1" x14ac:dyDescent="0.25">
      <c r="A15766" s="5"/>
    </row>
    <row r="15767" spans="1:1" x14ac:dyDescent="0.25">
      <c r="A15767" s="5"/>
    </row>
    <row r="15768" spans="1:1" x14ac:dyDescent="0.25">
      <c r="A15768" s="5"/>
    </row>
    <row r="15769" spans="1:1" x14ac:dyDescent="0.25">
      <c r="A15769" s="5"/>
    </row>
    <row r="15770" spans="1:1" x14ac:dyDescent="0.25">
      <c r="A15770" s="5"/>
    </row>
    <row r="15771" spans="1:1" x14ac:dyDescent="0.25">
      <c r="A15771" s="5"/>
    </row>
    <row r="15772" spans="1:1" x14ac:dyDescent="0.25">
      <c r="A15772" s="5"/>
    </row>
    <row r="15773" spans="1:1" x14ac:dyDescent="0.25">
      <c r="A15773" s="5"/>
    </row>
    <row r="15774" spans="1:1" x14ac:dyDescent="0.25">
      <c r="A15774" s="5"/>
    </row>
    <row r="15775" spans="1:1" x14ac:dyDescent="0.25">
      <c r="A15775" s="5"/>
    </row>
    <row r="15776" spans="1:1" x14ac:dyDescent="0.25">
      <c r="A15776" s="5"/>
    </row>
    <row r="15777" spans="1:1" x14ac:dyDescent="0.25">
      <c r="A15777" s="5"/>
    </row>
    <row r="15778" spans="1:1" x14ac:dyDescent="0.25">
      <c r="A15778" s="5"/>
    </row>
    <row r="15779" spans="1:1" x14ac:dyDescent="0.25">
      <c r="A15779" s="5"/>
    </row>
    <row r="15780" spans="1:1" x14ac:dyDescent="0.25">
      <c r="A15780" s="5"/>
    </row>
    <row r="15781" spans="1:1" x14ac:dyDescent="0.25">
      <c r="A15781" s="5"/>
    </row>
    <row r="15782" spans="1:1" x14ac:dyDescent="0.25">
      <c r="A15782" s="5"/>
    </row>
    <row r="15783" spans="1:1" x14ac:dyDescent="0.25">
      <c r="A15783" s="5"/>
    </row>
    <row r="15784" spans="1:1" x14ac:dyDescent="0.25">
      <c r="A15784" s="5"/>
    </row>
    <row r="15785" spans="1:1" x14ac:dyDescent="0.25">
      <c r="A15785" s="5"/>
    </row>
    <row r="15786" spans="1:1" x14ac:dyDescent="0.25">
      <c r="A15786" s="5"/>
    </row>
    <row r="15787" spans="1:1" x14ac:dyDescent="0.25">
      <c r="A15787" s="5"/>
    </row>
    <row r="15788" spans="1:1" x14ac:dyDescent="0.25">
      <c r="A15788" s="5"/>
    </row>
    <row r="15789" spans="1:1" x14ac:dyDescent="0.25">
      <c r="A15789" s="5"/>
    </row>
    <row r="15790" spans="1:1" x14ac:dyDescent="0.25">
      <c r="A15790" s="5"/>
    </row>
    <row r="15791" spans="1:1" x14ac:dyDescent="0.25">
      <c r="A15791" s="5"/>
    </row>
    <row r="15792" spans="1:1" x14ac:dyDescent="0.25">
      <c r="A15792" s="5"/>
    </row>
    <row r="15793" spans="1:1" x14ac:dyDescent="0.25">
      <c r="A15793" s="5"/>
    </row>
    <row r="15794" spans="1:1" x14ac:dyDescent="0.25">
      <c r="A15794" s="5"/>
    </row>
    <row r="15795" spans="1:1" x14ac:dyDescent="0.25">
      <c r="A15795" s="5"/>
    </row>
    <row r="15796" spans="1:1" x14ac:dyDescent="0.25">
      <c r="A15796" s="5"/>
    </row>
    <row r="15797" spans="1:1" x14ac:dyDescent="0.25">
      <c r="A15797" s="5"/>
    </row>
    <row r="15798" spans="1:1" x14ac:dyDescent="0.25">
      <c r="A15798" s="5"/>
    </row>
    <row r="15799" spans="1:1" x14ac:dyDescent="0.25">
      <c r="A15799" s="5"/>
    </row>
    <row r="15800" spans="1:1" x14ac:dyDescent="0.25">
      <c r="A15800" s="5"/>
    </row>
    <row r="15801" spans="1:1" x14ac:dyDescent="0.25">
      <c r="A15801" s="5"/>
    </row>
    <row r="15802" spans="1:1" x14ac:dyDescent="0.25">
      <c r="A15802" s="5"/>
    </row>
    <row r="15803" spans="1:1" x14ac:dyDescent="0.25">
      <c r="A15803" s="5"/>
    </row>
    <row r="15804" spans="1:1" x14ac:dyDescent="0.25">
      <c r="A15804" s="5"/>
    </row>
    <row r="15805" spans="1:1" x14ac:dyDescent="0.25">
      <c r="A15805" s="5"/>
    </row>
    <row r="15806" spans="1:1" x14ac:dyDescent="0.25">
      <c r="A15806" s="5"/>
    </row>
    <row r="15807" spans="1:1" x14ac:dyDescent="0.25">
      <c r="A15807" s="5"/>
    </row>
    <row r="15808" spans="1:1" x14ac:dyDescent="0.25">
      <c r="A15808" s="5"/>
    </row>
    <row r="15809" spans="1:1" x14ac:dyDescent="0.25">
      <c r="A15809" s="5"/>
    </row>
    <row r="15810" spans="1:1" x14ac:dyDescent="0.25">
      <c r="A15810" s="5"/>
    </row>
    <row r="15811" spans="1:1" x14ac:dyDescent="0.25">
      <c r="A15811" s="5"/>
    </row>
    <row r="15812" spans="1:1" x14ac:dyDescent="0.25">
      <c r="A15812" s="5"/>
    </row>
    <row r="15813" spans="1:1" x14ac:dyDescent="0.25">
      <c r="A15813" s="5"/>
    </row>
    <row r="15814" spans="1:1" x14ac:dyDescent="0.25">
      <c r="A15814" s="5"/>
    </row>
    <row r="15815" spans="1:1" x14ac:dyDescent="0.25">
      <c r="A15815" s="5"/>
    </row>
    <row r="15816" spans="1:1" x14ac:dyDescent="0.25">
      <c r="A15816" s="5"/>
    </row>
    <row r="15817" spans="1:1" x14ac:dyDescent="0.25">
      <c r="A15817" s="5"/>
    </row>
    <row r="15818" spans="1:1" x14ac:dyDescent="0.25">
      <c r="A15818" s="5"/>
    </row>
    <row r="15819" spans="1:1" x14ac:dyDescent="0.25">
      <c r="A15819" s="5"/>
    </row>
    <row r="15820" spans="1:1" x14ac:dyDescent="0.25">
      <c r="A15820" s="5"/>
    </row>
    <row r="15821" spans="1:1" x14ac:dyDescent="0.25">
      <c r="A15821" s="5"/>
    </row>
    <row r="15822" spans="1:1" x14ac:dyDescent="0.25">
      <c r="A15822" s="5"/>
    </row>
    <row r="15823" spans="1:1" x14ac:dyDescent="0.25">
      <c r="A15823" s="5"/>
    </row>
    <row r="15824" spans="1:1" x14ac:dyDescent="0.25">
      <c r="A15824" s="5"/>
    </row>
    <row r="15825" spans="1:1" x14ac:dyDescent="0.25">
      <c r="A15825" s="5"/>
    </row>
    <row r="15826" spans="1:1" x14ac:dyDescent="0.25">
      <c r="A15826" s="5"/>
    </row>
    <row r="15827" spans="1:1" x14ac:dyDescent="0.25">
      <c r="A15827" s="5"/>
    </row>
    <row r="15828" spans="1:1" x14ac:dyDescent="0.25">
      <c r="A15828" s="5"/>
    </row>
    <row r="15829" spans="1:1" x14ac:dyDescent="0.25">
      <c r="A15829" s="5"/>
    </row>
    <row r="15830" spans="1:1" x14ac:dyDescent="0.25">
      <c r="A15830" s="5"/>
    </row>
    <row r="15831" spans="1:1" x14ac:dyDescent="0.25">
      <c r="A15831" s="5"/>
    </row>
    <row r="15832" spans="1:1" x14ac:dyDescent="0.25">
      <c r="A15832" s="5"/>
    </row>
    <row r="15833" spans="1:1" x14ac:dyDescent="0.25">
      <c r="A15833" s="5"/>
    </row>
    <row r="15834" spans="1:1" x14ac:dyDescent="0.25">
      <c r="A15834" s="5"/>
    </row>
    <row r="15835" spans="1:1" x14ac:dyDescent="0.25">
      <c r="A15835" s="5"/>
    </row>
    <row r="15836" spans="1:1" x14ac:dyDescent="0.25">
      <c r="A15836" s="5"/>
    </row>
    <row r="15837" spans="1:1" x14ac:dyDescent="0.25">
      <c r="A15837" s="5"/>
    </row>
    <row r="15838" spans="1:1" x14ac:dyDescent="0.25">
      <c r="A15838" s="5"/>
    </row>
    <row r="15839" spans="1:1" x14ac:dyDescent="0.25">
      <c r="A15839" s="5"/>
    </row>
    <row r="15840" spans="1:1" x14ac:dyDescent="0.25">
      <c r="A15840" s="5"/>
    </row>
    <row r="15841" spans="1:1" x14ac:dyDescent="0.25">
      <c r="A15841" s="5"/>
    </row>
    <row r="15842" spans="1:1" x14ac:dyDescent="0.25">
      <c r="A15842" s="5"/>
    </row>
    <row r="15843" spans="1:1" x14ac:dyDescent="0.25">
      <c r="A15843" s="5"/>
    </row>
    <row r="15844" spans="1:1" x14ac:dyDescent="0.25">
      <c r="A15844" s="5"/>
    </row>
    <row r="15845" spans="1:1" x14ac:dyDescent="0.25">
      <c r="A15845" s="5"/>
    </row>
    <row r="15846" spans="1:1" x14ac:dyDescent="0.25">
      <c r="A15846" s="5"/>
    </row>
    <row r="15847" spans="1:1" x14ac:dyDescent="0.25">
      <c r="A15847" s="5"/>
    </row>
    <row r="15848" spans="1:1" x14ac:dyDescent="0.25">
      <c r="A15848" s="5"/>
    </row>
    <row r="15849" spans="1:1" x14ac:dyDescent="0.25">
      <c r="A15849" s="5"/>
    </row>
    <row r="15850" spans="1:1" x14ac:dyDescent="0.25">
      <c r="A15850" s="5"/>
    </row>
    <row r="15851" spans="1:1" x14ac:dyDescent="0.25">
      <c r="A15851" s="5"/>
    </row>
    <row r="15852" spans="1:1" x14ac:dyDescent="0.25">
      <c r="A15852" s="5"/>
    </row>
    <row r="15853" spans="1:1" x14ac:dyDescent="0.25">
      <c r="A15853" s="5"/>
    </row>
    <row r="15854" spans="1:1" x14ac:dyDescent="0.25">
      <c r="A15854" s="5"/>
    </row>
    <row r="15855" spans="1:1" x14ac:dyDescent="0.25">
      <c r="A15855" s="5"/>
    </row>
    <row r="15856" spans="1:1" x14ac:dyDescent="0.25">
      <c r="A15856" s="5"/>
    </row>
    <row r="15857" spans="1:1" x14ac:dyDescent="0.25">
      <c r="A15857" s="5"/>
    </row>
    <row r="15858" spans="1:1" x14ac:dyDescent="0.25">
      <c r="A15858" s="5"/>
    </row>
    <row r="15859" spans="1:1" x14ac:dyDescent="0.25">
      <c r="A15859" s="5"/>
    </row>
    <row r="15860" spans="1:1" x14ac:dyDescent="0.25">
      <c r="A15860" s="5"/>
    </row>
    <row r="15861" spans="1:1" x14ac:dyDescent="0.25">
      <c r="A15861" s="5"/>
    </row>
    <row r="15862" spans="1:1" x14ac:dyDescent="0.25">
      <c r="A15862" s="5"/>
    </row>
    <row r="15863" spans="1:1" x14ac:dyDescent="0.25">
      <c r="A15863" s="5"/>
    </row>
    <row r="15864" spans="1:1" x14ac:dyDescent="0.25">
      <c r="A15864" s="5"/>
    </row>
    <row r="15865" spans="1:1" x14ac:dyDescent="0.25">
      <c r="A15865" s="5"/>
    </row>
    <row r="15866" spans="1:1" x14ac:dyDescent="0.25">
      <c r="A15866" s="5"/>
    </row>
    <row r="15867" spans="1:1" x14ac:dyDescent="0.25">
      <c r="A15867" s="5"/>
    </row>
    <row r="15868" spans="1:1" x14ac:dyDescent="0.25">
      <c r="A15868" s="5"/>
    </row>
    <row r="15869" spans="1:1" x14ac:dyDescent="0.25">
      <c r="A15869" s="5"/>
    </row>
    <row r="15870" spans="1:1" x14ac:dyDescent="0.25">
      <c r="A15870" s="5"/>
    </row>
    <row r="15871" spans="1:1" x14ac:dyDescent="0.25">
      <c r="A15871" s="5"/>
    </row>
    <row r="15872" spans="1:1" x14ac:dyDescent="0.25">
      <c r="A15872" s="5"/>
    </row>
    <row r="15873" spans="1:1" x14ac:dyDescent="0.25">
      <c r="A15873" s="5"/>
    </row>
    <row r="15874" spans="1:1" x14ac:dyDescent="0.25">
      <c r="A15874" s="5"/>
    </row>
    <row r="15875" spans="1:1" x14ac:dyDescent="0.25">
      <c r="A15875" s="5"/>
    </row>
    <row r="15876" spans="1:1" x14ac:dyDescent="0.25">
      <c r="A15876" s="5"/>
    </row>
    <row r="15877" spans="1:1" x14ac:dyDescent="0.25">
      <c r="A15877" s="5"/>
    </row>
    <row r="15878" spans="1:1" x14ac:dyDescent="0.25">
      <c r="A15878" s="5"/>
    </row>
    <row r="15879" spans="1:1" x14ac:dyDescent="0.25">
      <c r="A15879" s="5"/>
    </row>
    <row r="15880" spans="1:1" x14ac:dyDescent="0.25">
      <c r="A15880" s="5"/>
    </row>
    <row r="15881" spans="1:1" x14ac:dyDescent="0.25">
      <c r="A15881" s="5"/>
    </row>
    <row r="15882" spans="1:1" x14ac:dyDescent="0.25">
      <c r="A15882" s="5"/>
    </row>
    <row r="15883" spans="1:1" x14ac:dyDescent="0.25">
      <c r="A15883" s="5"/>
    </row>
    <row r="15884" spans="1:1" x14ac:dyDescent="0.25">
      <c r="A15884" s="5"/>
    </row>
    <row r="15885" spans="1:1" x14ac:dyDescent="0.25">
      <c r="A15885" s="5"/>
    </row>
    <row r="15886" spans="1:1" x14ac:dyDescent="0.25">
      <c r="A15886" s="5"/>
    </row>
    <row r="15887" spans="1:1" x14ac:dyDescent="0.25">
      <c r="A15887" s="5"/>
    </row>
    <row r="15888" spans="1:1" x14ac:dyDescent="0.25">
      <c r="A15888" s="5"/>
    </row>
    <row r="15889" spans="1:1" x14ac:dyDescent="0.25">
      <c r="A15889" s="5"/>
    </row>
    <row r="15890" spans="1:1" x14ac:dyDescent="0.25">
      <c r="A15890" s="5"/>
    </row>
    <row r="15891" spans="1:1" x14ac:dyDescent="0.25">
      <c r="A15891" s="5"/>
    </row>
    <row r="15892" spans="1:1" x14ac:dyDescent="0.25">
      <c r="A15892" s="5"/>
    </row>
    <row r="15893" spans="1:1" x14ac:dyDescent="0.25">
      <c r="A15893" s="5"/>
    </row>
    <row r="15894" spans="1:1" x14ac:dyDescent="0.25">
      <c r="A15894" s="5"/>
    </row>
    <row r="15895" spans="1:1" x14ac:dyDescent="0.25">
      <c r="A15895" s="5"/>
    </row>
    <row r="15896" spans="1:1" x14ac:dyDescent="0.25">
      <c r="A15896" s="5"/>
    </row>
    <row r="15897" spans="1:1" x14ac:dyDescent="0.25">
      <c r="A15897" s="5"/>
    </row>
    <row r="15898" spans="1:1" x14ac:dyDescent="0.25">
      <c r="A15898" s="5"/>
    </row>
    <row r="15899" spans="1:1" x14ac:dyDescent="0.25">
      <c r="A15899" s="5"/>
    </row>
    <row r="15900" spans="1:1" x14ac:dyDescent="0.25">
      <c r="A15900" s="5"/>
    </row>
    <row r="15901" spans="1:1" x14ac:dyDescent="0.25">
      <c r="A15901" s="5"/>
    </row>
    <row r="15902" spans="1:1" x14ac:dyDescent="0.25">
      <c r="A15902" s="5"/>
    </row>
    <row r="15903" spans="1:1" x14ac:dyDescent="0.25">
      <c r="A15903" s="5"/>
    </row>
    <row r="15904" spans="1:1" x14ac:dyDescent="0.25">
      <c r="A15904" s="5"/>
    </row>
    <row r="15905" spans="1:1" x14ac:dyDescent="0.25">
      <c r="A15905" s="5"/>
    </row>
    <row r="15906" spans="1:1" x14ac:dyDescent="0.25">
      <c r="A15906" s="5"/>
    </row>
    <row r="15907" spans="1:1" x14ac:dyDescent="0.25">
      <c r="A15907" s="5"/>
    </row>
    <row r="15908" spans="1:1" x14ac:dyDescent="0.25">
      <c r="A15908" s="5"/>
    </row>
    <row r="15909" spans="1:1" x14ac:dyDescent="0.25">
      <c r="A15909" s="5"/>
    </row>
    <row r="15910" spans="1:1" x14ac:dyDescent="0.25">
      <c r="A15910" s="5"/>
    </row>
    <row r="15911" spans="1:1" x14ac:dyDescent="0.25">
      <c r="A15911" s="5"/>
    </row>
    <row r="15912" spans="1:1" x14ac:dyDescent="0.25">
      <c r="A15912" s="5"/>
    </row>
    <row r="15913" spans="1:1" x14ac:dyDescent="0.25">
      <c r="A15913" s="5"/>
    </row>
    <row r="15914" spans="1:1" x14ac:dyDescent="0.25">
      <c r="A15914" s="5"/>
    </row>
    <row r="15915" spans="1:1" x14ac:dyDescent="0.25">
      <c r="A15915" s="5"/>
    </row>
    <row r="15916" spans="1:1" x14ac:dyDescent="0.25">
      <c r="A15916" s="5"/>
    </row>
    <row r="15917" spans="1:1" x14ac:dyDescent="0.25">
      <c r="A15917" s="5"/>
    </row>
    <row r="15918" spans="1:1" x14ac:dyDescent="0.25">
      <c r="A15918" s="5"/>
    </row>
    <row r="15919" spans="1:1" x14ac:dyDescent="0.25">
      <c r="A15919" s="5"/>
    </row>
    <row r="15920" spans="1:1" x14ac:dyDescent="0.25">
      <c r="A15920" s="5"/>
    </row>
    <row r="15921" spans="1:1" x14ac:dyDescent="0.25">
      <c r="A15921" s="5"/>
    </row>
    <row r="15922" spans="1:1" x14ac:dyDescent="0.25">
      <c r="A15922" s="5"/>
    </row>
    <row r="15923" spans="1:1" x14ac:dyDescent="0.25">
      <c r="A15923" s="5"/>
    </row>
    <row r="15924" spans="1:1" x14ac:dyDescent="0.25">
      <c r="A15924" s="5"/>
    </row>
    <row r="15925" spans="1:1" x14ac:dyDescent="0.25">
      <c r="A15925" s="5"/>
    </row>
    <row r="15926" spans="1:1" x14ac:dyDescent="0.25">
      <c r="A15926" s="5"/>
    </row>
    <row r="15927" spans="1:1" x14ac:dyDescent="0.25">
      <c r="A15927" s="5"/>
    </row>
    <row r="15928" spans="1:1" x14ac:dyDescent="0.25">
      <c r="A15928" s="5"/>
    </row>
    <row r="15929" spans="1:1" x14ac:dyDescent="0.25">
      <c r="A15929" s="5"/>
    </row>
    <row r="15930" spans="1:1" x14ac:dyDescent="0.25">
      <c r="A15930" s="5"/>
    </row>
    <row r="15931" spans="1:1" x14ac:dyDescent="0.25">
      <c r="A15931" s="5"/>
    </row>
    <row r="15932" spans="1:1" x14ac:dyDescent="0.25">
      <c r="A15932" s="5"/>
    </row>
    <row r="15933" spans="1:1" x14ac:dyDescent="0.25">
      <c r="A15933" s="5"/>
    </row>
    <row r="15934" spans="1:1" x14ac:dyDescent="0.25">
      <c r="A15934" s="5"/>
    </row>
    <row r="15935" spans="1:1" x14ac:dyDescent="0.25">
      <c r="A15935" s="5"/>
    </row>
    <row r="15936" spans="1:1" x14ac:dyDescent="0.25">
      <c r="A15936" s="5"/>
    </row>
    <row r="15937" spans="1:1" x14ac:dyDescent="0.25">
      <c r="A15937" s="5"/>
    </row>
    <row r="15938" spans="1:1" x14ac:dyDescent="0.25">
      <c r="A15938" s="5"/>
    </row>
    <row r="15939" spans="1:1" x14ac:dyDescent="0.25">
      <c r="A15939" s="5"/>
    </row>
    <row r="15940" spans="1:1" x14ac:dyDescent="0.25">
      <c r="A15940" s="5"/>
    </row>
    <row r="15941" spans="1:1" x14ac:dyDescent="0.25">
      <c r="A15941" s="5"/>
    </row>
    <row r="15942" spans="1:1" x14ac:dyDescent="0.25">
      <c r="A15942" s="5"/>
    </row>
    <row r="15943" spans="1:1" x14ac:dyDescent="0.25">
      <c r="A15943" s="5"/>
    </row>
    <row r="15944" spans="1:1" x14ac:dyDescent="0.25">
      <c r="A15944" s="5"/>
    </row>
    <row r="15945" spans="1:1" x14ac:dyDescent="0.25">
      <c r="A15945" s="5"/>
    </row>
    <row r="15946" spans="1:1" x14ac:dyDescent="0.25">
      <c r="A15946" s="5"/>
    </row>
    <row r="15947" spans="1:1" x14ac:dyDescent="0.25">
      <c r="A15947" s="5"/>
    </row>
    <row r="15948" spans="1:1" x14ac:dyDescent="0.25">
      <c r="A15948" s="5"/>
    </row>
    <row r="15949" spans="1:1" x14ac:dyDescent="0.25">
      <c r="A15949" s="5"/>
    </row>
    <row r="15950" spans="1:1" x14ac:dyDescent="0.25">
      <c r="A15950" s="5"/>
    </row>
    <row r="15951" spans="1:1" x14ac:dyDescent="0.25">
      <c r="A15951" s="5"/>
    </row>
    <row r="15952" spans="1:1" x14ac:dyDescent="0.25">
      <c r="A15952" s="5"/>
    </row>
    <row r="15953" spans="1:1" x14ac:dyDescent="0.25">
      <c r="A15953" s="5"/>
    </row>
    <row r="15954" spans="1:1" x14ac:dyDescent="0.25">
      <c r="A15954" s="5"/>
    </row>
    <row r="15955" spans="1:1" x14ac:dyDescent="0.25">
      <c r="A15955" s="5"/>
    </row>
    <row r="15956" spans="1:1" x14ac:dyDescent="0.25">
      <c r="A15956" s="5"/>
    </row>
    <row r="15957" spans="1:1" x14ac:dyDescent="0.25">
      <c r="A15957" s="5"/>
    </row>
    <row r="15958" spans="1:1" x14ac:dyDescent="0.25">
      <c r="A15958" s="5"/>
    </row>
    <row r="15959" spans="1:1" x14ac:dyDescent="0.25">
      <c r="A15959" s="5"/>
    </row>
    <row r="15960" spans="1:1" x14ac:dyDescent="0.25">
      <c r="A15960" s="5"/>
    </row>
    <row r="15961" spans="1:1" x14ac:dyDescent="0.25">
      <c r="A15961" s="5"/>
    </row>
    <row r="15962" spans="1:1" x14ac:dyDescent="0.25">
      <c r="A15962" s="5"/>
    </row>
    <row r="15963" spans="1:1" x14ac:dyDescent="0.25">
      <c r="A15963" s="5"/>
    </row>
    <row r="15964" spans="1:1" x14ac:dyDescent="0.25">
      <c r="A15964" s="5"/>
    </row>
    <row r="15965" spans="1:1" x14ac:dyDescent="0.25">
      <c r="A15965" s="5"/>
    </row>
    <row r="15966" spans="1:1" x14ac:dyDescent="0.25">
      <c r="A15966" s="5"/>
    </row>
    <row r="15967" spans="1:1" x14ac:dyDescent="0.25">
      <c r="A15967" s="5"/>
    </row>
    <row r="15968" spans="1:1" x14ac:dyDescent="0.25">
      <c r="A15968" s="5"/>
    </row>
    <row r="15969" spans="1:1" x14ac:dyDescent="0.25">
      <c r="A15969" s="5"/>
    </row>
    <row r="15970" spans="1:1" x14ac:dyDescent="0.25">
      <c r="A15970" s="5"/>
    </row>
    <row r="15971" spans="1:1" x14ac:dyDescent="0.25">
      <c r="A15971" s="5"/>
    </row>
    <row r="15972" spans="1:1" x14ac:dyDescent="0.25">
      <c r="A15972" s="5"/>
    </row>
    <row r="15973" spans="1:1" x14ac:dyDescent="0.25">
      <c r="A15973" s="5"/>
    </row>
    <row r="15974" spans="1:1" x14ac:dyDescent="0.25">
      <c r="A15974" s="5"/>
    </row>
    <row r="15975" spans="1:1" x14ac:dyDescent="0.25">
      <c r="A15975" s="5"/>
    </row>
    <row r="15976" spans="1:1" x14ac:dyDescent="0.25">
      <c r="A15976" s="5"/>
    </row>
    <row r="15977" spans="1:1" x14ac:dyDescent="0.25">
      <c r="A15977" s="5"/>
    </row>
    <row r="15978" spans="1:1" x14ac:dyDescent="0.25">
      <c r="A15978" s="5"/>
    </row>
    <row r="15979" spans="1:1" x14ac:dyDescent="0.25">
      <c r="A15979" s="5"/>
    </row>
    <row r="15980" spans="1:1" x14ac:dyDescent="0.25">
      <c r="A15980" s="5"/>
    </row>
    <row r="15981" spans="1:1" x14ac:dyDescent="0.25">
      <c r="A15981" s="5"/>
    </row>
    <row r="15982" spans="1:1" x14ac:dyDescent="0.25">
      <c r="A15982" s="5"/>
    </row>
    <row r="15983" spans="1:1" x14ac:dyDescent="0.25">
      <c r="A15983" s="5"/>
    </row>
    <row r="15984" spans="1:1" x14ac:dyDescent="0.25">
      <c r="A15984" s="5"/>
    </row>
    <row r="15985" spans="1:1" x14ac:dyDescent="0.25">
      <c r="A15985" s="5"/>
    </row>
    <row r="15986" spans="1:1" x14ac:dyDescent="0.25">
      <c r="A15986" s="5"/>
    </row>
    <row r="15987" spans="1:1" x14ac:dyDescent="0.25">
      <c r="A15987" s="5"/>
    </row>
    <row r="15988" spans="1:1" x14ac:dyDescent="0.25">
      <c r="A15988" s="5"/>
    </row>
    <row r="15989" spans="1:1" x14ac:dyDescent="0.25">
      <c r="A15989" s="5"/>
    </row>
    <row r="15990" spans="1:1" x14ac:dyDescent="0.25">
      <c r="A15990" s="5"/>
    </row>
    <row r="15991" spans="1:1" x14ac:dyDescent="0.25">
      <c r="A15991" s="5"/>
    </row>
    <row r="15992" spans="1:1" x14ac:dyDescent="0.25">
      <c r="A15992" s="5"/>
    </row>
    <row r="15993" spans="1:1" x14ac:dyDescent="0.25">
      <c r="A15993" s="5"/>
    </row>
    <row r="15994" spans="1:1" x14ac:dyDescent="0.25">
      <c r="A15994" s="5"/>
    </row>
    <row r="15995" spans="1:1" x14ac:dyDescent="0.25">
      <c r="A15995" s="5"/>
    </row>
    <row r="15996" spans="1:1" x14ac:dyDescent="0.25">
      <c r="A15996" s="5"/>
    </row>
    <row r="15997" spans="1:1" x14ac:dyDescent="0.25">
      <c r="A15997" s="5"/>
    </row>
    <row r="15998" spans="1:1" x14ac:dyDescent="0.25">
      <c r="A15998" s="5"/>
    </row>
    <row r="15999" spans="1:1" x14ac:dyDescent="0.25">
      <c r="A15999" s="5"/>
    </row>
    <row r="16000" spans="1:1" x14ac:dyDescent="0.25">
      <c r="A16000" s="5"/>
    </row>
    <row r="16001" spans="1:1" x14ac:dyDescent="0.25">
      <c r="A16001" s="5"/>
    </row>
    <row r="16002" spans="1:1" x14ac:dyDescent="0.25">
      <c r="A16002" s="5"/>
    </row>
    <row r="16003" spans="1:1" x14ac:dyDescent="0.25">
      <c r="A16003" s="5"/>
    </row>
    <row r="16004" spans="1:1" x14ac:dyDescent="0.25">
      <c r="A16004" s="5"/>
    </row>
    <row r="16005" spans="1:1" x14ac:dyDescent="0.25">
      <c r="A16005" s="5"/>
    </row>
    <row r="16006" spans="1:1" x14ac:dyDescent="0.25">
      <c r="A16006" s="5"/>
    </row>
    <row r="16007" spans="1:1" x14ac:dyDescent="0.25">
      <c r="A16007" s="5"/>
    </row>
    <row r="16008" spans="1:1" x14ac:dyDescent="0.25">
      <c r="A16008" s="5"/>
    </row>
    <row r="16009" spans="1:1" x14ac:dyDescent="0.25">
      <c r="A16009" s="5"/>
    </row>
    <row r="16010" spans="1:1" x14ac:dyDescent="0.25">
      <c r="A16010" s="5"/>
    </row>
    <row r="16011" spans="1:1" x14ac:dyDescent="0.25">
      <c r="A16011" s="5"/>
    </row>
    <row r="16012" spans="1:1" x14ac:dyDescent="0.25">
      <c r="A16012" s="5"/>
    </row>
    <row r="16013" spans="1:1" x14ac:dyDescent="0.25">
      <c r="A16013" s="5"/>
    </row>
    <row r="16014" spans="1:1" x14ac:dyDescent="0.25">
      <c r="A16014" s="5"/>
    </row>
    <row r="16015" spans="1:1" x14ac:dyDescent="0.25">
      <c r="A16015" s="5"/>
    </row>
    <row r="16016" spans="1:1" x14ac:dyDescent="0.25">
      <c r="A16016" s="5"/>
    </row>
    <row r="16017" spans="1:1" x14ac:dyDescent="0.25">
      <c r="A16017" s="5"/>
    </row>
    <row r="16018" spans="1:1" x14ac:dyDescent="0.25">
      <c r="A16018" s="5"/>
    </row>
    <row r="16019" spans="1:1" x14ac:dyDescent="0.25">
      <c r="A16019" s="5"/>
    </row>
    <row r="16020" spans="1:1" x14ac:dyDescent="0.25">
      <c r="A16020" s="5"/>
    </row>
    <row r="16021" spans="1:1" x14ac:dyDescent="0.25">
      <c r="A16021" s="5"/>
    </row>
    <row r="16022" spans="1:1" x14ac:dyDescent="0.25">
      <c r="A16022" s="5"/>
    </row>
    <row r="16023" spans="1:1" x14ac:dyDescent="0.25">
      <c r="A16023" s="5"/>
    </row>
    <row r="16024" spans="1:1" x14ac:dyDescent="0.25">
      <c r="A16024" s="5"/>
    </row>
    <row r="16025" spans="1:1" x14ac:dyDescent="0.25">
      <c r="A16025" s="5"/>
    </row>
    <row r="16026" spans="1:1" x14ac:dyDescent="0.25">
      <c r="A16026" s="5"/>
    </row>
    <row r="16027" spans="1:1" x14ac:dyDescent="0.25">
      <c r="A16027" s="5"/>
    </row>
    <row r="16028" spans="1:1" x14ac:dyDescent="0.25">
      <c r="A16028" s="5"/>
    </row>
    <row r="16029" spans="1:1" x14ac:dyDescent="0.25">
      <c r="A16029" s="5"/>
    </row>
    <row r="16030" spans="1:1" x14ac:dyDescent="0.25">
      <c r="A16030" s="5"/>
    </row>
    <row r="16031" spans="1:1" x14ac:dyDescent="0.25">
      <c r="A16031" s="5"/>
    </row>
    <row r="16032" spans="1:1" x14ac:dyDescent="0.25">
      <c r="A16032" s="5"/>
    </row>
    <row r="16033" spans="1:1" x14ac:dyDescent="0.25">
      <c r="A16033" s="5"/>
    </row>
    <row r="16034" spans="1:1" x14ac:dyDescent="0.25">
      <c r="A16034" s="5"/>
    </row>
    <row r="16035" spans="1:1" x14ac:dyDescent="0.25">
      <c r="A16035" s="5"/>
    </row>
    <row r="16036" spans="1:1" x14ac:dyDescent="0.25">
      <c r="A16036" s="5"/>
    </row>
    <row r="16037" spans="1:1" x14ac:dyDescent="0.25">
      <c r="A16037" s="5"/>
    </row>
    <row r="16038" spans="1:1" x14ac:dyDescent="0.25">
      <c r="A16038" s="5"/>
    </row>
    <row r="16039" spans="1:1" x14ac:dyDescent="0.25">
      <c r="A16039" s="5"/>
    </row>
    <row r="16040" spans="1:1" x14ac:dyDescent="0.25">
      <c r="A16040" s="5"/>
    </row>
    <row r="16041" spans="1:1" x14ac:dyDescent="0.25">
      <c r="A16041" s="5"/>
    </row>
    <row r="16042" spans="1:1" x14ac:dyDescent="0.25">
      <c r="A16042" s="5"/>
    </row>
    <row r="16043" spans="1:1" x14ac:dyDescent="0.25">
      <c r="A16043" s="5"/>
    </row>
    <row r="16044" spans="1:1" x14ac:dyDescent="0.25">
      <c r="A16044" s="5"/>
    </row>
    <row r="16045" spans="1:1" x14ac:dyDescent="0.25">
      <c r="A16045" s="5"/>
    </row>
    <row r="16046" spans="1:1" x14ac:dyDescent="0.25">
      <c r="A16046" s="5"/>
    </row>
    <row r="16047" spans="1:1" x14ac:dyDescent="0.25">
      <c r="A16047" s="5"/>
    </row>
    <row r="16048" spans="1:1" x14ac:dyDescent="0.25">
      <c r="A16048" s="5"/>
    </row>
    <row r="16049" spans="1:1" x14ac:dyDescent="0.25">
      <c r="A16049" s="5"/>
    </row>
    <row r="16050" spans="1:1" x14ac:dyDescent="0.25">
      <c r="A16050" s="5"/>
    </row>
    <row r="16051" spans="1:1" x14ac:dyDescent="0.25">
      <c r="A16051" s="5"/>
    </row>
    <row r="16052" spans="1:1" x14ac:dyDescent="0.25">
      <c r="A16052" s="5"/>
    </row>
    <row r="16053" spans="1:1" x14ac:dyDescent="0.25">
      <c r="A16053" s="5"/>
    </row>
    <row r="16054" spans="1:1" x14ac:dyDescent="0.25">
      <c r="A16054" s="5"/>
    </row>
    <row r="16055" spans="1:1" x14ac:dyDescent="0.25">
      <c r="A16055" s="5"/>
    </row>
    <row r="16056" spans="1:1" x14ac:dyDescent="0.25">
      <c r="A16056" s="5"/>
    </row>
    <row r="16057" spans="1:1" x14ac:dyDescent="0.25">
      <c r="A16057" s="5"/>
    </row>
    <row r="16058" spans="1:1" x14ac:dyDescent="0.25">
      <c r="A16058" s="5"/>
    </row>
    <row r="16059" spans="1:1" x14ac:dyDescent="0.25">
      <c r="A16059" s="5"/>
    </row>
    <row r="16060" spans="1:1" x14ac:dyDescent="0.25">
      <c r="A16060" s="5"/>
    </row>
    <row r="16061" spans="1:1" x14ac:dyDescent="0.25">
      <c r="A16061" s="5"/>
    </row>
    <row r="16062" spans="1:1" x14ac:dyDescent="0.25">
      <c r="A16062" s="5"/>
    </row>
    <row r="16063" spans="1:1" x14ac:dyDescent="0.25">
      <c r="A16063" s="5"/>
    </row>
    <row r="16064" spans="1:1" x14ac:dyDescent="0.25">
      <c r="A16064" s="5"/>
    </row>
    <row r="16065" spans="1:1" x14ac:dyDescent="0.25">
      <c r="A16065" s="5"/>
    </row>
    <row r="16066" spans="1:1" x14ac:dyDescent="0.25">
      <c r="A16066" s="5"/>
    </row>
    <row r="16067" spans="1:1" x14ac:dyDescent="0.25">
      <c r="A16067" s="5"/>
    </row>
    <row r="16068" spans="1:1" x14ac:dyDescent="0.25">
      <c r="A16068" s="5"/>
    </row>
    <row r="16069" spans="1:1" x14ac:dyDescent="0.25">
      <c r="A16069" s="5"/>
    </row>
    <row r="16070" spans="1:1" x14ac:dyDescent="0.25">
      <c r="A16070" s="5"/>
    </row>
    <row r="16071" spans="1:1" x14ac:dyDescent="0.25">
      <c r="A16071" s="5"/>
    </row>
    <row r="16072" spans="1:1" x14ac:dyDescent="0.25">
      <c r="A16072" s="5"/>
    </row>
    <row r="16073" spans="1:1" x14ac:dyDescent="0.25">
      <c r="A16073" s="5"/>
    </row>
    <row r="16074" spans="1:1" x14ac:dyDescent="0.25">
      <c r="A16074" s="5"/>
    </row>
    <row r="16075" spans="1:1" x14ac:dyDescent="0.25">
      <c r="A16075" s="5"/>
    </row>
    <row r="16076" spans="1:1" x14ac:dyDescent="0.25">
      <c r="A16076" s="5"/>
    </row>
    <row r="16077" spans="1:1" x14ac:dyDescent="0.25">
      <c r="A16077" s="5"/>
    </row>
    <row r="16078" spans="1:1" x14ac:dyDescent="0.25">
      <c r="A16078" s="5"/>
    </row>
    <row r="16079" spans="1:1" x14ac:dyDescent="0.25">
      <c r="A16079" s="5"/>
    </row>
    <row r="16080" spans="1:1" x14ac:dyDescent="0.25">
      <c r="A16080" s="5"/>
    </row>
    <row r="16081" spans="1:1" x14ac:dyDescent="0.25">
      <c r="A16081" s="5"/>
    </row>
    <row r="16082" spans="1:1" x14ac:dyDescent="0.25">
      <c r="A16082" s="5"/>
    </row>
    <row r="16083" spans="1:1" x14ac:dyDescent="0.25">
      <c r="A16083" s="5"/>
    </row>
    <row r="16084" spans="1:1" x14ac:dyDescent="0.25">
      <c r="A16084" s="5"/>
    </row>
    <row r="16085" spans="1:1" x14ac:dyDescent="0.25">
      <c r="A16085" s="5"/>
    </row>
    <row r="16086" spans="1:1" x14ac:dyDescent="0.25">
      <c r="A16086" s="5"/>
    </row>
    <row r="16087" spans="1:1" x14ac:dyDescent="0.25">
      <c r="A16087" s="5"/>
    </row>
    <row r="16088" spans="1:1" x14ac:dyDescent="0.25">
      <c r="A16088" s="5"/>
    </row>
    <row r="16089" spans="1:1" x14ac:dyDescent="0.25">
      <c r="A16089" s="5"/>
    </row>
    <row r="16090" spans="1:1" x14ac:dyDescent="0.25">
      <c r="A16090" s="5"/>
    </row>
    <row r="16091" spans="1:1" x14ac:dyDescent="0.25">
      <c r="A16091" s="5"/>
    </row>
    <row r="16092" spans="1:1" x14ac:dyDescent="0.25">
      <c r="A16092" s="5"/>
    </row>
    <row r="16093" spans="1:1" x14ac:dyDescent="0.25">
      <c r="A16093" s="5"/>
    </row>
    <row r="16094" spans="1:1" x14ac:dyDescent="0.25">
      <c r="A16094" s="5"/>
    </row>
    <row r="16095" spans="1:1" x14ac:dyDescent="0.25">
      <c r="A16095" s="5"/>
    </row>
    <row r="16096" spans="1:1" x14ac:dyDescent="0.25">
      <c r="A16096" s="5"/>
    </row>
    <row r="16097" spans="1:1" x14ac:dyDescent="0.25">
      <c r="A16097" s="5"/>
    </row>
    <row r="16098" spans="1:1" x14ac:dyDescent="0.25">
      <c r="A16098" s="5"/>
    </row>
    <row r="16099" spans="1:1" x14ac:dyDescent="0.25">
      <c r="A16099" s="5"/>
    </row>
    <row r="16100" spans="1:1" x14ac:dyDescent="0.25">
      <c r="A16100" s="5"/>
    </row>
    <row r="16101" spans="1:1" x14ac:dyDescent="0.25">
      <c r="A16101" s="5"/>
    </row>
    <row r="16102" spans="1:1" x14ac:dyDescent="0.25">
      <c r="A16102" s="5"/>
    </row>
    <row r="16103" spans="1:1" x14ac:dyDescent="0.25">
      <c r="A16103" s="5"/>
    </row>
    <row r="16104" spans="1:1" x14ac:dyDescent="0.25">
      <c r="A16104" s="5"/>
    </row>
    <row r="16105" spans="1:1" x14ac:dyDescent="0.25">
      <c r="A16105" s="5"/>
    </row>
    <row r="16106" spans="1:1" x14ac:dyDescent="0.25">
      <c r="A16106" s="5"/>
    </row>
    <row r="16107" spans="1:1" x14ac:dyDescent="0.25">
      <c r="A16107" s="5"/>
    </row>
    <row r="16108" spans="1:1" x14ac:dyDescent="0.25">
      <c r="A16108" s="5"/>
    </row>
    <row r="16109" spans="1:1" x14ac:dyDescent="0.25">
      <c r="A16109" s="5"/>
    </row>
    <row r="16110" spans="1:1" x14ac:dyDescent="0.25">
      <c r="A16110" s="5"/>
    </row>
    <row r="16111" spans="1:1" x14ac:dyDescent="0.25">
      <c r="A16111" s="5"/>
    </row>
    <row r="16112" spans="1:1" x14ac:dyDescent="0.25">
      <c r="A16112" s="5"/>
    </row>
    <row r="16113" spans="1:1" x14ac:dyDescent="0.25">
      <c r="A16113" s="5"/>
    </row>
    <row r="16114" spans="1:1" x14ac:dyDescent="0.25">
      <c r="A16114" s="5"/>
    </row>
    <row r="16115" spans="1:1" x14ac:dyDescent="0.25">
      <c r="A16115" s="5"/>
    </row>
    <row r="16116" spans="1:1" x14ac:dyDescent="0.25">
      <c r="A16116" s="5"/>
    </row>
    <row r="16117" spans="1:1" x14ac:dyDescent="0.25">
      <c r="A16117" s="5"/>
    </row>
    <row r="16118" spans="1:1" x14ac:dyDescent="0.25">
      <c r="A16118" s="5"/>
    </row>
    <row r="16119" spans="1:1" x14ac:dyDescent="0.25">
      <c r="A16119" s="5"/>
    </row>
    <row r="16120" spans="1:1" x14ac:dyDescent="0.25">
      <c r="A16120" s="5"/>
    </row>
    <row r="16121" spans="1:1" x14ac:dyDescent="0.25">
      <c r="A16121" s="5"/>
    </row>
    <row r="16122" spans="1:1" x14ac:dyDescent="0.25">
      <c r="A16122" s="5"/>
    </row>
    <row r="16123" spans="1:1" x14ac:dyDescent="0.25">
      <c r="A16123" s="5"/>
    </row>
    <row r="16124" spans="1:1" x14ac:dyDescent="0.25">
      <c r="A16124" s="5"/>
    </row>
    <row r="16125" spans="1:1" x14ac:dyDescent="0.25">
      <c r="A16125" s="5"/>
    </row>
    <row r="16126" spans="1:1" x14ac:dyDescent="0.25">
      <c r="A16126" s="5"/>
    </row>
    <row r="16127" spans="1:1" x14ac:dyDescent="0.25">
      <c r="A16127" s="5"/>
    </row>
    <row r="16128" spans="1:1" x14ac:dyDescent="0.25">
      <c r="A16128" s="5"/>
    </row>
    <row r="16129" spans="1:1" x14ac:dyDescent="0.25">
      <c r="A16129" s="5"/>
    </row>
    <row r="16130" spans="1:1" x14ac:dyDescent="0.25">
      <c r="A16130" s="5"/>
    </row>
    <row r="16131" spans="1:1" x14ac:dyDescent="0.25">
      <c r="A16131" s="5"/>
    </row>
    <row r="16132" spans="1:1" x14ac:dyDescent="0.25">
      <c r="A16132" s="5"/>
    </row>
    <row r="16133" spans="1:1" x14ac:dyDescent="0.25">
      <c r="A16133" s="5"/>
    </row>
    <row r="16134" spans="1:1" x14ac:dyDescent="0.25">
      <c r="A16134" s="5"/>
    </row>
    <row r="16135" spans="1:1" x14ac:dyDescent="0.25">
      <c r="A16135" s="5"/>
    </row>
    <row r="16136" spans="1:1" x14ac:dyDescent="0.25">
      <c r="A16136" s="5"/>
    </row>
    <row r="16137" spans="1:1" x14ac:dyDescent="0.25">
      <c r="A16137" s="5"/>
    </row>
    <row r="16138" spans="1:1" x14ac:dyDescent="0.25">
      <c r="A16138" s="5"/>
    </row>
    <row r="16139" spans="1:1" x14ac:dyDescent="0.25">
      <c r="A16139" s="5"/>
    </row>
    <row r="16140" spans="1:1" x14ac:dyDescent="0.25">
      <c r="A16140" s="5"/>
    </row>
    <row r="16141" spans="1:1" x14ac:dyDescent="0.25">
      <c r="A16141" s="5"/>
    </row>
    <row r="16142" spans="1:1" x14ac:dyDescent="0.25">
      <c r="A16142" s="5"/>
    </row>
    <row r="16143" spans="1:1" x14ac:dyDescent="0.25">
      <c r="A16143" s="5"/>
    </row>
    <row r="16144" spans="1:1" x14ac:dyDescent="0.25">
      <c r="A16144" s="5"/>
    </row>
    <row r="16145" spans="1:1" x14ac:dyDescent="0.25">
      <c r="A16145" s="5"/>
    </row>
    <row r="16146" spans="1:1" x14ac:dyDescent="0.25">
      <c r="A16146" s="5"/>
    </row>
    <row r="16147" spans="1:1" x14ac:dyDescent="0.25">
      <c r="A16147" s="5"/>
    </row>
    <row r="16148" spans="1:1" x14ac:dyDescent="0.25">
      <c r="A16148" s="5"/>
    </row>
    <row r="16149" spans="1:1" x14ac:dyDescent="0.25">
      <c r="A16149" s="5"/>
    </row>
    <row r="16150" spans="1:1" x14ac:dyDescent="0.25">
      <c r="A16150" s="5"/>
    </row>
    <row r="16151" spans="1:1" x14ac:dyDescent="0.25">
      <c r="A16151" s="5"/>
    </row>
    <row r="16152" spans="1:1" x14ac:dyDescent="0.25">
      <c r="A16152" s="5"/>
    </row>
    <row r="16153" spans="1:1" x14ac:dyDescent="0.25">
      <c r="A16153" s="5"/>
    </row>
    <row r="16154" spans="1:1" x14ac:dyDescent="0.25">
      <c r="A16154" s="5"/>
    </row>
    <row r="16155" spans="1:1" x14ac:dyDescent="0.25">
      <c r="A16155" s="5"/>
    </row>
    <row r="16156" spans="1:1" x14ac:dyDescent="0.25">
      <c r="A16156" s="5"/>
    </row>
    <row r="16157" spans="1:1" x14ac:dyDescent="0.25">
      <c r="A16157" s="5"/>
    </row>
    <row r="16158" spans="1:1" x14ac:dyDescent="0.25">
      <c r="A16158" s="5"/>
    </row>
    <row r="16159" spans="1:1" x14ac:dyDescent="0.25">
      <c r="A16159" s="5"/>
    </row>
    <row r="16160" spans="1:1" x14ac:dyDescent="0.25">
      <c r="A16160" s="5"/>
    </row>
    <row r="16161" spans="1:1" x14ac:dyDescent="0.25">
      <c r="A16161" s="5"/>
    </row>
    <row r="16162" spans="1:1" x14ac:dyDescent="0.25">
      <c r="A16162" s="5"/>
    </row>
    <row r="16163" spans="1:1" x14ac:dyDescent="0.25">
      <c r="A16163" s="5"/>
    </row>
    <row r="16164" spans="1:1" x14ac:dyDescent="0.25">
      <c r="A16164" s="5"/>
    </row>
    <row r="16165" spans="1:1" x14ac:dyDescent="0.25">
      <c r="A16165" s="5"/>
    </row>
    <row r="16166" spans="1:1" x14ac:dyDescent="0.25">
      <c r="A16166" s="5"/>
    </row>
    <row r="16167" spans="1:1" x14ac:dyDescent="0.25">
      <c r="A16167" s="5"/>
    </row>
    <row r="16168" spans="1:1" x14ac:dyDescent="0.25">
      <c r="A16168" s="5"/>
    </row>
    <row r="16169" spans="1:1" x14ac:dyDescent="0.25">
      <c r="A16169" s="5"/>
    </row>
    <row r="16170" spans="1:1" x14ac:dyDescent="0.25">
      <c r="A16170" s="5"/>
    </row>
    <row r="16171" spans="1:1" x14ac:dyDescent="0.25">
      <c r="A16171" s="5"/>
    </row>
    <row r="16172" spans="1:1" x14ac:dyDescent="0.25">
      <c r="A16172" s="5"/>
    </row>
    <row r="16173" spans="1:1" x14ac:dyDescent="0.25">
      <c r="A16173" s="5"/>
    </row>
    <row r="16174" spans="1:1" x14ac:dyDescent="0.25">
      <c r="A16174" s="5"/>
    </row>
    <row r="16175" spans="1:1" x14ac:dyDescent="0.25">
      <c r="A16175" s="5"/>
    </row>
    <row r="16176" spans="1:1" x14ac:dyDescent="0.25">
      <c r="A16176" s="5"/>
    </row>
    <row r="16177" spans="1:1" x14ac:dyDescent="0.25">
      <c r="A16177" s="5"/>
    </row>
    <row r="16178" spans="1:1" x14ac:dyDescent="0.25">
      <c r="A16178" s="5"/>
    </row>
    <row r="16179" spans="1:1" x14ac:dyDescent="0.25">
      <c r="A16179" s="5"/>
    </row>
    <row r="16180" spans="1:1" x14ac:dyDescent="0.25">
      <c r="A16180" s="5"/>
    </row>
    <row r="16181" spans="1:1" x14ac:dyDescent="0.25">
      <c r="A16181" s="5"/>
    </row>
    <row r="16182" spans="1:1" x14ac:dyDescent="0.25">
      <c r="A16182" s="5"/>
    </row>
    <row r="16183" spans="1:1" x14ac:dyDescent="0.25">
      <c r="A16183" s="5"/>
    </row>
    <row r="16184" spans="1:1" x14ac:dyDescent="0.25">
      <c r="A16184" s="5"/>
    </row>
    <row r="16185" spans="1:1" x14ac:dyDescent="0.25">
      <c r="A16185" s="5"/>
    </row>
    <row r="16186" spans="1:1" x14ac:dyDescent="0.25">
      <c r="A16186" s="5"/>
    </row>
    <row r="16187" spans="1:1" x14ac:dyDescent="0.25">
      <c r="A16187" s="5"/>
    </row>
    <row r="16188" spans="1:1" x14ac:dyDescent="0.25">
      <c r="A16188" s="5"/>
    </row>
    <row r="16189" spans="1:1" x14ac:dyDescent="0.25">
      <c r="A16189" s="5"/>
    </row>
    <row r="16190" spans="1:1" x14ac:dyDescent="0.25">
      <c r="A16190" s="5"/>
    </row>
    <row r="16191" spans="1:1" x14ac:dyDescent="0.25">
      <c r="A16191" s="5"/>
    </row>
    <row r="16192" spans="1:1" x14ac:dyDescent="0.25">
      <c r="A16192" s="5"/>
    </row>
    <row r="16193" spans="1:1" x14ac:dyDescent="0.25">
      <c r="A16193" s="5"/>
    </row>
    <row r="16194" spans="1:1" x14ac:dyDescent="0.25">
      <c r="A16194" s="5"/>
    </row>
    <row r="16195" spans="1:1" x14ac:dyDescent="0.25">
      <c r="A16195" s="5"/>
    </row>
    <row r="16196" spans="1:1" x14ac:dyDescent="0.25">
      <c r="A16196" s="5"/>
    </row>
    <row r="16197" spans="1:1" x14ac:dyDescent="0.25">
      <c r="A16197" s="5"/>
    </row>
    <row r="16198" spans="1:1" x14ac:dyDescent="0.25">
      <c r="A16198" s="5"/>
    </row>
    <row r="16199" spans="1:1" x14ac:dyDescent="0.25">
      <c r="A16199" s="5"/>
    </row>
    <row r="16200" spans="1:1" x14ac:dyDescent="0.25">
      <c r="A16200" s="5"/>
    </row>
    <row r="16201" spans="1:1" x14ac:dyDescent="0.25">
      <c r="A16201" s="5"/>
    </row>
    <row r="16202" spans="1:1" x14ac:dyDescent="0.25">
      <c r="A16202" s="5"/>
    </row>
    <row r="16203" spans="1:1" x14ac:dyDescent="0.25">
      <c r="A16203" s="5"/>
    </row>
    <row r="16204" spans="1:1" x14ac:dyDescent="0.25">
      <c r="A16204" s="5"/>
    </row>
    <row r="16205" spans="1:1" x14ac:dyDescent="0.25">
      <c r="A16205" s="5"/>
    </row>
    <row r="16206" spans="1:1" x14ac:dyDescent="0.25">
      <c r="A16206" s="5"/>
    </row>
    <row r="16207" spans="1:1" x14ac:dyDescent="0.25">
      <c r="A16207" s="5"/>
    </row>
    <row r="16208" spans="1:1" x14ac:dyDescent="0.25">
      <c r="A16208" s="5"/>
    </row>
    <row r="16209" spans="1:1" x14ac:dyDescent="0.25">
      <c r="A16209" s="5"/>
    </row>
    <row r="16210" spans="1:1" x14ac:dyDescent="0.25">
      <c r="A16210" s="5"/>
    </row>
    <row r="16211" spans="1:1" x14ac:dyDescent="0.25">
      <c r="A16211" s="5"/>
    </row>
    <row r="16212" spans="1:1" x14ac:dyDescent="0.25">
      <c r="A16212" s="5"/>
    </row>
    <row r="16213" spans="1:1" x14ac:dyDescent="0.25">
      <c r="A16213" s="5"/>
    </row>
    <row r="16214" spans="1:1" x14ac:dyDescent="0.25">
      <c r="A16214" s="5"/>
    </row>
    <row r="16215" spans="1:1" x14ac:dyDescent="0.25">
      <c r="A16215" s="5"/>
    </row>
    <row r="16216" spans="1:1" x14ac:dyDescent="0.25">
      <c r="A16216" s="5"/>
    </row>
    <row r="16217" spans="1:1" x14ac:dyDescent="0.25">
      <c r="A16217" s="5"/>
    </row>
    <row r="16218" spans="1:1" x14ac:dyDescent="0.25">
      <c r="A16218" s="5"/>
    </row>
    <row r="16219" spans="1:1" x14ac:dyDescent="0.25">
      <c r="A16219" s="5"/>
    </row>
    <row r="16220" spans="1:1" x14ac:dyDescent="0.25">
      <c r="A16220" s="5"/>
    </row>
    <row r="16221" spans="1:1" x14ac:dyDescent="0.25">
      <c r="A16221" s="5"/>
    </row>
    <row r="16222" spans="1:1" x14ac:dyDescent="0.25">
      <c r="A16222" s="5"/>
    </row>
    <row r="16223" spans="1:1" x14ac:dyDescent="0.25">
      <c r="A16223" s="5"/>
    </row>
    <row r="16224" spans="1:1" x14ac:dyDescent="0.25">
      <c r="A16224" s="5"/>
    </row>
    <row r="16225" spans="1:1" x14ac:dyDescent="0.25">
      <c r="A16225" s="5"/>
    </row>
    <row r="16226" spans="1:1" x14ac:dyDescent="0.25">
      <c r="A16226" s="5"/>
    </row>
    <row r="16227" spans="1:1" x14ac:dyDescent="0.25">
      <c r="A16227" s="5"/>
    </row>
    <row r="16228" spans="1:1" x14ac:dyDescent="0.25">
      <c r="A16228" s="5"/>
    </row>
    <row r="16229" spans="1:1" x14ac:dyDescent="0.25">
      <c r="A16229" s="5"/>
    </row>
    <row r="16230" spans="1:1" x14ac:dyDescent="0.25">
      <c r="A16230" s="5"/>
    </row>
    <row r="16231" spans="1:1" x14ac:dyDescent="0.25">
      <c r="A16231" s="5"/>
    </row>
    <row r="16232" spans="1:1" x14ac:dyDescent="0.25">
      <c r="A16232" s="5"/>
    </row>
    <row r="16233" spans="1:1" x14ac:dyDescent="0.25">
      <c r="A16233" s="5"/>
    </row>
    <row r="16234" spans="1:1" x14ac:dyDescent="0.25">
      <c r="A16234" s="5"/>
    </row>
    <row r="16235" spans="1:1" x14ac:dyDescent="0.25">
      <c r="A16235" s="5"/>
    </row>
    <row r="16236" spans="1:1" x14ac:dyDescent="0.25">
      <c r="A16236" s="5"/>
    </row>
    <row r="16237" spans="1:1" x14ac:dyDescent="0.25">
      <c r="A16237" s="5"/>
    </row>
    <row r="16238" spans="1:1" x14ac:dyDescent="0.25">
      <c r="A16238" s="5"/>
    </row>
    <row r="16239" spans="1:1" x14ac:dyDescent="0.25">
      <c r="A16239" s="5"/>
    </row>
    <row r="16240" spans="1:1" x14ac:dyDescent="0.25">
      <c r="A16240" s="5"/>
    </row>
    <row r="16241" spans="1:1" x14ac:dyDescent="0.25">
      <c r="A16241" s="5"/>
    </row>
    <row r="16242" spans="1:1" x14ac:dyDescent="0.25">
      <c r="A16242" s="5"/>
    </row>
    <row r="16243" spans="1:1" x14ac:dyDescent="0.25">
      <c r="A16243" s="5"/>
    </row>
    <row r="16244" spans="1:1" x14ac:dyDescent="0.25">
      <c r="A16244" s="5"/>
    </row>
    <row r="16245" spans="1:1" x14ac:dyDescent="0.25">
      <c r="A16245" s="5"/>
    </row>
    <row r="16246" spans="1:1" x14ac:dyDescent="0.25">
      <c r="A16246" s="5"/>
    </row>
    <row r="16247" spans="1:1" x14ac:dyDescent="0.25">
      <c r="A16247" s="5"/>
    </row>
    <row r="16248" spans="1:1" x14ac:dyDescent="0.25">
      <c r="A16248" s="5"/>
    </row>
    <row r="16249" spans="1:1" x14ac:dyDescent="0.25">
      <c r="A16249" s="5"/>
    </row>
    <row r="16250" spans="1:1" x14ac:dyDescent="0.25">
      <c r="A16250" s="5"/>
    </row>
    <row r="16251" spans="1:1" x14ac:dyDescent="0.25">
      <c r="A16251" s="5"/>
    </row>
    <row r="16252" spans="1:1" x14ac:dyDescent="0.25">
      <c r="A16252" s="5"/>
    </row>
    <row r="16253" spans="1:1" x14ac:dyDescent="0.25">
      <c r="A16253" s="5"/>
    </row>
    <row r="16254" spans="1:1" x14ac:dyDescent="0.25">
      <c r="A16254" s="5"/>
    </row>
    <row r="16255" spans="1:1" x14ac:dyDescent="0.25">
      <c r="A16255" s="5"/>
    </row>
    <row r="16256" spans="1:1" x14ac:dyDescent="0.25">
      <c r="A16256" s="5"/>
    </row>
    <row r="16257" spans="1:1" x14ac:dyDescent="0.25">
      <c r="A16257" s="5"/>
    </row>
    <row r="16258" spans="1:1" x14ac:dyDescent="0.25">
      <c r="A16258" s="5"/>
    </row>
    <row r="16259" spans="1:1" x14ac:dyDescent="0.25">
      <c r="A16259" s="5"/>
    </row>
    <row r="16260" spans="1:1" x14ac:dyDescent="0.25">
      <c r="A16260" s="5"/>
    </row>
    <row r="16261" spans="1:1" x14ac:dyDescent="0.25">
      <c r="A16261" s="5"/>
    </row>
    <row r="16262" spans="1:1" x14ac:dyDescent="0.25">
      <c r="A16262" s="5"/>
    </row>
    <row r="16263" spans="1:1" x14ac:dyDescent="0.25">
      <c r="A16263" s="5"/>
    </row>
    <row r="16264" spans="1:1" x14ac:dyDescent="0.25">
      <c r="A16264" s="5"/>
    </row>
    <row r="16265" spans="1:1" x14ac:dyDescent="0.25">
      <c r="A16265" s="5"/>
    </row>
    <row r="16266" spans="1:1" x14ac:dyDescent="0.25">
      <c r="A16266" s="5"/>
    </row>
    <row r="16267" spans="1:1" x14ac:dyDescent="0.25">
      <c r="A16267" s="5"/>
    </row>
    <row r="16268" spans="1:1" x14ac:dyDescent="0.25">
      <c r="A16268" s="5"/>
    </row>
    <row r="16269" spans="1:1" x14ac:dyDescent="0.25">
      <c r="A16269" s="5"/>
    </row>
    <row r="16270" spans="1:1" x14ac:dyDescent="0.25">
      <c r="A16270" s="5"/>
    </row>
    <row r="16271" spans="1:1" x14ac:dyDescent="0.25">
      <c r="A16271" s="5"/>
    </row>
    <row r="16272" spans="1:1" x14ac:dyDescent="0.25">
      <c r="A16272" s="5"/>
    </row>
    <row r="16273" spans="1:1" x14ac:dyDescent="0.25">
      <c r="A16273" s="5"/>
    </row>
    <row r="16274" spans="1:1" x14ac:dyDescent="0.25">
      <c r="A16274" s="5"/>
    </row>
    <row r="16275" spans="1:1" x14ac:dyDescent="0.25">
      <c r="A16275" s="5"/>
    </row>
    <row r="16276" spans="1:1" x14ac:dyDescent="0.25">
      <c r="A16276" s="5"/>
    </row>
    <row r="16277" spans="1:1" x14ac:dyDescent="0.25">
      <c r="A16277" s="5"/>
    </row>
    <row r="16278" spans="1:1" x14ac:dyDescent="0.25">
      <c r="A16278" s="5"/>
    </row>
    <row r="16279" spans="1:1" x14ac:dyDescent="0.25">
      <c r="A16279" s="5"/>
    </row>
    <row r="16280" spans="1:1" x14ac:dyDescent="0.25">
      <c r="A16280" s="5"/>
    </row>
    <row r="16281" spans="1:1" x14ac:dyDescent="0.25">
      <c r="A16281" s="5"/>
    </row>
    <row r="16282" spans="1:1" x14ac:dyDescent="0.25">
      <c r="A16282" s="5"/>
    </row>
    <row r="16283" spans="1:1" x14ac:dyDescent="0.25">
      <c r="A16283" s="5"/>
    </row>
    <row r="16284" spans="1:1" x14ac:dyDescent="0.25">
      <c r="A16284" s="5"/>
    </row>
    <row r="16285" spans="1:1" x14ac:dyDescent="0.25">
      <c r="A16285" s="5"/>
    </row>
    <row r="16286" spans="1:1" x14ac:dyDescent="0.25">
      <c r="A16286" s="5"/>
    </row>
    <row r="16287" spans="1:1" x14ac:dyDescent="0.25">
      <c r="A16287" s="5"/>
    </row>
    <row r="16288" spans="1:1" x14ac:dyDescent="0.25">
      <c r="A16288" s="5"/>
    </row>
    <row r="16289" spans="1:1" x14ac:dyDescent="0.25">
      <c r="A16289" s="5"/>
    </row>
    <row r="16290" spans="1:1" x14ac:dyDescent="0.25">
      <c r="A16290" s="5"/>
    </row>
    <row r="16291" spans="1:1" x14ac:dyDescent="0.25">
      <c r="A16291" s="5"/>
    </row>
    <row r="16292" spans="1:1" x14ac:dyDescent="0.25">
      <c r="A16292" s="5"/>
    </row>
    <row r="16293" spans="1:1" x14ac:dyDescent="0.25">
      <c r="A16293" s="5"/>
    </row>
    <row r="16294" spans="1:1" x14ac:dyDescent="0.25">
      <c r="A16294" s="5"/>
    </row>
    <row r="16295" spans="1:1" x14ac:dyDescent="0.25">
      <c r="A16295" s="5"/>
    </row>
    <row r="16296" spans="1:1" x14ac:dyDescent="0.25">
      <c r="A16296" s="5"/>
    </row>
    <row r="16297" spans="1:1" x14ac:dyDescent="0.25">
      <c r="A16297" s="5"/>
    </row>
    <row r="16298" spans="1:1" x14ac:dyDescent="0.25">
      <c r="A16298" s="5"/>
    </row>
    <row r="16299" spans="1:1" x14ac:dyDescent="0.25">
      <c r="A16299" s="5"/>
    </row>
    <row r="16300" spans="1:1" x14ac:dyDescent="0.25">
      <c r="A16300" s="5"/>
    </row>
    <row r="16301" spans="1:1" x14ac:dyDescent="0.25">
      <c r="A16301" s="5"/>
    </row>
    <row r="16302" spans="1:1" x14ac:dyDescent="0.25">
      <c r="A16302" s="5"/>
    </row>
    <row r="16303" spans="1:1" x14ac:dyDescent="0.25">
      <c r="A16303" s="5"/>
    </row>
    <row r="16304" spans="1:1" x14ac:dyDescent="0.25">
      <c r="A16304" s="5"/>
    </row>
    <row r="16305" spans="1:1" x14ac:dyDescent="0.25">
      <c r="A16305" s="5"/>
    </row>
    <row r="16306" spans="1:1" x14ac:dyDescent="0.25">
      <c r="A16306" s="5"/>
    </row>
    <row r="16307" spans="1:1" x14ac:dyDescent="0.25">
      <c r="A16307" s="5"/>
    </row>
    <row r="16308" spans="1:1" x14ac:dyDescent="0.25">
      <c r="A16308" s="5"/>
    </row>
    <row r="16309" spans="1:1" x14ac:dyDescent="0.25">
      <c r="A16309" s="5"/>
    </row>
    <row r="16310" spans="1:1" x14ac:dyDescent="0.25">
      <c r="A16310" s="5"/>
    </row>
    <row r="16311" spans="1:1" x14ac:dyDescent="0.25">
      <c r="A16311" s="5"/>
    </row>
    <row r="16312" spans="1:1" x14ac:dyDescent="0.25">
      <c r="A16312" s="5"/>
    </row>
    <row r="16313" spans="1:1" x14ac:dyDescent="0.25">
      <c r="A16313" s="5"/>
    </row>
    <row r="16314" spans="1:1" x14ac:dyDescent="0.25">
      <c r="A16314" s="5"/>
    </row>
    <row r="16315" spans="1:1" x14ac:dyDescent="0.25">
      <c r="A16315" s="5"/>
    </row>
    <row r="16316" spans="1:1" x14ac:dyDescent="0.25">
      <c r="A16316" s="5"/>
    </row>
    <row r="16317" spans="1:1" x14ac:dyDescent="0.25">
      <c r="A16317" s="5"/>
    </row>
    <row r="16318" spans="1:1" x14ac:dyDescent="0.25">
      <c r="A16318" s="5"/>
    </row>
    <row r="16319" spans="1:1" x14ac:dyDescent="0.25">
      <c r="A16319" s="5"/>
    </row>
    <row r="16320" spans="1:1" x14ac:dyDescent="0.25">
      <c r="A16320" s="5"/>
    </row>
    <row r="16321" spans="1:1" x14ac:dyDescent="0.25">
      <c r="A16321" s="5"/>
    </row>
    <row r="16322" spans="1:1" x14ac:dyDescent="0.25">
      <c r="A16322" s="5"/>
    </row>
    <row r="16323" spans="1:1" x14ac:dyDescent="0.25">
      <c r="A16323" s="5"/>
    </row>
    <row r="16324" spans="1:1" x14ac:dyDescent="0.25">
      <c r="A16324" s="5"/>
    </row>
    <row r="16325" spans="1:1" x14ac:dyDescent="0.25">
      <c r="A16325" s="5"/>
    </row>
    <row r="16326" spans="1:1" x14ac:dyDescent="0.25">
      <c r="A16326" s="5"/>
    </row>
    <row r="16327" spans="1:1" x14ac:dyDescent="0.25">
      <c r="A16327" s="5"/>
    </row>
    <row r="16328" spans="1:1" x14ac:dyDescent="0.25">
      <c r="A16328" s="5"/>
    </row>
    <row r="16329" spans="1:1" x14ac:dyDescent="0.25">
      <c r="A16329" s="5"/>
    </row>
    <row r="16330" spans="1:1" x14ac:dyDescent="0.25">
      <c r="A16330" s="5"/>
    </row>
    <row r="16331" spans="1:1" x14ac:dyDescent="0.25">
      <c r="A16331" s="5"/>
    </row>
    <row r="16332" spans="1:1" x14ac:dyDescent="0.25">
      <c r="A16332" s="5"/>
    </row>
    <row r="16333" spans="1:1" x14ac:dyDescent="0.25">
      <c r="A16333" s="5"/>
    </row>
    <row r="16334" spans="1:1" x14ac:dyDescent="0.25">
      <c r="A16334" s="5"/>
    </row>
    <row r="16335" spans="1:1" x14ac:dyDescent="0.25">
      <c r="A16335" s="5"/>
    </row>
    <row r="16336" spans="1:1" x14ac:dyDescent="0.25">
      <c r="A16336" s="5"/>
    </row>
    <row r="16337" spans="1:1" x14ac:dyDescent="0.25">
      <c r="A16337" s="5"/>
    </row>
    <row r="16338" spans="1:1" x14ac:dyDescent="0.25">
      <c r="A16338" s="5"/>
    </row>
    <row r="16339" spans="1:1" x14ac:dyDescent="0.25">
      <c r="A16339" s="5"/>
    </row>
    <row r="16340" spans="1:1" x14ac:dyDescent="0.25">
      <c r="A16340" s="5"/>
    </row>
    <row r="16341" spans="1:1" x14ac:dyDescent="0.25">
      <c r="A16341" s="5"/>
    </row>
    <row r="16342" spans="1:1" x14ac:dyDescent="0.25">
      <c r="A16342" s="5"/>
    </row>
    <row r="16343" spans="1:1" x14ac:dyDescent="0.25">
      <c r="A16343" s="5"/>
    </row>
    <row r="16344" spans="1:1" x14ac:dyDescent="0.25">
      <c r="A16344" s="5"/>
    </row>
    <row r="16345" spans="1:1" x14ac:dyDescent="0.25">
      <c r="A16345" s="5"/>
    </row>
    <row r="16346" spans="1:1" x14ac:dyDescent="0.25">
      <c r="A16346" s="5"/>
    </row>
    <row r="16347" spans="1:1" x14ac:dyDescent="0.25">
      <c r="A16347" s="5"/>
    </row>
    <row r="16348" spans="1:1" x14ac:dyDescent="0.25">
      <c r="A16348" s="5"/>
    </row>
    <row r="16349" spans="1:1" x14ac:dyDescent="0.25">
      <c r="A16349" s="5"/>
    </row>
    <row r="16350" spans="1:1" x14ac:dyDescent="0.25">
      <c r="A16350" s="5"/>
    </row>
    <row r="16351" spans="1:1" x14ac:dyDescent="0.25">
      <c r="A16351" s="5"/>
    </row>
    <row r="16352" spans="1:1" x14ac:dyDescent="0.25">
      <c r="A16352" s="5"/>
    </row>
    <row r="16353" spans="1:1" x14ac:dyDescent="0.25">
      <c r="A16353" s="5"/>
    </row>
    <row r="16354" spans="1:1" x14ac:dyDescent="0.25">
      <c r="A16354" s="5"/>
    </row>
    <row r="16355" spans="1:1" x14ac:dyDescent="0.25">
      <c r="A16355" s="5"/>
    </row>
    <row r="16356" spans="1:1" x14ac:dyDescent="0.25">
      <c r="A16356" s="5"/>
    </row>
    <row r="16357" spans="1:1" x14ac:dyDescent="0.25">
      <c r="A16357" s="5"/>
    </row>
    <row r="16358" spans="1:1" x14ac:dyDescent="0.25">
      <c r="A16358" s="5"/>
    </row>
    <row r="16359" spans="1:1" x14ac:dyDescent="0.25">
      <c r="A16359" s="5"/>
    </row>
    <row r="16360" spans="1:1" x14ac:dyDescent="0.25">
      <c r="A16360" s="5"/>
    </row>
    <row r="16361" spans="1:1" x14ac:dyDescent="0.25">
      <c r="A16361" s="5"/>
    </row>
    <row r="16362" spans="1:1" x14ac:dyDescent="0.25">
      <c r="A16362" s="5"/>
    </row>
    <row r="16363" spans="1:1" x14ac:dyDescent="0.25">
      <c r="A16363" s="5"/>
    </row>
    <row r="16364" spans="1:1" x14ac:dyDescent="0.25">
      <c r="A16364" s="5"/>
    </row>
    <row r="16365" spans="1:1" x14ac:dyDescent="0.25">
      <c r="A16365" s="5"/>
    </row>
    <row r="16366" spans="1:1" x14ac:dyDescent="0.25">
      <c r="A16366" s="5"/>
    </row>
    <row r="16367" spans="1:1" x14ac:dyDescent="0.25">
      <c r="A16367" s="5"/>
    </row>
    <row r="16368" spans="1:1" x14ac:dyDescent="0.25">
      <c r="A16368" s="5"/>
    </row>
    <row r="16369" spans="1:1" x14ac:dyDescent="0.25">
      <c r="A16369" s="5"/>
    </row>
    <row r="16370" spans="1:1" x14ac:dyDescent="0.25">
      <c r="A16370" s="5"/>
    </row>
  </sheetData>
  <sheetProtection algorithmName="SHA-512" hashValue="GPIpyzMIyU7FhbG+YBBfOfN7QXUHnyDOaq0fpdLute6OV3Q3Jtx2AsSt96jXSh9QUO19w2+4MIQNHykYLwMU3A==" saltValue="ZFcddo3GPl0AvkFGrdy8VA=="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STANDARDS - OPEN SOLO BICYCLE</oddHeader>
    <oddFooter>&amp;L&amp;F&amp;CPage &amp;P of &amp;N&amp;R&amp;D</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5292-5C1F-4758-B30E-D9AF25D30663}">
  <sheetPr codeName="Sheet23">
    <pageSetUpPr fitToPage="1"/>
  </sheetPr>
  <dimension ref="A1:T16370"/>
  <sheetViews>
    <sheetView zoomScale="75" zoomScaleNormal="75" workbookViewId="0"/>
  </sheetViews>
  <sheetFormatPr defaultRowHeight="15" x14ac:dyDescent="0.25"/>
  <cols>
    <col min="1" max="1" width="4.5703125" style="3" customWidth="1"/>
    <col min="2" max="9" width="8.5703125" customWidth="1"/>
    <col min="10" max="11" width="4.5703125" customWidth="1"/>
    <col min="12" max="19" width="8.5703125" customWidth="1"/>
  </cols>
  <sheetData>
    <row r="1" spans="1:19" s="11" customFormat="1" x14ac:dyDescent="0.25">
      <c r="A1" s="9" t="s">
        <v>1</v>
      </c>
      <c r="B1" s="10" t="s">
        <v>13</v>
      </c>
      <c r="C1" s="10" t="s">
        <v>14</v>
      </c>
      <c r="D1" s="10" t="s">
        <v>15</v>
      </c>
      <c r="E1" s="10" t="s">
        <v>16</v>
      </c>
      <c r="F1" s="10" t="s">
        <v>17</v>
      </c>
      <c r="G1" s="10" t="s">
        <v>18</v>
      </c>
      <c r="H1" s="10" t="s">
        <v>19</v>
      </c>
      <c r="I1" s="10" t="s">
        <v>20</v>
      </c>
      <c r="J1" s="12"/>
      <c r="K1" s="9" t="s">
        <v>1</v>
      </c>
      <c r="L1" s="10" t="s">
        <v>13</v>
      </c>
      <c r="M1" s="10" t="s">
        <v>14</v>
      </c>
      <c r="N1" s="10" t="s">
        <v>15</v>
      </c>
      <c r="O1" s="10" t="s">
        <v>16</v>
      </c>
      <c r="P1" s="10" t="s">
        <v>17</v>
      </c>
      <c r="Q1" s="10" t="s">
        <v>18</v>
      </c>
      <c r="R1" s="10" t="s">
        <v>19</v>
      </c>
      <c r="S1" s="10" t="s">
        <v>20</v>
      </c>
    </row>
    <row r="2" spans="1:19" x14ac:dyDescent="0.25">
      <c r="A2" s="4">
        <f>'All Solo Standards'!A33</f>
        <v>40</v>
      </c>
      <c r="B2" s="3" t="str">
        <f>'All Solo Standards'!J33</f>
        <v>28:39</v>
      </c>
      <c r="C2" s="3" t="str">
        <f>'All Solo Standards'!K33</f>
        <v>43:07</v>
      </c>
      <c r="D2" s="3" t="str">
        <f>'All Solo Standards'!L33</f>
        <v>1:12:22</v>
      </c>
      <c r="E2" s="3" t="str">
        <f>'All Solo Standards'!M33</f>
        <v>1:27:08</v>
      </c>
      <c r="F2" s="3" t="str">
        <f>'All Solo Standards'!N33</f>
        <v>2:27:16</v>
      </c>
      <c r="G2" s="3" t="str">
        <f>'All Solo Standards'!O33</f>
        <v>5:05:17</v>
      </c>
      <c r="H2" s="46" t="str">
        <f>'All Solo Standards'!P33</f>
        <v>194.97</v>
      </c>
      <c r="I2" s="46" t="str">
        <f>'All Solo Standards'!Q33</f>
        <v>331.13</v>
      </c>
      <c r="K2" s="59">
        <f>'All Solo Standards'!A61</f>
        <v>68</v>
      </c>
      <c r="L2" s="3" t="str">
        <f>'All Solo Standards'!J61</f>
        <v>32:09</v>
      </c>
      <c r="M2" s="3" t="str">
        <f>'All Solo Standards'!K61</f>
        <v>48:26</v>
      </c>
      <c r="N2" s="3" t="str">
        <f>'All Solo Standards'!L61</f>
        <v>1:21:27</v>
      </c>
      <c r="O2" s="3" t="str">
        <f>'All Solo Standards'!M61</f>
        <v>1:38:10</v>
      </c>
      <c r="P2" s="3" t="str">
        <f>'All Solo Standards'!N61</f>
        <v>2:46:36</v>
      </c>
      <c r="Q2" s="3" t="str">
        <f>'All Solo Standards'!O61</f>
        <v>5:49:14</v>
      </c>
      <c r="R2" s="47" t="str">
        <f>'All Solo Standards'!P61</f>
        <v>151.78</v>
      </c>
      <c r="S2" s="47" t="str">
        <f>'All Solo Standards'!Q61</f>
        <v>246.09</v>
      </c>
    </row>
    <row r="3" spans="1:19" x14ac:dyDescent="0.25">
      <c r="A3" s="4">
        <f>'All Solo Standards'!A34</f>
        <v>41</v>
      </c>
      <c r="B3" s="3" t="str">
        <f>'All Solo Standards'!J34</f>
        <v>28:40</v>
      </c>
      <c r="C3" s="3" t="str">
        <f>'All Solo Standards'!K34</f>
        <v>43:09</v>
      </c>
      <c r="D3" s="3" t="str">
        <f>'All Solo Standards'!L34</f>
        <v>1:12:25</v>
      </c>
      <c r="E3" s="3" t="str">
        <f>'All Solo Standards'!M34</f>
        <v>1:27:12</v>
      </c>
      <c r="F3" s="3" t="str">
        <f>'All Solo Standards'!N34</f>
        <v>2:27:23</v>
      </c>
      <c r="G3" s="3" t="str">
        <f>'All Solo Standards'!O34</f>
        <v>5:05:34</v>
      </c>
      <c r="H3" s="46" t="str">
        <f>'All Solo Standards'!P34</f>
        <v>194.57</v>
      </c>
      <c r="I3" s="46" t="str">
        <f>'All Solo Standards'!Q34</f>
        <v>330.21</v>
      </c>
      <c r="K3" s="59">
        <f>'All Solo Standards'!A62</f>
        <v>69</v>
      </c>
      <c r="L3" s="45" t="str">
        <f>'All Solo Standards'!J62</f>
        <v>32:23</v>
      </c>
      <c r="M3" s="45" t="str">
        <f>'All Solo Standards'!K62</f>
        <v>48:48</v>
      </c>
      <c r="N3" s="45" t="str">
        <f>'All Solo Standards'!L62</f>
        <v>1:22:03</v>
      </c>
      <c r="O3" s="45" t="str">
        <f>'All Solo Standards'!M62</f>
        <v>1:38:54</v>
      </c>
      <c r="P3" s="45" t="str">
        <f>'All Solo Standards'!N62</f>
        <v>2:47:53</v>
      </c>
      <c r="Q3" s="45" t="str">
        <f>'All Solo Standards'!O62</f>
        <v>5:52:13</v>
      </c>
      <c r="R3" s="49" t="str">
        <f>'All Solo Standards'!P62</f>
        <v>149.39</v>
      </c>
      <c r="S3" s="49" t="str">
        <f>'All Solo Standards'!Q62</f>
        <v>241.48</v>
      </c>
    </row>
    <row r="4" spans="1:19" x14ac:dyDescent="0.25">
      <c r="A4" s="4">
        <f>'All Solo Standards'!A35</f>
        <v>42</v>
      </c>
      <c r="B4" s="3" t="str">
        <f>'All Solo Standards'!J35</f>
        <v>28:41</v>
      </c>
      <c r="C4" s="3" t="str">
        <f>'All Solo Standards'!K35</f>
        <v>43:11</v>
      </c>
      <c r="D4" s="3" t="str">
        <f>'All Solo Standards'!L35</f>
        <v>1:12:28</v>
      </c>
      <c r="E4" s="3" t="str">
        <f>'All Solo Standards'!M35</f>
        <v>1:27:16</v>
      </c>
      <c r="F4" s="3" t="str">
        <f>'All Solo Standards'!N35</f>
        <v>2:27:30</v>
      </c>
      <c r="G4" s="3" t="str">
        <f>'All Solo Standards'!O35</f>
        <v>5:05:52</v>
      </c>
      <c r="H4" s="46" t="str">
        <f>'All Solo Standards'!P35</f>
        <v>194.14</v>
      </c>
      <c r="I4" s="46" t="str">
        <f>'All Solo Standards'!Q35</f>
        <v>329.18</v>
      </c>
      <c r="K4" s="59">
        <f>'All Solo Standards'!A63</f>
        <v>70</v>
      </c>
      <c r="L4" s="3" t="str">
        <f>'All Solo Standards'!J63</f>
        <v>32:37</v>
      </c>
      <c r="M4" s="3" t="str">
        <f>'All Solo Standards'!K63</f>
        <v>49:09</v>
      </c>
      <c r="N4" s="3" t="str">
        <f>'All Solo Standards'!L63</f>
        <v>1:22:39</v>
      </c>
      <c r="O4" s="3" t="str">
        <f>'All Solo Standards'!M63</f>
        <v>1:39:38</v>
      </c>
      <c r="P4" s="3" t="str">
        <f>'All Solo Standards'!N63</f>
        <v>2:49:11</v>
      </c>
      <c r="Q4" s="3" t="str">
        <f>'All Solo Standards'!O63</f>
        <v>5:55:14</v>
      </c>
      <c r="R4" s="47" t="str">
        <f>'All Solo Standards'!P63</f>
        <v>147.02</v>
      </c>
      <c r="S4" s="47" t="str">
        <f>'All Solo Standards'!Q63</f>
        <v>236.87</v>
      </c>
    </row>
    <row r="5" spans="1:19" x14ac:dyDescent="0.25">
      <c r="A5" s="4">
        <f>'All Solo Standards'!A36</f>
        <v>43</v>
      </c>
      <c r="B5" s="3" t="str">
        <f>'All Solo Standards'!J36</f>
        <v>28:43</v>
      </c>
      <c r="C5" s="3" t="str">
        <f>'All Solo Standards'!K36</f>
        <v>43:13</v>
      </c>
      <c r="D5" s="3" t="str">
        <f>'All Solo Standards'!L36</f>
        <v>1:12:31</v>
      </c>
      <c r="E5" s="3" t="str">
        <f>'All Solo Standards'!M36</f>
        <v>1:27:20</v>
      </c>
      <c r="F5" s="3" t="str">
        <f>'All Solo Standards'!N36</f>
        <v>2:27:38</v>
      </c>
      <c r="G5" s="3" t="str">
        <f>'All Solo Standards'!O36</f>
        <v>5:06:10</v>
      </c>
      <c r="H5" s="46" t="str">
        <f>'All Solo Standards'!P36</f>
        <v>193.67</v>
      </c>
      <c r="I5" s="46" t="str">
        <f>'All Solo Standards'!Q36</f>
        <v>328.06</v>
      </c>
      <c r="K5" s="59">
        <f>'All Solo Standards'!A64</f>
        <v>71</v>
      </c>
      <c r="L5" s="3" t="str">
        <f>'All Solo Standards'!J64</f>
        <v>32:51</v>
      </c>
      <c r="M5" s="3" t="str">
        <f>'All Solo Standards'!K64</f>
        <v>49:31</v>
      </c>
      <c r="N5" s="3" t="str">
        <f>'All Solo Standards'!L64</f>
        <v>1:23:17</v>
      </c>
      <c r="O5" s="3" t="str">
        <f>'All Solo Standards'!M64</f>
        <v>1:40:24</v>
      </c>
      <c r="P5" s="3" t="str">
        <f>'All Solo Standards'!N64</f>
        <v>2:50:32</v>
      </c>
      <c r="Q5" s="3" t="str">
        <f>'All Solo Standards'!O64</f>
        <v>5:58:24</v>
      </c>
      <c r="R5" s="47" t="str">
        <f>'All Solo Standards'!P64</f>
        <v>144.59</v>
      </c>
      <c r="S5" s="47" t="str">
        <f>'All Solo Standards'!Q64</f>
        <v>232.18</v>
      </c>
    </row>
    <row r="6" spans="1:19" x14ac:dyDescent="0.25">
      <c r="A6" s="4">
        <f>'All Solo Standards'!A37</f>
        <v>44</v>
      </c>
      <c r="B6" s="3" t="str">
        <f>'All Solo Standards'!J37</f>
        <v>28:44</v>
      </c>
      <c r="C6" s="3" t="str">
        <f>'All Solo Standards'!K37</f>
        <v>43:15</v>
      </c>
      <c r="D6" s="3" t="str">
        <f>'All Solo Standards'!L37</f>
        <v>1:12:35</v>
      </c>
      <c r="E6" s="3" t="str">
        <f>'All Solo Standards'!M37</f>
        <v>1:27:25</v>
      </c>
      <c r="F6" s="3" t="str">
        <f>'All Solo Standards'!N37</f>
        <v>2:27:46</v>
      </c>
      <c r="G6" s="3" t="str">
        <f>'All Solo Standards'!O37</f>
        <v>5:06:31</v>
      </c>
      <c r="H6" s="46" t="str">
        <f>'All Solo Standards'!P37</f>
        <v>193.16</v>
      </c>
      <c r="I6" s="46" t="str">
        <f>'All Solo Standards'!Q37</f>
        <v>326.82</v>
      </c>
      <c r="K6" s="59">
        <f>'All Solo Standards'!A65</f>
        <v>72</v>
      </c>
      <c r="L6" s="3" t="str">
        <f>'All Solo Standards'!J65</f>
        <v>33:06</v>
      </c>
      <c r="M6" s="3" t="str">
        <f>'All Solo Standards'!K65</f>
        <v>49:53</v>
      </c>
      <c r="N6" s="3" t="str">
        <f>'All Solo Standards'!L65</f>
        <v>1:23:56</v>
      </c>
      <c r="O6" s="3" t="str">
        <f>'All Solo Standards'!M65</f>
        <v>1:41:12</v>
      </c>
      <c r="P6" s="3" t="str">
        <f>'All Solo Standards'!N65</f>
        <v>2:51:56</v>
      </c>
      <c r="Q6" s="3" t="str">
        <f>'All Solo Standards'!O65</f>
        <v>6:01:42</v>
      </c>
      <c r="R6" s="47" t="str">
        <f>'All Solo Standards'!P65</f>
        <v>142.12</v>
      </c>
      <c r="S6" s="47" t="str">
        <f>'All Solo Standards'!Q65</f>
        <v>227.39</v>
      </c>
    </row>
    <row r="7" spans="1:19" x14ac:dyDescent="0.25">
      <c r="A7" s="4">
        <f>'All Solo Standards'!A38</f>
        <v>45</v>
      </c>
      <c r="B7" s="3" t="str">
        <f>'All Solo Standards'!J38</f>
        <v>28:45</v>
      </c>
      <c r="C7" s="3" t="str">
        <f>'All Solo Standards'!K38</f>
        <v>43:17</v>
      </c>
      <c r="D7" s="3" t="str">
        <f>'All Solo Standards'!L38</f>
        <v>1:12:39</v>
      </c>
      <c r="E7" s="3" t="str">
        <f>'All Solo Standards'!M38</f>
        <v>1:27:30</v>
      </c>
      <c r="F7" s="3" t="str">
        <f>'All Solo Standards'!N38</f>
        <v>2:27:55</v>
      </c>
      <c r="G7" s="3" t="str">
        <f>'All Solo Standards'!O38</f>
        <v>5:06:53</v>
      </c>
      <c r="H7" s="46" t="str">
        <f>'All Solo Standards'!P38</f>
        <v>192.60</v>
      </c>
      <c r="I7" s="46" t="str">
        <f>'All Solo Standards'!Q38</f>
        <v>325.47</v>
      </c>
      <c r="K7" s="59">
        <f>'All Solo Standards'!A66</f>
        <v>73</v>
      </c>
      <c r="L7" s="3" t="str">
        <f>'All Solo Standards'!J66</f>
        <v>33:22</v>
      </c>
      <c r="M7" s="3" t="str">
        <f>'All Solo Standards'!K66</f>
        <v>50:17</v>
      </c>
      <c r="N7" s="3" t="str">
        <f>'All Solo Standards'!L66</f>
        <v>1:24:37</v>
      </c>
      <c r="O7" s="3" t="str">
        <f>'All Solo Standards'!M66</f>
        <v>1:42:01</v>
      </c>
      <c r="P7" s="3" t="str">
        <f>'All Solo Standards'!N66</f>
        <v>2:53:24</v>
      </c>
      <c r="Q7" s="3" t="str">
        <f>'All Solo Standards'!O66</f>
        <v>6:05:09</v>
      </c>
      <c r="R7" s="47" t="str">
        <f>'All Solo Standards'!P66</f>
        <v>139.60</v>
      </c>
      <c r="S7" s="47" t="str">
        <f>'All Solo Standards'!Q66</f>
        <v>222.53</v>
      </c>
    </row>
    <row r="8" spans="1:19" x14ac:dyDescent="0.25">
      <c r="A8" s="4">
        <f>'All Solo Standards'!A39</f>
        <v>46</v>
      </c>
      <c r="B8" s="3" t="str">
        <f>'All Solo Standards'!J39</f>
        <v>28:47</v>
      </c>
      <c r="C8" s="3" t="str">
        <f>'All Solo Standards'!K39</f>
        <v>43:20</v>
      </c>
      <c r="D8" s="3" t="str">
        <f>'All Solo Standards'!L39</f>
        <v>1:12:44</v>
      </c>
      <c r="E8" s="3" t="str">
        <f>'All Solo Standards'!M39</f>
        <v>1:27:35</v>
      </c>
      <c r="F8" s="3" t="str">
        <f>'All Solo Standards'!N39</f>
        <v>2:28:05</v>
      </c>
      <c r="G8" s="3" t="str">
        <f>'All Solo Standards'!O39</f>
        <v>5:07:19</v>
      </c>
      <c r="H8" s="46" t="str">
        <f>'All Solo Standards'!P39</f>
        <v>191.98</v>
      </c>
      <c r="I8" s="46" t="str">
        <f>'All Solo Standards'!Q39</f>
        <v>323.99</v>
      </c>
      <c r="K8" s="59">
        <f>'All Solo Standards'!A67</f>
        <v>74</v>
      </c>
      <c r="L8" s="3" t="str">
        <f>'All Solo Standards'!J67</f>
        <v>33:38</v>
      </c>
      <c r="M8" s="3" t="str">
        <f>'All Solo Standards'!K67</f>
        <v>50:42</v>
      </c>
      <c r="N8" s="3" t="str">
        <f>'All Solo Standards'!L67</f>
        <v>1:25:19</v>
      </c>
      <c r="O8" s="3" t="str">
        <f>'All Solo Standards'!M67</f>
        <v>1:42:53</v>
      </c>
      <c r="P8" s="3" t="str">
        <f>'All Solo Standards'!N67</f>
        <v>2:54:56</v>
      </c>
      <c r="Q8" s="3" t="str">
        <f>'All Solo Standards'!O67</f>
        <v>6:08:46</v>
      </c>
      <c r="R8" s="47" t="str">
        <f>'All Solo Standards'!P67</f>
        <v>137.03</v>
      </c>
      <c r="S8" s="47" t="str">
        <f>'All Solo Standards'!Q67</f>
        <v>217.58</v>
      </c>
    </row>
    <row r="9" spans="1:19" x14ac:dyDescent="0.25">
      <c r="A9" s="4">
        <f>'All Solo Standards'!A40</f>
        <v>47</v>
      </c>
      <c r="B9" s="3" t="str">
        <f>'All Solo Standards'!J40</f>
        <v>28:49</v>
      </c>
      <c r="C9" s="3" t="str">
        <f>'All Solo Standards'!K40</f>
        <v>43:23</v>
      </c>
      <c r="D9" s="3" t="str">
        <f>'All Solo Standards'!L40</f>
        <v>1:12:49</v>
      </c>
      <c r="E9" s="3" t="str">
        <f>'All Solo Standards'!M40</f>
        <v>1:27:42</v>
      </c>
      <c r="F9" s="3" t="str">
        <f>'All Solo Standards'!N40</f>
        <v>2:28:17</v>
      </c>
      <c r="G9" s="3" t="str">
        <f>'All Solo Standards'!O40</f>
        <v>5:07:47</v>
      </c>
      <c r="H9" s="46" t="str">
        <f>'All Solo Standards'!P40</f>
        <v>191.29</v>
      </c>
      <c r="I9" s="46" t="str">
        <f>'All Solo Standards'!Q40</f>
        <v>322.37</v>
      </c>
      <c r="K9" s="59">
        <f>'All Solo Standards'!A68</f>
        <v>75</v>
      </c>
      <c r="L9" s="3" t="str">
        <f>'All Solo Standards'!J68</f>
        <v>33:55</v>
      </c>
      <c r="M9" s="3" t="str">
        <f>'All Solo Standards'!K68</f>
        <v>51:07</v>
      </c>
      <c r="N9" s="3" t="str">
        <f>'All Solo Standards'!L68</f>
        <v>1:26:03</v>
      </c>
      <c r="O9" s="3" t="str">
        <f>'All Solo Standards'!M68</f>
        <v>1:43:47</v>
      </c>
      <c r="P9" s="3" t="str">
        <f>'All Solo Standards'!N68</f>
        <v>2:56:32</v>
      </c>
      <c r="Q9" s="3" t="str">
        <f>'All Solo Standards'!O68</f>
        <v>6:12:33</v>
      </c>
      <c r="R9" s="47" t="str">
        <f>'All Solo Standards'!P68</f>
        <v>134.42</v>
      </c>
      <c r="S9" s="47" t="str">
        <f>'All Solo Standards'!Q68</f>
        <v>212.55</v>
      </c>
    </row>
    <row r="10" spans="1:19" x14ac:dyDescent="0.25">
      <c r="A10" s="4">
        <f>'All Solo Standards'!A41</f>
        <v>48</v>
      </c>
      <c r="B10" s="3" t="str">
        <f>'All Solo Standards'!J41</f>
        <v>28:51</v>
      </c>
      <c r="C10" s="3" t="str">
        <f>'All Solo Standards'!K41</f>
        <v>43:26</v>
      </c>
      <c r="D10" s="3" t="str">
        <f>'All Solo Standards'!L41</f>
        <v>1:12:55</v>
      </c>
      <c r="E10" s="3" t="str">
        <f>'All Solo Standards'!M41</f>
        <v>1:27:49</v>
      </c>
      <c r="F10" s="3" t="str">
        <f>'All Solo Standards'!N41</f>
        <v>2:28:30</v>
      </c>
      <c r="G10" s="3" t="str">
        <f>'All Solo Standards'!O41</f>
        <v>5:08:19</v>
      </c>
      <c r="H10" s="46" t="str">
        <f>'All Solo Standards'!P41</f>
        <v>190.54</v>
      </c>
      <c r="I10" s="46" t="str">
        <f>'All Solo Standards'!Q41</f>
        <v>320.62</v>
      </c>
      <c r="K10" s="59">
        <f>'All Solo Standards'!A69</f>
        <v>76</v>
      </c>
      <c r="L10" s="3" t="str">
        <f>'All Solo Standards'!J69</f>
        <v>34:12</v>
      </c>
      <c r="M10" s="3" t="str">
        <f>'All Solo Standards'!K69</f>
        <v>51:34</v>
      </c>
      <c r="N10" s="3" t="str">
        <f>'All Solo Standards'!L69</f>
        <v>1:26:49</v>
      </c>
      <c r="O10" s="3" t="str">
        <f>'All Solo Standards'!M69</f>
        <v>1:44:43</v>
      </c>
      <c r="P10" s="3" t="str">
        <f>'All Solo Standards'!N69</f>
        <v>2:58:12</v>
      </c>
      <c r="Q10" s="3" t="str">
        <f>'All Solo Standards'!O69</f>
        <v>6:16:32</v>
      </c>
      <c r="R10" s="47" t="str">
        <f>'All Solo Standards'!P69</f>
        <v>131.75</v>
      </c>
      <c r="S10" s="47" t="str">
        <f>'All Solo Standards'!Q69</f>
        <v>207.43</v>
      </c>
    </row>
    <row r="11" spans="1:19" x14ac:dyDescent="0.25">
      <c r="A11" s="4">
        <f>'All Solo Standards'!A42</f>
        <v>49</v>
      </c>
      <c r="B11" s="45" t="str">
        <f>'All Solo Standards'!J42</f>
        <v>28:54</v>
      </c>
      <c r="C11" s="45" t="str">
        <f>'All Solo Standards'!K42</f>
        <v>43:30</v>
      </c>
      <c r="D11" s="45" t="str">
        <f>'All Solo Standards'!L42</f>
        <v>1:13:02</v>
      </c>
      <c r="E11" s="45" t="str">
        <f>'All Solo Standards'!M42</f>
        <v>1:27:58</v>
      </c>
      <c r="F11" s="45" t="str">
        <f>'All Solo Standards'!N42</f>
        <v>2:28:45</v>
      </c>
      <c r="G11" s="45" t="str">
        <f>'All Solo Standards'!O42</f>
        <v>5:08:55</v>
      </c>
      <c r="H11" s="48" t="str">
        <f>'All Solo Standards'!P42</f>
        <v>189.72</v>
      </c>
      <c r="I11" s="48" t="str">
        <f>'All Solo Standards'!Q42</f>
        <v>318.72</v>
      </c>
      <c r="K11" s="59">
        <f>'All Solo Standards'!A70</f>
        <v>77</v>
      </c>
      <c r="L11" s="3" t="str">
        <f>'All Solo Standards'!J70</f>
        <v>34:31</v>
      </c>
      <c r="M11" s="3" t="str">
        <f>'All Solo Standards'!K70</f>
        <v>52:02</v>
      </c>
      <c r="N11" s="3" t="str">
        <f>'All Solo Standards'!L70</f>
        <v>1:27:37</v>
      </c>
      <c r="O11" s="3" t="str">
        <f>'All Solo Standards'!M70</f>
        <v>1:45:41</v>
      </c>
      <c r="P11" s="3" t="str">
        <f>'All Solo Standards'!N70</f>
        <v>2:59:56</v>
      </c>
      <c r="Q11" s="3" t="str">
        <f>'All Solo Standards'!O70</f>
        <v>6:20:41</v>
      </c>
      <c r="R11" s="47" t="str">
        <f>'All Solo Standards'!P70</f>
        <v>129.03</v>
      </c>
      <c r="S11" s="47" t="str">
        <f>'All Solo Standards'!Q70</f>
        <v>202.23</v>
      </c>
    </row>
    <row r="12" spans="1:19" x14ac:dyDescent="0.25">
      <c r="A12" s="4">
        <f>'All Solo Standards'!A43</f>
        <v>50</v>
      </c>
      <c r="B12" s="3" t="str">
        <f>'All Solo Standards'!J43</f>
        <v>28:57</v>
      </c>
      <c r="C12" s="3" t="str">
        <f>'All Solo Standards'!K43</f>
        <v>43:35</v>
      </c>
      <c r="D12" s="3" t="str">
        <f>'All Solo Standards'!L43</f>
        <v>1:13:10</v>
      </c>
      <c r="E12" s="3" t="str">
        <f>'All Solo Standards'!M43</f>
        <v>1:28:07</v>
      </c>
      <c r="F12" s="3" t="str">
        <f>'All Solo Standards'!N43</f>
        <v>2:29:03</v>
      </c>
      <c r="G12" s="3" t="str">
        <f>'All Solo Standards'!O43</f>
        <v>5:09:36</v>
      </c>
      <c r="H12" s="46" t="str">
        <f>'All Solo Standards'!P43</f>
        <v>188.80</v>
      </c>
      <c r="I12" s="46" t="str">
        <f>'All Solo Standards'!Q43</f>
        <v>316.66</v>
      </c>
      <c r="K12" s="59">
        <f>'All Solo Standards'!A71</f>
        <v>78</v>
      </c>
      <c r="L12" s="3" t="str">
        <f>'All Solo Standards'!J71</f>
        <v>34:50</v>
      </c>
      <c r="M12" s="3" t="str">
        <f>'All Solo Standards'!K71</f>
        <v>52:31</v>
      </c>
      <c r="N12" s="3" t="str">
        <f>'All Solo Standards'!L71</f>
        <v>1:28:27</v>
      </c>
      <c r="O12" s="3" t="str">
        <f>'All Solo Standards'!M71</f>
        <v>1:46:43</v>
      </c>
      <c r="P12" s="3" t="str">
        <f>'All Solo Standards'!N71</f>
        <v>3:01:45</v>
      </c>
      <c r="Q12" s="3" t="str">
        <f>'All Solo Standards'!O71</f>
        <v>6:25:04</v>
      </c>
      <c r="R12" s="47" t="str">
        <f>'All Solo Standards'!P71</f>
        <v>126.27</v>
      </c>
      <c r="S12" s="47" t="str">
        <f>'All Solo Standards'!Q71</f>
        <v>196.94</v>
      </c>
    </row>
    <row r="13" spans="1:19" x14ac:dyDescent="0.25">
      <c r="A13" s="4">
        <f>'All Solo Standards'!A44</f>
        <v>51</v>
      </c>
      <c r="B13" s="3" t="str">
        <f>'All Solo Standards'!J44</f>
        <v>29:01</v>
      </c>
      <c r="C13" s="3" t="str">
        <f>'All Solo Standards'!K44</f>
        <v>43:40</v>
      </c>
      <c r="D13" s="3" t="str">
        <f>'All Solo Standards'!L44</f>
        <v>1:13:19</v>
      </c>
      <c r="E13" s="3" t="str">
        <f>'All Solo Standards'!M44</f>
        <v>1:28:18</v>
      </c>
      <c r="F13" s="3" t="str">
        <f>'All Solo Standards'!N44</f>
        <v>2:29:22</v>
      </c>
      <c r="G13" s="3" t="str">
        <f>'All Solo Standards'!O44</f>
        <v>5:10:22</v>
      </c>
      <c r="H13" s="46" t="str">
        <f>'All Solo Standards'!P44</f>
        <v>187.80</v>
      </c>
      <c r="I13" s="46" t="str">
        <f>'All Solo Standards'!Q44</f>
        <v>314.43</v>
      </c>
      <c r="K13" s="59">
        <f>'All Solo Standards'!A72</f>
        <v>79</v>
      </c>
      <c r="L13" s="45" t="str">
        <f>'All Solo Standards'!J72</f>
        <v>35:10</v>
      </c>
      <c r="M13" s="45" t="str">
        <f>'All Solo Standards'!K72</f>
        <v>53:01</v>
      </c>
      <c r="N13" s="45" t="str">
        <f>'All Solo Standards'!L72</f>
        <v>1:29:19</v>
      </c>
      <c r="O13" s="45" t="str">
        <f>'All Solo Standards'!M72</f>
        <v>1:47:46</v>
      </c>
      <c r="P13" s="45" t="str">
        <f>'All Solo Standards'!N72</f>
        <v>3:03:39</v>
      </c>
      <c r="Q13" s="45" t="str">
        <f>'All Solo Standards'!O72</f>
        <v>6:29:40</v>
      </c>
      <c r="R13" s="49" t="str">
        <f>'All Solo Standards'!P72</f>
        <v>123.45</v>
      </c>
      <c r="S13" s="49" t="str">
        <f>'All Solo Standards'!Q72</f>
        <v>191.57</v>
      </c>
    </row>
    <row r="14" spans="1:19" x14ac:dyDescent="0.25">
      <c r="A14" s="4">
        <f>'All Solo Standards'!A45</f>
        <v>52</v>
      </c>
      <c r="B14" s="3" t="str">
        <f>'All Solo Standards'!J45</f>
        <v>29:04</v>
      </c>
      <c r="C14" s="3" t="str">
        <f>'All Solo Standards'!K45</f>
        <v>43:46</v>
      </c>
      <c r="D14" s="3" t="str">
        <f>'All Solo Standards'!L45</f>
        <v>1:13:29</v>
      </c>
      <c r="E14" s="3" t="str">
        <f>'All Solo Standards'!M45</f>
        <v>1:28:31</v>
      </c>
      <c r="F14" s="3" t="str">
        <f>'All Solo Standards'!N45</f>
        <v>2:29:45</v>
      </c>
      <c r="G14" s="3" t="str">
        <f>'All Solo Standards'!O45</f>
        <v>5:11:15</v>
      </c>
      <c r="H14" s="46" t="str">
        <f>'All Solo Standards'!P45</f>
        <v>186.71</v>
      </c>
      <c r="I14" s="46" t="str">
        <f>'All Solo Standards'!Q45</f>
        <v>312.04</v>
      </c>
      <c r="K14" s="59">
        <f>'All Solo Standards'!A73</f>
        <v>80</v>
      </c>
      <c r="L14" s="3" t="str">
        <f>'All Solo Standards'!J73</f>
        <v>35:30</v>
      </c>
      <c r="M14" s="3" t="str">
        <f>'All Solo Standards'!K73</f>
        <v>53:33</v>
      </c>
      <c r="N14" s="3" t="str">
        <f>'All Solo Standards'!L73</f>
        <v>1:30:14</v>
      </c>
      <c r="O14" s="3" t="str">
        <f>'All Solo Standards'!M73</f>
        <v>1:48:53</v>
      </c>
      <c r="P14" s="3" t="str">
        <f>'All Solo Standards'!N73</f>
        <v>3:05:39</v>
      </c>
      <c r="Q14" s="3" t="str">
        <f>'All Solo Standards'!O73</f>
        <v>6:34:30</v>
      </c>
      <c r="R14" s="47" t="str">
        <f>'All Solo Standards'!P73</f>
        <v>120.59</v>
      </c>
      <c r="S14" s="47" t="str">
        <f>'All Solo Standards'!Q73</f>
        <v>186.12</v>
      </c>
    </row>
    <row r="15" spans="1:19" x14ac:dyDescent="0.25">
      <c r="A15" s="4">
        <f>'All Solo Standards'!A46</f>
        <v>53</v>
      </c>
      <c r="B15" s="3" t="str">
        <f>'All Solo Standards'!J46</f>
        <v>29:09</v>
      </c>
      <c r="C15" s="3" t="str">
        <f>'All Solo Standards'!K46</f>
        <v>43:53</v>
      </c>
      <c r="D15" s="3" t="str">
        <f>'All Solo Standards'!L46</f>
        <v>1:13:41</v>
      </c>
      <c r="E15" s="3" t="str">
        <f>'All Solo Standards'!M46</f>
        <v>1:28:45</v>
      </c>
      <c r="F15" s="3" t="str">
        <f>'All Solo Standards'!N46</f>
        <v>2:30:10</v>
      </c>
      <c r="G15" s="3" t="str">
        <f>'All Solo Standards'!O46</f>
        <v>5:12:14</v>
      </c>
      <c r="H15" s="46" t="str">
        <f>'All Solo Standards'!P46</f>
        <v>185.51</v>
      </c>
      <c r="I15" s="46" t="str">
        <f>'All Solo Standards'!Q46</f>
        <v>309.47</v>
      </c>
      <c r="K15" s="59">
        <f>'All Solo Standards'!A74</f>
        <v>81</v>
      </c>
      <c r="L15" s="3" t="str">
        <f>'All Solo Standards'!J74</f>
        <v>35:52</v>
      </c>
      <c r="M15" s="3" t="str">
        <f>'All Solo Standards'!K74</f>
        <v>54:06</v>
      </c>
      <c r="N15" s="3" t="str">
        <f>'All Solo Standards'!L74</f>
        <v>1:31:11</v>
      </c>
      <c r="O15" s="3" t="str">
        <f>'All Solo Standards'!M74</f>
        <v>1:50:03</v>
      </c>
      <c r="P15" s="3" t="str">
        <f>'All Solo Standards'!N74</f>
        <v>3:07:44</v>
      </c>
      <c r="Q15" s="3" t="str">
        <f>'All Solo Standards'!O74</f>
        <v>6:39:36</v>
      </c>
      <c r="R15" s="47" t="str">
        <f>'All Solo Standards'!P74</f>
        <v>117.67</v>
      </c>
      <c r="S15" s="47" t="str">
        <f>'All Solo Standards'!Q74</f>
        <v>180.58</v>
      </c>
    </row>
    <row r="16" spans="1:19" x14ac:dyDescent="0.25">
      <c r="A16" s="4">
        <f>'All Solo Standards'!A47</f>
        <v>54</v>
      </c>
      <c r="B16" s="3" t="str">
        <f>'All Solo Standards'!J47</f>
        <v>29:14</v>
      </c>
      <c r="C16" s="3" t="str">
        <f>'All Solo Standards'!K47</f>
        <v>44:01</v>
      </c>
      <c r="D16" s="3" t="str">
        <f>'All Solo Standards'!L47</f>
        <v>1:13:54</v>
      </c>
      <c r="E16" s="3" t="str">
        <f>'All Solo Standards'!M47</f>
        <v>1:29:01</v>
      </c>
      <c r="F16" s="3" t="str">
        <f>'All Solo Standards'!N47</f>
        <v>2:30:38</v>
      </c>
      <c r="G16" s="3" t="str">
        <f>'All Solo Standards'!O47</f>
        <v>5:13:20</v>
      </c>
      <c r="H16" s="46" t="str">
        <f>'All Solo Standards'!P47</f>
        <v>184.21</v>
      </c>
      <c r="I16" s="46" t="str">
        <f>'All Solo Standards'!Q47</f>
        <v>306.71</v>
      </c>
      <c r="K16" s="59">
        <f>'All Solo Standards'!A75</f>
        <v>82</v>
      </c>
      <c r="L16" s="3" t="str">
        <f>'All Solo Standards'!J75</f>
        <v>36:15</v>
      </c>
      <c r="M16" s="3" t="str">
        <f>'All Solo Standards'!K75</f>
        <v>54:40</v>
      </c>
      <c r="N16" s="3" t="str">
        <f>'All Solo Standards'!L75</f>
        <v>1:32:11</v>
      </c>
      <c r="O16" s="3" t="str">
        <f>'All Solo Standards'!M75</f>
        <v>1:51:16</v>
      </c>
      <c r="P16" s="3" t="str">
        <f>'All Solo Standards'!N75</f>
        <v>3:09:56</v>
      </c>
      <c r="Q16" s="3" t="str">
        <f>'All Solo Standards'!O75</f>
        <v>6:45:00</v>
      </c>
      <c r="R16" s="47" t="str">
        <f>'All Solo Standards'!P75</f>
        <v>114.70</v>
      </c>
      <c r="S16" s="47" t="str">
        <f>'All Solo Standards'!Q75</f>
        <v>174.95</v>
      </c>
    </row>
    <row r="17" spans="1:20" x14ac:dyDescent="0.25">
      <c r="A17" s="4">
        <f>'All Solo Standards'!A48</f>
        <v>55</v>
      </c>
      <c r="B17" s="3" t="str">
        <f>'All Solo Standards'!J48</f>
        <v>29:20</v>
      </c>
      <c r="C17" s="3" t="str">
        <f>'All Solo Standards'!K48</f>
        <v>44:10</v>
      </c>
      <c r="D17" s="3" t="str">
        <f>'All Solo Standards'!L48</f>
        <v>1:14:09</v>
      </c>
      <c r="E17" s="3" t="str">
        <f>'All Solo Standards'!M48</f>
        <v>1:29:19</v>
      </c>
      <c r="F17" s="3" t="str">
        <f>'All Solo Standards'!N48</f>
        <v>2:31:11</v>
      </c>
      <c r="G17" s="3" t="str">
        <f>'All Solo Standards'!O48</f>
        <v>5:14:34</v>
      </c>
      <c r="H17" s="46" t="str">
        <f>'All Solo Standards'!P48</f>
        <v>182.79</v>
      </c>
      <c r="I17" s="46" t="str">
        <f>'All Solo Standards'!Q48</f>
        <v>303.76</v>
      </c>
      <c r="K17" s="59">
        <f>'All Solo Standards'!A76</f>
        <v>83</v>
      </c>
      <c r="L17" s="3" t="str">
        <f>'All Solo Standards'!J76</f>
        <v>36:38</v>
      </c>
      <c r="M17" s="3" t="str">
        <f>'All Solo Standards'!K76</f>
        <v>55:17</v>
      </c>
      <c r="N17" s="3" t="str">
        <f>'All Solo Standards'!L76</f>
        <v>1:33:13</v>
      </c>
      <c r="O17" s="3" t="str">
        <f>'All Solo Standards'!M76</f>
        <v>1:52:32</v>
      </c>
      <c r="P17" s="3" t="str">
        <f>'All Solo Standards'!N76</f>
        <v>3:12:14</v>
      </c>
      <c r="Q17" s="3" t="str">
        <f>'All Solo Standards'!O76</f>
        <v>6:50:41</v>
      </c>
      <c r="R17" s="47" t="str">
        <f>'All Solo Standards'!P76</f>
        <v>111.67</v>
      </c>
      <c r="S17" s="47" t="str">
        <f>'All Solo Standards'!Q76</f>
        <v>169.24</v>
      </c>
    </row>
    <row r="18" spans="1:20" x14ac:dyDescent="0.25">
      <c r="A18" s="4">
        <f>'All Solo Standards'!A49</f>
        <v>56</v>
      </c>
      <c r="B18" s="3" t="str">
        <f>'All Solo Standards'!J49</f>
        <v>29:26</v>
      </c>
      <c r="C18" s="3" t="str">
        <f>'All Solo Standards'!K49</f>
        <v>44:19</v>
      </c>
      <c r="D18" s="3" t="str">
        <f>'All Solo Standards'!L49</f>
        <v>1:14:26</v>
      </c>
      <c r="E18" s="3" t="str">
        <f>'All Solo Standards'!M49</f>
        <v>1:29:40</v>
      </c>
      <c r="F18" s="3" t="str">
        <f>'All Solo Standards'!N49</f>
        <v>2:31:47</v>
      </c>
      <c r="G18" s="3" t="str">
        <f>'All Solo Standards'!O49</f>
        <v>5:15:57</v>
      </c>
      <c r="H18" s="46" t="str">
        <f>'All Solo Standards'!P49</f>
        <v>181.25</v>
      </c>
      <c r="I18" s="46" t="str">
        <f>'All Solo Standards'!Q49</f>
        <v>300.62</v>
      </c>
      <c r="K18" s="59">
        <f>'All Solo Standards'!A77</f>
        <v>84</v>
      </c>
      <c r="L18" s="3" t="str">
        <f>'All Solo Standards'!J77</f>
        <v>37:03</v>
      </c>
      <c r="M18" s="3" t="str">
        <f>'All Solo Standards'!K77</f>
        <v>55:55</v>
      </c>
      <c r="N18" s="3" t="str">
        <f>'All Solo Standards'!L77</f>
        <v>1:34:19</v>
      </c>
      <c r="O18" s="3" t="str">
        <f>'All Solo Standards'!M77</f>
        <v>1:53:53</v>
      </c>
      <c r="P18" s="3" t="str">
        <f>'All Solo Standards'!N77</f>
        <v>3:14:39</v>
      </c>
      <c r="Q18" s="3" t="str">
        <f>'All Solo Standards'!O77</f>
        <v>6:56:43</v>
      </c>
      <c r="R18" s="47" t="str">
        <f>'All Solo Standards'!P77</f>
        <v>108.59</v>
      </c>
      <c r="S18" s="47" t="str">
        <f>'All Solo Standards'!Q77</f>
        <v>163.44</v>
      </c>
    </row>
    <row r="19" spans="1:20" x14ac:dyDescent="0.25">
      <c r="A19" s="4">
        <f>'All Solo Standards'!A50</f>
        <v>57</v>
      </c>
      <c r="B19" s="3" t="str">
        <f>'All Solo Standards'!J50</f>
        <v>29:34</v>
      </c>
      <c r="C19" s="3" t="str">
        <f>'All Solo Standards'!K50</f>
        <v>44:30</v>
      </c>
      <c r="D19" s="3" t="str">
        <f>'All Solo Standards'!L50</f>
        <v>1:14:45</v>
      </c>
      <c r="E19" s="3" t="str">
        <f>'All Solo Standards'!M50</f>
        <v>1:30:03</v>
      </c>
      <c r="F19" s="3" t="str">
        <f>'All Solo Standards'!N50</f>
        <v>2:32:27</v>
      </c>
      <c r="G19" s="3" t="str">
        <f>'All Solo Standards'!O50</f>
        <v>5:17:29</v>
      </c>
      <c r="H19" s="46" t="str">
        <f>'All Solo Standards'!P50</f>
        <v>179.58</v>
      </c>
      <c r="I19" s="46" t="str">
        <f>'All Solo Standards'!Q50</f>
        <v>297.27</v>
      </c>
      <c r="K19" s="59">
        <f>'All Solo Standards'!A78</f>
        <v>85</v>
      </c>
      <c r="L19" s="3" t="str">
        <f>'All Solo Standards'!J78</f>
        <v>37:29</v>
      </c>
      <c r="M19" s="3" t="str">
        <f>'All Solo Standards'!K78</f>
        <v>56:34</v>
      </c>
      <c r="N19" s="3" t="str">
        <f>'All Solo Standards'!L78</f>
        <v>1:35:28</v>
      </c>
      <c r="O19" s="3" t="str">
        <f>'All Solo Standards'!M78</f>
        <v>1:55:17</v>
      </c>
      <c r="P19" s="3" t="str">
        <f>'All Solo Standards'!N78</f>
        <v>3:17:12</v>
      </c>
      <c r="Q19" s="3" t="str">
        <f>'All Solo Standards'!O78</f>
        <v>7:03:07</v>
      </c>
      <c r="R19" s="47" t="str">
        <f>'All Solo Standards'!P78</f>
        <v>105.45</v>
      </c>
      <c r="S19" s="47" t="str">
        <f>'All Solo Standards'!Q78</f>
        <v>157.54</v>
      </c>
    </row>
    <row r="20" spans="1:20" x14ac:dyDescent="0.25">
      <c r="A20" s="4">
        <f>'All Solo Standards'!A51</f>
        <v>58</v>
      </c>
      <c r="B20" s="3" t="str">
        <f>'All Solo Standards'!J51</f>
        <v>29:42</v>
      </c>
      <c r="C20" s="3" t="str">
        <f>'All Solo Standards'!K51</f>
        <v>44:43</v>
      </c>
      <c r="D20" s="3" t="str">
        <f>'All Solo Standards'!L51</f>
        <v>1:15:06</v>
      </c>
      <c r="E20" s="3" t="str">
        <f>'All Solo Standards'!M51</f>
        <v>1:30:29</v>
      </c>
      <c r="F20" s="3" t="str">
        <f>'All Solo Standards'!N51</f>
        <v>2:33:12</v>
      </c>
      <c r="G20" s="3" t="str">
        <f>'All Solo Standards'!O51</f>
        <v>5:19:11</v>
      </c>
      <c r="H20" s="46" t="str">
        <f>'All Solo Standards'!P51</f>
        <v>177.79</v>
      </c>
      <c r="I20" s="46" t="str">
        <f>'All Solo Standards'!Q51</f>
        <v>293.72</v>
      </c>
      <c r="K20" s="59">
        <f>'All Solo Standards'!A79</f>
        <v>86</v>
      </c>
      <c r="L20" s="3" t="str">
        <f>'All Solo Standards'!J79</f>
        <v>37:56</v>
      </c>
      <c r="M20" s="3" t="str">
        <f>'All Solo Standards'!K79</f>
        <v>57:16</v>
      </c>
      <c r="N20" s="3" t="str">
        <f>'All Solo Standards'!L79</f>
        <v>1:36:41</v>
      </c>
      <c r="O20" s="3" t="str">
        <f>'All Solo Standards'!M79</f>
        <v>1:56:46</v>
      </c>
      <c r="P20" s="3" t="str">
        <f>'All Solo Standards'!N79</f>
        <v>3:19:54</v>
      </c>
      <c r="Q20" s="3" t="str">
        <f>'All Solo Standards'!O79</f>
        <v>7:09:55</v>
      </c>
      <c r="R20" s="47" t="str">
        <f>'All Solo Standards'!P79</f>
        <v>102.26</v>
      </c>
      <c r="S20" s="47" t="str">
        <f>'All Solo Standards'!Q79</f>
        <v>151.56</v>
      </c>
    </row>
    <row r="21" spans="1:20" x14ac:dyDescent="0.25">
      <c r="A21" s="4">
        <f>'All Solo Standards'!A52</f>
        <v>59</v>
      </c>
      <c r="B21" s="45" t="str">
        <f>'All Solo Standards'!J52</f>
        <v>29:51</v>
      </c>
      <c r="C21" s="45" t="str">
        <f>'All Solo Standards'!K52</f>
        <v>44:57</v>
      </c>
      <c r="D21" s="45" t="str">
        <f>'All Solo Standards'!L52</f>
        <v>1:15:30</v>
      </c>
      <c r="E21" s="45" t="str">
        <f>'All Solo Standards'!M52</f>
        <v>1:30:57</v>
      </c>
      <c r="F21" s="45" t="str">
        <f>'All Solo Standards'!N52</f>
        <v>2:34:02</v>
      </c>
      <c r="G21" s="45" t="str">
        <f>'All Solo Standards'!O52</f>
        <v>5:21:04</v>
      </c>
      <c r="H21" s="48" t="str">
        <f>'All Solo Standards'!P52</f>
        <v>175.86</v>
      </c>
      <c r="I21" s="48" t="str">
        <f>'All Solo Standards'!Q52</f>
        <v>289.95</v>
      </c>
      <c r="K21" s="59">
        <f>'All Solo Standards'!A80</f>
        <v>87</v>
      </c>
      <c r="L21" s="3" t="str">
        <f>'All Solo Standards'!J80</f>
        <v>38:25</v>
      </c>
      <c r="M21" s="3" t="str">
        <f>'All Solo Standards'!K80</f>
        <v>58:00</v>
      </c>
      <c r="N21" s="3" t="str">
        <f>'All Solo Standards'!L80</f>
        <v>1:37:57</v>
      </c>
      <c r="O21" s="3" t="str">
        <f>'All Solo Standards'!M80</f>
        <v>1:58:20</v>
      </c>
      <c r="P21" s="3" t="str">
        <f>'All Solo Standards'!N80</f>
        <v>3:22:44</v>
      </c>
      <c r="Q21" s="3" t="str">
        <f>'All Solo Standards'!O80</f>
        <v>7:17:10</v>
      </c>
      <c r="R21" s="47" t="str">
        <f>'All Solo Standards'!P80</f>
        <v>99.00</v>
      </c>
      <c r="S21" s="47" t="str">
        <f>'All Solo Standards'!Q80</f>
        <v>145.49</v>
      </c>
    </row>
    <row r="22" spans="1:20" x14ac:dyDescent="0.25">
      <c r="A22" s="4">
        <f>'All Solo Standards'!A53</f>
        <v>60</v>
      </c>
      <c r="B22" s="3" t="str">
        <f>'All Solo Standards'!J53</f>
        <v>30:01</v>
      </c>
      <c r="C22" s="3" t="str">
        <f>'All Solo Standards'!K53</f>
        <v>45:12</v>
      </c>
      <c r="D22" s="3" t="str">
        <f>'All Solo Standards'!L53</f>
        <v>1:15:56</v>
      </c>
      <c r="E22" s="3" t="str">
        <f>'All Solo Standards'!M53</f>
        <v>1:31:29</v>
      </c>
      <c r="F22" s="3" t="str">
        <f>'All Solo Standards'!N53</f>
        <v>2:34:57</v>
      </c>
      <c r="G22" s="3" t="str">
        <f>'All Solo Standards'!O53</f>
        <v>5:23:09</v>
      </c>
      <c r="H22" s="46" t="str">
        <f>'All Solo Standards'!P53</f>
        <v>173.79</v>
      </c>
      <c r="I22" s="46" t="str">
        <f>'All Solo Standards'!Q53</f>
        <v>285.97</v>
      </c>
      <c r="K22" s="59">
        <f>'All Solo Standards'!A81</f>
        <v>88</v>
      </c>
      <c r="L22" s="3" t="str">
        <f>'All Solo Standards'!J81</f>
        <v>38:55</v>
      </c>
      <c r="M22" s="3" t="str">
        <f>'All Solo Standards'!K81</f>
        <v>58:46</v>
      </c>
      <c r="N22" s="3" t="str">
        <f>'All Solo Standards'!L81</f>
        <v>1:39:17</v>
      </c>
      <c r="O22" s="3" t="str">
        <f>'All Solo Standards'!M81</f>
        <v>1:59:58</v>
      </c>
      <c r="P22" s="3" t="str">
        <f>'All Solo Standards'!N81</f>
        <v>3:25:45</v>
      </c>
      <c r="Q22" s="3" t="str">
        <f>'All Solo Standards'!O81</f>
        <v>7:24:55</v>
      </c>
      <c r="R22" s="47" t="str">
        <f>'All Solo Standards'!P81</f>
        <v>95.69</v>
      </c>
      <c r="S22" s="47" t="str">
        <f>'All Solo Standards'!Q81</f>
        <v>139.33</v>
      </c>
    </row>
    <row r="23" spans="1:20" x14ac:dyDescent="0.25">
      <c r="A23" s="4">
        <f>'All Solo Standards'!A54</f>
        <v>61</v>
      </c>
      <c r="B23" s="3" t="str">
        <f>'All Solo Standards'!J54</f>
        <v>30:12</v>
      </c>
      <c r="C23" s="3" t="str">
        <f>'All Solo Standards'!K54</f>
        <v>45:29</v>
      </c>
      <c r="D23" s="3" t="str">
        <f>'All Solo Standards'!L54</f>
        <v>1:16:25</v>
      </c>
      <c r="E23" s="3" t="str">
        <f>'All Solo Standards'!M54</f>
        <v>1:32:04</v>
      </c>
      <c r="F23" s="3" t="str">
        <f>'All Solo Standards'!N54</f>
        <v>2:35:58</v>
      </c>
      <c r="G23" s="3" t="str">
        <f>'All Solo Standards'!O54</f>
        <v>5:25:27</v>
      </c>
      <c r="H23" s="46" t="str">
        <f>'All Solo Standards'!P54</f>
        <v>171.58</v>
      </c>
      <c r="I23" s="46" t="str">
        <f>'All Solo Standards'!Q54</f>
        <v>281.77</v>
      </c>
      <c r="K23" s="59">
        <f>'All Solo Standards'!A82</f>
        <v>89</v>
      </c>
      <c r="L23" s="45" t="str">
        <f>'All Solo Standards'!J82</f>
        <v>39:27</v>
      </c>
      <c r="M23" s="45" t="str">
        <f>'All Solo Standards'!K82</f>
        <v>59:35</v>
      </c>
      <c r="N23" s="45" t="str">
        <f>'All Solo Standards'!L82</f>
        <v>1:40:42</v>
      </c>
      <c r="O23" s="45" t="str">
        <f>'All Solo Standards'!M82</f>
        <v>2:01:43</v>
      </c>
      <c r="P23" s="45" t="str">
        <f>'All Solo Standards'!N82</f>
        <v>3:28:56</v>
      </c>
      <c r="Q23" s="45" t="str">
        <f>'All Solo Standards'!O82</f>
        <v>7:33:13</v>
      </c>
      <c r="R23" s="49" t="str">
        <f>'All Solo Standards'!P82</f>
        <v>92.31</v>
      </c>
      <c r="S23" s="49" t="str">
        <f>'All Solo Standards'!Q82</f>
        <v>133.07</v>
      </c>
    </row>
    <row r="24" spans="1:20" x14ac:dyDescent="0.25">
      <c r="A24" s="4">
        <f>'All Solo Standards'!A55</f>
        <v>62</v>
      </c>
      <c r="B24" s="3" t="str">
        <f>'All Solo Standards'!J55</f>
        <v>30:24</v>
      </c>
      <c r="C24" s="3" t="str">
        <f>'All Solo Standards'!K55</f>
        <v>45:48</v>
      </c>
      <c r="D24" s="3" t="str">
        <f>'All Solo Standards'!L55</f>
        <v>1:16:57</v>
      </c>
      <c r="E24" s="3" t="str">
        <f>'All Solo Standards'!M55</f>
        <v>1:32:43</v>
      </c>
      <c r="F24" s="3" t="str">
        <f>'All Solo Standards'!N55</f>
        <v>2:37:06</v>
      </c>
      <c r="G24" s="3" t="str">
        <f>'All Solo Standards'!O55</f>
        <v>5:27:58</v>
      </c>
      <c r="H24" s="46" t="str">
        <f>'All Solo Standards'!P55</f>
        <v>169.22</v>
      </c>
      <c r="I24" s="46" t="str">
        <f>'All Solo Standards'!Q55</f>
        <v>277.36</v>
      </c>
      <c r="K24" s="59">
        <f>'All Solo Standards'!A83</f>
        <v>90</v>
      </c>
      <c r="L24" s="3" t="str">
        <f>'All Solo Standards'!J83</f>
        <v>40:00</v>
      </c>
      <c r="M24" s="3" t="str">
        <f>'All Solo Standards'!K83</f>
        <v>1:00:26</v>
      </c>
      <c r="N24" s="3" t="str">
        <f>'All Solo Standards'!L83</f>
        <v>1:42:12</v>
      </c>
      <c r="O24" s="3" t="str">
        <f>'All Solo Standards'!M83</f>
        <v>2:03:33</v>
      </c>
      <c r="P24" s="3" t="str">
        <f>'All Solo Standards'!N83</f>
        <v>3:32:19</v>
      </c>
      <c r="Q24" s="3" t="str">
        <f>'All Solo Standards'!O83</f>
        <v>7:42:07</v>
      </c>
      <c r="R24" s="47" t="str">
        <f>'All Solo Standards'!P83</f>
        <v>88.87</v>
      </c>
      <c r="S24" s="47" t="str">
        <f>'All Solo Standards'!Q83</f>
        <v>126.71</v>
      </c>
    </row>
    <row r="25" spans="1:20" x14ac:dyDescent="0.25">
      <c r="A25" s="4">
        <f>'All Solo Standards'!A56</f>
        <v>63</v>
      </c>
      <c r="B25" s="3" t="str">
        <f>'All Solo Standards'!J56</f>
        <v>30:38</v>
      </c>
      <c r="C25" s="3" t="str">
        <f>'All Solo Standards'!K56</f>
        <v>46:08</v>
      </c>
      <c r="D25" s="3" t="str">
        <f>'All Solo Standards'!L56</f>
        <v>1:17:32</v>
      </c>
      <c r="E25" s="3" t="str">
        <f>'All Solo Standards'!M56</f>
        <v>1:33:25</v>
      </c>
      <c r="F25" s="3" t="str">
        <f>'All Solo Standards'!N56</f>
        <v>2:38:20</v>
      </c>
      <c r="G25" s="3" t="str">
        <f>'All Solo Standards'!O56</f>
        <v>5:30:45</v>
      </c>
      <c r="H25" s="46" t="str">
        <f>'All Solo Standards'!P56</f>
        <v>166.71</v>
      </c>
      <c r="I25" s="46" t="str">
        <f>'All Solo Standards'!Q56</f>
        <v>272.71</v>
      </c>
      <c r="K25" s="59">
        <f>'All Solo Standards'!A84</f>
        <v>91</v>
      </c>
      <c r="L25" s="3" t="str">
        <f>'All Solo Standards'!J84</f>
        <v>40:36</v>
      </c>
      <c r="M25" s="3" t="str">
        <f>'All Solo Standards'!K84</f>
        <v>1:01:21</v>
      </c>
      <c r="N25" s="3" t="str">
        <f>'All Solo Standards'!L84</f>
        <v>1:43:47</v>
      </c>
      <c r="O25" s="3" t="str">
        <f>'All Solo Standards'!M84</f>
        <v>2:05:30</v>
      </c>
      <c r="P25" s="3" t="str">
        <f>'All Solo Standards'!N84</f>
        <v>3:35:56</v>
      </c>
      <c r="Q25" s="3" t="str">
        <f>'All Solo Standards'!O84</f>
        <v>7:51:43</v>
      </c>
      <c r="R25" s="47" t="str">
        <f>'All Solo Standards'!P84</f>
        <v>85.36</v>
      </c>
      <c r="S25" s="47" t="str">
        <f>'All Solo Standards'!Q84</f>
        <v>120.26</v>
      </c>
    </row>
    <row r="26" spans="1:20" x14ac:dyDescent="0.25">
      <c r="A26" s="4">
        <f>'All Solo Standards'!A57</f>
        <v>64</v>
      </c>
      <c r="B26" s="3" t="str">
        <f>'All Solo Standards'!J57</f>
        <v>30:53</v>
      </c>
      <c r="C26" s="3" t="str">
        <f>'All Solo Standards'!K57</f>
        <v>46:31</v>
      </c>
      <c r="D26" s="3" t="str">
        <f>'All Solo Standards'!L57</f>
        <v>1:18:10</v>
      </c>
      <c r="E26" s="3" t="str">
        <f>'All Solo Standards'!M57</f>
        <v>1:34:12</v>
      </c>
      <c r="F26" s="3" t="str">
        <f>'All Solo Standards'!N57</f>
        <v>2:39:42</v>
      </c>
      <c r="G26" s="3" t="str">
        <f>'All Solo Standards'!O57</f>
        <v>5:33:48</v>
      </c>
      <c r="H26" s="46" t="str">
        <f>'All Solo Standards'!P57</f>
        <v>164.05</v>
      </c>
      <c r="I26" s="46" t="str">
        <f>'All Solo Standards'!Q57</f>
        <v>267.84</v>
      </c>
      <c r="K26" s="59">
        <f>'All Solo Standards'!A85</f>
        <v>92</v>
      </c>
      <c r="L26" s="3" t="str">
        <f>'All Solo Standards'!J85</f>
        <v>41:13</v>
      </c>
      <c r="M26" s="3" t="str">
        <f>'All Solo Standards'!K85</f>
        <v>1:02:18</v>
      </c>
      <c r="N26" s="3" t="str">
        <f>'All Solo Standards'!L85</f>
        <v>1:45:29</v>
      </c>
      <c r="O26" s="3" t="str">
        <f>'All Solo Standards'!M85</f>
        <v>2:07:35</v>
      </c>
      <c r="P26" s="3" t="str">
        <f>'All Solo Standards'!N85</f>
        <v>3:39:47</v>
      </c>
      <c r="Q26" s="3" t="str">
        <f>'All Solo Standards'!O85</f>
        <v>8:02:06</v>
      </c>
      <c r="R26" s="47" t="str">
        <f>'All Solo Standards'!P85</f>
        <v>81.78</v>
      </c>
      <c r="S26" s="47" t="str">
        <f>'All Solo Standards'!Q85</f>
        <v>113.71</v>
      </c>
    </row>
    <row r="27" spans="1:20" x14ac:dyDescent="0.25">
      <c r="A27" s="4">
        <f>'All Solo Standards'!A58</f>
        <v>65</v>
      </c>
      <c r="B27" s="3" t="str">
        <f>'All Solo Standards'!J58</f>
        <v>31:09</v>
      </c>
      <c r="C27" s="3" t="str">
        <f>'All Solo Standards'!K58</f>
        <v>46:56</v>
      </c>
      <c r="D27" s="3" t="str">
        <f>'All Solo Standards'!L58</f>
        <v>1:18:53</v>
      </c>
      <c r="E27" s="3" t="str">
        <f>'All Solo Standards'!M58</f>
        <v>1:35:04</v>
      </c>
      <c r="F27" s="3" t="str">
        <f>'All Solo Standards'!N58</f>
        <v>2:41:11</v>
      </c>
      <c r="G27" s="3" t="str">
        <f>'All Solo Standards'!O58</f>
        <v>5:37:09</v>
      </c>
      <c r="H27" s="46" t="str">
        <f>'All Solo Standards'!P58</f>
        <v>161.22</v>
      </c>
      <c r="I27" s="46" t="str">
        <f>'All Solo Standards'!Q58</f>
        <v>262.75</v>
      </c>
      <c r="K27" s="59">
        <f>'All Solo Standards'!A86</f>
        <v>93</v>
      </c>
      <c r="L27" s="3" t="str">
        <f>'All Solo Standards'!J86</f>
        <v>41:53</v>
      </c>
      <c r="M27" s="3" t="str">
        <f>'All Solo Standards'!K86</f>
        <v>1:03:20</v>
      </c>
      <c r="N27" s="3" t="str">
        <f>'All Solo Standards'!L86</f>
        <v>1:47:16</v>
      </c>
      <c r="O27" s="3" t="str">
        <f>'All Solo Standards'!M86</f>
        <v>2:09:48</v>
      </c>
      <c r="P27" s="3" t="str">
        <f>'All Solo Standards'!N86</f>
        <v>3:43:54</v>
      </c>
      <c r="Q27" s="3" t="str">
        <f>'All Solo Standards'!O86</f>
        <v>8:13:22</v>
      </c>
      <c r="R27" s="47" t="str">
        <f>'All Solo Standards'!P86</f>
        <v>78.13</v>
      </c>
      <c r="S27" s="47" t="str">
        <f>'All Solo Standards'!Q86</f>
        <v>107.05</v>
      </c>
    </row>
    <row r="28" spans="1:20" x14ac:dyDescent="0.25">
      <c r="A28" s="4">
        <f>'All Solo Standards'!A59</f>
        <v>66</v>
      </c>
      <c r="B28" s="3" t="str">
        <f>'All Solo Standards'!J59</f>
        <v>31:28</v>
      </c>
      <c r="C28" s="3" t="str">
        <f>'All Solo Standards'!K59</f>
        <v>47:23</v>
      </c>
      <c r="D28" s="3" t="str">
        <f>'All Solo Standards'!L59</f>
        <v>1:19:40</v>
      </c>
      <c r="E28" s="3" t="str">
        <f>'All Solo Standards'!M59</f>
        <v>1:36:00</v>
      </c>
      <c r="F28" s="3" t="str">
        <f>'All Solo Standards'!N59</f>
        <v>2:42:50</v>
      </c>
      <c r="G28" s="3" t="str">
        <f>'All Solo Standards'!O59</f>
        <v>5:40:49</v>
      </c>
      <c r="H28" s="46" t="str">
        <f>'All Solo Standards'!P59</f>
        <v>158.24</v>
      </c>
      <c r="I28" s="46" t="str">
        <f>'All Solo Standards'!Q59</f>
        <v>257.42</v>
      </c>
      <c r="K28" s="59">
        <f>'All Solo Standards'!A87</f>
        <v>94</v>
      </c>
      <c r="L28" s="3" t="str">
        <f>'All Solo Standards'!J87</f>
        <v>42:35</v>
      </c>
      <c r="M28" s="3" t="str">
        <f>'All Solo Standards'!K87</f>
        <v>1:04:25</v>
      </c>
      <c r="N28" s="3" t="str">
        <f>'All Solo Standards'!L87</f>
        <v>1:49:11</v>
      </c>
      <c r="O28" s="3" t="str">
        <f>'All Solo Standards'!M87</f>
        <v>2:12:09</v>
      </c>
      <c r="P28" s="3" t="str">
        <f>'All Solo Standards'!N87</f>
        <v>3:48:19</v>
      </c>
      <c r="Q28" s="3" t="str">
        <f>'All Solo Standards'!O87</f>
        <v>8:25:40</v>
      </c>
      <c r="R28" s="47" t="str">
        <f>'All Solo Standards'!P87</f>
        <v>74.40</v>
      </c>
      <c r="S28" s="47" t="str">
        <f>'All Solo Standards'!Q87</f>
        <v>100.29</v>
      </c>
    </row>
    <row r="29" spans="1:20" x14ac:dyDescent="0.25">
      <c r="A29" s="4">
        <f>'All Solo Standards'!A60</f>
        <v>67</v>
      </c>
      <c r="B29" s="3" t="str">
        <f>'All Solo Standards'!J60</f>
        <v>31:47</v>
      </c>
      <c r="C29" s="3" t="str">
        <f>'All Solo Standards'!K60</f>
        <v>47:53</v>
      </c>
      <c r="D29" s="3" t="str">
        <f>'All Solo Standards'!L60</f>
        <v>1:20:31</v>
      </c>
      <c r="E29" s="3" t="str">
        <f>'All Solo Standards'!M60</f>
        <v>1:37:02</v>
      </c>
      <c r="F29" s="3" t="str">
        <f>'All Solo Standards'!N60</f>
        <v>2:44:38</v>
      </c>
      <c r="G29" s="3" t="str">
        <f>'All Solo Standards'!O60</f>
        <v>5:44:50</v>
      </c>
      <c r="H29" s="46" t="str">
        <f>'All Solo Standards'!P60</f>
        <v>155.09</v>
      </c>
      <c r="I29" s="46" t="str">
        <f>'All Solo Standards'!Q60</f>
        <v>251.87</v>
      </c>
      <c r="K29" s="59">
        <f>'All Solo Standards'!A88</f>
        <v>95</v>
      </c>
      <c r="L29" s="3" t="str">
        <f>'All Solo Standards'!J88</f>
        <v>43:21</v>
      </c>
      <c r="M29" s="3" t="str">
        <f>'All Solo Standards'!K88</f>
        <v>1:05:35</v>
      </c>
      <c r="N29" s="3" t="str">
        <f>'All Solo Standards'!L88</f>
        <v>1:51:14</v>
      </c>
      <c r="O29" s="3" t="str">
        <f>'All Solo Standards'!M88</f>
        <v>2:14:41</v>
      </c>
      <c r="P29" s="3" t="str">
        <f>'All Solo Standards'!N88</f>
        <v>3:53:05</v>
      </c>
      <c r="Q29" s="3" t="str">
        <f>'All Solo Standards'!O88</f>
        <v>8:39:08</v>
      </c>
      <c r="R29" s="47" t="str">
        <f>'All Solo Standards'!P88</f>
        <v>70.59</v>
      </c>
      <c r="S29" s="47" t="str">
        <f>'All Solo Standards'!Q88</f>
        <v>93.43</v>
      </c>
      <c r="T29" s="29">
        <f>Revision</f>
        <v>2024</v>
      </c>
    </row>
    <row r="31" spans="1:20" x14ac:dyDescent="0.25">
      <c r="R31" s="2"/>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row r="73" spans="1:1" x14ac:dyDescent="0.25">
      <c r="A73" s="5"/>
    </row>
    <row r="74" spans="1:1" x14ac:dyDescent="0.25">
      <c r="A74" s="5"/>
    </row>
    <row r="75" spans="1:1" x14ac:dyDescent="0.25">
      <c r="A75" s="5"/>
    </row>
    <row r="76" spans="1:1" x14ac:dyDescent="0.25">
      <c r="A76" s="5"/>
    </row>
    <row r="77" spans="1:1" x14ac:dyDescent="0.25">
      <c r="A77" s="5"/>
    </row>
    <row r="78" spans="1:1" x14ac:dyDescent="0.25">
      <c r="A78" s="5"/>
    </row>
    <row r="79" spans="1:1" x14ac:dyDescent="0.25">
      <c r="A79" s="5"/>
    </row>
    <row r="80" spans="1:1" x14ac:dyDescent="0.25">
      <c r="A80" s="5"/>
    </row>
    <row r="81" spans="1:1" x14ac:dyDescent="0.25">
      <c r="A81" s="5"/>
    </row>
    <row r="82" spans="1:1" x14ac:dyDescent="0.25">
      <c r="A82" s="5"/>
    </row>
    <row r="83" spans="1:1" x14ac:dyDescent="0.25">
      <c r="A83" s="5"/>
    </row>
    <row r="84" spans="1:1" x14ac:dyDescent="0.25">
      <c r="A84" s="5"/>
    </row>
    <row r="85" spans="1:1" x14ac:dyDescent="0.25">
      <c r="A85" s="5"/>
    </row>
    <row r="86" spans="1:1" x14ac:dyDescent="0.25">
      <c r="A86" s="5"/>
    </row>
    <row r="87" spans="1:1" x14ac:dyDescent="0.25">
      <c r="A87" s="5"/>
    </row>
    <row r="88" spans="1:1" x14ac:dyDescent="0.25">
      <c r="A88" s="5"/>
    </row>
    <row r="89" spans="1:1" x14ac:dyDescent="0.25">
      <c r="A89" s="5"/>
    </row>
    <row r="90" spans="1:1" x14ac:dyDescent="0.25">
      <c r="A90" s="5"/>
    </row>
    <row r="91" spans="1:1" x14ac:dyDescent="0.25">
      <c r="A91" s="5"/>
    </row>
    <row r="92" spans="1:1" x14ac:dyDescent="0.25">
      <c r="A92" s="5"/>
    </row>
    <row r="93" spans="1:1" x14ac:dyDescent="0.25">
      <c r="A93" s="5"/>
    </row>
    <row r="94" spans="1:1" x14ac:dyDescent="0.25">
      <c r="A94" s="5"/>
    </row>
    <row r="95" spans="1:1" x14ac:dyDescent="0.25">
      <c r="A95" s="5"/>
    </row>
    <row r="96" spans="1:1" x14ac:dyDescent="0.25">
      <c r="A96" s="5"/>
    </row>
    <row r="97" spans="1:1" x14ac:dyDescent="0.25">
      <c r="A97" s="5"/>
    </row>
    <row r="98" spans="1:1" x14ac:dyDescent="0.25">
      <c r="A98" s="5"/>
    </row>
    <row r="99" spans="1:1" x14ac:dyDescent="0.25">
      <c r="A99" s="5"/>
    </row>
    <row r="100" spans="1:1" x14ac:dyDescent="0.25">
      <c r="A100" s="5"/>
    </row>
    <row r="101" spans="1:1" x14ac:dyDescent="0.25">
      <c r="A101" s="5"/>
    </row>
    <row r="102" spans="1:1" x14ac:dyDescent="0.25">
      <c r="A102" s="5"/>
    </row>
    <row r="103" spans="1:1" x14ac:dyDescent="0.25">
      <c r="A103" s="5"/>
    </row>
    <row r="104" spans="1:1" x14ac:dyDescent="0.25">
      <c r="A104" s="5"/>
    </row>
    <row r="105" spans="1:1" x14ac:dyDescent="0.25">
      <c r="A105" s="5"/>
    </row>
    <row r="106" spans="1:1" x14ac:dyDescent="0.25">
      <c r="A106" s="5"/>
    </row>
    <row r="107" spans="1:1" x14ac:dyDescent="0.25">
      <c r="A107" s="5"/>
    </row>
    <row r="108" spans="1:1" x14ac:dyDescent="0.25">
      <c r="A108" s="5"/>
    </row>
    <row r="109" spans="1:1" x14ac:dyDescent="0.25">
      <c r="A109" s="5"/>
    </row>
    <row r="110" spans="1:1" x14ac:dyDescent="0.25">
      <c r="A110" s="5"/>
    </row>
    <row r="111" spans="1:1" x14ac:dyDescent="0.25">
      <c r="A111" s="5"/>
    </row>
    <row r="112" spans="1:1" x14ac:dyDescent="0.25">
      <c r="A112" s="5"/>
    </row>
    <row r="113" spans="1:1" x14ac:dyDescent="0.25">
      <c r="A113" s="5"/>
    </row>
    <row r="114" spans="1:1" x14ac:dyDescent="0.25">
      <c r="A114" s="5"/>
    </row>
    <row r="115" spans="1:1" x14ac:dyDescent="0.25">
      <c r="A115" s="5"/>
    </row>
    <row r="116" spans="1:1" x14ac:dyDescent="0.25">
      <c r="A116" s="5"/>
    </row>
    <row r="117" spans="1:1" x14ac:dyDescent="0.25">
      <c r="A117" s="5"/>
    </row>
    <row r="118" spans="1:1" x14ac:dyDescent="0.25">
      <c r="A118" s="5"/>
    </row>
    <row r="119" spans="1:1" x14ac:dyDescent="0.25">
      <c r="A119" s="5"/>
    </row>
    <row r="120" spans="1:1" x14ac:dyDescent="0.25">
      <c r="A120" s="5"/>
    </row>
    <row r="121" spans="1:1" x14ac:dyDescent="0.25">
      <c r="A121" s="5"/>
    </row>
    <row r="122" spans="1:1" x14ac:dyDescent="0.25">
      <c r="A122" s="5"/>
    </row>
    <row r="123" spans="1:1" x14ac:dyDescent="0.25">
      <c r="A123" s="5"/>
    </row>
    <row r="124" spans="1:1" x14ac:dyDescent="0.25">
      <c r="A124" s="5"/>
    </row>
    <row r="125" spans="1:1" x14ac:dyDescent="0.25">
      <c r="A125" s="5"/>
    </row>
    <row r="126" spans="1:1" x14ac:dyDescent="0.25">
      <c r="A126" s="5"/>
    </row>
    <row r="127" spans="1:1" x14ac:dyDescent="0.25">
      <c r="A127" s="5"/>
    </row>
    <row r="128" spans="1:1" x14ac:dyDescent="0.25">
      <c r="A128" s="5"/>
    </row>
    <row r="129" spans="1:1" x14ac:dyDescent="0.25">
      <c r="A129" s="5"/>
    </row>
    <row r="130" spans="1:1" x14ac:dyDescent="0.25">
      <c r="A130" s="5"/>
    </row>
    <row r="131" spans="1:1" x14ac:dyDescent="0.25">
      <c r="A131" s="5"/>
    </row>
    <row r="132" spans="1:1" x14ac:dyDescent="0.25">
      <c r="A132" s="5"/>
    </row>
    <row r="133" spans="1:1" x14ac:dyDescent="0.25">
      <c r="A133" s="5"/>
    </row>
    <row r="134" spans="1:1" x14ac:dyDescent="0.25">
      <c r="A134" s="5"/>
    </row>
    <row r="135" spans="1:1" x14ac:dyDescent="0.25">
      <c r="A135" s="5"/>
    </row>
    <row r="136" spans="1:1" x14ac:dyDescent="0.25">
      <c r="A136" s="5"/>
    </row>
    <row r="137" spans="1:1" x14ac:dyDescent="0.25">
      <c r="A137" s="5"/>
    </row>
    <row r="138" spans="1:1" x14ac:dyDescent="0.25">
      <c r="A138" s="5"/>
    </row>
    <row r="139" spans="1:1" x14ac:dyDescent="0.25">
      <c r="A139" s="5"/>
    </row>
    <row r="140" spans="1:1" x14ac:dyDescent="0.25">
      <c r="A140" s="5"/>
    </row>
    <row r="141" spans="1:1" x14ac:dyDescent="0.25">
      <c r="A141" s="5"/>
    </row>
    <row r="142" spans="1:1" x14ac:dyDescent="0.25">
      <c r="A142" s="5"/>
    </row>
    <row r="143" spans="1:1" x14ac:dyDescent="0.25">
      <c r="A143" s="5"/>
    </row>
    <row r="144" spans="1:1" x14ac:dyDescent="0.25">
      <c r="A144" s="5"/>
    </row>
    <row r="145" spans="1:1" x14ac:dyDescent="0.25">
      <c r="A145" s="5"/>
    </row>
    <row r="146" spans="1:1" x14ac:dyDescent="0.25">
      <c r="A146" s="5"/>
    </row>
    <row r="147" spans="1:1" x14ac:dyDescent="0.25">
      <c r="A147" s="5"/>
    </row>
    <row r="148" spans="1:1" x14ac:dyDescent="0.25">
      <c r="A148" s="5"/>
    </row>
    <row r="149" spans="1:1" x14ac:dyDescent="0.25">
      <c r="A149" s="5"/>
    </row>
    <row r="150" spans="1:1" x14ac:dyDescent="0.25">
      <c r="A150" s="5"/>
    </row>
    <row r="151" spans="1:1" x14ac:dyDescent="0.25">
      <c r="A151" s="5"/>
    </row>
    <row r="152" spans="1:1" x14ac:dyDescent="0.25">
      <c r="A152" s="5"/>
    </row>
    <row r="153" spans="1:1" x14ac:dyDescent="0.25">
      <c r="A153" s="5"/>
    </row>
    <row r="154" spans="1:1" x14ac:dyDescent="0.25">
      <c r="A154" s="5"/>
    </row>
    <row r="155" spans="1:1" x14ac:dyDescent="0.25">
      <c r="A155" s="5"/>
    </row>
    <row r="156" spans="1:1" x14ac:dyDescent="0.25">
      <c r="A156" s="5"/>
    </row>
    <row r="157" spans="1:1" x14ac:dyDescent="0.25">
      <c r="A157" s="5"/>
    </row>
    <row r="158" spans="1:1" x14ac:dyDescent="0.25">
      <c r="A158" s="5"/>
    </row>
    <row r="159" spans="1:1" x14ac:dyDescent="0.25">
      <c r="A159" s="5"/>
    </row>
    <row r="160" spans="1:1" x14ac:dyDescent="0.25">
      <c r="A160" s="5"/>
    </row>
    <row r="161" spans="1:1" x14ac:dyDescent="0.25">
      <c r="A161" s="5"/>
    </row>
    <row r="162" spans="1:1" x14ac:dyDescent="0.25">
      <c r="A162" s="5"/>
    </row>
    <row r="163" spans="1:1" x14ac:dyDescent="0.25">
      <c r="A163" s="5"/>
    </row>
    <row r="164" spans="1:1" x14ac:dyDescent="0.25">
      <c r="A164" s="5"/>
    </row>
    <row r="165" spans="1:1" x14ac:dyDescent="0.25">
      <c r="A165" s="5"/>
    </row>
    <row r="166" spans="1:1" x14ac:dyDescent="0.25">
      <c r="A166" s="5"/>
    </row>
    <row r="167" spans="1:1" x14ac:dyDescent="0.25">
      <c r="A167" s="5"/>
    </row>
    <row r="168" spans="1:1" x14ac:dyDescent="0.25">
      <c r="A168" s="5"/>
    </row>
    <row r="169" spans="1:1" x14ac:dyDescent="0.25">
      <c r="A169" s="5"/>
    </row>
    <row r="170" spans="1:1" x14ac:dyDescent="0.25">
      <c r="A170" s="5"/>
    </row>
    <row r="171" spans="1:1" x14ac:dyDescent="0.25">
      <c r="A171" s="5"/>
    </row>
    <row r="172" spans="1:1" x14ac:dyDescent="0.25">
      <c r="A172" s="5"/>
    </row>
    <row r="173" spans="1:1" x14ac:dyDescent="0.25">
      <c r="A173" s="5"/>
    </row>
    <row r="174" spans="1:1" x14ac:dyDescent="0.25">
      <c r="A174" s="5"/>
    </row>
    <row r="175" spans="1:1" x14ac:dyDescent="0.25">
      <c r="A175" s="5"/>
    </row>
    <row r="176" spans="1:1" x14ac:dyDescent="0.25">
      <c r="A176" s="5"/>
    </row>
    <row r="177" spans="1:1" x14ac:dyDescent="0.25">
      <c r="A177" s="5"/>
    </row>
    <row r="178" spans="1:1" x14ac:dyDescent="0.25">
      <c r="A178" s="5"/>
    </row>
    <row r="179" spans="1:1" x14ac:dyDescent="0.25">
      <c r="A179" s="5"/>
    </row>
    <row r="180" spans="1:1" x14ac:dyDescent="0.25">
      <c r="A180" s="5"/>
    </row>
    <row r="181" spans="1:1" x14ac:dyDescent="0.25">
      <c r="A181" s="5"/>
    </row>
    <row r="182" spans="1:1" x14ac:dyDescent="0.25">
      <c r="A182" s="5"/>
    </row>
    <row r="183" spans="1:1" x14ac:dyDescent="0.25">
      <c r="A183" s="5"/>
    </row>
    <row r="184" spans="1:1" x14ac:dyDescent="0.25">
      <c r="A184" s="5"/>
    </row>
    <row r="185" spans="1:1" x14ac:dyDescent="0.25">
      <c r="A185" s="5"/>
    </row>
    <row r="186" spans="1:1" x14ac:dyDescent="0.25">
      <c r="A186" s="5"/>
    </row>
    <row r="187" spans="1:1" x14ac:dyDescent="0.25">
      <c r="A187" s="5"/>
    </row>
    <row r="188" spans="1:1" x14ac:dyDescent="0.25">
      <c r="A188" s="5"/>
    </row>
    <row r="189" spans="1:1" x14ac:dyDescent="0.25">
      <c r="A189" s="5"/>
    </row>
    <row r="190" spans="1:1" x14ac:dyDescent="0.25">
      <c r="A190" s="5"/>
    </row>
    <row r="191" spans="1:1" x14ac:dyDescent="0.25">
      <c r="A191" s="5"/>
    </row>
    <row r="192" spans="1:1" x14ac:dyDescent="0.25">
      <c r="A192" s="5"/>
    </row>
    <row r="193" spans="1:1" x14ac:dyDescent="0.25">
      <c r="A193" s="5"/>
    </row>
    <row r="194" spans="1:1" x14ac:dyDescent="0.25">
      <c r="A194" s="5"/>
    </row>
    <row r="195" spans="1:1" x14ac:dyDescent="0.25">
      <c r="A195" s="5"/>
    </row>
    <row r="196" spans="1:1" x14ac:dyDescent="0.25">
      <c r="A196" s="5"/>
    </row>
    <row r="197" spans="1:1" x14ac:dyDescent="0.25">
      <c r="A197" s="5"/>
    </row>
    <row r="198" spans="1:1" x14ac:dyDescent="0.25">
      <c r="A198" s="5"/>
    </row>
    <row r="199" spans="1:1" x14ac:dyDescent="0.25">
      <c r="A199" s="5"/>
    </row>
    <row r="200" spans="1:1" x14ac:dyDescent="0.25">
      <c r="A200" s="5"/>
    </row>
    <row r="201" spans="1:1" x14ac:dyDescent="0.25">
      <c r="A201" s="5"/>
    </row>
    <row r="202" spans="1:1" x14ac:dyDescent="0.25">
      <c r="A202" s="5"/>
    </row>
    <row r="203" spans="1:1" x14ac:dyDescent="0.25">
      <c r="A203" s="5"/>
    </row>
    <row r="204" spans="1:1" x14ac:dyDescent="0.25">
      <c r="A204" s="5"/>
    </row>
    <row r="205" spans="1:1" x14ac:dyDescent="0.25">
      <c r="A205" s="5"/>
    </row>
    <row r="206" spans="1:1" x14ac:dyDescent="0.25">
      <c r="A206" s="5"/>
    </row>
    <row r="207" spans="1:1" x14ac:dyDescent="0.25">
      <c r="A207" s="5"/>
    </row>
    <row r="208" spans="1:1" x14ac:dyDescent="0.25">
      <c r="A208" s="5"/>
    </row>
    <row r="209" spans="1:1" x14ac:dyDescent="0.25">
      <c r="A209" s="5"/>
    </row>
    <row r="210" spans="1:1" x14ac:dyDescent="0.25">
      <c r="A210" s="5"/>
    </row>
    <row r="211" spans="1:1" x14ac:dyDescent="0.25">
      <c r="A211" s="5"/>
    </row>
    <row r="212" spans="1:1" x14ac:dyDescent="0.25">
      <c r="A212" s="5"/>
    </row>
    <row r="213" spans="1:1" x14ac:dyDescent="0.25">
      <c r="A213" s="5"/>
    </row>
    <row r="214" spans="1:1" x14ac:dyDescent="0.25">
      <c r="A214" s="5"/>
    </row>
    <row r="215" spans="1:1" x14ac:dyDescent="0.25">
      <c r="A215" s="5"/>
    </row>
    <row r="216" spans="1:1" x14ac:dyDescent="0.25">
      <c r="A216" s="5"/>
    </row>
    <row r="217" spans="1:1" x14ac:dyDescent="0.25">
      <c r="A217" s="5"/>
    </row>
    <row r="218" spans="1:1" x14ac:dyDescent="0.25">
      <c r="A218" s="5"/>
    </row>
    <row r="219" spans="1:1" x14ac:dyDescent="0.25">
      <c r="A219" s="5"/>
    </row>
    <row r="220" spans="1:1" x14ac:dyDescent="0.25">
      <c r="A220" s="5"/>
    </row>
    <row r="221" spans="1:1" x14ac:dyDescent="0.25">
      <c r="A221" s="5"/>
    </row>
    <row r="222" spans="1:1" x14ac:dyDescent="0.25">
      <c r="A222" s="5"/>
    </row>
    <row r="223" spans="1:1" x14ac:dyDescent="0.25">
      <c r="A223" s="5"/>
    </row>
    <row r="224" spans="1:1" x14ac:dyDescent="0.25">
      <c r="A224" s="5"/>
    </row>
    <row r="225" spans="1:1" x14ac:dyDescent="0.25">
      <c r="A225" s="5"/>
    </row>
    <row r="226" spans="1:1" x14ac:dyDescent="0.25">
      <c r="A226" s="5"/>
    </row>
    <row r="227" spans="1:1" x14ac:dyDescent="0.25">
      <c r="A227" s="5"/>
    </row>
    <row r="228" spans="1:1" x14ac:dyDescent="0.25">
      <c r="A228" s="5"/>
    </row>
    <row r="229" spans="1:1" x14ac:dyDescent="0.25">
      <c r="A229" s="5"/>
    </row>
    <row r="230" spans="1:1" x14ac:dyDescent="0.25">
      <c r="A230" s="5"/>
    </row>
    <row r="231" spans="1:1" x14ac:dyDescent="0.25">
      <c r="A231" s="5"/>
    </row>
    <row r="232" spans="1:1" x14ac:dyDescent="0.25">
      <c r="A232" s="5"/>
    </row>
    <row r="233" spans="1:1" x14ac:dyDescent="0.25">
      <c r="A233" s="5"/>
    </row>
    <row r="234" spans="1:1" x14ac:dyDescent="0.25">
      <c r="A234" s="5"/>
    </row>
    <row r="235" spans="1:1" x14ac:dyDescent="0.25">
      <c r="A235" s="5"/>
    </row>
    <row r="236" spans="1:1" x14ac:dyDescent="0.25">
      <c r="A236" s="5"/>
    </row>
    <row r="237" spans="1:1" x14ac:dyDescent="0.25">
      <c r="A237" s="5"/>
    </row>
    <row r="238" spans="1:1" x14ac:dyDescent="0.25">
      <c r="A238" s="5"/>
    </row>
    <row r="239" spans="1:1" x14ac:dyDescent="0.25">
      <c r="A239" s="5"/>
    </row>
    <row r="240" spans="1:1" x14ac:dyDescent="0.25">
      <c r="A240" s="5"/>
    </row>
    <row r="241" spans="1:1" x14ac:dyDescent="0.25">
      <c r="A241" s="5"/>
    </row>
    <row r="242" spans="1:1" x14ac:dyDescent="0.25">
      <c r="A242" s="5"/>
    </row>
    <row r="243" spans="1:1" x14ac:dyDescent="0.25">
      <c r="A243" s="5"/>
    </row>
    <row r="244" spans="1:1" x14ac:dyDescent="0.25">
      <c r="A244" s="5"/>
    </row>
    <row r="245" spans="1:1" x14ac:dyDescent="0.25">
      <c r="A245" s="5"/>
    </row>
    <row r="246" spans="1:1" x14ac:dyDescent="0.25">
      <c r="A246" s="5"/>
    </row>
    <row r="247" spans="1:1" x14ac:dyDescent="0.25">
      <c r="A247" s="5"/>
    </row>
    <row r="248" spans="1:1" x14ac:dyDescent="0.25">
      <c r="A248" s="5"/>
    </row>
    <row r="249" spans="1:1" x14ac:dyDescent="0.25">
      <c r="A249" s="5"/>
    </row>
    <row r="250" spans="1:1" x14ac:dyDescent="0.25">
      <c r="A250" s="5"/>
    </row>
    <row r="251" spans="1:1" x14ac:dyDescent="0.25">
      <c r="A251" s="5"/>
    </row>
    <row r="252" spans="1:1" x14ac:dyDescent="0.25">
      <c r="A252" s="5"/>
    </row>
    <row r="253" spans="1:1" x14ac:dyDescent="0.25">
      <c r="A253" s="5"/>
    </row>
    <row r="254" spans="1:1" x14ac:dyDescent="0.25">
      <c r="A254" s="5"/>
    </row>
    <row r="255" spans="1:1" x14ac:dyDescent="0.25">
      <c r="A255" s="5"/>
    </row>
    <row r="256" spans="1:1" x14ac:dyDescent="0.25">
      <c r="A256" s="5"/>
    </row>
    <row r="257" spans="1:1" x14ac:dyDescent="0.25">
      <c r="A257" s="5"/>
    </row>
    <row r="258" spans="1:1" x14ac:dyDescent="0.25">
      <c r="A258" s="5"/>
    </row>
    <row r="259" spans="1:1" x14ac:dyDescent="0.25">
      <c r="A259" s="5"/>
    </row>
    <row r="260" spans="1:1" x14ac:dyDescent="0.25">
      <c r="A260" s="5"/>
    </row>
    <row r="261" spans="1:1" x14ac:dyDescent="0.25">
      <c r="A261" s="5"/>
    </row>
    <row r="262" spans="1:1" x14ac:dyDescent="0.25">
      <c r="A262" s="5"/>
    </row>
    <row r="263" spans="1:1" x14ac:dyDescent="0.25">
      <c r="A263" s="5"/>
    </row>
    <row r="264" spans="1:1" x14ac:dyDescent="0.25">
      <c r="A264" s="5"/>
    </row>
    <row r="265" spans="1:1" x14ac:dyDescent="0.25">
      <c r="A265" s="5"/>
    </row>
    <row r="266" spans="1:1" x14ac:dyDescent="0.25">
      <c r="A266" s="5"/>
    </row>
    <row r="267" spans="1:1" x14ac:dyDescent="0.25">
      <c r="A267" s="5"/>
    </row>
    <row r="268" spans="1:1" x14ac:dyDescent="0.25">
      <c r="A268" s="5"/>
    </row>
    <row r="269" spans="1:1" x14ac:dyDescent="0.25">
      <c r="A269" s="5"/>
    </row>
    <row r="270" spans="1:1" x14ac:dyDescent="0.25">
      <c r="A270" s="5"/>
    </row>
    <row r="271" spans="1:1" x14ac:dyDescent="0.25">
      <c r="A271" s="5"/>
    </row>
    <row r="272" spans="1:1" x14ac:dyDescent="0.25">
      <c r="A272" s="5"/>
    </row>
    <row r="273" spans="1:1" x14ac:dyDescent="0.25">
      <c r="A273" s="5"/>
    </row>
    <row r="274" spans="1:1" x14ac:dyDescent="0.25">
      <c r="A274" s="5"/>
    </row>
    <row r="275" spans="1:1" x14ac:dyDescent="0.25">
      <c r="A275" s="5"/>
    </row>
    <row r="276" spans="1:1" x14ac:dyDescent="0.25">
      <c r="A276" s="5"/>
    </row>
    <row r="277" spans="1:1" x14ac:dyDescent="0.25">
      <c r="A277" s="5"/>
    </row>
    <row r="278" spans="1:1" x14ac:dyDescent="0.25">
      <c r="A278" s="5"/>
    </row>
    <row r="279" spans="1:1" x14ac:dyDescent="0.25">
      <c r="A279" s="5"/>
    </row>
    <row r="280" spans="1:1" x14ac:dyDescent="0.25">
      <c r="A280" s="5"/>
    </row>
    <row r="281" spans="1:1" x14ac:dyDescent="0.25">
      <c r="A281" s="5"/>
    </row>
    <row r="282" spans="1:1" x14ac:dyDescent="0.25">
      <c r="A282" s="5"/>
    </row>
    <row r="283" spans="1:1" x14ac:dyDescent="0.25">
      <c r="A283" s="5"/>
    </row>
    <row r="284" spans="1:1" x14ac:dyDescent="0.25">
      <c r="A284" s="5"/>
    </row>
    <row r="285" spans="1:1" x14ac:dyDescent="0.25">
      <c r="A285" s="5"/>
    </row>
    <row r="286" spans="1:1" x14ac:dyDescent="0.25">
      <c r="A286" s="5"/>
    </row>
    <row r="287" spans="1:1" x14ac:dyDescent="0.25">
      <c r="A287" s="5"/>
    </row>
    <row r="288" spans="1:1" x14ac:dyDescent="0.25">
      <c r="A288" s="5"/>
    </row>
    <row r="289" spans="1:1" x14ac:dyDescent="0.25">
      <c r="A289" s="5"/>
    </row>
    <row r="290" spans="1:1" x14ac:dyDescent="0.25">
      <c r="A290" s="5"/>
    </row>
    <row r="291" spans="1:1" x14ac:dyDescent="0.25">
      <c r="A291" s="5"/>
    </row>
    <row r="292" spans="1:1" x14ac:dyDescent="0.25">
      <c r="A292" s="5"/>
    </row>
    <row r="293" spans="1:1" x14ac:dyDescent="0.25">
      <c r="A293" s="5"/>
    </row>
    <row r="294" spans="1:1" x14ac:dyDescent="0.25">
      <c r="A294" s="5"/>
    </row>
    <row r="295" spans="1:1" x14ac:dyDescent="0.25">
      <c r="A295" s="5"/>
    </row>
    <row r="296" spans="1:1" x14ac:dyDescent="0.25">
      <c r="A296" s="5"/>
    </row>
    <row r="297" spans="1:1" x14ac:dyDescent="0.25">
      <c r="A297" s="5"/>
    </row>
    <row r="298" spans="1:1" x14ac:dyDescent="0.25">
      <c r="A298" s="5"/>
    </row>
    <row r="299" spans="1:1" x14ac:dyDescent="0.25">
      <c r="A299" s="5"/>
    </row>
    <row r="300" spans="1:1" x14ac:dyDescent="0.25">
      <c r="A300" s="5"/>
    </row>
    <row r="301" spans="1:1" x14ac:dyDescent="0.25">
      <c r="A301" s="5"/>
    </row>
    <row r="302" spans="1:1" x14ac:dyDescent="0.25">
      <c r="A302" s="5"/>
    </row>
    <row r="303" spans="1:1" x14ac:dyDescent="0.25">
      <c r="A303" s="5"/>
    </row>
    <row r="304" spans="1:1" x14ac:dyDescent="0.25">
      <c r="A304" s="5"/>
    </row>
    <row r="305" spans="1:1" x14ac:dyDescent="0.25">
      <c r="A305" s="5"/>
    </row>
    <row r="306" spans="1:1" x14ac:dyDescent="0.25">
      <c r="A306" s="5"/>
    </row>
    <row r="307" spans="1:1" x14ac:dyDescent="0.25">
      <c r="A307" s="5"/>
    </row>
    <row r="308" spans="1:1" x14ac:dyDescent="0.25">
      <c r="A308" s="5"/>
    </row>
    <row r="309" spans="1:1" x14ac:dyDescent="0.25">
      <c r="A309" s="5"/>
    </row>
    <row r="310" spans="1:1" x14ac:dyDescent="0.25">
      <c r="A310" s="5"/>
    </row>
    <row r="311" spans="1:1" x14ac:dyDescent="0.25">
      <c r="A311" s="5"/>
    </row>
    <row r="312" spans="1:1" x14ac:dyDescent="0.25">
      <c r="A312" s="5"/>
    </row>
    <row r="313" spans="1:1" x14ac:dyDescent="0.25">
      <c r="A313" s="5"/>
    </row>
    <row r="314" spans="1:1" x14ac:dyDescent="0.25">
      <c r="A314" s="5"/>
    </row>
    <row r="315" spans="1:1" x14ac:dyDescent="0.25">
      <c r="A315" s="5"/>
    </row>
    <row r="316" spans="1:1" x14ac:dyDescent="0.25">
      <c r="A316" s="5"/>
    </row>
    <row r="317" spans="1:1" x14ac:dyDescent="0.25">
      <c r="A317" s="5"/>
    </row>
    <row r="318" spans="1:1" x14ac:dyDescent="0.25">
      <c r="A318" s="5"/>
    </row>
    <row r="319" spans="1:1" x14ac:dyDescent="0.25">
      <c r="A319" s="5"/>
    </row>
    <row r="320" spans="1:1" x14ac:dyDescent="0.25">
      <c r="A320" s="5"/>
    </row>
    <row r="321" spans="1:1" x14ac:dyDescent="0.25">
      <c r="A321" s="5"/>
    </row>
    <row r="322" spans="1:1" x14ac:dyDescent="0.25">
      <c r="A322" s="5"/>
    </row>
    <row r="323" spans="1:1" x14ac:dyDescent="0.25">
      <c r="A323" s="5"/>
    </row>
    <row r="324" spans="1:1" x14ac:dyDescent="0.25">
      <c r="A324" s="5"/>
    </row>
    <row r="325" spans="1:1" x14ac:dyDescent="0.25">
      <c r="A325" s="5"/>
    </row>
    <row r="326" spans="1:1" x14ac:dyDescent="0.25">
      <c r="A326" s="5"/>
    </row>
    <row r="327" spans="1:1" x14ac:dyDescent="0.25">
      <c r="A327" s="5"/>
    </row>
    <row r="328" spans="1:1" x14ac:dyDescent="0.25">
      <c r="A328" s="5"/>
    </row>
    <row r="329" spans="1:1" x14ac:dyDescent="0.25">
      <c r="A329" s="5"/>
    </row>
    <row r="330" spans="1:1" x14ac:dyDescent="0.25">
      <c r="A330" s="5"/>
    </row>
    <row r="331" spans="1:1" x14ac:dyDescent="0.25">
      <c r="A331" s="5"/>
    </row>
    <row r="332" spans="1:1" x14ac:dyDescent="0.25">
      <c r="A332" s="5"/>
    </row>
    <row r="333" spans="1:1" x14ac:dyDescent="0.25">
      <c r="A333" s="5"/>
    </row>
    <row r="334" spans="1:1" x14ac:dyDescent="0.25">
      <c r="A334" s="5"/>
    </row>
    <row r="335" spans="1:1" x14ac:dyDescent="0.25">
      <c r="A335" s="5"/>
    </row>
    <row r="336" spans="1:1" x14ac:dyDescent="0.25">
      <c r="A336" s="5"/>
    </row>
    <row r="337" spans="1:1" x14ac:dyDescent="0.25">
      <c r="A337" s="5"/>
    </row>
    <row r="338" spans="1:1" x14ac:dyDescent="0.25">
      <c r="A338" s="5"/>
    </row>
    <row r="339" spans="1:1" x14ac:dyDescent="0.25">
      <c r="A339" s="5"/>
    </row>
    <row r="340" spans="1:1" x14ac:dyDescent="0.25">
      <c r="A340" s="5"/>
    </row>
    <row r="341" spans="1:1" x14ac:dyDescent="0.25">
      <c r="A341" s="5"/>
    </row>
    <row r="342" spans="1:1" x14ac:dyDescent="0.25">
      <c r="A342" s="5"/>
    </row>
    <row r="343" spans="1:1" x14ac:dyDescent="0.25">
      <c r="A343" s="5"/>
    </row>
    <row r="344" spans="1:1" x14ac:dyDescent="0.25">
      <c r="A344" s="5"/>
    </row>
    <row r="345" spans="1:1" x14ac:dyDescent="0.25">
      <c r="A345" s="5"/>
    </row>
    <row r="346" spans="1:1" x14ac:dyDescent="0.25">
      <c r="A346" s="5"/>
    </row>
    <row r="347" spans="1:1" x14ac:dyDescent="0.25">
      <c r="A347" s="5"/>
    </row>
    <row r="348" spans="1:1" x14ac:dyDescent="0.25">
      <c r="A348" s="5"/>
    </row>
    <row r="349" spans="1:1" x14ac:dyDescent="0.25">
      <c r="A349" s="5"/>
    </row>
    <row r="350" spans="1:1" x14ac:dyDescent="0.25">
      <c r="A350" s="5"/>
    </row>
    <row r="351" spans="1:1" x14ac:dyDescent="0.25">
      <c r="A351" s="5"/>
    </row>
    <row r="352" spans="1:1" x14ac:dyDescent="0.25">
      <c r="A352" s="5"/>
    </row>
    <row r="353" spans="1:1" x14ac:dyDescent="0.25">
      <c r="A353" s="5"/>
    </row>
    <row r="354" spans="1:1" x14ac:dyDescent="0.25">
      <c r="A354" s="5"/>
    </row>
    <row r="355" spans="1:1" x14ac:dyDescent="0.25">
      <c r="A355" s="5"/>
    </row>
    <row r="356" spans="1:1" x14ac:dyDescent="0.25">
      <c r="A356" s="5"/>
    </row>
    <row r="357" spans="1:1" x14ac:dyDescent="0.25">
      <c r="A357" s="5"/>
    </row>
    <row r="358" spans="1:1" x14ac:dyDescent="0.25">
      <c r="A358" s="5"/>
    </row>
    <row r="359" spans="1:1" x14ac:dyDescent="0.25">
      <c r="A359" s="5"/>
    </row>
    <row r="360" spans="1:1" x14ac:dyDescent="0.25">
      <c r="A360" s="5"/>
    </row>
    <row r="361" spans="1:1" x14ac:dyDescent="0.25">
      <c r="A361" s="5"/>
    </row>
    <row r="362" spans="1:1" x14ac:dyDescent="0.25">
      <c r="A362" s="5"/>
    </row>
    <row r="363" spans="1:1" x14ac:dyDescent="0.25">
      <c r="A363" s="5"/>
    </row>
    <row r="364" spans="1:1" x14ac:dyDescent="0.25">
      <c r="A364" s="5"/>
    </row>
    <row r="365" spans="1:1" x14ac:dyDescent="0.25">
      <c r="A365" s="5"/>
    </row>
    <row r="366" spans="1:1" x14ac:dyDescent="0.25">
      <c r="A366" s="5"/>
    </row>
    <row r="367" spans="1:1" x14ac:dyDescent="0.25">
      <c r="A367" s="5"/>
    </row>
    <row r="368" spans="1:1" x14ac:dyDescent="0.25">
      <c r="A368" s="5"/>
    </row>
    <row r="369" spans="1:1" x14ac:dyDescent="0.25">
      <c r="A369" s="5"/>
    </row>
    <row r="370" spans="1:1" x14ac:dyDescent="0.25">
      <c r="A370" s="5"/>
    </row>
    <row r="371" spans="1:1" x14ac:dyDescent="0.25">
      <c r="A371" s="5"/>
    </row>
    <row r="372" spans="1:1" x14ac:dyDescent="0.25">
      <c r="A372" s="5"/>
    </row>
    <row r="373" spans="1:1" x14ac:dyDescent="0.25">
      <c r="A373" s="5"/>
    </row>
    <row r="374" spans="1:1" x14ac:dyDescent="0.25">
      <c r="A374" s="5"/>
    </row>
    <row r="375" spans="1:1" x14ac:dyDescent="0.25">
      <c r="A375" s="5"/>
    </row>
    <row r="376" spans="1:1" x14ac:dyDescent="0.25">
      <c r="A376" s="5"/>
    </row>
    <row r="377" spans="1:1" x14ac:dyDescent="0.25">
      <c r="A377" s="5"/>
    </row>
    <row r="378" spans="1:1" x14ac:dyDescent="0.25">
      <c r="A378" s="5"/>
    </row>
    <row r="379" spans="1:1" x14ac:dyDescent="0.25">
      <c r="A379" s="5"/>
    </row>
    <row r="380" spans="1:1" x14ac:dyDescent="0.25">
      <c r="A380" s="5"/>
    </row>
    <row r="381" spans="1:1" x14ac:dyDescent="0.25">
      <c r="A381" s="5"/>
    </row>
    <row r="382" spans="1:1" x14ac:dyDescent="0.25">
      <c r="A382" s="5"/>
    </row>
    <row r="383" spans="1:1" x14ac:dyDescent="0.25">
      <c r="A383" s="5"/>
    </row>
    <row r="384" spans="1:1" x14ac:dyDescent="0.25">
      <c r="A384" s="5"/>
    </row>
    <row r="385" spans="1:1" x14ac:dyDescent="0.25">
      <c r="A385" s="5"/>
    </row>
    <row r="386" spans="1:1" x14ac:dyDescent="0.25">
      <c r="A386" s="5"/>
    </row>
    <row r="387" spans="1:1" x14ac:dyDescent="0.25">
      <c r="A387" s="5"/>
    </row>
    <row r="388" spans="1:1" x14ac:dyDescent="0.25">
      <c r="A388" s="5"/>
    </row>
    <row r="389" spans="1:1" x14ac:dyDescent="0.25">
      <c r="A389" s="5"/>
    </row>
    <row r="390" spans="1:1" x14ac:dyDescent="0.25">
      <c r="A390" s="5"/>
    </row>
    <row r="391" spans="1:1" x14ac:dyDescent="0.25">
      <c r="A391" s="5"/>
    </row>
    <row r="392" spans="1:1" x14ac:dyDescent="0.25">
      <c r="A392" s="5"/>
    </row>
    <row r="393" spans="1:1" x14ac:dyDescent="0.25">
      <c r="A393" s="5"/>
    </row>
    <row r="394" spans="1:1" x14ac:dyDescent="0.25">
      <c r="A394" s="5"/>
    </row>
    <row r="395" spans="1:1" x14ac:dyDescent="0.25">
      <c r="A395" s="5"/>
    </row>
    <row r="396" spans="1:1" x14ac:dyDescent="0.25">
      <c r="A396" s="5"/>
    </row>
    <row r="397" spans="1:1" x14ac:dyDescent="0.25">
      <c r="A397" s="5"/>
    </row>
    <row r="398" spans="1:1" x14ac:dyDescent="0.25">
      <c r="A398" s="5"/>
    </row>
    <row r="399" spans="1:1" x14ac:dyDescent="0.25">
      <c r="A399" s="5"/>
    </row>
    <row r="400" spans="1:1" x14ac:dyDescent="0.25">
      <c r="A400" s="5"/>
    </row>
    <row r="401" spans="1:1" x14ac:dyDescent="0.25">
      <c r="A401" s="5"/>
    </row>
    <row r="402" spans="1:1" x14ac:dyDescent="0.25">
      <c r="A402" s="5"/>
    </row>
    <row r="403" spans="1:1" x14ac:dyDescent="0.25">
      <c r="A403" s="5"/>
    </row>
    <row r="404" spans="1:1" x14ac:dyDescent="0.25">
      <c r="A404" s="5"/>
    </row>
    <row r="405" spans="1:1" x14ac:dyDescent="0.25">
      <c r="A405" s="5"/>
    </row>
    <row r="406" spans="1:1" x14ac:dyDescent="0.25">
      <c r="A406" s="5"/>
    </row>
    <row r="407" spans="1:1" x14ac:dyDescent="0.25">
      <c r="A407" s="5"/>
    </row>
    <row r="408" spans="1:1" x14ac:dyDescent="0.25">
      <c r="A408" s="5"/>
    </row>
    <row r="409" spans="1:1" x14ac:dyDescent="0.25">
      <c r="A409" s="5"/>
    </row>
    <row r="410" spans="1:1" x14ac:dyDescent="0.25">
      <c r="A410" s="5"/>
    </row>
    <row r="411" spans="1:1" x14ac:dyDescent="0.25">
      <c r="A411" s="5"/>
    </row>
    <row r="412" spans="1:1" x14ac:dyDescent="0.25">
      <c r="A412" s="5"/>
    </row>
    <row r="413" spans="1:1" x14ac:dyDescent="0.25">
      <c r="A413" s="5"/>
    </row>
    <row r="414" spans="1:1" x14ac:dyDescent="0.25">
      <c r="A414" s="5"/>
    </row>
    <row r="415" spans="1:1" x14ac:dyDescent="0.25">
      <c r="A415" s="5"/>
    </row>
    <row r="416" spans="1:1" x14ac:dyDescent="0.25">
      <c r="A416" s="5"/>
    </row>
    <row r="417" spans="1:1" x14ac:dyDescent="0.25">
      <c r="A417" s="5"/>
    </row>
    <row r="418" spans="1:1" x14ac:dyDescent="0.25">
      <c r="A418" s="5"/>
    </row>
    <row r="419" spans="1:1" x14ac:dyDescent="0.25">
      <c r="A419" s="5"/>
    </row>
    <row r="420" spans="1:1" x14ac:dyDescent="0.25">
      <c r="A420" s="5"/>
    </row>
    <row r="421" spans="1:1" x14ac:dyDescent="0.25">
      <c r="A421" s="5"/>
    </row>
    <row r="422" spans="1:1" x14ac:dyDescent="0.25">
      <c r="A422" s="5"/>
    </row>
    <row r="423" spans="1:1" x14ac:dyDescent="0.25">
      <c r="A423" s="5"/>
    </row>
    <row r="424" spans="1:1" x14ac:dyDescent="0.25">
      <c r="A424" s="5"/>
    </row>
    <row r="425" spans="1:1" x14ac:dyDescent="0.25">
      <c r="A425" s="5"/>
    </row>
    <row r="426" spans="1:1" x14ac:dyDescent="0.25">
      <c r="A426" s="5"/>
    </row>
    <row r="427" spans="1:1" x14ac:dyDescent="0.25">
      <c r="A427" s="5"/>
    </row>
    <row r="428" spans="1:1" x14ac:dyDescent="0.25">
      <c r="A428" s="5"/>
    </row>
    <row r="429" spans="1:1" x14ac:dyDescent="0.25">
      <c r="A429" s="5"/>
    </row>
    <row r="430" spans="1:1" x14ac:dyDescent="0.25">
      <c r="A430" s="5"/>
    </row>
    <row r="431" spans="1:1" x14ac:dyDescent="0.25">
      <c r="A431" s="5"/>
    </row>
    <row r="432" spans="1:1" x14ac:dyDescent="0.25">
      <c r="A432" s="5"/>
    </row>
    <row r="433" spans="1:1" x14ac:dyDescent="0.25">
      <c r="A433" s="5"/>
    </row>
    <row r="434" spans="1:1" x14ac:dyDescent="0.25">
      <c r="A434" s="5"/>
    </row>
    <row r="435" spans="1:1" x14ac:dyDescent="0.25">
      <c r="A435" s="5"/>
    </row>
    <row r="436" spans="1:1" x14ac:dyDescent="0.25">
      <c r="A436" s="5"/>
    </row>
    <row r="437" spans="1:1" x14ac:dyDescent="0.25">
      <c r="A437" s="5"/>
    </row>
    <row r="438" spans="1:1" x14ac:dyDescent="0.25">
      <c r="A438" s="5"/>
    </row>
    <row r="439" spans="1:1" x14ac:dyDescent="0.25">
      <c r="A439" s="5"/>
    </row>
    <row r="440" spans="1:1" x14ac:dyDescent="0.25">
      <c r="A440" s="5"/>
    </row>
    <row r="441" spans="1:1" x14ac:dyDescent="0.25">
      <c r="A441" s="5"/>
    </row>
    <row r="442" spans="1:1" x14ac:dyDescent="0.25">
      <c r="A442" s="5"/>
    </row>
    <row r="443" spans="1:1" x14ac:dyDescent="0.25">
      <c r="A443" s="5"/>
    </row>
    <row r="444" spans="1:1" x14ac:dyDescent="0.25">
      <c r="A444" s="5"/>
    </row>
    <row r="445" spans="1:1" x14ac:dyDescent="0.25">
      <c r="A445" s="5"/>
    </row>
    <row r="446" spans="1:1" x14ac:dyDescent="0.25">
      <c r="A446" s="5"/>
    </row>
    <row r="447" spans="1:1" x14ac:dyDescent="0.25">
      <c r="A447" s="5"/>
    </row>
    <row r="448" spans="1:1" x14ac:dyDescent="0.25">
      <c r="A448" s="5"/>
    </row>
    <row r="449" spans="1:1" x14ac:dyDescent="0.25">
      <c r="A449" s="5"/>
    </row>
    <row r="450" spans="1:1" x14ac:dyDescent="0.25">
      <c r="A450" s="5"/>
    </row>
    <row r="451" spans="1:1" x14ac:dyDescent="0.25">
      <c r="A451" s="5"/>
    </row>
    <row r="452" spans="1:1" x14ac:dyDescent="0.25">
      <c r="A452" s="5"/>
    </row>
    <row r="453" spans="1:1" x14ac:dyDescent="0.25">
      <c r="A453" s="5"/>
    </row>
    <row r="454" spans="1:1" x14ac:dyDescent="0.25">
      <c r="A454" s="5"/>
    </row>
    <row r="455" spans="1:1" x14ac:dyDescent="0.25">
      <c r="A455" s="5"/>
    </row>
    <row r="456" spans="1:1" x14ac:dyDescent="0.25">
      <c r="A456" s="5"/>
    </row>
    <row r="457" spans="1:1" x14ac:dyDescent="0.25">
      <c r="A457" s="5"/>
    </row>
    <row r="458" spans="1:1" x14ac:dyDescent="0.25">
      <c r="A458" s="5"/>
    </row>
    <row r="459" spans="1:1" x14ac:dyDescent="0.25">
      <c r="A459" s="5"/>
    </row>
    <row r="460" spans="1:1" x14ac:dyDescent="0.25">
      <c r="A460" s="5"/>
    </row>
    <row r="461" spans="1:1" x14ac:dyDescent="0.25">
      <c r="A461" s="5"/>
    </row>
    <row r="462" spans="1:1" x14ac:dyDescent="0.25">
      <c r="A462" s="5"/>
    </row>
    <row r="463" spans="1:1" x14ac:dyDescent="0.25">
      <c r="A463" s="5"/>
    </row>
    <row r="464" spans="1:1" x14ac:dyDescent="0.25">
      <c r="A464" s="5"/>
    </row>
    <row r="465" spans="1:1" x14ac:dyDescent="0.25">
      <c r="A465" s="5"/>
    </row>
    <row r="466" spans="1:1" x14ac:dyDescent="0.25">
      <c r="A466" s="5"/>
    </row>
    <row r="467" spans="1:1" x14ac:dyDescent="0.25">
      <c r="A467" s="5"/>
    </row>
    <row r="468" spans="1:1" x14ac:dyDescent="0.25">
      <c r="A468" s="5"/>
    </row>
    <row r="469" spans="1:1" x14ac:dyDescent="0.25">
      <c r="A469" s="5"/>
    </row>
    <row r="470" spans="1:1" x14ac:dyDescent="0.25">
      <c r="A470" s="5"/>
    </row>
    <row r="471" spans="1:1" x14ac:dyDescent="0.25">
      <c r="A471" s="5"/>
    </row>
    <row r="472" spans="1:1" x14ac:dyDescent="0.25">
      <c r="A472" s="5"/>
    </row>
    <row r="473" spans="1:1" x14ac:dyDescent="0.25">
      <c r="A473" s="5"/>
    </row>
    <row r="474" spans="1:1" x14ac:dyDescent="0.25">
      <c r="A474" s="5"/>
    </row>
    <row r="475" spans="1:1" x14ac:dyDescent="0.25">
      <c r="A475" s="5"/>
    </row>
    <row r="476" spans="1:1" x14ac:dyDescent="0.25">
      <c r="A476" s="5"/>
    </row>
    <row r="477" spans="1:1" x14ac:dyDescent="0.25">
      <c r="A477" s="5"/>
    </row>
    <row r="478" spans="1:1" x14ac:dyDescent="0.25">
      <c r="A478" s="5"/>
    </row>
    <row r="479" spans="1:1" x14ac:dyDescent="0.25">
      <c r="A479" s="5"/>
    </row>
    <row r="480" spans="1:1" x14ac:dyDescent="0.25">
      <c r="A480" s="5"/>
    </row>
    <row r="481" spans="1:1" x14ac:dyDescent="0.25">
      <c r="A481" s="5"/>
    </row>
    <row r="482" spans="1:1" x14ac:dyDescent="0.25">
      <c r="A482" s="5"/>
    </row>
    <row r="483" spans="1:1" x14ac:dyDescent="0.25">
      <c r="A483" s="5"/>
    </row>
    <row r="484" spans="1:1" x14ac:dyDescent="0.25">
      <c r="A484" s="5"/>
    </row>
    <row r="485" spans="1:1" x14ac:dyDescent="0.25">
      <c r="A485" s="5"/>
    </row>
    <row r="486" spans="1:1" x14ac:dyDescent="0.25">
      <c r="A486" s="5"/>
    </row>
    <row r="487" spans="1:1" x14ac:dyDescent="0.25">
      <c r="A487" s="5"/>
    </row>
    <row r="488" spans="1:1" x14ac:dyDescent="0.25">
      <c r="A488" s="5"/>
    </row>
    <row r="489" spans="1:1" x14ac:dyDescent="0.25">
      <c r="A489" s="5"/>
    </row>
    <row r="490" spans="1:1" x14ac:dyDescent="0.25">
      <c r="A490" s="5"/>
    </row>
    <row r="491" spans="1:1" x14ac:dyDescent="0.25">
      <c r="A491" s="5"/>
    </row>
    <row r="492" spans="1:1" x14ac:dyDescent="0.25">
      <c r="A492" s="5"/>
    </row>
    <row r="493" spans="1:1" x14ac:dyDescent="0.25">
      <c r="A493" s="5"/>
    </row>
    <row r="494" spans="1:1" x14ac:dyDescent="0.25">
      <c r="A494" s="5"/>
    </row>
    <row r="495" spans="1:1" x14ac:dyDescent="0.25">
      <c r="A495" s="5"/>
    </row>
    <row r="496" spans="1:1" x14ac:dyDescent="0.25">
      <c r="A496" s="5"/>
    </row>
    <row r="497" spans="1:1" x14ac:dyDescent="0.25">
      <c r="A497" s="5"/>
    </row>
    <row r="498" spans="1:1" x14ac:dyDescent="0.25">
      <c r="A498" s="5"/>
    </row>
    <row r="499" spans="1:1" x14ac:dyDescent="0.25">
      <c r="A499" s="5"/>
    </row>
    <row r="500" spans="1:1" x14ac:dyDescent="0.25">
      <c r="A500" s="5"/>
    </row>
    <row r="501" spans="1:1" x14ac:dyDescent="0.25">
      <c r="A501" s="5"/>
    </row>
    <row r="502" spans="1:1" x14ac:dyDescent="0.25">
      <c r="A502" s="5"/>
    </row>
    <row r="503" spans="1:1" x14ac:dyDescent="0.25">
      <c r="A503" s="5"/>
    </row>
    <row r="504" spans="1:1" x14ac:dyDescent="0.25">
      <c r="A504" s="5"/>
    </row>
    <row r="505" spans="1:1" x14ac:dyDescent="0.25">
      <c r="A505" s="5"/>
    </row>
    <row r="506" spans="1:1" x14ac:dyDescent="0.25">
      <c r="A506" s="5"/>
    </row>
    <row r="507" spans="1:1" x14ac:dyDescent="0.25">
      <c r="A507" s="5"/>
    </row>
    <row r="508" spans="1:1" x14ac:dyDescent="0.25">
      <c r="A508" s="5"/>
    </row>
    <row r="509" spans="1:1" x14ac:dyDescent="0.25">
      <c r="A509" s="5"/>
    </row>
    <row r="510" spans="1:1" x14ac:dyDescent="0.25">
      <c r="A510" s="5"/>
    </row>
    <row r="511" spans="1:1" x14ac:dyDescent="0.25">
      <c r="A511" s="5"/>
    </row>
    <row r="512" spans="1:1" x14ac:dyDescent="0.25">
      <c r="A512" s="5"/>
    </row>
    <row r="513" spans="1:1" x14ac:dyDescent="0.25">
      <c r="A513" s="5"/>
    </row>
    <row r="514" spans="1:1" x14ac:dyDescent="0.25">
      <c r="A514" s="5"/>
    </row>
    <row r="515" spans="1:1" x14ac:dyDescent="0.25">
      <c r="A515" s="5"/>
    </row>
    <row r="516" spans="1:1" x14ac:dyDescent="0.25">
      <c r="A516" s="5"/>
    </row>
    <row r="517" spans="1:1" x14ac:dyDescent="0.25">
      <c r="A517" s="5"/>
    </row>
    <row r="518" spans="1:1" x14ac:dyDescent="0.25">
      <c r="A518" s="5"/>
    </row>
    <row r="519" spans="1:1" x14ac:dyDescent="0.25">
      <c r="A519" s="5"/>
    </row>
    <row r="520" spans="1:1" x14ac:dyDescent="0.25">
      <c r="A520" s="5"/>
    </row>
    <row r="521" spans="1:1" x14ac:dyDescent="0.25">
      <c r="A521" s="5"/>
    </row>
    <row r="522" spans="1:1" x14ac:dyDescent="0.25">
      <c r="A522" s="5"/>
    </row>
    <row r="523" spans="1:1" x14ac:dyDescent="0.25">
      <c r="A523" s="5"/>
    </row>
    <row r="524" spans="1:1" x14ac:dyDescent="0.25">
      <c r="A524" s="5"/>
    </row>
    <row r="525" spans="1:1" x14ac:dyDescent="0.25">
      <c r="A525" s="5"/>
    </row>
    <row r="526" spans="1:1" x14ac:dyDescent="0.25">
      <c r="A526" s="5"/>
    </row>
    <row r="527" spans="1:1" x14ac:dyDescent="0.25">
      <c r="A527" s="5"/>
    </row>
    <row r="528" spans="1:1" x14ac:dyDescent="0.25">
      <c r="A528" s="5"/>
    </row>
    <row r="529" spans="1:1" x14ac:dyDescent="0.25">
      <c r="A529" s="5"/>
    </row>
    <row r="530" spans="1:1" x14ac:dyDescent="0.25">
      <c r="A530" s="5"/>
    </row>
    <row r="531" spans="1:1" x14ac:dyDescent="0.25">
      <c r="A531" s="5"/>
    </row>
    <row r="532" spans="1:1" x14ac:dyDescent="0.25">
      <c r="A532" s="5"/>
    </row>
    <row r="533" spans="1:1" x14ac:dyDescent="0.25">
      <c r="A533" s="5"/>
    </row>
    <row r="534" spans="1:1" x14ac:dyDescent="0.25">
      <c r="A534" s="5"/>
    </row>
    <row r="535" spans="1:1" x14ac:dyDescent="0.25">
      <c r="A535" s="5"/>
    </row>
    <row r="536" spans="1:1" x14ac:dyDescent="0.25">
      <c r="A536" s="5"/>
    </row>
    <row r="537" spans="1:1" x14ac:dyDescent="0.25">
      <c r="A537" s="5"/>
    </row>
    <row r="538" spans="1:1" x14ac:dyDescent="0.25">
      <c r="A538" s="5"/>
    </row>
    <row r="539" spans="1:1" x14ac:dyDescent="0.25">
      <c r="A539" s="5"/>
    </row>
    <row r="540" spans="1:1" x14ac:dyDescent="0.25">
      <c r="A540" s="5"/>
    </row>
    <row r="541" spans="1:1" x14ac:dyDescent="0.25">
      <c r="A541" s="5"/>
    </row>
    <row r="542" spans="1:1" x14ac:dyDescent="0.25">
      <c r="A542" s="5"/>
    </row>
    <row r="543" spans="1:1" x14ac:dyDescent="0.25">
      <c r="A543" s="5"/>
    </row>
    <row r="544" spans="1:1" x14ac:dyDescent="0.25">
      <c r="A544" s="5"/>
    </row>
    <row r="545" spans="1:1" x14ac:dyDescent="0.25">
      <c r="A545" s="5"/>
    </row>
    <row r="546" spans="1:1" x14ac:dyDescent="0.25">
      <c r="A546" s="5"/>
    </row>
    <row r="547" spans="1:1" x14ac:dyDescent="0.25">
      <c r="A547" s="5"/>
    </row>
    <row r="548" spans="1:1" x14ac:dyDescent="0.25">
      <c r="A548" s="5"/>
    </row>
    <row r="549" spans="1:1" x14ac:dyDescent="0.25">
      <c r="A549" s="5"/>
    </row>
    <row r="550" spans="1:1" x14ac:dyDescent="0.25">
      <c r="A550" s="5"/>
    </row>
    <row r="551" spans="1:1" x14ac:dyDescent="0.25">
      <c r="A551" s="5"/>
    </row>
    <row r="552" spans="1:1" x14ac:dyDescent="0.25">
      <c r="A552" s="5"/>
    </row>
    <row r="553" spans="1:1" x14ac:dyDescent="0.25">
      <c r="A553" s="5"/>
    </row>
    <row r="554" spans="1:1" x14ac:dyDescent="0.25">
      <c r="A554" s="5"/>
    </row>
    <row r="555" spans="1:1" x14ac:dyDescent="0.25">
      <c r="A555" s="5"/>
    </row>
    <row r="556" spans="1:1" x14ac:dyDescent="0.25">
      <c r="A556" s="5"/>
    </row>
    <row r="557" spans="1:1" x14ac:dyDescent="0.25">
      <c r="A557" s="5"/>
    </row>
    <row r="558" spans="1:1" x14ac:dyDescent="0.25">
      <c r="A558" s="5"/>
    </row>
    <row r="559" spans="1:1" x14ac:dyDescent="0.25">
      <c r="A559" s="5"/>
    </row>
    <row r="560" spans="1:1" x14ac:dyDescent="0.25">
      <c r="A560" s="5"/>
    </row>
    <row r="561" spans="1:1" x14ac:dyDescent="0.25">
      <c r="A561" s="5"/>
    </row>
    <row r="562" spans="1:1" x14ac:dyDescent="0.25">
      <c r="A562" s="5"/>
    </row>
    <row r="563" spans="1:1" x14ac:dyDescent="0.25">
      <c r="A563" s="5"/>
    </row>
    <row r="564" spans="1:1" x14ac:dyDescent="0.25">
      <c r="A564" s="5"/>
    </row>
    <row r="565" spans="1:1" x14ac:dyDescent="0.25">
      <c r="A565" s="5"/>
    </row>
    <row r="566" spans="1:1" x14ac:dyDescent="0.25">
      <c r="A566" s="5"/>
    </row>
    <row r="567" spans="1:1" x14ac:dyDescent="0.25">
      <c r="A567" s="5"/>
    </row>
    <row r="568" spans="1:1" x14ac:dyDescent="0.25">
      <c r="A568" s="5"/>
    </row>
    <row r="569" spans="1:1" x14ac:dyDescent="0.25">
      <c r="A569" s="5"/>
    </row>
    <row r="570" spans="1:1" x14ac:dyDescent="0.25">
      <c r="A570" s="5"/>
    </row>
    <row r="571" spans="1:1" x14ac:dyDescent="0.25">
      <c r="A571" s="5"/>
    </row>
    <row r="572" spans="1:1" x14ac:dyDescent="0.25">
      <c r="A572" s="5"/>
    </row>
    <row r="573" spans="1:1" x14ac:dyDescent="0.25">
      <c r="A573" s="5"/>
    </row>
    <row r="574" spans="1:1" x14ac:dyDescent="0.25">
      <c r="A574" s="5"/>
    </row>
    <row r="575" spans="1:1" x14ac:dyDescent="0.25">
      <c r="A575" s="5"/>
    </row>
    <row r="576" spans="1:1" x14ac:dyDescent="0.25">
      <c r="A576" s="5"/>
    </row>
    <row r="577" spans="1:1" x14ac:dyDescent="0.25">
      <c r="A577" s="5"/>
    </row>
    <row r="578" spans="1:1" x14ac:dyDescent="0.25">
      <c r="A578" s="5"/>
    </row>
    <row r="579" spans="1:1" x14ac:dyDescent="0.25">
      <c r="A579" s="5"/>
    </row>
    <row r="580" spans="1:1" x14ac:dyDescent="0.25">
      <c r="A580" s="5"/>
    </row>
    <row r="581" spans="1:1" x14ac:dyDescent="0.25">
      <c r="A581" s="5"/>
    </row>
    <row r="582" spans="1:1" x14ac:dyDescent="0.25">
      <c r="A582" s="5"/>
    </row>
    <row r="583" spans="1:1" x14ac:dyDescent="0.25">
      <c r="A583" s="5"/>
    </row>
    <row r="584" spans="1:1" x14ac:dyDescent="0.25">
      <c r="A584" s="5"/>
    </row>
    <row r="585" spans="1:1" x14ac:dyDescent="0.25">
      <c r="A585" s="5"/>
    </row>
    <row r="586" spans="1:1" x14ac:dyDescent="0.25">
      <c r="A586" s="5"/>
    </row>
    <row r="587" spans="1:1" x14ac:dyDescent="0.25">
      <c r="A587" s="5"/>
    </row>
    <row r="588" spans="1:1" x14ac:dyDescent="0.25">
      <c r="A588" s="5"/>
    </row>
    <row r="589" spans="1:1" x14ac:dyDescent="0.25">
      <c r="A589" s="5"/>
    </row>
    <row r="590" spans="1:1" x14ac:dyDescent="0.25">
      <c r="A590" s="5"/>
    </row>
    <row r="591" spans="1:1" x14ac:dyDescent="0.25">
      <c r="A591" s="5"/>
    </row>
    <row r="592" spans="1:1" x14ac:dyDescent="0.25">
      <c r="A592" s="5"/>
    </row>
    <row r="593" spans="1:1" x14ac:dyDescent="0.25">
      <c r="A593" s="5"/>
    </row>
    <row r="594" spans="1:1" x14ac:dyDescent="0.25">
      <c r="A594" s="5"/>
    </row>
    <row r="595" spans="1:1" x14ac:dyDescent="0.25">
      <c r="A595" s="5"/>
    </row>
    <row r="596" spans="1:1" x14ac:dyDescent="0.25">
      <c r="A596" s="5"/>
    </row>
    <row r="597" spans="1:1" x14ac:dyDescent="0.25">
      <c r="A597" s="5"/>
    </row>
    <row r="598" spans="1:1" x14ac:dyDescent="0.25">
      <c r="A598" s="5"/>
    </row>
    <row r="599" spans="1:1" x14ac:dyDescent="0.25">
      <c r="A599" s="5"/>
    </row>
    <row r="600" spans="1:1" x14ac:dyDescent="0.25">
      <c r="A600" s="5"/>
    </row>
    <row r="601" spans="1:1" x14ac:dyDescent="0.25">
      <c r="A601" s="5"/>
    </row>
    <row r="602" spans="1:1" x14ac:dyDescent="0.25">
      <c r="A602" s="5"/>
    </row>
    <row r="603" spans="1:1" x14ac:dyDescent="0.25">
      <c r="A603" s="5"/>
    </row>
    <row r="604" spans="1:1" x14ac:dyDescent="0.25">
      <c r="A604" s="5"/>
    </row>
    <row r="605" spans="1:1" x14ac:dyDescent="0.25">
      <c r="A605" s="5"/>
    </row>
    <row r="606" spans="1:1" x14ac:dyDescent="0.25">
      <c r="A606" s="5"/>
    </row>
    <row r="607" spans="1:1" x14ac:dyDescent="0.25">
      <c r="A607" s="5"/>
    </row>
    <row r="608" spans="1:1" x14ac:dyDescent="0.25">
      <c r="A608" s="5"/>
    </row>
    <row r="609" spans="1:1" x14ac:dyDescent="0.25">
      <c r="A609" s="5"/>
    </row>
    <row r="610" spans="1:1" x14ac:dyDescent="0.25">
      <c r="A610" s="5"/>
    </row>
    <row r="611" spans="1:1" x14ac:dyDescent="0.25">
      <c r="A611" s="5"/>
    </row>
    <row r="612" spans="1:1" x14ac:dyDescent="0.25">
      <c r="A612" s="5"/>
    </row>
    <row r="613" spans="1:1" x14ac:dyDescent="0.25">
      <c r="A613" s="5"/>
    </row>
    <row r="614" spans="1:1" x14ac:dyDescent="0.25">
      <c r="A614" s="5"/>
    </row>
    <row r="615" spans="1:1" x14ac:dyDescent="0.25">
      <c r="A615" s="5"/>
    </row>
    <row r="616" spans="1:1" x14ac:dyDescent="0.25">
      <c r="A616" s="5"/>
    </row>
    <row r="617" spans="1:1" x14ac:dyDescent="0.25">
      <c r="A617" s="5"/>
    </row>
    <row r="618" spans="1:1" x14ac:dyDescent="0.25">
      <c r="A618" s="5"/>
    </row>
    <row r="619" spans="1:1" x14ac:dyDescent="0.25">
      <c r="A619" s="5"/>
    </row>
    <row r="620" spans="1:1" x14ac:dyDescent="0.25">
      <c r="A620" s="5"/>
    </row>
    <row r="621" spans="1:1" x14ac:dyDescent="0.25">
      <c r="A621" s="5"/>
    </row>
    <row r="622" spans="1:1" x14ac:dyDescent="0.25">
      <c r="A622" s="5"/>
    </row>
    <row r="623" spans="1:1" x14ac:dyDescent="0.25">
      <c r="A623" s="5"/>
    </row>
    <row r="624" spans="1:1" x14ac:dyDescent="0.25">
      <c r="A624" s="5"/>
    </row>
    <row r="625" spans="1:1" x14ac:dyDescent="0.25">
      <c r="A625" s="5"/>
    </row>
    <row r="626" spans="1:1" x14ac:dyDescent="0.25">
      <c r="A626" s="5"/>
    </row>
    <row r="627" spans="1:1" x14ac:dyDescent="0.25">
      <c r="A627" s="5"/>
    </row>
    <row r="628" spans="1:1" x14ac:dyDescent="0.25">
      <c r="A628" s="5"/>
    </row>
    <row r="629" spans="1:1" x14ac:dyDescent="0.25">
      <c r="A629" s="5"/>
    </row>
    <row r="630" spans="1:1" x14ac:dyDescent="0.25">
      <c r="A630" s="5"/>
    </row>
    <row r="631" spans="1:1" x14ac:dyDescent="0.25">
      <c r="A631" s="5"/>
    </row>
    <row r="632" spans="1:1" x14ac:dyDescent="0.25">
      <c r="A632" s="5"/>
    </row>
    <row r="633" spans="1:1" x14ac:dyDescent="0.25">
      <c r="A633" s="5"/>
    </row>
    <row r="634" spans="1:1" x14ac:dyDescent="0.25">
      <c r="A634" s="5"/>
    </row>
    <row r="635" spans="1:1" x14ac:dyDescent="0.25">
      <c r="A635" s="5"/>
    </row>
    <row r="636" spans="1:1" x14ac:dyDescent="0.25">
      <c r="A636" s="5"/>
    </row>
    <row r="637" spans="1:1" x14ac:dyDescent="0.25">
      <c r="A637" s="5"/>
    </row>
    <row r="638" spans="1:1" x14ac:dyDescent="0.25">
      <c r="A638" s="5"/>
    </row>
    <row r="639" spans="1:1" x14ac:dyDescent="0.25">
      <c r="A639" s="5"/>
    </row>
    <row r="640" spans="1:1" x14ac:dyDescent="0.25">
      <c r="A640" s="5"/>
    </row>
    <row r="641" spans="1:1" x14ac:dyDescent="0.25">
      <c r="A641" s="5"/>
    </row>
    <row r="642" spans="1:1" x14ac:dyDescent="0.25">
      <c r="A642" s="5"/>
    </row>
    <row r="643" spans="1:1" x14ac:dyDescent="0.25">
      <c r="A643" s="5"/>
    </row>
    <row r="644" spans="1:1" x14ac:dyDescent="0.25">
      <c r="A644" s="5"/>
    </row>
    <row r="645" spans="1:1" x14ac:dyDescent="0.25">
      <c r="A645" s="5"/>
    </row>
    <row r="646" spans="1:1" x14ac:dyDescent="0.25">
      <c r="A646" s="5"/>
    </row>
    <row r="647" spans="1:1" x14ac:dyDescent="0.25">
      <c r="A647" s="5"/>
    </row>
    <row r="648" spans="1:1" x14ac:dyDescent="0.25">
      <c r="A648" s="5"/>
    </row>
    <row r="649" spans="1:1" x14ac:dyDescent="0.25">
      <c r="A649" s="5"/>
    </row>
    <row r="650" spans="1:1" x14ac:dyDescent="0.25">
      <c r="A650" s="5"/>
    </row>
    <row r="651" spans="1:1" x14ac:dyDescent="0.25">
      <c r="A651" s="5"/>
    </row>
    <row r="652" spans="1:1" x14ac:dyDescent="0.25">
      <c r="A652" s="5"/>
    </row>
    <row r="653" spans="1:1" x14ac:dyDescent="0.25">
      <c r="A653" s="5"/>
    </row>
    <row r="654" spans="1:1" x14ac:dyDescent="0.25">
      <c r="A654" s="5"/>
    </row>
    <row r="655" spans="1:1" x14ac:dyDescent="0.25">
      <c r="A655" s="5"/>
    </row>
    <row r="656" spans="1:1" x14ac:dyDescent="0.25">
      <c r="A656" s="5"/>
    </row>
    <row r="657" spans="1:1" x14ac:dyDescent="0.25">
      <c r="A657" s="5"/>
    </row>
    <row r="658" spans="1:1" x14ac:dyDescent="0.25">
      <c r="A658" s="5"/>
    </row>
    <row r="659" spans="1:1" x14ac:dyDescent="0.25">
      <c r="A659" s="5"/>
    </row>
    <row r="660" spans="1:1" x14ac:dyDescent="0.25">
      <c r="A660" s="5"/>
    </row>
    <row r="661" spans="1:1" x14ac:dyDescent="0.25">
      <c r="A661" s="5"/>
    </row>
    <row r="662" spans="1:1" x14ac:dyDescent="0.25">
      <c r="A662" s="5"/>
    </row>
    <row r="663" spans="1:1" x14ac:dyDescent="0.25">
      <c r="A663" s="5"/>
    </row>
    <row r="664" spans="1:1" x14ac:dyDescent="0.25">
      <c r="A664" s="5"/>
    </row>
    <row r="665" spans="1:1" x14ac:dyDescent="0.25">
      <c r="A665" s="5"/>
    </row>
    <row r="666" spans="1:1" x14ac:dyDescent="0.25">
      <c r="A666" s="5"/>
    </row>
    <row r="667" spans="1:1" x14ac:dyDescent="0.25">
      <c r="A667" s="5"/>
    </row>
    <row r="668" spans="1:1" x14ac:dyDescent="0.25">
      <c r="A668" s="5"/>
    </row>
    <row r="669" spans="1:1" x14ac:dyDescent="0.25">
      <c r="A669" s="5"/>
    </row>
    <row r="670" spans="1:1" x14ac:dyDescent="0.25">
      <c r="A670" s="5"/>
    </row>
    <row r="671" spans="1:1" x14ac:dyDescent="0.25">
      <c r="A671" s="5"/>
    </row>
    <row r="672" spans="1:1" x14ac:dyDescent="0.25">
      <c r="A672" s="5"/>
    </row>
    <row r="673" spans="1:1" x14ac:dyDescent="0.25">
      <c r="A673" s="5"/>
    </row>
    <row r="674" spans="1:1" x14ac:dyDescent="0.25">
      <c r="A674" s="5"/>
    </row>
    <row r="675" spans="1:1" x14ac:dyDescent="0.25">
      <c r="A675" s="5"/>
    </row>
    <row r="676" spans="1:1" x14ac:dyDescent="0.25">
      <c r="A676" s="5"/>
    </row>
    <row r="677" spans="1:1" x14ac:dyDescent="0.25">
      <c r="A677" s="5"/>
    </row>
    <row r="678" spans="1:1" x14ac:dyDescent="0.25">
      <c r="A678" s="5"/>
    </row>
    <row r="679" spans="1:1" x14ac:dyDescent="0.25">
      <c r="A679" s="5"/>
    </row>
    <row r="680" spans="1:1" x14ac:dyDescent="0.25">
      <c r="A680" s="5"/>
    </row>
    <row r="681" spans="1:1" x14ac:dyDescent="0.25">
      <c r="A681" s="5"/>
    </row>
    <row r="682" spans="1:1" x14ac:dyDescent="0.25">
      <c r="A682" s="5"/>
    </row>
    <row r="683" spans="1:1" x14ac:dyDescent="0.25">
      <c r="A683" s="5"/>
    </row>
    <row r="684" spans="1:1" x14ac:dyDescent="0.25">
      <c r="A684" s="5"/>
    </row>
    <row r="685" spans="1:1" x14ac:dyDescent="0.25">
      <c r="A685" s="5"/>
    </row>
    <row r="686" spans="1:1" x14ac:dyDescent="0.25">
      <c r="A686" s="5"/>
    </row>
    <row r="687" spans="1:1" x14ac:dyDescent="0.25">
      <c r="A687" s="5"/>
    </row>
    <row r="688" spans="1:1" x14ac:dyDescent="0.25">
      <c r="A688" s="5"/>
    </row>
    <row r="689" spans="1:1" x14ac:dyDescent="0.25">
      <c r="A689" s="5"/>
    </row>
    <row r="690" spans="1:1" x14ac:dyDescent="0.25">
      <c r="A690" s="5"/>
    </row>
    <row r="691" spans="1:1" x14ac:dyDescent="0.25">
      <c r="A691" s="5"/>
    </row>
    <row r="692" spans="1:1" x14ac:dyDescent="0.25">
      <c r="A692" s="5"/>
    </row>
    <row r="693" spans="1:1" x14ac:dyDescent="0.25">
      <c r="A693" s="5"/>
    </row>
    <row r="694" spans="1:1" x14ac:dyDescent="0.25">
      <c r="A694" s="5"/>
    </row>
    <row r="695" spans="1:1" x14ac:dyDescent="0.25">
      <c r="A695" s="5"/>
    </row>
    <row r="696" spans="1:1" x14ac:dyDescent="0.25">
      <c r="A696" s="5"/>
    </row>
    <row r="697" spans="1:1" x14ac:dyDescent="0.25">
      <c r="A697" s="5"/>
    </row>
    <row r="698" spans="1:1" x14ac:dyDescent="0.25">
      <c r="A698" s="5"/>
    </row>
    <row r="699" spans="1:1" x14ac:dyDescent="0.25">
      <c r="A699" s="5"/>
    </row>
    <row r="700" spans="1:1" x14ac:dyDescent="0.25">
      <c r="A700" s="5"/>
    </row>
    <row r="701" spans="1:1" x14ac:dyDescent="0.25">
      <c r="A701" s="5"/>
    </row>
    <row r="702" spans="1:1" x14ac:dyDescent="0.25">
      <c r="A702" s="5"/>
    </row>
    <row r="703" spans="1:1" x14ac:dyDescent="0.25">
      <c r="A703" s="5"/>
    </row>
    <row r="704" spans="1:1" x14ac:dyDescent="0.25">
      <c r="A704" s="5"/>
    </row>
    <row r="705" spans="1:1" x14ac:dyDescent="0.25">
      <c r="A705" s="5"/>
    </row>
    <row r="706" spans="1:1" x14ac:dyDescent="0.25">
      <c r="A706" s="5"/>
    </row>
    <row r="707" spans="1:1" x14ac:dyDescent="0.25">
      <c r="A707" s="5"/>
    </row>
    <row r="708" spans="1:1" x14ac:dyDescent="0.25">
      <c r="A708" s="5"/>
    </row>
    <row r="709" spans="1:1" x14ac:dyDescent="0.25">
      <c r="A709" s="5"/>
    </row>
    <row r="710" spans="1:1" x14ac:dyDescent="0.25">
      <c r="A710" s="5"/>
    </row>
    <row r="711" spans="1:1" x14ac:dyDescent="0.25">
      <c r="A711" s="5"/>
    </row>
    <row r="712" spans="1:1" x14ac:dyDescent="0.25">
      <c r="A712" s="5"/>
    </row>
    <row r="713" spans="1:1" x14ac:dyDescent="0.25">
      <c r="A713" s="5"/>
    </row>
    <row r="714" spans="1:1" x14ac:dyDescent="0.25">
      <c r="A714" s="5"/>
    </row>
    <row r="715" spans="1:1" x14ac:dyDescent="0.25">
      <c r="A715" s="5"/>
    </row>
    <row r="716" spans="1:1" x14ac:dyDescent="0.25">
      <c r="A716" s="5"/>
    </row>
    <row r="717" spans="1:1" x14ac:dyDescent="0.25">
      <c r="A717" s="5"/>
    </row>
    <row r="718" spans="1:1" x14ac:dyDescent="0.25">
      <c r="A718" s="5"/>
    </row>
    <row r="719" spans="1:1" x14ac:dyDescent="0.25">
      <c r="A719" s="5"/>
    </row>
    <row r="720" spans="1:1" x14ac:dyDescent="0.25">
      <c r="A720" s="5"/>
    </row>
    <row r="721" spans="1:1" x14ac:dyDescent="0.25">
      <c r="A721" s="5"/>
    </row>
    <row r="722" spans="1:1" x14ac:dyDescent="0.25">
      <c r="A722" s="5"/>
    </row>
    <row r="723" spans="1:1" x14ac:dyDescent="0.25">
      <c r="A723" s="5"/>
    </row>
    <row r="724" spans="1:1" x14ac:dyDescent="0.25">
      <c r="A724" s="5"/>
    </row>
    <row r="725" spans="1:1" x14ac:dyDescent="0.25">
      <c r="A725" s="5"/>
    </row>
    <row r="726" spans="1:1" x14ac:dyDescent="0.25">
      <c r="A726" s="5"/>
    </row>
    <row r="727" spans="1:1" x14ac:dyDescent="0.25">
      <c r="A727" s="5"/>
    </row>
    <row r="728" spans="1:1" x14ac:dyDescent="0.25">
      <c r="A728" s="5"/>
    </row>
    <row r="729" spans="1:1" x14ac:dyDescent="0.25">
      <c r="A729" s="5"/>
    </row>
    <row r="730" spans="1:1" x14ac:dyDescent="0.25">
      <c r="A730" s="5"/>
    </row>
    <row r="731" spans="1:1" x14ac:dyDescent="0.25">
      <c r="A731" s="5"/>
    </row>
    <row r="732" spans="1:1" x14ac:dyDescent="0.25">
      <c r="A732" s="5"/>
    </row>
    <row r="733" spans="1:1" x14ac:dyDescent="0.25">
      <c r="A733" s="5"/>
    </row>
    <row r="734" spans="1:1" x14ac:dyDescent="0.25">
      <c r="A734" s="5"/>
    </row>
    <row r="735" spans="1:1" x14ac:dyDescent="0.25">
      <c r="A735" s="5"/>
    </row>
    <row r="736" spans="1:1" x14ac:dyDescent="0.25">
      <c r="A736" s="5"/>
    </row>
    <row r="737" spans="1:1" x14ac:dyDescent="0.25">
      <c r="A737" s="5"/>
    </row>
    <row r="738" spans="1:1" x14ac:dyDescent="0.25">
      <c r="A738" s="5"/>
    </row>
    <row r="739" spans="1:1" x14ac:dyDescent="0.25">
      <c r="A739" s="5"/>
    </row>
    <row r="740" spans="1:1" x14ac:dyDescent="0.25">
      <c r="A740" s="5"/>
    </row>
    <row r="741" spans="1:1" x14ac:dyDescent="0.25">
      <c r="A741" s="5"/>
    </row>
    <row r="742" spans="1:1" x14ac:dyDescent="0.25">
      <c r="A742" s="5"/>
    </row>
    <row r="743" spans="1:1" x14ac:dyDescent="0.25">
      <c r="A743" s="5"/>
    </row>
    <row r="744" spans="1:1" x14ac:dyDescent="0.25">
      <c r="A744" s="5"/>
    </row>
    <row r="745" spans="1:1" x14ac:dyDescent="0.25">
      <c r="A745" s="5"/>
    </row>
    <row r="746" spans="1:1" x14ac:dyDescent="0.25">
      <c r="A746" s="5"/>
    </row>
    <row r="747" spans="1:1" x14ac:dyDescent="0.25">
      <c r="A747" s="5"/>
    </row>
    <row r="748" spans="1:1" x14ac:dyDescent="0.25">
      <c r="A748" s="5"/>
    </row>
    <row r="749" spans="1:1" x14ac:dyDescent="0.25">
      <c r="A749" s="5"/>
    </row>
    <row r="750" spans="1:1" x14ac:dyDescent="0.25">
      <c r="A750" s="5"/>
    </row>
    <row r="751" spans="1:1" x14ac:dyDescent="0.25">
      <c r="A751" s="5"/>
    </row>
    <row r="752" spans="1:1" x14ac:dyDescent="0.25">
      <c r="A752" s="5"/>
    </row>
    <row r="753" spans="1:1" x14ac:dyDescent="0.25">
      <c r="A753" s="5"/>
    </row>
    <row r="754" spans="1:1" x14ac:dyDescent="0.25">
      <c r="A754" s="5"/>
    </row>
    <row r="755" spans="1:1" x14ac:dyDescent="0.25">
      <c r="A755" s="5"/>
    </row>
    <row r="756" spans="1:1" x14ac:dyDescent="0.25">
      <c r="A756" s="5"/>
    </row>
    <row r="757" spans="1:1" x14ac:dyDescent="0.25">
      <c r="A757" s="5"/>
    </row>
    <row r="758" spans="1:1" x14ac:dyDescent="0.25">
      <c r="A758" s="5"/>
    </row>
    <row r="759" spans="1:1" x14ac:dyDescent="0.25">
      <c r="A759" s="5"/>
    </row>
    <row r="760" spans="1:1" x14ac:dyDescent="0.25">
      <c r="A760" s="5"/>
    </row>
    <row r="761" spans="1:1" x14ac:dyDescent="0.25">
      <c r="A761" s="5"/>
    </row>
    <row r="762" spans="1:1" x14ac:dyDescent="0.25">
      <c r="A762" s="5"/>
    </row>
    <row r="763" spans="1:1" x14ac:dyDescent="0.25">
      <c r="A763" s="5"/>
    </row>
    <row r="764" spans="1:1" x14ac:dyDescent="0.25">
      <c r="A764" s="5"/>
    </row>
    <row r="765" spans="1:1" x14ac:dyDescent="0.25">
      <c r="A765" s="5"/>
    </row>
    <row r="766" spans="1:1" x14ac:dyDescent="0.25">
      <c r="A766" s="5"/>
    </row>
    <row r="767" spans="1:1" x14ac:dyDescent="0.25">
      <c r="A767" s="5"/>
    </row>
    <row r="768" spans="1:1" x14ac:dyDescent="0.25">
      <c r="A768" s="5"/>
    </row>
    <row r="769" spans="1:1" x14ac:dyDescent="0.25">
      <c r="A769" s="5"/>
    </row>
    <row r="770" spans="1:1" x14ac:dyDescent="0.25">
      <c r="A770" s="5"/>
    </row>
    <row r="771" spans="1:1" x14ac:dyDescent="0.25">
      <c r="A771" s="5"/>
    </row>
    <row r="772" spans="1:1" x14ac:dyDescent="0.25">
      <c r="A772" s="5"/>
    </row>
    <row r="773" spans="1:1" x14ac:dyDescent="0.25">
      <c r="A773" s="5"/>
    </row>
    <row r="774" spans="1:1" x14ac:dyDescent="0.25">
      <c r="A774" s="5"/>
    </row>
    <row r="775" spans="1:1" x14ac:dyDescent="0.25">
      <c r="A775" s="5"/>
    </row>
    <row r="776" spans="1:1" x14ac:dyDescent="0.25">
      <c r="A776" s="5"/>
    </row>
    <row r="777" spans="1:1" x14ac:dyDescent="0.25">
      <c r="A777" s="5"/>
    </row>
    <row r="778" spans="1:1" x14ac:dyDescent="0.25">
      <c r="A778" s="5"/>
    </row>
    <row r="779" spans="1:1" x14ac:dyDescent="0.25">
      <c r="A779" s="5"/>
    </row>
    <row r="780" spans="1:1" x14ac:dyDescent="0.25">
      <c r="A780" s="5"/>
    </row>
    <row r="781" spans="1:1" x14ac:dyDescent="0.25">
      <c r="A781" s="5"/>
    </row>
    <row r="782" spans="1:1" x14ac:dyDescent="0.25">
      <c r="A782" s="5"/>
    </row>
    <row r="783" spans="1:1" x14ac:dyDescent="0.25">
      <c r="A783" s="5"/>
    </row>
    <row r="784" spans="1:1" x14ac:dyDescent="0.25">
      <c r="A784" s="5"/>
    </row>
    <row r="785" spans="1:1" x14ac:dyDescent="0.25">
      <c r="A785" s="5"/>
    </row>
    <row r="786" spans="1:1" x14ac:dyDescent="0.25">
      <c r="A786" s="5"/>
    </row>
    <row r="787" spans="1:1" x14ac:dyDescent="0.25">
      <c r="A787" s="5"/>
    </row>
    <row r="788" spans="1:1" x14ac:dyDescent="0.25">
      <c r="A788" s="5"/>
    </row>
    <row r="789" spans="1:1" x14ac:dyDescent="0.25">
      <c r="A789" s="5"/>
    </row>
    <row r="790" spans="1:1" x14ac:dyDescent="0.25">
      <c r="A790" s="5"/>
    </row>
    <row r="791" spans="1:1" x14ac:dyDescent="0.25">
      <c r="A791" s="5"/>
    </row>
    <row r="792" spans="1:1" x14ac:dyDescent="0.25">
      <c r="A792" s="5"/>
    </row>
    <row r="793" spans="1:1" x14ac:dyDescent="0.25">
      <c r="A793" s="5"/>
    </row>
    <row r="794" spans="1:1" x14ac:dyDescent="0.25">
      <c r="A794" s="5"/>
    </row>
    <row r="795" spans="1:1" x14ac:dyDescent="0.25">
      <c r="A795" s="5"/>
    </row>
    <row r="796" spans="1:1" x14ac:dyDescent="0.25">
      <c r="A796" s="5"/>
    </row>
    <row r="797" spans="1:1" x14ac:dyDescent="0.25">
      <c r="A797" s="5"/>
    </row>
    <row r="798" spans="1:1" x14ac:dyDescent="0.25">
      <c r="A798" s="5"/>
    </row>
    <row r="799" spans="1:1" x14ac:dyDescent="0.25">
      <c r="A799" s="5"/>
    </row>
    <row r="800" spans="1:1" x14ac:dyDescent="0.25">
      <c r="A800" s="5"/>
    </row>
    <row r="801" spans="1:1" x14ac:dyDescent="0.25">
      <c r="A801" s="5"/>
    </row>
    <row r="802" spans="1:1" x14ac:dyDescent="0.25">
      <c r="A802" s="5"/>
    </row>
    <row r="803" spans="1:1" x14ac:dyDescent="0.25">
      <c r="A803" s="5"/>
    </row>
    <row r="804" spans="1:1" x14ac:dyDescent="0.25">
      <c r="A804" s="5"/>
    </row>
    <row r="805" spans="1:1" x14ac:dyDescent="0.25">
      <c r="A805" s="5"/>
    </row>
    <row r="806" spans="1:1" x14ac:dyDescent="0.25">
      <c r="A806" s="5"/>
    </row>
    <row r="807" spans="1:1" x14ac:dyDescent="0.25">
      <c r="A807" s="5"/>
    </row>
    <row r="808" spans="1:1" x14ac:dyDescent="0.25">
      <c r="A808" s="5"/>
    </row>
    <row r="809" spans="1:1" x14ac:dyDescent="0.25">
      <c r="A809" s="5"/>
    </row>
    <row r="810" spans="1:1" x14ac:dyDescent="0.25">
      <c r="A810" s="5"/>
    </row>
    <row r="811" spans="1:1" x14ac:dyDescent="0.25">
      <c r="A811" s="5"/>
    </row>
    <row r="812" spans="1:1" x14ac:dyDescent="0.25">
      <c r="A812" s="5"/>
    </row>
    <row r="813" spans="1:1" x14ac:dyDescent="0.25">
      <c r="A813" s="5"/>
    </row>
    <row r="814" spans="1:1" x14ac:dyDescent="0.25">
      <c r="A814" s="5"/>
    </row>
    <row r="815" spans="1:1" x14ac:dyDescent="0.25">
      <c r="A815" s="5"/>
    </row>
    <row r="816" spans="1:1" x14ac:dyDescent="0.25">
      <c r="A816" s="5"/>
    </row>
    <row r="817" spans="1:1" x14ac:dyDescent="0.25">
      <c r="A817" s="5"/>
    </row>
    <row r="818" spans="1:1" x14ac:dyDescent="0.25">
      <c r="A818" s="5"/>
    </row>
    <row r="819" spans="1:1" x14ac:dyDescent="0.25">
      <c r="A819" s="5"/>
    </row>
    <row r="820" spans="1:1" x14ac:dyDescent="0.25">
      <c r="A820" s="5"/>
    </row>
    <row r="821" spans="1:1" x14ac:dyDescent="0.25">
      <c r="A821" s="5"/>
    </row>
    <row r="822" spans="1:1" x14ac:dyDescent="0.25">
      <c r="A822" s="5"/>
    </row>
    <row r="823" spans="1:1" x14ac:dyDescent="0.25">
      <c r="A823" s="5"/>
    </row>
    <row r="824" spans="1:1" x14ac:dyDescent="0.25">
      <c r="A824" s="5"/>
    </row>
    <row r="825" spans="1:1" x14ac:dyDescent="0.25">
      <c r="A825" s="5"/>
    </row>
    <row r="826" spans="1:1" x14ac:dyDescent="0.25">
      <c r="A826" s="5"/>
    </row>
    <row r="827" spans="1:1" x14ac:dyDescent="0.25">
      <c r="A827" s="5"/>
    </row>
    <row r="828" spans="1:1" x14ac:dyDescent="0.25">
      <c r="A828" s="5"/>
    </row>
    <row r="829" spans="1:1" x14ac:dyDescent="0.25">
      <c r="A829" s="5"/>
    </row>
    <row r="830" spans="1:1" x14ac:dyDescent="0.25">
      <c r="A830" s="5"/>
    </row>
    <row r="831" spans="1:1" x14ac:dyDescent="0.25">
      <c r="A831" s="5"/>
    </row>
    <row r="832" spans="1:1" x14ac:dyDescent="0.25">
      <c r="A832" s="5"/>
    </row>
    <row r="833" spans="1:1" x14ac:dyDescent="0.25">
      <c r="A833" s="5"/>
    </row>
    <row r="834" spans="1:1" x14ac:dyDescent="0.25">
      <c r="A834" s="5"/>
    </row>
    <row r="835" spans="1:1" x14ac:dyDescent="0.25">
      <c r="A835" s="5"/>
    </row>
    <row r="836" spans="1:1" x14ac:dyDescent="0.25">
      <c r="A836" s="5"/>
    </row>
    <row r="837" spans="1:1" x14ac:dyDescent="0.25">
      <c r="A837" s="5"/>
    </row>
    <row r="838" spans="1:1" x14ac:dyDescent="0.25">
      <c r="A838" s="5"/>
    </row>
    <row r="839" spans="1:1" x14ac:dyDescent="0.25">
      <c r="A839" s="5"/>
    </row>
    <row r="840" spans="1:1" x14ac:dyDescent="0.25">
      <c r="A840" s="5"/>
    </row>
    <row r="841" spans="1:1" x14ac:dyDescent="0.25">
      <c r="A841" s="5"/>
    </row>
    <row r="842" spans="1:1" x14ac:dyDescent="0.25">
      <c r="A842" s="5"/>
    </row>
    <row r="843" spans="1:1" x14ac:dyDescent="0.25">
      <c r="A843" s="5"/>
    </row>
    <row r="844" spans="1:1" x14ac:dyDescent="0.25">
      <c r="A844" s="5"/>
    </row>
    <row r="845" spans="1:1" x14ac:dyDescent="0.25">
      <c r="A845" s="5"/>
    </row>
    <row r="846" spans="1:1" x14ac:dyDescent="0.25">
      <c r="A846" s="5"/>
    </row>
    <row r="847" spans="1:1" x14ac:dyDescent="0.25">
      <c r="A847" s="5"/>
    </row>
    <row r="848" spans="1:1" x14ac:dyDescent="0.25">
      <c r="A848" s="5"/>
    </row>
    <row r="849" spans="1:1" x14ac:dyDescent="0.25">
      <c r="A849" s="5"/>
    </row>
    <row r="850" spans="1:1" x14ac:dyDescent="0.25">
      <c r="A850" s="5"/>
    </row>
    <row r="851" spans="1:1" x14ac:dyDescent="0.25">
      <c r="A851" s="5"/>
    </row>
    <row r="852" spans="1:1" x14ac:dyDescent="0.25">
      <c r="A852" s="5"/>
    </row>
    <row r="853" spans="1:1" x14ac:dyDescent="0.25">
      <c r="A853" s="5"/>
    </row>
    <row r="854" spans="1:1" x14ac:dyDescent="0.25">
      <c r="A854" s="5"/>
    </row>
    <row r="855" spans="1:1" x14ac:dyDescent="0.25">
      <c r="A855" s="5"/>
    </row>
    <row r="856" spans="1:1" x14ac:dyDescent="0.25">
      <c r="A856" s="5"/>
    </row>
    <row r="857" spans="1:1" x14ac:dyDescent="0.25">
      <c r="A857" s="5"/>
    </row>
    <row r="858" spans="1:1" x14ac:dyDescent="0.25">
      <c r="A858" s="5"/>
    </row>
    <row r="859" spans="1:1" x14ac:dyDescent="0.25">
      <c r="A859" s="5"/>
    </row>
    <row r="860" spans="1:1" x14ac:dyDescent="0.25">
      <c r="A860" s="5"/>
    </row>
    <row r="861" spans="1:1" x14ac:dyDescent="0.25">
      <c r="A861" s="5"/>
    </row>
    <row r="862" spans="1:1" x14ac:dyDescent="0.25">
      <c r="A862" s="5"/>
    </row>
    <row r="863" spans="1:1" x14ac:dyDescent="0.25">
      <c r="A863" s="5"/>
    </row>
    <row r="864" spans="1:1" x14ac:dyDescent="0.25">
      <c r="A864" s="5"/>
    </row>
    <row r="865" spans="1:1" x14ac:dyDescent="0.25">
      <c r="A865" s="5"/>
    </row>
    <row r="866" spans="1:1" x14ac:dyDescent="0.25">
      <c r="A866" s="5"/>
    </row>
    <row r="867" spans="1:1" x14ac:dyDescent="0.25">
      <c r="A867" s="5"/>
    </row>
    <row r="868" spans="1:1" x14ac:dyDescent="0.25">
      <c r="A868" s="5"/>
    </row>
    <row r="869" spans="1:1" x14ac:dyDescent="0.25">
      <c r="A869" s="5"/>
    </row>
    <row r="870" spans="1:1" x14ac:dyDescent="0.25">
      <c r="A870" s="5"/>
    </row>
    <row r="871" spans="1:1" x14ac:dyDescent="0.25">
      <c r="A871" s="5"/>
    </row>
    <row r="872" spans="1:1" x14ac:dyDescent="0.25">
      <c r="A872" s="5"/>
    </row>
    <row r="873" spans="1:1" x14ac:dyDescent="0.25">
      <c r="A873" s="5"/>
    </row>
    <row r="874" spans="1:1" x14ac:dyDescent="0.25">
      <c r="A874" s="5"/>
    </row>
    <row r="875" spans="1:1" x14ac:dyDescent="0.25">
      <c r="A875" s="5"/>
    </row>
    <row r="876" spans="1:1" x14ac:dyDescent="0.25">
      <c r="A876" s="5"/>
    </row>
    <row r="877" spans="1:1" x14ac:dyDescent="0.25">
      <c r="A877" s="5"/>
    </row>
    <row r="878" spans="1:1" x14ac:dyDescent="0.25">
      <c r="A878" s="5"/>
    </row>
    <row r="879" spans="1:1" x14ac:dyDescent="0.25">
      <c r="A879" s="5"/>
    </row>
    <row r="880" spans="1:1" x14ac:dyDescent="0.25">
      <c r="A880" s="5"/>
    </row>
    <row r="881" spans="1:1" x14ac:dyDescent="0.25">
      <c r="A881" s="5"/>
    </row>
    <row r="882" spans="1:1" x14ac:dyDescent="0.25">
      <c r="A882" s="5"/>
    </row>
    <row r="883" spans="1:1" x14ac:dyDescent="0.25">
      <c r="A883" s="5"/>
    </row>
    <row r="884" spans="1:1" x14ac:dyDescent="0.25">
      <c r="A884" s="5"/>
    </row>
    <row r="885" spans="1:1" x14ac:dyDescent="0.25">
      <c r="A885" s="5"/>
    </row>
    <row r="886" spans="1:1" x14ac:dyDescent="0.25">
      <c r="A886" s="5"/>
    </row>
    <row r="887" spans="1:1" x14ac:dyDescent="0.25">
      <c r="A887" s="5"/>
    </row>
    <row r="888" spans="1:1" x14ac:dyDescent="0.25">
      <c r="A888" s="5"/>
    </row>
    <row r="889" spans="1:1" x14ac:dyDescent="0.25">
      <c r="A889" s="5"/>
    </row>
    <row r="890" spans="1:1" x14ac:dyDescent="0.25">
      <c r="A890" s="5"/>
    </row>
    <row r="891" spans="1:1" x14ac:dyDescent="0.25">
      <c r="A891" s="5"/>
    </row>
    <row r="892" spans="1:1" x14ac:dyDescent="0.25">
      <c r="A892" s="5"/>
    </row>
    <row r="893" spans="1:1" x14ac:dyDescent="0.25">
      <c r="A893" s="5"/>
    </row>
    <row r="894" spans="1:1" x14ac:dyDescent="0.25">
      <c r="A894" s="5"/>
    </row>
    <row r="895" spans="1:1" x14ac:dyDescent="0.25">
      <c r="A895" s="5"/>
    </row>
    <row r="896" spans="1:1" x14ac:dyDescent="0.25">
      <c r="A896" s="5"/>
    </row>
    <row r="897" spans="1:1" x14ac:dyDescent="0.25">
      <c r="A897" s="5"/>
    </row>
    <row r="898" spans="1:1" x14ac:dyDescent="0.25">
      <c r="A898" s="5"/>
    </row>
    <row r="899" spans="1:1" x14ac:dyDescent="0.25">
      <c r="A899" s="5"/>
    </row>
    <row r="900" spans="1:1" x14ac:dyDescent="0.25">
      <c r="A900" s="5"/>
    </row>
    <row r="901" spans="1:1" x14ac:dyDescent="0.25">
      <c r="A901" s="5"/>
    </row>
    <row r="902" spans="1:1" x14ac:dyDescent="0.25">
      <c r="A902" s="5"/>
    </row>
    <row r="903" spans="1:1" x14ac:dyDescent="0.25">
      <c r="A903" s="5"/>
    </row>
    <row r="904" spans="1:1" x14ac:dyDescent="0.25">
      <c r="A904" s="5"/>
    </row>
    <row r="905" spans="1:1" x14ac:dyDescent="0.25">
      <c r="A905" s="5"/>
    </row>
    <row r="906" spans="1:1" x14ac:dyDescent="0.25">
      <c r="A906" s="5"/>
    </row>
    <row r="907" spans="1:1" x14ac:dyDescent="0.25">
      <c r="A907" s="5"/>
    </row>
    <row r="908" spans="1:1" x14ac:dyDescent="0.25">
      <c r="A908" s="5"/>
    </row>
    <row r="909" spans="1:1" x14ac:dyDescent="0.25">
      <c r="A909" s="5"/>
    </row>
    <row r="910" spans="1:1" x14ac:dyDescent="0.25">
      <c r="A910" s="5"/>
    </row>
    <row r="911" spans="1:1" x14ac:dyDescent="0.25">
      <c r="A911" s="5"/>
    </row>
    <row r="912" spans="1:1" x14ac:dyDescent="0.25">
      <c r="A912" s="5"/>
    </row>
    <row r="913" spans="1:1" x14ac:dyDescent="0.25">
      <c r="A913" s="5"/>
    </row>
    <row r="914" spans="1:1" x14ac:dyDescent="0.25">
      <c r="A914" s="5"/>
    </row>
    <row r="915" spans="1:1" x14ac:dyDescent="0.25">
      <c r="A915" s="5"/>
    </row>
    <row r="916" spans="1:1" x14ac:dyDescent="0.25">
      <c r="A916" s="5"/>
    </row>
    <row r="917" spans="1:1" x14ac:dyDescent="0.25">
      <c r="A917" s="5"/>
    </row>
    <row r="918" spans="1:1" x14ac:dyDescent="0.25">
      <c r="A918" s="5"/>
    </row>
    <row r="919" spans="1:1" x14ac:dyDescent="0.25">
      <c r="A919" s="5"/>
    </row>
    <row r="920" spans="1:1" x14ac:dyDescent="0.25">
      <c r="A920" s="5"/>
    </row>
    <row r="921" spans="1:1" x14ac:dyDescent="0.25">
      <c r="A921" s="5"/>
    </row>
    <row r="922" spans="1:1" x14ac:dyDescent="0.25">
      <c r="A922" s="5"/>
    </row>
    <row r="923" spans="1:1" x14ac:dyDescent="0.25">
      <c r="A923" s="5"/>
    </row>
    <row r="924" spans="1:1" x14ac:dyDescent="0.25">
      <c r="A924" s="5"/>
    </row>
    <row r="925" spans="1:1" x14ac:dyDescent="0.25">
      <c r="A925" s="5"/>
    </row>
    <row r="926" spans="1:1" x14ac:dyDescent="0.25">
      <c r="A926" s="5"/>
    </row>
    <row r="927" spans="1:1" x14ac:dyDescent="0.25">
      <c r="A927" s="5"/>
    </row>
    <row r="928" spans="1:1" x14ac:dyDescent="0.25">
      <c r="A928" s="5"/>
    </row>
    <row r="929" spans="1:1" x14ac:dyDescent="0.25">
      <c r="A929" s="5"/>
    </row>
    <row r="930" spans="1:1" x14ac:dyDescent="0.25">
      <c r="A930" s="5"/>
    </row>
    <row r="931" spans="1:1" x14ac:dyDescent="0.25">
      <c r="A931" s="5"/>
    </row>
    <row r="932" spans="1:1" x14ac:dyDescent="0.25">
      <c r="A932" s="5"/>
    </row>
    <row r="933" spans="1:1" x14ac:dyDescent="0.25">
      <c r="A933" s="5"/>
    </row>
    <row r="934" spans="1:1" x14ac:dyDescent="0.25">
      <c r="A934" s="5"/>
    </row>
    <row r="935" spans="1:1" x14ac:dyDescent="0.25">
      <c r="A935" s="5"/>
    </row>
    <row r="936" spans="1:1" x14ac:dyDescent="0.25">
      <c r="A936" s="5"/>
    </row>
    <row r="937" spans="1:1" x14ac:dyDescent="0.25">
      <c r="A937" s="5"/>
    </row>
    <row r="938" spans="1:1" x14ac:dyDescent="0.25">
      <c r="A938" s="5"/>
    </row>
    <row r="939" spans="1:1" x14ac:dyDescent="0.25">
      <c r="A939" s="5"/>
    </row>
    <row r="940" spans="1:1" x14ac:dyDescent="0.25">
      <c r="A940" s="5"/>
    </row>
    <row r="941" spans="1:1" x14ac:dyDescent="0.25">
      <c r="A941" s="5"/>
    </row>
    <row r="942" spans="1:1" x14ac:dyDescent="0.25">
      <c r="A942" s="5"/>
    </row>
    <row r="943" spans="1:1" x14ac:dyDescent="0.25">
      <c r="A943" s="5"/>
    </row>
    <row r="944" spans="1:1" x14ac:dyDescent="0.25">
      <c r="A944" s="5"/>
    </row>
    <row r="945" spans="1:1" x14ac:dyDescent="0.25">
      <c r="A945" s="5"/>
    </row>
    <row r="946" spans="1:1" x14ac:dyDescent="0.25">
      <c r="A946" s="5"/>
    </row>
    <row r="947" spans="1:1" x14ac:dyDescent="0.25">
      <c r="A947" s="5"/>
    </row>
    <row r="948" spans="1:1" x14ac:dyDescent="0.25">
      <c r="A948" s="5"/>
    </row>
    <row r="949" spans="1:1" x14ac:dyDescent="0.25">
      <c r="A949" s="5"/>
    </row>
    <row r="950" spans="1:1" x14ac:dyDescent="0.25">
      <c r="A950" s="5"/>
    </row>
    <row r="951" spans="1:1" x14ac:dyDescent="0.25">
      <c r="A951" s="5"/>
    </row>
    <row r="952" spans="1:1" x14ac:dyDescent="0.25">
      <c r="A952" s="5"/>
    </row>
    <row r="953" spans="1:1" x14ac:dyDescent="0.25">
      <c r="A953" s="5"/>
    </row>
    <row r="954" spans="1:1" x14ac:dyDescent="0.25">
      <c r="A954" s="5"/>
    </row>
    <row r="955" spans="1:1" x14ac:dyDescent="0.25">
      <c r="A955" s="5"/>
    </row>
    <row r="956" spans="1:1" x14ac:dyDescent="0.25">
      <c r="A956" s="5"/>
    </row>
    <row r="957" spans="1:1" x14ac:dyDescent="0.25">
      <c r="A957" s="5"/>
    </row>
    <row r="958" spans="1:1" x14ac:dyDescent="0.25">
      <c r="A958" s="5"/>
    </row>
    <row r="959" spans="1:1" x14ac:dyDescent="0.25">
      <c r="A959" s="5"/>
    </row>
    <row r="960" spans="1:1" x14ac:dyDescent="0.25">
      <c r="A960" s="5"/>
    </row>
    <row r="961" spans="1:1" x14ac:dyDescent="0.25">
      <c r="A961" s="5"/>
    </row>
    <row r="962" spans="1:1" x14ac:dyDescent="0.25">
      <c r="A962" s="5"/>
    </row>
    <row r="963" spans="1:1" x14ac:dyDescent="0.25">
      <c r="A963" s="5"/>
    </row>
    <row r="964" spans="1:1" x14ac:dyDescent="0.25">
      <c r="A964" s="5"/>
    </row>
    <row r="965" spans="1:1" x14ac:dyDescent="0.25">
      <c r="A965" s="5"/>
    </row>
    <row r="966" spans="1:1" x14ac:dyDescent="0.25">
      <c r="A966" s="5"/>
    </row>
    <row r="967" spans="1:1" x14ac:dyDescent="0.25">
      <c r="A967" s="5"/>
    </row>
    <row r="968" spans="1:1" x14ac:dyDescent="0.25">
      <c r="A968" s="5"/>
    </row>
    <row r="969" spans="1:1" x14ac:dyDescent="0.25">
      <c r="A969" s="5"/>
    </row>
    <row r="970" spans="1:1" x14ac:dyDescent="0.25">
      <c r="A970" s="5"/>
    </row>
    <row r="971" spans="1:1" x14ac:dyDescent="0.25">
      <c r="A971" s="5"/>
    </row>
    <row r="972" spans="1:1" x14ac:dyDescent="0.25">
      <c r="A972" s="5"/>
    </row>
    <row r="973" spans="1:1" x14ac:dyDescent="0.25">
      <c r="A973" s="5"/>
    </row>
    <row r="974" spans="1:1" x14ac:dyDescent="0.25">
      <c r="A974" s="5"/>
    </row>
    <row r="975" spans="1:1" x14ac:dyDescent="0.25">
      <c r="A975" s="5"/>
    </row>
    <row r="976" spans="1:1" x14ac:dyDescent="0.25">
      <c r="A976" s="5"/>
    </row>
    <row r="977" spans="1:1" x14ac:dyDescent="0.25">
      <c r="A977" s="5"/>
    </row>
    <row r="978" spans="1:1" x14ac:dyDescent="0.25">
      <c r="A978" s="5"/>
    </row>
    <row r="979" spans="1:1" x14ac:dyDescent="0.25">
      <c r="A979" s="5"/>
    </row>
    <row r="980" spans="1:1" x14ac:dyDescent="0.25">
      <c r="A980" s="5"/>
    </row>
    <row r="981" spans="1:1" x14ac:dyDescent="0.25">
      <c r="A981" s="5"/>
    </row>
    <row r="982" spans="1:1" x14ac:dyDescent="0.25">
      <c r="A982" s="5"/>
    </row>
    <row r="983" spans="1:1" x14ac:dyDescent="0.25">
      <c r="A983" s="5"/>
    </row>
    <row r="984" spans="1:1" x14ac:dyDescent="0.25">
      <c r="A984" s="5"/>
    </row>
    <row r="985" spans="1:1" x14ac:dyDescent="0.25">
      <c r="A985" s="5"/>
    </row>
    <row r="986" spans="1:1" x14ac:dyDescent="0.25">
      <c r="A986" s="5"/>
    </row>
    <row r="987" spans="1:1" x14ac:dyDescent="0.25">
      <c r="A987" s="5"/>
    </row>
    <row r="988" spans="1:1" x14ac:dyDescent="0.25">
      <c r="A988" s="5"/>
    </row>
    <row r="989" spans="1:1" x14ac:dyDescent="0.25">
      <c r="A989" s="5"/>
    </row>
    <row r="990" spans="1:1" x14ac:dyDescent="0.25">
      <c r="A990" s="5"/>
    </row>
    <row r="991" spans="1:1" x14ac:dyDescent="0.25">
      <c r="A991" s="5"/>
    </row>
    <row r="992" spans="1:1" x14ac:dyDescent="0.25">
      <c r="A992" s="5"/>
    </row>
    <row r="993" spans="1:1" x14ac:dyDescent="0.25">
      <c r="A993" s="5"/>
    </row>
    <row r="994" spans="1:1" x14ac:dyDescent="0.25">
      <c r="A994" s="5"/>
    </row>
    <row r="995" spans="1:1" x14ac:dyDescent="0.25">
      <c r="A995" s="5"/>
    </row>
    <row r="996" spans="1:1" x14ac:dyDescent="0.25">
      <c r="A996" s="5"/>
    </row>
    <row r="997" spans="1:1" x14ac:dyDescent="0.25">
      <c r="A997" s="5"/>
    </row>
    <row r="998" spans="1:1" x14ac:dyDescent="0.25">
      <c r="A998" s="5"/>
    </row>
    <row r="999" spans="1:1" x14ac:dyDescent="0.25">
      <c r="A999" s="5"/>
    </row>
    <row r="1000" spans="1:1" x14ac:dyDescent="0.25">
      <c r="A1000" s="5"/>
    </row>
    <row r="1001" spans="1:1" x14ac:dyDescent="0.25">
      <c r="A1001" s="5"/>
    </row>
    <row r="1002" spans="1:1" x14ac:dyDescent="0.25">
      <c r="A1002" s="5"/>
    </row>
    <row r="1003" spans="1:1" x14ac:dyDescent="0.25">
      <c r="A1003" s="5"/>
    </row>
    <row r="1004" spans="1:1" x14ac:dyDescent="0.25">
      <c r="A1004" s="5"/>
    </row>
    <row r="1005" spans="1:1" x14ac:dyDescent="0.25">
      <c r="A1005" s="5"/>
    </row>
    <row r="1006" spans="1:1" x14ac:dyDescent="0.25">
      <c r="A1006" s="5"/>
    </row>
    <row r="1007" spans="1:1" x14ac:dyDescent="0.25">
      <c r="A1007" s="5"/>
    </row>
    <row r="1008" spans="1:1" x14ac:dyDescent="0.25">
      <c r="A1008" s="5"/>
    </row>
    <row r="1009" spans="1:1" x14ac:dyDescent="0.25">
      <c r="A1009" s="5"/>
    </row>
    <row r="1010" spans="1:1" x14ac:dyDescent="0.25">
      <c r="A1010" s="5"/>
    </row>
    <row r="1011" spans="1:1" x14ac:dyDescent="0.25">
      <c r="A1011" s="5"/>
    </row>
    <row r="1012" spans="1:1" x14ac:dyDescent="0.25">
      <c r="A1012" s="5"/>
    </row>
    <row r="1013" spans="1:1" x14ac:dyDescent="0.25">
      <c r="A1013" s="5"/>
    </row>
    <row r="1014" spans="1:1" x14ac:dyDescent="0.25">
      <c r="A1014" s="5"/>
    </row>
    <row r="1015" spans="1:1" x14ac:dyDescent="0.25">
      <c r="A1015" s="5"/>
    </row>
    <row r="1016" spans="1:1" x14ac:dyDescent="0.25">
      <c r="A1016" s="5"/>
    </row>
    <row r="1017" spans="1:1" x14ac:dyDescent="0.25">
      <c r="A1017" s="5"/>
    </row>
    <row r="1018" spans="1:1" x14ac:dyDescent="0.25">
      <c r="A1018" s="5"/>
    </row>
    <row r="1019" spans="1:1" x14ac:dyDescent="0.25">
      <c r="A1019" s="5"/>
    </row>
    <row r="1020" spans="1:1" x14ac:dyDescent="0.25">
      <c r="A1020" s="5"/>
    </row>
    <row r="1021" spans="1:1" x14ac:dyDescent="0.25">
      <c r="A1021" s="5"/>
    </row>
    <row r="1022" spans="1:1" x14ac:dyDescent="0.25">
      <c r="A1022" s="5"/>
    </row>
    <row r="1023" spans="1:1" x14ac:dyDescent="0.25">
      <c r="A1023" s="5"/>
    </row>
    <row r="1024" spans="1:1" x14ac:dyDescent="0.25">
      <c r="A1024" s="5"/>
    </row>
    <row r="1025" spans="1:1" x14ac:dyDescent="0.25">
      <c r="A1025" s="5"/>
    </row>
    <row r="1026" spans="1:1" x14ac:dyDescent="0.25">
      <c r="A1026" s="5"/>
    </row>
    <row r="1027" spans="1:1" x14ac:dyDescent="0.25">
      <c r="A1027" s="5"/>
    </row>
    <row r="1028" spans="1:1" x14ac:dyDescent="0.25">
      <c r="A1028" s="5"/>
    </row>
    <row r="1029" spans="1:1" x14ac:dyDescent="0.25">
      <c r="A1029" s="5"/>
    </row>
    <row r="1030" spans="1:1" x14ac:dyDescent="0.25">
      <c r="A1030" s="5"/>
    </row>
    <row r="1031" spans="1:1" x14ac:dyDescent="0.25">
      <c r="A1031" s="5"/>
    </row>
    <row r="1032" spans="1:1" x14ac:dyDescent="0.25">
      <c r="A1032" s="5"/>
    </row>
    <row r="1033" spans="1:1" x14ac:dyDescent="0.25">
      <c r="A1033" s="5"/>
    </row>
    <row r="1034" spans="1:1" x14ac:dyDescent="0.25">
      <c r="A1034" s="5"/>
    </row>
    <row r="1035" spans="1:1" x14ac:dyDescent="0.25">
      <c r="A1035" s="5"/>
    </row>
    <row r="1036" spans="1:1" x14ac:dyDescent="0.25">
      <c r="A1036" s="5"/>
    </row>
    <row r="1037" spans="1:1" x14ac:dyDescent="0.25">
      <c r="A1037" s="5"/>
    </row>
    <row r="1038" spans="1:1" x14ac:dyDescent="0.25">
      <c r="A1038" s="5"/>
    </row>
    <row r="1039" spans="1:1" x14ac:dyDescent="0.25">
      <c r="A1039" s="5"/>
    </row>
    <row r="1040" spans="1:1" x14ac:dyDescent="0.25">
      <c r="A1040" s="5"/>
    </row>
    <row r="1041" spans="1:1" x14ac:dyDescent="0.25">
      <c r="A1041" s="5"/>
    </row>
    <row r="1042" spans="1:1" x14ac:dyDescent="0.25">
      <c r="A1042" s="5"/>
    </row>
    <row r="1043" spans="1:1" x14ac:dyDescent="0.25">
      <c r="A1043" s="5"/>
    </row>
    <row r="1044" spans="1:1" x14ac:dyDescent="0.25">
      <c r="A1044" s="5"/>
    </row>
    <row r="1045" spans="1:1" x14ac:dyDescent="0.25">
      <c r="A1045" s="5"/>
    </row>
    <row r="1046" spans="1:1" x14ac:dyDescent="0.25">
      <c r="A1046" s="5"/>
    </row>
    <row r="1047" spans="1:1" x14ac:dyDescent="0.25">
      <c r="A1047" s="5"/>
    </row>
    <row r="1048" spans="1:1" x14ac:dyDescent="0.25">
      <c r="A1048" s="5"/>
    </row>
    <row r="1049" spans="1:1" x14ac:dyDescent="0.25">
      <c r="A1049" s="5"/>
    </row>
    <row r="1050" spans="1:1" x14ac:dyDescent="0.25">
      <c r="A1050" s="5"/>
    </row>
    <row r="1051" spans="1:1" x14ac:dyDescent="0.25">
      <c r="A1051" s="5"/>
    </row>
    <row r="1052" spans="1:1" x14ac:dyDescent="0.25">
      <c r="A1052" s="5"/>
    </row>
    <row r="1053" spans="1:1" x14ac:dyDescent="0.25">
      <c r="A1053" s="5"/>
    </row>
    <row r="1054" spans="1:1" x14ac:dyDescent="0.25">
      <c r="A1054" s="5"/>
    </row>
    <row r="1055" spans="1:1" x14ac:dyDescent="0.25">
      <c r="A1055" s="5"/>
    </row>
    <row r="1056" spans="1:1" x14ac:dyDescent="0.25">
      <c r="A1056" s="5"/>
    </row>
    <row r="1057" spans="1:1" x14ac:dyDescent="0.25">
      <c r="A1057" s="5"/>
    </row>
    <row r="1058" spans="1:1" x14ac:dyDescent="0.25">
      <c r="A1058" s="5"/>
    </row>
    <row r="1059" spans="1:1" x14ac:dyDescent="0.25">
      <c r="A1059" s="5"/>
    </row>
    <row r="1060" spans="1:1" x14ac:dyDescent="0.25">
      <c r="A1060" s="5"/>
    </row>
    <row r="1061" spans="1:1" x14ac:dyDescent="0.25">
      <c r="A1061" s="5"/>
    </row>
    <row r="1062" spans="1:1" x14ac:dyDescent="0.25">
      <c r="A1062" s="5"/>
    </row>
    <row r="1063" spans="1:1" x14ac:dyDescent="0.25">
      <c r="A1063" s="5"/>
    </row>
    <row r="1064" spans="1:1" x14ac:dyDescent="0.25">
      <c r="A1064" s="5"/>
    </row>
    <row r="1065" spans="1:1" x14ac:dyDescent="0.25">
      <c r="A1065" s="5"/>
    </row>
    <row r="1066" spans="1:1" x14ac:dyDescent="0.25">
      <c r="A1066" s="5"/>
    </row>
    <row r="1067" spans="1:1" x14ac:dyDescent="0.25">
      <c r="A1067" s="5"/>
    </row>
    <row r="1068" spans="1:1" x14ac:dyDescent="0.25">
      <c r="A1068" s="5"/>
    </row>
    <row r="1069" spans="1:1" x14ac:dyDescent="0.25">
      <c r="A1069" s="5"/>
    </row>
    <row r="1070" spans="1:1" x14ac:dyDescent="0.25">
      <c r="A1070" s="5"/>
    </row>
    <row r="1071" spans="1:1" x14ac:dyDescent="0.25">
      <c r="A1071" s="5"/>
    </row>
    <row r="1072" spans="1:1" x14ac:dyDescent="0.25">
      <c r="A1072" s="5"/>
    </row>
    <row r="1073" spans="1:1" x14ac:dyDescent="0.25">
      <c r="A1073" s="5"/>
    </row>
    <row r="1074" spans="1:1" x14ac:dyDescent="0.25">
      <c r="A1074" s="5"/>
    </row>
    <row r="1075" spans="1:1" x14ac:dyDescent="0.25">
      <c r="A1075" s="5"/>
    </row>
    <row r="1076" spans="1:1" x14ac:dyDescent="0.25">
      <c r="A1076" s="5"/>
    </row>
    <row r="1077" spans="1:1" x14ac:dyDescent="0.25">
      <c r="A1077" s="5"/>
    </row>
    <row r="1078" spans="1:1" x14ac:dyDescent="0.25">
      <c r="A1078" s="5"/>
    </row>
    <row r="1079" spans="1:1" x14ac:dyDescent="0.25">
      <c r="A1079" s="5"/>
    </row>
    <row r="1080" spans="1:1" x14ac:dyDescent="0.25">
      <c r="A1080" s="5"/>
    </row>
    <row r="1081" spans="1:1" x14ac:dyDescent="0.25">
      <c r="A1081" s="5"/>
    </row>
    <row r="1082" spans="1:1" x14ac:dyDescent="0.25">
      <c r="A1082" s="5"/>
    </row>
    <row r="1083" spans="1:1" x14ac:dyDescent="0.25">
      <c r="A1083" s="5"/>
    </row>
    <row r="1084" spans="1:1" x14ac:dyDescent="0.25">
      <c r="A1084" s="5"/>
    </row>
    <row r="1085" spans="1:1" x14ac:dyDescent="0.25">
      <c r="A1085" s="5"/>
    </row>
    <row r="1086" spans="1:1" x14ac:dyDescent="0.25">
      <c r="A1086" s="5"/>
    </row>
    <row r="1087" spans="1:1" x14ac:dyDescent="0.25">
      <c r="A1087" s="5"/>
    </row>
    <row r="1088" spans="1:1" x14ac:dyDescent="0.25">
      <c r="A1088" s="5"/>
    </row>
    <row r="1089" spans="1:1" x14ac:dyDescent="0.25">
      <c r="A1089" s="5"/>
    </row>
    <row r="1090" spans="1:1" x14ac:dyDescent="0.25">
      <c r="A1090" s="5"/>
    </row>
    <row r="1091" spans="1:1" x14ac:dyDescent="0.25">
      <c r="A1091" s="5"/>
    </row>
    <row r="1092" spans="1:1" x14ac:dyDescent="0.25">
      <c r="A1092" s="5"/>
    </row>
    <row r="1093" spans="1:1" x14ac:dyDescent="0.25">
      <c r="A1093" s="5"/>
    </row>
    <row r="1094" spans="1:1" x14ac:dyDescent="0.25">
      <c r="A1094" s="5"/>
    </row>
    <row r="1095" spans="1:1" x14ac:dyDescent="0.25">
      <c r="A1095" s="5"/>
    </row>
    <row r="1096" spans="1:1" x14ac:dyDescent="0.25">
      <c r="A1096" s="5"/>
    </row>
    <row r="1097" spans="1:1" x14ac:dyDescent="0.25">
      <c r="A1097" s="5"/>
    </row>
    <row r="1098" spans="1:1" x14ac:dyDescent="0.25">
      <c r="A1098" s="5"/>
    </row>
    <row r="1099" spans="1:1" x14ac:dyDescent="0.25">
      <c r="A1099" s="5"/>
    </row>
    <row r="1100" spans="1:1" x14ac:dyDescent="0.25">
      <c r="A1100" s="5"/>
    </row>
    <row r="1101" spans="1:1" x14ac:dyDescent="0.25">
      <c r="A1101" s="5"/>
    </row>
    <row r="1102" spans="1:1" x14ac:dyDescent="0.25">
      <c r="A1102" s="5"/>
    </row>
    <row r="1103" spans="1:1" x14ac:dyDescent="0.25">
      <c r="A1103" s="5"/>
    </row>
    <row r="1104" spans="1:1" x14ac:dyDescent="0.25">
      <c r="A1104" s="5"/>
    </row>
    <row r="1105" spans="1:1" x14ac:dyDescent="0.25">
      <c r="A1105" s="5"/>
    </row>
    <row r="1106" spans="1:1" x14ac:dyDescent="0.25">
      <c r="A1106" s="5"/>
    </row>
    <row r="1107" spans="1:1" x14ac:dyDescent="0.25">
      <c r="A1107" s="5"/>
    </row>
    <row r="1108" spans="1:1" x14ac:dyDescent="0.25">
      <c r="A1108" s="5"/>
    </row>
    <row r="1109" spans="1:1" x14ac:dyDescent="0.25">
      <c r="A1109" s="5"/>
    </row>
    <row r="1110" spans="1:1" x14ac:dyDescent="0.25">
      <c r="A1110" s="5"/>
    </row>
    <row r="1111" spans="1:1" x14ac:dyDescent="0.25">
      <c r="A1111" s="5"/>
    </row>
    <row r="1112" spans="1:1" x14ac:dyDescent="0.25">
      <c r="A1112" s="5"/>
    </row>
    <row r="1113" spans="1:1" x14ac:dyDescent="0.25">
      <c r="A1113" s="5"/>
    </row>
    <row r="1114" spans="1:1" x14ac:dyDescent="0.25">
      <c r="A1114" s="5"/>
    </row>
    <row r="1115" spans="1:1" x14ac:dyDescent="0.25">
      <c r="A1115" s="5"/>
    </row>
    <row r="1116" spans="1:1" x14ac:dyDescent="0.25">
      <c r="A1116" s="5"/>
    </row>
    <row r="1117" spans="1:1" x14ac:dyDescent="0.25">
      <c r="A1117" s="5"/>
    </row>
    <row r="1118" spans="1:1" x14ac:dyDescent="0.25">
      <c r="A1118" s="5"/>
    </row>
    <row r="1119" spans="1:1" x14ac:dyDescent="0.25">
      <c r="A1119" s="5"/>
    </row>
    <row r="1120" spans="1:1" x14ac:dyDescent="0.25">
      <c r="A1120" s="5"/>
    </row>
    <row r="1121" spans="1:1" x14ac:dyDescent="0.25">
      <c r="A1121" s="5"/>
    </row>
    <row r="1122" spans="1:1" x14ac:dyDescent="0.25">
      <c r="A1122" s="5"/>
    </row>
    <row r="1123" spans="1:1" x14ac:dyDescent="0.25">
      <c r="A1123" s="5"/>
    </row>
    <row r="1124" spans="1:1" x14ac:dyDescent="0.25">
      <c r="A1124" s="5"/>
    </row>
    <row r="1125" spans="1:1" x14ac:dyDescent="0.25">
      <c r="A1125" s="5"/>
    </row>
    <row r="1126" spans="1:1" x14ac:dyDescent="0.25">
      <c r="A1126" s="5"/>
    </row>
    <row r="1127" spans="1:1" x14ac:dyDescent="0.25">
      <c r="A1127" s="5"/>
    </row>
    <row r="1128" spans="1:1" x14ac:dyDescent="0.25">
      <c r="A1128" s="5"/>
    </row>
    <row r="1129" spans="1:1" x14ac:dyDescent="0.25">
      <c r="A1129" s="5"/>
    </row>
    <row r="1130" spans="1:1" x14ac:dyDescent="0.25">
      <c r="A1130" s="5"/>
    </row>
    <row r="1131" spans="1:1" x14ac:dyDescent="0.25">
      <c r="A1131" s="5"/>
    </row>
    <row r="1132" spans="1:1" x14ac:dyDescent="0.25">
      <c r="A1132" s="5"/>
    </row>
    <row r="1133" spans="1:1" x14ac:dyDescent="0.25">
      <c r="A1133" s="5"/>
    </row>
    <row r="1134" spans="1:1" x14ac:dyDescent="0.25">
      <c r="A1134" s="5"/>
    </row>
    <row r="1135" spans="1:1" x14ac:dyDescent="0.25">
      <c r="A1135" s="5"/>
    </row>
    <row r="1136" spans="1:1" x14ac:dyDescent="0.25">
      <c r="A1136" s="5"/>
    </row>
    <row r="1137" spans="1:1" x14ac:dyDescent="0.25">
      <c r="A1137" s="5"/>
    </row>
    <row r="1138" spans="1:1" x14ac:dyDescent="0.25">
      <c r="A1138" s="5"/>
    </row>
    <row r="1139" spans="1:1" x14ac:dyDescent="0.25">
      <c r="A1139" s="5"/>
    </row>
    <row r="1140" spans="1:1" x14ac:dyDescent="0.25">
      <c r="A1140" s="5"/>
    </row>
    <row r="1141" spans="1:1" x14ac:dyDescent="0.25">
      <c r="A1141" s="5"/>
    </row>
    <row r="1142" spans="1:1" x14ac:dyDescent="0.25">
      <c r="A1142" s="5"/>
    </row>
    <row r="1143" spans="1:1" x14ac:dyDescent="0.25">
      <c r="A1143" s="5"/>
    </row>
    <row r="1144" spans="1:1" x14ac:dyDescent="0.25">
      <c r="A1144" s="5"/>
    </row>
    <row r="1145" spans="1:1" x14ac:dyDescent="0.25">
      <c r="A1145" s="5"/>
    </row>
    <row r="1146" spans="1:1" x14ac:dyDescent="0.25">
      <c r="A1146" s="5"/>
    </row>
    <row r="1147" spans="1:1" x14ac:dyDescent="0.25">
      <c r="A1147" s="5"/>
    </row>
    <row r="1148" spans="1:1" x14ac:dyDescent="0.25">
      <c r="A1148" s="5"/>
    </row>
    <row r="1149" spans="1:1" x14ac:dyDescent="0.25">
      <c r="A1149" s="5"/>
    </row>
    <row r="1150" spans="1:1" x14ac:dyDescent="0.25">
      <c r="A1150" s="5"/>
    </row>
    <row r="1151" spans="1:1" x14ac:dyDescent="0.25">
      <c r="A1151" s="5"/>
    </row>
    <row r="1152" spans="1:1" x14ac:dyDescent="0.25">
      <c r="A1152" s="5"/>
    </row>
    <row r="1153" spans="1:1" x14ac:dyDescent="0.25">
      <c r="A1153" s="5"/>
    </row>
    <row r="1154" spans="1:1" x14ac:dyDescent="0.25">
      <c r="A1154" s="5"/>
    </row>
    <row r="1155" spans="1:1" x14ac:dyDescent="0.25">
      <c r="A1155" s="5"/>
    </row>
    <row r="1156" spans="1:1" x14ac:dyDescent="0.25">
      <c r="A1156" s="5"/>
    </row>
    <row r="1157" spans="1:1" x14ac:dyDescent="0.25">
      <c r="A1157" s="5"/>
    </row>
    <row r="1158" spans="1:1" x14ac:dyDescent="0.25">
      <c r="A1158" s="5"/>
    </row>
    <row r="1159" spans="1:1" x14ac:dyDescent="0.25">
      <c r="A1159" s="5"/>
    </row>
    <row r="1160" spans="1:1" x14ac:dyDescent="0.25">
      <c r="A1160" s="5"/>
    </row>
    <row r="1161" spans="1:1" x14ac:dyDescent="0.25">
      <c r="A1161" s="5"/>
    </row>
    <row r="1162" spans="1:1" x14ac:dyDescent="0.25">
      <c r="A1162" s="5"/>
    </row>
    <row r="1163" spans="1:1" x14ac:dyDescent="0.25">
      <c r="A1163" s="5"/>
    </row>
    <row r="1164" spans="1:1" x14ac:dyDescent="0.25">
      <c r="A1164" s="5"/>
    </row>
    <row r="1165" spans="1:1" x14ac:dyDescent="0.25">
      <c r="A1165" s="5"/>
    </row>
    <row r="1166" spans="1:1" x14ac:dyDescent="0.25">
      <c r="A1166" s="5"/>
    </row>
    <row r="1167" spans="1:1" x14ac:dyDescent="0.25">
      <c r="A1167" s="5"/>
    </row>
    <row r="1168" spans="1:1" x14ac:dyDescent="0.25">
      <c r="A1168" s="5"/>
    </row>
    <row r="1169" spans="1:1" x14ac:dyDescent="0.25">
      <c r="A1169" s="5"/>
    </row>
    <row r="1170" spans="1:1" x14ac:dyDescent="0.25">
      <c r="A1170" s="5"/>
    </row>
    <row r="1171" spans="1:1" x14ac:dyDescent="0.25">
      <c r="A1171" s="5"/>
    </row>
    <row r="1172" spans="1:1" x14ac:dyDescent="0.25">
      <c r="A1172" s="5"/>
    </row>
    <row r="1173" spans="1:1" x14ac:dyDescent="0.25">
      <c r="A1173" s="5"/>
    </row>
    <row r="1174" spans="1:1" x14ac:dyDescent="0.25">
      <c r="A1174" s="5"/>
    </row>
    <row r="1175" spans="1:1" x14ac:dyDescent="0.25">
      <c r="A1175" s="5"/>
    </row>
    <row r="1176" spans="1:1" x14ac:dyDescent="0.25">
      <c r="A1176" s="5"/>
    </row>
    <row r="1177" spans="1:1" x14ac:dyDescent="0.25">
      <c r="A1177" s="5"/>
    </row>
    <row r="1178" spans="1:1" x14ac:dyDescent="0.25">
      <c r="A1178" s="5"/>
    </row>
    <row r="1179" spans="1:1" x14ac:dyDescent="0.25">
      <c r="A1179" s="5"/>
    </row>
    <row r="1180" spans="1:1" x14ac:dyDescent="0.25">
      <c r="A1180" s="5"/>
    </row>
    <row r="1181" spans="1:1" x14ac:dyDescent="0.25">
      <c r="A1181" s="5"/>
    </row>
    <row r="1182" spans="1:1" x14ac:dyDescent="0.25">
      <c r="A1182" s="5"/>
    </row>
    <row r="1183" spans="1:1" x14ac:dyDescent="0.25">
      <c r="A1183" s="5"/>
    </row>
    <row r="1184" spans="1:1" x14ac:dyDescent="0.25">
      <c r="A1184" s="5"/>
    </row>
    <row r="1185" spans="1:1" x14ac:dyDescent="0.25">
      <c r="A1185" s="5"/>
    </row>
    <row r="1186" spans="1:1" x14ac:dyDescent="0.25">
      <c r="A1186" s="5"/>
    </row>
    <row r="1187" spans="1:1" x14ac:dyDescent="0.25">
      <c r="A1187" s="5"/>
    </row>
    <row r="1188" spans="1:1" x14ac:dyDescent="0.25">
      <c r="A1188" s="5"/>
    </row>
    <row r="1189" spans="1:1" x14ac:dyDescent="0.25">
      <c r="A1189" s="5"/>
    </row>
    <row r="1190" spans="1:1" x14ac:dyDescent="0.25">
      <c r="A1190" s="5"/>
    </row>
    <row r="1191" spans="1:1" x14ac:dyDescent="0.25">
      <c r="A1191" s="5"/>
    </row>
    <row r="1192" spans="1:1" x14ac:dyDescent="0.25">
      <c r="A1192" s="5"/>
    </row>
    <row r="1193" spans="1:1" x14ac:dyDescent="0.25">
      <c r="A1193" s="5"/>
    </row>
    <row r="1194" spans="1:1" x14ac:dyDescent="0.25">
      <c r="A1194" s="5"/>
    </row>
    <row r="1195" spans="1:1" x14ac:dyDescent="0.25">
      <c r="A1195" s="5"/>
    </row>
    <row r="1196" spans="1:1" x14ac:dyDescent="0.25">
      <c r="A1196" s="5"/>
    </row>
    <row r="1197" spans="1:1" x14ac:dyDescent="0.25">
      <c r="A1197" s="5"/>
    </row>
    <row r="1198" spans="1:1" x14ac:dyDescent="0.25">
      <c r="A1198" s="5"/>
    </row>
    <row r="1199" spans="1:1" x14ac:dyDescent="0.25">
      <c r="A1199" s="5"/>
    </row>
    <row r="1200" spans="1:1" x14ac:dyDescent="0.25">
      <c r="A1200" s="5"/>
    </row>
    <row r="1201" spans="1:1" x14ac:dyDescent="0.25">
      <c r="A1201" s="5"/>
    </row>
    <row r="1202" spans="1:1" x14ac:dyDescent="0.25">
      <c r="A1202" s="5"/>
    </row>
    <row r="1203" spans="1:1" x14ac:dyDescent="0.25">
      <c r="A1203" s="5"/>
    </row>
    <row r="1204" spans="1:1" x14ac:dyDescent="0.25">
      <c r="A1204" s="5"/>
    </row>
    <row r="1205" spans="1:1" x14ac:dyDescent="0.25">
      <c r="A1205" s="5"/>
    </row>
    <row r="1206" spans="1:1" x14ac:dyDescent="0.25">
      <c r="A1206" s="5"/>
    </row>
    <row r="1207" spans="1:1" x14ac:dyDescent="0.25">
      <c r="A1207" s="5"/>
    </row>
    <row r="1208" spans="1:1" x14ac:dyDescent="0.25">
      <c r="A1208" s="5"/>
    </row>
    <row r="1209" spans="1:1" x14ac:dyDescent="0.25">
      <c r="A1209" s="5"/>
    </row>
    <row r="1210" spans="1:1" x14ac:dyDescent="0.25">
      <c r="A1210" s="5"/>
    </row>
    <row r="1211" spans="1:1" x14ac:dyDescent="0.25">
      <c r="A1211" s="5"/>
    </row>
    <row r="1212" spans="1:1" x14ac:dyDescent="0.25">
      <c r="A1212" s="5"/>
    </row>
    <row r="1213" spans="1:1" x14ac:dyDescent="0.25">
      <c r="A1213" s="5"/>
    </row>
    <row r="1214" spans="1:1" x14ac:dyDescent="0.25">
      <c r="A1214" s="5"/>
    </row>
    <row r="1215" spans="1:1" x14ac:dyDescent="0.25">
      <c r="A1215" s="5"/>
    </row>
    <row r="1216" spans="1:1" x14ac:dyDescent="0.25">
      <c r="A1216" s="5"/>
    </row>
    <row r="1217" spans="1:1" x14ac:dyDescent="0.25">
      <c r="A1217" s="5"/>
    </row>
    <row r="1218" spans="1:1" x14ac:dyDescent="0.25">
      <c r="A1218" s="5"/>
    </row>
    <row r="1219" spans="1:1" x14ac:dyDescent="0.25">
      <c r="A1219" s="5"/>
    </row>
    <row r="1220" spans="1:1" x14ac:dyDescent="0.25">
      <c r="A1220" s="5"/>
    </row>
    <row r="1221" spans="1:1" x14ac:dyDescent="0.25">
      <c r="A1221" s="5"/>
    </row>
    <row r="1222" spans="1:1" x14ac:dyDescent="0.25">
      <c r="A1222" s="5"/>
    </row>
    <row r="1223" spans="1:1" x14ac:dyDescent="0.25">
      <c r="A1223" s="5"/>
    </row>
    <row r="1224" spans="1:1" x14ac:dyDescent="0.25">
      <c r="A1224" s="5"/>
    </row>
    <row r="1225" spans="1:1" x14ac:dyDescent="0.25">
      <c r="A1225" s="5"/>
    </row>
    <row r="1226" spans="1:1" x14ac:dyDescent="0.25">
      <c r="A1226" s="5"/>
    </row>
    <row r="1227" spans="1:1" x14ac:dyDescent="0.25">
      <c r="A1227" s="5"/>
    </row>
    <row r="1228" spans="1:1" x14ac:dyDescent="0.25">
      <c r="A1228" s="5"/>
    </row>
    <row r="1229" spans="1:1" x14ac:dyDescent="0.25">
      <c r="A1229" s="5"/>
    </row>
    <row r="1230" spans="1:1" x14ac:dyDescent="0.25">
      <c r="A1230" s="5"/>
    </row>
    <row r="1231" spans="1:1" x14ac:dyDescent="0.25">
      <c r="A1231" s="5"/>
    </row>
    <row r="1232" spans="1:1" x14ac:dyDescent="0.25">
      <c r="A1232" s="5"/>
    </row>
    <row r="1233" spans="1:1" x14ac:dyDescent="0.25">
      <c r="A1233" s="5"/>
    </row>
    <row r="1234" spans="1:1" x14ac:dyDescent="0.25">
      <c r="A1234" s="5"/>
    </row>
    <row r="1235" spans="1:1" x14ac:dyDescent="0.25">
      <c r="A1235" s="5"/>
    </row>
    <row r="1236" spans="1:1" x14ac:dyDescent="0.25">
      <c r="A1236" s="5"/>
    </row>
    <row r="1237" spans="1:1" x14ac:dyDescent="0.25">
      <c r="A1237" s="5"/>
    </row>
    <row r="1238" spans="1:1" x14ac:dyDescent="0.25">
      <c r="A1238" s="5"/>
    </row>
    <row r="1239" spans="1:1" x14ac:dyDescent="0.25">
      <c r="A1239" s="5"/>
    </row>
    <row r="1240" spans="1:1" x14ac:dyDescent="0.25">
      <c r="A1240" s="5"/>
    </row>
    <row r="1241" spans="1:1" x14ac:dyDescent="0.25">
      <c r="A1241" s="5"/>
    </row>
    <row r="1242" spans="1:1" x14ac:dyDescent="0.25">
      <c r="A1242" s="5"/>
    </row>
    <row r="1243" spans="1:1" x14ac:dyDescent="0.25">
      <c r="A1243" s="5"/>
    </row>
    <row r="1244" spans="1:1" x14ac:dyDescent="0.25">
      <c r="A1244" s="5"/>
    </row>
    <row r="1245" spans="1:1" x14ac:dyDescent="0.25">
      <c r="A1245" s="5"/>
    </row>
    <row r="1246" spans="1:1" x14ac:dyDescent="0.25">
      <c r="A1246" s="5"/>
    </row>
    <row r="1247" spans="1:1" x14ac:dyDescent="0.25">
      <c r="A1247" s="5"/>
    </row>
    <row r="1248" spans="1:1" x14ac:dyDescent="0.25">
      <c r="A1248" s="5"/>
    </row>
    <row r="1249" spans="1:1" x14ac:dyDescent="0.25">
      <c r="A1249" s="5"/>
    </row>
    <row r="1250" spans="1:1" x14ac:dyDescent="0.25">
      <c r="A1250" s="5"/>
    </row>
    <row r="1251" spans="1:1" x14ac:dyDescent="0.25">
      <c r="A1251" s="5"/>
    </row>
    <row r="1252" spans="1:1" x14ac:dyDescent="0.25">
      <c r="A1252" s="5"/>
    </row>
    <row r="1253" spans="1:1" x14ac:dyDescent="0.25">
      <c r="A1253" s="5"/>
    </row>
    <row r="1254" spans="1:1" x14ac:dyDescent="0.25">
      <c r="A1254" s="5"/>
    </row>
    <row r="1255" spans="1:1" x14ac:dyDescent="0.25">
      <c r="A1255" s="5"/>
    </row>
    <row r="1256" spans="1:1" x14ac:dyDescent="0.25">
      <c r="A1256" s="5"/>
    </row>
    <row r="1257" spans="1:1" x14ac:dyDescent="0.25">
      <c r="A1257" s="5"/>
    </row>
    <row r="1258" spans="1:1" x14ac:dyDescent="0.25">
      <c r="A1258" s="5"/>
    </row>
    <row r="1259" spans="1:1" x14ac:dyDescent="0.25">
      <c r="A1259" s="5"/>
    </row>
    <row r="1260" spans="1:1" x14ac:dyDescent="0.25">
      <c r="A1260" s="5"/>
    </row>
    <row r="1261" spans="1:1" x14ac:dyDescent="0.25">
      <c r="A1261" s="5"/>
    </row>
    <row r="1262" spans="1:1" x14ac:dyDescent="0.25">
      <c r="A1262" s="5"/>
    </row>
    <row r="1263" spans="1:1" x14ac:dyDescent="0.25">
      <c r="A1263" s="5"/>
    </row>
    <row r="1264" spans="1:1" x14ac:dyDescent="0.25">
      <c r="A1264" s="5"/>
    </row>
    <row r="1265" spans="1:1" x14ac:dyDescent="0.25">
      <c r="A1265" s="5"/>
    </row>
    <row r="1266" spans="1:1" x14ac:dyDescent="0.25">
      <c r="A1266" s="5"/>
    </row>
    <row r="1267" spans="1:1" x14ac:dyDescent="0.25">
      <c r="A1267" s="5"/>
    </row>
    <row r="1268" spans="1:1" x14ac:dyDescent="0.25">
      <c r="A1268" s="5"/>
    </row>
    <row r="1269" spans="1:1" x14ac:dyDescent="0.25">
      <c r="A1269" s="5"/>
    </row>
    <row r="1270" spans="1:1" x14ac:dyDescent="0.25">
      <c r="A1270" s="5"/>
    </row>
    <row r="1271" spans="1:1" x14ac:dyDescent="0.25">
      <c r="A1271" s="5"/>
    </row>
    <row r="1272" spans="1:1" x14ac:dyDescent="0.25">
      <c r="A1272" s="5"/>
    </row>
    <row r="1273" spans="1:1" x14ac:dyDescent="0.25">
      <c r="A1273" s="5"/>
    </row>
    <row r="1274" spans="1:1" x14ac:dyDescent="0.25">
      <c r="A1274" s="5"/>
    </row>
    <row r="1275" spans="1:1" x14ac:dyDescent="0.25">
      <c r="A1275" s="5"/>
    </row>
    <row r="1276" spans="1:1" x14ac:dyDescent="0.25">
      <c r="A1276" s="5"/>
    </row>
    <row r="1277" spans="1:1" x14ac:dyDescent="0.25">
      <c r="A1277" s="5"/>
    </row>
    <row r="1278" spans="1:1" x14ac:dyDescent="0.25">
      <c r="A1278" s="5"/>
    </row>
    <row r="1279" spans="1:1" x14ac:dyDescent="0.25">
      <c r="A1279" s="5"/>
    </row>
    <row r="1280" spans="1:1" x14ac:dyDescent="0.25">
      <c r="A1280" s="5"/>
    </row>
    <row r="1281" spans="1:1" x14ac:dyDescent="0.25">
      <c r="A1281" s="5"/>
    </row>
    <row r="1282" spans="1:1" x14ac:dyDescent="0.25">
      <c r="A1282" s="5"/>
    </row>
    <row r="1283" spans="1:1" x14ac:dyDescent="0.25">
      <c r="A1283" s="5"/>
    </row>
    <row r="1284" spans="1:1" x14ac:dyDescent="0.25">
      <c r="A1284" s="5"/>
    </row>
    <row r="1285" spans="1:1" x14ac:dyDescent="0.25">
      <c r="A1285" s="5"/>
    </row>
    <row r="1286" spans="1:1" x14ac:dyDescent="0.25">
      <c r="A1286" s="5"/>
    </row>
    <row r="1287" spans="1:1" x14ac:dyDescent="0.25">
      <c r="A1287" s="5"/>
    </row>
    <row r="1288" spans="1:1" x14ac:dyDescent="0.25">
      <c r="A1288" s="5"/>
    </row>
    <row r="1289" spans="1:1" x14ac:dyDescent="0.25">
      <c r="A1289" s="5"/>
    </row>
    <row r="1290" spans="1:1" x14ac:dyDescent="0.25">
      <c r="A1290" s="5"/>
    </row>
    <row r="1291" spans="1:1" x14ac:dyDescent="0.25">
      <c r="A1291" s="5"/>
    </row>
    <row r="1292" spans="1:1" x14ac:dyDescent="0.25">
      <c r="A1292" s="5"/>
    </row>
    <row r="1293" spans="1:1" x14ac:dyDescent="0.25">
      <c r="A1293" s="5"/>
    </row>
    <row r="1294" spans="1:1" x14ac:dyDescent="0.25">
      <c r="A1294" s="5"/>
    </row>
    <row r="1295" spans="1:1" x14ac:dyDescent="0.25">
      <c r="A1295" s="5"/>
    </row>
    <row r="1296" spans="1:1" x14ac:dyDescent="0.25">
      <c r="A1296" s="5"/>
    </row>
    <row r="1297" spans="1:1" x14ac:dyDescent="0.25">
      <c r="A1297" s="5"/>
    </row>
    <row r="1298" spans="1:1" x14ac:dyDescent="0.25">
      <c r="A1298" s="5"/>
    </row>
    <row r="1299" spans="1:1" x14ac:dyDescent="0.25">
      <c r="A1299" s="5"/>
    </row>
    <row r="1300" spans="1:1" x14ac:dyDescent="0.25">
      <c r="A1300" s="5"/>
    </row>
    <row r="1301" spans="1:1" x14ac:dyDescent="0.25">
      <c r="A1301" s="5"/>
    </row>
    <row r="1302" spans="1:1" x14ac:dyDescent="0.25">
      <c r="A1302" s="5"/>
    </row>
    <row r="1303" spans="1:1" x14ac:dyDescent="0.25">
      <c r="A1303" s="5"/>
    </row>
    <row r="1304" spans="1:1" x14ac:dyDescent="0.25">
      <c r="A1304" s="5"/>
    </row>
    <row r="1305" spans="1:1" x14ac:dyDescent="0.25">
      <c r="A1305" s="5"/>
    </row>
    <row r="1306" spans="1:1" x14ac:dyDescent="0.25">
      <c r="A1306" s="5"/>
    </row>
    <row r="1307" spans="1:1" x14ac:dyDescent="0.25">
      <c r="A1307" s="5"/>
    </row>
    <row r="1308" spans="1:1" x14ac:dyDescent="0.25">
      <c r="A1308" s="5"/>
    </row>
    <row r="1309" spans="1:1" x14ac:dyDescent="0.25">
      <c r="A1309" s="5"/>
    </row>
    <row r="1310" spans="1:1" x14ac:dyDescent="0.25">
      <c r="A1310" s="5"/>
    </row>
    <row r="1311" spans="1:1" x14ac:dyDescent="0.25">
      <c r="A1311" s="5"/>
    </row>
    <row r="1312" spans="1:1" x14ac:dyDescent="0.25">
      <c r="A1312" s="5"/>
    </row>
    <row r="1313" spans="1:1" x14ac:dyDescent="0.25">
      <c r="A1313" s="5"/>
    </row>
    <row r="1314" spans="1:1" x14ac:dyDescent="0.25">
      <c r="A1314" s="5"/>
    </row>
    <row r="1315" spans="1:1" x14ac:dyDescent="0.25">
      <c r="A1315" s="5"/>
    </row>
    <row r="1316" spans="1:1" x14ac:dyDescent="0.25">
      <c r="A1316" s="5"/>
    </row>
    <row r="1317" spans="1:1" x14ac:dyDescent="0.25">
      <c r="A1317" s="5"/>
    </row>
    <row r="1318" spans="1:1" x14ac:dyDescent="0.25">
      <c r="A1318" s="5"/>
    </row>
    <row r="1319" spans="1:1" x14ac:dyDescent="0.25">
      <c r="A1319" s="5"/>
    </row>
    <row r="1320" spans="1:1" x14ac:dyDescent="0.25">
      <c r="A1320" s="5"/>
    </row>
    <row r="1321" spans="1:1" x14ac:dyDescent="0.25">
      <c r="A1321" s="5"/>
    </row>
    <row r="1322" spans="1:1" x14ac:dyDescent="0.25">
      <c r="A1322" s="5"/>
    </row>
    <row r="1323" spans="1:1" x14ac:dyDescent="0.25">
      <c r="A1323" s="5"/>
    </row>
    <row r="1324" spans="1:1" x14ac:dyDescent="0.25">
      <c r="A1324" s="5"/>
    </row>
    <row r="1325" spans="1:1" x14ac:dyDescent="0.25">
      <c r="A1325" s="5"/>
    </row>
    <row r="1326" spans="1:1" x14ac:dyDescent="0.25">
      <c r="A1326" s="5"/>
    </row>
    <row r="1327" spans="1:1" x14ac:dyDescent="0.25">
      <c r="A1327" s="5"/>
    </row>
    <row r="1328" spans="1:1" x14ac:dyDescent="0.25">
      <c r="A1328" s="5"/>
    </row>
    <row r="1329" spans="1:1" x14ac:dyDescent="0.25">
      <c r="A1329" s="5"/>
    </row>
    <row r="1330" spans="1:1" x14ac:dyDescent="0.25">
      <c r="A1330" s="5"/>
    </row>
    <row r="1331" spans="1:1" x14ac:dyDescent="0.25">
      <c r="A1331" s="5"/>
    </row>
    <row r="1332" spans="1:1" x14ac:dyDescent="0.25">
      <c r="A1332" s="5"/>
    </row>
    <row r="1333" spans="1:1" x14ac:dyDescent="0.25">
      <c r="A1333" s="5"/>
    </row>
    <row r="1334" spans="1:1" x14ac:dyDescent="0.25">
      <c r="A1334" s="5"/>
    </row>
    <row r="1335" spans="1:1" x14ac:dyDescent="0.25">
      <c r="A1335" s="5"/>
    </row>
    <row r="1336" spans="1:1" x14ac:dyDescent="0.25">
      <c r="A1336" s="5"/>
    </row>
    <row r="1337" spans="1:1" x14ac:dyDescent="0.25">
      <c r="A1337" s="5"/>
    </row>
    <row r="1338" spans="1:1" x14ac:dyDescent="0.25">
      <c r="A1338" s="5"/>
    </row>
    <row r="1339" spans="1:1" x14ac:dyDescent="0.25">
      <c r="A1339" s="5"/>
    </row>
    <row r="1340" spans="1:1" x14ac:dyDescent="0.25">
      <c r="A1340" s="5"/>
    </row>
    <row r="1341" spans="1:1" x14ac:dyDescent="0.25">
      <c r="A1341" s="5"/>
    </row>
    <row r="1342" spans="1:1" x14ac:dyDescent="0.25">
      <c r="A1342" s="5"/>
    </row>
    <row r="1343" spans="1:1" x14ac:dyDescent="0.25">
      <c r="A1343" s="5"/>
    </row>
    <row r="1344" spans="1:1" x14ac:dyDescent="0.25">
      <c r="A1344" s="5"/>
    </row>
    <row r="1345" spans="1:1" x14ac:dyDescent="0.25">
      <c r="A1345" s="5"/>
    </row>
    <row r="1346" spans="1:1" x14ac:dyDescent="0.25">
      <c r="A1346" s="5"/>
    </row>
    <row r="1347" spans="1:1" x14ac:dyDescent="0.25">
      <c r="A1347" s="5"/>
    </row>
    <row r="1348" spans="1:1" x14ac:dyDescent="0.25">
      <c r="A1348" s="5"/>
    </row>
    <row r="1349" spans="1:1" x14ac:dyDescent="0.25">
      <c r="A1349" s="5"/>
    </row>
    <row r="1350" spans="1:1" x14ac:dyDescent="0.25">
      <c r="A1350" s="5"/>
    </row>
    <row r="1351" spans="1:1" x14ac:dyDescent="0.25">
      <c r="A1351" s="5"/>
    </row>
    <row r="1352" spans="1:1" x14ac:dyDescent="0.25">
      <c r="A1352" s="5"/>
    </row>
    <row r="1353" spans="1:1" x14ac:dyDescent="0.25">
      <c r="A1353" s="5"/>
    </row>
    <row r="1354" spans="1:1" x14ac:dyDescent="0.25">
      <c r="A1354" s="5"/>
    </row>
    <row r="1355" spans="1:1" x14ac:dyDescent="0.25">
      <c r="A1355" s="5"/>
    </row>
    <row r="1356" spans="1:1" x14ac:dyDescent="0.25">
      <c r="A1356" s="5"/>
    </row>
    <row r="1357" spans="1:1" x14ac:dyDescent="0.25">
      <c r="A1357" s="5"/>
    </row>
    <row r="1358" spans="1:1" x14ac:dyDescent="0.25">
      <c r="A1358" s="5"/>
    </row>
    <row r="1359" spans="1:1" x14ac:dyDescent="0.25">
      <c r="A1359" s="5"/>
    </row>
    <row r="1360" spans="1:1" x14ac:dyDescent="0.25">
      <c r="A1360" s="5"/>
    </row>
    <row r="1361" spans="1:1" x14ac:dyDescent="0.25">
      <c r="A1361" s="5"/>
    </row>
    <row r="1362" spans="1:1" x14ac:dyDescent="0.25">
      <c r="A1362" s="5"/>
    </row>
    <row r="1363" spans="1:1" x14ac:dyDescent="0.25">
      <c r="A1363" s="5"/>
    </row>
    <row r="1364" spans="1:1" x14ac:dyDescent="0.25">
      <c r="A1364" s="5"/>
    </row>
    <row r="1365" spans="1:1" x14ac:dyDescent="0.25">
      <c r="A1365" s="5"/>
    </row>
    <row r="1366" spans="1:1" x14ac:dyDescent="0.25">
      <c r="A1366" s="5"/>
    </row>
    <row r="1367" spans="1:1" x14ac:dyDescent="0.25">
      <c r="A1367" s="5"/>
    </row>
    <row r="1368" spans="1:1" x14ac:dyDescent="0.25">
      <c r="A1368" s="5"/>
    </row>
    <row r="1369" spans="1:1" x14ac:dyDescent="0.25">
      <c r="A1369" s="5"/>
    </row>
    <row r="1370" spans="1:1" x14ac:dyDescent="0.25">
      <c r="A1370" s="5"/>
    </row>
    <row r="1371" spans="1:1" x14ac:dyDescent="0.25">
      <c r="A1371" s="5"/>
    </row>
    <row r="1372" spans="1:1" x14ac:dyDescent="0.25">
      <c r="A1372" s="5"/>
    </row>
    <row r="1373" spans="1:1" x14ac:dyDescent="0.25">
      <c r="A1373" s="5"/>
    </row>
    <row r="1374" spans="1:1" x14ac:dyDescent="0.25">
      <c r="A1374" s="5"/>
    </row>
    <row r="1375" spans="1:1" x14ac:dyDescent="0.25">
      <c r="A1375" s="5"/>
    </row>
    <row r="1376" spans="1:1" x14ac:dyDescent="0.25">
      <c r="A1376" s="5"/>
    </row>
    <row r="1377" spans="1:1" x14ac:dyDescent="0.25">
      <c r="A1377" s="5"/>
    </row>
    <row r="1378" spans="1:1" x14ac:dyDescent="0.25">
      <c r="A1378" s="5"/>
    </row>
    <row r="1379" spans="1:1" x14ac:dyDescent="0.25">
      <c r="A1379" s="5"/>
    </row>
    <row r="1380" spans="1:1" x14ac:dyDescent="0.25">
      <c r="A1380" s="5"/>
    </row>
    <row r="1381" spans="1:1" x14ac:dyDescent="0.25">
      <c r="A1381" s="5"/>
    </row>
    <row r="1382" spans="1:1" x14ac:dyDescent="0.25">
      <c r="A1382" s="5"/>
    </row>
    <row r="1383" spans="1:1" x14ac:dyDescent="0.25">
      <c r="A1383" s="5"/>
    </row>
    <row r="1384" spans="1:1" x14ac:dyDescent="0.25">
      <c r="A1384" s="5"/>
    </row>
    <row r="1385" spans="1:1" x14ac:dyDescent="0.25">
      <c r="A1385" s="5"/>
    </row>
    <row r="1386" spans="1:1" x14ac:dyDescent="0.25">
      <c r="A1386" s="5"/>
    </row>
    <row r="1387" spans="1:1" x14ac:dyDescent="0.25">
      <c r="A1387" s="5"/>
    </row>
    <row r="1388" spans="1:1" x14ac:dyDescent="0.25">
      <c r="A1388" s="5"/>
    </row>
    <row r="1389" spans="1:1" x14ac:dyDescent="0.25">
      <c r="A1389" s="5"/>
    </row>
    <row r="1390" spans="1:1" x14ac:dyDescent="0.25">
      <c r="A1390" s="5"/>
    </row>
    <row r="1391" spans="1:1" x14ac:dyDescent="0.25">
      <c r="A1391" s="5"/>
    </row>
    <row r="1392" spans="1:1" x14ac:dyDescent="0.25">
      <c r="A1392" s="5"/>
    </row>
    <row r="1393" spans="1:1" x14ac:dyDescent="0.25">
      <c r="A1393" s="5"/>
    </row>
    <row r="1394" spans="1:1" x14ac:dyDescent="0.25">
      <c r="A1394" s="5"/>
    </row>
    <row r="1395" spans="1:1" x14ac:dyDescent="0.25">
      <c r="A1395" s="5"/>
    </row>
    <row r="1396" spans="1:1" x14ac:dyDescent="0.25">
      <c r="A1396" s="5"/>
    </row>
    <row r="1397" spans="1:1" x14ac:dyDescent="0.25">
      <c r="A1397" s="5"/>
    </row>
    <row r="1398" spans="1:1" x14ac:dyDescent="0.25">
      <c r="A1398" s="5"/>
    </row>
    <row r="1399" spans="1:1" x14ac:dyDescent="0.25">
      <c r="A1399" s="5"/>
    </row>
    <row r="1400" spans="1:1" x14ac:dyDescent="0.25">
      <c r="A1400" s="5"/>
    </row>
    <row r="1401" spans="1:1" x14ac:dyDescent="0.25">
      <c r="A1401" s="5"/>
    </row>
    <row r="1402" spans="1:1" x14ac:dyDescent="0.25">
      <c r="A1402" s="5"/>
    </row>
    <row r="1403" spans="1:1" x14ac:dyDescent="0.25">
      <c r="A1403" s="5"/>
    </row>
    <row r="1404" spans="1:1" x14ac:dyDescent="0.25">
      <c r="A1404" s="5"/>
    </row>
    <row r="1405" spans="1:1" x14ac:dyDescent="0.25">
      <c r="A1405" s="5"/>
    </row>
    <row r="1406" spans="1:1" x14ac:dyDescent="0.25">
      <c r="A1406" s="5"/>
    </row>
    <row r="1407" spans="1:1" x14ac:dyDescent="0.25">
      <c r="A1407" s="5"/>
    </row>
    <row r="1408" spans="1:1" x14ac:dyDescent="0.25">
      <c r="A1408" s="5"/>
    </row>
    <row r="1409" spans="1:1" x14ac:dyDescent="0.25">
      <c r="A1409" s="5"/>
    </row>
    <row r="1410" spans="1:1" x14ac:dyDescent="0.25">
      <c r="A1410" s="5"/>
    </row>
    <row r="1411" spans="1:1" x14ac:dyDescent="0.25">
      <c r="A1411" s="5"/>
    </row>
    <row r="1412" spans="1:1" x14ac:dyDescent="0.25">
      <c r="A1412" s="5"/>
    </row>
    <row r="1413" spans="1:1" x14ac:dyDescent="0.25">
      <c r="A1413" s="5"/>
    </row>
    <row r="1414" spans="1:1" x14ac:dyDescent="0.25">
      <c r="A1414" s="5"/>
    </row>
    <row r="1415" spans="1:1" x14ac:dyDescent="0.25">
      <c r="A1415" s="5"/>
    </row>
    <row r="1416" spans="1:1" x14ac:dyDescent="0.25">
      <c r="A1416" s="5"/>
    </row>
    <row r="1417" spans="1:1" x14ac:dyDescent="0.25">
      <c r="A1417" s="5"/>
    </row>
    <row r="1418" spans="1:1" x14ac:dyDescent="0.25">
      <c r="A1418" s="5"/>
    </row>
    <row r="1419" spans="1:1" x14ac:dyDescent="0.25">
      <c r="A1419" s="5"/>
    </row>
    <row r="1420" spans="1:1" x14ac:dyDescent="0.25">
      <c r="A1420" s="5"/>
    </row>
    <row r="1421" spans="1:1" x14ac:dyDescent="0.25">
      <c r="A1421" s="5"/>
    </row>
    <row r="1422" spans="1:1" x14ac:dyDescent="0.25">
      <c r="A1422" s="5"/>
    </row>
    <row r="1423" spans="1:1" x14ac:dyDescent="0.25">
      <c r="A1423" s="5"/>
    </row>
    <row r="1424" spans="1:1" x14ac:dyDescent="0.25">
      <c r="A1424" s="5"/>
    </row>
    <row r="1425" spans="1:1" x14ac:dyDescent="0.25">
      <c r="A1425" s="5"/>
    </row>
    <row r="1426" spans="1:1" x14ac:dyDescent="0.25">
      <c r="A1426" s="5"/>
    </row>
    <row r="1427" spans="1:1" x14ac:dyDescent="0.25">
      <c r="A1427" s="5"/>
    </row>
    <row r="1428" spans="1:1" x14ac:dyDescent="0.25">
      <c r="A1428" s="5"/>
    </row>
    <row r="1429" spans="1:1" x14ac:dyDescent="0.25">
      <c r="A1429" s="5"/>
    </row>
    <row r="1430" spans="1:1" x14ac:dyDescent="0.25">
      <c r="A1430" s="5"/>
    </row>
    <row r="1431" spans="1:1" x14ac:dyDescent="0.25">
      <c r="A1431" s="5"/>
    </row>
    <row r="1432" spans="1:1" x14ac:dyDescent="0.25">
      <c r="A1432" s="5"/>
    </row>
    <row r="1433" spans="1:1" x14ac:dyDescent="0.25">
      <c r="A1433" s="5"/>
    </row>
    <row r="1434" spans="1:1" x14ac:dyDescent="0.25">
      <c r="A1434" s="5"/>
    </row>
    <row r="1435" spans="1:1" x14ac:dyDescent="0.25">
      <c r="A1435" s="5"/>
    </row>
    <row r="1436" spans="1:1" x14ac:dyDescent="0.25">
      <c r="A1436" s="5"/>
    </row>
    <row r="1437" spans="1:1" x14ac:dyDescent="0.25">
      <c r="A1437" s="5"/>
    </row>
    <row r="1438" spans="1:1" x14ac:dyDescent="0.25">
      <c r="A1438" s="5"/>
    </row>
    <row r="1439" spans="1:1" x14ac:dyDescent="0.25">
      <c r="A1439" s="5"/>
    </row>
    <row r="1440" spans="1:1" x14ac:dyDescent="0.25">
      <c r="A1440" s="5"/>
    </row>
    <row r="1441" spans="1:1" x14ac:dyDescent="0.25">
      <c r="A1441" s="5"/>
    </row>
    <row r="1442" spans="1:1" x14ac:dyDescent="0.25">
      <c r="A1442" s="5"/>
    </row>
    <row r="1443" spans="1:1" x14ac:dyDescent="0.25">
      <c r="A1443" s="5"/>
    </row>
    <row r="1444" spans="1:1" x14ac:dyDescent="0.25">
      <c r="A1444" s="5"/>
    </row>
    <row r="1445" spans="1:1" x14ac:dyDescent="0.25">
      <c r="A1445" s="5"/>
    </row>
    <row r="1446" spans="1:1" x14ac:dyDescent="0.25">
      <c r="A1446" s="5"/>
    </row>
    <row r="1447" spans="1:1" x14ac:dyDescent="0.25">
      <c r="A1447" s="5"/>
    </row>
    <row r="1448" spans="1:1" x14ac:dyDescent="0.25">
      <c r="A1448" s="5"/>
    </row>
    <row r="1449" spans="1:1" x14ac:dyDescent="0.25">
      <c r="A1449" s="5"/>
    </row>
    <row r="1450" spans="1:1" x14ac:dyDescent="0.25">
      <c r="A1450" s="5"/>
    </row>
    <row r="1451" spans="1:1" x14ac:dyDescent="0.25">
      <c r="A1451" s="5"/>
    </row>
    <row r="1452" spans="1:1" x14ac:dyDescent="0.25">
      <c r="A1452" s="5"/>
    </row>
    <row r="1453" spans="1:1" x14ac:dyDescent="0.25">
      <c r="A1453" s="5"/>
    </row>
    <row r="1454" spans="1:1" x14ac:dyDescent="0.25">
      <c r="A1454" s="5"/>
    </row>
    <row r="1455" spans="1:1" x14ac:dyDescent="0.25">
      <c r="A1455" s="5"/>
    </row>
    <row r="1456" spans="1:1" x14ac:dyDescent="0.25">
      <c r="A1456" s="5"/>
    </row>
    <row r="1457" spans="1:1" x14ac:dyDescent="0.25">
      <c r="A1457" s="5"/>
    </row>
    <row r="1458" spans="1:1" x14ac:dyDescent="0.25">
      <c r="A1458" s="5"/>
    </row>
    <row r="1459" spans="1:1" x14ac:dyDescent="0.25">
      <c r="A1459" s="5"/>
    </row>
    <row r="1460" spans="1:1" x14ac:dyDescent="0.25">
      <c r="A1460" s="5"/>
    </row>
    <row r="1461" spans="1:1" x14ac:dyDescent="0.25">
      <c r="A1461" s="5"/>
    </row>
    <row r="1462" spans="1:1" x14ac:dyDescent="0.25">
      <c r="A1462" s="5"/>
    </row>
    <row r="1463" spans="1:1" x14ac:dyDescent="0.25">
      <c r="A1463" s="5"/>
    </row>
    <row r="1464" spans="1:1" x14ac:dyDescent="0.25">
      <c r="A1464" s="5"/>
    </row>
    <row r="1465" spans="1:1" x14ac:dyDescent="0.25">
      <c r="A1465" s="5"/>
    </row>
    <row r="1466" spans="1:1" x14ac:dyDescent="0.25">
      <c r="A1466" s="5"/>
    </row>
    <row r="1467" spans="1:1" x14ac:dyDescent="0.25">
      <c r="A1467" s="5"/>
    </row>
    <row r="1468" spans="1:1" x14ac:dyDescent="0.25">
      <c r="A1468" s="5"/>
    </row>
    <row r="1469" spans="1:1" x14ac:dyDescent="0.25">
      <c r="A1469" s="5"/>
    </row>
    <row r="1470" spans="1:1" x14ac:dyDescent="0.25">
      <c r="A1470" s="5"/>
    </row>
    <row r="1471" spans="1:1" x14ac:dyDescent="0.25">
      <c r="A1471" s="5"/>
    </row>
    <row r="1472" spans="1:1" x14ac:dyDescent="0.25">
      <c r="A1472" s="5"/>
    </row>
    <row r="1473" spans="1:1" x14ac:dyDescent="0.25">
      <c r="A1473" s="5"/>
    </row>
    <row r="1474" spans="1:1" x14ac:dyDescent="0.25">
      <c r="A1474" s="5"/>
    </row>
    <row r="1475" spans="1:1" x14ac:dyDescent="0.25">
      <c r="A1475" s="5"/>
    </row>
    <row r="1476" spans="1:1" x14ac:dyDescent="0.25">
      <c r="A1476" s="5"/>
    </row>
    <row r="1477" spans="1:1" x14ac:dyDescent="0.25">
      <c r="A1477" s="5"/>
    </row>
    <row r="1478" spans="1:1" x14ac:dyDescent="0.25">
      <c r="A1478" s="5"/>
    </row>
    <row r="1479" spans="1:1" x14ac:dyDescent="0.25">
      <c r="A1479" s="5"/>
    </row>
    <row r="1480" spans="1:1" x14ac:dyDescent="0.25">
      <c r="A1480" s="5"/>
    </row>
    <row r="1481" spans="1:1" x14ac:dyDescent="0.25">
      <c r="A1481" s="5"/>
    </row>
    <row r="1482" spans="1:1" x14ac:dyDescent="0.25">
      <c r="A1482" s="5"/>
    </row>
    <row r="1483" spans="1:1" x14ac:dyDescent="0.25">
      <c r="A1483" s="5"/>
    </row>
    <row r="1484" spans="1:1" x14ac:dyDescent="0.25">
      <c r="A1484" s="5"/>
    </row>
    <row r="1485" spans="1:1" x14ac:dyDescent="0.25">
      <c r="A1485" s="5"/>
    </row>
    <row r="1486" spans="1:1" x14ac:dyDescent="0.25">
      <c r="A1486" s="5"/>
    </row>
    <row r="1487" spans="1:1" x14ac:dyDescent="0.25">
      <c r="A1487" s="5"/>
    </row>
    <row r="1488" spans="1:1" x14ac:dyDescent="0.25">
      <c r="A1488" s="5"/>
    </row>
    <row r="1489" spans="1:1" x14ac:dyDescent="0.25">
      <c r="A1489" s="5"/>
    </row>
    <row r="1490" spans="1:1" x14ac:dyDescent="0.25">
      <c r="A1490" s="5"/>
    </row>
    <row r="1491" spans="1:1" x14ac:dyDescent="0.25">
      <c r="A1491" s="5"/>
    </row>
    <row r="1492" spans="1:1" x14ac:dyDescent="0.25">
      <c r="A1492" s="5"/>
    </row>
    <row r="1493" spans="1:1" x14ac:dyDescent="0.25">
      <c r="A1493" s="5"/>
    </row>
    <row r="1494" spans="1:1" x14ac:dyDescent="0.25">
      <c r="A1494" s="5"/>
    </row>
    <row r="1495" spans="1:1" x14ac:dyDescent="0.25">
      <c r="A1495" s="5"/>
    </row>
    <row r="1496" spans="1:1" x14ac:dyDescent="0.25">
      <c r="A1496" s="5"/>
    </row>
    <row r="1497" spans="1:1" x14ac:dyDescent="0.25">
      <c r="A1497" s="5"/>
    </row>
    <row r="1498" spans="1:1" x14ac:dyDescent="0.25">
      <c r="A1498" s="5"/>
    </row>
    <row r="1499" spans="1:1" x14ac:dyDescent="0.25">
      <c r="A1499" s="5"/>
    </row>
    <row r="1500" spans="1:1" x14ac:dyDescent="0.25">
      <c r="A1500" s="5"/>
    </row>
    <row r="1501" spans="1:1" x14ac:dyDescent="0.25">
      <c r="A1501" s="5"/>
    </row>
    <row r="1502" spans="1:1" x14ac:dyDescent="0.25">
      <c r="A1502" s="5"/>
    </row>
    <row r="1503" spans="1:1" x14ac:dyDescent="0.25">
      <c r="A1503" s="5"/>
    </row>
    <row r="1504" spans="1:1" x14ac:dyDescent="0.25">
      <c r="A1504" s="5"/>
    </row>
    <row r="1505" spans="1:1" x14ac:dyDescent="0.25">
      <c r="A1505" s="5"/>
    </row>
    <row r="1506" spans="1:1" x14ac:dyDescent="0.25">
      <c r="A1506" s="5"/>
    </row>
    <row r="1507" spans="1:1" x14ac:dyDescent="0.25">
      <c r="A1507" s="5"/>
    </row>
    <row r="1508" spans="1:1" x14ac:dyDescent="0.25">
      <c r="A1508" s="5"/>
    </row>
    <row r="1509" spans="1:1" x14ac:dyDescent="0.25">
      <c r="A1509" s="5"/>
    </row>
    <row r="1510" spans="1:1" x14ac:dyDescent="0.25">
      <c r="A1510" s="5"/>
    </row>
    <row r="1511" spans="1:1" x14ac:dyDescent="0.25">
      <c r="A1511" s="5"/>
    </row>
    <row r="1512" spans="1:1" x14ac:dyDescent="0.25">
      <c r="A1512" s="5"/>
    </row>
    <row r="1513" spans="1:1" x14ac:dyDescent="0.25">
      <c r="A1513" s="5"/>
    </row>
    <row r="1514" spans="1:1" x14ac:dyDescent="0.25">
      <c r="A1514" s="5"/>
    </row>
    <row r="1515" spans="1:1" x14ac:dyDescent="0.25">
      <c r="A1515" s="5"/>
    </row>
    <row r="1516" spans="1:1" x14ac:dyDescent="0.25">
      <c r="A1516" s="5"/>
    </row>
    <row r="1517" spans="1:1" x14ac:dyDescent="0.25">
      <c r="A1517" s="5"/>
    </row>
    <row r="1518" spans="1:1" x14ac:dyDescent="0.25">
      <c r="A1518" s="5"/>
    </row>
    <row r="1519" spans="1:1" x14ac:dyDescent="0.25">
      <c r="A1519" s="5"/>
    </row>
    <row r="1520" spans="1:1" x14ac:dyDescent="0.25">
      <c r="A1520" s="5"/>
    </row>
    <row r="1521" spans="1:1" x14ac:dyDescent="0.25">
      <c r="A1521" s="5"/>
    </row>
    <row r="1522" spans="1:1" x14ac:dyDescent="0.25">
      <c r="A1522" s="5"/>
    </row>
    <row r="1523" spans="1:1" x14ac:dyDescent="0.25">
      <c r="A1523" s="5"/>
    </row>
    <row r="1524" spans="1:1" x14ac:dyDescent="0.25">
      <c r="A1524" s="5"/>
    </row>
    <row r="1525" spans="1:1" x14ac:dyDescent="0.25">
      <c r="A1525" s="5"/>
    </row>
    <row r="1526" spans="1:1" x14ac:dyDescent="0.25">
      <c r="A1526" s="5"/>
    </row>
    <row r="1527" spans="1:1" x14ac:dyDescent="0.25">
      <c r="A1527" s="5"/>
    </row>
    <row r="1528" spans="1:1" x14ac:dyDescent="0.25">
      <c r="A1528" s="5"/>
    </row>
    <row r="1529" spans="1:1" x14ac:dyDescent="0.25">
      <c r="A1529" s="5"/>
    </row>
    <row r="1530" spans="1:1" x14ac:dyDescent="0.25">
      <c r="A1530" s="5"/>
    </row>
    <row r="1531" spans="1:1" x14ac:dyDescent="0.25">
      <c r="A1531" s="5"/>
    </row>
    <row r="1532" spans="1:1" x14ac:dyDescent="0.25">
      <c r="A1532" s="5"/>
    </row>
    <row r="1533" spans="1:1" x14ac:dyDescent="0.25">
      <c r="A1533" s="5"/>
    </row>
    <row r="1534" spans="1:1" x14ac:dyDescent="0.25">
      <c r="A1534" s="5"/>
    </row>
    <row r="1535" spans="1:1" x14ac:dyDescent="0.25">
      <c r="A1535" s="5"/>
    </row>
    <row r="1536" spans="1:1" x14ac:dyDescent="0.25">
      <c r="A1536" s="5"/>
    </row>
    <row r="1537" spans="1:1" x14ac:dyDescent="0.25">
      <c r="A1537" s="5"/>
    </row>
    <row r="1538" spans="1:1" x14ac:dyDescent="0.25">
      <c r="A1538" s="5"/>
    </row>
    <row r="1539" spans="1:1" x14ac:dyDescent="0.25">
      <c r="A1539" s="5"/>
    </row>
    <row r="1540" spans="1:1" x14ac:dyDescent="0.25">
      <c r="A1540" s="5"/>
    </row>
    <row r="1541" spans="1:1" x14ac:dyDescent="0.25">
      <c r="A1541" s="5"/>
    </row>
    <row r="1542" spans="1:1" x14ac:dyDescent="0.25">
      <c r="A1542" s="5"/>
    </row>
    <row r="1543" spans="1:1" x14ac:dyDescent="0.25">
      <c r="A1543" s="5"/>
    </row>
    <row r="1544" spans="1:1" x14ac:dyDescent="0.25">
      <c r="A1544" s="5"/>
    </row>
    <row r="1545" spans="1:1" x14ac:dyDescent="0.25">
      <c r="A1545" s="5"/>
    </row>
    <row r="1546" spans="1:1" x14ac:dyDescent="0.25">
      <c r="A1546" s="5"/>
    </row>
    <row r="1547" spans="1:1" x14ac:dyDescent="0.25">
      <c r="A1547" s="5"/>
    </row>
    <row r="1548" spans="1:1" x14ac:dyDescent="0.25">
      <c r="A1548" s="5"/>
    </row>
    <row r="1549" spans="1:1" x14ac:dyDescent="0.25">
      <c r="A1549" s="5"/>
    </row>
    <row r="1550" spans="1:1" x14ac:dyDescent="0.25">
      <c r="A1550" s="5"/>
    </row>
    <row r="1551" spans="1:1" x14ac:dyDescent="0.25">
      <c r="A1551" s="5"/>
    </row>
    <row r="1552" spans="1:1" x14ac:dyDescent="0.25">
      <c r="A1552" s="5"/>
    </row>
    <row r="1553" spans="1:1" x14ac:dyDescent="0.25">
      <c r="A1553" s="5"/>
    </row>
    <row r="1554" spans="1:1" x14ac:dyDescent="0.25">
      <c r="A1554" s="5"/>
    </row>
    <row r="1555" spans="1:1" x14ac:dyDescent="0.25">
      <c r="A1555" s="5"/>
    </row>
    <row r="1556" spans="1:1" x14ac:dyDescent="0.25">
      <c r="A1556" s="5"/>
    </row>
    <row r="1557" spans="1:1" x14ac:dyDescent="0.25">
      <c r="A1557" s="5"/>
    </row>
    <row r="1558" spans="1:1" x14ac:dyDescent="0.25">
      <c r="A1558" s="5"/>
    </row>
    <row r="1559" spans="1:1" x14ac:dyDescent="0.25">
      <c r="A1559" s="5"/>
    </row>
    <row r="1560" spans="1:1" x14ac:dyDescent="0.25">
      <c r="A1560" s="5"/>
    </row>
    <row r="1561" spans="1:1" x14ac:dyDescent="0.25">
      <c r="A1561" s="5"/>
    </row>
    <row r="1562" spans="1:1" x14ac:dyDescent="0.25">
      <c r="A1562" s="5"/>
    </row>
    <row r="1563" spans="1:1" x14ac:dyDescent="0.25">
      <c r="A1563" s="5"/>
    </row>
    <row r="1564" spans="1:1" x14ac:dyDescent="0.25">
      <c r="A1564" s="5"/>
    </row>
    <row r="1565" spans="1:1" x14ac:dyDescent="0.25">
      <c r="A1565" s="5"/>
    </row>
    <row r="1566" spans="1:1" x14ac:dyDescent="0.25">
      <c r="A1566" s="5"/>
    </row>
    <row r="1567" spans="1:1" x14ac:dyDescent="0.25">
      <c r="A1567" s="5"/>
    </row>
    <row r="1568" spans="1:1" x14ac:dyDescent="0.25">
      <c r="A1568" s="5"/>
    </row>
    <row r="1569" spans="1:1" x14ac:dyDescent="0.25">
      <c r="A1569" s="5"/>
    </row>
    <row r="1570" spans="1:1" x14ac:dyDescent="0.25">
      <c r="A1570" s="5"/>
    </row>
    <row r="1571" spans="1:1" x14ac:dyDescent="0.25">
      <c r="A1571" s="5"/>
    </row>
    <row r="1572" spans="1:1" x14ac:dyDescent="0.25">
      <c r="A1572" s="5"/>
    </row>
    <row r="1573" spans="1:1" x14ac:dyDescent="0.25">
      <c r="A1573" s="5"/>
    </row>
    <row r="1574" spans="1:1" x14ac:dyDescent="0.25">
      <c r="A1574" s="5"/>
    </row>
    <row r="1575" spans="1:1" x14ac:dyDescent="0.25">
      <c r="A1575" s="5"/>
    </row>
    <row r="1576" spans="1:1" x14ac:dyDescent="0.25">
      <c r="A1576" s="5"/>
    </row>
    <row r="1577" spans="1:1" x14ac:dyDescent="0.25">
      <c r="A1577" s="5"/>
    </row>
    <row r="1578" spans="1:1" x14ac:dyDescent="0.25">
      <c r="A1578" s="5"/>
    </row>
    <row r="1579" spans="1:1" x14ac:dyDescent="0.25">
      <c r="A1579" s="5"/>
    </row>
    <row r="1580" spans="1:1" x14ac:dyDescent="0.25">
      <c r="A1580" s="5"/>
    </row>
    <row r="1581" spans="1:1" x14ac:dyDescent="0.25">
      <c r="A1581" s="5"/>
    </row>
    <row r="1582" spans="1:1" x14ac:dyDescent="0.25">
      <c r="A1582" s="5"/>
    </row>
    <row r="1583" spans="1:1" x14ac:dyDescent="0.25">
      <c r="A1583" s="5"/>
    </row>
    <row r="1584" spans="1:1" x14ac:dyDescent="0.25">
      <c r="A1584" s="5"/>
    </row>
    <row r="1585" spans="1:1" x14ac:dyDescent="0.25">
      <c r="A1585" s="5"/>
    </row>
    <row r="1586" spans="1:1" x14ac:dyDescent="0.25">
      <c r="A1586" s="5"/>
    </row>
    <row r="1587" spans="1:1" x14ac:dyDescent="0.25">
      <c r="A1587" s="5"/>
    </row>
    <row r="1588" spans="1:1" x14ac:dyDescent="0.25">
      <c r="A1588" s="5"/>
    </row>
    <row r="1589" spans="1:1" x14ac:dyDescent="0.25">
      <c r="A1589" s="5"/>
    </row>
    <row r="1590" spans="1:1" x14ac:dyDescent="0.25">
      <c r="A1590" s="5"/>
    </row>
    <row r="1591" spans="1:1" x14ac:dyDescent="0.25">
      <c r="A1591" s="5"/>
    </row>
    <row r="1592" spans="1:1" x14ac:dyDescent="0.25">
      <c r="A1592" s="5"/>
    </row>
    <row r="1593" spans="1:1" x14ac:dyDescent="0.25">
      <c r="A1593" s="5"/>
    </row>
    <row r="1594" spans="1:1" x14ac:dyDescent="0.25">
      <c r="A1594" s="5"/>
    </row>
    <row r="1595" spans="1:1" x14ac:dyDescent="0.25">
      <c r="A1595" s="5"/>
    </row>
    <row r="1596" spans="1:1" x14ac:dyDescent="0.25">
      <c r="A1596" s="5"/>
    </row>
    <row r="1597" spans="1:1" x14ac:dyDescent="0.25">
      <c r="A1597" s="5"/>
    </row>
    <row r="1598" spans="1:1" x14ac:dyDescent="0.25">
      <c r="A1598" s="5"/>
    </row>
    <row r="1599" spans="1:1" x14ac:dyDescent="0.25">
      <c r="A1599" s="5"/>
    </row>
    <row r="1600" spans="1:1" x14ac:dyDescent="0.25">
      <c r="A1600" s="5"/>
    </row>
    <row r="1601" spans="1:1" x14ac:dyDescent="0.25">
      <c r="A1601" s="5"/>
    </row>
    <row r="1602" spans="1:1" x14ac:dyDescent="0.25">
      <c r="A1602" s="5"/>
    </row>
    <row r="1603" spans="1:1" x14ac:dyDescent="0.25">
      <c r="A1603" s="5"/>
    </row>
    <row r="1604" spans="1:1" x14ac:dyDescent="0.25">
      <c r="A1604" s="5"/>
    </row>
    <row r="1605" spans="1:1" x14ac:dyDescent="0.25">
      <c r="A1605" s="5"/>
    </row>
    <row r="1606" spans="1:1" x14ac:dyDescent="0.25">
      <c r="A1606" s="5"/>
    </row>
    <row r="1607" spans="1:1" x14ac:dyDescent="0.25">
      <c r="A1607" s="5"/>
    </row>
    <row r="1608" spans="1:1" x14ac:dyDescent="0.25">
      <c r="A1608" s="5"/>
    </row>
    <row r="1609" spans="1:1" x14ac:dyDescent="0.25">
      <c r="A1609" s="5"/>
    </row>
    <row r="1610" spans="1:1" x14ac:dyDescent="0.25">
      <c r="A1610" s="5"/>
    </row>
    <row r="1611" spans="1:1" x14ac:dyDescent="0.25">
      <c r="A1611" s="5"/>
    </row>
    <row r="1612" spans="1:1" x14ac:dyDescent="0.25">
      <c r="A1612" s="5"/>
    </row>
    <row r="1613" spans="1:1" x14ac:dyDescent="0.25">
      <c r="A1613" s="5"/>
    </row>
    <row r="1614" spans="1:1" x14ac:dyDescent="0.25">
      <c r="A1614" s="5"/>
    </row>
    <row r="1615" spans="1:1" x14ac:dyDescent="0.25">
      <c r="A1615" s="5"/>
    </row>
    <row r="1616" spans="1:1" x14ac:dyDescent="0.25">
      <c r="A1616" s="5"/>
    </row>
    <row r="1617" spans="1:1" x14ac:dyDescent="0.25">
      <c r="A1617" s="5"/>
    </row>
    <row r="1618" spans="1:1" x14ac:dyDescent="0.25">
      <c r="A1618" s="5"/>
    </row>
    <row r="1619" spans="1:1" x14ac:dyDescent="0.25">
      <c r="A1619" s="5"/>
    </row>
    <row r="1620" spans="1:1" x14ac:dyDescent="0.25">
      <c r="A1620" s="5"/>
    </row>
    <row r="1621" spans="1:1" x14ac:dyDescent="0.25">
      <c r="A1621" s="5"/>
    </row>
    <row r="1622" spans="1:1" x14ac:dyDescent="0.25">
      <c r="A1622" s="5"/>
    </row>
    <row r="1623" spans="1:1" x14ac:dyDescent="0.25">
      <c r="A1623" s="5"/>
    </row>
    <row r="1624" spans="1:1" x14ac:dyDescent="0.25">
      <c r="A1624" s="5"/>
    </row>
    <row r="1625" spans="1:1" x14ac:dyDescent="0.25">
      <c r="A1625" s="5"/>
    </row>
    <row r="1626" spans="1:1" x14ac:dyDescent="0.25">
      <c r="A1626" s="5"/>
    </row>
    <row r="1627" spans="1:1" x14ac:dyDescent="0.25">
      <c r="A1627" s="5"/>
    </row>
    <row r="1628" spans="1:1" x14ac:dyDescent="0.25">
      <c r="A1628" s="5"/>
    </row>
    <row r="1629" spans="1:1" x14ac:dyDescent="0.25">
      <c r="A1629" s="5"/>
    </row>
    <row r="1630" spans="1:1" x14ac:dyDescent="0.25">
      <c r="A1630" s="5"/>
    </row>
    <row r="1631" spans="1:1" x14ac:dyDescent="0.25">
      <c r="A1631" s="5"/>
    </row>
    <row r="1632" spans="1:1" x14ac:dyDescent="0.25">
      <c r="A1632" s="5"/>
    </row>
    <row r="1633" spans="1:1" x14ac:dyDescent="0.25">
      <c r="A1633" s="5"/>
    </row>
    <row r="1634" spans="1:1" x14ac:dyDescent="0.25">
      <c r="A1634" s="5"/>
    </row>
    <row r="1635" spans="1:1" x14ac:dyDescent="0.25">
      <c r="A1635" s="5"/>
    </row>
    <row r="1636" spans="1:1" x14ac:dyDescent="0.25">
      <c r="A1636" s="5"/>
    </row>
    <row r="1637" spans="1:1" x14ac:dyDescent="0.25">
      <c r="A1637" s="5"/>
    </row>
    <row r="1638" spans="1:1" x14ac:dyDescent="0.25">
      <c r="A1638" s="5"/>
    </row>
    <row r="1639" spans="1:1" x14ac:dyDescent="0.25">
      <c r="A1639" s="5"/>
    </row>
    <row r="1640" spans="1:1" x14ac:dyDescent="0.25">
      <c r="A1640" s="5"/>
    </row>
    <row r="1641" spans="1:1" x14ac:dyDescent="0.25">
      <c r="A1641" s="5"/>
    </row>
    <row r="1642" spans="1:1" x14ac:dyDescent="0.25">
      <c r="A1642" s="5"/>
    </row>
    <row r="1643" spans="1:1" x14ac:dyDescent="0.25">
      <c r="A1643" s="5"/>
    </row>
    <row r="1644" spans="1:1" x14ac:dyDescent="0.25">
      <c r="A1644" s="5"/>
    </row>
    <row r="1645" spans="1:1" x14ac:dyDescent="0.25">
      <c r="A1645" s="5"/>
    </row>
    <row r="1646" spans="1:1" x14ac:dyDescent="0.25">
      <c r="A1646" s="5"/>
    </row>
    <row r="1647" spans="1:1" x14ac:dyDescent="0.25">
      <c r="A1647" s="5"/>
    </row>
    <row r="1648" spans="1:1" x14ac:dyDescent="0.25">
      <c r="A1648" s="5"/>
    </row>
    <row r="1649" spans="1:1" x14ac:dyDescent="0.25">
      <c r="A1649" s="5"/>
    </row>
    <row r="1650" spans="1:1" x14ac:dyDescent="0.25">
      <c r="A1650" s="5"/>
    </row>
    <row r="1651" spans="1:1" x14ac:dyDescent="0.25">
      <c r="A1651" s="5"/>
    </row>
    <row r="1652" spans="1:1" x14ac:dyDescent="0.25">
      <c r="A1652" s="5"/>
    </row>
    <row r="1653" spans="1:1" x14ac:dyDescent="0.25">
      <c r="A1653" s="5"/>
    </row>
    <row r="1654" spans="1:1" x14ac:dyDescent="0.25">
      <c r="A1654" s="5"/>
    </row>
    <row r="1655" spans="1:1" x14ac:dyDescent="0.25">
      <c r="A1655" s="5"/>
    </row>
    <row r="1656" spans="1:1" x14ac:dyDescent="0.25">
      <c r="A1656" s="5"/>
    </row>
    <row r="1657" spans="1:1" x14ac:dyDescent="0.25">
      <c r="A1657" s="5"/>
    </row>
    <row r="1658" spans="1:1" x14ac:dyDescent="0.25">
      <c r="A1658" s="5"/>
    </row>
    <row r="1659" spans="1:1" x14ac:dyDescent="0.25">
      <c r="A1659" s="5"/>
    </row>
    <row r="1660" spans="1:1" x14ac:dyDescent="0.25">
      <c r="A1660" s="5"/>
    </row>
    <row r="1661" spans="1:1" x14ac:dyDescent="0.25">
      <c r="A1661" s="5"/>
    </row>
    <row r="1662" spans="1:1" x14ac:dyDescent="0.25">
      <c r="A1662" s="5"/>
    </row>
    <row r="1663" spans="1:1" x14ac:dyDescent="0.25">
      <c r="A1663" s="5"/>
    </row>
    <row r="1664" spans="1:1" x14ac:dyDescent="0.25">
      <c r="A1664" s="5"/>
    </row>
    <row r="1665" spans="1:1" x14ac:dyDescent="0.25">
      <c r="A1665" s="5"/>
    </row>
    <row r="1666" spans="1:1" x14ac:dyDescent="0.25">
      <c r="A1666" s="5"/>
    </row>
    <row r="1667" spans="1:1" x14ac:dyDescent="0.25">
      <c r="A1667" s="5"/>
    </row>
    <row r="1668" spans="1:1" x14ac:dyDescent="0.25">
      <c r="A1668" s="5"/>
    </row>
    <row r="1669" spans="1:1" x14ac:dyDescent="0.25">
      <c r="A1669" s="5"/>
    </row>
    <row r="1670" spans="1:1" x14ac:dyDescent="0.25">
      <c r="A1670" s="5"/>
    </row>
    <row r="1671" spans="1:1" x14ac:dyDescent="0.25">
      <c r="A1671" s="5"/>
    </row>
    <row r="1672" spans="1:1" x14ac:dyDescent="0.25">
      <c r="A1672" s="5"/>
    </row>
    <row r="1673" spans="1:1" x14ac:dyDescent="0.25">
      <c r="A1673" s="5"/>
    </row>
    <row r="1674" spans="1:1" x14ac:dyDescent="0.25">
      <c r="A1674" s="5"/>
    </row>
    <row r="1675" spans="1:1" x14ac:dyDescent="0.25">
      <c r="A1675" s="5"/>
    </row>
    <row r="1676" spans="1:1" x14ac:dyDescent="0.25">
      <c r="A1676" s="5"/>
    </row>
    <row r="1677" spans="1:1" x14ac:dyDescent="0.25">
      <c r="A1677" s="5"/>
    </row>
    <row r="1678" spans="1:1" x14ac:dyDescent="0.25">
      <c r="A1678" s="5"/>
    </row>
    <row r="1679" spans="1:1" x14ac:dyDescent="0.25">
      <c r="A1679" s="5"/>
    </row>
    <row r="1680" spans="1:1" x14ac:dyDescent="0.25">
      <c r="A1680" s="5"/>
    </row>
    <row r="1681" spans="1:1" x14ac:dyDescent="0.25">
      <c r="A1681" s="5"/>
    </row>
    <row r="1682" spans="1:1" x14ac:dyDescent="0.25">
      <c r="A1682" s="5"/>
    </row>
    <row r="1683" spans="1:1" x14ac:dyDescent="0.25">
      <c r="A1683" s="5"/>
    </row>
    <row r="1684" spans="1:1" x14ac:dyDescent="0.25">
      <c r="A1684" s="5"/>
    </row>
    <row r="1685" spans="1:1" x14ac:dyDescent="0.25">
      <c r="A1685" s="5"/>
    </row>
    <row r="1686" spans="1:1" x14ac:dyDescent="0.25">
      <c r="A1686" s="5"/>
    </row>
    <row r="1687" spans="1:1" x14ac:dyDescent="0.25">
      <c r="A1687" s="5"/>
    </row>
    <row r="1688" spans="1:1" x14ac:dyDescent="0.25">
      <c r="A1688" s="5"/>
    </row>
    <row r="1689" spans="1:1" x14ac:dyDescent="0.25">
      <c r="A1689" s="5"/>
    </row>
    <row r="1690" spans="1:1" x14ac:dyDescent="0.25">
      <c r="A1690" s="5"/>
    </row>
    <row r="1691" spans="1:1" x14ac:dyDescent="0.25">
      <c r="A1691" s="5"/>
    </row>
    <row r="1692" spans="1:1" x14ac:dyDescent="0.25">
      <c r="A1692" s="5"/>
    </row>
    <row r="1693" spans="1:1" x14ac:dyDescent="0.25">
      <c r="A1693" s="5"/>
    </row>
    <row r="1694" spans="1:1" x14ac:dyDescent="0.25">
      <c r="A1694" s="5"/>
    </row>
    <row r="1695" spans="1:1" x14ac:dyDescent="0.25">
      <c r="A1695" s="5"/>
    </row>
    <row r="1696" spans="1:1" x14ac:dyDescent="0.25">
      <c r="A1696" s="5"/>
    </row>
    <row r="1697" spans="1:1" x14ac:dyDescent="0.25">
      <c r="A1697" s="5"/>
    </row>
    <row r="1698" spans="1:1" x14ac:dyDescent="0.25">
      <c r="A1698" s="5"/>
    </row>
    <row r="1699" spans="1:1" x14ac:dyDescent="0.25">
      <c r="A1699" s="5"/>
    </row>
    <row r="1700" spans="1:1" x14ac:dyDescent="0.25">
      <c r="A1700" s="5"/>
    </row>
    <row r="1701" spans="1:1" x14ac:dyDescent="0.25">
      <c r="A1701" s="5"/>
    </row>
    <row r="1702" spans="1:1" x14ac:dyDescent="0.25">
      <c r="A1702" s="5"/>
    </row>
    <row r="1703" spans="1:1" x14ac:dyDescent="0.25">
      <c r="A1703" s="5"/>
    </row>
    <row r="1704" spans="1:1" x14ac:dyDescent="0.25">
      <c r="A1704" s="5"/>
    </row>
    <row r="1705" spans="1:1" x14ac:dyDescent="0.25">
      <c r="A1705" s="5"/>
    </row>
    <row r="1706" spans="1:1" x14ac:dyDescent="0.25">
      <c r="A1706" s="5"/>
    </row>
    <row r="1707" spans="1:1" x14ac:dyDescent="0.25">
      <c r="A1707" s="5"/>
    </row>
    <row r="1708" spans="1:1" x14ac:dyDescent="0.25">
      <c r="A1708" s="5"/>
    </row>
    <row r="1709" spans="1:1" x14ac:dyDescent="0.25">
      <c r="A1709" s="5"/>
    </row>
    <row r="1710" spans="1:1" x14ac:dyDescent="0.25">
      <c r="A1710" s="5"/>
    </row>
    <row r="1711" spans="1:1" x14ac:dyDescent="0.25">
      <c r="A1711" s="5"/>
    </row>
    <row r="1712" spans="1:1" x14ac:dyDescent="0.25">
      <c r="A1712" s="5"/>
    </row>
    <row r="1713" spans="1:1" x14ac:dyDescent="0.25">
      <c r="A1713" s="5"/>
    </row>
    <row r="1714" spans="1:1" x14ac:dyDescent="0.25">
      <c r="A1714" s="5"/>
    </row>
    <row r="1715" spans="1:1" x14ac:dyDescent="0.25">
      <c r="A1715" s="5"/>
    </row>
    <row r="1716" spans="1:1" x14ac:dyDescent="0.25">
      <c r="A1716" s="5"/>
    </row>
    <row r="1717" spans="1:1" x14ac:dyDescent="0.25">
      <c r="A1717" s="5"/>
    </row>
    <row r="1718" spans="1:1" x14ac:dyDescent="0.25">
      <c r="A1718" s="5"/>
    </row>
    <row r="1719" spans="1:1" x14ac:dyDescent="0.25">
      <c r="A1719" s="5"/>
    </row>
    <row r="1720" spans="1:1" x14ac:dyDescent="0.25">
      <c r="A1720" s="5"/>
    </row>
    <row r="1721" spans="1:1" x14ac:dyDescent="0.25">
      <c r="A1721" s="5"/>
    </row>
    <row r="1722" spans="1:1" x14ac:dyDescent="0.25">
      <c r="A1722" s="5"/>
    </row>
    <row r="1723" spans="1:1" x14ac:dyDescent="0.25">
      <c r="A1723" s="5"/>
    </row>
    <row r="1724" spans="1:1" x14ac:dyDescent="0.25">
      <c r="A1724" s="5"/>
    </row>
    <row r="1725" spans="1:1" x14ac:dyDescent="0.25">
      <c r="A1725" s="5"/>
    </row>
    <row r="1726" spans="1:1" x14ac:dyDescent="0.25">
      <c r="A1726" s="5"/>
    </row>
    <row r="1727" spans="1:1" x14ac:dyDescent="0.25">
      <c r="A1727" s="5"/>
    </row>
    <row r="1728" spans="1:1" x14ac:dyDescent="0.25">
      <c r="A1728" s="5"/>
    </row>
    <row r="1729" spans="1:1" x14ac:dyDescent="0.25">
      <c r="A1729" s="5"/>
    </row>
    <row r="1730" spans="1:1" x14ac:dyDescent="0.25">
      <c r="A1730" s="5"/>
    </row>
    <row r="1731" spans="1:1" x14ac:dyDescent="0.25">
      <c r="A1731" s="5"/>
    </row>
    <row r="1732" spans="1:1" x14ac:dyDescent="0.25">
      <c r="A1732" s="5"/>
    </row>
    <row r="1733" spans="1:1" x14ac:dyDescent="0.25">
      <c r="A1733" s="5"/>
    </row>
    <row r="1734" spans="1:1" x14ac:dyDescent="0.25">
      <c r="A1734" s="5"/>
    </row>
    <row r="1735" spans="1:1" x14ac:dyDescent="0.25">
      <c r="A1735" s="5"/>
    </row>
    <row r="1736" spans="1:1" x14ac:dyDescent="0.25">
      <c r="A1736" s="5"/>
    </row>
    <row r="1737" spans="1:1" x14ac:dyDescent="0.25">
      <c r="A1737" s="5"/>
    </row>
    <row r="1738" spans="1:1" x14ac:dyDescent="0.25">
      <c r="A1738" s="5"/>
    </row>
    <row r="1739" spans="1:1" x14ac:dyDescent="0.25">
      <c r="A1739" s="5"/>
    </row>
    <row r="1740" spans="1:1" x14ac:dyDescent="0.25">
      <c r="A1740" s="5"/>
    </row>
    <row r="1741" spans="1:1" x14ac:dyDescent="0.25">
      <c r="A1741" s="5"/>
    </row>
    <row r="1742" spans="1:1" x14ac:dyDescent="0.25">
      <c r="A1742" s="5"/>
    </row>
    <row r="1743" spans="1:1" x14ac:dyDescent="0.25">
      <c r="A1743" s="5"/>
    </row>
    <row r="1744" spans="1:1" x14ac:dyDescent="0.25">
      <c r="A1744" s="5"/>
    </row>
    <row r="1745" spans="1:1" x14ac:dyDescent="0.25">
      <c r="A1745" s="5"/>
    </row>
    <row r="1746" spans="1:1" x14ac:dyDescent="0.25">
      <c r="A1746" s="5"/>
    </row>
    <row r="1747" spans="1:1" x14ac:dyDescent="0.25">
      <c r="A1747" s="5"/>
    </row>
    <row r="1748" spans="1:1" x14ac:dyDescent="0.25">
      <c r="A1748" s="5"/>
    </row>
    <row r="1749" spans="1:1" x14ac:dyDescent="0.25">
      <c r="A1749" s="5"/>
    </row>
    <row r="1750" spans="1:1" x14ac:dyDescent="0.25">
      <c r="A1750" s="5"/>
    </row>
    <row r="1751" spans="1:1" x14ac:dyDescent="0.25">
      <c r="A1751" s="5"/>
    </row>
    <row r="1752" spans="1:1" x14ac:dyDescent="0.25">
      <c r="A1752" s="5"/>
    </row>
    <row r="1753" spans="1:1" x14ac:dyDescent="0.25">
      <c r="A1753" s="5"/>
    </row>
    <row r="1754" spans="1:1" x14ac:dyDescent="0.25">
      <c r="A1754" s="5"/>
    </row>
    <row r="1755" spans="1:1" x14ac:dyDescent="0.25">
      <c r="A1755" s="5"/>
    </row>
    <row r="1756" spans="1:1" x14ac:dyDescent="0.25">
      <c r="A1756" s="5"/>
    </row>
    <row r="1757" spans="1:1" x14ac:dyDescent="0.25">
      <c r="A1757" s="5"/>
    </row>
    <row r="1758" spans="1:1" x14ac:dyDescent="0.25">
      <c r="A1758" s="5"/>
    </row>
    <row r="1759" spans="1:1" x14ac:dyDescent="0.25">
      <c r="A1759" s="5"/>
    </row>
    <row r="1760" spans="1:1" x14ac:dyDescent="0.25">
      <c r="A1760" s="5"/>
    </row>
    <row r="1761" spans="1:1" x14ac:dyDescent="0.25">
      <c r="A1761" s="5"/>
    </row>
    <row r="1762" spans="1:1" x14ac:dyDescent="0.25">
      <c r="A1762" s="5"/>
    </row>
    <row r="1763" spans="1:1" x14ac:dyDescent="0.25">
      <c r="A1763" s="5"/>
    </row>
    <row r="1764" spans="1:1" x14ac:dyDescent="0.25">
      <c r="A1764" s="5"/>
    </row>
    <row r="1765" spans="1:1" x14ac:dyDescent="0.25">
      <c r="A1765" s="5"/>
    </row>
    <row r="1766" spans="1:1" x14ac:dyDescent="0.25">
      <c r="A1766" s="5"/>
    </row>
    <row r="1767" spans="1:1" x14ac:dyDescent="0.25">
      <c r="A1767" s="5"/>
    </row>
    <row r="1768" spans="1:1" x14ac:dyDescent="0.25">
      <c r="A1768" s="5"/>
    </row>
    <row r="1769" spans="1:1" x14ac:dyDescent="0.25">
      <c r="A1769" s="5"/>
    </row>
    <row r="1770" spans="1:1" x14ac:dyDescent="0.25">
      <c r="A1770" s="5"/>
    </row>
    <row r="1771" spans="1:1" x14ac:dyDescent="0.25">
      <c r="A1771" s="5"/>
    </row>
    <row r="1772" spans="1:1" x14ac:dyDescent="0.25">
      <c r="A1772" s="5"/>
    </row>
    <row r="1773" spans="1:1" x14ac:dyDescent="0.25">
      <c r="A1773" s="5"/>
    </row>
    <row r="1774" spans="1:1" x14ac:dyDescent="0.25">
      <c r="A1774" s="5"/>
    </row>
    <row r="1775" spans="1:1" x14ac:dyDescent="0.25">
      <c r="A1775" s="5"/>
    </row>
    <row r="1776" spans="1:1" x14ac:dyDescent="0.25">
      <c r="A1776" s="5"/>
    </row>
    <row r="1777" spans="1:1" x14ac:dyDescent="0.25">
      <c r="A1777" s="5"/>
    </row>
    <row r="1778" spans="1:1" x14ac:dyDescent="0.25">
      <c r="A1778" s="5"/>
    </row>
    <row r="1779" spans="1:1" x14ac:dyDescent="0.25">
      <c r="A1779" s="5"/>
    </row>
    <row r="1780" spans="1:1" x14ac:dyDescent="0.25">
      <c r="A1780" s="5"/>
    </row>
    <row r="1781" spans="1:1" x14ac:dyDescent="0.25">
      <c r="A1781" s="5"/>
    </row>
    <row r="1782" spans="1:1" x14ac:dyDescent="0.25">
      <c r="A1782" s="5"/>
    </row>
    <row r="1783" spans="1:1" x14ac:dyDescent="0.25">
      <c r="A1783" s="5"/>
    </row>
    <row r="1784" spans="1:1" x14ac:dyDescent="0.25">
      <c r="A1784" s="5"/>
    </row>
    <row r="1785" spans="1:1" x14ac:dyDescent="0.25">
      <c r="A1785" s="5"/>
    </row>
    <row r="1786" spans="1:1" x14ac:dyDescent="0.25">
      <c r="A1786" s="5"/>
    </row>
    <row r="1787" spans="1:1" x14ac:dyDescent="0.25">
      <c r="A1787" s="5"/>
    </row>
    <row r="1788" spans="1:1" x14ac:dyDescent="0.25">
      <c r="A1788" s="5"/>
    </row>
    <row r="1789" spans="1:1" x14ac:dyDescent="0.25">
      <c r="A1789" s="5"/>
    </row>
    <row r="1790" spans="1:1" x14ac:dyDescent="0.25">
      <c r="A1790" s="5"/>
    </row>
    <row r="1791" spans="1:1" x14ac:dyDescent="0.25">
      <c r="A1791" s="5"/>
    </row>
    <row r="1792" spans="1:1" x14ac:dyDescent="0.25">
      <c r="A1792" s="5"/>
    </row>
    <row r="1793" spans="1:1" x14ac:dyDescent="0.25">
      <c r="A1793" s="5"/>
    </row>
    <row r="1794" spans="1:1" x14ac:dyDescent="0.25">
      <c r="A1794" s="5"/>
    </row>
    <row r="1795" spans="1:1" x14ac:dyDescent="0.25">
      <c r="A1795" s="5"/>
    </row>
    <row r="1796" spans="1:1" x14ac:dyDescent="0.25">
      <c r="A1796" s="5"/>
    </row>
    <row r="1797" spans="1:1" x14ac:dyDescent="0.25">
      <c r="A1797" s="5"/>
    </row>
    <row r="1798" spans="1:1" x14ac:dyDescent="0.25">
      <c r="A1798" s="5"/>
    </row>
    <row r="1799" spans="1:1" x14ac:dyDescent="0.25">
      <c r="A1799" s="5"/>
    </row>
    <row r="1800" spans="1:1" x14ac:dyDescent="0.25">
      <c r="A1800" s="5"/>
    </row>
    <row r="1801" spans="1:1" x14ac:dyDescent="0.25">
      <c r="A1801" s="5"/>
    </row>
    <row r="1802" spans="1:1" x14ac:dyDescent="0.25">
      <c r="A1802" s="5"/>
    </row>
    <row r="1803" spans="1:1" x14ac:dyDescent="0.25">
      <c r="A1803" s="5"/>
    </row>
    <row r="1804" spans="1:1" x14ac:dyDescent="0.25">
      <c r="A1804" s="5"/>
    </row>
    <row r="1805" spans="1:1" x14ac:dyDescent="0.25">
      <c r="A1805" s="5"/>
    </row>
    <row r="1806" spans="1:1" x14ac:dyDescent="0.25">
      <c r="A1806" s="5"/>
    </row>
    <row r="1807" spans="1:1" x14ac:dyDescent="0.25">
      <c r="A1807" s="5"/>
    </row>
    <row r="1808" spans="1:1" x14ac:dyDescent="0.25">
      <c r="A1808" s="5"/>
    </row>
    <row r="1809" spans="1:1" x14ac:dyDescent="0.25">
      <c r="A1809" s="5"/>
    </row>
    <row r="1810" spans="1:1" x14ac:dyDescent="0.25">
      <c r="A1810" s="5"/>
    </row>
    <row r="1811" spans="1:1" x14ac:dyDescent="0.25">
      <c r="A1811" s="5"/>
    </row>
    <row r="1812" spans="1:1" x14ac:dyDescent="0.25">
      <c r="A1812" s="5"/>
    </row>
    <row r="1813" spans="1:1" x14ac:dyDescent="0.25">
      <c r="A1813" s="5"/>
    </row>
    <row r="1814" spans="1:1" x14ac:dyDescent="0.25">
      <c r="A1814" s="5"/>
    </row>
    <row r="1815" spans="1:1" x14ac:dyDescent="0.25">
      <c r="A1815" s="5"/>
    </row>
    <row r="1816" spans="1:1" x14ac:dyDescent="0.25">
      <c r="A1816" s="5"/>
    </row>
    <row r="1817" spans="1:1" x14ac:dyDescent="0.25">
      <c r="A1817" s="5"/>
    </row>
    <row r="1818" spans="1:1" x14ac:dyDescent="0.25">
      <c r="A1818" s="5"/>
    </row>
    <row r="1819" spans="1:1" x14ac:dyDescent="0.25">
      <c r="A1819" s="5"/>
    </row>
    <row r="1820" spans="1:1" x14ac:dyDescent="0.25">
      <c r="A1820" s="5"/>
    </row>
    <row r="1821" spans="1:1" x14ac:dyDescent="0.25">
      <c r="A1821" s="5"/>
    </row>
    <row r="1822" spans="1:1" x14ac:dyDescent="0.25">
      <c r="A1822" s="5"/>
    </row>
    <row r="1823" spans="1:1" x14ac:dyDescent="0.25">
      <c r="A1823" s="5"/>
    </row>
    <row r="1824" spans="1:1" x14ac:dyDescent="0.25">
      <c r="A1824" s="5"/>
    </row>
    <row r="1825" spans="1:1" x14ac:dyDescent="0.25">
      <c r="A1825" s="5"/>
    </row>
    <row r="1826" spans="1:1" x14ac:dyDescent="0.25">
      <c r="A1826" s="5"/>
    </row>
    <row r="1827" spans="1:1" x14ac:dyDescent="0.25">
      <c r="A1827" s="5"/>
    </row>
    <row r="1828" spans="1:1" x14ac:dyDescent="0.25">
      <c r="A1828" s="5"/>
    </row>
    <row r="1829" spans="1:1" x14ac:dyDescent="0.25">
      <c r="A1829" s="5"/>
    </row>
    <row r="1830" spans="1:1" x14ac:dyDescent="0.25">
      <c r="A1830" s="5"/>
    </row>
    <row r="1831" spans="1:1" x14ac:dyDescent="0.25">
      <c r="A1831" s="5"/>
    </row>
    <row r="1832" spans="1:1" x14ac:dyDescent="0.25">
      <c r="A1832" s="5"/>
    </row>
    <row r="1833" spans="1:1" x14ac:dyDescent="0.25">
      <c r="A1833" s="5"/>
    </row>
    <row r="1834" spans="1:1" x14ac:dyDescent="0.25">
      <c r="A1834" s="5"/>
    </row>
    <row r="1835" spans="1:1" x14ac:dyDescent="0.25">
      <c r="A1835" s="5"/>
    </row>
    <row r="1836" spans="1:1" x14ac:dyDescent="0.25">
      <c r="A1836" s="5"/>
    </row>
    <row r="1837" spans="1:1" x14ac:dyDescent="0.25">
      <c r="A1837" s="5"/>
    </row>
    <row r="1838" spans="1:1" x14ac:dyDescent="0.25">
      <c r="A1838" s="5"/>
    </row>
    <row r="1839" spans="1:1" x14ac:dyDescent="0.25">
      <c r="A1839" s="5"/>
    </row>
    <row r="1840" spans="1:1" x14ac:dyDescent="0.25">
      <c r="A1840" s="5"/>
    </row>
    <row r="1841" spans="1:1" x14ac:dyDescent="0.25">
      <c r="A1841" s="5"/>
    </row>
    <row r="1842" spans="1:1" x14ac:dyDescent="0.25">
      <c r="A1842" s="5"/>
    </row>
    <row r="1843" spans="1:1" x14ac:dyDescent="0.25">
      <c r="A1843" s="5"/>
    </row>
    <row r="1844" spans="1:1" x14ac:dyDescent="0.25">
      <c r="A1844" s="5"/>
    </row>
    <row r="1845" spans="1:1" x14ac:dyDescent="0.25">
      <c r="A1845" s="5"/>
    </row>
    <row r="1846" spans="1:1" x14ac:dyDescent="0.25">
      <c r="A1846" s="5"/>
    </row>
    <row r="1847" spans="1:1" x14ac:dyDescent="0.25">
      <c r="A1847" s="5"/>
    </row>
    <row r="1848" spans="1:1" x14ac:dyDescent="0.25">
      <c r="A1848" s="5"/>
    </row>
    <row r="1849" spans="1:1" x14ac:dyDescent="0.25">
      <c r="A1849" s="5"/>
    </row>
    <row r="1850" spans="1:1" x14ac:dyDescent="0.25">
      <c r="A1850" s="5"/>
    </row>
    <row r="1851" spans="1:1" x14ac:dyDescent="0.25">
      <c r="A1851" s="5"/>
    </row>
    <row r="1852" spans="1:1" x14ac:dyDescent="0.25">
      <c r="A1852" s="5"/>
    </row>
    <row r="1853" spans="1:1" x14ac:dyDescent="0.25">
      <c r="A1853" s="5"/>
    </row>
    <row r="1854" spans="1:1" x14ac:dyDescent="0.25">
      <c r="A1854" s="5"/>
    </row>
    <row r="1855" spans="1:1" x14ac:dyDescent="0.25">
      <c r="A1855" s="5"/>
    </row>
    <row r="1856" spans="1:1" x14ac:dyDescent="0.25">
      <c r="A1856" s="5"/>
    </row>
    <row r="1857" spans="1:1" x14ac:dyDescent="0.25">
      <c r="A1857" s="5"/>
    </row>
    <row r="1858" spans="1:1" x14ac:dyDescent="0.25">
      <c r="A1858" s="5"/>
    </row>
    <row r="1859" spans="1:1" x14ac:dyDescent="0.25">
      <c r="A1859" s="5"/>
    </row>
    <row r="1860" spans="1:1" x14ac:dyDescent="0.25">
      <c r="A1860" s="5"/>
    </row>
    <row r="1861" spans="1:1" x14ac:dyDescent="0.25">
      <c r="A1861" s="5"/>
    </row>
    <row r="1862" spans="1:1" x14ac:dyDescent="0.25">
      <c r="A1862" s="5"/>
    </row>
    <row r="1863" spans="1:1" x14ac:dyDescent="0.25">
      <c r="A1863" s="5"/>
    </row>
    <row r="1864" spans="1:1" x14ac:dyDescent="0.25">
      <c r="A1864" s="5"/>
    </row>
    <row r="1865" spans="1:1" x14ac:dyDescent="0.25">
      <c r="A1865" s="5"/>
    </row>
    <row r="1866" spans="1:1" x14ac:dyDescent="0.25">
      <c r="A1866" s="5"/>
    </row>
    <row r="1867" spans="1:1" x14ac:dyDescent="0.25">
      <c r="A1867" s="5"/>
    </row>
    <row r="1868" spans="1:1" x14ac:dyDescent="0.25">
      <c r="A1868" s="5"/>
    </row>
    <row r="1869" spans="1:1" x14ac:dyDescent="0.25">
      <c r="A1869" s="5"/>
    </row>
    <row r="1870" spans="1:1" x14ac:dyDescent="0.25">
      <c r="A1870" s="5"/>
    </row>
    <row r="1871" spans="1:1" x14ac:dyDescent="0.25">
      <c r="A1871" s="5"/>
    </row>
    <row r="1872" spans="1:1" x14ac:dyDescent="0.25">
      <c r="A1872" s="5"/>
    </row>
    <row r="1873" spans="1:1" x14ac:dyDescent="0.25">
      <c r="A1873" s="5"/>
    </row>
    <row r="1874" spans="1:1" x14ac:dyDescent="0.25">
      <c r="A1874" s="5"/>
    </row>
    <row r="1875" spans="1:1" x14ac:dyDescent="0.25">
      <c r="A1875" s="5"/>
    </row>
    <row r="1876" spans="1:1" x14ac:dyDescent="0.25">
      <c r="A1876" s="5"/>
    </row>
    <row r="1877" spans="1:1" x14ac:dyDescent="0.25">
      <c r="A1877" s="5"/>
    </row>
    <row r="1878" spans="1:1" x14ac:dyDescent="0.25">
      <c r="A1878" s="5"/>
    </row>
    <row r="1879" spans="1:1" x14ac:dyDescent="0.25">
      <c r="A1879" s="5"/>
    </row>
    <row r="1880" spans="1:1" x14ac:dyDescent="0.25">
      <c r="A1880" s="5"/>
    </row>
    <row r="1881" spans="1:1" x14ac:dyDescent="0.25">
      <c r="A1881" s="5"/>
    </row>
    <row r="1882" spans="1:1" x14ac:dyDescent="0.25">
      <c r="A1882" s="5"/>
    </row>
    <row r="1883" spans="1:1" x14ac:dyDescent="0.25">
      <c r="A1883" s="5"/>
    </row>
    <row r="1884" spans="1:1" x14ac:dyDescent="0.25">
      <c r="A1884" s="5"/>
    </row>
    <row r="1885" spans="1:1" x14ac:dyDescent="0.25">
      <c r="A1885" s="5"/>
    </row>
    <row r="1886" spans="1:1" x14ac:dyDescent="0.25">
      <c r="A1886" s="5"/>
    </row>
    <row r="1887" spans="1:1" x14ac:dyDescent="0.25">
      <c r="A1887" s="5"/>
    </row>
    <row r="1888" spans="1:1" x14ac:dyDescent="0.25">
      <c r="A1888" s="5"/>
    </row>
    <row r="1889" spans="1:1" x14ac:dyDescent="0.25">
      <c r="A1889" s="5"/>
    </row>
    <row r="1890" spans="1:1" x14ac:dyDescent="0.25">
      <c r="A1890" s="5"/>
    </row>
    <row r="1891" spans="1:1" x14ac:dyDescent="0.25">
      <c r="A1891" s="5"/>
    </row>
    <row r="1892" spans="1:1" x14ac:dyDescent="0.25">
      <c r="A1892" s="5"/>
    </row>
    <row r="1893" spans="1:1" x14ac:dyDescent="0.25">
      <c r="A1893" s="5"/>
    </row>
    <row r="1894" spans="1:1" x14ac:dyDescent="0.25">
      <c r="A1894" s="5"/>
    </row>
    <row r="1895" spans="1:1" x14ac:dyDescent="0.25">
      <c r="A1895" s="5"/>
    </row>
    <row r="1896" spans="1:1" x14ac:dyDescent="0.25">
      <c r="A1896" s="5"/>
    </row>
    <row r="1897" spans="1:1" x14ac:dyDescent="0.25">
      <c r="A1897" s="5"/>
    </row>
    <row r="1898" spans="1:1" x14ac:dyDescent="0.25">
      <c r="A1898" s="5"/>
    </row>
    <row r="1899" spans="1:1" x14ac:dyDescent="0.25">
      <c r="A1899" s="5"/>
    </row>
    <row r="1900" spans="1:1" x14ac:dyDescent="0.25">
      <c r="A1900" s="5"/>
    </row>
    <row r="1901" spans="1:1" x14ac:dyDescent="0.25">
      <c r="A1901" s="5"/>
    </row>
    <row r="1902" spans="1:1" x14ac:dyDescent="0.25">
      <c r="A1902" s="5"/>
    </row>
    <row r="1903" spans="1:1" x14ac:dyDescent="0.25">
      <c r="A1903" s="5"/>
    </row>
    <row r="1904" spans="1:1" x14ac:dyDescent="0.25">
      <c r="A1904" s="5"/>
    </row>
    <row r="1905" spans="1:1" x14ac:dyDescent="0.25">
      <c r="A1905" s="5"/>
    </row>
    <row r="1906" spans="1:1" x14ac:dyDescent="0.25">
      <c r="A1906" s="5"/>
    </row>
    <row r="1907" spans="1:1" x14ac:dyDescent="0.25">
      <c r="A1907" s="5"/>
    </row>
    <row r="1908" spans="1:1" x14ac:dyDescent="0.25">
      <c r="A1908" s="5"/>
    </row>
    <row r="1909" spans="1:1" x14ac:dyDescent="0.25">
      <c r="A1909" s="5"/>
    </row>
    <row r="1910" spans="1:1" x14ac:dyDescent="0.25">
      <c r="A1910" s="5"/>
    </row>
    <row r="1911" spans="1:1" x14ac:dyDescent="0.25">
      <c r="A1911" s="5"/>
    </row>
    <row r="1912" spans="1:1" x14ac:dyDescent="0.25">
      <c r="A1912" s="5"/>
    </row>
    <row r="1913" spans="1:1" x14ac:dyDescent="0.25">
      <c r="A1913" s="5"/>
    </row>
    <row r="1914" spans="1:1" x14ac:dyDescent="0.25">
      <c r="A1914" s="5"/>
    </row>
    <row r="1915" spans="1:1" x14ac:dyDescent="0.25">
      <c r="A1915" s="5"/>
    </row>
    <row r="1916" spans="1:1" x14ac:dyDescent="0.25">
      <c r="A1916" s="5"/>
    </row>
    <row r="1917" spans="1:1" x14ac:dyDescent="0.25">
      <c r="A1917" s="5"/>
    </row>
    <row r="1918" spans="1:1" x14ac:dyDescent="0.25">
      <c r="A1918" s="5"/>
    </row>
    <row r="1919" spans="1:1" x14ac:dyDescent="0.25">
      <c r="A1919" s="5"/>
    </row>
    <row r="1920" spans="1:1" x14ac:dyDescent="0.25">
      <c r="A1920" s="5"/>
    </row>
    <row r="1921" spans="1:1" x14ac:dyDescent="0.25">
      <c r="A1921" s="5"/>
    </row>
    <row r="1922" spans="1:1" x14ac:dyDescent="0.25">
      <c r="A1922" s="5"/>
    </row>
    <row r="1923" spans="1:1" x14ac:dyDescent="0.25">
      <c r="A1923" s="5"/>
    </row>
    <row r="1924" spans="1:1" x14ac:dyDescent="0.25">
      <c r="A1924" s="5"/>
    </row>
    <row r="1925" spans="1:1" x14ac:dyDescent="0.25">
      <c r="A1925" s="5"/>
    </row>
    <row r="1926" spans="1:1" x14ac:dyDescent="0.25">
      <c r="A1926" s="5"/>
    </row>
    <row r="1927" spans="1:1" x14ac:dyDescent="0.25">
      <c r="A1927" s="5"/>
    </row>
    <row r="1928" spans="1:1" x14ac:dyDescent="0.25">
      <c r="A1928" s="5"/>
    </row>
    <row r="1929" spans="1:1" x14ac:dyDescent="0.25">
      <c r="A1929" s="5"/>
    </row>
    <row r="1930" spans="1:1" x14ac:dyDescent="0.25">
      <c r="A1930" s="5"/>
    </row>
    <row r="1931" spans="1:1" x14ac:dyDescent="0.25">
      <c r="A1931" s="5"/>
    </row>
    <row r="1932" spans="1:1" x14ac:dyDescent="0.25">
      <c r="A1932" s="5"/>
    </row>
    <row r="1933" spans="1:1" x14ac:dyDescent="0.25">
      <c r="A1933" s="5"/>
    </row>
    <row r="1934" spans="1:1" x14ac:dyDescent="0.25">
      <c r="A1934" s="5"/>
    </row>
    <row r="1935" spans="1:1" x14ac:dyDescent="0.25">
      <c r="A1935" s="5"/>
    </row>
    <row r="1936" spans="1:1" x14ac:dyDescent="0.25">
      <c r="A1936" s="5"/>
    </row>
    <row r="1937" spans="1:1" x14ac:dyDescent="0.25">
      <c r="A1937" s="5"/>
    </row>
    <row r="1938" spans="1:1" x14ac:dyDescent="0.25">
      <c r="A1938" s="5"/>
    </row>
    <row r="1939" spans="1:1" x14ac:dyDescent="0.25">
      <c r="A1939" s="5"/>
    </row>
    <row r="1940" spans="1:1" x14ac:dyDescent="0.25">
      <c r="A1940" s="5"/>
    </row>
    <row r="1941" spans="1:1" x14ac:dyDescent="0.25">
      <c r="A1941" s="5"/>
    </row>
    <row r="1942" spans="1:1" x14ac:dyDescent="0.25">
      <c r="A1942" s="5"/>
    </row>
    <row r="1943" spans="1:1" x14ac:dyDescent="0.25">
      <c r="A1943" s="5"/>
    </row>
    <row r="1944" spans="1:1" x14ac:dyDescent="0.25">
      <c r="A1944" s="5"/>
    </row>
    <row r="1945" spans="1:1" x14ac:dyDescent="0.25">
      <c r="A1945" s="5"/>
    </row>
    <row r="1946" spans="1:1" x14ac:dyDescent="0.25">
      <c r="A1946" s="5"/>
    </row>
    <row r="1947" spans="1:1" x14ac:dyDescent="0.25">
      <c r="A1947" s="5"/>
    </row>
    <row r="1948" spans="1:1" x14ac:dyDescent="0.25">
      <c r="A1948" s="5"/>
    </row>
    <row r="1949" spans="1:1" x14ac:dyDescent="0.25">
      <c r="A1949" s="5"/>
    </row>
    <row r="1950" spans="1:1" x14ac:dyDescent="0.25">
      <c r="A1950" s="5"/>
    </row>
    <row r="1951" spans="1:1" x14ac:dyDescent="0.25">
      <c r="A1951" s="5"/>
    </row>
    <row r="1952" spans="1:1" x14ac:dyDescent="0.25">
      <c r="A1952" s="5"/>
    </row>
    <row r="1953" spans="1:1" x14ac:dyDescent="0.25">
      <c r="A1953" s="5"/>
    </row>
    <row r="1954" spans="1:1" x14ac:dyDescent="0.25">
      <c r="A1954" s="5"/>
    </row>
    <row r="1955" spans="1:1" x14ac:dyDescent="0.25">
      <c r="A1955" s="5"/>
    </row>
    <row r="1956" spans="1:1" x14ac:dyDescent="0.25">
      <c r="A1956" s="5"/>
    </row>
    <row r="1957" spans="1:1" x14ac:dyDescent="0.25">
      <c r="A1957" s="5"/>
    </row>
    <row r="1958" spans="1:1" x14ac:dyDescent="0.25">
      <c r="A1958" s="5"/>
    </row>
    <row r="1959" spans="1:1" x14ac:dyDescent="0.25">
      <c r="A1959" s="5"/>
    </row>
    <row r="1960" spans="1:1" x14ac:dyDescent="0.25">
      <c r="A1960" s="5"/>
    </row>
    <row r="1961" spans="1:1" x14ac:dyDescent="0.25">
      <c r="A1961" s="5"/>
    </row>
    <row r="1962" spans="1:1" x14ac:dyDescent="0.25">
      <c r="A1962" s="5"/>
    </row>
    <row r="1963" spans="1:1" x14ac:dyDescent="0.25">
      <c r="A1963" s="5"/>
    </row>
    <row r="1964" spans="1:1" x14ac:dyDescent="0.25">
      <c r="A1964" s="5"/>
    </row>
    <row r="1965" spans="1:1" x14ac:dyDescent="0.25">
      <c r="A1965" s="5"/>
    </row>
    <row r="1966" spans="1:1" x14ac:dyDescent="0.25">
      <c r="A1966" s="5"/>
    </row>
    <row r="1967" spans="1:1" x14ac:dyDescent="0.25">
      <c r="A1967" s="5"/>
    </row>
    <row r="1968" spans="1:1" x14ac:dyDescent="0.25">
      <c r="A1968" s="5"/>
    </row>
    <row r="1969" spans="1:1" x14ac:dyDescent="0.25">
      <c r="A1969" s="5"/>
    </row>
    <row r="1970" spans="1:1" x14ac:dyDescent="0.25">
      <c r="A1970" s="5"/>
    </row>
    <row r="1971" spans="1:1" x14ac:dyDescent="0.25">
      <c r="A1971" s="5"/>
    </row>
    <row r="1972" spans="1:1" x14ac:dyDescent="0.25">
      <c r="A1972" s="5"/>
    </row>
    <row r="1973" spans="1:1" x14ac:dyDescent="0.25">
      <c r="A1973" s="5"/>
    </row>
    <row r="1974" spans="1:1" x14ac:dyDescent="0.25">
      <c r="A1974" s="5"/>
    </row>
    <row r="1975" spans="1:1" x14ac:dyDescent="0.25">
      <c r="A1975" s="5"/>
    </row>
    <row r="1976" spans="1:1" x14ac:dyDescent="0.25">
      <c r="A1976" s="5"/>
    </row>
    <row r="1977" spans="1:1" x14ac:dyDescent="0.25">
      <c r="A1977" s="5"/>
    </row>
    <row r="1978" spans="1:1" x14ac:dyDescent="0.25">
      <c r="A1978" s="5"/>
    </row>
    <row r="1979" spans="1:1" x14ac:dyDescent="0.25">
      <c r="A1979" s="5"/>
    </row>
    <row r="1980" spans="1:1" x14ac:dyDescent="0.25">
      <c r="A1980" s="5"/>
    </row>
    <row r="1981" spans="1:1" x14ac:dyDescent="0.25">
      <c r="A1981" s="5"/>
    </row>
    <row r="1982" spans="1:1" x14ac:dyDescent="0.25">
      <c r="A1982" s="5"/>
    </row>
    <row r="1983" spans="1:1" x14ac:dyDescent="0.25">
      <c r="A1983" s="5"/>
    </row>
    <row r="1984" spans="1:1" x14ac:dyDescent="0.25">
      <c r="A1984" s="5"/>
    </row>
    <row r="1985" spans="1:1" x14ac:dyDescent="0.25">
      <c r="A1985" s="5"/>
    </row>
    <row r="1986" spans="1:1" x14ac:dyDescent="0.25">
      <c r="A1986" s="5"/>
    </row>
    <row r="1987" spans="1:1" x14ac:dyDescent="0.25">
      <c r="A1987" s="5"/>
    </row>
    <row r="1988" spans="1:1" x14ac:dyDescent="0.25">
      <c r="A1988" s="5"/>
    </row>
    <row r="1989" spans="1:1" x14ac:dyDescent="0.25">
      <c r="A1989" s="5"/>
    </row>
    <row r="1990" spans="1:1" x14ac:dyDescent="0.25">
      <c r="A1990" s="5"/>
    </row>
    <row r="1991" spans="1:1" x14ac:dyDescent="0.25">
      <c r="A1991" s="5"/>
    </row>
    <row r="1992" spans="1:1" x14ac:dyDescent="0.25">
      <c r="A1992" s="5"/>
    </row>
    <row r="1993" spans="1:1" x14ac:dyDescent="0.25">
      <c r="A1993" s="5"/>
    </row>
    <row r="1994" spans="1:1" x14ac:dyDescent="0.25">
      <c r="A1994" s="5"/>
    </row>
    <row r="1995" spans="1:1" x14ac:dyDescent="0.25">
      <c r="A1995" s="5"/>
    </row>
    <row r="1996" spans="1:1" x14ac:dyDescent="0.25">
      <c r="A1996" s="5"/>
    </row>
    <row r="1997" spans="1:1" x14ac:dyDescent="0.25">
      <c r="A1997" s="5"/>
    </row>
    <row r="1998" spans="1:1" x14ac:dyDescent="0.25">
      <c r="A1998" s="5"/>
    </row>
    <row r="1999" spans="1:1" x14ac:dyDescent="0.25">
      <c r="A1999" s="5"/>
    </row>
    <row r="2000" spans="1:1" x14ac:dyDescent="0.25">
      <c r="A2000" s="5"/>
    </row>
    <row r="2001" spans="1:1" x14ac:dyDescent="0.25">
      <c r="A2001" s="5"/>
    </row>
    <row r="2002" spans="1:1" x14ac:dyDescent="0.25">
      <c r="A2002" s="5"/>
    </row>
    <row r="2003" spans="1:1" x14ac:dyDescent="0.25">
      <c r="A2003" s="5"/>
    </row>
    <row r="2004" spans="1:1" x14ac:dyDescent="0.25">
      <c r="A2004" s="5"/>
    </row>
    <row r="2005" spans="1:1" x14ac:dyDescent="0.25">
      <c r="A2005" s="5"/>
    </row>
    <row r="2006" spans="1:1" x14ac:dyDescent="0.25">
      <c r="A2006" s="5"/>
    </row>
    <row r="2007" spans="1:1" x14ac:dyDescent="0.25">
      <c r="A2007" s="5"/>
    </row>
    <row r="2008" spans="1:1" x14ac:dyDescent="0.25">
      <c r="A2008" s="5"/>
    </row>
    <row r="2009" spans="1:1" x14ac:dyDescent="0.25">
      <c r="A2009" s="5"/>
    </row>
    <row r="2010" spans="1:1" x14ac:dyDescent="0.25">
      <c r="A2010" s="5"/>
    </row>
    <row r="2011" spans="1:1" x14ac:dyDescent="0.25">
      <c r="A2011" s="5"/>
    </row>
    <row r="2012" spans="1:1" x14ac:dyDescent="0.25">
      <c r="A2012" s="5"/>
    </row>
    <row r="2013" spans="1:1" x14ac:dyDescent="0.25">
      <c r="A2013" s="5"/>
    </row>
    <row r="2014" spans="1:1" x14ac:dyDescent="0.25">
      <c r="A2014" s="5"/>
    </row>
    <row r="2015" spans="1:1" x14ac:dyDescent="0.25">
      <c r="A2015" s="5"/>
    </row>
    <row r="2016" spans="1:1" x14ac:dyDescent="0.25">
      <c r="A2016" s="5"/>
    </row>
    <row r="2017" spans="1:1" x14ac:dyDescent="0.25">
      <c r="A2017" s="5"/>
    </row>
    <row r="2018" spans="1:1" x14ac:dyDescent="0.25">
      <c r="A2018" s="5"/>
    </row>
    <row r="2019" spans="1:1" x14ac:dyDescent="0.25">
      <c r="A2019" s="5"/>
    </row>
    <row r="2020" spans="1:1" x14ac:dyDescent="0.25">
      <c r="A2020" s="5"/>
    </row>
    <row r="2021" spans="1:1" x14ac:dyDescent="0.25">
      <c r="A2021" s="5"/>
    </row>
    <row r="2022" spans="1:1" x14ac:dyDescent="0.25">
      <c r="A2022" s="5"/>
    </row>
    <row r="2023" spans="1:1" x14ac:dyDescent="0.25">
      <c r="A2023" s="5"/>
    </row>
    <row r="2024" spans="1:1" x14ac:dyDescent="0.25">
      <c r="A2024" s="5"/>
    </row>
    <row r="2025" spans="1:1" x14ac:dyDescent="0.25">
      <c r="A2025" s="5"/>
    </row>
    <row r="2026" spans="1:1" x14ac:dyDescent="0.25">
      <c r="A2026" s="5"/>
    </row>
    <row r="2027" spans="1:1" x14ac:dyDescent="0.25">
      <c r="A2027" s="5"/>
    </row>
    <row r="2028" spans="1:1" x14ac:dyDescent="0.25">
      <c r="A2028" s="5"/>
    </row>
    <row r="2029" spans="1:1" x14ac:dyDescent="0.25">
      <c r="A2029" s="5"/>
    </row>
    <row r="2030" spans="1:1" x14ac:dyDescent="0.25">
      <c r="A2030" s="5"/>
    </row>
    <row r="2031" spans="1:1" x14ac:dyDescent="0.25">
      <c r="A2031" s="5"/>
    </row>
    <row r="2032" spans="1:1" x14ac:dyDescent="0.25">
      <c r="A2032" s="5"/>
    </row>
    <row r="2033" spans="1:1" x14ac:dyDescent="0.25">
      <c r="A2033" s="5"/>
    </row>
    <row r="2034" spans="1:1" x14ac:dyDescent="0.25">
      <c r="A2034" s="5"/>
    </row>
    <row r="2035" spans="1:1" x14ac:dyDescent="0.25">
      <c r="A2035" s="5"/>
    </row>
    <row r="2036" spans="1:1" x14ac:dyDescent="0.25">
      <c r="A2036" s="5"/>
    </row>
    <row r="2037" spans="1:1" x14ac:dyDescent="0.25">
      <c r="A2037" s="5"/>
    </row>
    <row r="2038" spans="1:1" x14ac:dyDescent="0.25">
      <c r="A2038" s="5"/>
    </row>
    <row r="2039" spans="1:1" x14ac:dyDescent="0.25">
      <c r="A2039" s="5"/>
    </row>
    <row r="2040" spans="1:1" x14ac:dyDescent="0.25">
      <c r="A2040" s="5"/>
    </row>
    <row r="2041" spans="1:1" x14ac:dyDescent="0.25">
      <c r="A2041" s="5"/>
    </row>
    <row r="2042" spans="1:1" x14ac:dyDescent="0.25">
      <c r="A2042" s="5"/>
    </row>
    <row r="2043" spans="1:1" x14ac:dyDescent="0.25">
      <c r="A2043" s="5"/>
    </row>
    <row r="2044" spans="1:1" x14ac:dyDescent="0.25">
      <c r="A2044" s="5"/>
    </row>
    <row r="2045" spans="1:1" x14ac:dyDescent="0.25">
      <c r="A2045" s="5"/>
    </row>
    <row r="2046" spans="1:1" x14ac:dyDescent="0.25">
      <c r="A2046" s="5"/>
    </row>
    <row r="2047" spans="1:1" x14ac:dyDescent="0.25">
      <c r="A2047" s="5"/>
    </row>
    <row r="2048" spans="1:1" x14ac:dyDescent="0.25">
      <c r="A2048" s="5"/>
    </row>
    <row r="2049" spans="1:1" x14ac:dyDescent="0.25">
      <c r="A2049" s="5"/>
    </row>
    <row r="2050" spans="1:1" x14ac:dyDescent="0.25">
      <c r="A2050" s="5"/>
    </row>
    <row r="2051" spans="1:1" x14ac:dyDescent="0.25">
      <c r="A2051" s="5"/>
    </row>
    <row r="2052" spans="1:1" x14ac:dyDescent="0.25">
      <c r="A2052" s="5"/>
    </row>
    <row r="2053" spans="1:1" x14ac:dyDescent="0.25">
      <c r="A2053" s="5"/>
    </row>
    <row r="2054" spans="1:1" x14ac:dyDescent="0.25">
      <c r="A2054" s="5"/>
    </row>
    <row r="2055" spans="1:1" x14ac:dyDescent="0.25">
      <c r="A2055" s="5"/>
    </row>
    <row r="2056" spans="1:1" x14ac:dyDescent="0.25">
      <c r="A2056" s="5"/>
    </row>
    <row r="2057" spans="1:1" x14ac:dyDescent="0.25">
      <c r="A2057" s="5"/>
    </row>
    <row r="2058" spans="1:1" x14ac:dyDescent="0.25">
      <c r="A2058" s="5"/>
    </row>
    <row r="2059" spans="1:1" x14ac:dyDescent="0.25">
      <c r="A2059" s="5"/>
    </row>
    <row r="2060" spans="1:1" x14ac:dyDescent="0.25">
      <c r="A2060" s="5"/>
    </row>
    <row r="2061" spans="1:1" x14ac:dyDescent="0.25">
      <c r="A2061" s="5"/>
    </row>
    <row r="2062" spans="1:1" x14ac:dyDescent="0.25">
      <c r="A2062" s="5"/>
    </row>
    <row r="2063" spans="1:1" x14ac:dyDescent="0.25">
      <c r="A2063" s="5"/>
    </row>
    <row r="2064" spans="1:1" x14ac:dyDescent="0.25">
      <c r="A2064" s="5"/>
    </row>
    <row r="2065" spans="1:1" x14ac:dyDescent="0.25">
      <c r="A2065" s="5"/>
    </row>
    <row r="2066" spans="1:1" x14ac:dyDescent="0.25">
      <c r="A2066" s="5"/>
    </row>
    <row r="2067" spans="1:1" x14ac:dyDescent="0.25">
      <c r="A2067" s="5"/>
    </row>
    <row r="2068" spans="1:1" x14ac:dyDescent="0.25">
      <c r="A2068" s="5"/>
    </row>
    <row r="2069" spans="1:1" x14ac:dyDescent="0.25">
      <c r="A2069" s="5"/>
    </row>
    <row r="2070" spans="1:1" x14ac:dyDescent="0.25">
      <c r="A2070" s="5"/>
    </row>
    <row r="2071" spans="1:1" x14ac:dyDescent="0.25">
      <c r="A2071" s="5"/>
    </row>
    <row r="2072" spans="1:1" x14ac:dyDescent="0.25">
      <c r="A2072" s="5"/>
    </row>
    <row r="2073" spans="1:1" x14ac:dyDescent="0.25">
      <c r="A2073" s="5"/>
    </row>
    <row r="2074" spans="1:1" x14ac:dyDescent="0.25">
      <c r="A2074" s="5"/>
    </row>
    <row r="2075" spans="1:1" x14ac:dyDescent="0.25">
      <c r="A2075" s="5"/>
    </row>
    <row r="2076" spans="1:1" x14ac:dyDescent="0.25">
      <c r="A2076" s="5"/>
    </row>
    <row r="2077" spans="1:1" x14ac:dyDescent="0.25">
      <c r="A2077" s="5"/>
    </row>
    <row r="2078" spans="1:1" x14ac:dyDescent="0.25">
      <c r="A2078" s="5"/>
    </row>
    <row r="2079" spans="1:1" x14ac:dyDescent="0.25">
      <c r="A2079" s="5"/>
    </row>
    <row r="2080" spans="1:1" x14ac:dyDescent="0.25">
      <c r="A2080" s="5"/>
    </row>
    <row r="2081" spans="1:1" x14ac:dyDescent="0.25">
      <c r="A2081" s="5"/>
    </row>
    <row r="2082" spans="1:1" x14ac:dyDescent="0.25">
      <c r="A2082" s="5"/>
    </row>
    <row r="2083" spans="1:1" x14ac:dyDescent="0.25">
      <c r="A2083" s="5"/>
    </row>
    <row r="2084" spans="1:1" x14ac:dyDescent="0.25">
      <c r="A2084" s="5"/>
    </row>
    <row r="2085" spans="1:1" x14ac:dyDescent="0.25">
      <c r="A2085" s="5"/>
    </row>
    <row r="2086" spans="1:1" x14ac:dyDescent="0.25">
      <c r="A2086" s="5"/>
    </row>
    <row r="2087" spans="1:1" x14ac:dyDescent="0.25">
      <c r="A2087" s="5"/>
    </row>
    <row r="2088" spans="1:1" x14ac:dyDescent="0.25">
      <c r="A2088" s="5"/>
    </row>
    <row r="2089" spans="1:1" x14ac:dyDescent="0.25">
      <c r="A2089" s="5"/>
    </row>
    <row r="2090" spans="1:1" x14ac:dyDescent="0.25">
      <c r="A2090" s="5"/>
    </row>
    <row r="2091" spans="1:1" x14ac:dyDescent="0.25">
      <c r="A2091" s="5"/>
    </row>
    <row r="2092" spans="1:1" x14ac:dyDescent="0.25">
      <c r="A2092" s="5"/>
    </row>
    <row r="2093" spans="1:1" x14ac:dyDescent="0.25">
      <c r="A2093" s="5"/>
    </row>
    <row r="2094" spans="1:1" x14ac:dyDescent="0.25">
      <c r="A2094" s="5"/>
    </row>
    <row r="2095" spans="1:1" x14ac:dyDescent="0.25">
      <c r="A2095" s="5"/>
    </row>
    <row r="2096" spans="1:1" x14ac:dyDescent="0.25">
      <c r="A2096" s="5"/>
    </row>
    <row r="2097" spans="1:1" x14ac:dyDescent="0.25">
      <c r="A2097" s="5"/>
    </row>
    <row r="2098" spans="1:1" x14ac:dyDescent="0.25">
      <c r="A2098" s="5"/>
    </row>
    <row r="2099" spans="1:1" x14ac:dyDescent="0.25">
      <c r="A2099" s="5"/>
    </row>
    <row r="2100" spans="1:1" x14ac:dyDescent="0.25">
      <c r="A2100" s="5"/>
    </row>
    <row r="2101" spans="1:1" x14ac:dyDescent="0.25">
      <c r="A2101" s="5"/>
    </row>
    <row r="2102" spans="1:1" x14ac:dyDescent="0.25">
      <c r="A2102" s="5"/>
    </row>
    <row r="2103" spans="1:1" x14ac:dyDescent="0.25">
      <c r="A2103" s="5"/>
    </row>
    <row r="2104" spans="1:1" x14ac:dyDescent="0.25">
      <c r="A2104" s="5"/>
    </row>
    <row r="2105" spans="1:1" x14ac:dyDescent="0.25">
      <c r="A2105" s="5"/>
    </row>
    <row r="2106" spans="1:1" x14ac:dyDescent="0.25">
      <c r="A2106" s="5"/>
    </row>
    <row r="2107" spans="1:1" x14ac:dyDescent="0.25">
      <c r="A2107" s="5"/>
    </row>
    <row r="2108" spans="1:1" x14ac:dyDescent="0.25">
      <c r="A2108" s="5"/>
    </row>
    <row r="2109" spans="1:1" x14ac:dyDescent="0.25">
      <c r="A2109" s="5"/>
    </row>
    <row r="2110" spans="1:1" x14ac:dyDescent="0.25">
      <c r="A2110" s="5"/>
    </row>
    <row r="2111" spans="1:1" x14ac:dyDescent="0.25">
      <c r="A2111" s="5"/>
    </row>
    <row r="2112" spans="1:1" x14ac:dyDescent="0.25">
      <c r="A2112" s="5"/>
    </row>
    <row r="2113" spans="1:1" x14ac:dyDescent="0.25">
      <c r="A2113" s="5"/>
    </row>
    <row r="2114" spans="1:1" x14ac:dyDescent="0.25">
      <c r="A2114" s="5"/>
    </row>
    <row r="2115" spans="1:1" x14ac:dyDescent="0.25">
      <c r="A2115" s="5"/>
    </row>
    <row r="2116" spans="1:1" x14ac:dyDescent="0.25">
      <c r="A2116" s="5"/>
    </row>
    <row r="2117" spans="1:1" x14ac:dyDescent="0.25">
      <c r="A2117" s="5"/>
    </row>
    <row r="2118" spans="1:1" x14ac:dyDescent="0.25">
      <c r="A2118" s="5"/>
    </row>
    <row r="2119" spans="1:1" x14ac:dyDescent="0.25">
      <c r="A2119" s="5"/>
    </row>
    <row r="2120" spans="1:1" x14ac:dyDescent="0.25">
      <c r="A2120" s="5"/>
    </row>
    <row r="2121" spans="1:1" x14ac:dyDescent="0.25">
      <c r="A2121" s="5"/>
    </row>
    <row r="2122" spans="1:1" x14ac:dyDescent="0.25">
      <c r="A2122" s="5"/>
    </row>
    <row r="2123" spans="1:1" x14ac:dyDescent="0.25">
      <c r="A2123" s="5"/>
    </row>
    <row r="2124" spans="1:1" x14ac:dyDescent="0.25">
      <c r="A2124" s="5"/>
    </row>
    <row r="2125" spans="1:1" x14ac:dyDescent="0.25">
      <c r="A2125" s="5"/>
    </row>
    <row r="2126" spans="1:1" x14ac:dyDescent="0.25">
      <c r="A2126" s="5"/>
    </row>
    <row r="2127" spans="1:1" x14ac:dyDescent="0.25">
      <c r="A2127" s="5"/>
    </row>
    <row r="2128" spans="1:1" x14ac:dyDescent="0.25">
      <c r="A2128" s="5"/>
    </row>
    <row r="2129" spans="1:1" x14ac:dyDescent="0.25">
      <c r="A2129" s="5"/>
    </row>
    <row r="2130" spans="1:1" x14ac:dyDescent="0.25">
      <c r="A2130" s="5"/>
    </row>
    <row r="2131" spans="1:1" x14ac:dyDescent="0.25">
      <c r="A2131" s="5"/>
    </row>
    <row r="2132" spans="1:1" x14ac:dyDescent="0.25">
      <c r="A2132" s="5"/>
    </row>
    <row r="2133" spans="1:1" x14ac:dyDescent="0.25">
      <c r="A2133" s="5"/>
    </row>
    <row r="2134" spans="1:1" x14ac:dyDescent="0.25">
      <c r="A2134" s="5"/>
    </row>
    <row r="2135" spans="1:1" x14ac:dyDescent="0.25">
      <c r="A2135" s="5"/>
    </row>
    <row r="2136" spans="1:1" x14ac:dyDescent="0.25">
      <c r="A2136" s="5"/>
    </row>
    <row r="2137" spans="1:1" x14ac:dyDescent="0.25">
      <c r="A2137" s="5"/>
    </row>
    <row r="2138" spans="1:1" x14ac:dyDescent="0.25">
      <c r="A2138" s="5"/>
    </row>
    <row r="2139" spans="1:1" x14ac:dyDescent="0.25">
      <c r="A2139" s="5"/>
    </row>
    <row r="2140" spans="1:1" x14ac:dyDescent="0.25">
      <c r="A2140" s="5"/>
    </row>
    <row r="2141" spans="1:1" x14ac:dyDescent="0.25">
      <c r="A2141" s="5"/>
    </row>
    <row r="2142" spans="1:1" x14ac:dyDescent="0.25">
      <c r="A2142" s="5"/>
    </row>
    <row r="2143" spans="1:1" x14ac:dyDescent="0.25">
      <c r="A2143" s="5"/>
    </row>
    <row r="2144" spans="1:1" x14ac:dyDescent="0.25">
      <c r="A2144" s="5"/>
    </row>
    <row r="2145" spans="1:1" x14ac:dyDescent="0.25">
      <c r="A2145" s="5"/>
    </row>
    <row r="2146" spans="1:1" x14ac:dyDescent="0.25">
      <c r="A2146" s="5"/>
    </row>
    <row r="2147" spans="1:1" x14ac:dyDescent="0.25">
      <c r="A2147" s="5"/>
    </row>
    <row r="2148" spans="1:1" x14ac:dyDescent="0.25">
      <c r="A2148" s="5"/>
    </row>
    <row r="2149" spans="1:1" x14ac:dyDescent="0.25">
      <c r="A2149" s="5"/>
    </row>
    <row r="2150" spans="1:1" x14ac:dyDescent="0.25">
      <c r="A2150" s="5"/>
    </row>
    <row r="2151" spans="1:1" x14ac:dyDescent="0.25">
      <c r="A2151" s="5"/>
    </row>
    <row r="2152" spans="1:1" x14ac:dyDescent="0.25">
      <c r="A2152" s="5"/>
    </row>
    <row r="2153" spans="1:1" x14ac:dyDescent="0.25">
      <c r="A2153" s="5"/>
    </row>
    <row r="2154" spans="1:1" x14ac:dyDescent="0.25">
      <c r="A2154" s="5"/>
    </row>
    <row r="2155" spans="1:1" x14ac:dyDescent="0.25">
      <c r="A2155" s="5"/>
    </row>
    <row r="2156" spans="1:1" x14ac:dyDescent="0.25">
      <c r="A2156" s="5"/>
    </row>
    <row r="2157" spans="1:1" x14ac:dyDescent="0.25">
      <c r="A2157" s="5"/>
    </row>
    <row r="2158" spans="1:1" x14ac:dyDescent="0.25">
      <c r="A2158" s="5"/>
    </row>
    <row r="2159" spans="1:1" x14ac:dyDescent="0.25">
      <c r="A2159" s="5"/>
    </row>
    <row r="2160" spans="1:1" x14ac:dyDescent="0.25">
      <c r="A2160" s="5"/>
    </row>
    <row r="2161" spans="1:1" x14ac:dyDescent="0.25">
      <c r="A2161" s="5"/>
    </row>
    <row r="2162" spans="1:1" x14ac:dyDescent="0.25">
      <c r="A2162" s="5"/>
    </row>
    <row r="2163" spans="1:1" x14ac:dyDescent="0.25">
      <c r="A2163" s="5"/>
    </row>
    <row r="2164" spans="1:1" x14ac:dyDescent="0.25">
      <c r="A2164" s="5"/>
    </row>
    <row r="2165" spans="1:1" x14ac:dyDescent="0.25">
      <c r="A2165" s="5"/>
    </row>
    <row r="2166" spans="1:1" x14ac:dyDescent="0.25">
      <c r="A2166" s="5"/>
    </row>
    <row r="2167" spans="1:1" x14ac:dyDescent="0.25">
      <c r="A2167" s="5"/>
    </row>
    <row r="2168" spans="1:1" x14ac:dyDescent="0.25">
      <c r="A2168" s="5"/>
    </row>
    <row r="2169" spans="1:1" x14ac:dyDescent="0.25">
      <c r="A2169" s="5"/>
    </row>
    <row r="2170" spans="1:1" x14ac:dyDescent="0.25">
      <c r="A2170" s="5"/>
    </row>
    <row r="2171" spans="1:1" x14ac:dyDescent="0.25">
      <c r="A2171" s="5"/>
    </row>
    <row r="2172" spans="1:1" x14ac:dyDescent="0.25">
      <c r="A2172" s="5"/>
    </row>
    <row r="2173" spans="1:1" x14ac:dyDescent="0.25">
      <c r="A2173" s="5"/>
    </row>
    <row r="2174" spans="1:1" x14ac:dyDescent="0.25">
      <c r="A2174" s="5"/>
    </row>
    <row r="2175" spans="1:1" x14ac:dyDescent="0.25">
      <c r="A2175" s="5"/>
    </row>
    <row r="2176" spans="1:1" x14ac:dyDescent="0.25">
      <c r="A2176" s="5"/>
    </row>
    <row r="2177" spans="1:1" x14ac:dyDescent="0.25">
      <c r="A2177" s="5"/>
    </row>
    <row r="2178" spans="1:1" x14ac:dyDescent="0.25">
      <c r="A2178" s="5"/>
    </row>
    <row r="2179" spans="1:1" x14ac:dyDescent="0.25">
      <c r="A2179" s="5"/>
    </row>
    <row r="2180" spans="1:1" x14ac:dyDescent="0.25">
      <c r="A2180" s="5"/>
    </row>
    <row r="2181" spans="1:1" x14ac:dyDescent="0.25">
      <c r="A2181" s="5"/>
    </row>
    <row r="2182" spans="1:1" x14ac:dyDescent="0.25">
      <c r="A2182" s="5"/>
    </row>
    <row r="2183" spans="1:1" x14ac:dyDescent="0.25">
      <c r="A2183" s="5"/>
    </row>
    <row r="2184" spans="1:1" x14ac:dyDescent="0.25">
      <c r="A2184" s="5"/>
    </row>
    <row r="2185" spans="1:1" x14ac:dyDescent="0.25">
      <c r="A2185" s="5"/>
    </row>
    <row r="2186" spans="1:1" x14ac:dyDescent="0.25">
      <c r="A2186" s="5"/>
    </row>
    <row r="2187" spans="1:1" x14ac:dyDescent="0.25">
      <c r="A2187" s="5"/>
    </row>
    <row r="2188" spans="1:1" x14ac:dyDescent="0.25">
      <c r="A2188" s="5"/>
    </row>
    <row r="2189" spans="1:1" x14ac:dyDescent="0.25">
      <c r="A2189" s="5"/>
    </row>
    <row r="2190" spans="1:1" x14ac:dyDescent="0.25">
      <c r="A2190" s="5"/>
    </row>
    <row r="2191" spans="1:1" x14ac:dyDescent="0.25">
      <c r="A2191" s="5"/>
    </row>
    <row r="2192" spans="1:1" x14ac:dyDescent="0.25">
      <c r="A2192" s="5"/>
    </row>
    <row r="2193" spans="1:1" x14ac:dyDescent="0.25">
      <c r="A2193" s="5"/>
    </row>
    <row r="2194" spans="1:1" x14ac:dyDescent="0.25">
      <c r="A2194" s="5"/>
    </row>
    <row r="2195" spans="1:1" x14ac:dyDescent="0.25">
      <c r="A2195" s="5"/>
    </row>
    <row r="2196" spans="1:1" x14ac:dyDescent="0.25">
      <c r="A2196" s="5"/>
    </row>
    <row r="2197" spans="1:1" x14ac:dyDescent="0.25">
      <c r="A2197" s="5"/>
    </row>
    <row r="2198" spans="1:1" x14ac:dyDescent="0.25">
      <c r="A2198" s="5"/>
    </row>
    <row r="2199" spans="1:1" x14ac:dyDescent="0.25">
      <c r="A2199" s="5"/>
    </row>
    <row r="2200" spans="1:1" x14ac:dyDescent="0.25">
      <c r="A2200" s="5"/>
    </row>
    <row r="2201" spans="1:1" x14ac:dyDescent="0.25">
      <c r="A2201" s="5"/>
    </row>
    <row r="2202" spans="1:1" x14ac:dyDescent="0.25">
      <c r="A2202" s="5"/>
    </row>
    <row r="2203" spans="1:1" x14ac:dyDescent="0.25">
      <c r="A2203" s="5"/>
    </row>
    <row r="2204" spans="1:1" x14ac:dyDescent="0.25">
      <c r="A2204" s="5"/>
    </row>
    <row r="2205" spans="1:1" x14ac:dyDescent="0.25">
      <c r="A2205" s="5"/>
    </row>
    <row r="2206" spans="1:1" x14ac:dyDescent="0.25">
      <c r="A2206" s="5"/>
    </row>
    <row r="2207" spans="1:1" x14ac:dyDescent="0.25">
      <c r="A2207" s="5"/>
    </row>
    <row r="2208" spans="1:1" x14ac:dyDescent="0.25">
      <c r="A2208" s="5"/>
    </row>
    <row r="2209" spans="1:1" x14ac:dyDescent="0.25">
      <c r="A2209" s="5"/>
    </row>
    <row r="2210" spans="1:1" x14ac:dyDescent="0.25">
      <c r="A2210" s="5"/>
    </row>
    <row r="2211" spans="1:1" x14ac:dyDescent="0.25">
      <c r="A2211" s="5"/>
    </row>
    <row r="2212" spans="1:1" x14ac:dyDescent="0.25">
      <c r="A2212" s="5"/>
    </row>
    <row r="2213" spans="1:1" x14ac:dyDescent="0.25">
      <c r="A2213" s="5"/>
    </row>
    <row r="2214" spans="1:1" x14ac:dyDescent="0.25">
      <c r="A2214" s="5"/>
    </row>
    <row r="2215" spans="1:1" x14ac:dyDescent="0.25">
      <c r="A2215" s="5"/>
    </row>
    <row r="2216" spans="1:1" x14ac:dyDescent="0.25">
      <c r="A2216" s="5"/>
    </row>
    <row r="2217" spans="1:1" x14ac:dyDescent="0.25">
      <c r="A2217" s="5"/>
    </row>
    <row r="2218" spans="1:1" x14ac:dyDescent="0.25">
      <c r="A2218" s="5"/>
    </row>
    <row r="2219" spans="1:1" x14ac:dyDescent="0.25">
      <c r="A2219" s="5"/>
    </row>
    <row r="2220" spans="1:1" x14ac:dyDescent="0.25">
      <c r="A2220" s="5"/>
    </row>
    <row r="2221" spans="1:1" x14ac:dyDescent="0.25">
      <c r="A2221" s="5"/>
    </row>
    <row r="2222" spans="1:1" x14ac:dyDescent="0.25">
      <c r="A2222" s="5"/>
    </row>
    <row r="2223" spans="1:1" x14ac:dyDescent="0.25">
      <c r="A2223" s="5"/>
    </row>
    <row r="2224" spans="1:1" x14ac:dyDescent="0.25">
      <c r="A2224" s="5"/>
    </row>
    <row r="2225" spans="1:1" x14ac:dyDescent="0.25">
      <c r="A2225" s="5"/>
    </row>
    <row r="2226" spans="1:1" x14ac:dyDescent="0.25">
      <c r="A2226" s="5"/>
    </row>
    <row r="2227" spans="1:1" x14ac:dyDescent="0.25">
      <c r="A2227" s="5"/>
    </row>
    <row r="2228" spans="1:1" x14ac:dyDescent="0.25">
      <c r="A2228" s="5"/>
    </row>
    <row r="2229" spans="1:1" x14ac:dyDescent="0.25">
      <c r="A2229" s="5"/>
    </row>
    <row r="2230" spans="1:1" x14ac:dyDescent="0.25">
      <c r="A2230" s="5"/>
    </row>
    <row r="2231" spans="1:1" x14ac:dyDescent="0.25">
      <c r="A2231" s="5"/>
    </row>
    <row r="2232" spans="1:1" x14ac:dyDescent="0.25">
      <c r="A2232" s="5"/>
    </row>
    <row r="2233" spans="1:1" x14ac:dyDescent="0.25">
      <c r="A2233" s="5"/>
    </row>
    <row r="2234" spans="1:1" x14ac:dyDescent="0.25">
      <c r="A2234" s="5"/>
    </row>
    <row r="2235" spans="1:1" x14ac:dyDescent="0.25">
      <c r="A2235" s="5"/>
    </row>
    <row r="2236" spans="1:1" x14ac:dyDescent="0.25">
      <c r="A2236" s="5"/>
    </row>
    <row r="2237" spans="1:1" x14ac:dyDescent="0.25">
      <c r="A2237" s="5"/>
    </row>
    <row r="2238" spans="1:1" x14ac:dyDescent="0.25">
      <c r="A2238" s="5"/>
    </row>
    <row r="2239" spans="1:1" x14ac:dyDescent="0.25">
      <c r="A2239" s="5"/>
    </row>
    <row r="2240" spans="1:1" x14ac:dyDescent="0.25">
      <c r="A2240" s="5"/>
    </row>
    <row r="2241" spans="1:1" x14ac:dyDescent="0.25">
      <c r="A2241" s="5"/>
    </row>
    <row r="2242" spans="1:1" x14ac:dyDescent="0.25">
      <c r="A2242" s="5"/>
    </row>
    <row r="2243" spans="1:1" x14ac:dyDescent="0.25">
      <c r="A2243" s="5"/>
    </row>
    <row r="2244" spans="1:1" x14ac:dyDescent="0.25">
      <c r="A2244" s="5"/>
    </row>
    <row r="2245" spans="1:1" x14ac:dyDescent="0.25">
      <c r="A2245" s="5"/>
    </row>
    <row r="2246" spans="1:1" x14ac:dyDescent="0.25">
      <c r="A2246" s="5"/>
    </row>
    <row r="2247" spans="1:1" x14ac:dyDescent="0.25">
      <c r="A2247" s="5"/>
    </row>
    <row r="2248" spans="1:1" x14ac:dyDescent="0.25">
      <c r="A2248" s="5"/>
    </row>
    <row r="2249" spans="1:1" x14ac:dyDescent="0.25">
      <c r="A2249" s="5"/>
    </row>
    <row r="2250" spans="1:1" x14ac:dyDescent="0.25">
      <c r="A2250" s="5"/>
    </row>
    <row r="2251" spans="1:1" x14ac:dyDescent="0.25">
      <c r="A2251" s="5"/>
    </row>
    <row r="2252" spans="1:1" x14ac:dyDescent="0.25">
      <c r="A2252" s="5"/>
    </row>
    <row r="2253" spans="1:1" x14ac:dyDescent="0.25">
      <c r="A2253" s="5"/>
    </row>
    <row r="2254" spans="1:1" x14ac:dyDescent="0.25">
      <c r="A2254" s="5"/>
    </row>
    <row r="2255" spans="1:1" x14ac:dyDescent="0.25">
      <c r="A2255" s="5"/>
    </row>
    <row r="2256" spans="1:1" x14ac:dyDescent="0.25">
      <c r="A2256" s="5"/>
    </row>
    <row r="2257" spans="1:1" x14ac:dyDescent="0.25">
      <c r="A2257" s="5"/>
    </row>
    <row r="2258" spans="1:1" x14ac:dyDescent="0.25">
      <c r="A2258" s="5"/>
    </row>
    <row r="2259" spans="1:1" x14ac:dyDescent="0.25">
      <c r="A2259" s="5"/>
    </row>
    <row r="2260" spans="1:1" x14ac:dyDescent="0.25">
      <c r="A2260" s="5"/>
    </row>
    <row r="2261" spans="1:1" x14ac:dyDescent="0.25">
      <c r="A2261" s="5"/>
    </row>
    <row r="2262" spans="1:1" x14ac:dyDescent="0.25">
      <c r="A2262" s="5"/>
    </row>
    <row r="2263" spans="1:1" x14ac:dyDescent="0.25">
      <c r="A2263" s="5"/>
    </row>
    <row r="2264" spans="1:1" x14ac:dyDescent="0.25">
      <c r="A2264" s="5"/>
    </row>
    <row r="2265" spans="1:1" x14ac:dyDescent="0.25">
      <c r="A2265" s="5"/>
    </row>
    <row r="2266" spans="1:1" x14ac:dyDescent="0.25">
      <c r="A2266" s="5"/>
    </row>
    <row r="2267" spans="1:1" x14ac:dyDescent="0.25">
      <c r="A2267" s="5"/>
    </row>
    <row r="2268" spans="1:1" x14ac:dyDescent="0.25">
      <c r="A2268" s="5"/>
    </row>
    <row r="2269" spans="1:1" x14ac:dyDescent="0.25">
      <c r="A2269" s="5"/>
    </row>
    <row r="2270" spans="1:1" x14ac:dyDescent="0.25">
      <c r="A2270" s="5"/>
    </row>
    <row r="2271" spans="1:1" x14ac:dyDescent="0.25">
      <c r="A2271" s="5"/>
    </row>
    <row r="2272" spans="1:1" x14ac:dyDescent="0.25">
      <c r="A2272" s="5"/>
    </row>
    <row r="2273" spans="1:1" x14ac:dyDescent="0.25">
      <c r="A2273" s="5"/>
    </row>
    <row r="2274" spans="1:1" x14ac:dyDescent="0.25">
      <c r="A2274" s="5"/>
    </row>
    <row r="2275" spans="1:1" x14ac:dyDescent="0.25">
      <c r="A2275" s="5"/>
    </row>
    <row r="2276" spans="1:1" x14ac:dyDescent="0.25">
      <c r="A2276" s="5"/>
    </row>
    <row r="2277" spans="1:1" x14ac:dyDescent="0.25">
      <c r="A2277" s="5"/>
    </row>
    <row r="2278" spans="1:1" x14ac:dyDescent="0.25">
      <c r="A2278" s="5"/>
    </row>
    <row r="2279" spans="1:1" x14ac:dyDescent="0.25">
      <c r="A2279" s="5"/>
    </row>
    <row r="2280" spans="1:1" x14ac:dyDescent="0.25">
      <c r="A2280" s="5"/>
    </row>
    <row r="2281" spans="1:1" x14ac:dyDescent="0.25">
      <c r="A2281" s="5"/>
    </row>
    <row r="2282" spans="1:1" x14ac:dyDescent="0.25">
      <c r="A2282" s="5"/>
    </row>
    <row r="2283" spans="1:1" x14ac:dyDescent="0.25">
      <c r="A2283" s="5"/>
    </row>
    <row r="2284" spans="1:1" x14ac:dyDescent="0.25">
      <c r="A2284" s="5"/>
    </row>
    <row r="2285" spans="1:1" x14ac:dyDescent="0.25">
      <c r="A2285" s="5"/>
    </row>
    <row r="2286" spans="1:1" x14ac:dyDescent="0.25">
      <c r="A2286" s="5"/>
    </row>
    <row r="2287" spans="1:1" x14ac:dyDescent="0.25">
      <c r="A2287" s="5"/>
    </row>
    <row r="2288" spans="1:1" x14ac:dyDescent="0.25">
      <c r="A2288" s="5"/>
    </row>
    <row r="2289" spans="1:1" x14ac:dyDescent="0.25">
      <c r="A2289" s="5"/>
    </row>
    <row r="2290" spans="1:1" x14ac:dyDescent="0.25">
      <c r="A2290" s="5"/>
    </row>
    <row r="2291" spans="1:1" x14ac:dyDescent="0.25">
      <c r="A2291" s="5"/>
    </row>
    <row r="2292" spans="1:1" x14ac:dyDescent="0.25">
      <c r="A2292" s="5"/>
    </row>
    <row r="2293" spans="1:1" x14ac:dyDescent="0.25">
      <c r="A2293" s="5"/>
    </row>
    <row r="2294" spans="1:1" x14ac:dyDescent="0.25">
      <c r="A2294" s="5"/>
    </row>
    <row r="2295" spans="1:1" x14ac:dyDescent="0.25">
      <c r="A2295" s="5"/>
    </row>
    <row r="2296" spans="1:1" x14ac:dyDescent="0.25">
      <c r="A2296" s="5"/>
    </row>
    <row r="2297" spans="1:1" x14ac:dyDescent="0.25">
      <c r="A2297" s="5"/>
    </row>
    <row r="2298" spans="1:1" x14ac:dyDescent="0.25">
      <c r="A2298" s="5"/>
    </row>
    <row r="2299" spans="1:1" x14ac:dyDescent="0.25">
      <c r="A2299" s="5"/>
    </row>
    <row r="2300" spans="1:1" x14ac:dyDescent="0.25">
      <c r="A2300" s="5"/>
    </row>
    <row r="2301" spans="1:1" x14ac:dyDescent="0.25">
      <c r="A2301" s="5"/>
    </row>
    <row r="2302" spans="1:1" x14ac:dyDescent="0.25">
      <c r="A2302" s="5"/>
    </row>
    <row r="2303" spans="1:1" x14ac:dyDescent="0.25">
      <c r="A2303" s="5"/>
    </row>
    <row r="2304" spans="1:1" x14ac:dyDescent="0.25">
      <c r="A2304" s="5"/>
    </row>
    <row r="2305" spans="1:1" x14ac:dyDescent="0.25">
      <c r="A2305" s="5"/>
    </row>
    <row r="2306" spans="1:1" x14ac:dyDescent="0.25">
      <c r="A2306" s="5"/>
    </row>
    <row r="2307" spans="1:1" x14ac:dyDescent="0.25">
      <c r="A2307" s="5"/>
    </row>
    <row r="2308" spans="1:1" x14ac:dyDescent="0.25">
      <c r="A2308" s="5"/>
    </row>
    <row r="2309" spans="1:1" x14ac:dyDescent="0.25">
      <c r="A2309" s="5"/>
    </row>
    <row r="2310" spans="1:1" x14ac:dyDescent="0.25">
      <c r="A2310" s="5"/>
    </row>
    <row r="2311" spans="1:1" x14ac:dyDescent="0.25">
      <c r="A2311" s="5"/>
    </row>
    <row r="2312" spans="1:1" x14ac:dyDescent="0.25">
      <c r="A2312" s="5"/>
    </row>
    <row r="2313" spans="1:1" x14ac:dyDescent="0.25">
      <c r="A2313" s="5"/>
    </row>
    <row r="2314" spans="1:1" x14ac:dyDescent="0.25">
      <c r="A2314" s="5"/>
    </row>
    <row r="2315" spans="1:1" x14ac:dyDescent="0.25">
      <c r="A2315" s="5"/>
    </row>
    <row r="2316" spans="1:1" x14ac:dyDescent="0.25">
      <c r="A2316" s="5"/>
    </row>
    <row r="2317" spans="1:1" x14ac:dyDescent="0.25">
      <c r="A2317" s="5"/>
    </row>
    <row r="2318" spans="1:1" x14ac:dyDescent="0.25">
      <c r="A2318" s="5"/>
    </row>
    <row r="2319" spans="1:1" x14ac:dyDescent="0.25">
      <c r="A2319" s="5"/>
    </row>
    <row r="2320" spans="1:1" x14ac:dyDescent="0.25">
      <c r="A2320" s="5"/>
    </row>
    <row r="2321" spans="1:1" x14ac:dyDescent="0.25">
      <c r="A2321" s="5"/>
    </row>
    <row r="2322" spans="1:1" x14ac:dyDescent="0.25">
      <c r="A2322" s="5"/>
    </row>
    <row r="2323" spans="1:1" x14ac:dyDescent="0.25">
      <c r="A2323" s="5"/>
    </row>
    <row r="2324" spans="1:1" x14ac:dyDescent="0.25">
      <c r="A2324" s="5"/>
    </row>
    <row r="2325" spans="1:1" x14ac:dyDescent="0.25">
      <c r="A2325" s="5"/>
    </row>
    <row r="2326" spans="1:1" x14ac:dyDescent="0.25">
      <c r="A2326" s="5"/>
    </row>
    <row r="2327" spans="1:1" x14ac:dyDescent="0.25">
      <c r="A2327" s="5"/>
    </row>
    <row r="2328" spans="1:1" x14ac:dyDescent="0.25">
      <c r="A2328" s="5"/>
    </row>
    <row r="2329" spans="1:1" x14ac:dyDescent="0.25">
      <c r="A2329" s="5"/>
    </row>
    <row r="2330" spans="1:1" x14ac:dyDescent="0.25">
      <c r="A2330" s="5"/>
    </row>
    <row r="2331" spans="1:1" x14ac:dyDescent="0.25">
      <c r="A2331" s="5"/>
    </row>
    <row r="2332" spans="1:1" x14ac:dyDescent="0.25">
      <c r="A2332" s="5"/>
    </row>
    <row r="2333" spans="1:1" x14ac:dyDescent="0.25">
      <c r="A2333" s="5"/>
    </row>
    <row r="2334" spans="1:1" x14ac:dyDescent="0.25">
      <c r="A2334" s="5"/>
    </row>
    <row r="2335" spans="1:1" x14ac:dyDescent="0.25">
      <c r="A2335" s="5"/>
    </row>
    <row r="2336" spans="1:1" x14ac:dyDescent="0.25">
      <c r="A2336" s="5"/>
    </row>
    <row r="2337" spans="1:1" x14ac:dyDescent="0.25">
      <c r="A2337" s="5"/>
    </row>
    <row r="2338" spans="1:1" x14ac:dyDescent="0.25">
      <c r="A2338" s="5"/>
    </row>
    <row r="2339" spans="1:1" x14ac:dyDescent="0.25">
      <c r="A2339" s="5"/>
    </row>
    <row r="2340" spans="1:1" x14ac:dyDescent="0.25">
      <c r="A2340" s="5"/>
    </row>
    <row r="2341" spans="1:1" x14ac:dyDescent="0.25">
      <c r="A2341" s="5"/>
    </row>
    <row r="2342" spans="1:1" x14ac:dyDescent="0.25">
      <c r="A2342" s="5"/>
    </row>
    <row r="2343" spans="1:1" x14ac:dyDescent="0.25">
      <c r="A2343" s="5"/>
    </row>
    <row r="2344" spans="1:1" x14ac:dyDescent="0.25">
      <c r="A2344" s="5"/>
    </row>
    <row r="2345" spans="1:1" x14ac:dyDescent="0.25">
      <c r="A2345" s="5"/>
    </row>
    <row r="2346" spans="1:1" x14ac:dyDescent="0.25">
      <c r="A2346" s="5"/>
    </row>
    <row r="2347" spans="1:1" x14ac:dyDescent="0.25">
      <c r="A2347" s="5"/>
    </row>
    <row r="2348" spans="1:1" x14ac:dyDescent="0.25">
      <c r="A2348" s="5"/>
    </row>
    <row r="2349" spans="1:1" x14ac:dyDescent="0.25">
      <c r="A2349" s="5"/>
    </row>
    <row r="2350" spans="1:1" x14ac:dyDescent="0.25">
      <c r="A2350" s="5"/>
    </row>
    <row r="2351" spans="1:1" x14ac:dyDescent="0.25">
      <c r="A2351" s="5"/>
    </row>
    <row r="2352" spans="1:1" x14ac:dyDescent="0.25">
      <c r="A2352" s="5"/>
    </row>
    <row r="2353" spans="1:1" x14ac:dyDescent="0.25">
      <c r="A2353" s="5"/>
    </row>
    <row r="2354" spans="1:1" x14ac:dyDescent="0.25">
      <c r="A2354" s="5"/>
    </row>
    <row r="2355" spans="1:1" x14ac:dyDescent="0.25">
      <c r="A2355" s="5"/>
    </row>
    <row r="2356" spans="1:1" x14ac:dyDescent="0.25">
      <c r="A2356" s="5"/>
    </row>
    <row r="2357" spans="1:1" x14ac:dyDescent="0.25">
      <c r="A2357" s="5"/>
    </row>
    <row r="2358" spans="1:1" x14ac:dyDescent="0.25">
      <c r="A2358" s="5"/>
    </row>
    <row r="2359" spans="1:1" x14ac:dyDescent="0.25">
      <c r="A2359" s="5"/>
    </row>
    <row r="2360" spans="1:1" x14ac:dyDescent="0.25">
      <c r="A2360" s="5"/>
    </row>
    <row r="2361" spans="1:1" x14ac:dyDescent="0.25">
      <c r="A2361" s="5"/>
    </row>
    <row r="2362" spans="1:1" x14ac:dyDescent="0.25">
      <c r="A2362" s="5"/>
    </row>
    <row r="2363" spans="1:1" x14ac:dyDescent="0.25">
      <c r="A2363" s="5"/>
    </row>
    <row r="2364" spans="1:1" x14ac:dyDescent="0.25">
      <c r="A2364" s="5"/>
    </row>
    <row r="2365" spans="1:1" x14ac:dyDescent="0.25">
      <c r="A2365" s="5"/>
    </row>
    <row r="2366" spans="1:1" x14ac:dyDescent="0.25">
      <c r="A2366" s="5"/>
    </row>
    <row r="2367" spans="1:1" x14ac:dyDescent="0.25">
      <c r="A2367" s="5"/>
    </row>
    <row r="2368" spans="1:1" x14ac:dyDescent="0.25">
      <c r="A2368" s="5"/>
    </row>
    <row r="2369" spans="1:1" x14ac:dyDescent="0.25">
      <c r="A2369" s="5"/>
    </row>
    <row r="2370" spans="1:1" x14ac:dyDescent="0.25">
      <c r="A2370" s="5"/>
    </row>
    <row r="2371" spans="1:1" x14ac:dyDescent="0.25">
      <c r="A2371" s="5"/>
    </row>
    <row r="2372" spans="1:1" x14ac:dyDescent="0.25">
      <c r="A2372" s="5"/>
    </row>
    <row r="2373" spans="1:1" x14ac:dyDescent="0.25">
      <c r="A2373" s="5"/>
    </row>
    <row r="2374" spans="1:1" x14ac:dyDescent="0.25">
      <c r="A2374" s="5"/>
    </row>
    <row r="2375" spans="1:1" x14ac:dyDescent="0.25">
      <c r="A2375" s="5"/>
    </row>
    <row r="2376" spans="1:1" x14ac:dyDescent="0.25">
      <c r="A2376" s="5"/>
    </row>
    <row r="2377" spans="1:1" x14ac:dyDescent="0.25">
      <c r="A2377" s="5"/>
    </row>
    <row r="2378" spans="1:1" x14ac:dyDescent="0.25">
      <c r="A2378" s="5"/>
    </row>
    <row r="2379" spans="1:1" x14ac:dyDescent="0.25">
      <c r="A2379" s="5"/>
    </row>
    <row r="2380" spans="1:1" x14ac:dyDescent="0.25">
      <c r="A2380" s="5"/>
    </row>
    <row r="2381" spans="1:1" x14ac:dyDescent="0.25">
      <c r="A2381" s="5"/>
    </row>
    <row r="2382" spans="1:1" x14ac:dyDescent="0.25">
      <c r="A2382" s="5"/>
    </row>
    <row r="2383" spans="1:1" x14ac:dyDescent="0.25">
      <c r="A2383" s="5"/>
    </row>
    <row r="2384" spans="1:1" x14ac:dyDescent="0.25">
      <c r="A2384" s="5"/>
    </row>
    <row r="2385" spans="1:1" x14ac:dyDescent="0.25">
      <c r="A2385" s="5"/>
    </row>
    <row r="2386" spans="1:1" x14ac:dyDescent="0.25">
      <c r="A2386" s="5"/>
    </row>
    <row r="2387" spans="1:1" x14ac:dyDescent="0.25">
      <c r="A2387" s="5"/>
    </row>
    <row r="2388" spans="1:1" x14ac:dyDescent="0.25">
      <c r="A2388" s="5"/>
    </row>
    <row r="2389" spans="1:1" x14ac:dyDescent="0.25">
      <c r="A2389" s="5"/>
    </row>
    <row r="2390" spans="1:1" x14ac:dyDescent="0.25">
      <c r="A2390" s="5"/>
    </row>
    <row r="2391" spans="1:1" x14ac:dyDescent="0.25">
      <c r="A2391" s="5"/>
    </row>
    <row r="2392" spans="1:1" x14ac:dyDescent="0.25">
      <c r="A2392" s="5"/>
    </row>
    <row r="2393" spans="1:1" x14ac:dyDescent="0.25">
      <c r="A2393" s="5"/>
    </row>
    <row r="2394" spans="1:1" x14ac:dyDescent="0.25">
      <c r="A2394" s="5"/>
    </row>
    <row r="2395" spans="1:1" x14ac:dyDescent="0.25">
      <c r="A2395" s="5"/>
    </row>
    <row r="2396" spans="1:1" x14ac:dyDescent="0.25">
      <c r="A2396" s="5"/>
    </row>
    <row r="2397" spans="1:1" x14ac:dyDescent="0.25">
      <c r="A2397" s="5"/>
    </row>
    <row r="2398" spans="1:1" x14ac:dyDescent="0.25">
      <c r="A2398" s="5"/>
    </row>
    <row r="2399" spans="1:1" x14ac:dyDescent="0.25">
      <c r="A2399" s="5"/>
    </row>
    <row r="2400" spans="1:1" x14ac:dyDescent="0.25">
      <c r="A2400" s="5"/>
    </row>
    <row r="2401" spans="1:1" x14ac:dyDescent="0.25">
      <c r="A2401" s="5"/>
    </row>
    <row r="2402" spans="1:1" x14ac:dyDescent="0.25">
      <c r="A2402" s="5"/>
    </row>
    <row r="2403" spans="1:1" x14ac:dyDescent="0.25">
      <c r="A2403" s="5"/>
    </row>
    <row r="2404" spans="1:1" x14ac:dyDescent="0.25">
      <c r="A2404" s="5"/>
    </row>
    <row r="2405" spans="1:1" x14ac:dyDescent="0.25">
      <c r="A2405" s="5"/>
    </row>
    <row r="2406" spans="1:1" x14ac:dyDescent="0.25">
      <c r="A2406" s="5"/>
    </row>
    <row r="2407" spans="1:1" x14ac:dyDescent="0.25">
      <c r="A2407" s="5"/>
    </row>
    <row r="2408" spans="1:1" x14ac:dyDescent="0.25">
      <c r="A2408" s="5"/>
    </row>
    <row r="2409" spans="1:1" x14ac:dyDescent="0.25">
      <c r="A2409" s="5"/>
    </row>
    <row r="2410" spans="1:1" x14ac:dyDescent="0.25">
      <c r="A2410" s="5"/>
    </row>
    <row r="2411" spans="1:1" x14ac:dyDescent="0.25">
      <c r="A2411" s="5"/>
    </row>
    <row r="2412" spans="1:1" x14ac:dyDescent="0.25">
      <c r="A2412" s="5"/>
    </row>
    <row r="2413" spans="1:1" x14ac:dyDescent="0.25">
      <c r="A2413" s="5"/>
    </row>
    <row r="2414" spans="1:1" x14ac:dyDescent="0.25">
      <c r="A2414" s="5"/>
    </row>
    <row r="2415" spans="1:1" x14ac:dyDescent="0.25">
      <c r="A2415" s="5"/>
    </row>
    <row r="2416" spans="1:1" x14ac:dyDescent="0.25">
      <c r="A2416" s="5"/>
    </row>
    <row r="2417" spans="1:1" x14ac:dyDescent="0.25">
      <c r="A2417" s="5"/>
    </row>
    <row r="2418" spans="1:1" x14ac:dyDescent="0.25">
      <c r="A2418" s="5"/>
    </row>
    <row r="2419" spans="1:1" x14ac:dyDescent="0.25">
      <c r="A2419" s="5"/>
    </row>
    <row r="2420" spans="1:1" x14ac:dyDescent="0.25">
      <c r="A2420" s="5"/>
    </row>
    <row r="2421" spans="1:1" x14ac:dyDescent="0.25">
      <c r="A2421" s="5"/>
    </row>
    <row r="2422" spans="1:1" x14ac:dyDescent="0.25">
      <c r="A2422" s="5"/>
    </row>
    <row r="2423" spans="1:1" x14ac:dyDescent="0.25">
      <c r="A2423" s="5"/>
    </row>
    <row r="2424" spans="1:1" x14ac:dyDescent="0.25">
      <c r="A2424" s="5"/>
    </row>
    <row r="2425" spans="1:1" x14ac:dyDescent="0.25">
      <c r="A2425" s="5"/>
    </row>
    <row r="2426" spans="1:1" x14ac:dyDescent="0.25">
      <c r="A2426" s="5"/>
    </row>
    <row r="2427" spans="1:1" x14ac:dyDescent="0.25">
      <c r="A2427" s="5"/>
    </row>
    <row r="2428" spans="1:1" x14ac:dyDescent="0.25">
      <c r="A2428" s="5"/>
    </row>
    <row r="2429" spans="1:1" x14ac:dyDescent="0.25">
      <c r="A2429" s="5"/>
    </row>
    <row r="2430" spans="1:1" x14ac:dyDescent="0.25">
      <c r="A2430" s="5"/>
    </row>
    <row r="2431" spans="1:1" x14ac:dyDescent="0.25">
      <c r="A2431" s="5"/>
    </row>
    <row r="2432" spans="1:1" x14ac:dyDescent="0.25">
      <c r="A2432" s="5"/>
    </row>
    <row r="2433" spans="1:1" x14ac:dyDescent="0.25">
      <c r="A2433" s="5"/>
    </row>
    <row r="2434" spans="1:1" x14ac:dyDescent="0.25">
      <c r="A2434" s="5"/>
    </row>
    <row r="2435" spans="1:1" x14ac:dyDescent="0.25">
      <c r="A2435" s="5"/>
    </row>
    <row r="2436" spans="1:1" x14ac:dyDescent="0.25">
      <c r="A2436" s="5"/>
    </row>
    <row r="2437" spans="1:1" x14ac:dyDescent="0.25">
      <c r="A2437" s="5"/>
    </row>
    <row r="2438" spans="1:1" x14ac:dyDescent="0.25">
      <c r="A2438" s="5"/>
    </row>
    <row r="2439" spans="1:1" x14ac:dyDescent="0.25">
      <c r="A2439" s="5"/>
    </row>
    <row r="2440" spans="1:1" x14ac:dyDescent="0.25">
      <c r="A2440" s="5"/>
    </row>
    <row r="2441" spans="1:1" x14ac:dyDescent="0.25">
      <c r="A2441" s="5"/>
    </row>
    <row r="2442" spans="1:1" x14ac:dyDescent="0.25">
      <c r="A2442" s="5"/>
    </row>
    <row r="2443" spans="1:1" x14ac:dyDescent="0.25">
      <c r="A2443" s="5"/>
    </row>
    <row r="2444" spans="1:1" x14ac:dyDescent="0.25">
      <c r="A2444" s="5"/>
    </row>
    <row r="2445" spans="1:1" x14ac:dyDescent="0.25">
      <c r="A2445" s="5"/>
    </row>
    <row r="2446" spans="1:1" x14ac:dyDescent="0.25">
      <c r="A2446" s="5"/>
    </row>
    <row r="2447" spans="1:1" x14ac:dyDescent="0.25">
      <c r="A2447" s="5"/>
    </row>
    <row r="2448" spans="1:1" x14ac:dyDescent="0.25">
      <c r="A2448" s="5"/>
    </row>
    <row r="2449" spans="1:1" x14ac:dyDescent="0.25">
      <c r="A2449" s="5"/>
    </row>
    <row r="2450" spans="1:1" x14ac:dyDescent="0.25">
      <c r="A2450" s="5"/>
    </row>
    <row r="2451" spans="1:1" x14ac:dyDescent="0.25">
      <c r="A2451" s="5"/>
    </row>
    <row r="2452" spans="1:1" x14ac:dyDescent="0.25">
      <c r="A2452" s="5"/>
    </row>
    <row r="2453" spans="1:1" x14ac:dyDescent="0.25">
      <c r="A2453" s="5"/>
    </row>
    <row r="2454" spans="1:1" x14ac:dyDescent="0.25">
      <c r="A2454" s="5"/>
    </row>
    <row r="2455" spans="1:1" x14ac:dyDescent="0.25">
      <c r="A2455" s="5"/>
    </row>
    <row r="2456" spans="1:1" x14ac:dyDescent="0.25">
      <c r="A2456" s="5"/>
    </row>
    <row r="2457" spans="1:1" x14ac:dyDescent="0.25">
      <c r="A2457" s="5"/>
    </row>
    <row r="2458" spans="1:1" x14ac:dyDescent="0.25">
      <c r="A2458" s="5"/>
    </row>
    <row r="2459" spans="1:1" x14ac:dyDescent="0.25">
      <c r="A2459" s="5"/>
    </row>
    <row r="2460" spans="1:1" x14ac:dyDescent="0.25">
      <c r="A2460" s="5"/>
    </row>
    <row r="2461" spans="1:1" x14ac:dyDescent="0.25">
      <c r="A2461" s="5"/>
    </row>
    <row r="2462" spans="1:1" x14ac:dyDescent="0.25">
      <c r="A2462" s="5"/>
    </row>
    <row r="2463" spans="1:1" x14ac:dyDescent="0.25">
      <c r="A2463" s="5"/>
    </row>
    <row r="2464" spans="1:1" x14ac:dyDescent="0.25">
      <c r="A2464" s="5"/>
    </row>
    <row r="2465" spans="1:1" x14ac:dyDescent="0.25">
      <c r="A2465" s="5"/>
    </row>
    <row r="2466" spans="1:1" x14ac:dyDescent="0.25">
      <c r="A2466" s="5"/>
    </row>
    <row r="2467" spans="1:1" x14ac:dyDescent="0.25">
      <c r="A2467" s="5"/>
    </row>
    <row r="2468" spans="1:1" x14ac:dyDescent="0.25">
      <c r="A2468" s="5"/>
    </row>
    <row r="2469" spans="1:1" x14ac:dyDescent="0.25">
      <c r="A2469" s="5"/>
    </row>
    <row r="2470" spans="1:1" x14ac:dyDescent="0.25">
      <c r="A2470" s="5"/>
    </row>
    <row r="2471" spans="1:1" x14ac:dyDescent="0.25">
      <c r="A2471" s="5"/>
    </row>
    <row r="2472" spans="1:1" x14ac:dyDescent="0.25">
      <c r="A2472" s="5"/>
    </row>
    <row r="2473" spans="1:1" x14ac:dyDescent="0.25">
      <c r="A2473" s="5"/>
    </row>
    <row r="2474" spans="1:1" x14ac:dyDescent="0.25">
      <c r="A2474" s="5"/>
    </row>
    <row r="2475" spans="1:1" x14ac:dyDescent="0.25">
      <c r="A2475" s="5"/>
    </row>
    <row r="2476" spans="1:1" x14ac:dyDescent="0.25">
      <c r="A2476" s="5"/>
    </row>
    <row r="2477" spans="1:1" x14ac:dyDescent="0.25">
      <c r="A2477" s="5"/>
    </row>
    <row r="2478" spans="1:1" x14ac:dyDescent="0.25">
      <c r="A2478" s="5"/>
    </row>
    <row r="2479" spans="1:1" x14ac:dyDescent="0.25">
      <c r="A2479" s="5"/>
    </row>
    <row r="2480" spans="1:1" x14ac:dyDescent="0.25">
      <c r="A2480" s="5"/>
    </row>
    <row r="2481" spans="1:1" x14ac:dyDescent="0.25">
      <c r="A2481" s="5"/>
    </row>
    <row r="2482" spans="1:1" x14ac:dyDescent="0.25">
      <c r="A2482" s="5"/>
    </row>
    <row r="2483" spans="1:1" x14ac:dyDescent="0.25">
      <c r="A2483" s="5"/>
    </row>
    <row r="2484" spans="1:1" x14ac:dyDescent="0.25">
      <c r="A2484" s="5"/>
    </row>
    <row r="2485" spans="1:1" x14ac:dyDescent="0.25">
      <c r="A2485" s="5"/>
    </row>
    <row r="2486" spans="1:1" x14ac:dyDescent="0.25">
      <c r="A2486" s="5"/>
    </row>
    <row r="2487" spans="1:1" x14ac:dyDescent="0.25">
      <c r="A2487" s="5"/>
    </row>
    <row r="2488" spans="1:1" x14ac:dyDescent="0.25">
      <c r="A2488" s="5"/>
    </row>
    <row r="2489" spans="1:1" x14ac:dyDescent="0.25">
      <c r="A2489" s="5"/>
    </row>
    <row r="2490" spans="1:1" x14ac:dyDescent="0.25">
      <c r="A2490" s="5"/>
    </row>
    <row r="2491" spans="1:1" x14ac:dyDescent="0.25">
      <c r="A2491" s="5"/>
    </row>
    <row r="2492" spans="1:1" x14ac:dyDescent="0.25">
      <c r="A2492" s="5"/>
    </row>
    <row r="2493" spans="1:1" x14ac:dyDescent="0.25">
      <c r="A2493" s="5"/>
    </row>
    <row r="2494" spans="1:1" x14ac:dyDescent="0.25">
      <c r="A2494" s="5"/>
    </row>
    <row r="2495" spans="1:1" x14ac:dyDescent="0.25">
      <c r="A2495" s="5"/>
    </row>
    <row r="2496" spans="1:1" x14ac:dyDescent="0.25">
      <c r="A2496" s="5"/>
    </row>
    <row r="2497" spans="1:1" x14ac:dyDescent="0.25">
      <c r="A2497" s="5"/>
    </row>
    <row r="2498" spans="1:1" x14ac:dyDescent="0.25">
      <c r="A2498" s="5"/>
    </row>
    <row r="2499" spans="1:1" x14ac:dyDescent="0.25">
      <c r="A2499" s="5"/>
    </row>
    <row r="2500" spans="1:1" x14ac:dyDescent="0.25">
      <c r="A2500" s="5"/>
    </row>
    <row r="2501" spans="1:1" x14ac:dyDescent="0.25">
      <c r="A2501" s="5"/>
    </row>
    <row r="2502" spans="1:1" x14ac:dyDescent="0.25">
      <c r="A2502" s="5"/>
    </row>
    <row r="2503" spans="1:1" x14ac:dyDescent="0.25">
      <c r="A2503" s="5"/>
    </row>
    <row r="2504" spans="1:1" x14ac:dyDescent="0.25">
      <c r="A2504" s="5"/>
    </row>
    <row r="2505" spans="1:1" x14ac:dyDescent="0.25">
      <c r="A2505" s="5"/>
    </row>
    <row r="2506" spans="1:1" x14ac:dyDescent="0.25">
      <c r="A2506" s="5"/>
    </row>
    <row r="2507" spans="1:1" x14ac:dyDescent="0.25">
      <c r="A2507" s="5"/>
    </row>
    <row r="2508" spans="1:1" x14ac:dyDescent="0.25">
      <c r="A2508" s="5"/>
    </row>
    <row r="2509" spans="1:1" x14ac:dyDescent="0.25">
      <c r="A2509" s="5"/>
    </row>
    <row r="2510" spans="1:1" x14ac:dyDescent="0.25">
      <c r="A2510" s="5"/>
    </row>
    <row r="2511" spans="1:1" x14ac:dyDescent="0.25">
      <c r="A2511" s="5"/>
    </row>
    <row r="2512" spans="1:1" x14ac:dyDescent="0.25">
      <c r="A2512" s="5"/>
    </row>
    <row r="2513" spans="1:1" x14ac:dyDescent="0.25">
      <c r="A2513" s="5"/>
    </row>
    <row r="2514" spans="1:1" x14ac:dyDescent="0.25">
      <c r="A2514" s="5"/>
    </row>
    <row r="2515" spans="1:1" x14ac:dyDescent="0.25">
      <c r="A2515" s="5"/>
    </row>
    <row r="2516" spans="1:1" x14ac:dyDescent="0.25">
      <c r="A2516" s="5"/>
    </row>
    <row r="2517" spans="1:1" x14ac:dyDescent="0.25">
      <c r="A2517" s="5"/>
    </row>
    <row r="2518" spans="1:1" x14ac:dyDescent="0.25">
      <c r="A2518" s="5"/>
    </row>
    <row r="2519" spans="1:1" x14ac:dyDescent="0.25">
      <c r="A2519" s="5"/>
    </row>
    <row r="2520" spans="1:1" x14ac:dyDescent="0.25">
      <c r="A2520" s="5"/>
    </row>
    <row r="2521" spans="1:1" x14ac:dyDescent="0.25">
      <c r="A2521" s="5"/>
    </row>
    <row r="2522" spans="1:1" x14ac:dyDescent="0.25">
      <c r="A2522" s="5"/>
    </row>
    <row r="2523" spans="1:1" x14ac:dyDescent="0.25">
      <c r="A2523" s="5"/>
    </row>
    <row r="2524" spans="1:1" x14ac:dyDescent="0.25">
      <c r="A2524" s="5"/>
    </row>
    <row r="2525" spans="1:1" x14ac:dyDescent="0.25">
      <c r="A2525" s="5"/>
    </row>
    <row r="2526" spans="1:1" x14ac:dyDescent="0.25">
      <c r="A2526" s="5"/>
    </row>
    <row r="2527" spans="1:1" x14ac:dyDescent="0.25">
      <c r="A2527" s="5"/>
    </row>
    <row r="2528" spans="1:1" x14ac:dyDescent="0.25">
      <c r="A2528" s="5"/>
    </row>
    <row r="2529" spans="1:1" x14ac:dyDescent="0.25">
      <c r="A2529" s="5"/>
    </row>
    <row r="2530" spans="1:1" x14ac:dyDescent="0.25">
      <c r="A2530" s="5"/>
    </row>
    <row r="2531" spans="1:1" x14ac:dyDescent="0.25">
      <c r="A2531" s="5"/>
    </row>
    <row r="2532" spans="1:1" x14ac:dyDescent="0.25">
      <c r="A2532" s="5"/>
    </row>
    <row r="2533" spans="1:1" x14ac:dyDescent="0.25">
      <c r="A2533" s="5"/>
    </row>
    <row r="2534" spans="1:1" x14ac:dyDescent="0.25">
      <c r="A2534" s="5"/>
    </row>
    <row r="2535" spans="1:1" x14ac:dyDescent="0.25">
      <c r="A2535" s="5"/>
    </row>
    <row r="2536" spans="1:1" x14ac:dyDescent="0.25">
      <c r="A2536" s="5"/>
    </row>
    <row r="2537" spans="1:1" x14ac:dyDescent="0.25">
      <c r="A2537" s="5"/>
    </row>
    <row r="2538" spans="1:1" x14ac:dyDescent="0.25">
      <c r="A2538" s="5"/>
    </row>
    <row r="2539" spans="1:1" x14ac:dyDescent="0.25">
      <c r="A2539" s="5"/>
    </row>
    <row r="2540" spans="1:1" x14ac:dyDescent="0.25">
      <c r="A2540" s="5"/>
    </row>
    <row r="2541" spans="1:1" x14ac:dyDescent="0.25">
      <c r="A2541" s="5"/>
    </row>
    <row r="2542" spans="1:1" x14ac:dyDescent="0.25">
      <c r="A2542" s="5"/>
    </row>
    <row r="2543" spans="1:1" x14ac:dyDescent="0.25">
      <c r="A2543" s="5"/>
    </row>
    <row r="2544" spans="1:1" x14ac:dyDescent="0.25">
      <c r="A2544" s="5"/>
    </row>
    <row r="2545" spans="1:1" x14ac:dyDescent="0.25">
      <c r="A2545" s="5"/>
    </row>
    <row r="2546" spans="1:1" x14ac:dyDescent="0.25">
      <c r="A2546" s="5"/>
    </row>
    <row r="2547" spans="1:1" x14ac:dyDescent="0.25">
      <c r="A2547" s="5"/>
    </row>
    <row r="2548" spans="1:1" x14ac:dyDescent="0.25">
      <c r="A2548" s="5"/>
    </row>
    <row r="2549" spans="1:1" x14ac:dyDescent="0.25">
      <c r="A2549" s="5"/>
    </row>
    <row r="2550" spans="1:1" x14ac:dyDescent="0.25">
      <c r="A2550" s="5"/>
    </row>
    <row r="2551" spans="1:1" x14ac:dyDescent="0.25">
      <c r="A2551" s="5"/>
    </row>
    <row r="2552" spans="1:1" x14ac:dyDescent="0.25">
      <c r="A2552" s="5"/>
    </row>
    <row r="2553" spans="1:1" x14ac:dyDescent="0.25">
      <c r="A2553" s="5"/>
    </row>
    <row r="2554" spans="1:1" x14ac:dyDescent="0.25">
      <c r="A2554" s="5"/>
    </row>
    <row r="2555" spans="1:1" x14ac:dyDescent="0.25">
      <c r="A2555" s="5"/>
    </row>
    <row r="2556" spans="1:1" x14ac:dyDescent="0.25">
      <c r="A2556" s="5"/>
    </row>
    <row r="2557" spans="1:1" x14ac:dyDescent="0.25">
      <c r="A2557" s="5"/>
    </row>
    <row r="2558" spans="1:1" x14ac:dyDescent="0.25">
      <c r="A2558" s="5"/>
    </row>
    <row r="2559" spans="1:1" x14ac:dyDescent="0.25">
      <c r="A2559" s="5"/>
    </row>
    <row r="2560" spans="1:1" x14ac:dyDescent="0.25">
      <c r="A2560" s="5"/>
    </row>
    <row r="2561" spans="1:1" x14ac:dyDescent="0.25">
      <c r="A2561" s="5"/>
    </row>
    <row r="2562" spans="1:1" x14ac:dyDescent="0.25">
      <c r="A2562" s="5"/>
    </row>
    <row r="2563" spans="1:1" x14ac:dyDescent="0.25">
      <c r="A2563" s="5"/>
    </row>
    <row r="2564" spans="1:1" x14ac:dyDescent="0.25">
      <c r="A2564" s="5"/>
    </row>
    <row r="2565" spans="1:1" x14ac:dyDescent="0.25">
      <c r="A2565" s="5"/>
    </row>
    <row r="2566" spans="1:1" x14ac:dyDescent="0.25">
      <c r="A2566" s="5"/>
    </row>
    <row r="2567" spans="1:1" x14ac:dyDescent="0.25">
      <c r="A2567" s="5"/>
    </row>
    <row r="2568" spans="1:1" x14ac:dyDescent="0.25">
      <c r="A2568" s="5"/>
    </row>
    <row r="2569" spans="1:1" x14ac:dyDescent="0.25">
      <c r="A2569" s="5"/>
    </row>
    <row r="2570" spans="1:1" x14ac:dyDescent="0.25">
      <c r="A2570" s="5"/>
    </row>
    <row r="2571" spans="1:1" x14ac:dyDescent="0.25">
      <c r="A2571" s="5"/>
    </row>
    <row r="2572" spans="1:1" x14ac:dyDescent="0.25">
      <c r="A2572" s="5"/>
    </row>
    <row r="2573" spans="1:1" x14ac:dyDescent="0.25">
      <c r="A2573" s="5"/>
    </row>
    <row r="2574" spans="1:1" x14ac:dyDescent="0.25">
      <c r="A2574" s="5"/>
    </row>
    <row r="2575" spans="1:1" x14ac:dyDescent="0.25">
      <c r="A2575" s="5"/>
    </row>
    <row r="2576" spans="1:1" x14ac:dyDescent="0.25">
      <c r="A2576" s="5"/>
    </row>
    <row r="2577" spans="1:1" x14ac:dyDescent="0.25">
      <c r="A2577" s="5"/>
    </row>
    <row r="2578" spans="1:1" x14ac:dyDescent="0.25">
      <c r="A2578" s="5"/>
    </row>
    <row r="2579" spans="1:1" x14ac:dyDescent="0.25">
      <c r="A2579" s="5"/>
    </row>
    <row r="2580" spans="1:1" x14ac:dyDescent="0.25">
      <c r="A2580" s="5"/>
    </row>
    <row r="2581" spans="1:1" x14ac:dyDescent="0.25">
      <c r="A2581" s="5"/>
    </row>
    <row r="2582" spans="1:1" x14ac:dyDescent="0.25">
      <c r="A2582" s="5"/>
    </row>
    <row r="2583" spans="1:1" x14ac:dyDescent="0.25">
      <c r="A2583" s="5"/>
    </row>
    <row r="2584" spans="1:1" x14ac:dyDescent="0.25">
      <c r="A2584" s="5"/>
    </row>
    <row r="2585" spans="1:1" x14ac:dyDescent="0.25">
      <c r="A2585" s="5"/>
    </row>
    <row r="2586" spans="1:1" x14ac:dyDescent="0.25">
      <c r="A2586" s="5"/>
    </row>
    <row r="2587" spans="1:1" x14ac:dyDescent="0.25">
      <c r="A2587" s="5"/>
    </row>
    <row r="2588" spans="1:1" x14ac:dyDescent="0.25">
      <c r="A2588" s="5"/>
    </row>
    <row r="2589" spans="1:1" x14ac:dyDescent="0.25">
      <c r="A2589" s="5"/>
    </row>
    <row r="2590" spans="1:1" x14ac:dyDescent="0.25">
      <c r="A2590" s="5"/>
    </row>
    <row r="2591" spans="1:1" x14ac:dyDescent="0.25">
      <c r="A2591" s="5"/>
    </row>
    <row r="2592" spans="1:1" x14ac:dyDescent="0.25">
      <c r="A2592" s="5"/>
    </row>
    <row r="2593" spans="1:1" x14ac:dyDescent="0.25">
      <c r="A2593" s="5"/>
    </row>
    <row r="2594" spans="1:1" x14ac:dyDescent="0.25">
      <c r="A2594" s="5"/>
    </row>
    <row r="2595" spans="1:1" x14ac:dyDescent="0.25">
      <c r="A2595" s="5"/>
    </row>
    <row r="2596" spans="1:1" x14ac:dyDescent="0.25">
      <c r="A2596" s="5"/>
    </row>
    <row r="2597" spans="1:1" x14ac:dyDescent="0.25">
      <c r="A2597" s="5"/>
    </row>
    <row r="2598" spans="1:1" x14ac:dyDescent="0.25">
      <c r="A2598" s="5"/>
    </row>
    <row r="2599" spans="1:1" x14ac:dyDescent="0.25">
      <c r="A2599" s="5"/>
    </row>
    <row r="2600" spans="1:1" x14ac:dyDescent="0.25">
      <c r="A2600" s="5"/>
    </row>
    <row r="2601" spans="1:1" x14ac:dyDescent="0.25">
      <c r="A2601" s="5"/>
    </row>
    <row r="2602" spans="1:1" x14ac:dyDescent="0.25">
      <c r="A2602" s="5"/>
    </row>
    <row r="2603" spans="1:1" x14ac:dyDescent="0.25">
      <c r="A2603" s="5"/>
    </row>
    <row r="2604" spans="1:1" x14ac:dyDescent="0.25">
      <c r="A2604" s="5"/>
    </row>
    <row r="2605" spans="1:1" x14ac:dyDescent="0.25">
      <c r="A2605" s="5"/>
    </row>
    <row r="2606" spans="1:1" x14ac:dyDescent="0.25">
      <c r="A2606" s="5"/>
    </row>
    <row r="2607" spans="1:1" x14ac:dyDescent="0.25">
      <c r="A2607" s="5"/>
    </row>
    <row r="2608" spans="1:1" x14ac:dyDescent="0.25">
      <c r="A2608" s="5"/>
    </row>
    <row r="2609" spans="1:1" x14ac:dyDescent="0.25">
      <c r="A2609" s="5"/>
    </row>
    <row r="2610" spans="1:1" x14ac:dyDescent="0.25">
      <c r="A2610" s="5"/>
    </row>
    <row r="2611" spans="1:1" x14ac:dyDescent="0.25">
      <c r="A2611" s="5"/>
    </row>
    <row r="2612" spans="1:1" x14ac:dyDescent="0.25">
      <c r="A2612" s="5"/>
    </row>
    <row r="2613" spans="1:1" x14ac:dyDescent="0.25">
      <c r="A2613" s="5"/>
    </row>
    <row r="2614" spans="1:1" x14ac:dyDescent="0.25">
      <c r="A2614" s="5"/>
    </row>
    <row r="2615" spans="1:1" x14ac:dyDescent="0.25">
      <c r="A2615" s="5"/>
    </row>
    <row r="2616" spans="1:1" x14ac:dyDescent="0.25">
      <c r="A2616" s="5"/>
    </row>
    <row r="2617" spans="1:1" x14ac:dyDescent="0.25">
      <c r="A2617" s="5"/>
    </row>
    <row r="2618" spans="1:1" x14ac:dyDescent="0.25">
      <c r="A2618" s="5"/>
    </row>
    <row r="2619" spans="1:1" x14ac:dyDescent="0.25">
      <c r="A2619" s="5"/>
    </row>
    <row r="2620" spans="1:1" x14ac:dyDescent="0.25">
      <c r="A2620" s="5"/>
    </row>
    <row r="2621" spans="1:1" x14ac:dyDescent="0.25">
      <c r="A2621" s="5"/>
    </row>
    <row r="2622" spans="1:1" x14ac:dyDescent="0.25">
      <c r="A2622" s="5"/>
    </row>
    <row r="2623" spans="1:1" x14ac:dyDescent="0.25">
      <c r="A2623" s="5"/>
    </row>
    <row r="2624" spans="1:1" x14ac:dyDescent="0.25">
      <c r="A2624" s="5"/>
    </row>
    <row r="2625" spans="1:1" x14ac:dyDescent="0.25">
      <c r="A2625" s="5"/>
    </row>
    <row r="2626" spans="1:1" x14ac:dyDescent="0.25">
      <c r="A2626" s="5"/>
    </row>
    <row r="2627" spans="1:1" x14ac:dyDescent="0.25">
      <c r="A2627" s="5"/>
    </row>
    <row r="2628" spans="1:1" x14ac:dyDescent="0.25">
      <c r="A2628" s="5"/>
    </row>
    <row r="2629" spans="1:1" x14ac:dyDescent="0.25">
      <c r="A2629" s="5"/>
    </row>
    <row r="2630" spans="1:1" x14ac:dyDescent="0.25">
      <c r="A2630" s="5"/>
    </row>
    <row r="2631" spans="1:1" x14ac:dyDescent="0.25">
      <c r="A2631" s="5"/>
    </row>
    <row r="2632" spans="1:1" x14ac:dyDescent="0.25">
      <c r="A2632" s="5"/>
    </row>
    <row r="2633" spans="1:1" x14ac:dyDescent="0.25">
      <c r="A2633" s="5"/>
    </row>
    <row r="2634" spans="1:1" x14ac:dyDescent="0.25">
      <c r="A2634" s="5"/>
    </row>
    <row r="2635" spans="1:1" x14ac:dyDescent="0.25">
      <c r="A2635" s="5"/>
    </row>
    <row r="2636" spans="1:1" x14ac:dyDescent="0.25">
      <c r="A2636" s="5"/>
    </row>
    <row r="2637" spans="1:1" x14ac:dyDescent="0.25">
      <c r="A2637" s="5"/>
    </row>
    <row r="2638" spans="1:1" x14ac:dyDescent="0.25">
      <c r="A2638" s="5"/>
    </row>
    <row r="2639" spans="1:1" x14ac:dyDescent="0.25">
      <c r="A2639" s="5"/>
    </row>
    <row r="2640" spans="1:1" x14ac:dyDescent="0.25">
      <c r="A2640" s="5"/>
    </row>
    <row r="2641" spans="1:1" x14ac:dyDescent="0.25">
      <c r="A2641" s="5"/>
    </row>
    <row r="2642" spans="1:1" x14ac:dyDescent="0.25">
      <c r="A2642" s="5"/>
    </row>
    <row r="2643" spans="1:1" x14ac:dyDescent="0.25">
      <c r="A2643" s="5"/>
    </row>
    <row r="2644" spans="1:1" x14ac:dyDescent="0.25">
      <c r="A2644" s="5"/>
    </row>
    <row r="2645" spans="1:1" x14ac:dyDescent="0.25">
      <c r="A2645" s="5"/>
    </row>
    <row r="2646" spans="1:1" x14ac:dyDescent="0.25">
      <c r="A2646" s="5"/>
    </row>
    <row r="2647" spans="1:1" x14ac:dyDescent="0.25">
      <c r="A2647" s="5"/>
    </row>
    <row r="2648" spans="1:1" x14ac:dyDescent="0.25">
      <c r="A2648" s="5"/>
    </row>
    <row r="2649" spans="1:1" x14ac:dyDescent="0.25">
      <c r="A2649" s="5"/>
    </row>
    <row r="2650" spans="1:1" x14ac:dyDescent="0.25">
      <c r="A2650" s="5"/>
    </row>
    <row r="2651" spans="1:1" x14ac:dyDescent="0.25">
      <c r="A2651" s="5"/>
    </row>
    <row r="2652" spans="1:1" x14ac:dyDescent="0.25">
      <c r="A2652" s="5"/>
    </row>
    <row r="2653" spans="1:1" x14ac:dyDescent="0.25">
      <c r="A2653" s="5"/>
    </row>
    <row r="2654" spans="1:1" x14ac:dyDescent="0.25">
      <c r="A2654" s="5"/>
    </row>
    <row r="2655" spans="1:1" x14ac:dyDescent="0.25">
      <c r="A2655" s="5"/>
    </row>
    <row r="2656" spans="1:1" x14ac:dyDescent="0.25">
      <c r="A2656" s="5"/>
    </row>
    <row r="2657" spans="1:1" x14ac:dyDescent="0.25">
      <c r="A2657" s="5"/>
    </row>
    <row r="2658" spans="1:1" x14ac:dyDescent="0.25">
      <c r="A2658" s="5"/>
    </row>
    <row r="2659" spans="1:1" x14ac:dyDescent="0.25">
      <c r="A2659" s="5"/>
    </row>
    <row r="2660" spans="1:1" x14ac:dyDescent="0.25">
      <c r="A2660" s="5"/>
    </row>
    <row r="2661" spans="1:1" x14ac:dyDescent="0.25">
      <c r="A2661" s="5"/>
    </row>
    <row r="2662" spans="1:1" x14ac:dyDescent="0.25">
      <c r="A2662" s="5"/>
    </row>
    <row r="2663" spans="1:1" x14ac:dyDescent="0.25">
      <c r="A2663" s="5"/>
    </row>
    <row r="2664" spans="1:1" x14ac:dyDescent="0.25">
      <c r="A2664" s="5"/>
    </row>
    <row r="2665" spans="1:1" x14ac:dyDescent="0.25">
      <c r="A2665" s="5"/>
    </row>
    <row r="2666" spans="1:1" x14ac:dyDescent="0.25">
      <c r="A2666" s="5"/>
    </row>
    <row r="2667" spans="1:1" x14ac:dyDescent="0.25">
      <c r="A2667" s="5"/>
    </row>
    <row r="2668" spans="1:1" x14ac:dyDescent="0.25">
      <c r="A2668" s="5"/>
    </row>
    <row r="2669" spans="1:1" x14ac:dyDescent="0.25">
      <c r="A2669" s="5"/>
    </row>
    <row r="2670" spans="1:1" x14ac:dyDescent="0.25">
      <c r="A2670" s="5"/>
    </row>
    <row r="2671" spans="1:1" x14ac:dyDescent="0.25">
      <c r="A2671" s="5"/>
    </row>
    <row r="2672" spans="1:1" x14ac:dyDescent="0.25">
      <c r="A2672" s="5"/>
    </row>
    <row r="2673" spans="1:1" x14ac:dyDescent="0.25">
      <c r="A2673" s="5"/>
    </row>
    <row r="2674" spans="1:1" x14ac:dyDescent="0.25">
      <c r="A2674" s="5"/>
    </row>
    <row r="2675" spans="1:1" x14ac:dyDescent="0.25">
      <c r="A2675" s="5"/>
    </row>
    <row r="2676" spans="1:1" x14ac:dyDescent="0.25">
      <c r="A2676" s="5"/>
    </row>
    <row r="2677" spans="1:1" x14ac:dyDescent="0.25">
      <c r="A2677" s="5"/>
    </row>
    <row r="2678" spans="1:1" x14ac:dyDescent="0.25">
      <c r="A2678" s="5"/>
    </row>
    <row r="2679" spans="1:1" x14ac:dyDescent="0.25">
      <c r="A2679" s="5"/>
    </row>
    <row r="2680" spans="1:1" x14ac:dyDescent="0.25">
      <c r="A2680" s="5"/>
    </row>
    <row r="2681" spans="1:1" x14ac:dyDescent="0.25">
      <c r="A2681" s="5"/>
    </row>
    <row r="2682" spans="1:1" x14ac:dyDescent="0.25">
      <c r="A2682" s="5"/>
    </row>
    <row r="2683" spans="1:1" x14ac:dyDescent="0.25">
      <c r="A2683" s="5"/>
    </row>
    <row r="2684" spans="1:1" x14ac:dyDescent="0.25">
      <c r="A2684" s="5"/>
    </row>
    <row r="2685" spans="1:1" x14ac:dyDescent="0.25">
      <c r="A2685" s="5"/>
    </row>
    <row r="2686" spans="1:1" x14ac:dyDescent="0.25">
      <c r="A2686" s="5"/>
    </row>
    <row r="2687" spans="1:1" x14ac:dyDescent="0.25">
      <c r="A2687" s="5"/>
    </row>
    <row r="2688" spans="1:1" x14ac:dyDescent="0.25">
      <c r="A2688" s="5"/>
    </row>
    <row r="2689" spans="1:1" x14ac:dyDescent="0.25">
      <c r="A2689" s="5"/>
    </row>
    <row r="2690" spans="1:1" x14ac:dyDescent="0.25">
      <c r="A2690" s="5"/>
    </row>
    <row r="2691" spans="1:1" x14ac:dyDescent="0.25">
      <c r="A2691" s="5"/>
    </row>
    <row r="2692" spans="1:1" x14ac:dyDescent="0.25">
      <c r="A2692" s="5"/>
    </row>
    <row r="2693" spans="1:1" x14ac:dyDescent="0.25">
      <c r="A2693" s="5"/>
    </row>
    <row r="2694" spans="1:1" x14ac:dyDescent="0.25">
      <c r="A2694" s="5"/>
    </row>
    <row r="2695" spans="1:1" x14ac:dyDescent="0.25">
      <c r="A2695" s="5"/>
    </row>
    <row r="2696" spans="1:1" x14ac:dyDescent="0.25">
      <c r="A2696" s="5"/>
    </row>
    <row r="2697" spans="1:1" x14ac:dyDescent="0.25">
      <c r="A2697" s="5"/>
    </row>
    <row r="2698" spans="1:1" x14ac:dyDescent="0.25">
      <c r="A2698" s="5"/>
    </row>
    <row r="2699" spans="1:1" x14ac:dyDescent="0.25">
      <c r="A2699" s="5"/>
    </row>
    <row r="2700" spans="1:1" x14ac:dyDescent="0.25">
      <c r="A2700" s="5"/>
    </row>
    <row r="2701" spans="1:1" x14ac:dyDescent="0.25">
      <c r="A2701" s="5"/>
    </row>
    <row r="2702" spans="1:1" x14ac:dyDescent="0.25">
      <c r="A2702" s="5"/>
    </row>
    <row r="2703" spans="1:1" x14ac:dyDescent="0.25">
      <c r="A2703" s="5"/>
    </row>
    <row r="2704" spans="1:1" x14ac:dyDescent="0.25">
      <c r="A2704" s="5"/>
    </row>
    <row r="2705" spans="1:1" x14ac:dyDescent="0.25">
      <c r="A2705" s="5"/>
    </row>
    <row r="2706" spans="1:1" x14ac:dyDescent="0.25">
      <c r="A2706" s="5"/>
    </row>
    <row r="2707" spans="1:1" x14ac:dyDescent="0.25">
      <c r="A2707" s="5"/>
    </row>
    <row r="2708" spans="1:1" x14ac:dyDescent="0.25">
      <c r="A2708" s="5"/>
    </row>
    <row r="2709" spans="1:1" x14ac:dyDescent="0.25">
      <c r="A2709" s="5"/>
    </row>
    <row r="2710" spans="1:1" x14ac:dyDescent="0.25">
      <c r="A2710" s="5"/>
    </row>
    <row r="2711" spans="1:1" x14ac:dyDescent="0.25">
      <c r="A2711" s="5"/>
    </row>
    <row r="2712" spans="1:1" x14ac:dyDescent="0.25">
      <c r="A2712" s="5"/>
    </row>
    <row r="2713" spans="1:1" x14ac:dyDescent="0.25">
      <c r="A2713" s="5"/>
    </row>
    <row r="2714" spans="1:1" x14ac:dyDescent="0.25">
      <c r="A2714" s="5"/>
    </row>
    <row r="2715" spans="1:1" x14ac:dyDescent="0.25">
      <c r="A2715" s="5"/>
    </row>
    <row r="2716" spans="1:1" x14ac:dyDescent="0.25">
      <c r="A2716" s="5"/>
    </row>
    <row r="2717" spans="1:1" x14ac:dyDescent="0.25">
      <c r="A2717" s="5"/>
    </row>
    <row r="2718" spans="1:1" x14ac:dyDescent="0.25">
      <c r="A2718" s="5"/>
    </row>
    <row r="2719" spans="1:1" x14ac:dyDescent="0.25">
      <c r="A2719" s="5"/>
    </row>
    <row r="2720" spans="1:1" x14ac:dyDescent="0.25">
      <c r="A2720" s="5"/>
    </row>
    <row r="2721" spans="1:1" x14ac:dyDescent="0.25">
      <c r="A2721" s="5"/>
    </row>
    <row r="2722" spans="1:1" x14ac:dyDescent="0.25">
      <c r="A2722" s="5"/>
    </row>
    <row r="2723" spans="1:1" x14ac:dyDescent="0.25">
      <c r="A2723" s="5"/>
    </row>
    <row r="2724" spans="1:1" x14ac:dyDescent="0.25">
      <c r="A2724" s="5"/>
    </row>
    <row r="2725" spans="1:1" x14ac:dyDescent="0.25">
      <c r="A2725" s="5"/>
    </row>
    <row r="2726" spans="1:1" x14ac:dyDescent="0.25">
      <c r="A2726" s="5"/>
    </row>
    <row r="2727" spans="1:1" x14ac:dyDescent="0.25">
      <c r="A2727" s="5"/>
    </row>
    <row r="2728" spans="1:1" x14ac:dyDescent="0.25">
      <c r="A2728" s="5"/>
    </row>
    <row r="2729" spans="1:1" x14ac:dyDescent="0.25">
      <c r="A2729" s="5"/>
    </row>
    <row r="2730" spans="1:1" x14ac:dyDescent="0.25">
      <c r="A2730" s="5"/>
    </row>
    <row r="2731" spans="1:1" x14ac:dyDescent="0.25">
      <c r="A2731" s="5"/>
    </row>
    <row r="2732" spans="1:1" x14ac:dyDescent="0.25">
      <c r="A2732" s="5"/>
    </row>
    <row r="2733" spans="1:1" x14ac:dyDescent="0.25">
      <c r="A2733" s="5"/>
    </row>
    <row r="2734" spans="1:1" x14ac:dyDescent="0.25">
      <c r="A2734" s="5"/>
    </row>
    <row r="2735" spans="1:1" x14ac:dyDescent="0.25">
      <c r="A2735" s="5"/>
    </row>
    <row r="2736" spans="1:1" x14ac:dyDescent="0.25">
      <c r="A2736" s="5"/>
    </row>
    <row r="2737" spans="1:1" x14ac:dyDescent="0.25">
      <c r="A2737" s="5"/>
    </row>
    <row r="2738" spans="1:1" x14ac:dyDescent="0.25">
      <c r="A2738" s="5"/>
    </row>
    <row r="2739" spans="1:1" x14ac:dyDescent="0.25">
      <c r="A2739" s="5"/>
    </row>
    <row r="2740" spans="1:1" x14ac:dyDescent="0.25">
      <c r="A2740" s="5"/>
    </row>
    <row r="2741" spans="1:1" x14ac:dyDescent="0.25">
      <c r="A2741" s="5"/>
    </row>
    <row r="2742" spans="1:1" x14ac:dyDescent="0.25">
      <c r="A2742" s="5"/>
    </row>
    <row r="2743" spans="1:1" x14ac:dyDescent="0.25">
      <c r="A2743" s="5"/>
    </row>
    <row r="2744" spans="1:1" x14ac:dyDescent="0.25">
      <c r="A2744" s="5"/>
    </row>
    <row r="2745" spans="1:1" x14ac:dyDescent="0.25">
      <c r="A2745" s="5"/>
    </row>
    <row r="2746" spans="1:1" x14ac:dyDescent="0.25">
      <c r="A2746" s="5"/>
    </row>
    <row r="2747" spans="1:1" x14ac:dyDescent="0.25">
      <c r="A2747" s="5"/>
    </row>
    <row r="2748" spans="1:1" x14ac:dyDescent="0.25">
      <c r="A2748" s="5"/>
    </row>
    <row r="2749" spans="1:1" x14ac:dyDescent="0.25">
      <c r="A2749" s="5"/>
    </row>
    <row r="2750" spans="1:1" x14ac:dyDescent="0.25">
      <c r="A2750" s="5"/>
    </row>
    <row r="2751" spans="1:1" x14ac:dyDescent="0.25">
      <c r="A2751" s="5"/>
    </row>
    <row r="2752" spans="1:1" x14ac:dyDescent="0.25">
      <c r="A2752" s="5"/>
    </row>
    <row r="2753" spans="1:1" x14ac:dyDescent="0.25">
      <c r="A2753" s="5"/>
    </row>
    <row r="2754" spans="1:1" x14ac:dyDescent="0.25">
      <c r="A2754" s="5"/>
    </row>
    <row r="2755" spans="1:1" x14ac:dyDescent="0.25">
      <c r="A2755" s="5"/>
    </row>
    <row r="2756" spans="1:1" x14ac:dyDescent="0.25">
      <c r="A2756" s="5"/>
    </row>
    <row r="2757" spans="1:1" x14ac:dyDescent="0.25">
      <c r="A2757" s="5"/>
    </row>
    <row r="2758" spans="1:1" x14ac:dyDescent="0.25">
      <c r="A2758" s="5"/>
    </row>
    <row r="2759" spans="1:1" x14ac:dyDescent="0.25">
      <c r="A2759" s="5"/>
    </row>
    <row r="2760" spans="1:1" x14ac:dyDescent="0.25">
      <c r="A2760" s="5"/>
    </row>
    <row r="2761" spans="1:1" x14ac:dyDescent="0.25">
      <c r="A2761" s="5"/>
    </row>
    <row r="2762" spans="1:1" x14ac:dyDescent="0.25">
      <c r="A2762" s="5"/>
    </row>
    <row r="2763" spans="1:1" x14ac:dyDescent="0.25">
      <c r="A2763" s="5"/>
    </row>
    <row r="2764" spans="1:1" x14ac:dyDescent="0.25">
      <c r="A2764" s="5"/>
    </row>
    <row r="2765" spans="1:1" x14ac:dyDescent="0.25">
      <c r="A2765" s="5"/>
    </row>
    <row r="2766" spans="1:1" x14ac:dyDescent="0.25">
      <c r="A2766" s="5"/>
    </row>
    <row r="2767" spans="1:1" x14ac:dyDescent="0.25">
      <c r="A2767" s="5"/>
    </row>
    <row r="2768" spans="1:1" x14ac:dyDescent="0.25">
      <c r="A2768" s="5"/>
    </row>
    <row r="2769" spans="1:1" x14ac:dyDescent="0.25">
      <c r="A2769" s="5"/>
    </row>
    <row r="2770" spans="1:1" x14ac:dyDescent="0.25">
      <c r="A2770" s="5"/>
    </row>
    <row r="2771" spans="1:1" x14ac:dyDescent="0.25">
      <c r="A2771" s="5"/>
    </row>
    <row r="2772" spans="1:1" x14ac:dyDescent="0.25">
      <c r="A2772" s="5"/>
    </row>
    <row r="2773" spans="1:1" x14ac:dyDescent="0.25">
      <c r="A2773" s="5"/>
    </row>
    <row r="2774" spans="1:1" x14ac:dyDescent="0.25">
      <c r="A2774" s="5"/>
    </row>
    <row r="2775" spans="1:1" x14ac:dyDescent="0.25">
      <c r="A2775" s="5"/>
    </row>
    <row r="2776" spans="1:1" x14ac:dyDescent="0.25">
      <c r="A2776" s="5"/>
    </row>
    <row r="2777" spans="1:1" x14ac:dyDescent="0.25">
      <c r="A2777" s="5"/>
    </row>
    <row r="2778" spans="1:1" x14ac:dyDescent="0.25">
      <c r="A2778" s="5"/>
    </row>
    <row r="2779" spans="1:1" x14ac:dyDescent="0.25">
      <c r="A2779" s="5"/>
    </row>
    <row r="2780" spans="1:1" x14ac:dyDescent="0.25">
      <c r="A2780" s="5"/>
    </row>
    <row r="2781" spans="1:1" x14ac:dyDescent="0.25">
      <c r="A2781" s="5"/>
    </row>
    <row r="2782" spans="1:1" x14ac:dyDescent="0.25">
      <c r="A2782" s="5"/>
    </row>
    <row r="2783" spans="1:1" x14ac:dyDescent="0.25">
      <c r="A2783" s="5"/>
    </row>
    <row r="2784" spans="1:1" x14ac:dyDescent="0.25">
      <c r="A2784" s="5"/>
    </row>
    <row r="2785" spans="1:1" x14ac:dyDescent="0.25">
      <c r="A2785" s="5"/>
    </row>
    <row r="2786" spans="1:1" x14ac:dyDescent="0.25">
      <c r="A2786" s="5"/>
    </row>
    <row r="2787" spans="1:1" x14ac:dyDescent="0.25">
      <c r="A2787" s="5"/>
    </row>
    <row r="2788" spans="1:1" x14ac:dyDescent="0.25">
      <c r="A2788" s="5"/>
    </row>
    <row r="2789" spans="1:1" x14ac:dyDescent="0.25">
      <c r="A2789" s="5"/>
    </row>
    <row r="2790" spans="1:1" x14ac:dyDescent="0.25">
      <c r="A2790" s="5"/>
    </row>
    <row r="2791" spans="1:1" x14ac:dyDescent="0.25">
      <c r="A2791" s="5"/>
    </row>
    <row r="2792" spans="1:1" x14ac:dyDescent="0.25">
      <c r="A2792" s="5"/>
    </row>
    <row r="2793" spans="1:1" x14ac:dyDescent="0.25">
      <c r="A2793" s="5"/>
    </row>
    <row r="2794" spans="1:1" x14ac:dyDescent="0.25">
      <c r="A2794" s="5"/>
    </row>
    <row r="2795" spans="1:1" x14ac:dyDescent="0.25">
      <c r="A2795" s="5"/>
    </row>
    <row r="2796" spans="1:1" x14ac:dyDescent="0.25">
      <c r="A2796" s="5"/>
    </row>
    <row r="2797" spans="1:1" x14ac:dyDescent="0.25">
      <c r="A2797" s="5"/>
    </row>
    <row r="2798" spans="1:1" x14ac:dyDescent="0.25">
      <c r="A2798" s="5"/>
    </row>
    <row r="2799" spans="1:1" x14ac:dyDescent="0.25">
      <c r="A2799" s="5"/>
    </row>
    <row r="2800" spans="1:1" x14ac:dyDescent="0.25">
      <c r="A2800" s="5"/>
    </row>
    <row r="2801" spans="1:1" x14ac:dyDescent="0.25">
      <c r="A2801" s="5"/>
    </row>
    <row r="2802" spans="1:1" x14ac:dyDescent="0.25">
      <c r="A2802" s="5"/>
    </row>
    <row r="2803" spans="1:1" x14ac:dyDescent="0.25">
      <c r="A2803" s="5"/>
    </row>
    <row r="2804" spans="1:1" x14ac:dyDescent="0.25">
      <c r="A2804" s="5"/>
    </row>
    <row r="2805" spans="1:1" x14ac:dyDescent="0.25">
      <c r="A2805" s="5"/>
    </row>
    <row r="2806" spans="1:1" x14ac:dyDescent="0.25">
      <c r="A2806" s="5"/>
    </row>
    <row r="2807" spans="1:1" x14ac:dyDescent="0.25">
      <c r="A2807" s="5"/>
    </row>
    <row r="2808" spans="1:1" x14ac:dyDescent="0.25">
      <c r="A2808" s="5"/>
    </row>
    <row r="2809" spans="1:1" x14ac:dyDescent="0.25">
      <c r="A2809" s="5"/>
    </row>
    <row r="2810" spans="1:1" x14ac:dyDescent="0.25">
      <c r="A2810" s="5"/>
    </row>
    <row r="2811" spans="1:1" x14ac:dyDescent="0.25">
      <c r="A2811" s="5"/>
    </row>
    <row r="2812" spans="1:1" x14ac:dyDescent="0.25">
      <c r="A2812" s="5"/>
    </row>
    <row r="2813" spans="1:1" x14ac:dyDescent="0.25">
      <c r="A2813" s="5"/>
    </row>
    <row r="2814" spans="1:1" x14ac:dyDescent="0.25">
      <c r="A2814" s="5"/>
    </row>
    <row r="2815" spans="1:1" x14ac:dyDescent="0.25">
      <c r="A2815" s="5"/>
    </row>
    <row r="2816" spans="1:1" x14ac:dyDescent="0.25">
      <c r="A2816" s="5"/>
    </row>
    <row r="2817" spans="1:1" x14ac:dyDescent="0.25">
      <c r="A2817" s="5"/>
    </row>
    <row r="2818" spans="1:1" x14ac:dyDescent="0.25">
      <c r="A2818" s="5"/>
    </row>
    <row r="2819" spans="1:1" x14ac:dyDescent="0.25">
      <c r="A2819" s="5"/>
    </row>
    <row r="2820" spans="1:1" x14ac:dyDescent="0.25">
      <c r="A2820" s="5"/>
    </row>
    <row r="2821" spans="1:1" x14ac:dyDescent="0.25">
      <c r="A2821" s="5"/>
    </row>
    <row r="2822" spans="1:1" x14ac:dyDescent="0.25">
      <c r="A2822" s="5"/>
    </row>
    <row r="2823" spans="1:1" x14ac:dyDescent="0.25">
      <c r="A2823" s="5"/>
    </row>
    <row r="2824" spans="1:1" x14ac:dyDescent="0.25">
      <c r="A2824" s="5"/>
    </row>
    <row r="2825" spans="1:1" x14ac:dyDescent="0.25">
      <c r="A2825" s="5"/>
    </row>
    <row r="2826" spans="1:1" x14ac:dyDescent="0.25">
      <c r="A2826" s="5"/>
    </row>
    <row r="2827" spans="1:1" x14ac:dyDescent="0.25">
      <c r="A2827" s="5"/>
    </row>
    <row r="2828" spans="1:1" x14ac:dyDescent="0.25">
      <c r="A2828" s="5"/>
    </row>
    <row r="2829" spans="1:1" x14ac:dyDescent="0.25">
      <c r="A2829" s="5"/>
    </row>
    <row r="2830" spans="1:1" x14ac:dyDescent="0.25">
      <c r="A2830" s="5"/>
    </row>
    <row r="2831" spans="1:1" x14ac:dyDescent="0.25">
      <c r="A2831" s="5"/>
    </row>
    <row r="2832" spans="1:1" x14ac:dyDescent="0.25">
      <c r="A2832" s="5"/>
    </row>
    <row r="2833" spans="1:1" x14ac:dyDescent="0.25">
      <c r="A2833" s="5"/>
    </row>
    <row r="2834" spans="1:1" x14ac:dyDescent="0.25">
      <c r="A2834" s="5"/>
    </row>
    <row r="2835" spans="1:1" x14ac:dyDescent="0.25">
      <c r="A2835" s="5"/>
    </row>
    <row r="2836" spans="1:1" x14ac:dyDescent="0.25">
      <c r="A2836" s="5"/>
    </row>
    <row r="2837" spans="1:1" x14ac:dyDescent="0.25">
      <c r="A2837" s="5"/>
    </row>
    <row r="2838" spans="1:1" x14ac:dyDescent="0.25">
      <c r="A2838" s="5"/>
    </row>
    <row r="2839" spans="1:1" x14ac:dyDescent="0.25">
      <c r="A2839" s="5"/>
    </row>
    <row r="2840" spans="1:1" x14ac:dyDescent="0.25">
      <c r="A2840" s="5"/>
    </row>
    <row r="2841" spans="1:1" x14ac:dyDescent="0.25">
      <c r="A2841" s="5"/>
    </row>
    <row r="2842" spans="1:1" x14ac:dyDescent="0.25">
      <c r="A2842" s="5"/>
    </row>
    <row r="2843" spans="1:1" x14ac:dyDescent="0.25">
      <c r="A2843" s="5"/>
    </row>
    <row r="2844" spans="1:1" x14ac:dyDescent="0.25">
      <c r="A2844" s="5"/>
    </row>
    <row r="2845" spans="1:1" x14ac:dyDescent="0.25">
      <c r="A2845" s="5"/>
    </row>
    <row r="2846" spans="1:1" x14ac:dyDescent="0.25">
      <c r="A2846" s="5"/>
    </row>
    <row r="2847" spans="1:1" x14ac:dyDescent="0.25">
      <c r="A2847" s="5"/>
    </row>
    <row r="2848" spans="1:1" x14ac:dyDescent="0.25">
      <c r="A2848" s="5"/>
    </row>
    <row r="2849" spans="1:1" x14ac:dyDescent="0.25">
      <c r="A2849" s="5"/>
    </row>
    <row r="2850" spans="1:1" x14ac:dyDescent="0.25">
      <c r="A2850" s="5"/>
    </row>
    <row r="2851" spans="1:1" x14ac:dyDescent="0.25">
      <c r="A2851" s="5"/>
    </row>
    <row r="2852" spans="1:1" x14ac:dyDescent="0.25">
      <c r="A2852" s="5"/>
    </row>
    <row r="2853" spans="1:1" x14ac:dyDescent="0.25">
      <c r="A2853" s="5"/>
    </row>
    <row r="2854" spans="1:1" x14ac:dyDescent="0.25">
      <c r="A2854" s="5"/>
    </row>
    <row r="2855" spans="1:1" x14ac:dyDescent="0.25">
      <c r="A2855" s="5"/>
    </row>
    <row r="2856" spans="1:1" x14ac:dyDescent="0.25">
      <c r="A2856" s="5"/>
    </row>
    <row r="2857" spans="1:1" x14ac:dyDescent="0.25">
      <c r="A2857" s="5"/>
    </row>
    <row r="2858" spans="1:1" x14ac:dyDescent="0.25">
      <c r="A2858" s="5"/>
    </row>
    <row r="2859" spans="1:1" x14ac:dyDescent="0.25">
      <c r="A2859" s="5"/>
    </row>
    <row r="2860" spans="1:1" x14ac:dyDescent="0.25">
      <c r="A2860" s="5"/>
    </row>
    <row r="2861" spans="1:1" x14ac:dyDescent="0.25">
      <c r="A2861" s="5"/>
    </row>
    <row r="2862" spans="1:1" x14ac:dyDescent="0.25">
      <c r="A2862" s="5"/>
    </row>
    <row r="2863" spans="1:1" x14ac:dyDescent="0.25">
      <c r="A2863" s="5"/>
    </row>
    <row r="2864" spans="1:1" x14ac:dyDescent="0.25">
      <c r="A2864" s="5"/>
    </row>
    <row r="2865" spans="1:1" x14ac:dyDescent="0.25">
      <c r="A2865" s="5"/>
    </row>
    <row r="2866" spans="1:1" x14ac:dyDescent="0.25">
      <c r="A2866" s="5"/>
    </row>
    <row r="2867" spans="1:1" x14ac:dyDescent="0.25">
      <c r="A2867" s="5"/>
    </row>
    <row r="2868" spans="1:1" x14ac:dyDescent="0.25">
      <c r="A2868" s="5"/>
    </row>
    <row r="2869" spans="1:1" x14ac:dyDescent="0.25">
      <c r="A2869" s="5"/>
    </row>
    <row r="2870" spans="1:1" x14ac:dyDescent="0.25">
      <c r="A2870" s="5"/>
    </row>
    <row r="2871" spans="1:1" x14ac:dyDescent="0.25">
      <c r="A2871" s="5"/>
    </row>
    <row r="2872" spans="1:1" x14ac:dyDescent="0.25">
      <c r="A2872" s="5"/>
    </row>
    <row r="2873" spans="1:1" x14ac:dyDescent="0.25">
      <c r="A2873" s="5"/>
    </row>
    <row r="2874" spans="1:1" x14ac:dyDescent="0.25">
      <c r="A2874" s="5"/>
    </row>
    <row r="2875" spans="1:1" x14ac:dyDescent="0.25">
      <c r="A2875" s="5"/>
    </row>
    <row r="2876" spans="1:1" x14ac:dyDescent="0.25">
      <c r="A2876" s="5"/>
    </row>
    <row r="2877" spans="1:1" x14ac:dyDescent="0.25">
      <c r="A2877" s="5"/>
    </row>
    <row r="2878" spans="1:1" x14ac:dyDescent="0.25">
      <c r="A2878" s="5"/>
    </row>
    <row r="2879" spans="1:1" x14ac:dyDescent="0.25">
      <c r="A2879" s="5"/>
    </row>
    <row r="2880" spans="1:1" x14ac:dyDescent="0.25">
      <c r="A2880" s="5"/>
    </row>
    <row r="2881" spans="1:1" x14ac:dyDescent="0.25">
      <c r="A2881" s="5"/>
    </row>
    <row r="2882" spans="1:1" x14ac:dyDescent="0.25">
      <c r="A2882" s="5"/>
    </row>
    <row r="2883" spans="1:1" x14ac:dyDescent="0.25">
      <c r="A2883" s="5"/>
    </row>
    <row r="2884" spans="1:1" x14ac:dyDescent="0.25">
      <c r="A2884" s="5"/>
    </row>
    <row r="2885" spans="1:1" x14ac:dyDescent="0.25">
      <c r="A2885" s="5"/>
    </row>
    <row r="2886" spans="1:1" x14ac:dyDescent="0.25">
      <c r="A2886" s="5"/>
    </row>
    <row r="2887" spans="1:1" x14ac:dyDescent="0.25">
      <c r="A2887" s="5"/>
    </row>
    <row r="2888" spans="1:1" x14ac:dyDescent="0.25">
      <c r="A2888" s="5"/>
    </row>
    <row r="2889" spans="1:1" x14ac:dyDescent="0.25">
      <c r="A2889" s="5"/>
    </row>
    <row r="2890" spans="1:1" x14ac:dyDescent="0.25">
      <c r="A2890" s="5"/>
    </row>
    <row r="2891" spans="1:1" x14ac:dyDescent="0.25">
      <c r="A2891" s="5"/>
    </row>
    <row r="2892" spans="1:1" x14ac:dyDescent="0.25">
      <c r="A2892" s="5"/>
    </row>
    <row r="2893" spans="1:1" x14ac:dyDescent="0.25">
      <c r="A2893" s="5"/>
    </row>
    <row r="2894" spans="1:1" x14ac:dyDescent="0.25">
      <c r="A2894" s="5"/>
    </row>
    <row r="2895" spans="1:1" x14ac:dyDescent="0.25">
      <c r="A2895" s="5"/>
    </row>
    <row r="2896" spans="1:1" x14ac:dyDescent="0.25">
      <c r="A2896" s="5"/>
    </row>
    <row r="2897" spans="1:1" x14ac:dyDescent="0.25">
      <c r="A2897" s="5"/>
    </row>
    <row r="2898" spans="1:1" x14ac:dyDescent="0.25">
      <c r="A2898" s="5"/>
    </row>
    <row r="2899" spans="1:1" x14ac:dyDescent="0.25">
      <c r="A2899" s="5"/>
    </row>
    <row r="2900" spans="1:1" x14ac:dyDescent="0.25">
      <c r="A2900" s="5"/>
    </row>
    <row r="2901" spans="1:1" x14ac:dyDescent="0.25">
      <c r="A2901" s="5"/>
    </row>
    <row r="2902" spans="1:1" x14ac:dyDescent="0.25">
      <c r="A2902" s="5"/>
    </row>
    <row r="2903" spans="1:1" x14ac:dyDescent="0.25">
      <c r="A2903" s="5"/>
    </row>
    <row r="2904" spans="1:1" x14ac:dyDescent="0.25">
      <c r="A2904" s="5"/>
    </row>
    <row r="2905" spans="1:1" x14ac:dyDescent="0.25">
      <c r="A2905" s="5"/>
    </row>
    <row r="2906" spans="1:1" x14ac:dyDescent="0.25">
      <c r="A2906" s="5"/>
    </row>
    <row r="2907" spans="1:1" x14ac:dyDescent="0.25">
      <c r="A2907" s="5"/>
    </row>
    <row r="2908" spans="1:1" x14ac:dyDescent="0.25">
      <c r="A2908" s="5"/>
    </row>
    <row r="2909" spans="1:1" x14ac:dyDescent="0.25">
      <c r="A2909" s="5"/>
    </row>
    <row r="2910" spans="1:1" x14ac:dyDescent="0.25">
      <c r="A2910" s="5"/>
    </row>
    <row r="2911" spans="1:1" x14ac:dyDescent="0.25">
      <c r="A2911" s="5"/>
    </row>
    <row r="2912" spans="1:1" x14ac:dyDescent="0.25">
      <c r="A2912" s="5"/>
    </row>
    <row r="2913" spans="1:1" x14ac:dyDescent="0.25">
      <c r="A2913" s="5"/>
    </row>
    <row r="2914" spans="1:1" x14ac:dyDescent="0.25">
      <c r="A2914" s="5"/>
    </row>
    <row r="2915" spans="1:1" x14ac:dyDescent="0.25">
      <c r="A2915" s="5"/>
    </row>
    <row r="2916" spans="1:1" x14ac:dyDescent="0.25">
      <c r="A2916" s="5"/>
    </row>
    <row r="2917" spans="1:1" x14ac:dyDescent="0.25">
      <c r="A2917" s="5"/>
    </row>
    <row r="2918" spans="1:1" x14ac:dyDescent="0.25">
      <c r="A2918" s="5"/>
    </row>
    <row r="2919" spans="1:1" x14ac:dyDescent="0.25">
      <c r="A2919" s="5"/>
    </row>
    <row r="2920" spans="1:1" x14ac:dyDescent="0.25">
      <c r="A2920" s="5"/>
    </row>
    <row r="2921" spans="1:1" x14ac:dyDescent="0.25">
      <c r="A2921" s="5"/>
    </row>
    <row r="2922" spans="1:1" x14ac:dyDescent="0.25">
      <c r="A2922" s="5"/>
    </row>
    <row r="2923" spans="1:1" x14ac:dyDescent="0.25">
      <c r="A2923" s="5"/>
    </row>
    <row r="2924" spans="1:1" x14ac:dyDescent="0.25">
      <c r="A2924" s="5"/>
    </row>
    <row r="2925" spans="1:1" x14ac:dyDescent="0.25">
      <c r="A2925" s="5"/>
    </row>
    <row r="2926" spans="1:1" x14ac:dyDescent="0.25">
      <c r="A2926" s="5"/>
    </row>
    <row r="2927" spans="1:1" x14ac:dyDescent="0.25">
      <c r="A2927" s="5"/>
    </row>
    <row r="2928" spans="1:1" x14ac:dyDescent="0.25">
      <c r="A2928" s="5"/>
    </row>
    <row r="2929" spans="1:1" x14ac:dyDescent="0.25">
      <c r="A2929" s="5"/>
    </row>
    <row r="2930" spans="1:1" x14ac:dyDescent="0.25">
      <c r="A2930" s="5"/>
    </row>
    <row r="2931" spans="1:1" x14ac:dyDescent="0.25">
      <c r="A2931" s="5"/>
    </row>
    <row r="2932" spans="1:1" x14ac:dyDescent="0.25">
      <c r="A2932" s="5"/>
    </row>
    <row r="2933" spans="1:1" x14ac:dyDescent="0.25">
      <c r="A2933" s="5"/>
    </row>
    <row r="2934" spans="1:1" x14ac:dyDescent="0.25">
      <c r="A2934" s="5"/>
    </row>
    <row r="2935" spans="1:1" x14ac:dyDescent="0.25">
      <c r="A2935" s="5"/>
    </row>
    <row r="2936" spans="1:1" x14ac:dyDescent="0.25">
      <c r="A2936" s="5"/>
    </row>
    <row r="2937" spans="1:1" x14ac:dyDescent="0.25">
      <c r="A2937" s="5"/>
    </row>
    <row r="2938" spans="1:1" x14ac:dyDescent="0.25">
      <c r="A2938" s="5"/>
    </row>
    <row r="2939" spans="1:1" x14ac:dyDescent="0.25">
      <c r="A2939" s="5"/>
    </row>
    <row r="2940" spans="1:1" x14ac:dyDescent="0.25">
      <c r="A2940" s="5"/>
    </row>
    <row r="2941" spans="1:1" x14ac:dyDescent="0.25">
      <c r="A2941" s="5"/>
    </row>
    <row r="2942" spans="1:1" x14ac:dyDescent="0.25">
      <c r="A2942" s="5"/>
    </row>
    <row r="2943" spans="1:1" x14ac:dyDescent="0.25">
      <c r="A2943" s="5"/>
    </row>
    <row r="2944" spans="1:1" x14ac:dyDescent="0.25">
      <c r="A2944" s="5"/>
    </row>
    <row r="2945" spans="1:1" x14ac:dyDescent="0.25">
      <c r="A2945" s="5"/>
    </row>
    <row r="2946" spans="1:1" x14ac:dyDescent="0.25">
      <c r="A2946" s="5"/>
    </row>
    <row r="2947" spans="1:1" x14ac:dyDescent="0.25">
      <c r="A2947" s="5"/>
    </row>
    <row r="2948" spans="1:1" x14ac:dyDescent="0.25">
      <c r="A2948" s="5"/>
    </row>
    <row r="2949" spans="1:1" x14ac:dyDescent="0.25">
      <c r="A2949" s="5"/>
    </row>
    <row r="2950" spans="1:1" x14ac:dyDescent="0.25">
      <c r="A2950" s="5"/>
    </row>
    <row r="2951" spans="1:1" x14ac:dyDescent="0.25">
      <c r="A2951" s="5"/>
    </row>
    <row r="2952" spans="1:1" x14ac:dyDescent="0.25">
      <c r="A2952" s="5"/>
    </row>
    <row r="2953" spans="1:1" x14ac:dyDescent="0.25">
      <c r="A2953" s="5"/>
    </row>
    <row r="2954" spans="1:1" x14ac:dyDescent="0.25">
      <c r="A2954" s="5"/>
    </row>
    <row r="2955" spans="1:1" x14ac:dyDescent="0.25">
      <c r="A2955" s="5"/>
    </row>
    <row r="2956" spans="1:1" x14ac:dyDescent="0.25">
      <c r="A2956" s="5"/>
    </row>
    <row r="2957" spans="1:1" x14ac:dyDescent="0.25">
      <c r="A2957" s="5"/>
    </row>
    <row r="2958" spans="1:1" x14ac:dyDescent="0.25">
      <c r="A2958" s="5"/>
    </row>
    <row r="2959" spans="1:1" x14ac:dyDescent="0.25">
      <c r="A2959" s="5"/>
    </row>
    <row r="2960" spans="1:1" x14ac:dyDescent="0.25">
      <c r="A2960" s="5"/>
    </row>
    <row r="2961" spans="1:1" x14ac:dyDescent="0.25">
      <c r="A2961" s="5"/>
    </row>
    <row r="2962" spans="1:1" x14ac:dyDescent="0.25">
      <c r="A2962" s="5"/>
    </row>
    <row r="2963" spans="1:1" x14ac:dyDescent="0.25">
      <c r="A2963" s="5"/>
    </row>
    <row r="2964" spans="1:1" x14ac:dyDescent="0.25">
      <c r="A2964" s="5"/>
    </row>
    <row r="2965" spans="1:1" x14ac:dyDescent="0.25">
      <c r="A2965" s="5"/>
    </row>
    <row r="2966" spans="1:1" x14ac:dyDescent="0.25">
      <c r="A2966" s="5"/>
    </row>
    <row r="2967" spans="1:1" x14ac:dyDescent="0.25">
      <c r="A2967" s="5"/>
    </row>
    <row r="2968" spans="1:1" x14ac:dyDescent="0.25">
      <c r="A2968" s="5"/>
    </row>
    <row r="2969" spans="1:1" x14ac:dyDescent="0.25">
      <c r="A2969" s="5"/>
    </row>
    <row r="2970" spans="1:1" x14ac:dyDescent="0.25">
      <c r="A2970" s="5"/>
    </row>
    <row r="2971" spans="1:1" x14ac:dyDescent="0.25">
      <c r="A2971" s="5"/>
    </row>
    <row r="2972" spans="1:1" x14ac:dyDescent="0.25">
      <c r="A2972" s="5"/>
    </row>
    <row r="2973" spans="1:1" x14ac:dyDescent="0.25">
      <c r="A2973" s="5"/>
    </row>
    <row r="2974" spans="1:1" x14ac:dyDescent="0.25">
      <c r="A2974" s="5"/>
    </row>
    <row r="2975" spans="1:1" x14ac:dyDescent="0.25">
      <c r="A2975" s="5"/>
    </row>
    <row r="2976" spans="1:1" x14ac:dyDescent="0.25">
      <c r="A2976" s="5"/>
    </row>
    <row r="2977" spans="1:1" x14ac:dyDescent="0.25">
      <c r="A2977" s="5"/>
    </row>
    <row r="2978" spans="1:1" x14ac:dyDescent="0.25">
      <c r="A2978" s="5"/>
    </row>
    <row r="2979" spans="1:1" x14ac:dyDescent="0.25">
      <c r="A2979" s="5"/>
    </row>
    <row r="2980" spans="1:1" x14ac:dyDescent="0.25">
      <c r="A2980" s="5"/>
    </row>
    <row r="2981" spans="1:1" x14ac:dyDescent="0.25">
      <c r="A2981" s="5"/>
    </row>
    <row r="2982" spans="1:1" x14ac:dyDescent="0.25">
      <c r="A2982" s="5"/>
    </row>
    <row r="2983" spans="1:1" x14ac:dyDescent="0.25">
      <c r="A2983" s="5"/>
    </row>
    <row r="2984" spans="1:1" x14ac:dyDescent="0.25">
      <c r="A2984" s="5"/>
    </row>
    <row r="2985" spans="1:1" x14ac:dyDescent="0.25">
      <c r="A2985" s="5"/>
    </row>
    <row r="2986" spans="1:1" x14ac:dyDescent="0.25">
      <c r="A2986" s="5"/>
    </row>
    <row r="2987" spans="1:1" x14ac:dyDescent="0.25">
      <c r="A2987" s="5"/>
    </row>
    <row r="2988" spans="1:1" x14ac:dyDescent="0.25">
      <c r="A2988" s="5"/>
    </row>
    <row r="2989" spans="1:1" x14ac:dyDescent="0.25">
      <c r="A2989" s="5"/>
    </row>
    <row r="2990" spans="1:1" x14ac:dyDescent="0.25">
      <c r="A2990" s="5"/>
    </row>
    <row r="2991" spans="1:1" x14ac:dyDescent="0.25">
      <c r="A2991" s="5"/>
    </row>
    <row r="2992" spans="1:1" x14ac:dyDescent="0.25">
      <c r="A2992" s="5"/>
    </row>
    <row r="2993" spans="1:1" x14ac:dyDescent="0.25">
      <c r="A2993" s="5"/>
    </row>
    <row r="2994" spans="1:1" x14ac:dyDescent="0.25">
      <c r="A2994" s="5"/>
    </row>
    <row r="2995" spans="1:1" x14ac:dyDescent="0.25">
      <c r="A2995" s="5"/>
    </row>
    <row r="2996" spans="1:1" x14ac:dyDescent="0.25">
      <c r="A2996" s="5"/>
    </row>
    <row r="2997" spans="1:1" x14ac:dyDescent="0.25">
      <c r="A2997" s="5"/>
    </row>
    <row r="2998" spans="1:1" x14ac:dyDescent="0.25">
      <c r="A2998" s="5"/>
    </row>
    <row r="2999" spans="1:1" x14ac:dyDescent="0.25">
      <c r="A2999" s="5"/>
    </row>
    <row r="3000" spans="1:1" x14ac:dyDescent="0.25">
      <c r="A3000" s="5"/>
    </row>
    <row r="3001" spans="1:1" x14ac:dyDescent="0.25">
      <c r="A3001" s="5"/>
    </row>
    <row r="3002" spans="1:1" x14ac:dyDescent="0.25">
      <c r="A3002" s="5"/>
    </row>
    <row r="3003" spans="1:1" x14ac:dyDescent="0.25">
      <c r="A3003" s="5"/>
    </row>
    <row r="3004" spans="1:1" x14ac:dyDescent="0.25">
      <c r="A3004" s="5"/>
    </row>
    <row r="3005" spans="1:1" x14ac:dyDescent="0.25">
      <c r="A3005" s="5"/>
    </row>
    <row r="3006" spans="1:1" x14ac:dyDescent="0.25">
      <c r="A3006" s="5"/>
    </row>
    <row r="3007" spans="1:1" x14ac:dyDescent="0.25">
      <c r="A3007" s="5"/>
    </row>
    <row r="3008" spans="1:1" x14ac:dyDescent="0.25">
      <c r="A3008" s="5"/>
    </row>
    <row r="3009" spans="1:1" x14ac:dyDescent="0.25">
      <c r="A3009" s="5"/>
    </row>
    <row r="3010" spans="1:1" x14ac:dyDescent="0.25">
      <c r="A3010" s="5"/>
    </row>
    <row r="3011" spans="1:1" x14ac:dyDescent="0.25">
      <c r="A3011" s="5"/>
    </row>
    <row r="3012" spans="1:1" x14ac:dyDescent="0.25">
      <c r="A3012" s="5"/>
    </row>
    <row r="3013" spans="1:1" x14ac:dyDescent="0.25">
      <c r="A3013" s="5"/>
    </row>
    <row r="3014" spans="1:1" x14ac:dyDescent="0.25">
      <c r="A3014" s="5"/>
    </row>
    <row r="3015" spans="1:1" x14ac:dyDescent="0.25">
      <c r="A3015" s="5"/>
    </row>
    <row r="3016" spans="1:1" x14ac:dyDescent="0.25">
      <c r="A3016" s="5"/>
    </row>
    <row r="3017" spans="1:1" x14ac:dyDescent="0.25">
      <c r="A3017" s="5"/>
    </row>
    <row r="3018" spans="1:1" x14ac:dyDescent="0.25">
      <c r="A3018" s="5"/>
    </row>
    <row r="3019" spans="1:1" x14ac:dyDescent="0.25">
      <c r="A3019" s="5"/>
    </row>
    <row r="3020" spans="1:1" x14ac:dyDescent="0.25">
      <c r="A3020" s="5"/>
    </row>
    <row r="3021" spans="1:1" x14ac:dyDescent="0.25">
      <c r="A3021" s="5"/>
    </row>
    <row r="3022" spans="1:1" x14ac:dyDescent="0.25">
      <c r="A3022" s="5"/>
    </row>
    <row r="3023" spans="1:1" x14ac:dyDescent="0.25">
      <c r="A3023" s="5"/>
    </row>
    <row r="3024" spans="1:1" x14ac:dyDescent="0.25">
      <c r="A3024" s="5"/>
    </row>
    <row r="3025" spans="1:1" x14ac:dyDescent="0.25">
      <c r="A3025" s="5"/>
    </row>
    <row r="3026" spans="1:1" x14ac:dyDescent="0.25">
      <c r="A3026" s="5"/>
    </row>
    <row r="3027" spans="1:1" x14ac:dyDescent="0.25">
      <c r="A3027" s="5"/>
    </row>
    <row r="3028" spans="1:1" x14ac:dyDescent="0.25">
      <c r="A3028" s="5"/>
    </row>
    <row r="3029" spans="1:1" x14ac:dyDescent="0.25">
      <c r="A3029" s="5"/>
    </row>
    <row r="3030" spans="1:1" x14ac:dyDescent="0.25">
      <c r="A3030" s="5"/>
    </row>
    <row r="3031" spans="1:1" x14ac:dyDescent="0.25">
      <c r="A3031" s="5"/>
    </row>
    <row r="3032" spans="1:1" x14ac:dyDescent="0.25">
      <c r="A3032" s="5"/>
    </row>
    <row r="3033" spans="1:1" x14ac:dyDescent="0.25">
      <c r="A3033" s="5"/>
    </row>
    <row r="3034" spans="1:1" x14ac:dyDescent="0.25">
      <c r="A3034" s="5"/>
    </row>
    <row r="3035" spans="1:1" x14ac:dyDescent="0.25">
      <c r="A3035" s="5"/>
    </row>
    <row r="3036" spans="1:1" x14ac:dyDescent="0.25">
      <c r="A3036" s="5"/>
    </row>
    <row r="3037" spans="1:1" x14ac:dyDescent="0.25">
      <c r="A3037" s="5"/>
    </row>
    <row r="3038" spans="1:1" x14ac:dyDescent="0.25">
      <c r="A3038" s="5"/>
    </row>
    <row r="3039" spans="1:1" x14ac:dyDescent="0.25">
      <c r="A3039" s="5"/>
    </row>
    <row r="3040" spans="1:1" x14ac:dyDescent="0.25">
      <c r="A3040" s="5"/>
    </row>
    <row r="3041" spans="1:1" x14ac:dyDescent="0.25">
      <c r="A3041" s="5"/>
    </row>
    <row r="3042" spans="1:1" x14ac:dyDescent="0.25">
      <c r="A3042" s="5"/>
    </row>
    <row r="3043" spans="1:1" x14ac:dyDescent="0.25">
      <c r="A3043" s="5"/>
    </row>
    <row r="3044" spans="1:1" x14ac:dyDescent="0.25">
      <c r="A3044" s="5"/>
    </row>
    <row r="3045" spans="1:1" x14ac:dyDescent="0.25">
      <c r="A3045" s="5"/>
    </row>
    <row r="3046" spans="1:1" x14ac:dyDescent="0.25">
      <c r="A3046" s="5"/>
    </row>
    <row r="3047" spans="1:1" x14ac:dyDescent="0.25">
      <c r="A3047" s="5"/>
    </row>
    <row r="3048" spans="1:1" x14ac:dyDescent="0.25">
      <c r="A3048" s="5"/>
    </row>
    <row r="3049" spans="1:1" x14ac:dyDescent="0.25">
      <c r="A3049" s="5"/>
    </row>
    <row r="3050" spans="1:1" x14ac:dyDescent="0.25">
      <c r="A3050" s="5"/>
    </row>
    <row r="3051" spans="1:1" x14ac:dyDescent="0.25">
      <c r="A3051" s="5"/>
    </row>
    <row r="3052" spans="1:1" x14ac:dyDescent="0.25">
      <c r="A3052" s="5"/>
    </row>
    <row r="3053" spans="1:1" x14ac:dyDescent="0.25">
      <c r="A3053" s="5"/>
    </row>
    <row r="3054" spans="1:1" x14ac:dyDescent="0.25">
      <c r="A3054" s="5"/>
    </row>
    <row r="3055" spans="1:1" x14ac:dyDescent="0.25">
      <c r="A3055" s="5"/>
    </row>
    <row r="3056" spans="1:1" x14ac:dyDescent="0.25">
      <c r="A3056" s="5"/>
    </row>
    <row r="3057" spans="1:1" x14ac:dyDescent="0.25">
      <c r="A3057" s="5"/>
    </row>
    <row r="3058" spans="1:1" x14ac:dyDescent="0.25">
      <c r="A3058" s="5"/>
    </row>
    <row r="3059" spans="1:1" x14ac:dyDescent="0.25">
      <c r="A3059" s="5"/>
    </row>
    <row r="3060" spans="1:1" x14ac:dyDescent="0.25">
      <c r="A3060" s="5"/>
    </row>
    <row r="3061" spans="1:1" x14ac:dyDescent="0.25">
      <c r="A3061" s="5"/>
    </row>
    <row r="3062" spans="1:1" x14ac:dyDescent="0.25">
      <c r="A3062" s="5"/>
    </row>
    <row r="3063" spans="1:1" x14ac:dyDescent="0.25">
      <c r="A3063" s="5"/>
    </row>
    <row r="3064" spans="1:1" x14ac:dyDescent="0.25">
      <c r="A3064" s="5"/>
    </row>
    <row r="3065" spans="1:1" x14ac:dyDescent="0.25">
      <c r="A3065" s="5"/>
    </row>
    <row r="3066" spans="1:1" x14ac:dyDescent="0.25">
      <c r="A3066" s="5"/>
    </row>
    <row r="3067" spans="1:1" x14ac:dyDescent="0.25">
      <c r="A3067" s="5"/>
    </row>
    <row r="3068" spans="1:1" x14ac:dyDescent="0.25">
      <c r="A3068" s="5"/>
    </row>
    <row r="3069" spans="1:1" x14ac:dyDescent="0.25">
      <c r="A3069" s="5"/>
    </row>
    <row r="3070" spans="1:1" x14ac:dyDescent="0.25">
      <c r="A3070" s="5"/>
    </row>
    <row r="3071" spans="1:1" x14ac:dyDescent="0.25">
      <c r="A3071" s="5"/>
    </row>
    <row r="3072" spans="1:1" x14ac:dyDescent="0.25">
      <c r="A3072" s="5"/>
    </row>
    <row r="3073" spans="1:1" x14ac:dyDescent="0.25">
      <c r="A3073" s="5"/>
    </row>
    <row r="3074" spans="1:1" x14ac:dyDescent="0.25">
      <c r="A3074" s="5"/>
    </row>
    <row r="3075" spans="1:1" x14ac:dyDescent="0.25">
      <c r="A3075" s="5"/>
    </row>
    <row r="3076" spans="1:1" x14ac:dyDescent="0.25">
      <c r="A3076" s="5"/>
    </row>
    <row r="3077" spans="1:1" x14ac:dyDescent="0.25">
      <c r="A3077" s="5"/>
    </row>
    <row r="3078" spans="1:1" x14ac:dyDescent="0.25">
      <c r="A3078" s="5"/>
    </row>
    <row r="3079" spans="1:1" x14ac:dyDescent="0.25">
      <c r="A3079" s="5"/>
    </row>
    <row r="3080" spans="1:1" x14ac:dyDescent="0.25">
      <c r="A3080" s="5"/>
    </row>
    <row r="3081" spans="1:1" x14ac:dyDescent="0.25">
      <c r="A3081" s="5"/>
    </row>
    <row r="3082" spans="1:1" x14ac:dyDescent="0.25">
      <c r="A3082" s="5"/>
    </row>
    <row r="3083" spans="1:1" x14ac:dyDescent="0.25">
      <c r="A3083" s="5"/>
    </row>
    <row r="3084" spans="1:1" x14ac:dyDescent="0.25">
      <c r="A3084" s="5"/>
    </row>
    <row r="3085" spans="1:1" x14ac:dyDescent="0.25">
      <c r="A3085" s="5"/>
    </row>
    <row r="3086" spans="1:1" x14ac:dyDescent="0.25">
      <c r="A3086" s="5"/>
    </row>
    <row r="3087" spans="1:1" x14ac:dyDescent="0.25">
      <c r="A3087" s="5"/>
    </row>
    <row r="3088" spans="1:1" x14ac:dyDescent="0.25">
      <c r="A3088" s="5"/>
    </row>
    <row r="3089" spans="1:1" x14ac:dyDescent="0.25">
      <c r="A3089" s="5"/>
    </row>
    <row r="3090" spans="1:1" x14ac:dyDescent="0.25">
      <c r="A3090" s="5"/>
    </row>
    <row r="3091" spans="1:1" x14ac:dyDescent="0.25">
      <c r="A3091" s="5"/>
    </row>
    <row r="3092" spans="1:1" x14ac:dyDescent="0.25">
      <c r="A3092" s="5"/>
    </row>
    <row r="3093" spans="1:1" x14ac:dyDescent="0.25">
      <c r="A3093" s="5"/>
    </row>
    <row r="3094" spans="1:1" x14ac:dyDescent="0.25">
      <c r="A3094" s="5"/>
    </row>
    <row r="3095" spans="1:1" x14ac:dyDescent="0.25">
      <c r="A3095" s="5"/>
    </row>
    <row r="3096" spans="1:1" x14ac:dyDescent="0.25">
      <c r="A3096" s="5"/>
    </row>
    <row r="3097" spans="1:1" x14ac:dyDescent="0.25">
      <c r="A3097" s="5"/>
    </row>
    <row r="3098" spans="1:1" x14ac:dyDescent="0.25">
      <c r="A3098" s="5"/>
    </row>
    <row r="3099" spans="1:1" x14ac:dyDescent="0.25">
      <c r="A3099" s="5"/>
    </row>
    <row r="3100" spans="1:1" x14ac:dyDescent="0.25">
      <c r="A3100" s="5"/>
    </row>
    <row r="3101" spans="1:1" x14ac:dyDescent="0.25">
      <c r="A3101" s="5"/>
    </row>
    <row r="3102" spans="1:1" x14ac:dyDescent="0.25">
      <c r="A3102" s="5"/>
    </row>
    <row r="3103" spans="1:1" x14ac:dyDescent="0.25">
      <c r="A3103" s="5"/>
    </row>
    <row r="3104" spans="1:1" x14ac:dyDescent="0.25">
      <c r="A3104" s="5"/>
    </row>
    <row r="3105" spans="1:1" x14ac:dyDescent="0.25">
      <c r="A3105" s="5"/>
    </row>
    <row r="3106" spans="1:1" x14ac:dyDescent="0.25">
      <c r="A3106" s="5"/>
    </row>
    <row r="3107" spans="1:1" x14ac:dyDescent="0.25">
      <c r="A3107" s="5"/>
    </row>
    <row r="3108" spans="1:1" x14ac:dyDescent="0.25">
      <c r="A3108" s="5"/>
    </row>
    <row r="3109" spans="1:1" x14ac:dyDescent="0.25">
      <c r="A3109" s="5"/>
    </row>
    <row r="3110" spans="1:1" x14ac:dyDescent="0.25">
      <c r="A3110" s="5"/>
    </row>
    <row r="3111" spans="1:1" x14ac:dyDescent="0.25">
      <c r="A3111" s="5"/>
    </row>
    <row r="3112" spans="1:1" x14ac:dyDescent="0.25">
      <c r="A3112" s="5"/>
    </row>
    <row r="3113" spans="1:1" x14ac:dyDescent="0.25">
      <c r="A3113" s="5"/>
    </row>
    <row r="3114" spans="1:1" x14ac:dyDescent="0.25">
      <c r="A3114" s="5"/>
    </row>
    <row r="3115" spans="1:1" x14ac:dyDescent="0.25">
      <c r="A3115" s="5"/>
    </row>
    <row r="3116" spans="1:1" x14ac:dyDescent="0.25">
      <c r="A3116" s="5"/>
    </row>
    <row r="3117" spans="1:1" x14ac:dyDescent="0.25">
      <c r="A3117" s="5"/>
    </row>
    <row r="3118" spans="1:1" x14ac:dyDescent="0.25">
      <c r="A3118" s="5"/>
    </row>
    <row r="3119" spans="1:1" x14ac:dyDescent="0.25">
      <c r="A3119" s="5"/>
    </row>
    <row r="3120" spans="1:1" x14ac:dyDescent="0.25">
      <c r="A3120" s="5"/>
    </row>
    <row r="3121" spans="1:1" x14ac:dyDescent="0.25">
      <c r="A3121" s="5"/>
    </row>
    <row r="3122" spans="1:1" x14ac:dyDescent="0.25">
      <c r="A3122" s="5"/>
    </row>
    <row r="3123" spans="1:1" x14ac:dyDescent="0.25">
      <c r="A3123" s="5"/>
    </row>
    <row r="3124" spans="1:1" x14ac:dyDescent="0.25">
      <c r="A3124" s="5"/>
    </row>
    <row r="3125" spans="1:1" x14ac:dyDescent="0.25">
      <c r="A3125" s="5"/>
    </row>
    <row r="3126" spans="1:1" x14ac:dyDescent="0.25">
      <c r="A3126" s="5"/>
    </row>
    <row r="3127" spans="1:1" x14ac:dyDescent="0.25">
      <c r="A3127" s="5"/>
    </row>
    <row r="3128" spans="1:1" x14ac:dyDescent="0.25">
      <c r="A3128" s="5"/>
    </row>
    <row r="3129" spans="1:1" x14ac:dyDescent="0.25">
      <c r="A3129" s="5"/>
    </row>
    <row r="3130" spans="1:1" x14ac:dyDescent="0.25">
      <c r="A3130" s="5"/>
    </row>
    <row r="3131" spans="1:1" x14ac:dyDescent="0.25">
      <c r="A3131" s="5"/>
    </row>
    <row r="3132" spans="1:1" x14ac:dyDescent="0.25">
      <c r="A3132" s="5"/>
    </row>
    <row r="3133" spans="1:1" x14ac:dyDescent="0.25">
      <c r="A3133" s="5"/>
    </row>
    <row r="3134" spans="1:1" x14ac:dyDescent="0.25">
      <c r="A3134" s="5"/>
    </row>
    <row r="3135" spans="1:1" x14ac:dyDescent="0.25">
      <c r="A3135" s="5"/>
    </row>
    <row r="3136" spans="1:1" x14ac:dyDescent="0.25">
      <c r="A3136" s="5"/>
    </row>
    <row r="3137" spans="1:1" x14ac:dyDescent="0.25">
      <c r="A3137" s="5"/>
    </row>
    <row r="3138" spans="1:1" x14ac:dyDescent="0.25">
      <c r="A3138" s="5"/>
    </row>
    <row r="3139" spans="1:1" x14ac:dyDescent="0.25">
      <c r="A3139" s="5"/>
    </row>
    <row r="3140" spans="1:1" x14ac:dyDescent="0.25">
      <c r="A3140" s="5"/>
    </row>
    <row r="3141" spans="1:1" x14ac:dyDescent="0.25">
      <c r="A3141" s="5"/>
    </row>
    <row r="3142" spans="1:1" x14ac:dyDescent="0.25">
      <c r="A3142" s="5"/>
    </row>
    <row r="3143" spans="1:1" x14ac:dyDescent="0.25">
      <c r="A3143" s="5"/>
    </row>
    <row r="3144" spans="1:1" x14ac:dyDescent="0.25">
      <c r="A3144" s="5"/>
    </row>
    <row r="3145" spans="1:1" x14ac:dyDescent="0.25">
      <c r="A3145" s="5"/>
    </row>
    <row r="3146" spans="1:1" x14ac:dyDescent="0.25">
      <c r="A3146" s="5"/>
    </row>
    <row r="3147" spans="1:1" x14ac:dyDescent="0.25">
      <c r="A3147" s="5"/>
    </row>
    <row r="3148" spans="1:1" x14ac:dyDescent="0.25">
      <c r="A3148" s="5"/>
    </row>
    <row r="3149" spans="1:1" x14ac:dyDescent="0.25">
      <c r="A3149" s="5"/>
    </row>
    <row r="3150" spans="1:1" x14ac:dyDescent="0.25">
      <c r="A3150" s="5"/>
    </row>
    <row r="3151" spans="1:1" x14ac:dyDescent="0.25">
      <c r="A3151" s="5"/>
    </row>
    <row r="3152" spans="1:1" x14ac:dyDescent="0.25">
      <c r="A3152" s="5"/>
    </row>
    <row r="3153" spans="1:1" x14ac:dyDescent="0.25">
      <c r="A3153" s="5"/>
    </row>
    <row r="3154" spans="1:1" x14ac:dyDescent="0.25">
      <c r="A3154" s="5"/>
    </row>
    <row r="3155" spans="1:1" x14ac:dyDescent="0.25">
      <c r="A3155" s="5"/>
    </row>
    <row r="3156" spans="1:1" x14ac:dyDescent="0.25">
      <c r="A3156" s="5"/>
    </row>
    <row r="3157" spans="1:1" x14ac:dyDescent="0.25">
      <c r="A3157" s="5"/>
    </row>
    <row r="3158" spans="1:1" x14ac:dyDescent="0.25">
      <c r="A3158" s="5"/>
    </row>
    <row r="3159" spans="1:1" x14ac:dyDescent="0.25">
      <c r="A3159" s="5"/>
    </row>
    <row r="3160" spans="1:1" x14ac:dyDescent="0.25">
      <c r="A3160" s="5"/>
    </row>
    <row r="3161" spans="1:1" x14ac:dyDescent="0.25">
      <c r="A3161" s="5"/>
    </row>
    <row r="3162" spans="1:1" x14ac:dyDescent="0.25">
      <c r="A3162" s="5"/>
    </row>
    <row r="3163" spans="1:1" x14ac:dyDescent="0.25">
      <c r="A3163" s="5"/>
    </row>
    <row r="3164" spans="1:1" x14ac:dyDescent="0.25">
      <c r="A3164" s="5"/>
    </row>
    <row r="3165" spans="1:1" x14ac:dyDescent="0.25">
      <c r="A3165" s="5"/>
    </row>
    <row r="3166" spans="1:1" x14ac:dyDescent="0.25">
      <c r="A3166" s="5"/>
    </row>
    <row r="3167" spans="1:1" x14ac:dyDescent="0.25">
      <c r="A3167" s="5"/>
    </row>
    <row r="3168" spans="1:1" x14ac:dyDescent="0.25">
      <c r="A3168" s="5"/>
    </row>
    <row r="3169" spans="1:1" x14ac:dyDescent="0.25">
      <c r="A3169" s="5"/>
    </row>
    <row r="3170" spans="1:1" x14ac:dyDescent="0.25">
      <c r="A3170" s="5"/>
    </row>
    <row r="3171" spans="1:1" x14ac:dyDescent="0.25">
      <c r="A3171" s="5"/>
    </row>
    <row r="3172" spans="1:1" x14ac:dyDescent="0.25">
      <c r="A3172" s="5"/>
    </row>
    <row r="3173" spans="1:1" x14ac:dyDescent="0.25">
      <c r="A3173" s="5"/>
    </row>
    <row r="3174" spans="1:1" x14ac:dyDescent="0.25">
      <c r="A3174" s="5"/>
    </row>
    <row r="3175" spans="1:1" x14ac:dyDescent="0.25">
      <c r="A3175" s="5"/>
    </row>
    <row r="3176" spans="1:1" x14ac:dyDescent="0.25">
      <c r="A3176" s="5"/>
    </row>
    <row r="3177" spans="1:1" x14ac:dyDescent="0.25">
      <c r="A3177" s="5"/>
    </row>
    <row r="3178" spans="1:1" x14ac:dyDescent="0.25">
      <c r="A3178" s="5"/>
    </row>
    <row r="3179" spans="1:1" x14ac:dyDescent="0.25">
      <c r="A3179" s="5"/>
    </row>
    <row r="3180" spans="1:1" x14ac:dyDescent="0.25">
      <c r="A3180" s="5"/>
    </row>
    <row r="3181" spans="1:1" x14ac:dyDescent="0.25">
      <c r="A3181" s="5"/>
    </row>
    <row r="3182" spans="1:1" x14ac:dyDescent="0.25">
      <c r="A3182" s="5"/>
    </row>
    <row r="3183" spans="1:1" x14ac:dyDescent="0.25">
      <c r="A3183" s="5"/>
    </row>
    <row r="3184" spans="1:1" x14ac:dyDescent="0.25">
      <c r="A3184" s="5"/>
    </row>
    <row r="3185" spans="1:1" x14ac:dyDescent="0.25">
      <c r="A3185" s="5"/>
    </row>
    <row r="3186" spans="1:1" x14ac:dyDescent="0.25">
      <c r="A3186" s="5"/>
    </row>
    <row r="3187" spans="1:1" x14ac:dyDescent="0.25">
      <c r="A3187" s="5"/>
    </row>
    <row r="3188" spans="1:1" x14ac:dyDescent="0.25">
      <c r="A3188" s="5"/>
    </row>
    <row r="3189" spans="1:1" x14ac:dyDescent="0.25">
      <c r="A3189" s="5"/>
    </row>
    <row r="3190" spans="1:1" x14ac:dyDescent="0.25">
      <c r="A3190" s="5"/>
    </row>
    <row r="3191" spans="1:1" x14ac:dyDescent="0.25">
      <c r="A3191" s="5"/>
    </row>
    <row r="3192" spans="1:1" x14ac:dyDescent="0.25">
      <c r="A3192" s="5"/>
    </row>
    <row r="3193" spans="1:1" x14ac:dyDescent="0.25">
      <c r="A3193" s="5"/>
    </row>
    <row r="3194" spans="1:1" x14ac:dyDescent="0.25">
      <c r="A3194" s="5"/>
    </row>
    <row r="3195" spans="1:1" x14ac:dyDescent="0.25">
      <c r="A3195" s="5"/>
    </row>
    <row r="3196" spans="1:1" x14ac:dyDescent="0.25">
      <c r="A3196" s="5"/>
    </row>
    <row r="3197" spans="1:1" x14ac:dyDescent="0.25">
      <c r="A3197" s="5"/>
    </row>
    <row r="3198" spans="1:1" x14ac:dyDescent="0.25">
      <c r="A3198" s="5"/>
    </row>
    <row r="3199" spans="1:1" x14ac:dyDescent="0.25">
      <c r="A3199" s="5"/>
    </row>
    <row r="3200" spans="1:1" x14ac:dyDescent="0.25">
      <c r="A3200" s="5"/>
    </row>
    <row r="3201" spans="1:1" x14ac:dyDescent="0.25">
      <c r="A3201" s="5"/>
    </row>
    <row r="3202" spans="1:1" x14ac:dyDescent="0.25">
      <c r="A3202" s="5"/>
    </row>
    <row r="3203" spans="1:1" x14ac:dyDescent="0.25">
      <c r="A3203" s="5"/>
    </row>
    <row r="3204" spans="1:1" x14ac:dyDescent="0.25">
      <c r="A3204" s="5"/>
    </row>
    <row r="3205" spans="1:1" x14ac:dyDescent="0.25">
      <c r="A3205" s="5"/>
    </row>
    <row r="3206" spans="1:1" x14ac:dyDescent="0.25">
      <c r="A3206" s="5"/>
    </row>
    <row r="3207" spans="1:1" x14ac:dyDescent="0.25">
      <c r="A3207" s="5"/>
    </row>
    <row r="3208" spans="1:1" x14ac:dyDescent="0.25">
      <c r="A3208" s="5"/>
    </row>
    <row r="3209" spans="1:1" x14ac:dyDescent="0.25">
      <c r="A3209" s="5"/>
    </row>
    <row r="3210" spans="1:1" x14ac:dyDescent="0.25">
      <c r="A3210" s="5"/>
    </row>
    <row r="3211" spans="1:1" x14ac:dyDescent="0.25">
      <c r="A3211" s="5"/>
    </row>
    <row r="3212" spans="1:1" x14ac:dyDescent="0.25">
      <c r="A3212" s="5"/>
    </row>
    <row r="3213" spans="1:1" x14ac:dyDescent="0.25">
      <c r="A3213" s="5"/>
    </row>
    <row r="3214" spans="1:1" x14ac:dyDescent="0.25">
      <c r="A3214" s="5"/>
    </row>
    <row r="3215" spans="1:1" x14ac:dyDescent="0.25">
      <c r="A3215" s="5"/>
    </row>
    <row r="3216" spans="1:1" x14ac:dyDescent="0.25">
      <c r="A3216" s="5"/>
    </row>
    <row r="3217" spans="1:1" x14ac:dyDescent="0.25">
      <c r="A3217" s="5"/>
    </row>
    <row r="3218" spans="1:1" x14ac:dyDescent="0.25">
      <c r="A3218" s="5"/>
    </row>
    <row r="3219" spans="1:1" x14ac:dyDescent="0.25">
      <c r="A3219" s="5"/>
    </row>
    <row r="3220" spans="1:1" x14ac:dyDescent="0.25">
      <c r="A3220" s="5"/>
    </row>
    <row r="3221" spans="1:1" x14ac:dyDescent="0.25">
      <c r="A3221" s="5"/>
    </row>
    <row r="3222" spans="1:1" x14ac:dyDescent="0.25">
      <c r="A3222" s="5"/>
    </row>
    <row r="3223" spans="1:1" x14ac:dyDescent="0.25">
      <c r="A3223" s="5"/>
    </row>
    <row r="3224" spans="1:1" x14ac:dyDescent="0.25">
      <c r="A3224" s="5"/>
    </row>
    <row r="3225" spans="1:1" x14ac:dyDescent="0.25">
      <c r="A3225" s="5"/>
    </row>
    <row r="3226" spans="1:1" x14ac:dyDescent="0.25">
      <c r="A3226" s="5"/>
    </row>
    <row r="3227" spans="1:1" x14ac:dyDescent="0.25">
      <c r="A3227" s="5"/>
    </row>
    <row r="3228" spans="1:1" x14ac:dyDescent="0.25">
      <c r="A3228" s="5"/>
    </row>
    <row r="3229" spans="1:1" x14ac:dyDescent="0.25">
      <c r="A3229" s="5"/>
    </row>
    <row r="3230" spans="1:1" x14ac:dyDescent="0.25">
      <c r="A3230" s="5"/>
    </row>
    <row r="3231" spans="1:1" x14ac:dyDescent="0.25">
      <c r="A3231" s="5"/>
    </row>
    <row r="3232" spans="1:1" x14ac:dyDescent="0.25">
      <c r="A3232" s="5"/>
    </row>
    <row r="3233" spans="1:1" x14ac:dyDescent="0.25">
      <c r="A3233" s="5"/>
    </row>
    <row r="3234" spans="1:1" x14ac:dyDescent="0.25">
      <c r="A3234" s="5"/>
    </row>
    <row r="3235" spans="1:1" x14ac:dyDescent="0.25">
      <c r="A3235" s="5"/>
    </row>
    <row r="3236" spans="1:1" x14ac:dyDescent="0.25">
      <c r="A3236" s="5"/>
    </row>
    <row r="3237" spans="1:1" x14ac:dyDescent="0.25">
      <c r="A3237" s="5"/>
    </row>
    <row r="3238" spans="1:1" x14ac:dyDescent="0.25">
      <c r="A3238" s="5"/>
    </row>
    <row r="3239" spans="1:1" x14ac:dyDescent="0.25">
      <c r="A3239" s="5"/>
    </row>
    <row r="3240" spans="1:1" x14ac:dyDescent="0.25">
      <c r="A3240" s="5"/>
    </row>
    <row r="3241" spans="1:1" x14ac:dyDescent="0.25">
      <c r="A3241" s="5"/>
    </row>
    <row r="3242" spans="1:1" x14ac:dyDescent="0.25">
      <c r="A3242" s="5"/>
    </row>
    <row r="3243" spans="1:1" x14ac:dyDescent="0.25">
      <c r="A3243" s="5"/>
    </row>
    <row r="3244" spans="1:1" x14ac:dyDescent="0.25">
      <c r="A3244" s="5"/>
    </row>
    <row r="3245" spans="1:1" x14ac:dyDescent="0.25">
      <c r="A3245" s="5"/>
    </row>
    <row r="3246" spans="1:1" x14ac:dyDescent="0.25">
      <c r="A3246" s="5"/>
    </row>
    <row r="3247" spans="1:1" x14ac:dyDescent="0.25">
      <c r="A3247" s="5"/>
    </row>
    <row r="3248" spans="1:1" x14ac:dyDescent="0.25">
      <c r="A3248" s="5"/>
    </row>
    <row r="3249" spans="1:1" x14ac:dyDescent="0.25">
      <c r="A3249" s="5"/>
    </row>
    <row r="3250" spans="1:1" x14ac:dyDescent="0.25">
      <c r="A3250" s="5"/>
    </row>
    <row r="3251" spans="1:1" x14ac:dyDescent="0.25">
      <c r="A3251" s="5"/>
    </row>
    <row r="3252" spans="1:1" x14ac:dyDescent="0.25">
      <c r="A3252" s="5"/>
    </row>
    <row r="3253" spans="1:1" x14ac:dyDescent="0.25">
      <c r="A3253" s="5"/>
    </row>
    <row r="3254" spans="1:1" x14ac:dyDescent="0.25">
      <c r="A3254" s="5"/>
    </row>
    <row r="3255" spans="1:1" x14ac:dyDescent="0.25">
      <c r="A3255" s="5"/>
    </row>
    <row r="3256" spans="1:1" x14ac:dyDescent="0.25">
      <c r="A3256" s="5"/>
    </row>
    <row r="3257" spans="1:1" x14ac:dyDescent="0.25">
      <c r="A3257" s="5"/>
    </row>
    <row r="3258" spans="1:1" x14ac:dyDescent="0.25">
      <c r="A3258" s="5"/>
    </row>
    <row r="3259" spans="1:1" x14ac:dyDescent="0.25">
      <c r="A3259" s="5"/>
    </row>
    <row r="3260" spans="1:1" x14ac:dyDescent="0.25">
      <c r="A3260" s="5"/>
    </row>
    <row r="3261" spans="1:1" x14ac:dyDescent="0.25">
      <c r="A3261" s="5"/>
    </row>
    <row r="3262" spans="1:1" x14ac:dyDescent="0.25">
      <c r="A3262" s="5"/>
    </row>
    <row r="3263" spans="1:1" x14ac:dyDescent="0.25">
      <c r="A3263" s="5"/>
    </row>
    <row r="3264" spans="1:1" x14ac:dyDescent="0.25">
      <c r="A3264" s="5"/>
    </row>
    <row r="3265" spans="1:1" x14ac:dyDescent="0.25">
      <c r="A3265" s="5"/>
    </row>
    <row r="3266" spans="1:1" x14ac:dyDescent="0.25">
      <c r="A3266" s="5"/>
    </row>
    <row r="3267" spans="1:1" x14ac:dyDescent="0.25">
      <c r="A3267" s="5"/>
    </row>
    <row r="3268" spans="1:1" x14ac:dyDescent="0.25">
      <c r="A3268" s="5"/>
    </row>
    <row r="3269" spans="1:1" x14ac:dyDescent="0.25">
      <c r="A3269" s="5"/>
    </row>
    <row r="3270" spans="1:1" x14ac:dyDescent="0.25">
      <c r="A3270" s="5"/>
    </row>
    <row r="3271" spans="1:1" x14ac:dyDescent="0.25">
      <c r="A3271" s="5"/>
    </row>
    <row r="3272" spans="1:1" x14ac:dyDescent="0.25">
      <c r="A3272" s="5"/>
    </row>
    <row r="3273" spans="1:1" x14ac:dyDescent="0.25">
      <c r="A3273" s="5"/>
    </row>
    <row r="3274" spans="1:1" x14ac:dyDescent="0.25">
      <c r="A3274" s="5"/>
    </row>
    <row r="3275" spans="1:1" x14ac:dyDescent="0.25">
      <c r="A3275" s="5"/>
    </row>
    <row r="3276" spans="1:1" x14ac:dyDescent="0.25">
      <c r="A3276" s="5"/>
    </row>
    <row r="3277" spans="1:1" x14ac:dyDescent="0.25">
      <c r="A3277" s="5"/>
    </row>
    <row r="3278" spans="1:1" x14ac:dyDescent="0.25">
      <c r="A3278" s="5"/>
    </row>
    <row r="3279" spans="1:1" x14ac:dyDescent="0.25">
      <c r="A3279" s="5"/>
    </row>
    <row r="3280" spans="1:1" x14ac:dyDescent="0.25">
      <c r="A3280" s="5"/>
    </row>
    <row r="3281" spans="1:1" x14ac:dyDescent="0.25">
      <c r="A3281" s="5"/>
    </row>
    <row r="3282" spans="1:1" x14ac:dyDescent="0.25">
      <c r="A3282" s="5"/>
    </row>
    <row r="3283" spans="1:1" x14ac:dyDescent="0.25">
      <c r="A3283" s="5"/>
    </row>
    <row r="3284" spans="1:1" x14ac:dyDescent="0.25">
      <c r="A3284" s="5"/>
    </row>
    <row r="3285" spans="1:1" x14ac:dyDescent="0.25">
      <c r="A3285" s="5"/>
    </row>
    <row r="3286" spans="1:1" x14ac:dyDescent="0.25">
      <c r="A3286" s="5"/>
    </row>
    <row r="3287" spans="1:1" x14ac:dyDescent="0.25">
      <c r="A3287" s="5"/>
    </row>
    <row r="3288" spans="1:1" x14ac:dyDescent="0.25">
      <c r="A3288" s="5"/>
    </row>
    <row r="3289" spans="1:1" x14ac:dyDescent="0.25">
      <c r="A3289" s="5"/>
    </row>
    <row r="3290" spans="1:1" x14ac:dyDescent="0.25">
      <c r="A3290" s="5"/>
    </row>
    <row r="3291" spans="1:1" x14ac:dyDescent="0.25">
      <c r="A3291" s="5"/>
    </row>
    <row r="3292" spans="1:1" x14ac:dyDescent="0.25">
      <c r="A3292" s="5"/>
    </row>
    <row r="3293" spans="1:1" x14ac:dyDescent="0.25">
      <c r="A3293" s="5"/>
    </row>
    <row r="3294" spans="1:1" x14ac:dyDescent="0.25">
      <c r="A3294" s="5"/>
    </row>
    <row r="3295" spans="1:1" x14ac:dyDescent="0.25">
      <c r="A3295" s="5"/>
    </row>
    <row r="3296" spans="1:1" x14ac:dyDescent="0.25">
      <c r="A3296" s="5"/>
    </row>
    <row r="3297" spans="1:1" x14ac:dyDescent="0.25">
      <c r="A3297" s="5"/>
    </row>
    <row r="3298" spans="1:1" x14ac:dyDescent="0.25">
      <c r="A3298" s="5"/>
    </row>
    <row r="3299" spans="1:1" x14ac:dyDescent="0.25">
      <c r="A3299" s="5"/>
    </row>
    <row r="3300" spans="1:1" x14ac:dyDescent="0.25">
      <c r="A3300" s="5"/>
    </row>
    <row r="3301" spans="1:1" x14ac:dyDescent="0.25">
      <c r="A3301" s="5"/>
    </row>
    <row r="3302" spans="1:1" x14ac:dyDescent="0.25">
      <c r="A3302" s="5"/>
    </row>
    <row r="3303" spans="1:1" x14ac:dyDescent="0.25">
      <c r="A3303" s="5"/>
    </row>
    <row r="3304" spans="1:1" x14ac:dyDescent="0.25">
      <c r="A3304" s="5"/>
    </row>
    <row r="3305" spans="1:1" x14ac:dyDescent="0.25">
      <c r="A3305" s="5"/>
    </row>
    <row r="3306" spans="1:1" x14ac:dyDescent="0.25">
      <c r="A3306" s="5"/>
    </row>
    <row r="3307" spans="1:1" x14ac:dyDescent="0.25">
      <c r="A3307" s="5"/>
    </row>
    <row r="3308" spans="1:1" x14ac:dyDescent="0.25">
      <c r="A3308" s="5"/>
    </row>
    <row r="3309" spans="1:1" x14ac:dyDescent="0.25">
      <c r="A3309" s="5"/>
    </row>
    <row r="3310" spans="1:1" x14ac:dyDescent="0.25">
      <c r="A3310" s="5"/>
    </row>
    <row r="3311" spans="1:1" x14ac:dyDescent="0.25">
      <c r="A3311" s="5"/>
    </row>
    <row r="3312" spans="1:1" x14ac:dyDescent="0.25">
      <c r="A3312" s="5"/>
    </row>
    <row r="3313" spans="1:1" x14ac:dyDescent="0.25">
      <c r="A3313" s="5"/>
    </row>
    <row r="3314" spans="1:1" x14ac:dyDescent="0.25">
      <c r="A3314" s="5"/>
    </row>
    <row r="3315" spans="1:1" x14ac:dyDescent="0.25">
      <c r="A3315" s="5"/>
    </row>
    <row r="3316" spans="1:1" x14ac:dyDescent="0.25">
      <c r="A3316" s="5"/>
    </row>
    <row r="3317" spans="1:1" x14ac:dyDescent="0.25">
      <c r="A3317" s="5"/>
    </row>
    <row r="3318" spans="1:1" x14ac:dyDescent="0.25">
      <c r="A3318" s="5"/>
    </row>
    <row r="3319" spans="1:1" x14ac:dyDescent="0.25">
      <c r="A3319" s="5"/>
    </row>
    <row r="3320" spans="1:1" x14ac:dyDescent="0.25">
      <c r="A3320" s="5"/>
    </row>
    <row r="3321" spans="1:1" x14ac:dyDescent="0.25">
      <c r="A3321" s="5"/>
    </row>
    <row r="3322" spans="1:1" x14ac:dyDescent="0.25">
      <c r="A3322" s="5"/>
    </row>
    <row r="3323" spans="1:1" x14ac:dyDescent="0.25">
      <c r="A3323" s="5"/>
    </row>
    <row r="3324" spans="1:1" x14ac:dyDescent="0.25">
      <c r="A3324" s="5"/>
    </row>
    <row r="3325" spans="1:1" x14ac:dyDescent="0.25">
      <c r="A3325" s="5"/>
    </row>
    <row r="3326" spans="1:1" x14ac:dyDescent="0.25">
      <c r="A3326" s="5"/>
    </row>
    <row r="3327" spans="1:1" x14ac:dyDescent="0.25">
      <c r="A3327" s="5"/>
    </row>
    <row r="3328" spans="1:1" x14ac:dyDescent="0.25">
      <c r="A3328" s="5"/>
    </row>
    <row r="3329" spans="1:1" x14ac:dyDescent="0.25">
      <c r="A3329" s="5"/>
    </row>
    <row r="3330" spans="1:1" x14ac:dyDescent="0.25">
      <c r="A3330" s="5"/>
    </row>
    <row r="3331" spans="1:1" x14ac:dyDescent="0.25">
      <c r="A3331" s="5"/>
    </row>
    <row r="3332" spans="1:1" x14ac:dyDescent="0.25">
      <c r="A3332" s="5"/>
    </row>
    <row r="3333" spans="1:1" x14ac:dyDescent="0.25">
      <c r="A3333" s="5"/>
    </row>
    <row r="3334" spans="1:1" x14ac:dyDescent="0.25">
      <c r="A3334" s="5"/>
    </row>
    <row r="3335" spans="1:1" x14ac:dyDescent="0.25">
      <c r="A3335" s="5"/>
    </row>
    <row r="3336" spans="1:1" x14ac:dyDescent="0.25">
      <c r="A3336" s="5"/>
    </row>
    <row r="3337" spans="1:1" x14ac:dyDescent="0.25">
      <c r="A3337" s="5"/>
    </row>
    <row r="3338" spans="1:1" x14ac:dyDescent="0.25">
      <c r="A3338" s="5"/>
    </row>
    <row r="3339" spans="1:1" x14ac:dyDescent="0.25">
      <c r="A3339" s="5"/>
    </row>
    <row r="3340" spans="1:1" x14ac:dyDescent="0.25">
      <c r="A3340" s="5"/>
    </row>
    <row r="3341" spans="1:1" x14ac:dyDescent="0.25">
      <c r="A3341" s="5"/>
    </row>
    <row r="3342" spans="1:1" x14ac:dyDescent="0.25">
      <c r="A3342" s="5"/>
    </row>
    <row r="3343" spans="1:1" x14ac:dyDescent="0.25">
      <c r="A3343" s="5"/>
    </row>
    <row r="3344" spans="1:1" x14ac:dyDescent="0.25">
      <c r="A3344" s="5"/>
    </row>
    <row r="3345" spans="1:1" x14ac:dyDescent="0.25">
      <c r="A3345" s="5"/>
    </row>
    <row r="3346" spans="1:1" x14ac:dyDescent="0.25">
      <c r="A3346" s="5"/>
    </row>
    <row r="3347" spans="1:1" x14ac:dyDescent="0.25">
      <c r="A3347" s="5"/>
    </row>
    <row r="3348" spans="1:1" x14ac:dyDescent="0.25">
      <c r="A3348" s="5"/>
    </row>
    <row r="3349" spans="1:1" x14ac:dyDescent="0.25">
      <c r="A3349" s="5"/>
    </row>
    <row r="3350" spans="1:1" x14ac:dyDescent="0.25">
      <c r="A3350" s="5"/>
    </row>
    <row r="3351" spans="1:1" x14ac:dyDescent="0.25">
      <c r="A3351" s="5"/>
    </row>
    <row r="3352" spans="1:1" x14ac:dyDescent="0.25">
      <c r="A3352" s="5"/>
    </row>
    <row r="3353" spans="1:1" x14ac:dyDescent="0.25">
      <c r="A3353" s="5"/>
    </row>
    <row r="3354" spans="1:1" x14ac:dyDescent="0.25">
      <c r="A3354" s="5"/>
    </row>
    <row r="3355" spans="1:1" x14ac:dyDescent="0.25">
      <c r="A3355" s="5"/>
    </row>
    <row r="3356" spans="1:1" x14ac:dyDescent="0.25">
      <c r="A3356" s="5"/>
    </row>
    <row r="3357" spans="1:1" x14ac:dyDescent="0.25">
      <c r="A3357" s="5"/>
    </row>
    <row r="3358" spans="1:1" x14ac:dyDescent="0.25">
      <c r="A3358" s="5"/>
    </row>
    <row r="3359" spans="1:1" x14ac:dyDescent="0.25">
      <c r="A3359" s="5"/>
    </row>
    <row r="3360" spans="1:1" x14ac:dyDescent="0.25">
      <c r="A3360" s="5"/>
    </row>
    <row r="3361" spans="1:1" x14ac:dyDescent="0.25">
      <c r="A3361" s="5"/>
    </row>
    <row r="3362" spans="1:1" x14ac:dyDescent="0.25">
      <c r="A3362" s="5"/>
    </row>
    <row r="3363" spans="1:1" x14ac:dyDescent="0.25">
      <c r="A3363" s="5"/>
    </row>
    <row r="3364" spans="1:1" x14ac:dyDescent="0.25">
      <c r="A3364" s="5"/>
    </row>
    <row r="3365" spans="1:1" x14ac:dyDescent="0.25">
      <c r="A3365" s="5"/>
    </row>
    <row r="3366" spans="1:1" x14ac:dyDescent="0.25">
      <c r="A3366" s="5"/>
    </row>
    <row r="3367" spans="1:1" x14ac:dyDescent="0.25">
      <c r="A3367" s="5"/>
    </row>
    <row r="3368" spans="1:1" x14ac:dyDescent="0.25">
      <c r="A3368" s="5"/>
    </row>
    <row r="3369" spans="1:1" x14ac:dyDescent="0.25">
      <c r="A3369" s="5"/>
    </row>
    <row r="3370" spans="1:1" x14ac:dyDescent="0.25">
      <c r="A3370" s="5"/>
    </row>
    <row r="3371" spans="1:1" x14ac:dyDescent="0.25">
      <c r="A3371" s="5"/>
    </row>
    <row r="3372" spans="1:1" x14ac:dyDescent="0.25">
      <c r="A3372" s="5"/>
    </row>
    <row r="3373" spans="1:1" x14ac:dyDescent="0.25">
      <c r="A3373" s="5"/>
    </row>
    <row r="3374" spans="1:1" x14ac:dyDescent="0.25">
      <c r="A3374" s="5"/>
    </row>
    <row r="3375" spans="1:1" x14ac:dyDescent="0.25">
      <c r="A3375" s="5"/>
    </row>
    <row r="3376" spans="1:1" x14ac:dyDescent="0.25">
      <c r="A3376" s="5"/>
    </row>
    <row r="3377" spans="1:1" x14ac:dyDescent="0.25">
      <c r="A3377" s="5"/>
    </row>
    <row r="3378" spans="1:1" x14ac:dyDescent="0.25">
      <c r="A3378" s="5"/>
    </row>
    <row r="3379" spans="1:1" x14ac:dyDescent="0.25">
      <c r="A3379" s="5"/>
    </row>
    <row r="3380" spans="1:1" x14ac:dyDescent="0.25">
      <c r="A3380" s="5"/>
    </row>
    <row r="3381" spans="1:1" x14ac:dyDescent="0.25">
      <c r="A3381" s="5"/>
    </row>
    <row r="3382" spans="1:1" x14ac:dyDescent="0.25">
      <c r="A3382" s="5"/>
    </row>
    <row r="3383" spans="1:1" x14ac:dyDescent="0.25">
      <c r="A3383" s="5"/>
    </row>
    <row r="3384" spans="1:1" x14ac:dyDescent="0.25">
      <c r="A3384" s="5"/>
    </row>
    <row r="3385" spans="1:1" x14ac:dyDescent="0.25">
      <c r="A3385" s="5"/>
    </row>
    <row r="3386" spans="1:1" x14ac:dyDescent="0.25">
      <c r="A3386" s="5"/>
    </row>
    <row r="3387" spans="1:1" x14ac:dyDescent="0.25">
      <c r="A3387" s="5"/>
    </row>
    <row r="3388" spans="1:1" x14ac:dyDescent="0.25">
      <c r="A3388" s="5"/>
    </row>
    <row r="3389" spans="1:1" x14ac:dyDescent="0.25">
      <c r="A3389" s="5"/>
    </row>
    <row r="3390" spans="1:1" x14ac:dyDescent="0.25">
      <c r="A3390" s="5"/>
    </row>
    <row r="3391" spans="1:1" x14ac:dyDescent="0.25">
      <c r="A3391" s="5"/>
    </row>
    <row r="3392" spans="1:1" x14ac:dyDescent="0.25">
      <c r="A3392" s="5"/>
    </row>
    <row r="3393" spans="1:1" x14ac:dyDescent="0.25">
      <c r="A3393" s="5"/>
    </row>
    <row r="3394" spans="1:1" x14ac:dyDescent="0.25">
      <c r="A3394" s="5"/>
    </row>
    <row r="3395" spans="1:1" x14ac:dyDescent="0.25">
      <c r="A3395" s="5"/>
    </row>
    <row r="3396" spans="1:1" x14ac:dyDescent="0.25">
      <c r="A3396" s="5"/>
    </row>
    <row r="3397" spans="1:1" x14ac:dyDescent="0.25">
      <c r="A3397" s="5"/>
    </row>
    <row r="3398" spans="1:1" x14ac:dyDescent="0.25">
      <c r="A3398" s="5"/>
    </row>
    <row r="3399" spans="1:1" x14ac:dyDescent="0.25">
      <c r="A3399" s="5"/>
    </row>
    <row r="3400" spans="1:1" x14ac:dyDescent="0.25">
      <c r="A3400" s="5"/>
    </row>
    <row r="3401" spans="1:1" x14ac:dyDescent="0.25">
      <c r="A3401" s="5"/>
    </row>
    <row r="3402" spans="1:1" x14ac:dyDescent="0.25">
      <c r="A3402" s="5"/>
    </row>
    <row r="3403" spans="1:1" x14ac:dyDescent="0.25">
      <c r="A3403" s="5"/>
    </row>
    <row r="3404" spans="1:1" x14ac:dyDescent="0.25">
      <c r="A3404" s="5"/>
    </row>
    <row r="3405" spans="1:1" x14ac:dyDescent="0.25">
      <c r="A3405" s="5"/>
    </row>
    <row r="3406" spans="1:1" x14ac:dyDescent="0.25">
      <c r="A3406" s="5"/>
    </row>
    <row r="3407" spans="1:1" x14ac:dyDescent="0.25">
      <c r="A3407" s="5"/>
    </row>
    <row r="3408" spans="1:1" x14ac:dyDescent="0.25">
      <c r="A3408" s="5"/>
    </row>
    <row r="3409" spans="1:1" x14ac:dyDescent="0.25">
      <c r="A3409" s="5"/>
    </row>
    <row r="3410" spans="1:1" x14ac:dyDescent="0.25">
      <c r="A3410" s="5"/>
    </row>
    <row r="3411" spans="1:1" x14ac:dyDescent="0.25">
      <c r="A3411" s="5"/>
    </row>
    <row r="3412" spans="1:1" x14ac:dyDescent="0.25">
      <c r="A3412" s="5"/>
    </row>
    <row r="3413" spans="1:1" x14ac:dyDescent="0.25">
      <c r="A3413" s="5"/>
    </row>
    <row r="3414" spans="1:1" x14ac:dyDescent="0.25">
      <c r="A3414" s="5"/>
    </row>
    <row r="3415" spans="1:1" x14ac:dyDescent="0.25">
      <c r="A3415" s="5"/>
    </row>
    <row r="3416" spans="1:1" x14ac:dyDescent="0.25">
      <c r="A3416" s="5"/>
    </row>
    <row r="3417" spans="1:1" x14ac:dyDescent="0.25">
      <c r="A3417" s="5"/>
    </row>
    <row r="3418" spans="1:1" x14ac:dyDescent="0.25">
      <c r="A3418" s="5"/>
    </row>
    <row r="3419" spans="1:1" x14ac:dyDescent="0.25">
      <c r="A3419" s="5"/>
    </row>
    <row r="3420" spans="1:1" x14ac:dyDescent="0.25">
      <c r="A3420" s="5"/>
    </row>
    <row r="3421" spans="1:1" x14ac:dyDescent="0.25">
      <c r="A3421" s="5"/>
    </row>
    <row r="3422" spans="1:1" x14ac:dyDescent="0.25">
      <c r="A3422" s="5"/>
    </row>
    <row r="3423" spans="1:1" x14ac:dyDescent="0.25">
      <c r="A3423" s="5"/>
    </row>
    <row r="3424" spans="1:1" x14ac:dyDescent="0.25">
      <c r="A3424" s="5"/>
    </row>
    <row r="3425" spans="1:1" x14ac:dyDescent="0.25">
      <c r="A3425" s="5"/>
    </row>
    <row r="3426" spans="1:1" x14ac:dyDescent="0.25">
      <c r="A3426" s="5"/>
    </row>
    <row r="3427" spans="1:1" x14ac:dyDescent="0.25">
      <c r="A3427" s="5"/>
    </row>
    <row r="3428" spans="1:1" x14ac:dyDescent="0.25">
      <c r="A3428" s="5"/>
    </row>
    <row r="3429" spans="1:1" x14ac:dyDescent="0.25">
      <c r="A3429" s="5"/>
    </row>
    <row r="3430" spans="1:1" x14ac:dyDescent="0.25">
      <c r="A3430" s="5"/>
    </row>
    <row r="3431" spans="1:1" x14ac:dyDescent="0.25">
      <c r="A3431" s="5"/>
    </row>
    <row r="3432" spans="1:1" x14ac:dyDescent="0.25">
      <c r="A3432" s="5"/>
    </row>
    <row r="3433" spans="1:1" x14ac:dyDescent="0.25">
      <c r="A3433" s="5"/>
    </row>
    <row r="3434" spans="1:1" x14ac:dyDescent="0.25">
      <c r="A3434" s="5"/>
    </row>
    <row r="3435" spans="1:1" x14ac:dyDescent="0.25">
      <c r="A3435" s="5"/>
    </row>
    <row r="3436" spans="1:1" x14ac:dyDescent="0.25">
      <c r="A3436" s="5"/>
    </row>
    <row r="3437" spans="1:1" x14ac:dyDescent="0.25">
      <c r="A3437" s="5"/>
    </row>
    <row r="3438" spans="1:1" x14ac:dyDescent="0.25">
      <c r="A3438" s="5"/>
    </row>
    <row r="3439" spans="1:1" x14ac:dyDescent="0.25">
      <c r="A3439" s="5"/>
    </row>
    <row r="3440" spans="1:1" x14ac:dyDescent="0.25">
      <c r="A3440" s="5"/>
    </row>
    <row r="3441" spans="1:1" x14ac:dyDescent="0.25">
      <c r="A3441" s="5"/>
    </row>
    <row r="3442" spans="1:1" x14ac:dyDescent="0.25">
      <c r="A3442" s="5"/>
    </row>
    <row r="3443" spans="1:1" x14ac:dyDescent="0.25">
      <c r="A3443" s="5"/>
    </row>
    <row r="3444" spans="1:1" x14ac:dyDescent="0.25">
      <c r="A3444" s="5"/>
    </row>
    <row r="3445" spans="1:1" x14ac:dyDescent="0.25">
      <c r="A3445" s="5"/>
    </row>
    <row r="3446" spans="1:1" x14ac:dyDescent="0.25">
      <c r="A3446" s="5"/>
    </row>
    <row r="3447" spans="1:1" x14ac:dyDescent="0.25">
      <c r="A3447" s="5"/>
    </row>
    <row r="3448" spans="1:1" x14ac:dyDescent="0.25">
      <c r="A3448" s="5"/>
    </row>
    <row r="3449" spans="1:1" x14ac:dyDescent="0.25">
      <c r="A3449" s="5"/>
    </row>
    <row r="3450" spans="1:1" x14ac:dyDescent="0.25">
      <c r="A3450" s="5"/>
    </row>
    <row r="3451" spans="1:1" x14ac:dyDescent="0.25">
      <c r="A3451" s="5"/>
    </row>
    <row r="3452" spans="1:1" x14ac:dyDescent="0.25">
      <c r="A3452" s="5"/>
    </row>
    <row r="3453" spans="1:1" x14ac:dyDescent="0.25">
      <c r="A3453" s="5"/>
    </row>
    <row r="3454" spans="1:1" x14ac:dyDescent="0.25">
      <c r="A3454" s="5"/>
    </row>
    <row r="3455" spans="1:1" x14ac:dyDescent="0.25">
      <c r="A3455" s="5"/>
    </row>
    <row r="3456" spans="1:1" x14ac:dyDescent="0.25">
      <c r="A3456" s="5"/>
    </row>
    <row r="3457" spans="1:1" x14ac:dyDescent="0.25">
      <c r="A3457" s="5"/>
    </row>
    <row r="3458" spans="1:1" x14ac:dyDescent="0.25">
      <c r="A3458" s="5"/>
    </row>
    <row r="3459" spans="1:1" x14ac:dyDescent="0.25">
      <c r="A3459" s="5"/>
    </row>
    <row r="3460" spans="1:1" x14ac:dyDescent="0.25">
      <c r="A3460" s="5"/>
    </row>
    <row r="3461" spans="1:1" x14ac:dyDescent="0.25">
      <c r="A3461" s="5"/>
    </row>
    <row r="3462" spans="1:1" x14ac:dyDescent="0.25">
      <c r="A3462" s="5"/>
    </row>
    <row r="3463" spans="1:1" x14ac:dyDescent="0.25">
      <c r="A3463" s="5"/>
    </row>
    <row r="3464" spans="1:1" x14ac:dyDescent="0.25">
      <c r="A3464" s="5"/>
    </row>
    <row r="3465" spans="1:1" x14ac:dyDescent="0.25">
      <c r="A3465" s="5"/>
    </row>
    <row r="3466" spans="1:1" x14ac:dyDescent="0.25">
      <c r="A3466" s="5"/>
    </row>
    <row r="3467" spans="1:1" x14ac:dyDescent="0.25">
      <c r="A3467" s="5"/>
    </row>
    <row r="3468" spans="1:1" x14ac:dyDescent="0.25">
      <c r="A3468" s="5"/>
    </row>
    <row r="3469" spans="1:1" x14ac:dyDescent="0.25">
      <c r="A3469" s="5"/>
    </row>
    <row r="3470" spans="1:1" x14ac:dyDescent="0.25">
      <c r="A3470" s="5"/>
    </row>
    <row r="3471" spans="1:1" x14ac:dyDescent="0.25">
      <c r="A3471" s="5"/>
    </row>
    <row r="3472" spans="1:1" x14ac:dyDescent="0.25">
      <c r="A3472" s="5"/>
    </row>
    <row r="3473" spans="1:1" x14ac:dyDescent="0.25">
      <c r="A3473" s="5"/>
    </row>
    <row r="3474" spans="1:1" x14ac:dyDescent="0.25">
      <c r="A3474" s="5"/>
    </row>
    <row r="3475" spans="1:1" x14ac:dyDescent="0.25">
      <c r="A3475" s="5"/>
    </row>
    <row r="3476" spans="1:1" x14ac:dyDescent="0.25">
      <c r="A3476" s="5"/>
    </row>
    <row r="3477" spans="1:1" x14ac:dyDescent="0.25">
      <c r="A3477" s="5"/>
    </row>
    <row r="3478" spans="1:1" x14ac:dyDescent="0.25">
      <c r="A3478" s="5"/>
    </row>
    <row r="3479" spans="1:1" x14ac:dyDescent="0.25">
      <c r="A3479" s="5"/>
    </row>
    <row r="3480" spans="1:1" x14ac:dyDescent="0.25">
      <c r="A3480" s="5"/>
    </row>
    <row r="3481" spans="1:1" x14ac:dyDescent="0.25">
      <c r="A3481" s="5"/>
    </row>
    <row r="3482" spans="1:1" x14ac:dyDescent="0.25">
      <c r="A3482" s="5"/>
    </row>
    <row r="3483" spans="1:1" x14ac:dyDescent="0.25">
      <c r="A3483" s="5"/>
    </row>
    <row r="3484" spans="1:1" x14ac:dyDescent="0.25">
      <c r="A3484" s="5"/>
    </row>
    <row r="3485" spans="1:1" x14ac:dyDescent="0.25">
      <c r="A3485" s="5"/>
    </row>
    <row r="3486" spans="1:1" x14ac:dyDescent="0.25">
      <c r="A3486" s="5"/>
    </row>
    <row r="3487" spans="1:1" x14ac:dyDescent="0.25">
      <c r="A3487" s="5"/>
    </row>
    <row r="3488" spans="1:1" x14ac:dyDescent="0.25">
      <c r="A3488" s="5"/>
    </row>
    <row r="3489" spans="1:1" x14ac:dyDescent="0.25">
      <c r="A3489" s="5"/>
    </row>
    <row r="3490" spans="1:1" x14ac:dyDescent="0.25">
      <c r="A3490" s="5"/>
    </row>
    <row r="3491" spans="1:1" x14ac:dyDescent="0.25">
      <c r="A3491" s="5"/>
    </row>
    <row r="3492" spans="1:1" x14ac:dyDescent="0.25">
      <c r="A3492" s="5"/>
    </row>
    <row r="3493" spans="1:1" x14ac:dyDescent="0.25">
      <c r="A3493" s="5"/>
    </row>
    <row r="3494" spans="1:1" x14ac:dyDescent="0.25">
      <c r="A3494" s="5"/>
    </row>
    <row r="3495" spans="1:1" x14ac:dyDescent="0.25">
      <c r="A3495" s="5"/>
    </row>
    <row r="3496" spans="1:1" x14ac:dyDescent="0.25">
      <c r="A3496" s="5"/>
    </row>
    <row r="3497" spans="1:1" x14ac:dyDescent="0.25">
      <c r="A3497" s="5"/>
    </row>
    <row r="3498" spans="1:1" x14ac:dyDescent="0.25">
      <c r="A3498" s="5"/>
    </row>
    <row r="3499" spans="1:1" x14ac:dyDescent="0.25">
      <c r="A3499" s="5"/>
    </row>
    <row r="3500" spans="1:1" x14ac:dyDescent="0.25">
      <c r="A3500" s="5"/>
    </row>
    <row r="3501" spans="1:1" x14ac:dyDescent="0.25">
      <c r="A3501" s="5"/>
    </row>
    <row r="3502" spans="1:1" x14ac:dyDescent="0.25">
      <c r="A3502" s="5"/>
    </row>
    <row r="3503" spans="1:1" x14ac:dyDescent="0.25">
      <c r="A3503" s="5"/>
    </row>
    <row r="3504" spans="1:1" x14ac:dyDescent="0.25">
      <c r="A3504" s="5"/>
    </row>
    <row r="3505" spans="1:1" x14ac:dyDescent="0.25">
      <c r="A3505" s="5"/>
    </row>
    <row r="3506" spans="1:1" x14ac:dyDescent="0.25">
      <c r="A3506" s="5"/>
    </row>
    <row r="3507" spans="1:1" x14ac:dyDescent="0.25">
      <c r="A3507" s="5"/>
    </row>
    <row r="3508" spans="1:1" x14ac:dyDescent="0.25">
      <c r="A3508" s="5"/>
    </row>
    <row r="3509" spans="1:1" x14ac:dyDescent="0.25">
      <c r="A3509" s="5"/>
    </row>
    <row r="3510" spans="1:1" x14ac:dyDescent="0.25">
      <c r="A3510" s="5"/>
    </row>
    <row r="3511" spans="1:1" x14ac:dyDescent="0.25">
      <c r="A3511" s="5"/>
    </row>
    <row r="3512" spans="1:1" x14ac:dyDescent="0.25">
      <c r="A3512" s="5"/>
    </row>
    <row r="3513" spans="1:1" x14ac:dyDescent="0.25">
      <c r="A3513" s="5"/>
    </row>
    <row r="3514" spans="1:1" x14ac:dyDescent="0.25">
      <c r="A3514" s="5"/>
    </row>
    <row r="3515" spans="1:1" x14ac:dyDescent="0.25">
      <c r="A3515" s="5"/>
    </row>
    <row r="3516" spans="1:1" x14ac:dyDescent="0.25">
      <c r="A3516" s="5"/>
    </row>
    <row r="3517" spans="1:1" x14ac:dyDescent="0.25">
      <c r="A3517" s="5"/>
    </row>
    <row r="3518" spans="1:1" x14ac:dyDescent="0.25">
      <c r="A3518" s="5"/>
    </row>
    <row r="3519" spans="1:1" x14ac:dyDescent="0.25">
      <c r="A3519" s="5"/>
    </row>
    <row r="3520" spans="1:1" x14ac:dyDescent="0.25">
      <c r="A3520" s="5"/>
    </row>
    <row r="3521" spans="1:1" x14ac:dyDescent="0.25">
      <c r="A3521" s="5"/>
    </row>
    <row r="3522" spans="1:1" x14ac:dyDescent="0.25">
      <c r="A3522" s="5"/>
    </row>
    <row r="3523" spans="1:1" x14ac:dyDescent="0.25">
      <c r="A3523" s="5"/>
    </row>
    <row r="3524" spans="1:1" x14ac:dyDescent="0.25">
      <c r="A3524" s="5"/>
    </row>
    <row r="3525" spans="1:1" x14ac:dyDescent="0.25">
      <c r="A3525" s="5"/>
    </row>
    <row r="3526" spans="1:1" x14ac:dyDescent="0.25">
      <c r="A3526" s="5"/>
    </row>
    <row r="3527" spans="1:1" x14ac:dyDescent="0.25">
      <c r="A3527" s="5"/>
    </row>
    <row r="3528" spans="1:1" x14ac:dyDescent="0.25">
      <c r="A3528" s="5"/>
    </row>
    <row r="3529" spans="1:1" x14ac:dyDescent="0.25">
      <c r="A3529" s="5"/>
    </row>
    <row r="3530" spans="1:1" x14ac:dyDescent="0.25">
      <c r="A3530" s="5"/>
    </row>
    <row r="3531" spans="1:1" x14ac:dyDescent="0.25">
      <c r="A3531" s="5"/>
    </row>
    <row r="3532" spans="1:1" x14ac:dyDescent="0.25">
      <c r="A3532" s="5"/>
    </row>
    <row r="3533" spans="1:1" x14ac:dyDescent="0.25">
      <c r="A3533" s="5"/>
    </row>
    <row r="3534" spans="1:1" x14ac:dyDescent="0.25">
      <c r="A3534" s="5"/>
    </row>
    <row r="3535" spans="1:1" x14ac:dyDescent="0.25">
      <c r="A3535" s="5"/>
    </row>
    <row r="3536" spans="1:1" x14ac:dyDescent="0.25">
      <c r="A3536" s="5"/>
    </row>
    <row r="3537" spans="1:1" x14ac:dyDescent="0.25">
      <c r="A3537" s="5"/>
    </row>
    <row r="3538" spans="1:1" x14ac:dyDescent="0.25">
      <c r="A3538" s="5"/>
    </row>
    <row r="3539" spans="1:1" x14ac:dyDescent="0.25">
      <c r="A3539" s="5"/>
    </row>
    <row r="3540" spans="1:1" x14ac:dyDescent="0.25">
      <c r="A3540" s="5"/>
    </row>
    <row r="3541" spans="1:1" x14ac:dyDescent="0.25">
      <c r="A3541" s="5"/>
    </row>
    <row r="3542" spans="1:1" x14ac:dyDescent="0.25">
      <c r="A3542" s="5"/>
    </row>
    <row r="3543" spans="1:1" x14ac:dyDescent="0.25">
      <c r="A3543" s="5"/>
    </row>
    <row r="3544" spans="1:1" x14ac:dyDescent="0.25">
      <c r="A3544" s="5"/>
    </row>
    <row r="3545" spans="1:1" x14ac:dyDescent="0.25">
      <c r="A3545" s="5"/>
    </row>
    <row r="3546" spans="1:1" x14ac:dyDescent="0.25">
      <c r="A3546" s="5"/>
    </row>
    <row r="3547" spans="1:1" x14ac:dyDescent="0.25">
      <c r="A3547" s="5"/>
    </row>
    <row r="3548" spans="1:1" x14ac:dyDescent="0.25">
      <c r="A3548" s="5"/>
    </row>
    <row r="3549" spans="1:1" x14ac:dyDescent="0.25">
      <c r="A3549" s="5"/>
    </row>
    <row r="3550" spans="1:1" x14ac:dyDescent="0.25">
      <c r="A3550" s="5"/>
    </row>
    <row r="3551" spans="1:1" x14ac:dyDescent="0.25">
      <c r="A3551" s="5"/>
    </row>
    <row r="3552" spans="1:1" x14ac:dyDescent="0.25">
      <c r="A3552" s="5"/>
    </row>
    <row r="3553" spans="1:1" x14ac:dyDescent="0.25">
      <c r="A3553" s="5"/>
    </row>
    <row r="3554" spans="1:1" x14ac:dyDescent="0.25">
      <c r="A3554" s="5"/>
    </row>
    <row r="3555" spans="1:1" x14ac:dyDescent="0.25">
      <c r="A3555" s="5"/>
    </row>
    <row r="3556" spans="1:1" x14ac:dyDescent="0.25">
      <c r="A3556" s="5"/>
    </row>
    <row r="3557" spans="1:1" x14ac:dyDescent="0.25">
      <c r="A3557" s="5"/>
    </row>
    <row r="3558" spans="1:1" x14ac:dyDescent="0.25">
      <c r="A3558" s="5"/>
    </row>
    <row r="3559" spans="1:1" x14ac:dyDescent="0.25">
      <c r="A3559" s="5"/>
    </row>
    <row r="3560" spans="1:1" x14ac:dyDescent="0.25">
      <c r="A3560" s="5"/>
    </row>
    <row r="3561" spans="1:1" x14ac:dyDescent="0.25">
      <c r="A3561" s="5"/>
    </row>
    <row r="3562" spans="1:1" x14ac:dyDescent="0.25">
      <c r="A3562" s="5"/>
    </row>
    <row r="3563" spans="1:1" x14ac:dyDescent="0.25">
      <c r="A3563" s="5"/>
    </row>
    <row r="3564" spans="1:1" x14ac:dyDescent="0.25">
      <c r="A3564" s="5"/>
    </row>
    <row r="3565" spans="1:1" x14ac:dyDescent="0.25">
      <c r="A3565" s="5"/>
    </row>
    <row r="3566" spans="1:1" x14ac:dyDescent="0.25">
      <c r="A3566" s="5"/>
    </row>
    <row r="3567" spans="1:1" x14ac:dyDescent="0.25">
      <c r="A3567" s="5"/>
    </row>
    <row r="3568" spans="1:1" x14ac:dyDescent="0.25">
      <c r="A3568" s="5"/>
    </row>
    <row r="3569" spans="1:1" x14ac:dyDescent="0.25">
      <c r="A3569" s="5"/>
    </row>
    <row r="3570" spans="1:1" x14ac:dyDescent="0.25">
      <c r="A3570" s="5"/>
    </row>
    <row r="3571" spans="1:1" x14ac:dyDescent="0.25">
      <c r="A3571" s="5"/>
    </row>
    <row r="3572" spans="1:1" x14ac:dyDescent="0.25">
      <c r="A3572" s="5"/>
    </row>
    <row r="3573" spans="1:1" x14ac:dyDescent="0.25">
      <c r="A3573" s="5"/>
    </row>
    <row r="3574" spans="1:1" x14ac:dyDescent="0.25">
      <c r="A3574" s="5"/>
    </row>
    <row r="3575" spans="1:1" x14ac:dyDescent="0.25">
      <c r="A3575" s="5"/>
    </row>
    <row r="3576" spans="1:1" x14ac:dyDescent="0.25">
      <c r="A3576" s="5"/>
    </row>
    <row r="3577" spans="1:1" x14ac:dyDescent="0.25">
      <c r="A3577" s="5"/>
    </row>
    <row r="3578" spans="1:1" x14ac:dyDescent="0.25">
      <c r="A3578" s="5"/>
    </row>
    <row r="3579" spans="1:1" x14ac:dyDescent="0.25">
      <c r="A3579" s="5"/>
    </row>
    <row r="3580" spans="1:1" x14ac:dyDescent="0.25">
      <c r="A3580" s="5"/>
    </row>
    <row r="3581" spans="1:1" x14ac:dyDescent="0.25">
      <c r="A3581" s="5"/>
    </row>
    <row r="3582" spans="1:1" x14ac:dyDescent="0.25">
      <c r="A3582" s="5"/>
    </row>
    <row r="3583" spans="1:1" x14ac:dyDescent="0.25">
      <c r="A3583" s="5"/>
    </row>
    <row r="3584" spans="1:1" x14ac:dyDescent="0.25">
      <c r="A3584" s="5"/>
    </row>
    <row r="3585" spans="1:1" x14ac:dyDescent="0.25">
      <c r="A3585" s="5"/>
    </row>
    <row r="3586" spans="1:1" x14ac:dyDescent="0.25">
      <c r="A3586" s="5"/>
    </row>
    <row r="3587" spans="1:1" x14ac:dyDescent="0.25">
      <c r="A3587" s="5"/>
    </row>
    <row r="3588" spans="1:1" x14ac:dyDescent="0.25">
      <c r="A3588" s="5"/>
    </row>
    <row r="3589" spans="1:1" x14ac:dyDescent="0.25">
      <c r="A3589" s="5"/>
    </row>
    <row r="3590" spans="1:1" x14ac:dyDescent="0.25">
      <c r="A3590" s="5"/>
    </row>
    <row r="3591" spans="1:1" x14ac:dyDescent="0.25">
      <c r="A3591" s="5"/>
    </row>
    <row r="3592" spans="1:1" x14ac:dyDescent="0.25">
      <c r="A3592" s="5"/>
    </row>
    <row r="3593" spans="1:1" x14ac:dyDescent="0.25">
      <c r="A3593" s="5"/>
    </row>
    <row r="3594" spans="1:1" x14ac:dyDescent="0.25">
      <c r="A3594" s="5"/>
    </row>
    <row r="3595" spans="1:1" x14ac:dyDescent="0.25">
      <c r="A3595" s="5"/>
    </row>
    <row r="3596" spans="1:1" x14ac:dyDescent="0.25">
      <c r="A3596" s="5"/>
    </row>
    <row r="3597" spans="1:1" x14ac:dyDescent="0.25">
      <c r="A3597" s="5"/>
    </row>
    <row r="3598" spans="1:1" x14ac:dyDescent="0.25">
      <c r="A3598" s="5"/>
    </row>
    <row r="3599" spans="1:1" x14ac:dyDescent="0.25">
      <c r="A3599" s="5"/>
    </row>
    <row r="3600" spans="1:1" x14ac:dyDescent="0.25">
      <c r="A3600" s="5"/>
    </row>
    <row r="3601" spans="1:1" x14ac:dyDescent="0.25">
      <c r="A3601" s="5"/>
    </row>
    <row r="3602" spans="1:1" x14ac:dyDescent="0.25">
      <c r="A3602" s="5"/>
    </row>
    <row r="3603" spans="1:1" x14ac:dyDescent="0.25">
      <c r="A3603" s="5"/>
    </row>
    <row r="3604" spans="1:1" x14ac:dyDescent="0.25">
      <c r="A3604" s="5"/>
    </row>
    <row r="3605" spans="1:1" x14ac:dyDescent="0.25">
      <c r="A3605" s="5"/>
    </row>
    <row r="3606" spans="1:1" x14ac:dyDescent="0.25">
      <c r="A3606" s="5"/>
    </row>
    <row r="3607" spans="1:1" x14ac:dyDescent="0.25">
      <c r="A3607" s="5"/>
    </row>
    <row r="3608" spans="1:1" x14ac:dyDescent="0.25">
      <c r="A3608" s="5"/>
    </row>
    <row r="3609" spans="1:1" x14ac:dyDescent="0.25">
      <c r="A3609" s="5"/>
    </row>
    <row r="3610" spans="1:1" x14ac:dyDescent="0.25">
      <c r="A3610" s="5"/>
    </row>
    <row r="3611" spans="1:1" x14ac:dyDescent="0.25">
      <c r="A3611" s="5"/>
    </row>
    <row r="3612" spans="1:1" x14ac:dyDescent="0.25">
      <c r="A3612" s="5"/>
    </row>
    <row r="3613" spans="1:1" x14ac:dyDescent="0.25">
      <c r="A3613" s="5"/>
    </row>
    <row r="3614" spans="1:1" x14ac:dyDescent="0.25">
      <c r="A3614" s="5"/>
    </row>
    <row r="3615" spans="1:1" x14ac:dyDescent="0.25">
      <c r="A3615" s="5"/>
    </row>
    <row r="3616" spans="1:1" x14ac:dyDescent="0.25">
      <c r="A3616" s="5"/>
    </row>
    <row r="3617" spans="1:1" x14ac:dyDescent="0.25">
      <c r="A3617" s="5"/>
    </row>
    <row r="3618" spans="1:1" x14ac:dyDescent="0.25">
      <c r="A3618" s="5"/>
    </row>
    <row r="3619" spans="1:1" x14ac:dyDescent="0.25">
      <c r="A3619" s="5"/>
    </row>
    <row r="3620" spans="1:1" x14ac:dyDescent="0.25">
      <c r="A3620" s="5"/>
    </row>
    <row r="3621" spans="1:1" x14ac:dyDescent="0.25">
      <c r="A3621" s="5"/>
    </row>
    <row r="3622" spans="1:1" x14ac:dyDescent="0.25">
      <c r="A3622" s="5"/>
    </row>
    <row r="3623" spans="1:1" x14ac:dyDescent="0.25">
      <c r="A3623" s="5"/>
    </row>
    <row r="3624" spans="1:1" x14ac:dyDescent="0.25">
      <c r="A3624" s="5"/>
    </row>
    <row r="3625" spans="1:1" x14ac:dyDescent="0.25">
      <c r="A3625" s="5"/>
    </row>
    <row r="3626" spans="1:1" x14ac:dyDescent="0.25">
      <c r="A3626" s="5"/>
    </row>
    <row r="3627" spans="1:1" x14ac:dyDescent="0.25">
      <c r="A3627" s="5"/>
    </row>
    <row r="3628" spans="1:1" x14ac:dyDescent="0.25">
      <c r="A3628" s="5"/>
    </row>
    <row r="3629" spans="1:1" x14ac:dyDescent="0.25">
      <c r="A3629" s="5"/>
    </row>
    <row r="3630" spans="1:1" x14ac:dyDescent="0.25">
      <c r="A3630" s="5"/>
    </row>
    <row r="3631" spans="1:1" x14ac:dyDescent="0.25">
      <c r="A3631" s="5"/>
    </row>
    <row r="3632" spans="1:1" x14ac:dyDescent="0.25">
      <c r="A3632" s="5"/>
    </row>
    <row r="3633" spans="1:1" x14ac:dyDescent="0.25">
      <c r="A3633" s="5"/>
    </row>
    <row r="3634" spans="1:1" x14ac:dyDescent="0.25">
      <c r="A3634" s="5"/>
    </row>
    <row r="3635" spans="1:1" x14ac:dyDescent="0.25">
      <c r="A3635" s="5"/>
    </row>
    <row r="3636" spans="1:1" x14ac:dyDescent="0.25">
      <c r="A3636" s="5"/>
    </row>
    <row r="3637" spans="1:1" x14ac:dyDescent="0.25">
      <c r="A3637" s="5"/>
    </row>
    <row r="3638" spans="1:1" x14ac:dyDescent="0.25">
      <c r="A3638" s="5"/>
    </row>
    <row r="3639" spans="1:1" x14ac:dyDescent="0.25">
      <c r="A3639" s="5"/>
    </row>
    <row r="3640" spans="1:1" x14ac:dyDescent="0.25">
      <c r="A3640" s="5"/>
    </row>
    <row r="3641" spans="1:1" x14ac:dyDescent="0.25">
      <c r="A3641" s="5"/>
    </row>
    <row r="3642" spans="1:1" x14ac:dyDescent="0.25">
      <c r="A3642" s="5"/>
    </row>
    <row r="3643" spans="1:1" x14ac:dyDescent="0.25">
      <c r="A3643" s="5"/>
    </row>
    <row r="3644" spans="1:1" x14ac:dyDescent="0.25">
      <c r="A3644" s="5"/>
    </row>
    <row r="3645" spans="1:1" x14ac:dyDescent="0.25">
      <c r="A3645" s="5"/>
    </row>
    <row r="3646" spans="1:1" x14ac:dyDescent="0.25">
      <c r="A3646" s="5"/>
    </row>
    <row r="3647" spans="1:1" x14ac:dyDescent="0.25">
      <c r="A3647" s="5"/>
    </row>
    <row r="3648" spans="1:1" x14ac:dyDescent="0.25">
      <c r="A3648" s="5"/>
    </row>
    <row r="3649" spans="1:1" x14ac:dyDescent="0.25">
      <c r="A3649" s="5"/>
    </row>
    <row r="3650" spans="1:1" x14ac:dyDescent="0.25">
      <c r="A3650" s="5"/>
    </row>
    <row r="3651" spans="1:1" x14ac:dyDescent="0.25">
      <c r="A3651" s="5"/>
    </row>
    <row r="3652" spans="1:1" x14ac:dyDescent="0.25">
      <c r="A3652" s="5"/>
    </row>
    <row r="3653" spans="1:1" x14ac:dyDescent="0.25">
      <c r="A3653" s="5"/>
    </row>
    <row r="3654" spans="1:1" x14ac:dyDescent="0.25">
      <c r="A3654" s="5"/>
    </row>
    <row r="3655" spans="1:1" x14ac:dyDescent="0.25">
      <c r="A3655" s="5"/>
    </row>
    <row r="3656" spans="1:1" x14ac:dyDescent="0.25">
      <c r="A3656" s="5"/>
    </row>
    <row r="3657" spans="1:1" x14ac:dyDescent="0.25">
      <c r="A3657" s="5"/>
    </row>
    <row r="3658" spans="1:1" x14ac:dyDescent="0.25">
      <c r="A3658" s="5"/>
    </row>
    <row r="3659" spans="1:1" x14ac:dyDescent="0.25">
      <c r="A3659" s="5"/>
    </row>
    <row r="3660" spans="1:1" x14ac:dyDescent="0.25">
      <c r="A3660" s="5"/>
    </row>
    <row r="3661" spans="1:1" x14ac:dyDescent="0.25">
      <c r="A3661" s="5"/>
    </row>
    <row r="3662" spans="1:1" x14ac:dyDescent="0.25">
      <c r="A3662" s="5"/>
    </row>
    <row r="3663" spans="1:1" x14ac:dyDescent="0.25">
      <c r="A3663" s="5"/>
    </row>
    <row r="3664" spans="1:1" x14ac:dyDescent="0.25">
      <c r="A3664" s="5"/>
    </row>
    <row r="3665" spans="1:1" x14ac:dyDescent="0.25">
      <c r="A3665" s="5"/>
    </row>
    <row r="3666" spans="1:1" x14ac:dyDescent="0.25">
      <c r="A3666" s="5"/>
    </row>
    <row r="3667" spans="1:1" x14ac:dyDescent="0.25">
      <c r="A3667" s="5"/>
    </row>
    <row r="3668" spans="1:1" x14ac:dyDescent="0.25">
      <c r="A3668" s="5"/>
    </row>
    <row r="3669" spans="1:1" x14ac:dyDescent="0.25">
      <c r="A3669" s="5"/>
    </row>
    <row r="3670" spans="1:1" x14ac:dyDescent="0.25">
      <c r="A3670" s="5"/>
    </row>
    <row r="3671" spans="1:1" x14ac:dyDescent="0.25">
      <c r="A3671" s="5"/>
    </row>
    <row r="3672" spans="1:1" x14ac:dyDescent="0.25">
      <c r="A3672" s="5"/>
    </row>
    <row r="3673" spans="1:1" x14ac:dyDescent="0.25">
      <c r="A3673" s="5"/>
    </row>
    <row r="3674" spans="1:1" x14ac:dyDescent="0.25">
      <c r="A3674" s="5"/>
    </row>
    <row r="3675" spans="1:1" x14ac:dyDescent="0.25">
      <c r="A3675" s="5"/>
    </row>
    <row r="3676" spans="1:1" x14ac:dyDescent="0.25">
      <c r="A3676" s="5"/>
    </row>
    <row r="3677" spans="1:1" x14ac:dyDescent="0.25">
      <c r="A3677" s="5"/>
    </row>
    <row r="3678" spans="1:1" x14ac:dyDescent="0.25">
      <c r="A3678" s="5"/>
    </row>
    <row r="3679" spans="1:1" x14ac:dyDescent="0.25">
      <c r="A3679" s="5"/>
    </row>
    <row r="3680" spans="1:1" x14ac:dyDescent="0.25">
      <c r="A3680" s="5"/>
    </row>
    <row r="3681" spans="1:1" x14ac:dyDescent="0.25">
      <c r="A3681" s="5"/>
    </row>
    <row r="3682" spans="1:1" x14ac:dyDescent="0.25">
      <c r="A3682" s="5"/>
    </row>
    <row r="3683" spans="1:1" x14ac:dyDescent="0.25">
      <c r="A3683" s="5"/>
    </row>
    <row r="3684" spans="1:1" x14ac:dyDescent="0.25">
      <c r="A3684" s="5"/>
    </row>
    <row r="3685" spans="1:1" x14ac:dyDescent="0.25">
      <c r="A3685" s="5"/>
    </row>
    <row r="3686" spans="1:1" x14ac:dyDescent="0.25">
      <c r="A3686" s="5"/>
    </row>
    <row r="3687" spans="1:1" x14ac:dyDescent="0.25">
      <c r="A3687" s="5"/>
    </row>
    <row r="3688" spans="1:1" x14ac:dyDescent="0.25">
      <c r="A3688" s="5"/>
    </row>
    <row r="3689" spans="1:1" x14ac:dyDescent="0.25">
      <c r="A3689" s="5"/>
    </row>
    <row r="3690" spans="1:1" x14ac:dyDescent="0.25">
      <c r="A3690" s="5"/>
    </row>
    <row r="3691" spans="1:1" x14ac:dyDescent="0.25">
      <c r="A3691" s="5"/>
    </row>
    <row r="3692" spans="1:1" x14ac:dyDescent="0.25">
      <c r="A3692" s="5"/>
    </row>
    <row r="3693" spans="1:1" x14ac:dyDescent="0.25">
      <c r="A3693" s="5"/>
    </row>
    <row r="3694" spans="1:1" x14ac:dyDescent="0.25">
      <c r="A3694" s="5"/>
    </row>
    <row r="3695" spans="1:1" x14ac:dyDescent="0.25">
      <c r="A3695" s="5"/>
    </row>
    <row r="3696" spans="1:1" x14ac:dyDescent="0.25">
      <c r="A3696" s="5"/>
    </row>
    <row r="3697" spans="1:1" x14ac:dyDescent="0.25">
      <c r="A3697" s="5"/>
    </row>
    <row r="3698" spans="1:1" x14ac:dyDescent="0.25">
      <c r="A3698" s="5"/>
    </row>
    <row r="3699" spans="1:1" x14ac:dyDescent="0.25">
      <c r="A3699" s="5"/>
    </row>
    <row r="3700" spans="1:1" x14ac:dyDescent="0.25">
      <c r="A3700" s="5"/>
    </row>
    <row r="3701" spans="1:1" x14ac:dyDescent="0.25">
      <c r="A3701" s="5"/>
    </row>
    <row r="3702" spans="1:1" x14ac:dyDescent="0.25">
      <c r="A3702" s="5"/>
    </row>
    <row r="3703" spans="1:1" x14ac:dyDescent="0.25">
      <c r="A3703" s="5"/>
    </row>
    <row r="3704" spans="1:1" x14ac:dyDescent="0.25">
      <c r="A3704" s="5"/>
    </row>
    <row r="3705" spans="1:1" x14ac:dyDescent="0.25">
      <c r="A3705" s="5"/>
    </row>
    <row r="3706" spans="1:1" x14ac:dyDescent="0.25">
      <c r="A3706" s="5"/>
    </row>
    <row r="3707" spans="1:1" x14ac:dyDescent="0.25">
      <c r="A3707" s="5"/>
    </row>
    <row r="3708" spans="1:1" x14ac:dyDescent="0.25">
      <c r="A3708" s="5"/>
    </row>
    <row r="3709" spans="1:1" x14ac:dyDescent="0.25">
      <c r="A3709" s="5"/>
    </row>
    <row r="3710" spans="1:1" x14ac:dyDescent="0.25">
      <c r="A3710" s="5"/>
    </row>
    <row r="3711" spans="1:1" x14ac:dyDescent="0.25">
      <c r="A3711" s="5"/>
    </row>
    <row r="3712" spans="1:1" x14ac:dyDescent="0.25">
      <c r="A3712" s="5"/>
    </row>
    <row r="3713" spans="1:1" x14ac:dyDescent="0.25">
      <c r="A3713" s="5"/>
    </row>
    <row r="3714" spans="1:1" x14ac:dyDescent="0.25">
      <c r="A3714" s="5"/>
    </row>
    <row r="3715" spans="1:1" x14ac:dyDescent="0.25">
      <c r="A3715" s="5"/>
    </row>
    <row r="3716" spans="1:1" x14ac:dyDescent="0.25">
      <c r="A3716" s="5"/>
    </row>
    <row r="3717" spans="1:1" x14ac:dyDescent="0.25">
      <c r="A3717" s="5"/>
    </row>
    <row r="3718" spans="1:1" x14ac:dyDescent="0.25">
      <c r="A3718" s="5"/>
    </row>
    <row r="3719" spans="1:1" x14ac:dyDescent="0.25">
      <c r="A3719" s="5"/>
    </row>
    <row r="3720" spans="1:1" x14ac:dyDescent="0.25">
      <c r="A3720" s="5"/>
    </row>
    <row r="3721" spans="1:1" x14ac:dyDescent="0.25">
      <c r="A3721" s="5"/>
    </row>
    <row r="3722" spans="1:1" x14ac:dyDescent="0.25">
      <c r="A3722" s="5"/>
    </row>
    <row r="3723" spans="1:1" x14ac:dyDescent="0.25">
      <c r="A3723" s="5"/>
    </row>
    <row r="3724" spans="1:1" x14ac:dyDescent="0.25">
      <c r="A3724" s="5"/>
    </row>
    <row r="3725" spans="1:1" x14ac:dyDescent="0.25">
      <c r="A3725" s="5"/>
    </row>
    <row r="3726" spans="1:1" x14ac:dyDescent="0.25">
      <c r="A3726" s="5"/>
    </row>
    <row r="3727" spans="1:1" x14ac:dyDescent="0.25">
      <c r="A3727" s="5"/>
    </row>
    <row r="3728" spans="1:1" x14ac:dyDescent="0.25">
      <c r="A3728" s="5"/>
    </row>
    <row r="3729" spans="1:1" x14ac:dyDescent="0.25">
      <c r="A3729" s="5"/>
    </row>
    <row r="3730" spans="1:1" x14ac:dyDescent="0.25">
      <c r="A3730" s="5"/>
    </row>
    <row r="3731" spans="1:1" x14ac:dyDescent="0.25">
      <c r="A3731" s="5"/>
    </row>
    <row r="3732" spans="1:1" x14ac:dyDescent="0.25">
      <c r="A3732" s="5"/>
    </row>
    <row r="3733" spans="1:1" x14ac:dyDescent="0.25">
      <c r="A3733" s="5"/>
    </row>
    <row r="3734" spans="1:1" x14ac:dyDescent="0.25">
      <c r="A3734" s="5"/>
    </row>
    <row r="3735" spans="1:1" x14ac:dyDescent="0.25">
      <c r="A3735" s="5"/>
    </row>
    <row r="3736" spans="1:1" x14ac:dyDescent="0.25">
      <c r="A3736" s="5"/>
    </row>
    <row r="3737" spans="1:1" x14ac:dyDescent="0.25">
      <c r="A3737" s="5"/>
    </row>
    <row r="3738" spans="1:1" x14ac:dyDescent="0.25">
      <c r="A3738" s="5"/>
    </row>
    <row r="3739" spans="1:1" x14ac:dyDescent="0.25">
      <c r="A3739" s="5"/>
    </row>
    <row r="3740" spans="1:1" x14ac:dyDescent="0.25">
      <c r="A3740" s="5"/>
    </row>
    <row r="3741" spans="1:1" x14ac:dyDescent="0.25">
      <c r="A3741" s="5"/>
    </row>
    <row r="3742" spans="1:1" x14ac:dyDescent="0.25">
      <c r="A3742" s="5"/>
    </row>
    <row r="3743" spans="1:1" x14ac:dyDescent="0.25">
      <c r="A3743" s="5"/>
    </row>
    <row r="3744" spans="1:1" x14ac:dyDescent="0.25">
      <c r="A3744" s="5"/>
    </row>
    <row r="3745" spans="1:1" x14ac:dyDescent="0.25">
      <c r="A3745" s="5"/>
    </row>
    <row r="3746" spans="1:1" x14ac:dyDescent="0.25">
      <c r="A3746" s="5"/>
    </row>
    <row r="3747" spans="1:1" x14ac:dyDescent="0.25">
      <c r="A3747" s="5"/>
    </row>
    <row r="3748" spans="1:1" x14ac:dyDescent="0.25">
      <c r="A3748" s="5"/>
    </row>
    <row r="3749" spans="1:1" x14ac:dyDescent="0.25">
      <c r="A3749" s="5"/>
    </row>
    <row r="3750" spans="1:1" x14ac:dyDescent="0.25">
      <c r="A3750" s="5"/>
    </row>
    <row r="3751" spans="1:1" x14ac:dyDescent="0.25">
      <c r="A3751" s="5"/>
    </row>
    <row r="3752" spans="1:1" x14ac:dyDescent="0.25">
      <c r="A3752" s="5"/>
    </row>
    <row r="3753" spans="1:1" x14ac:dyDescent="0.25">
      <c r="A3753" s="5"/>
    </row>
    <row r="3754" spans="1:1" x14ac:dyDescent="0.25">
      <c r="A3754" s="5"/>
    </row>
    <row r="3755" spans="1:1" x14ac:dyDescent="0.25">
      <c r="A3755" s="5"/>
    </row>
    <row r="3756" spans="1:1" x14ac:dyDescent="0.25">
      <c r="A3756" s="5"/>
    </row>
    <row r="3757" spans="1:1" x14ac:dyDescent="0.25">
      <c r="A3757" s="5"/>
    </row>
    <row r="3758" spans="1:1" x14ac:dyDescent="0.25">
      <c r="A3758" s="5"/>
    </row>
    <row r="3759" spans="1:1" x14ac:dyDescent="0.25">
      <c r="A3759" s="5"/>
    </row>
    <row r="3760" spans="1:1" x14ac:dyDescent="0.25">
      <c r="A3760" s="5"/>
    </row>
    <row r="3761" spans="1:1" x14ac:dyDescent="0.25">
      <c r="A3761" s="5"/>
    </row>
    <row r="3762" spans="1:1" x14ac:dyDescent="0.25">
      <c r="A3762" s="5"/>
    </row>
    <row r="3763" spans="1:1" x14ac:dyDescent="0.25">
      <c r="A3763" s="5"/>
    </row>
    <row r="3764" spans="1:1" x14ac:dyDescent="0.25">
      <c r="A3764" s="5"/>
    </row>
    <row r="3765" spans="1:1" x14ac:dyDescent="0.25">
      <c r="A3765" s="5"/>
    </row>
    <row r="3766" spans="1:1" x14ac:dyDescent="0.25">
      <c r="A3766" s="5"/>
    </row>
    <row r="3767" spans="1:1" x14ac:dyDescent="0.25">
      <c r="A3767" s="5"/>
    </row>
    <row r="3768" spans="1:1" x14ac:dyDescent="0.25">
      <c r="A3768" s="5"/>
    </row>
    <row r="3769" spans="1:1" x14ac:dyDescent="0.25">
      <c r="A3769" s="5"/>
    </row>
    <row r="3770" spans="1:1" x14ac:dyDescent="0.25">
      <c r="A3770" s="5"/>
    </row>
    <row r="3771" spans="1:1" x14ac:dyDescent="0.25">
      <c r="A3771" s="5"/>
    </row>
    <row r="3772" spans="1:1" x14ac:dyDescent="0.25">
      <c r="A3772" s="5"/>
    </row>
    <row r="3773" spans="1:1" x14ac:dyDescent="0.25">
      <c r="A3773" s="5"/>
    </row>
    <row r="3774" spans="1:1" x14ac:dyDescent="0.25">
      <c r="A3774" s="5"/>
    </row>
    <row r="3775" spans="1:1" x14ac:dyDescent="0.25">
      <c r="A3775" s="5"/>
    </row>
    <row r="3776" spans="1:1" x14ac:dyDescent="0.25">
      <c r="A3776" s="5"/>
    </row>
    <row r="3777" spans="1:1" x14ac:dyDescent="0.25">
      <c r="A3777" s="5"/>
    </row>
    <row r="3778" spans="1:1" x14ac:dyDescent="0.25">
      <c r="A3778" s="5"/>
    </row>
    <row r="3779" spans="1:1" x14ac:dyDescent="0.25">
      <c r="A3779" s="5"/>
    </row>
    <row r="3780" spans="1:1" x14ac:dyDescent="0.25">
      <c r="A3780" s="5"/>
    </row>
    <row r="3781" spans="1:1" x14ac:dyDescent="0.25">
      <c r="A3781" s="5"/>
    </row>
    <row r="3782" spans="1:1" x14ac:dyDescent="0.25">
      <c r="A3782" s="5"/>
    </row>
    <row r="3783" spans="1:1" x14ac:dyDescent="0.25">
      <c r="A3783" s="5"/>
    </row>
    <row r="3784" spans="1:1" x14ac:dyDescent="0.25">
      <c r="A3784" s="5"/>
    </row>
    <row r="3785" spans="1:1" x14ac:dyDescent="0.25">
      <c r="A3785" s="5"/>
    </row>
    <row r="3786" spans="1:1" x14ac:dyDescent="0.25">
      <c r="A3786" s="5"/>
    </row>
    <row r="3787" spans="1:1" x14ac:dyDescent="0.25">
      <c r="A3787" s="5"/>
    </row>
    <row r="3788" spans="1:1" x14ac:dyDescent="0.25">
      <c r="A3788" s="5"/>
    </row>
    <row r="3789" spans="1:1" x14ac:dyDescent="0.25">
      <c r="A3789" s="5"/>
    </row>
    <row r="3790" spans="1:1" x14ac:dyDescent="0.25">
      <c r="A3790" s="5"/>
    </row>
    <row r="3791" spans="1:1" x14ac:dyDescent="0.25">
      <c r="A3791" s="5"/>
    </row>
    <row r="3792" spans="1:1" x14ac:dyDescent="0.25">
      <c r="A3792" s="5"/>
    </row>
    <row r="3793" spans="1:1" x14ac:dyDescent="0.25">
      <c r="A3793" s="5"/>
    </row>
    <row r="3794" spans="1:1" x14ac:dyDescent="0.25">
      <c r="A3794" s="5"/>
    </row>
    <row r="3795" spans="1:1" x14ac:dyDescent="0.25">
      <c r="A3795" s="5"/>
    </row>
    <row r="3796" spans="1:1" x14ac:dyDescent="0.25">
      <c r="A3796" s="5"/>
    </row>
    <row r="3797" spans="1:1" x14ac:dyDescent="0.25">
      <c r="A3797" s="5"/>
    </row>
    <row r="3798" spans="1:1" x14ac:dyDescent="0.25">
      <c r="A3798" s="5"/>
    </row>
    <row r="3799" spans="1:1" x14ac:dyDescent="0.25">
      <c r="A3799" s="5"/>
    </row>
    <row r="3800" spans="1:1" x14ac:dyDescent="0.25">
      <c r="A3800" s="5"/>
    </row>
    <row r="3801" spans="1:1" x14ac:dyDescent="0.25">
      <c r="A3801" s="5"/>
    </row>
    <row r="3802" spans="1:1" x14ac:dyDescent="0.25">
      <c r="A3802" s="5"/>
    </row>
    <row r="3803" spans="1:1" x14ac:dyDescent="0.25">
      <c r="A3803" s="5"/>
    </row>
    <row r="3804" spans="1:1" x14ac:dyDescent="0.25">
      <c r="A3804" s="5"/>
    </row>
    <row r="3805" spans="1:1" x14ac:dyDescent="0.25">
      <c r="A3805" s="5"/>
    </row>
    <row r="3806" spans="1:1" x14ac:dyDescent="0.25">
      <c r="A3806" s="5"/>
    </row>
    <row r="3807" spans="1:1" x14ac:dyDescent="0.25">
      <c r="A3807" s="5"/>
    </row>
    <row r="3808" spans="1:1" x14ac:dyDescent="0.25">
      <c r="A3808" s="5"/>
    </row>
    <row r="3809" spans="1:1" x14ac:dyDescent="0.25">
      <c r="A3809" s="5"/>
    </row>
    <row r="3810" spans="1:1" x14ac:dyDescent="0.25">
      <c r="A3810" s="5"/>
    </row>
    <row r="3811" spans="1:1" x14ac:dyDescent="0.25">
      <c r="A3811" s="5"/>
    </row>
    <row r="3812" spans="1:1" x14ac:dyDescent="0.25">
      <c r="A3812" s="5"/>
    </row>
    <row r="3813" spans="1:1" x14ac:dyDescent="0.25">
      <c r="A3813" s="5"/>
    </row>
    <row r="3814" spans="1:1" x14ac:dyDescent="0.25">
      <c r="A3814" s="5"/>
    </row>
    <row r="3815" spans="1:1" x14ac:dyDescent="0.25">
      <c r="A3815" s="5"/>
    </row>
    <row r="3816" spans="1:1" x14ac:dyDescent="0.25">
      <c r="A3816" s="5"/>
    </row>
    <row r="3817" spans="1:1" x14ac:dyDescent="0.25">
      <c r="A3817" s="5"/>
    </row>
    <row r="3818" spans="1:1" x14ac:dyDescent="0.25">
      <c r="A3818" s="5"/>
    </row>
    <row r="3819" spans="1:1" x14ac:dyDescent="0.25">
      <c r="A3819" s="5"/>
    </row>
    <row r="3820" spans="1:1" x14ac:dyDescent="0.25">
      <c r="A3820" s="5"/>
    </row>
    <row r="3821" spans="1:1" x14ac:dyDescent="0.25">
      <c r="A3821" s="5"/>
    </row>
    <row r="3822" spans="1:1" x14ac:dyDescent="0.25">
      <c r="A3822" s="5"/>
    </row>
    <row r="3823" spans="1:1" x14ac:dyDescent="0.25">
      <c r="A3823" s="5"/>
    </row>
    <row r="3824" spans="1:1" x14ac:dyDescent="0.25">
      <c r="A3824" s="5"/>
    </row>
    <row r="3825" spans="1:1" x14ac:dyDescent="0.25">
      <c r="A3825" s="5"/>
    </row>
    <row r="3826" spans="1:1" x14ac:dyDescent="0.25">
      <c r="A3826" s="5"/>
    </row>
    <row r="3827" spans="1:1" x14ac:dyDescent="0.25">
      <c r="A3827" s="5"/>
    </row>
    <row r="3828" spans="1:1" x14ac:dyDescent="0.25">
      <c r="A3828" s="5"/>
    </row>
    <row r="3829" spans="1:1" x14ac:dyDescent="0.25">
      <c r="A3829" s="5"/>
    </row>
    <row r="3830" spans="1:1" x14ac:dyDescent="0.25">
      <c r="A3830" s="5"/>
    </row>
    <row r="3831" spans="1:1" x14ac:dyDescent="0.25">
      <c r="A3831" s="5"/>
    </row>
    <row r="3832" spans="1:1" x14ac:dyDescent="0.25">
      <c r="A3832" s="5"/>
    </row>
    <row r="3833" spans="1:1" x14ac:dyDescent="0.25">
      <c r="A3833" s="5"/>
    </row>
    <row r="3834" spans="1:1" x14ac:dyDescent="0.25">
      <c r="A3834" s="5"/>
    </row>
    <row r="3835" spans="1:1" x14ac:dyDescent="0.25">
      <c r="A3835" s="5"/>
    </row>
    <row r="3836" spans="1:1" x14ac:dyDescent="0.25">
      <c r="A3836" s="5"/>
    </row>
    <row r="3837" spans="1:1" x14ac:dyDescent="0.25">
      <c r="A3837" s="5"/>
    </row>
    <row r="3838" spans="1:1" x14ac:dyDescent="0.25">
      <c r="A3838" s="5"/>
    </row>
    <row r="3839" spans="1:1" x14ac:dyDescent="0.25">
      <c r="A3839" s="5"/>
    </row>
    <row r="3840" spans="1:1" x14ac:dyDescent="0.25">
      <c r="A3840" s="5"/>
    </row>
    <row r="3841" spans="1:1" x14ac:dyDescent="0.25">
      <c r="A3841" s="5"/>
    </row>
    <row r="3842" spans="1:1" x14ac:dyDescent="0.25">
      <c r="A3842" s="5"/>
    </row>
    <row r="3843" spans="1:1" x14ac:dyDescent="0.25">
      <c r="A3843" s="5"/>
    </row>
    <row r="3844" spans="1:1" x14ac:dyDescent="0.25">
      <c r="A3844" s="5"/>
    </row>
    <row r="3845" spans="1:1" x14ac:dyDescent="0.25">
      <c r="A3845" s="5"/>
    </row>
    <row r="3846" spans="1:1" x14ac:dyDescent="0.25">
      <c r="A3846" s="5"/>
    </row>
    <row r="3847" spans="1:1" x14ac:dyDescent="0.25">
      <c r="A3847" s="5"/>
    </row>
    <row r="3848" spans="1:1" x14ac:dyDescent="0.25">
      <c r="A3848" s="5"/>
    </row>
    <row r="3849" spans="1:1" x14ac:dyDescent="0.25">
      <c r="A3849" s="5"/>
    </row>
    <row r="3850" spans="1:1" x14ac:dyDescent="0.25">
      <c r="A3850" s="5"/>
    </row>
    <row r="3851" spans="1:1" x14ac:dyDescent="0.25">
      <c r="A3851" s="5"/>
    </row>
    <row r="3852" spans="1:1" x14ac:dyDescent="0.25">
      <c r="A3852" s="5"/>
    </row>
    <row r="3853" spans="1:1" x14ac:dyDescent="0.25">
      <c r="A3853" s="5"/>
    </row>
    <row r="3854" spans="1:1" x14ac:dyDescent="0.25">
      <c r="A3854" s="5"/>
    </row>
    <row r="3855" spans="1:1" x14ac:dyDescent="0.25">
      <c r="A3855" s="5"/>
    </row>
    <row r="3856" spans="1:1" x14ac:dyDescent="0.25">
      <c r="A3856" s="5"/>
    </row>
    <row r="3857" spans="1:1" x14ac:dyDescent="0.25">
      <c r="A3857" s="5"/>
    </row>
    <row r="3858" spans="1:1" x14ac:dyDescent="0.25">
      <c r="A3858" s="5"/>
    </row>
    <row r="3859" spans="1:1" x14ac:dyDescent="0.25">
      <c r="A3859" s="5"/>
    </row>
    <row r="3860" spans="1:1" x14ac:dyDescent="0.25">
      <c r="A3860" s="5"/>
    </row>
    <row r="3861" spans="1:1" x14ac:dyDescent="0.25">
      <c r="A3861" s="5"/>
    </row>
    <row r="3862" spans="1:1" x14ac:dyDescent="0.25">
      <c r="A3862" s="5"/>
    </row>
    <row r="3863" spans="1:1" x14ac:dyDescent="0.25">
      <c r="A3863" s="5"/>
    </row>
    <row r="3864" spans="1:1" x14ac:dyDescent="0.25">
      <c r="A3864" s="5"/>
    </row>
    <row r="3865" spans="1:1" x14ac:dyDescent="0.25">
      <c r="A3865" s="5"/>
    </row>
    <row r="3866" spans="1:1" x14ac:dyDescent="0.25">
      <c r="A3866" s="5"/>
    </row>
    <row r="3867" spans="1:1" x14ac:dyDescent="0.25">
      <c r="A3867" s="5"/>
    </row>
    <row r="3868" spans="1:1" x14ac:dyDescent="0.25">
      <c r="A3868" s="5"/>
    </row>
    <row r="3869" spans="1:1" x14ac:dyDescent="0.25">
      <c r="A3869" s="5"/>
    </row>
    <row r="3870" spans="1:1" x14ac:dyDescent="0.25">
      <c r="A3870" s="5"/>
    </row>
    <row r="3871" spans="1:1" x14ac:dyDescent="0.25">
      <c r="A3871" s="5"/>
    </row>
    <row r="3872" spans="1:1" x14ac:dyDescent="0.25">
      <c r="A3872" s="5"/>
    </row>
    <row r="3873" spans="1:1" x14ac:dyDescent="0.25">
      <c r="A3873" s="5"/>
    </row>
    <row r="3874" spans="1:1" x14ac:dyDescent="0.25">
      <c r="A3874" s="5"/>
    </row>
    <row r="3875" spans="1:1" x14ac:dyDescent="0.25">
      <c r="A3875" s="5"/>
    </row>
    <row r="3876" spans="1:1" x14ac:dyDescent="0.25">
      <c r="A3876" s="5"/>
    </row>
    <row r="3877" spans="1:1" x14ac:dyDescent="0.25">
      <c r="A3877" s="5"/>
    </row>
    <row r="3878" spans="1:1" x14ac:dyDescent="0.25">
      <c r="A3878" s="5"/>
    </row>
    <row r="3879" spans="1:1" x14ac:dyDescent="0.25">
      <c r="A3879" s="5"/>
    </row>
    <row r="3880" spans="1:1" x14ac:dyDescent="0.25">
      <c r="A3880" s="5"/>
    </row>
    <row r="3881" spans="1:1" x14ac:dyDescent="0.25">
      <c r="A3881" s="5"/>
    </row>
    <row r="3882" spans="1:1" x14ac:dyDescent="0.25">
      <c r="A3882" s="5"/>
    </row>
    <row r="3883" spans="1:1" x14ac:dyDescent="0.25">
      <c r="A3883" s="5"/>
    </row>
    <row r="3884" spans="1:1" x14ac:dyDescent="0.25">
      <c r="A3884" s="5"/>
    </row>
    <row r="3885" spans="1:1" x14ac:dyDescent="0.25">
      <c r="A3885" s="5"/>
    </row>
    <row r="3886" spans="1:1" x14ac:dyDescent="0.25">
      <c r="A3886" s="5"/>
    </row>
    <row r="3887" spans="1:1" x14ac:dyDescent="0.25">
      <c r="A3887" s="5"/>
    </row>
    <row r="3888" spans="1:1" x14ac:dyDescent="0.25">
      <c r="A3888" s="5"/>
    </row>
    <row r="3889" spans="1:1" x14ac:dyDescent="0.25">
      <c r="A3889" s="5"/>
    </row>
    <row r="3890" spans="1:1" x14ac:dyDescent="0.25">
      <c r="A3890" s="5"/>
    </row>
    <row r="3891" spans="1:1" x14ac:dyDescent="0.25">
      <c r="A3891" s="5"/>
    </row>
    <row r="3892" spans="1:1" x14ac:dyDescent="0.25">
      <c r="A3892" s="5"/>
    </row>
    <row r="3893" spans="1:1" x14ac:dyDescent="0.25">
      <c r="A3893" s="5"/>
    </row>
    <row r="3894" spans="1:1" x14ac:dyDescent="0.25">
      <c r="A3894" s="5"/>
    </row>
    <row r="3895" spans="1:1" x14ac:dyDescent="0.25">
      <c r="A3895" s="5"/>
    </row>
    <row r="3896" spans="1:1" x14ac:dyDescent="0.25">
      <c r="A3896" s="5"/>
    </row>
    <row r="3897" spans="1:1" x14ac:dyDescent="0.25">
      <c r="A3897" s="5"/>
    </row>
    <row r="3898" spans="1:1" x14ac:dyDescent="0.25">
      <c r="A3898" s="5"/>
    </row>
    <row r="3899" spans="1:1" x14ac:dyDescent="0.25">
      <c r="A3899" s="5"/>
    </row>
    <row r="3900" spans="1:1" x14ac:dyDescent="0.25">
      <c r="A3900" s="5"/>
    </row>
    <row r="3901" spans="1:1" x14ac:dyDescent="0.25">
      <c r="A3901" s="5"/>
    </row>
    <row r="3902" spans="1:1" x14ac:dyDescent="0.25">
      <c r="A3902" s="5"/>
    </row>
    <row r="3903" spans="1:1" x14ac:dyDescent="0.25">
      <c r="A3903" s="5"/>
    </row>
    <row r="3904" spans="1:1" x14ac:dyDescent="0.25">
      <c r="A3904" s="5"/>
    </row>
    <row r="3905" spans="1:1" x14ac:dyDescent="0.25">
      <c r="A3905" s="5"/>
    </row>
    <row r="3906" spans="1:1" x14ac:dyDescent="0.25">
      <c r="A3906" s="5"/>
    </row>
    <row r="3907" spans="1:1" x14ac:dyDescent="0.25">
      <c r="A3907" s="5"/>
    </row>
    <row r="3908" spans="1:1" x14ac:dyDescent="0.25">
      <c r="A3908" s="5"/>
    </row>
    <row r="3909" spans="1:1" x14ac:dyDescent="0.25">
      <c r="A3909" s="5"/>
    </row>
    <row r="3910" spans="1:1" x14ac:dyDescent="0.25">
      <c r="A3910" s="5"/>
    </row>
    <row r="3911" spans="1:1" x14ac:dyDescent="0.25">
      <c r="A3911" s="5"/>
    </row>
    <row r="3912" spans="1:1" x14ac:dyDescent="0.25">
      <c r="A3912" s="5"/>
    </row>
    <row r="3913" spans="1:1" x14ac:dyDescent="0.25">
      <c r="A3913" s="5"/>
    </row>
    <row r="3914" spans="1:1" x14ac:dyDescent="0.25">
      <c r="A3914" s="5"/>
    </row>
    <row r="3915" spans="1:1" x14ac:dyDescent="0.25">
      <c r="A3915" s="5"/>
    </row>
    <row r="3916" spans="1:1" x14ac:dyDescent="0.25">
      <c r="A3916" s="5"/>
    </row>
    <row r="3917" spans="1:1" x14ac:dyDescent="0.25">
      <c r="A3917" s="5"/>
    </row>
    <row r="3918" spans="1:1" x14ac:dyDescent="0.25">
      <c r="A3918" s="5"/>
    </row>
    <row r="3919" spans="1:1" x14ac:dyDescent="0.25">
      <c r="A3919" s="5"/>
    </row>
    <row r="3920" spans="1:1" x14ac:dyDescent="0.25">
      <c r="A3920" s="5"/>
    </row>
    <row r="3921" spans="1:1" x14ac:dyDescent="0.25">
      <c r="A3921" s="5"/>
    </row>
    <row r="3922" spans="1:1" x14ac:dyDescent="0.25">
      <c r="A3922" s="5"/>
    </row>
    <row r="3923" spans="1:1" x14ac:dyDescent="0.25">
      <c r="A3923" s="5"/>
    </row>
    <row r="3924" spans="1:1" x14ac:dyDescent="0.25">
      <c r="A3924" s="5"/>
    </row>
    <row r="3925" spans="1:1" x14ac:dyDescent="0.25">
      <c r="A3925" s="5"/>
    </row>
    <row r="3926" spans="1:1" x14ac:dyDescent="0.25">
      <c r="A3926" s="5"/>
    </row>
    <row r="3927" spans="1:1" x14ac:dyDescent="0.25">
      <c r="A3927" s="5"/>
    </row>
    <row r="3928" spans="1:1" x14ac:dyDescent="0.25">
      <c r="A3928" s="5"/>
    </row>
    <row r="3929" spans="1:1" x14ac:dyDescent="0.25">
      <c r="A3929" s="5"/>
    </row>
    <row r="3930" spans="1:1" x14ac:dyDescent="0.25">
      <c r="A3930" s="5"/>
    </row>
    <row r="3931" spans="1:1" x14ac:dyDescent="0.25">
      <c r="A3931" s="5"/>
    </row>
    <row r="3932" spans="1:1" x14ac:dyDescent="0.25">
      <c r="A3932" s="5"/>
    </row>
    <row r="3933" spans="1:1" x14ac:dyDescent="0.25">
      <c r="A3933" s="5"/>
    </row>
    <row r="3934" spans="1:1" x14ac:dyDescent="0.25">
      <c r="A3934" s="5"/>
    </row>
    <row r="3935" spans="1:1" x14ac:dyDescent="0.25">
      <c r="A3935" s="5"/>
    </row>
    <row r="3936" spans="1:1" x14ac:dyDescent="0.25">
      <c r="A3936" s="5"/>
    </row>
    <row r="3937" spans="1:1" x14ac:dyDescent="0.25">
      <c r="A3937" s="5"/>
    </row>
    <row r="3938" spans="1:1" x14ac:dyDescent="0.25">
      <c r="A3938" s="5"/>
    </row>
    <row r="3939" spans="1:1" x14ac:dyDescent="0.25">
      <c r="A3939" s="5"/>
    </row>
    <row r="3940" spans="1:1" x14ac:dyDescent="0.25">
      <c r="A3940" s="5"/>
    </row>
    <row r="3941" spans="1:1" x14ac:dyDescent="0.25">
      <c r="A3941" s="5"/>
    </row>
    <row r="3942" spans="1:1" x14ac:dyDescent="0.25">
      <c r="A3942" s="5"/>
    </row>
    <row r="3943" spans="1:1" x14ac:dyDescent="0.25">
      <c r="A3943" s="5"/>
    </row>
    <row r="3944" spans="1:1" x14ac:dyDescent="0.25">
      <c r="A3944" s="5"/>
    </row>
    <row r="3945" spans="1:1" x14ac:dyDescent="0.25">
      <c r="A3945" s="5"/>
    </row>
    <row r="3946" spans="1:1" x14ac:dyDescent="0.25">
      <c r="A3946" s="5"/>
    </row>
    <row r="3947" spans="1:1" x14ac:dyDescent="0.25">
      <c r="A3947" s="5"/>
    </row>
    <row r="3948" spans="1:1" x14ac:dyDescent="0.25">
      <c r="A3948" s="5"/>
    </row>
    <row r="3949" spans="1:1" x14ac:dyDescent="0.25">
      <c r="A3949" s="5"/>
    </row>
    <row r="3950" spans="1:1" x14ac:dyDescent="0.25">
      <c r="A3950" s="5"/>
    </row>
    <row r="3951" spans="1:1" x14ac:dyDescent="0.25">
      <c r="A3951" s="5"/>
    </row>
    <row r="3952" spans="1:1" x14ac:dyDescent="0.25">
      <c r="A3952" s="5"/>
    </row>
    <row r="3953" spans="1:1" x14ac:dyDescent="0.25">
      <c r="A3953" s="5"/>
    </row>
    <row r="3954" spans="1:1" x14ac:dyDescent="0.25">
      <c r="A3954" s="5"/>
    </row>
    <row r="3955" spans="1:1" x14ac:dyDescent="0.25">
      <c r="A3955" s="5"/>
    </row>
    <row r="3956" spans="1:1" x14ac:dyDescent="0.25">
      <c r="A3956" s="5"/>
    </row>
    <row r="3957" spans="1:1" x14ac:dyDescent="0.25">
      <c r="A3957" s="5"/>
    </row>
    <row r="3958" spans="1:1" x14ac:dyDescent="0.25">
      <c r="A3958" s="5"/>
    </row>
    <row r="3959" spans="1:1" x14ac:dyDescent="0.25">
      <c r="A3959" s="5"/>
    </row>
    <row r="3960" spans="1:1" x14ac:dyDescent="0.25">
      <c r="A3960" s="5"/>
    </row>
    <row r="3961" spans="1:1" x14ac:dyDescent="0.25">
      <c r="A3961" s="5"/>
    </row>
    <row r="3962" spans="1:1" x14ac:dyDescent="0.25">
      <c r="A3962" s="5"/>
    </row>
    <row r="3963" spans="1:1" x14ac:dyDescent="0.25">
      <c r="A3963" s="5"/>
    </row>
    <row r="3964" spans="1:1" x14ac:dyDescent="0.25">
      <c r="A3964" s="5"/>
    </row>
    <row r="3965" spans="1:1" x14ac:dyDescent="0.25">
      <c r="A3965" s="5"/>
    </row>
    <row r="3966" spans="1:1" x14ac:dyDescent="0.25">
      <c r="A3966" s="5"/>
    </row>
    <row r="3967" spans="1:1" x14ac:dyDescent="0.25">
      <c r="A3967" s="5"/>
    </row>
    <row r="3968" spans="1:1" x14ac:dyDescent="0.25">
      <c r="A3968" s="5"/>
    </row>
    <row r="3969" spans="1:1" x14ac:dyDescent="0.25">
      <c r="A3969" s="5"/>
    </row>
    <row r="3970" spans="1:1" x14ac:dyDescent="0.25">
      <c r="A3970" s="5"/>
    </row>
    <row r="3971" spans="1:1" x14ac:dyDescent="0.25">
      <c r="A3971" s="5"/>
    </row>
    <row r="3972" spans="1:1" x14ac:dyDescent="0.25">
      <c r="A3972" s="5"/>
    </row>
    <row r="3973" spans="1:1" x14ac:dyDescent="0.25">
      <c r="A3973" s="5"/>
    </row>
    <row r="3974" spans="1:1" x14ac:dyDescent="0.25">
      <c r="A3974" s="5"/>
    </row>
    <row r="3975" spans="1:1" x14ac:dyDescent="0.25">
      <c r="A3975" s="5"/>
    </row>
    <row r="3976" spans="1:1" x14ac:dyDescent="0.25">
      <c r="A3976" s="5"/>
    </row>
    <row r="3977" spans="1:1" x14ac:dyDescent="0.25">
      <c r="A3977" s="5"/>
    </row>
    <row r="3978" spans="1:1" x14ac:dyDescent="0.25">
      <c r="A3978" s="5"/>
    </row>
    <row r="3979" spans="1:1" x14ac:dyDescent="0.25">
      <c r="A3979" s="5"/>
    </row>
    <row r="3980" spans="1:1" x14ac:dyDescent="0.25">
      <c r="A3980" s="5"/>
    </row>
    <row r="3981" spans="1:1" x14ac:dyDescent="0.25">
      <c r="A3981" s="5"/>
    </row>
    <row r="3982" spans="1:1" x14ac:dyDescent="0.25">
      <c r="A3982" s="5"/>
    </row>
    <row r="3983" spans="1:1" x14ac:dyDescent="0.25">
      <c r="A3983" s="5"/>
    </row>
    <row r="3984" spans="1:1" x14ac:dyDescent="0.25">
      <c r="A3984" s="5"/>
    </row>
    <row r="3985" spans="1:1" x14ac:dyDescent="0.25">
      <c r="A3985" s="5"/>
    </row>
    <row r="3986" spans="1:1" x14ac:dyDescent="0.25">
      <c r="A3986" s="5"/>
    </row>
    <row r="3987" spans="1:1" x14ac:dyDescent="0.25">
      <c r="A3987" s="5"/>
    </row>
    <row r="3988" spans="1:1" x14ac:dyDescent="0.25">
      <c r="A3988" s="5"/>
    </row>
    <row r="3989" spans="1:1" x14ac:dyDescent="0.25">
      <c r="A3989" s="5"/>
    </row>
    <row r="3990" spans="1:1" x14ac:dyDescent="0.25">
      <c r="A3990" s="5"/>
    </row>
    <row r="3991" spans="1:1" x14ac:dyDescent="0.25">
      <c r="A3991" s="5"/>
    </row>
    <row r="3992" spans="1:1" x14ac:dyDescent="0.25">
      <c r="A3992" s="5"/>
    </row>
    <row r="3993" spans="1:1" x14ac:dyDescent="0.25">
      <c r="A3993" s="5"/>
    </row>
    <row r="3994" spans="1:1" x14ac:dyDescent="0.25">
      <c r="A3994" s="5"/>
    </row>
    <row r="3995" spans="1:1" x14ac:dyDescent="0.25">
      <c r="A3995" s="5"/>
    </row>
    <row r="3996" spans="1:1" x14ac:dyDescent="0.25">
      <c r="A3996" s="5"/>
    </row>
    <row r="3997" spans="1:1" x14ac:dyDescent="0.25">
      <c r="A3997" s="5"/>
    </row>
    <row r="3998" spans="1:1" x14ac:dyDescent="0.25">
      <c r="A3998" s="5"/>
    </row>
    <row r="3999" spans="1:1" x14ac:dyDescent="0.25">
      <c r="A3999" s="5"/>
    </row>
    <row r="4000" spans="1:1" x14ac:dyDescent="0.25">
      <c r="A4000" s="5"/>
    </row>
    <row r="4001" spans="1:1" x14ac:dyDescent="0.25">
      <c r="A4001" s="5"/>
    </row>
    <row r="4002" spans="1:1" x14ac:dyDescent="0.25">
      <c r="A4002" s="5"/>
    </row>
    <row r="4003" spans="1:1" x14ac:dyDescent="0.25">
      <c r="A4003" s="5"/>
    </row>
    <row r="4004" spans="1:1" x14ac:dyDescent="0.25">
      <c r="A4004" s="5"/>
    </row>
    <row r="4005" spans="1:1" x14ac:dyDescent="0.25">
      <c r="A4005" s="5"/>
    </row>
    <row r="4006" spans="1:1" x14ac:dyDescent="0.25">
      <c r="A4006" s="5"/>
    </row>
    <row r="4007" spans="1:1" x14ac:dyDescent="0.25">
      <c r="A4007" s="5"/>
    </row>
    <row r="4008" spans="1:1" x14ac:dyDescent="0.25">
      <c r="A4008" s="5"/>
    </row>
    <row r="4009" spans="1:1" x14ac:dyDescent="0.25">
      <c r="A4009" s="5"/>
    </row>
    <row r="4010" spans="1:1" x14ac:dyDescent="0.25">
      <c r="A4010" s="5"/>
    </row>
    <row r="4011" spans="1:1" x14ac:dyDescent="0.25">
      <c r="A4011" s="5"/>
    </row>
    <row r="4012" spans="1:1" x14ac:dyDescent="0.25">
      <c r="A4012" s="5"/>
    </row>
    <row r="4013" spans="1:1" x14ac:dyDescent="0.25">
      <c r="A4013" s="5"/>
    </row>
    <row r="4014" spans="1:1" x14ac:dyDescent="0.25">
      <c r="A4014" s="5"/>
    </row>
    <row r="4015" spans="1:1" x14ac:dyDescent="0.25">
      <c r="A4015" s="5"/>
    </row>
    <row r="4016" spans="1:1" x14ac:dyDescent="0.25">
      <c r="A4016" s="5"/>
    </row>
    <row r="4017" spans="1:1" x14ac:dyDescent="0.25">
      <c r="A4017" s="5"/>
    </row>
    <row r="4018" spans="1:1" x14ac:dyDescent="0.25">
      <c r="A4018" s="5"/>
    </row>
    <row r="4019" spans="1:1" x14ac:dyDescent="0.25">
      <c r="A4019" s="5"/>
    </row>
    <row r="4020" spans="1:1" x14ac:dyDescent="0.25">
      <c r="A4020" s="5"/>
    </row>
    <row r="4021" spans="1:1" x14ac:dyDescent="0.25">
      <c r="A4021" s="5"/>
    </row>
    <row r="4022" spans="1:1" x14ac:dyDescent="0.25">
      <c r="A4022" s="5"/>
    </row>
    <row r="4023" spans="1:1" x14ac:dyDescent="0.25">
      <c r="A4023" s="5"/>
    </row>
    <row r="4024" spans="1:1" x14ac:dyDescent="0.25">
      <c r="A4024" s="5"/>
    </row>
    <row r="4025" spans="1:1" x14ac:dyDescent="0.25">
      <c r="A4025" s="5"/>
    </row>
    <row r="4026" spans="1:1" x14ac:dyDescent="0.25">
      <c r="A4026" s="5"/>
    </row>
    <row r="4027" spans="1:1" x14ac:dyDescent="0.25">
      <c r="A4027" s="5"/>
    </row>
    <row r="4028" spans="1:1" x14ac:dyDescent="0.25">
      <c r="A4028" s="5"/>
    </row>
    <row r="4029" spans="1:1" x14ac:dyDescent="0.25">
      <c r="A4029" s="5"/>
    </row>
    <row r="4030" spans="1:1" x14ac:dyDescent="0.25">
      <c r="A4030" s="5"/>
    </row>
    <row r="4031" spans="1:1" x14ac:dyDescent="0.25">
      <c r="A4031" s="5"/>
    </row>
    <row r="4032" spans="1:1" x14ac:dyDescent="0.25">
      <c r="A4032" s="5"/>
    </row>
    <row r="4033" spans="1:1" x14ac:dyDescent="0.25">
      <c r="A4033" s="5"/>
    </row>
    <row r="4034" spans="1:1" x14ac:dyDescent="0.25">
      <c r="A4034" s="5"/>
    </row>
    <row r="4035" spans="1:1" x14ac:dyDescent="0.25">
      <c r="A4035" s="5"/>
    </row>
    <row r="4036" spans="1:1" x14ac:dyDescent="0.25">
      <c r="A4036" s="5"/>
    </row>
    <row r="4037" spans="1:1" x14ac:dyDescent="0.25">
      <c r="A4037" s="5"/>
    </row>
    <row r="4038" spans="1:1" x14ac:dyDescent="0.25">
      <c r="A4038" s="5"/>
    </row>
    <row r="4039" spans="1:1" x14ac:dyDescent="0.25">
      <c r="A4039" s="5"/>
    </row>
    <row r="4040" spans="1:1" x14ac:dyDescent="0.25">
      <c r="A4040" s="5"/>
    </row>
    <row r="4041" spans="1:1" x14ac:dyDescent="0.25">
      <c r="A4041" s="5"/>
    </row>
    <row r="4042" spans="1:1" x14ac:dyDescent="0.25">
      <c r="A4042" s="5"/>
    </row>
    <row r="4043" spans="1:1" x14ac:dyDescent="0.25">
      <c r="A4043" s="5"/>
    </row>
    <row r="4044" spans="1:1" x14ac:dyDescent="0.25">
      <c r="A4044" s="5"/>
    </row>
    <row r="4045" spans="1:1" x14ac:dyDescent="0.25">
      <c r="A4045" s="5"/>
    </row>
    <row r="4046" spans="1:1" x14ac:dyDescent="0.25">
      <c r="A4046" s="5"/>
    </row>
    <row r="4047" spans="1:1" x14ac:dyDescent="0.25">
      <c r="A4047" s="5"/>
    </row>
    <row r="4048" spans="1:1" x14ac:dyDescent="0.25">
      <c r="A4048" s="5"/>
    </row>
    <row r="4049" spans="1:1" x14ac:dyDescent="0.25">
      <c r="A4049" s="5"/>
    </row>
    <row r="4050" spans="1:1" x14ac:dyDescent="0.25">
      <c r="A4050" s="5"/>
    </row>
    <row r="4051" spans="1:1" x14ac:dyDescent="0.25">
      <c r="A4051" s="5"/>
    </row>
    <row r="4052" spans="1:1" x14ac:dyDescent="0.25">
      <c r="A4052" s="5"/>
    </row>
    <row r="4053" spans="1:1" x14ac:dyDescent="0.25">
      <c r="A4053" s="5"/>
    </row>
    <row r="4054" spans="1:1" x14ac:dyDescent="0.25">
      <c r="A4054" s="5"/>
    </row>
    <row r="4055" spans="1:1" x14ac:dyDescent="0.25">
      <c r="A4055" s="5"/>
    </row>
    <row r="4056" spans="1:1" x14ac:dyDescent="0.25">
      <c r="A4056" s="5"/>
    </row>
    <row r="4057" spans="1:1" x14ac:dyDescent="0.25">
      <c r="A4057" s="5"/>
    </row>
    <row r="4058" spans="1:1" x14ac:dyDescent="0.25">
      <c r="A4058" s="5"/>
    </row>
    <row r="4059" spans="1:1" x14ac:dyDescent="0.25">
      <c r="A4059" s="5"/>
    </row>
    <row r="4060" spans="1:1" x14ac:dyDescent="0.25">
      <c r="A4060" s="5"/>
    </row>
    <row r="4061" spans="1:1" x14ac:dyDescent="0.25">
      <c r="A4061" s="5"/>
    </row>
    <row r="4062" spans="1:1" x14ac:dyDescent="0.25">
      <c r="A4062" s="5"/>
    </row>
    <row r="4063" spans="1:1" x14ac:dyDescent="0.25">
      <c r="A4063" s="5"/>
    </row>
    <row r="4064" spans="1:1" x14ac:dyDescent="0.25">
      <c r="A4064" s="5"/>
    </row>
    <row r="4065" spans="1:1" x14ac:dyDescent="0.25">
      <c r="A4065" s="5"/>
    </row>
    <row r="4066" spans="1:1" x14ac:dyDescent="0.25">
      <c r="A4066" s="5"/>
    </row>
    <row r="4067" spans="1:1" x14ac:dyDescent="0.25">
      <c r="A4067" s="5"/>
    </row>
    <row r="4068" spans="1:1" x14ac:dyDescent="0.25">
      <c r="A4068" s="5"/>
    </row>
    <row r="4069" spans="1:1" x14ac:dyDescent="0.25">
      <c r="A4069" s="5"/>
    </row>
    <row r="4070" spans="1:1" x14ac:dyDescent="0.25">
      <c r="A4070" s="5"/>
    </row>
    <row r="4071" spans="1:1" x14ac:dyDescent="0.25">
      <c r="A4071" s="5"/>
    </row>
    <row r="4072" spans="1:1" x14ac:dyDescent="0.25">
      <c r="A4072" s="5"/>
    </row>
    <row r="4073" spans="1:1" x14ac:dyDescent="0.25">
      <c r="A4073" s="5"/>
    </row>
    <row r="4074" spans="1:1" x14ac:dyDescent="0.25">
      <c r="A4074" s="5"/>
    </row>
    <row r="4075" spans="1:1" x14ac:dyDescent="0.25">
      <c r="A4075" s="5"/>
    </row>
    <row r="4076" spans="1:1" x14ac:dyDescent="0.25">
      <c r="A4076" s="5"/>
    </row>
    <row r="4077" spans="1:1" x14ac:dyDescent="0.25">
      <c r="A4077" s="5"/>
    </row>
    <row r="4078" spans="1:1" x14ac:dyDescent="0.25">
      <c r="A4078" s="5"/>
    </row>
    <row r="4079" spans="1:1" x14ac:dyDescent="0.25">
      <c r="A4079" s="5"/>
    </row>
    <row r="4080" spans="1:1" x14ac:dyDescent="0.25">
      <c r="A4080" s="5"/>
    </row>
    <row r="4081" spans="1:1" x14ac:dyDescent="0.25">
      <c r="A4081" s="5"/>
    </row>
    <row r="4082" spans="1:1" x14ac:dyDescent="0.25">
      <c r="A4082" s="5"/>
    </row>
    <row r="4083" spans="1:1" x14ac:dyDescent="0.25">
      <c r="A4083" s="5"/>
    </row>
    <row r="4084" spans="1:1" x14ac:dyDescent="0.25">
      <c r="A4084" s="5"/>
    </row>
    <row r="4085" spans="1:1" x14ac:dyDescent="0.25">
      <c r="A4085" s="5"/>
    </row>
    <row r="4086" spans="1:1" x14ac:dyDescent="0.25">
      <c r="A4086" s="5"/>
    </row>
    <row r="4087" spans="1:1" x14ac:dyDescent="0.25">
      <c r="A4087" s="5"/>
    </row>
    <row r="4088" spans="1:1" x14ac:dyDescent="0.25">
      <c r="A4088" s="5"/>
    </row>
    <row r="4089" spans="1:1" x14ac:dyDescent="0.25">
      <c r="A4089" s="5"/>
    </row>
    <row r="4090" spans="1:1" x14ac:dyDescent="0.25">
      <c r="A4090" s="5"/>
    </row>
    <row r="4091" spans="1:1" x14ac:dyDescent="0.25">
      <c r="A4091" s="5"/>
    </row>
    <row r="4092" spans="1:1" x14ac:dyDescent="0.25">
      <c r="A4092" s="5"/>
    </row>
    <row r="4093" spans="1:1" x14ac:dyDescent="0.25">
      <c r="A4093" s="5"/>
    </row>
    <row r="4094" spans="1:1" x14ac:dyDescent="0.25">
      <c r="A4094" s="5"/>
    </row>
    <row r="4095" spans="1:1" x14ac:dyDescent="0.25">
      <c r="A4095" s="5"/>
    </row>
    <row r="4096" spans="1:1" x14ac:dyDescent="0.25">
      <c r="A4096" s="5"/>
    </row>
    <row r="4097" spans="1:1" x14ac:dyDescent="0.25">
      <c r="A4097" s="5"/>
    </row>
    <row r="4098" spans="1:1" x14ac:dyDescent="0.25">
      <c r="A4098" s="5"/>
    </row>
    <row r="4099" spans="1:1" x14ac:dyDescent="0.25">
      <c r="A4099" s="5"/>
    </row>
    <row r="4100" spans="1:1" x14ac:dyDescent="0.25">
      <c r="A4100" s="5"/>
    </row>
    <row r="4101" spans="1:1" x14ac:dyDescent="0.25">
      <c r="A4101" s="5"/>
    </row>
    <row r="4102" spans="1:1" x14ac:dyDescent="0.25">
      <c r="A4102" s="5"/>
    </row>
    <row r="4103" spans="1:1" x14ac:dyDescent="0.25">
      <c r="A4103" s="5"/>
    </row>
    <row r="4104" spans="1:1" x14ac:dyDescent="0.25">
      <c r="A4104" s="5"/>
    </row>
    <row r="4105" spans="1:1" x14ac:dyDescent="0.25">
      <c r="A4105" s="5"/>
    </row>
    <row r="4106" spans="1:1" x14ac:dyDescent="0.25">
      <c r="A4106" s="5"/>
    </row>
    <row r="4107" spans="1:1" x14ac:dyDescent="0.25">
      <c r="A4107" s="5"/>
    </row>
    <row r="4108" spans="1:1" x14ac:dyDescent="0.25">
      <c r="A4108" s="5"/>
    </row>
    <row r="4109" spans="1:1" x14ac:dyDescent="0.25">
      <c r="A4109" s="5"/>
    </row>
    <row r="4110" spans="1:1" x14ac:dyDescent="0.25">
      <c r="A4110" s="5"/>
    </row>
    <row r="4111" spans="1:1" x14ac:dyDescent="0.25">
      <c r="A4111" s="5"/>
    </row>
    <row r="4112" spans="1:1" x14ac:dyDescent="0.25">
      <c r="A4112" s="5"/>
    </row>
    <row r="4113" spans="1:1" x14ac:dyDescent="0.25">
      <c r="A4113" s="5"/>
    </row>
    <row r="4114" spans="1:1" x14ac:dyDescent="0.25">
      <c r="A4114" s="5"/>
    </row>
    <row r="4115" spans="1:1" x14ac:dyDescent="0.25">
      <c r="A4115" s="5"/>
    </row>
    <row r="4116" spans="1:1" x14ac:dyDescent="0.25">
      <c r="A4116" s="5"/>
    </row>
    <row r="4117" spans="1:1" x14ac:dyDescent="0.25">
      <c r="A4117" s="5"/>
    </row>
    <row r="4118" spans="1:1" x14ac:dyDescent="0.25">
      <c r="A4118" s="5"/>
    </row>
    <row r="4119" spans="1:1" x14ac:dyDescent="0.25">
      <c r="A4119" s="5"/>
    </row>
    <row r="4120" spans="1:1" x14ac:dyDescent="0.25">
      <c r="A4120" s="5"/>
    </row>
    <row r="4121" spans="1:1" x14ac:dyDescent="0.25">
      <c r="A4121" s="5"/>
    </row>
    <row r="4122" spans="1:1" x14ac:dyDescent="0.25">
      <c r="A4122" s="5"/>
    </row>
    <row r="4123" spans="1:1" x14ac:dyDescent="0.25">
      <c r="A4123" s="5"/>
    </row>
    <row r="4124" spans="1:1" x14ac:dyDescent="0.25">
      <c r="A4124" s="5"/>
    </row>
    <row r="4125" spans="1:1" x14ac:dyDescent="0.25">
      <c r="A4125" s="5"/>
    </row>
    <row r="4126" spans="1:1" x14ac:dyDescent="0.25">
      <c r="A4126" s="5"/>
    </row>
    <row r="4127" spans="1:1" x14ac:dyDescent="0.25">
      <c r="A4127" s="5"/>
    </row>
    <row r="4128" spans="1:1" x14ac:dyDescent="0.25">
      <c r="A4128" s="5"/>
    </row>
    <row r="4129" spans="1:1" x14ac:dyDescent="0.25">
      <c r="A4129" s="5"/>
    </row>
    <row r="4130" spans="1:1" x14ac:dyDescent="0.25">
      <c r="A4130" s="5"/>
    </row>
    <row r="4131" spans="1:1" x14ac:dyDescent="0.25">
      <c r="A4131" s="5"/>
    </row>
    <row r="4132" spans="1:1" x14ac:dyDescent="0.25">
      <c r="A4132" s="5"/>
    </row>
    <row r="4133" spans="1:1" x14ac:dyDescent="0.25">
      <c r="A4133" s="5"/>
    </row>
    <row r="4134" spans="1:1" x14ac:dyDescent="0.25">
      <c r="A4134" s="5"/>
    </row>
    <row r="4135" spans="1:1" x14ac:dyDescent="0.25">
      <c r="A4135" s="5"/>
    </row>
    <row r="4136" spans="1:1" x14ac:dyDescent="0.25">
      <c r="A4136" s="5"/>
    </row>
    <row r="4137" spans="1:1" x14ac:dyDescent="0.25">
      <c r="A4137" s="5"/>
    </row>
    <row r="4138" spans="1:1" x14ac:dyDescent="0.25">
      <c r="A4138" s="5"/>
    </row>
    <row r="4139" spans="1:1" x14ac:dyDescent="0.25">
      <c r="A4139" s="5"/>
    </row>
    <row r="4140" spans="1:1" x14ac:dyDescent="0.25">
      <c r="A4140" s="5"/>
    </row>
    <row r="4141" spans="1:1" x14ac:dyDescent="0.25">
      <c r="A4141" s="5"/>
    </row>
    <row r="4142" spans="1:1" x14ac:dyDescent="0.25">
      <c r="A4142" s="5"/>
    </row>
    <row r="4143" spans="1:1" x14ac:dyDescent="0.25">
      <c r="A4143" s="5"/>
    </row>
    <row r="4144" spans="1:1" x14ac:dyDescent="0.25">
      <c r="A4144" s="5"/>
    </row>
    <row r="4145" spans="1:1" x14ac:dyDescent="0.25">
      <c r="A4145" s="5"/>
    </row>
    <row r="4146" spans="1:1" x14ac:dyDescent="0.25">
      <c r="A4146" s="5"/>
    </row>
    <row r="4147" spans="1:1" x14ac:dyDescent="0.25">
      <c r="A4147" s="5"/>
    </row>
    <row r="4148" spans="1:1" x14ac:dyDescent="0.25">
      <c r="A4148" s="5"/>
    </row>
    <row r="4149" spans="1:1" x14ac:dyDescent="0.25">
      <c r="A4149" s="5"/>
    </row>
    <row r="4150" spans="1:1" x14ac:dyDescent="0.25">
      <c r="A4150" s="5"/>
    </row>
    <row r="4151" spans="1:1" x14ac:dyDescent="0.25">
      <c r="A4151" s="5"/>
    </row>
    <row r="4152" spans="1:1" x14ac:dyDescent="0.25">
      <c r="A4152" s="5"/>
    </row>
    <row r="4153" spans="1:1" x14ac:dyDescent="0.25">
      <c r="A4153" s="5"/>
    </row>
    <row r="4154" spans="1:1" x14ac:dyDescent="0.25">
      <c r="A4154" s="5"/>
    </row>
    <row r="4155" spans="1:1" x14ac:dyDescent="0.25">
      <c r="A4155" s="5"/>
    </row>
    <row r="4156" spans="1:1" x14ac:dyDescent="0.25">
      <c r="A4156" s="5"/>
    </row>
    <row r="4157" spans="1:1" x14ac:dyDescent="0.25">
      <c r="A4157" s="5"/>
    </row>
    <row r="4158" spans="1:1" x14ac:dyDescent="0.25">
      <c r="A4158" s="5"/>
    </row>
    <row r="4159" spans="1:1" x14ac:dyDescent="0.25">
      <c r="A4159" s="5"/>
    </row>
    <row r="4160" spans="1:1" x14ac:dyDescent="0.25">
      <c r="A4160" s="5"/>
    </row>
    <row r="4161" spans="1:1" x14ac:dyDescent="0.25">
      <c r="A4161" s="5"/>
    </row>
    <row r="4162" spans="1:1" x14ac:dyDescent="0.25">
      <c r="A4162" s="5"/>
    </row>
    <row r="4163" spans="1:1" x14ac:dyDescent="0.25">
      <c r="A4163" s="5"/>
    </row>
    <row r="4164" spans="1:1" x14ac:dyDescent="0.25">
      <c r="A4164" s="5"/>
    </row>
    <row r="4165" spans="1:1" x14ac:dyDescent="0.25">
      <c r="A4165" s="5"/>
    </row>
    <row r="4166" spans="1:1" x14ac:dyDescent="0.25">
      <c r="A4166" s="5"/>
    </row>
    <row r="4167" spans="1:1" x14ac:dyDescent="0.25">
      <c r="A4167" s="5"/>
    </row>
    <row r="4168" spans="1:1" x14ac:dyDescent="0.25">
      <c r="A4168" s="5"/>
    </row>
    <row r="4169" spans="1:1" x14ac:dyDescent="0.25">
      <c r="A4169" s="5"/>
    </row>
    <row r="4170" spans="1:1" x14ac:dyDescent="0.25">
      <c r="A4170" s="5"/>
    </row>
    <row r="4171" spans="1:1" x14ac:dyDescent="0.25">
      <c r="A4171" s="5"/>
    </row>
    <row r="4172" spans="1:1" x14ac:dyDescent="0.25">
      <c r="A4172" s="5"/>
    </row>
    <row r="4173" spans="1:1" x14ac:dyDescent="0.25">
      <c r="A4173" s="5"/>
    </row>
    <row r="4174" spans="1:1" x14ac:dyDescent="0.25">
      <c r="A4174" s="5"/>
    </row>
    <row r="4175" spans="1:1" x14ac:dyDescent="0.25">
      <c r="A4175" s="5"/>
    </row>
    <row r="4176" spans="1:1" x14ac:dyDescent="0.25">
      <c r="A4176" s="5"/>
    </row>
    <row r="4177" spans="1:1" x14ac:dyDescent="0.25">
      <c r="A4177" s="5"/>
    </row>
    <row r="4178" spans="1:1" x14ac:dyDescent="0.25">
      <c r="A4178" s="5"/>
    </row>
    <row r="4179" spans="1:1" x14ac:dyDescent="0.25">
      <c r="A4179" s="5"/>
    </row>
    <row r="4180" spans="1:1" x14ac:dyDescent="0.25">
      <c r="A4180" s="5"/>
    </row>
    <row r="4181" spans="1:1" x14ac:dyDescent="0.25">
      <c r="A4181" s="5"/>
    </row>
    <row r="4182" spans="1:1" x14ac:dyDescent="0.25">
      <c r="A4182" s="5"/>
    </row>
    <row r="4183" spans="1:1" x14ac:dyDescent="0.25">
      <c r="A4183" s="5"/>
    </row>
    <row r="4184" spans="1:1" x14ac:dyDescent="0.25">
      <c r="A4184" s="5"/>
    </row>
    <row r="4185" spans="1:1" x14ac:dyDescent="0.25">
      <c r="A4185" s="5"/>
    </row>
    <row r="4186" spans="1:1" x14ac:dyDescent="0.25">
      <c r="A4186" s="5"/>
    </row>
    <row r="4187" spans="1:1" x14ac:dyDescent="0.25">
      <c r="A4187" s="5"/>
    </row>
    <row r="4188" spans="1:1" x14ac:dyDescent="0.25">
      <c r="A4188" s="5"/>
    </row>
    <row r="4189" spans="1:1" x14ac:dyDescent="0.25">
      <c r="A4189" s="5"/>
    </row>
    <row r="4190" spans="1:1" x14ac:dyDescent="0.25">
      <c r="A4190" s="5"/>
    </row>
    <row r="4191" spans="1:1" x14ac:dyDescent="0.25">
      <c r="A4191" s="5"/>
    </row>
    <row r="4192" spans="1:1" x14ac:dyDescent="0.25">
      <c r="A4192" s="5"/>
    </row>
    <row r="4193" spans="1:1" x14ac:dyDescent="0.25">
      <c r="A4193" s="5"/>
    </row>
    <row r="4194" spans="1:1" x14ac:dyDescent="0.25">
      <c r="A4194" s="5"/>
    </row>
    <row r="4195" spans="1:1" x14ac:dyDescent="0.25">
      <c r="A4195" s="5"/>
    </row>
    <row r="4196" spans="1:1" x14ac:dyDescent="0.25">
      <c r="A4196" s="5"/>
    </row>
    <row r="4197" spans="1:1" x14ac:dyDescent="0.25">
      <c r="A4197" s="5"/>
    </row>
    <row r="4198" spans="1:1" x14ac:dyDescent="0.25">
      <c r="A4198" s="5"/>
    </row>
    <row r="4199" spans="1:1" x14ac:dyDescent="0.25">
      <c r="A4199" s="5"/>
    </row>
    <row r="4200" spans="1:1" x14ac:dyDescent="0.25">
      <c r="A4200" s="5"/>
    </row>
    <row r="4201" spans="1:1" x14ac:dyDescent="0.25">
      <c r="A4201" s="5"/>
    </row>
    <row r="4202" spans="1:1" x14ac:dyDescent="0.25">
      <c r="A4202" s="5"/>
    </row>
    <row r="4203" spans="1:1" x14ac:dyDescent="0.25">
      <c r="A4203" s="5"/>
    </row>
    <row r="4204" spans="1:1" x14ac:dyDescent="0.25">
      <c r="A4204" s="5"/>
    </row>
    <row r="4205" spans="1:1" x14ac:dyDescent="0.25">
      <c r="A4205" s="5"/>
    </row>
    <row r="4206" spans="1:1" x14ac:dyDescent="0.25">
      <c r="A4206" s="5"/>
    </row>
    <row r="4207" spans="1:1" x14ac:dyDescent="0.25">
      <c r="A4207" s="5"/>
    </row>
    <row r="4208" spans="1:1" x14ac:dyDescent="0.25">
      <c r="A4208" s="5"/>
    </row>
    <row r="4209" spans="1:1" x14ac:dyDescent="0.25">
      <c r="A4209" s="5"/>
    </row>
    <row r="4210" spans="1:1" x14ac:dyDescent="0.25">
      <c r="A4210" s="5"/>
    </row>
    <row r="4211" spans="1:1" x14ac:dyDescent="0.25">
      <c r="A4211" s="5"/>
    </row>
    <row r="4212" spans="1:1" x14ac:dyDescent="0.25">
      <c r="A4212" s="5"/>
    </row>
    <row r="4213" spans="1:1" x14ac:dyDescent="0.25">
      <c r="A4213" s="5"/>
    </row>
    <row r="4214" spans="1:1" x14ac:dyDescent="0.25">
      <c r="A4214" s="5"/>
    </row>
    <row r="4215" spans="1:1" x14ac:dyDescent="0.25">
      <c r="A4215" s="5"/>
    </row>
    <row r="4216" spans="1:1" x14ac:dyDescent="0.25">
      <c r="A4216" s="5"/>
    </row>
    <row r="4217" spans="1:1" x14ac:dyDescent="0.25">
      <c r="A4217" s="5"/>
    </row>
    <row r="4218" spans="1:1" x14ac:dyDescent="0.25">
      <c r="A4218" s="5"/>
    </row>
    <row r="4219" spans="1:1" x14ac:dyDescent="0.25">
      <c r="A4219" s="5"/>
    </row>
    <row r="4220" spans="1:1" x14ac:dyDescent="0.25">
      <c r="A4220" s="5"/>
    </row>
    <row r="4221" spans="1:1" x14ac:dyDescent="0.25">
      <c r="A4221" s="5"/>
    </row>
    <row r="4222" spans="1:1" x14ac:dyDescent="0.25">
      <c r="A4222" s="5"/>
    </row>
    <row r="4223" spans="1:1" x14ac:dyDescent="0.25">
      <c r="A4223" s="5"/>
    </row>
    <row r="4224" spans="1:1" x14ac:dyDescent="0.25">
      <c r="A4224" s="5"/>
    </row>
    <row r="4225" spans="1:1" x14ac:dyDescent="0.25">
      <c r="A4225" s="5"/>
    </row>
    <row r="4226" spans="1:1" x14ac:dyDescent="0.25">
      <c r="A4226" s="5"/>
    </row>
    <row r="4227" spans="1:1" x14ac:dyDescent="0.25">
      <c r="A4227" s="5"/>
    </row>
    <row r="4228" spans="1:1" x14ac:dyDescent="0.25">
      <c r="A4228" s="5"/>
    </row>
    <row r="4229" spans="1:1" x14ac:dyDescent="0.25">
      <c r="A4229" s="5"/>
    </row>
    <row r="4230" spans="1:1" x14ac:dyDescent="0.25">
      <c r="A4230" s="5"/>
    </row>
    <row r="4231" spans="1:1" x14ac:dyDescent="0.25">
      <c r="A4231" s="5"/>
    </row>
    <row r="4232" spans="1:1" x14ac:dyDescent="0.25">
      <c r="A4232" s="5"/>
    </row>
    <row r="4233" spans="1:1" x14ac:dyDescent="0.25">
      <c r="A4233" s="5"/>
    </row>
    <row r="4234" spans="1:1" x14ac:dyDescent="0.25">
      <c r="A4234" s="5"/>
    </row>
    <row r="4235" spans="1:1" x14ac:dyDescent="0.25">
      <c r="A4235" s="5"/>
    </row>
    <row r="4236" spans="1:1" x14ac:dyDescent="0.25">
      <c r="A4236" s="5"/>
    </row>
    <row r="4237" spans="1:1" x14ac:dyDescent="0.25">
      <c r="A4237" s="5"/>
    </row>
    <row r="4238" spans="1:1" x14ac:dyDescent="0.25">
      <c r="A4238" s="5"/>
    </row>
    <row r="4239" spans="1:1" x14ac:dyDescent="0.25">
      <c r="A4239" s="5"/>
    </row>
    <row r="4240" spans="1:1" x14ac:dyDescent="0.25">
      <c r="A4240" s="5"/>
    </row>
    <row r="4241" spans="1:1" x14ac:dyDescent="0.25">
      <c r="A4241" s="5"/>
    </row>
    <row r="4242" spans="1:1" x14ac:dyDescent="0.25">
      <c r="A4242" s="5"/>
    </row>
    <row r="4243" spans="1:1" x14ac:dyDescent="0.25">
      <c r="A4243" s="5"/>
    </row>
    <row r="4244" spans="1:1" x14ac:dyDescent="0.25">
      <c r="A4244" s="5"/>
    </row>
    <row r="4245" spans="1:1" x14ac:dyDescent="0.25">
      <c r="A4245" s="5"/>
    </row>
    <row r="4246" spans="1:1" x14ac:dyDescent="0.25">
      <c r="A4246" s="5"/>
    </row>
    <row r="4247" spans="1:1" x14ac:dyDescent="0.25">
      <c r="A4247" s="5"/>
    </row>
    <row r="4248" spans="1:1" x14ac:dyDescent="0.25">
      <c r="A4248" s="5"/>
    </row>
    <row r="4249" spans="1:1" x14ac:dyDescent="0.25">
      <c r="A4249" s="5"/>
    </row>
    <row r="4250" spans="1:1" x14ac:dyDescent="0.25">
      <c r="A4250" s="5"/>
    </row>
    <row r="4251" spans="1:1" x14ac:dyDescent="0.25">
      <c r="A4251" s="5"/>
    </row>
    <row r="4252" spans="1:1" x14ac:dyDescent="0.25">
      <c r="A4252" s="5"/>
    </row>
    <row r="4253" spans="1:1" x14ac:dyDescent="0.25">
      <c r="A4253" s="5"/>
    </row>
    <row r="4254" spans="1:1" x14ac:dyDescent="0.25">
      <c r="A4254" s="5"/>
    </row>
    <row r="4255" spans="1:1" x14ac:dyDescent="0.25">
      <c r="A4255" s="5"/>
    </row>
    <row r="4256" spans="1:1" x14ac:dyDescent="0.25">
      <c r="A4256" s="5"/>
    </row>
    <row r="4257" spans="1:1" x14ac:dyDescent="0.25">
      <c r="A4257" s="5"/>
    </row>
    <row r="4258" spans="1:1" x14ac:dyDescent="0.25">
      <c r="A4258" s="5"/>
    </row>
    <row r="4259" spans="1:1" x14ac:dyDescent="0.25">
      <c r="A4259" s="5"/>
    </row>
    <row r="4260" spans="1:1" x14ac:dyDescent="0.25">
      <c r="A4260" s="5"/>
    </row>
    <row r="4261" spans="1:1" x14ac:dyDescent="0.25">
      <c r="A4261" s="5"/>
    </row>
    <row r="4262" spans="1:1" x14ac:dyDescent="0.25">
      <c r="A4262" s="5"/>
    </row>
    <row r="4263" spans="1:1" x14ac:dyDescent="0.25">
      <c r="A4263" s="5"/>
    </row>
    <row r="4264" spans="1:1" x14ac:dyDescent="0.25">
      <c r="A4264" s="5"/>
    </row>
    <row r="4265" spans="1:1" x14ac:dyDescent="0.25">
      <c r="A4265" s="5"/>
    </row>
    <row r="4266" spans="1:1" x14ac:dyDescent="0.25">
      <c r="A4266" s="5"/>
    </row>
    <row r="4267" spans="1:1" x14ac:dyDescent="0.25">
      <c r="A4267" s="5"/>
    </row>
    <row r="4268" spans="1:1" x14ac:dyDescent="0.25">
      <c r="A4268" s="5"/>
    </row>
    <row r="4269" spans="1:1" x14ac:dyDescent="0.25">
      <c r="A4269" s="5"/>
    </row>
    <row r="4270" spans="1:1" x14ac:dyDescent="0.25">
      <c r="A4270" s="5"/>
    </row>
    <row r="4271" spans="1:1" x14ac:dyDescent="0.25">
      <c r="A4271" s="5"/>
    </row>
    <row r="4272" spans="1:1" x14ac:dyDescent="0.25">
      <c r="A4272" s="5"/>
    </row>
    <row r="4273" spans="1:1" x14ac:dyDescent="0.25">
      <c r="A4273" s="5"/>
    </row>
    <row r="4274" spans="1:1" x14ac:dyDescent="0.25">
      <c r="A4274" s="5"/>
    </row>
    <row r="4275" spans="1:1" x14ac:dyDescent="0.25">
      <c r="A4275" s="5"/>
    </row>
    <row r="4276" spans="1:1" x14ac:dyDescent="0.25">
      <c r="A4276" s="5"/>
    </row>
    <row r="4277" spans="1:1" x14ac:dyDescent="0.25">
      <c r="A4277" s="5"/>
    </row>
    <row r="4278" spans="1:1" x14ac:dyDescent="0.25">
      <c r="A4278" s="5"/>
    </row>
    <row r="4279" spans="1:1" x14ac:dyDescent="0.25">
      <c r="A4279" s="5"/>
    </row>
    <row r="4280" spans="1:1" x14ac:dyDescent="0.25">
      <c r="A4280" s="5"/>
    </row>
    <row r="4281" spans="1:1" x14ac:dyDescent="0.25">
      <c r="A4281" s="5"/>
    </row>
    <row r="4282" spans="1:1" x14ac:dyDescent="0.25">
      <c r="A4282" s="5"/>
    </row>
    <row r="4283" spans="1:1" x14ac:dyDescent="0.25">
      <c r="A4283" s="5"/>
    </row>
    <row r="4284" spans="1:1" x14ac:dyDescent="0.25">
      <c r="A4284" s="5"/>
    </row>
    <row r="4285" spans="1:1" x14ac:dyDescent="0.25">
      <c r="A4285" s="5"/>
    </row>
    <row r="4286" spans="1:1" x14ac:dyDescent="0.25">
      <c r="A4286" s="5"/>
    </row>
    <row r="4287" spans="1:1" x14ac:dyDescent="0.25">
      <c r="A4287" s="5"/>
    </row>
    <row r="4288" spans="1:1" x14ac:dyDescent="0.25">
      <c r="A4288" s="5"/>
    </row>
    <row r="4289" spans="1:1" x14ac:dyDescent="0.25">
      <c r="A4289" s="5"/>
    </row>
    <row r="4290" spans="1:1" x14ac:dyDescent="0.25">
      <c r="A4290" s="5"/>
    </row>
    <row r="4291" spans="1:1" x14ac:dyDescent="0.25">
      <c r="A4291" s="5"/>
    </row>
    <row r="4292" spans="1:1" x14ac:dyDescent="0.25">
      <c r="A4292" s="5"/>
    </row>
    <row r="4293" spans="1:1" x14ac:dyDescent="0.25">
      <c r="A4293" s="5"/>
    </row>
    <row r="4294" spans="1:1" x14ac:dyDescent="0.25">
      <c r="A4294" s="5"/>
    </row>
    <row r="4295" spans="1:1" x14ac:dyDescent="0.25">
      <c r="A4295" s="5"/>
    </row>
    <row r="4296" spans="1:1" x14ac:dyDescent="0.25">
      <c r="A4296" s="5"/>
    </row>
    <row r="4297" spans="1:1" x14ac:dyDescent="0.25">
      <c r="A4297" s="5"/>
    </row>
    <row r="4298" spans="1:1" x14ac:dyDescent="0.25">
      <c r="A4298" s="5"/>
    </row>
    <row r="4299" spans="1:1" x14ac:dyDescent="0.25">
      <c r="A4299" s="5"/>
    </row>
    <row r="4300" spans="1:1" x14ac:dyDescent="0.25">
      <c r="A4300" s="5"/>
    </row>
    <row r="4301" spans="1:1" x14ac:dyDescent="0.25">
      <c r="A4301" s="5"/>
    </row>
    <row r="4302" spans="1:1" x14ac:dyDescent="0.25">
      <c r="A4302" s="5"/>
    </row>
    <row r="4303" spans="1:1" x14ac:dyDescent="0.25">
      <c r="A4303" s="5"/>
    </row>
    <row r="4304" spans="1:1" x14ac:dyDescent="0.25">
      <c r="A4304" s="5"/>
    </row>
    <row r="4305" spans="1:1" x14ac:dyDescent="0.25">
      <c r="A4305" s="5"/>
    </row>
    <row r="4306" spans="1:1" x14ac:dyDescent="0.25">
      <c r="A4306" s="5"/>
    </row>
    <row r="4307" spans="1:1" x14ac:dyDescent="0.25">
      <c r="A4307" s="5"/>
    </row>
    <row r="4308" spans="1:1" x14ac:dyDescent="0.25">
      <c r="A4308" s="5"/>
    </row>
    <row r="4309" spans="1:1" x14ac:dyDescent="0.25">
      <c r="A4309" s="5"/>
    </row>
    <row r="4310" spans="1:1" x14ac:dyDescent="0.25">
      <c r="A4310" s="5"/>
    </row>
    <row r="4311" spans="1:1" x14ac:dyDescent="0.25">
      <c r="A4311" s="5"/>
    </row>
    <row r="4312" spans="1:1" x14ac:dyDescent="0.25">
      <c r="A4312" s="5"/>
    </row>
    <row r="4313" spans="1:1" x14ac:dyDescent="0.25">
      <c r="A4313" s="5"/>
    </row>
    <row r="4314" spans="1:1" x14ac:dyDescent="0.25">
      <c r="A4314" s="5"/>
    </row>
    <row r="4315" spans="1:1" x14ac:dyDescent="0.25">
      <c r="A4315" s="5"/>
    </row>
    <row r="4316" spans="1:1" x14ac:dyDescent="0.25">
      <c r="A4316" s="5"/>
    </row>
    <row r="4317" spans="1:1" x14ac:dyDescent="0.25">
      <c r="A4317" s="5"/>
    </row>
    <row r="4318" spans="1:1" x14ac:dyDescent="0.25">
      <c r="A4318" s="5"/>
    </row>
    <row r="4319" spans="1:1" x14ac:dyDescent="0.25">
      <c r="A4319" s="5"/>
    </row>
    <row r="4320" spans="1:1" x14ac:dyDescent="0.25">
      <c r="A4320" s="5"/>
    </row>
    <row r="4321" spans="1:1" x14ac:dyDescent="0.25">
      <c r="A4321" s="5"/>
    </row>
    <row r="4322" spans="1:1" x14ac:dyDescent="0.25">
      <c r="A4322" s="5"/>
    </row>
    <row r="4323" spans="1:1" x14ac:dyDescent="0.25">
      <c r="A4323" s="5"/>
    </row>
    <row r="4324" spans="1:1" x14ac:dyDescent="0.25">
      <c r="A4324" s="5"/>
    </row>
    <row r="4325" spans="1:1" x14ac:dyDescent="0.25">
      <c r="A4325" s="5"/>
    </row>
    <row r="4326" spans="1:1" x14ac:dyDescent="0.25">
      <c r="A4326" s="5"/>
    </row>
    <row r="4327" spans="1:1" x14ac:dyDescent="0.25">
      <c r="A4327" s="5"/>
    </row>
    <row r="4328" spans="1:1" x14ac:dyDescent="0.25">
      <c r="A4328" s="5"/>
    </row>
    <row r="4329" spans="1:1" x14ac:dyDescent="0.25">
      <c r="A4329" s="5"/>
    </row>
    <row r="4330" spans="1:1" x14ac:dyDescent="0.25">
      <c r="A4330" s="5"/>
    </row>
    <row r="4331" spans="1:1" x14ac:dyDescent="0.25">
      <c r="A4331" s="5"/>
    </row>
    <row r="4332" spans="1:1" x14ac:dyDescent="0.25">
      <c r="A4332" s="5"/>
    </row>
    <row r="4333" spans="1:1" x14ac:dyDescent="0.25">
      <c r="A4333" s="5"/>
    </row>
    <row r="4334" spans="1:1" x14ac:dyDescent="0.25">
      <c r="A4334" s="5"/>
    </row>
    <row r="4335" spans="1:1" x14ac:dyDescent="0.25">
      <c r="A4335" s="5"/>
    </row>
    <row r="4336" spans="1:1" x14ac:dyDescent="0.25">
      <c r="A4336" s="5"/>
    </row>
    <row r="4337" spans="1:1" x14ac:dyDescent="0.25">
      <c r="A4337" s="5"/>
    </row>
    <row r="4338" spans="1:1" x14ac:dyDescent="0.25">
      <c r="A4338" s="5"/>
    </row>
    <row r="4339" spans="1:1" x14ac:dyDescent="0.25">
      <c r="A4339" s="5"/>
    </row>
    <row r="4340" spans="1:1" x14ac:dyDescent="0.25">
      <c r="A4340" s="5"/>
    </row>
    <row r="4341" spans="1:1" x14ac:dyDescent="0.25">
      <c r="A4341" s="5"/>
    </row>
    <row r="4342" spans="1:1" x14ac:dyDescent="0.25">
      <c r="A4342" s="5"/>
    </row>
    <row r="4343" spans="1:1" x14ac:dyDescent="0.25">
      <c r="A4343" s="5"/>
    </row>
    <row r="4344" spans="1:1" x14ac:dyDescent="0.25">
      <c r="A4344" s="5"/>
    </row>
    <row r="4345" spans="1:1" x14ac:dyDescent="0.25">
      <c r="A4345" s="5"/>
    </row>
    <row r="4346" spans="1:1" x14ac:dyDescent="0.25">
      <c r="A4346" s="5"/>
    </row>
    <row r="4347" spans="1:1" x14ac:dyDescent="0.25">
      <c r="A4347" s="5"/>
    </row>
    <row r="4348" spans="1:1" x14ac:dyDescent="0.25">
      <c r="A4348" s="5"/>
    </row>
    <row r="4349" spans="1:1" x14ac:dyDescent="0.25">
      <c r="A4349" s="5"/>
    </row>
    <row r="4350" spans="1:1" x14ac:dyDescent="0.25">
      <c r="A4350" s="5"/>
    </row>
    <row r="4351" spans="1:1" x14ac:dyDescent="0.25">
      <c r="A4351" s="5"/>
    </row>
    <row r="4352" spans="1:1" x14ac:dyDescent="0.25">
      <c r="A4352" s="5"/>
    </row>
    <row r="4353" spans="1:1" x14ac:dyDescent="0.25">
      <c r="A4353" s="5"/>
    </row>
    <row r="4354" spans="1:1" x14ac:dyDescent="0.25">
      <c r="A4354" s="5"/>
    </row>
    <row r="4355" spans="1:1" x14ac:dyDescent="0.25">
      <c r="A4355" s="5"/>
    </row>
    <row r="4356" spans="1:1" x14ac:dyDescent="0.25">
      <c r="A4356" s="5"/>
    </row>
    <row r="4357" spans="1:1" x14ac:dyDescent="0.25">
      <c r="A4357" s="5"/>
    </row>
    <row r="4358" spans="1:1" x14ac:dyDescent="0.25">
      <c r="A4358" s="5"/>
    </row>
    <row r="4359" spans="1:1" x14ac:dyDescent="0.25">
      <c r="A4359" s="5"/>
    </row>
    <row r="4360" spans="1:1" x14ac:dyDescent="0.25">
      <c r="A4360" s="5"/>
    </row>
    <row r="4361" spans="1:1" x14ac:dyDescent="0.25">
      <c r="A4361" s="5"/>
    </row>
    <row r="4362" spans="1:1" x14ac:dyDescent="0.25">
      <c r="A4362" s="5"/>
    </row>
    <row r="4363" spans="1:1" x14ac:dyDescent="0.25">
      <c r="A4363" s="5"/>
    </row>
    <row r="4364" spans="1:1" x14ac:dyDescent="0.25">
      <c r="A4364" s="5"/>
    </row>
    <row r="4365" spans="1:1" x14ac:dyDescent="0.25">
      <c r="A4365" s="5"/>
    </row>
    <row r="4366" spans="1:1" x14ac:dyDescent="0.25">
      <c r="A4366" s="5"/>
    </row>
    <row r="4367" spans="1:1" x14ac:dyDescent="0.25">
      <c r="A4367" s="5"/>
    </row>
    <row r="4368" spans="1:1" x14ac:dyDescent="0.25">
      <c r="A4368" s="5"/>
    </row>
    <row r="4369" spans="1:1" x14ac:dyDescent="0.25">
      <c r="A4369" s="5"/>
    </row>
    <row r="4370" spans="1:1" x14ac:dyDescent="0.25">
      <c r="A4370" s="5"/>
    </row>
    <row r="4371" spans="1:1" x14ac:dyDescent="0.25">
      <c r="A4371" s="5"/>
    </row>
    <row r="4372" spans="1:1" x14ac:dyDescent="0.25">
      <c r="A4372" s="5"/>
    </row>
    <row r="4373" spans="1:1" x14ac:dyDescent="0.25">
      <c r="A4373" s="5"/>
    </row>
    <row r="4374" spans="1:1" x14ac:dyDescent="0.25">
      <c r="A4374" s="5"/>
    </row>
    <row r="4375" spans="1:1" x14ac:dyDescent="0.25">
      <c r="A4375" s="5"/>
    </row>
    <row r="4376" spans="1:1" x14ac:dyDescent="0.25">
      <c r="A4376" s="5"/>
    </row>
    <row r="4377" spans="1:1" x14ac:dyDescent="0.25">
      <c r="A4377" s="5"/>
    </row>
    <row r="4378" spans="1:1" x14ac:dyDescent="0.25">
      <c r="A4378" s="5"/>
    </row>
    <row r="4379" spans="1:1" x14ac:dyDescent="0.25">
      <c r="A4379" s="5"/>
    </row>
    <row r="4380" spans="1:1" x14ac:dyDescent="0.25">
      <c r="A4380" s="5"/>
    </row>
    <row r="4381" spans="1:1" x14ac:dyDescent="0.25">
      <c r="A4381" s="5"/>
    </row>
    <row r="4382" spans="1:1" x14ac:dyDescent="0.25">
      <c r="A4382" s="5"/>
    </row>
    <row r="4383" spans="1:1" x14ac:dyDescent="0.25">
      <c r="A4383" s="5"/>
    </row>
    <row r="4384" spans="1:1" x14ac:dyDescent="0.25">
      <c r="A4384" s="5"/>
    </row>
    <row r="4385" spans="1:1" x14ac:dyDescent="0.25">
      <c r="A4385" s="5"/>
    </row>
    <row r="4386" spans="1:1" x14ac:dyDescent="0.25">
      <c r="A4386" s="5"/>
    </row>
    <row r="4387" spans="1:1" x14ac:dyDescent="0.25">
      <c r="A4387" s="5"/>
    </row>
    <row r="4388" spans="1:1" x14ac:dyDescent="0.25">
      <c r="A4388" s="5"/>
    </row>
    <row r="4389" spans="1:1" x14ac:dyDescent="0.25">
      <c r="A4389" s="5"/>
    </row>
    <row r="4390" spans="1:1" x14ac:dyDescent="0.25">
      <c r="A4390" s="5"/>
    </row>
    <row r="4391" spans="1:1" x14ac:dyDescent="0.25">
      <c r="A4391" s="5"/>
    </row>
    <row r="4392" spans="1:1" x14ac:dyDescent="0.25">
      <c r="A4392" s="5"/>
    </row>
    <row r="4393" spans="1:1" x14ac:dyDescent="0.25">
      <c r="A4393" s="5"/>
    </row>
    <row r="4394" spans="1:1" x14ac:dyDescent="0.25">
      <c r="A4394" s="5"/>
    </row>
    <row r="4395" spans="1:1" x14ac:dyDescent="0.25">
      <c r="A4395" s="5"/>
    </row>
    <row r="4396" spans="1:1" x14ac:dyDescent="0.25">
      <c r="A4396" s="5"/>
    </row>
    <row r="4397" spans="1:1" x14ac:dyDescent="0.25">
      <c r="A4397" s="5"/>
    </row>
    <row r="4398" spans="1:1" x14ac:dyDescent="0.25">
      <c r="A4398" s="5"/>
    </row>
    <row r="4399" spans="1:1" x14ac:dyDescent="0.25">
      <c r="A4399" s="5"/>
    </row>
    <row r="4400" spans="1:1" x14ac:dyDescent="0.25">
      <c r="A4400" s="5"/>
    </row>
    <row r="4401" spans="1:1" x14ac:dyDescent="0.25">
      <c r="A4401" s="5"/>
    </row>
    <row r="4402" spans="1:1" x14ac:dyDescent="0.25">
      <c r="A4402" s="5"/>
    </row>
    <row r="4403" spans="1:1" x14ac:dyDescent="0.25">
      <c r="A4403" s="5"/>
    </row>
    <row r="4404" spans="1:1" x14ac:dyDescent="0.25">
      <c r="A4404" s="5"/>
    </row>
    <row r="4405" spans="1:1" x14ac:dyDescent="0.25">
      <c r="A4405" s="5"/>
    </row>
    <row r="4406" spans="1:1" x14ac:dyDescent="0.25">
      <c r="A4406" s="5"/>
    </row>
    <row r="4407" spans="1:1" x14ac:dyDescent="0.25">
      <c r="A4407" s="5"/>
    </row>
    <row r="4408" spans="1:1" x14ac:dyDescent="0.25">
      <c r="A4408" s="5"/>
    </row>
    <row r="4409" spans="1:1" x14ac:dyDescent="0.25">
      <c r="A4409" s="5"/>
    </row>
    <row r="4410" spans="1:1" x14ac:dyDescent="0.25">
      <c r="A4410" s="5"/>
    </row>
    <row r="4411" spans="1:1" x14ac:dyDescent="0.25">
      <c r="A4411" s="5"/>
    </row>
    <row r="4412" spans="1:1" x14ac:dyDescent="0.25">
      <c r="A4412" s="5"/>
    </row>
    <row r="4413" spans="1:1" x14ac:dyDescent="0.25">
      <c r="A4413" s="5"/>
    </row>
    <row r="4414" spans="1:1" x14ac:dyDescent="0.25">
      <c r="A4414" s="5"/>
    </row>
    <row r="4415" spans="1:1" x14ac:dyDescent="0.25">
      <c r="A4415" s="5"/>
    </row>
    <row r="4416" spans="1:1" x14ac:dyDescent="0.25">
      <c r="A4416" s="5"/>
    </row>
    <row r="4417" spans="1:1" x14ac:dyDescent="0.25">
      <c r="A4417" s="5"/>
    </row>
    <row r="4418" spans="1:1" x14ac:dyDescent="0.25">
      <c r="A4418" s="5"/>
    </row>
    <row r="4419" spans="1:1" x14ac:dyDescent="0.25">
      <c r="A4419" s="5"/>
    </row>
    <row r="4420" spans="1:1" x14ac:dyDescent="0.25">
      <c r="A4420" s="5"/>
    </row>
    <row r="4421" spans="1:1" x14ac:dyDescent="0.25">
      <c r="A4421" s="5"/>
    </row>
    <row r="4422" spans="1:1" x14ac:dyDescent="0.25">
      <c r="A4422" s="5"/>
    </row>
    <row r="4423" spans="1:1" x14ac:dyDescent="0.25">
      <c r="A4423" s="5"/>
    </row>
    <row r="4424" spans="1:1" x14ac:dyDescent="0.25">
      <c r="A4424" s="5"/>
    </row>
    <row r="4425" spans="1:1" x14ac:dyDescent="0.25">
      <c r="A4425" s="5"/>
    </row>
    <row r="4426" spans="1:1" x14ac:dyDescent="0.25">
      <c r="A4426" s="5"/>
    </row>
    <row r="4427" spans="1:1" x14ac:dyDescent="0.25">
      <c r="A4427" s="5"/>
    </row>
    <row r="4428" spans="1:1" x14ac:dyDescent="0.25">
      <c r="A4428" s="5"/>
    </row>
    <row r="4429" spans="1:1" x14ac:dyDescent="0.25">
      <c r="A4429" s="5"/>
    </row>
    <row r="4430" spans="1:1" x14ac:dyDescent="0.25">
      <c r="A4430" s="5"/>
    </row>
    <row r="4431" spans="1:1" x14ac:dyDescent="0.25">
      <c r="A4431" s="5"/>
    </row>
    <row r="4432" spans="1:1" x14ac:dyDescent="0.25">
      <c r="A4432" s="5"/>
    </row>
    <row r="4433" spans="1:1" x14ac:dyDescent="0.25">
      <c r="A4433" s="5"/>
    </row>
    <row r="4434" spans="1:1" x14ac:dyDescent="0.25">
      <c r="A4434" s="5"/>
    </row>
    <row r="4435" spans="1:1" x14ac:dyDescent="0.25">
      <c r="A4435" s="5"/>
    </row>
    <row r="4436" spans="1:1" x14ac:dyDescent="0.25">
      <c r="A4436" s="5"/>
    </row>
    <row r="4437" spans="1:1" x14ac:dyDescent="0.25">
      <c r="A4437" s="5"/>
    </row>
    <row r="4438" spans="1:1" x14ac:dyDescent="0.25">
      <c r="A4438" s="5"/>
    </row>
    <row r="4439" spans="1:1" x14ac:dyDescent="0.25">
      <c r="A4439" s="5"/>
    </row>
    <row r="4440" spans="1:1" x14ac:dyDescent="0.25">
      <c r="A4440" s="5"/>
    </row>
    <row r="4441" spans="1:1" x14ac:dyDescent="0.25">
      <c r="A4441" s="5"/>
    </row>
    <row r="4442" spans="1:1" x14ac:dyDescent="0.25">
      <c r="A4442" s="5"/>
    </row>
    <row r="4443" spans="1:1" x14ac:dyDescent="0.25">
      <c r="A4443" s="5"/>
    </row>
    <row r="4444" spans="1:1" x14ac:dyDescent="0.25">
      <c r="A4444" s="5"/>
    </row>
    <row r="4445" spans="1:1" x14ac:dyDescent="0.25">
      <c r="A4445" s="5"/>
    </row>
    <row r="4446" spans="1:1" x14ac:dyDescent="0.25">
      <c r="A4446" s="5"/>
    </row>
    <row r="4447" spans="1:1" x14ac:dyDescent="0.25">
      <c r="A4447" s="5"/>
    </row>
    <row r="4448" spans="1:1" x14ac:dyDescent="0.25">
      <c r="A4448" s="5"/>
    </row>
    <row r="4449" spans="1:1" x14ac:dyDescent="0.25">
      <c r="A4449" s="5"/>
    </row>
    <row r="4450" spans="1:1" x14ac:dyDescent="0.25">
      <c r="A4450" s="5"/>
    </row>
    <row r="4451" spans="1:1" x14ac:dyDescent="0.25">
      <c r="A4451" s="5"/>
    </row>
    <row r="4452" spans="1:1" x14ac:dyDescent="0.25">
      <c r="A4452" s="5"/>
    </row>
    <row r="4453" spans="1:1" x14ac:dyDescent="0.25">
      <c r="A4453" s="5"/>
    </row>
    <row r="4454" spans="1:1" x14ac:dyDescent="0.25">
      <c r="A4454" s="5"/>
    </row>
    <row r="4455" spans="1:1" x14ac:dyDescent="0.25">
      <c r="A4455" s="5"/>
    </row>
    <row r="4456" spans="1:1" x14ac:dyDescent="0.25">
      <c r="A4456" s="5"/>
    </row>
    <row r="4457" spans="1:1" x14ac:dyDescent="0.25">
      <c r="A4457" s="5"/>
    </row>
    <row r="4458" spans="1:1" x14ac:dyDescent="0.25">
      <c r="A4458" s="5"/>
    </row>
    <row r="4459" spans="1:1" x14ac:dyDescent="0.25">
      <c r="A4459" s="5"/>
    </row>
    <row r="4460" spans="1:1" x14ac:dyDescent="0.25">
      <c r="A4460" s="5"/>
    </row>
    <row r="4461" spans="1:1" x14ac:dyDescent="0.25">
      <c r="A4461" s="5"/>
    </row>
    <row r="4462" spans="1:1" x14ac:dyDescent="0.25">
      <c r="A4462" s="5"/>
    </row>
    <row r="4463" spans="1:1" x14ac:dyDescent="0.25">
      <c r="A4463" s="5"/>
    </row>
    <row r="4464" spans="1:1" x14ac:dyDescent="0.25">
      <c r="A4464" s="5"/>
    </row>
    <row r="4465" spans="1:1" x14ac:dyDescent="0.25">
      <c r="A4465" s="5"/>
    </row>
    <row r="4466" spans="1:1" x14ac:dyDescent="0.25">
      <c r="A4466" s="5"/>
    </row>
    <row r="4467" spans="1:1" x14ac:dyDescent="0.25">
      <c r="A4467" s="5"/>
    </row>
    <row r="4468" spans="1:1" x14ac:dyDescent="0.25">
      <c r="A4468" s="5"/>
    </row>
    <row r="4469" spans="1:1" x14ac:dyDescent="0.25">
      <c r="A4469" s="5"/>
    </row>
    <row r="4470" spans="1:1" x14ac:dyDescent="0.25">
      <c r="A4470" s="5"/>
    </row>
    <row r="4471" spans="1:1" x14ac:dyDescent="0.25">
      <c r="A4471" s="5"/>
    </row>
    <row r="4472" spans="1:1" x14ac:dyDescent="0.25">
      <c r="A4472" s="5"/>
    </row>
    <row r="4473" spans="1:1" x14ac:dyDescent="0.25">
      <c r="A4473" s="5"/>
    </row>
    <row r="4474" spans="1:1" x14ac:dyDescent="0.25">
      <c r="A4474" s="5"/>
    </row>
    <row r="4475" spans="1:1" x14ac:dyDescent="0.25">
      <c r="A4475" s="5"/>
    </row>
    <row r="4476" spans="1:1" x14ac:dyDescent="0.25">
      <c r="A4476" s="5"/>
    </row>
    <row r="4477" spans="1:1" x14ac:dyDescent="0.25">
      <c r="A4477" s="5"/>
    </row>
    <row r="4478" spans="1:1" x14ac:dyDescent="0.25">
      <c r="A4478" s="5"/>
    </row>
    <row r="4479" spans="1:1" x14ac:dyDescent="0.25">
      <c r="A4479" s="5"/>
    </row>
    <row r="4480" spans="1:1" x14ac:dyDescent="0.25">
      <c r="A4480" s="5"/>
    </row>
    <row r="4481" spans="1:1" x14ac:dyDescent="0.25">
      <c r="A4481" s="5"/>
    </row>
    <row r="4482" spans="1:1" x14ac:dyDescent="0.25">
      <c r="A4482" s="5"/>
    </row>
    <row r="4483" spans="1:1" x14ac:dyDescent="0.25">
      <c r="A4483" s="5"/>
    </row>
    <row r="4484" spans="1:1" x14ac:dyDescent="0.25">
      <c r="A4484" s="5"/>
    </row>
    <row r="4485" spans="1:1" x14ac:dyDescent="0.25">
      <c r="A4485" s="5"/>
    </row>
    <row r="4486" spans="1:1" x14ac:dyDescent="0.25">
      <c r="A4486" s="5"/>
    </row>
    <row r="4487" spans="1:1" x14ac:dyDescent="0.25">
      <c r="A4487" s="5"/>
    </row>
    <row r="4488" spans="1:1" x14ac:dyDescent="0.25">
      <c r="A4488" s="5"/>
    </row>
    <row r="4489" spans="1:1" x14ac:dyDescent="0.25">
      <c r="A4489" s="5"/>
    </row>
    <row r="4490" spans="1:1" x14ac:dyDescent="0.25">
      <c r="A4490" s="5"/>
    </row>
    <row r="4491" spans="1:1" x14ac:dyDescent="0.25">
      <c r="A4491" s="5"/>
    </row>
    <row r="4492" spans="1:1" x14ac:dyDescent="0.25">
      <c r="A4492" s="5"/>
    </row>
    <row r="4493" spans="1:1" x14ac:dyDescent="0.25">
      <c r="A4493" s="5"/>
    </row>
    <row r="4494" spans="1:1" x14ac:dyDescent="0.25">
      <c r="A4494" s="5"/>
    </row>
    <row r="4495" spans="1:1" x14ac:dyDescent="0.25">
      <c r="A4495" s="5"/>
    </row>
    <row r="4496" spans="1:1" x14ac:dyDescent="0.25">
      <c r="A4496" s="5"/>
    </row>
    <row r="4497" spans="1:1" x14ac:dyDescent="0.25">
      <c r="A4497" s="5"/>
    </row>
    <row r="4498" spans="1:1" x14ac:dyDescent="0.25">
      <c r="A4498" s="5"/>
    </row>
    <row r="4499" spans="1:1" x14ac:dyDescent="0.25">
      <c r="A4499" s="5"/>
    </row>
    <row r="4500" spans="1:1" x14ac:dyDescent="0.25">
      <c r="A4500" s="5"/>
    </row>
    <row r="4501" spans="1:1" x14ac:dyDescent="0.25">
      <c r="A4501" s="5"/>
    </row>
    <row r="4502" spans="1:1" x14ac:dyDescent="0.25">
      <c r="A4502" s="5"/>
    </row>
    <row r="4503" spans="1:1" x14ac:dyDescent="0.25">
      <c r="A4503" s="5"/>
    </row>
    <row r="4504" spans="1:1" x14ac:dyDescent="0.25">
      <c r="A4504" s="5"/>
    </row>
    <row r="4505" spans="1:1" x14ac:dyDescent="0.25">
      <c r="A4505" s="5"/>
    </row>
    <row r="4506" spans="1:1" x14ac:dyDescent="0.25">
      <c r="A4506" s="5"/>
    </row>
    <row r="4507" spans="1:1" x14ac:dyDescent="0.25">
      <c r="A4507" s="5"/>
    </row>
    <row r="4508" spans="1:1" x14ac:dyDescent="0.25">
      <c r="A4508" s="5"/>
    </row>
    <row r="4509" spans="1:1" x14ac:dyDescent="0.25">
      <c r="A4509" s="5"/>
    </row>
    <row r="4510" spans="1:1" x14ac:dyDescent="0.25">
      <c r="A4510" s="5"/>
    </row>
    <row r="4511" spans="1:1" x14ac:dyDescent="0.25">
      <c r="A4511" s="5"/>
    </row>
    <row r="4512" spans="1:1" x14ac:dyDescent="0.25">
      <c r="A4512" s="5"/>
    </row>
    <row r="4513" spans="1:1" x14ac:dyDescent="0.25">
      <c r="A4513" s="5"/>
    </row>
    <row r="4514" spans="1:1" x14ac:dyDescent="0.25">
      <c r="A4514" s="5"/>
    </row>
    <row r="4515" spans="1:1" x14ac:dyDescent="0.25">
      <c r="A4515" s="5"/>
    </row>
    <row r="4516" spans="1:1" x14ac:dyDescent="0.25">
      <c r="A4516" s="5"/>
    </row>
    <row r="4517" spans="1:1" x14ac:dyDescent="0.25">
      <c r="A4517" s="5"/>
    </row>
    <row r="4518" spans="1:1" x14ac:dyDescent="0.25">
      <c r="A4518" s="5"/>
    </row>
    <row r="4519" spans="1:1" x14ac:dyDescent="0.25">
      <c r="A4519" s="5"/>
    </row>
    <row r="4520" spans="1:1" x14ac:dyDescent="0.25">
      <c r="A4520" s="5"/>
    </row>
    <row r="4521" spans="1:1" x14ac:dyDescent="0.25">
      <c r="A4521" s="5"/>
    </row>
    <row r="4522" spans="1:1" x14ac:dyDescent="0.25">
      <c r="A4522" s="5"/>
    </row>
    <row r="4523" spans="1:1" x14ac:dyDescent="0.25">
      <c r="A4523" s="5"/>
    </row>
    <row r="4524" spans="1:1" x14ac:dyDescent="0.25">
      <c r="A4524" s="5"/>
    </row>
    <row r="4525" spans="1:1" x14ac:dyDescent="0.25">
      <c r="A4525" s="5"/>
    </row>
    <row r="4526" spans="1:1" x14ac:dyDescent="0.25">
      <c r="A4526" s="5"/>
    </row>
    <row r="4527" spans="1:1" x14ac:dyDescent="0.25">
      <c r="A4527" s="5"/>
    </row>
    <row r="4528" spans="1:1" x14ac:dyDescent="0.25">
      <c r="A4528" s="5"/>
    </row>
    <row r="4529" spans="1:1" x14ac:dyDescent="0.25">
      <c r="A4529" s="5"/>
    </row>
    <row r="4530" spans="1:1" x14ac:dyDescent="0.25">
      <c r="A4530" s="5"/>
    </row>
    <row r="4531" spans="1:1" x14ac:dyDescent="0.25">
      <c r="A4531" s="5"/>
    </row>
    <row r="4532" spans="1:1" x14ac:dyDescent="0.25">
      <c r="A4532" s="5"/>
    </row>
    <row r="4533" spans="1:1" x14ac:dyDescent="0.25">
      <c r="A4533" s="5"/>
    </row>
    <row r="4534" spans="1:1" x14ac:dyDescent="0.25">
      <c r="A4534" s="5"/>
    </row>
    <row r="4535" spans="1:1" x14ac:dyDescent="0.25">
      <c r="A4535" s="5"/>
    </row>
    <row r="4536" spans="1:1" x14ac:dyDescent="0.25">
      <c r="A4536" s="5"/>
    </row>
    <row r="4537" spans="1:1" x14ac:dyDescent="0.25">
      <c r="A4537" s="5"/>
    </row>
    <row r="4538" spans="1:1" x14ac:dyDescent="0.25">
      <c r="A4538" s="5"/>
    </row>
    <row r="4539" spans="1:1" x14ac:dyDescent="0.25">
      <c r="A4539" s="5"/>
    </row>
    <row r="4540" spans="1:1" x14ac:dyDescent="0.25">
      <c r="A4540" s="5"/>
    </row>
    <row r="4541" spans="1:1" x14ac:dyDescent="0.25">
      <c r="A4541" s="5"/>
    </row>
    <row r="4542" spans="1:1" x14ac:dyDescent="0.25">
      <c r="A4542" s="5"/>
    </row>
    <row r="4543" spans="1:1" x14ac:dyDescent="0.25">
      <c r="A4543" s="5"/>
    </row>
    <row r="4544" spans="1:1" x14ac:dyDescent="0.25">
      <c r="A4544" s="5"/>
    </row>
    <row r="4545" spans="1:1" x14ac:dyDescent="0.25">
      <c r="A4545" s="5"/>
    </row>
    <row r="4546" spans="1:1" x14ac:dyDescent="0.25">
      <c r="A4546" s="5"/>
    </row>
    <row r="4547" spans="1:1" x14ac:dyDescent="0.25">
      <c r="A4547" s="5"/>
    </row>
    <row r="4548" spans="1:1" x14ac:dyDescent="0.25">
      <c r="A4548" s="5"/>
    </row>
    <row r="4549" spans="1:1" x14ac:dyDescent="0.25">
      <c r="A4549" s="5"/>
    </row>
    <row r="4550" spans="1:1" x14ac:dyDescent="0.25">
      <c r="A4550" s="5"/>
    </row>
    <row r="4551" spans="1:1" x14ac:dyDescent="0.25">
      <c r="A4551" s="5"/>
    </row>
    <row r="4552" spans="1:1" x14ac:dyDescent="0.25">
      <c r="A4552" s="5"/>
    </row>
    <row r="4553" spans="1:1" x14ac:dyDescent="0.25">
      <c r="A4553" s="5"/>
    </row>
    <row r="4554" spans="1:1" x14ac:dyDescent="0.25">
      <c r="A4554" s="5"/>
    </row>
    <row r="4555" spans="1:1" x14ac:dyDescent="0.25">
      <c r="A4555" s="5"/>
    </row>
    <row r="4556" spans="1:1" x14ac:dyDescent="0.25">
      <c r="A4556" s="5"/>
    </row>
    <row r="4557" spans="1:1" x14ac:dyDescent="0.25">
      <c r="A4557" s="5"/>
    </row>
    <row r="4558" spans="1:1" x14ac:dyDescent="0.25">
      <c r="A4558" s="5"/>
    </row>
    <row r="4559" spans="1:1" x14ac:dyDescent="0.25">
      <c r="A4559" s="5"/>
    </row>
    <row r="4560" spans="1:1" x14ac:dyDescent="0.25">
      <c r="A4560" s="5"/>
    </row>
    <row r="4561" spans="1:1" x14ac:dyDescent="0.25">
      <c r="A4561" s="5"/>
    </row>
    <row r="4562" spans="1:1" x14ac:dyDescent="0.25">
      <c r="A4562" s="5"/>
    </row>
    <row r="4563" spans="1:1" x14ac:dyDescent="0.25">
      <c r="A4563" s="5"/>
    </row>
    <row r="4564" spans="1:1" x14ac:dyDescent="0.25">
      <c r="A4564" s="5"/>
    </row>
    <row r="4565" spans="1:1" x14ac:dyDescent="0.25">
      <c r="A4565" s="5"/>
    </row>
    <row r="4566" spans="1:1" x14ac:dyDescent="0.25">
      <c r="A4566" s="5"/>
    </row>
    <row r="4567" spans="1:1" x14ac:dyDescent="0.25">
      <c r="A4567" s="5"/>
    </row>
    <row r="4568" spans="1:1" x14ac:dyDescent="0.25">
      <c r="A4568" s="5"/>
    </row>
    <row r="4569" spans="1:1" x14ac:dyDescent="0.25">
      <c r="A4569" s="5"/>
    </row>
    <row r="4570" spans="1:1" x14ac:dyDescent="0.25">
      <c r="A4570" s="5"/>
    </row>
    <row r="4571" spans="1:1" x14ac:dyDescent="0.25">
      <c r="A4571" s="5"/>
    </row>
    <row r="4572" spans="1:1" x14ac:dyDescent="0.25">
      <c r="A4572" s="5"/>
    </row>
    <row r="4573" spans="1:1" x14ac:dyDescent="0.25">
      <c r="A4573" s="5"/>
    </row>
    <row r="4574" spans="1:1" x14ac:dyDescent="0.25">
      <c r="A4574" s="5"/>
    </row>
    <row r="4575" spans="1:1" x14ac:dyDescent="0.25">
      <c r="A4575" s="5"/>
    </row>
    <row r="4576" spans="1:1" x14ac:dyDescent="0.25">
      <c r="A4576" s="5"/>
    </row>
    <row r="4577" spans="1:1" x14ac:dyDescent="0.25">
      <c r="A4577" s="5"/>
    </row>
    <row r="4578" spans="1:1" x14ac:dyDescent="0.25">
      <c r="A4578" s="5"/>
    </row>
    <row r="4579" spans="1:1" x14ac:dyDescent="0.25">
      <c r="A4579" s="5"/>
    </row>
    <row r="4580" spans="1:1" x14ac:dyDescent="0.25">
      <c r="A4580" s="5"/>
    </row>
    <row r="4581" spans="1:1" x14ac:dyDescent="0.25">
      <c r="A4581" s="5"/>
    </row>
    <row r="4582" spans="1:1" x14ac:dyDescent="0.25">
      <c r="A4582" s="5"/>
    </row>
    <row r="4583" spans="1:1" x14ac:dyDescent="0.25">
      <c r="A4583" s="5"/>
    </row>
    <row r="4584" spans="1:1" x14ac:dyDescent="0.25">
      <c r="A4584" s="5"/>
    </row>
    <row r="4585" spans="1:1" x14ac:dyDescent="0.25">
      <c r="A4585" s="5"/>
    </row>
    <row r="4586" spans="1:1" x14ac:dyDescent="0.25">
      <c r="A4586" s="5"/>
    </row>
    <row r="4587" spans="1:1" x14ac:dyDescent="0.25">
      <c r="A4587" s="5"/>
    </row>
    <row r="4588" spans="1:1" x14ac:dyDescent="0.25">
      <c r="A4588" s="5"/>
    </row>
    <row r="4589" spans="1:1" x14ac:dyDescent="0.25">
      <c r="A4589" s="5"/>
    </row>
    <row r="4590" spans="1:1" x14ac:dyDescent="0.25">
      <c r="A4590" s="5"/>
    </row>
    <row r="4591" spans="1:1" x14ac:dyDescent="0.25">
      <c r="A4591" s="5"/>
    </row>
    <row r="4592" spans="1:1" x14ac:dyDescent="0.25">
      <c r="A4592" s="5"/>
    </row>
    <row r="4593" spans="1:1" x14ac:dyDescent="0.25">
      <c r="A4593" s="5"/>
    </row>
    <row r="4594" spans="1:1" x14ac:dyDescent="0.25">
      <c r="A4594" s="5"/>
    </row>
    <row r="4595" spans="1:1" x14ac:dyDescent="0.25">
      <c r="A4595" s="5"/>
    </row>
    <row r="4596" spans="1:1" x14ac:dyDescent="0.25">
      <c r="A4596" s="5"/>
    </row>
    <row r="4597" spans="1:1" x14ac:dyDescent="0.25">
      <c r="A4597" s="5"/>
    </row>
    <row r="4598" spans="1:1" x14ac:dyDescent="0.25">
      <c r="A4598" s="5"/>
    </row>
    <row r="4599" spans="1:1" x14ac:dyDescent="0.25">
      <c r="A4599" s="5"/>
    </row>
    <row r="4600" spans="1:1" x14ac:dyDescent="0.25">
      <c r="A4600" s="5"/>
    </row>
    <row r="4601" spans="1:1" x14ac:dyDescent="0.25">
      <c r="A4601" s="5"/>
    </row>
    <row r="4602" spans="1:1" x14ac:dyDescent="0.25">
      <c r="A4602" s="5"/>
    </row>
    <row r="4603" spans="1:1" x14ac:dyDescent="0.25">
      <c r="A4603" s="5"/>
    </row>
    <row r="4604" spans="1:1" x14ac:dyDescent="0.25">
      <c r="A4604" s="5"/>
    </row>
    <row r="4605" spans="1:1" x14ac:dyDescent="0.25">
      <c r="A4605" s="5"/>
    </row>
    <row r="4606" spans="1:1" x14ac:dyDescent="0.25">
      <c r="A4606" s="5"/>
    </row>
    <row r="4607" spans="1:1" x14ac:dyDescent="0.25">
      <c r="A4607" s="5"/>
    </row>
    <row r="4608" spans="1:1" x14ac:dyDescent="0.25">
      <c r="A4608" s="5"/>
    </row>
    <row r="4609" spans="1:1" x14ac:dyDescent="0.25">
      <c r="A4609" s="5"/>
    </row>
    <row r="4610" spans="1:1" x14ac:dyDescent="0.25">
      <c r="A4610" s="5"/>
    </row>
    <row r="4611" spans="1:1" x14ac:dyDescent="0.25">
      <c r="A4611" s="5"/>
    </row>
    <row r="4612" spans="1:1" x14ac:dyDescent="0.25">
      <c r="A4612" s="5"/>
    </row>
    <row r="4613" spans="1:1" x14ac:dyDescent="0.25">
      <c r="A4613" s="5"/>
    </row>
    <row r="4614" spans="1:1" x14ac:dyDescent="0.25">
      <c r="A4614" s="5"/>
    </row>
    <row r="4615" spans="1:1" x14ac:dyDescent="0.25">
      <c r="A4615" s="5"/>
    </row>
    <row r="4616" spans="1:1" x14ac:dyDescent="0.25">
      <c r="A4616" s="5"/>
    </row>
    <row r="4617" spans="1:1" x14ac:dyDescent="0.25">
      <c r="A4617" s="5"/>
    </row>
    <row r="4618" spans="1:1" x14ac:dyDescent="0.25">
      <c r="A4618" s="5"/>
    </row>
    <row r="4619" spans="1:1" x14ac:dyDescent="0.25">
      <c r="A4619" s="5"/>
    </row>
    <row r="4620" spans="1:1" x14ac:dyDescent="0.25">
      <c r="A4620" s="5"/>
    </row>
    <row r="4621" spans="1:1" x14ac:dyDescent="0.25">
      <c r="A4621" s="5"/>
    </row>
    <row r="4622" spans="1:1" x14ac:dyDescent="0.25">
      <c r="A4622" s="5"/>
    </row>
    <row r="4623" spans="1:1" x14ac:dyDescent="0.25">
      <c r="A4623" s="5"/>
    </row>
    <row r="4624" spans="1:1" x14ac:dyDescent="0.25">
      <c r="A4624" s="5"/>
    </row>
    <row r="4625" spans="1:1" x14ac:dyDescent="0.25">
      <c r="A4625" s="5"/>
    </row>
    <row r="4626" spans="1:1" x14ac:dyDescent="0.25">
      <c r="A4626" s="5"/>
    </row>
    <row r="4627" spans="1:1" x14ac:dyDescent="0.25">
      <c r="A4627" s="5"/>
    </row>
    <row r="4628" spans="1:1" x14ac:dyDescent="0.25">
      <c r="A4628" s="5"/>
    </row>
    <row r="4629" spans="1:1" x14ac:dyDescent="0.25">
      <c r="A4629" s="5"/>
    </row>
    <row r="4630" spans="1:1" x14ac:dyDescent="0.25">
      <c r="A4630" s="5"/>
    </row>
    <row r="4631" spans="1:1" x14ac:dyDescent="0.25">
      <c r="A4631" s="5"/>
    </row>
    <row r="4632" spans="1:1" x14ac:dyDescent="0.25">
      <c r="A4632" s="5"/>
    </row>
    <row r="4633" spans="1:1" x14ac:dyDescent="0.25">
      <c r="A4633" s="5"/>
    </row>
    <row r="4634" spans="1:1" x14ac:dyDescent="0.25">
      <c r="A4634" s="5"/>
    </row>
    <row r="4635" spans="1:1" x14ac:dyDescent="0.25">
      <c r="A4635" s="5"/>
    </row>
    <row r="4636" spans="1:1" x14ac:dyDescent="0.25">
      <c r="A4636" s="5"/>
    </row>
    <row r="4637" spans="1:1" x14ac:dyDescent="0.25">
      <c r="A4637" s="5"/>
    </row>
    <row r="4638" spans="1:1" x14ac:dyDescent="0.25">
      <c r="A4638" s="5"/>
    </row>
    <row r="4639" spans="1:1" x14ac:dyDescent="0.25">
      <c r="A4639" s="5"/>
    </row>
    <row r="4640" spans="1:1" x14ac:dyDescent="0.25">
      <c r="A4640" s="5"/>
    </row>
    <row r="4641" spans="1:1" x14ac:dyDescent="0.25">
      <c r="A4641" s="5"/>
    </row>
    <row r="4642" spans="1:1" x14ac:dyDescent="0.25">
      <c r="A4642" s="5"/>
    </row>
    <row r="4643" spans="1:1" x14ac:dyDescent="0.25">
      <c r="A4643" s="5"/>
    </row>
    <row r="4644" spans="1:1" x14ac:dyDescent="0.25">
      <c r="A4644" s="5"/>
    </row>
    <row r="4645" spans="1:1" x14ac:dyDescent="0.25">
      <c r="A4645" s="5"/>
    </row>
    <row r="4646" spans="1:1" x14ac:dyDescent="0.25">
      <c r="A4646" s="5"/>
    </row>
    <row r="4647" spans="1:1" x14ac:dyDescent="0.25">
      <c r="A4647" s="5"/>
    </row>
    <row r="4648" spans="1:1" x14ac:dyDescent="0.25">
      <c r="A4648" s="5"/>
    </row>
    <row r="4649" spans="1:1" x14ac:dyDescent="0.25">
      <c r="A4649" s="5"/>
    </row>
    <row r="4650" spans="1:1" x14ac:dyDescent="0.25">
      <c r="A4650" s="5"/>
    </row>
    <row r="4651" spans="1:1" x14ac:dyDescent="0.25">
      <c r="A4651" s="5"/>
    </row>
    <row r="4652" spans="1:1" x14ac:dyDescent="0.25">
      <c r="A4652" s="5"/>
    </row>
    <row r="4653" spans="1:1" x14ac:dyDescent="0.25">
      <c r="A4653" s="5"/>
    </row>
    <row r="4654" spans="1:1" x14ac:dyDescent="0.25">
      <c r="A4654" s="5"/>
    </row>
    <row r="4655" spans="1:1" x14ac:dyDescent="0.25">
      <c r="A4655" s="5"/>
    </row>
    <row r="4656" spans="1:1" x14ac:dyDescent="0.25">
      <c r="A4656" s="5"/>
    </row>
    <row r="4657" spans="1:1" x14ac:dyDescent="0.25">
      <c r="A4657" s="5"/>
    </row>
    <row r="4658" spans="1:1" x14ac:dyDescent="0.25">
      <c r="A4658" s="5"/>
    </row>
    <row r="4659" spans="1:1" x14ac:dyDescent="0.25">
      <c r="A4659" s="5"/>
    </row>
    <row r="4660" spans="1:1" x14ac:dyDescent="0.25">
      <c r="A4660" s="5"/>
    </row>
    <row r="4661" spans="1:1" x14ac:dyDescent="0.25">
      <c r="A4661" s="5"/>
    </row>
    <row r="4662" spans="1:1" x14ac:dyDescent="0.25">
      <c r="A4662" s="5"/>
    </row>
    <row r="4663" spans="1:1" x14ac:dyDescent="0.25">
      <c r="A4663" s="5"/>
    </row>
    <row r="4664" spans="1:1" x14ac:dyDescent="0.25">
      <c r="A4664" s="5"/>
    </row>
    <row r="4665" spans="1:1" x14ac:dyDescent="0.25">
      <c r="A4665" s="5"/>
    </row>
    <row r="4666" spans="1:1" x14ac:dyDescent="0.25">
      <c r="A4666" s="5"/>
    </row>
    <row r="4667" spans="1:1" x14ac:dyDescent="0.25">
      <c r="A4667" s="5"/>
    </row>
    <row r="4668" spans="1:1" x14ac:dyDescent="0.25">
      <c r="A4668" s="5"/>
    </row>
    <row r="4669" spans="1:1" x14ac:dyDescent="0.25">
      <c r="A4669" s="5"/>
    </row>
    <row r="4670" spans="1:1" x14ac:dyDescent="0.25">
      <c r="A4670" s="5"/>
    </row>
    <row r="4671" spans="1:1" x14ac:dyDescent="0.25">
      <c r="A4671" s="5"/>
    </row>
    <row r="4672" spans="1:1" x14ac:dyDescent="0.25">
      <c r="A4672" s="5"/>
    </row>
    <row r="4673" spans="1:1" x14ac:dyDescent="0.25">
      <c r="A4673" s="5"/>
    </row>
    <row r="4674" spans="1:1" x14ac:dyDescent="0.25">
      <c r="A4674" s="5"/>
    </row>
    <row r="4675" spans="1:1" x14ac:dyDescent="0.25">
      <c r="A4675" s="5"/>
    </row>
    <row r="4676" spans="1:1" x14ac:dyDescent="0.25">
      <c r="A4676" s="5"/>
    </row>
    <row r="4677" spans="1:1" x14ac:dyDescent="0.25">
      <c r="A4677" s="5"/>
    </row>
    <row r="4678" spans="1:1" x14ac:dyDescent="0.25">
      <c r="A4678" s="5"/>
    </row>
    <row r="4679" spans="1:1" x14ac:dyDescent="0.25">
      <c r="A4679" s="5"/>
    </row>
    <row r="4680" spans="1:1" x14ac:dyDescent="0.25">
      <c r="A4680" s="5"/>
    </row>
    <row r="4681" spans="1:1" x14ac:dyDescent="0.25">
      <c r="A4681" s="5"/>
    </row>
    <row r="4682" spans="1:1" x14ac:dyDescent="0.25">
      <c r="A4682" s="5"/>
    </row>
    <row r="4683" spans="1:1" x14ac:dyDescent="0.25">
      <c r="A4683" s="5"/>
    </row>
    <row r="4684" spans="1:1" x14ac:dyDescent="0.25">
      <c r="A4684" s="5"/>
    </row>
    <row r="4685" spans="1:1" x14ac:dyDescent="0.25">
      <c r="A4685" s="5"/>
    </row>
    <row r="4686" spans="1:1" x14ac:dyDescent="0.25">
      <c r="A4686" s="5"/>
    </row>
    <row r="4687" spans="1:1" x14ac:dyDescent="0.25">
      <c r="A4687" s="5"/>
    </row>
    <row r="4688" spans="1:1" x14ac:dyDescent="0.25">
      <c r="A4688" s="5"/>
    </row>
    <row r="4689" spans="1:1" x14ac:dyDescent="0.25">
      <c r="A4689" s="5"/>
    </row>
    <row r="4690" spans="1:1" x14ac:dyDescent="0.25">
      <c r="A4690" s="5"/>
    </row>
    <row r="4691" spans="1:1" x14ac:dyDescent="0.25">
      <c r="A4691" s="5"/>
    </row>
    <row r="4692" spans="1:1" x14ac:dyDescent="0.25">
      <c r="A4692" s="5"/>
    </row>
    <row r="4693" spans="1:1" x14ac:dyDescent="0.25">
      <c r="A4693" s="5"/>
    </row>
    <row r="4694" spans="1:1" x14ac:dyDescent="0.25">
      <c r="A4694" s="5"/>
    </row>
    <row r="4695" spans="1:1" x14ac:dyDescent="0.25">
      <c r="A4695" s="5"/>
    </row>
    <row r="4696" spans="1:1" x14ac:dyDescent="0.25">
      <c r="A4696" s="5"/>
    </row>
    <row r="4697" spans="1:1" x14ac:dyDescent="0.25">
      <c r="A4697" s="5"/>
    </row>
    <row r="4698" spans="1:1" x14ac:dyDescent="0.25">
      <c r="A4698" s="5"/>
    </row>
    <row r="4699" spans="1:1" x14ac:dyDescent="0.25">
      <c r="A4699" s="5"/>
    </row>
    <row r="4700" spans="1:1" x14ac:dyDescent="0.25">
      <c r="A4700" s="5"/>
    </row>
    <row r="4701" spans="1:1" x14ac:dyDescent="0.25">
      <c r="A4701" s="5"/>
    </row>
    <row r="4702" spans="1:1" x14ac:dyDescent="0.25">
      <c r="A4702" s="5"/>
    </row>
    <row r="4703" spans="1:1" x14ac:dyDescent="0.25">
      <c r="A4703" s="5"/>
    </row>
    <row r="4704" spans="1:1" x14ac:dyDescent="0.25">
      <c r="A4704" s="5"/>
    </row>
    <row r="4705" spans="1:1" x14ac:dyDescent="0.25">
      <c r="A4705" s="5"/>
    </row>
    <row r="4706" spans="1:1" x14ac:dyDescent="0.25">
      <c r="A4706" s="5"/>
    </row>
    <row r="4707" spans="1:1" x14ac:dyDescent="0.25">
      <c r="A4707" s="5"/>
    </row>
    <row r="4708" spans="1:1" x14ac:dyDescent="0.25">
      <c r="A4708" s="5"/>
    </row>
    <row r="4709" spans="1:1" x14ac:dyDescent="0.25">
      <c r="A4709" s="5"/>
    </row>
    <row r="4710" spans="1:1" x14ac:dyDescent="0.25">
      <c r="A4710" s="5"/>
    </row>
    <row r="4711" spans="1:1" x14ac:dyDescent="0.25">
      <c r="A4711" s="5"/>
    </row>
    <row r="4712" spans="1:1" x14ac:dyDescent="0.25">
      <c r="A4712" s="5"/>
    </row>
    <row r="4713" spans="1:1" x14ac:dyDescent="0.25">
      <c r="A4713" s="5"/>
    </row>
    <row r="4714" spans="1:1" x14ac:dyDescent="0.25">
      <c r="A4714" s="5"/>
    </row>
    <row r="4715" spans="1:1" x14ac:dyDescent="0.25">
      <c r="A4715" s="5"/>
    </row>
    <row r="4716" spans="1:1" x14ac:dyDescent="0.25">
      <c r="A4716" s="5"/>
    </row>
    <row r="4717" spans="1:1" x14ac:dyDescent="0.25">
      <c r="A4717" s="5"/>
    </row>
    <row r="4718" spans="1:1" x14ac:dyDescent="0.25">
      <c r="A4718" s="5"/>
    </row>
    <row r="4719" spans="1:1" x14ac:dyDescent="0.25">
      <c r="A4719" s="5"/>
    </row>
    <row r="4720" spans="1:1" x14ac:dyDescent="0.25">
      <c r="A4720" s="5"/>
    </row>
    <row r="4721" spans="1:1" x14ac:dyDescent="0.25">
      <c r="A4721" s="5"/>
    </row>
    <row r="4722" spans="1:1" x14ac:dyDescent="0.25">
      <c r="A4722" s="5"/>
    </row>
    <row r="4723" spans="1:1" x14ac:dyDescent="0.25">
      <c r="A4723" s="5"/>
    </row>
    <row r="4724" spans="1:1" x14ac:dyDescent="0.25">
      <c r="A4724" s="5"/>
    </row>
    <row r="4725" spans="1:1" x14ac:dyDescent="0.25">
      <c r="A4725" s="5"/>
    </row>
    <row r="4726" spans="1:1" x14ac:dyDescent="0.25">
      <c r="A4726" s="5"/>
    </row>
    <row r="4727" spans="1:1" x14ac:dyDescent="0.25">
      <c r="A4727" s="5"/>
    </row>
    <row r="4728" spans="1:1" x14ac:dyDescent="0.25">
      <c r="A4728" s="5"/>
    </row>
    <row r="4729" spans="1:1" x14ac:dyDescent="0.25">
      <c r="A4729" s="5"/>
    </row>
    <row r="4730" spans="1:1" x14ac:dyDescent="0.25">
      <c r="A4730" s="5"/>
    </row>
    <row r="4731" spans="1:1" x14ac:dyDescent="0.25">
      <c r="A4731" s="5"/>
    </row>
    <row r="4732" spans="1:1" x14ac:dyDescent="0.25">
      <c r="A4732" s="5"/>
    </row>
    <row r="4733" spans="1:1" x14ac:dyDescent="0.25">
      <c r="A4733" s="5"/>
    </row>
    <row r="4734" spans="1:1" x14ac:dyDescent="0.25">
      <c r="A4734" s="5"/>
    </row>
    <row r="4735" spans="1:1" x14ac:dyDescent="0.25">
      <c r="A4735" s="5"/>
    </row>
    <row r="4736" spans="1:1" x14ac:dyDescent="0.25">
      <c r="A4736" s="5"/>
    </row>
    <row r="4737" spans="1:1" x14ac:dyDescent="0.25">
      <c r="A4737" s="5"/>
    </row>
    <row r="4738" spans="1:1" x14ac:dyDescent="0.25">
      <c r="A4738" s="5"/>
    </row>
    <row r="4739" spans="1:1" x14ac:dyDescent="0.25">
      <c r="A4739" s="5"/>
    </row>
    <row r="4740" spans="1:1" x14ac:dyDescent="0.25">
      <c r="A4740" s="5"/>
    </row>
    <row r="4741" spans="1:1" x14ac:dyDescent="0.25">
      <c r="A4741" s="5"/>
    </row>
    <row r="4742" spans="1:1" x14ac:dyDescent="0.25">
      <c r="A4742" s="5"/>
    </row>
    <row r="4743" spans="1:1" x14ac:dyDescent="0.25">
      <c r="A4743" s="5"/>
    </row>
    <row r="4744" spans="1:1" x14ac:dyDescent="0.25">
      <c r="A4744" s="5"/>
    </row>
    <row r="4745" spans="1:1" x14ac:dyDescent="0.25">
      <c r="A4745" s="5"/>
    </row>
    <row r="4746" spans="1:1" x14ac:dyDescent="0.25">
      <c r="A4746" s="5"/>
    </row>
    <row r="4747" spans="1:1" x14ac:dyDescent="0.25">
      <c r="A4747" s="5"/>
    </row>
    <row r="4748" spans="1:1" x14ac:dyDescent="0.25">
      <c r="A4748" s="5"/>
    </row>
    <row r="4749" spans="1:1" x14ac:dyDescent="0.25">
      <c r="A4749" s="5"/>
    </row>
    <row r="4750" spans="1:1" x14ac:dyDescent="0.25">
      <c r="A4750" s="5"/>
    </row>
    <row r="4751" spans="1:1" x14ac:dyDescent="0.25">
      <c r="A4751" s="5"/>
    </row>
    <row r="4752" spans="1:1" x14ac:dyDescent="0.25">
      <c r="A4752" s="5"/>
    </row>
    <row r="4753" spans="1:1" x14ac:dyDescent="0.25">
      <c r="A4753" s="5"/>
    </row>
    <row r="4754" spans="1:1" x14ac:dyDescent="0.25">
      <c r="A4754" s="5"/>
    </row>
    <row r="4755" spans="1:1" x14ac:dyDescent="0.25">
      <c r="A4755" s="5"/>
    </row>
    <row r="4756" spans="1:1" x14ac:dyDescent="0.25">
      <c r="A4756" s="5"/>
    </row>
    <row r="4757" spans="1:1" x14ac:dyDescent="0.25">
      <c r="A4757" s="5"/>
    </row>
    <row r="4758" spans="1:1" x14ac:dyDescent="0.25">
      <c r="A4758" s="5"/>
    </row>
    <row r="4759" spans="1:1" x14ac:dyDescent="0.25">
      <c r="A4759" s="5"/>
    </row>
    <row r="4760" spans="1:1" x14ac:dyDescent="0.25">
      <c r="A4760" s="5"/>
    </row>
    <row r="4761" spans="1:1" x14ac:dyDescent="0.25">
      <c r="A4761" s="5"/>
    </row>
    <row r="4762" spans="1:1" x14ac:dyDescent="0.25">
      <c r="A4762" s="5"/>
    </row>
    <row r="4763" spans="1:1" x14ac:dyDescent="0.25">
      <c r="A4763" s="5"/>
    </row>
    <row r="4764" spans="1:1" x14ac:dyDescent="0.25">
      <c r="A4764" s="5"/>
    </row>
    <row r="4765" spans="1:1" x14ac:dyDescent="0.25">
      <c r="A4765" s="5"/>
    </row>
    <row r="4766" spans="1:1" x14ac:dyDescent="0.25">
      <c r="A4766" s="5"/>
    </row>
    <row r="4767" spans="1:1" x14ac:dyDescent="0.25">
      <c r="A4767" s="5"/>
    </row>
    <row r="4768" spans="1:1" x14ac:dyDescent="0.25">
      <c r="A4768" s="5"/>
    </row>
    <row r="4769" spans="1:1" x14ac:dyDescent="0.25">
      <c r="A4769" s="5"/>
    </row>
    <row r="4770" spans="1:1" x14ac:dyDescent="0.25">
      <c r="A4770" s="5"/>
    </row>
    <row r="4771" spans="1:1" x14ac:dyDescent="0.25">
      <c r="A4771" s="5"/>
    </row>
    <row r="4772" spans="1:1" x14ac:dyDescent="0.25">
      <c r="A4772" s="5"/>
    </row>
    <row r="4773" spans="1:1" x14ac:dyDescent="0.25">
      <c r="A4773" s="5"/>
    </row>
    <row r="4774" spans="1:1" x14ac:dyDescent="0.25">
      <c r="A4774" s="5"/>
    </row>
    <row r="4775" spans="1:1" x14ac:dyDescent="0.25">
      <c r="A4775" s="5"/>
    </row>
    <row r="4776" spans="1:1" x14ac:dyDescent="0.25">
      <c r="A4776" s="5"/>
    </row>
    <row r="4777" spans="1:1" x14ac:dyDescent="0.25">
      <c r="A4777" s="5"/>
    </row>
    <row r="4778" spans="1:1" x14ac:dyDescent="0.25">
      <c r="A4778" s="5"/>
    </row>
    <row r="4779" spans="1:1" x14ac:dyDescent="0.25">
      <c r="A4779" s="5"/>
    </row>
    <row r="4780" spans="1:1" x14ac:dyDescent="0.25">
      <c r="A4780" s="5"/>
    </row>
    <row r="4781" spans="1:1" x14ac:dyDescent="0.25">
      <c r="A4781" s="5"/>
    </row>
    <row r="4782" spans="1:1" x14ac:dyDescent="0.25">
      <c r="A4782" s="5"/>
    </row>
    <row r="4783" spans="1:1" x14ac:dyDescent="0.25">
      <c r="A4783" s="5"/>
    </row>
    <row r="4784" spans="1:1" x14ac:dyDescent="0.25">
      <c r="A4784" s="5"/>
    </row>
    <row r="4785" spans="1:1" x14ac:dyDescent="0.25">
      <c r="A4785" s="5"/>
    </row>
    <row r="4786" spans="1:1" x14ac:dyDescent="0.25">
      <c r="A4786" s="5"/>
    </row>
    <row r="4787" spans="1:1" x14ac:dyDescent="0.25">
      <c r="A4787" s="5"/>
    </row>
    <row r="4788" spans="1:1" x14ac:dyDescent="0.25">
      <c r="A4788" s="5"/>
    </row>
    <row r="4789" spans="1:1" x14ac:dyDescent="0.25">
      <c r="A4789" s="5"/>
    </row>
    <row r="4790" spans="1:1" x14ac:dyDescent="0.25">
      <c r="A4790" s="5"/>
    </row>
    <row r="4791" spans="1:1" x14ac:dyDescent="0.25">
      <c r="A4791" s="5"/>
    </row>
    <row r="4792" spans="1:1" x14ac:dyDescent="0.25">
      <c r="A4792" s="5"/>
    </row>
    <row r="4793" spans="1:1" x14ac:dyDescent="0.25">
      <c r="A4793" s="5"/>
    </row>
    <row r="4794" spans="1:1" x14ac:dyDescent="0.25">
      <c r="A4794" s="5"/>
    </row>
    <row r="4795" spans="1:1" x14ac:dyDescent="0.25">
      <c r="A4795" s="5"/>
    </row>
    <row r="4796" spans="1:1" x14ac:dyDescent="0.25">
      <c r="A4796" s="5"/>
    </row>
    <row r="4797" spans="1:1" x14ac:dyDescent="0.25">
      <c r="A4797" s="5"/>
    </row>
    <row r="4798" spans="1:1" x14ac:dyDescent="0.25">
      <c r="A4798" s="5"/>
    </row>
    <row r="4799" spans="1:1" x14ac:dyDescent="0.25">
      <c r="A4799" s="5"/>
    </row>
    <row r="4800" spans="1:1" x14ac:dyDescent="0.25">
      <c r="A4800" s="5"/>
    </row>
    <row r="4801" spans="1:1" x14ac:dyDescent="0.25">
      <c r="A4801" s="5"/>
    </row>
    <row r="4802" spans="1:1" x14ac:dyDescent="0.25">
      <c r="A4802" s="5"/>
    </row>
    <row r="4803" spans="1:1" x14ac:dyDescent="0.25">
      <c r="A4803" s="5"/>
    </row>
    <row r="4804" spans="1:1" x14ac:dyDescent="0.25">
      <c r="A4804" s="5"/>
    </row>
    <row r="4805" spans="1:1" x14ac:dyDescent="0.25">
      <c r="A4805" s="5"/>
    </row>
    <row r="4806" spans="1:1" x14ac:dyDescent="0.25">
      <c r="A4806" s="5"/>
    </row>
    <row r="4807" spans="1:1" x14ac:dyDescent="0.25">
      <c r="A4807" s="5"/>
    </row>
    <row r="4808" spans="1:1" x14ac:dyDescent="0.25">
      <c r="A4808" s="5"/>
    </row>
    <row r="4809" spans="1:1" x14ac:dyDescent="0.25">
      <c r="A4809" s="5"/>
    </row>
    <row r="4810" spans="1:1" x14ac:dyDescent="0.25">
      <c r="A4810" s="5"/>
    </row>
    <row r="4811" spans="1:1" x14ac:dyDescent="0.25">
      <c r="A4811" s="5"/>
    </row>
    <row r="4812" spans="1:1" x14ac:dyDescent="0.25">
      <c r="A4812" s="5"/>
    </row>
    <row r="4813" spans="1:1" x14ac:dyDescent="0.25">
      <c r="A4813" s="5"/>
    </row>
    <row r="4814" spans="1:1" x14ac:dyDescent="0.25">
      <c r="A4814" s="5"/>
    </row>
    <row r="4815" spans="1:1" x14ac:dyDescent="0.25">
      <c r="A4815" s="5"/>
    </row>
    <row r="4816" spans="1:1" x14ac:dyDescent="0.25">
      <c r="A4816" s="5"/>
    </row>
    <row r="4817" spans="1:1" x14ac:dyDescent="0.25">
      <c r="A4817" s="5"/>
    </row>
    <row r="4818" spans="1:1" x14ac:dyDescent="0.25">
      <c r="A4818" s="5"/>
    </row>
    <row r="4819" spans="1:1" x14ac:dyDescent="0.25">
      <c r="A4819" s="5"/>
    </row>
    <row r="4820" spans="1:1" x14ac:dyDescent="0.25">
      <c r="A4820" s="5"/>
    </row>
    <row r="4821" spans="1:1" x14ac:dyDescent="0.25">
      <c r="A4821" s="5"/>
    </row>
    <row r="4822" spans="1:1" x14ac:dyDescent="0.25">
      <c r="A4822" s="5"/>
    </row>
    <row r="4823" spans="1:1" x14ac:dyDescent="0.25">
      <c r="A4823" s="5"/>
    </row>
    <row r="4824" spans="1:1" x14ac:dyDescent="0.25">
      <c r="A4824" s="5"/>
    </row>
    <row r="4825" spans="1:1" x14ac:dyDescent="0.25">
      <c r="A4825" s="5"/>
    </row>
    <row r="4826" spans="1:1" x14ac:dyDescent="0.25">
      <c r="A4826" s="5"/>
    </row>
    <row r="4827" spans="1:1" x14ac:dyDescent="0.25">
      <c r="A4827" s="5"/>
    </row>
    <row r="4828" spans="1:1" x14ac:dyDescent="0.25">
      <c r="A4828" s="5"/>
    </row>
    <row r="4829" spans="1:1" x14ac:dyDescent="0.25">
      <c r="A4829" s="5"/>
    </row>
    <row r="4830" spans="1:1" x14ac:dyDescent="0.25">
      <c r="A4830" s="5"/>
    </row>
    <row r="4831" spans="1:1" x14ac:dyDescent="0.25">
      <c r="A4831" s="5"/>
    </row>
    <row r="4832" spans="1:1" x14ac:dyDescent="0.25">
      <c r="A4832" s="5"/>
    </row>
    <row r="4833" spans="1:1" x14ac:dyDescent="0.25">
      <c r="A4833" s="5"/>
    </row>
    <row r="4834" spans="1:1" x14ac:dyDescent="0.25">
      <c r="A4834" s="5"/>
    </row>
    <row r="4835" spans="1:1" x14ac:dyDescent="0.25">
      <c r="A4835" s="5"/>
    </row>
    <row r="4836" spans="1:1" x14ac:dyDescent="0.25">
      <c r="A4836" s="5"/>
    </row>
    <row r="4837" spans="1:1" x14ac:dyDescent="0.25">
      <c r="A4837" s="5"/>
    </row>
    <row r="4838" spans="1:1" x14ac:dyDescent="0.25">
      <c r="A4838" s="5"/>
    </row>
    <row r="4839" spans="1:1" x14ac:dyDescent="0.25">
      <c r="A4839" s="5"/>
    </row>
    <row r="4840" spans="1:1" x14ac:dyDescent="0.25">
      <c r="A4840" s="5"/>
    </row>
    <row r="4841" spans="1:1" x14ac:dyDescent="0.25">
      <c r="A4841" s="5"/>
    </row>
    <row r="4842" spans="1:1" x14ac:dyDescent="0.25">
      <c r="A4842" s="5"/>
    </row>
    <row r="4843" spans="1:1" x14ac:dyDescent="0.25">
      <c r="A4843" s="5"/>
    </row>
    <row r="4844" spans="1:1" x14ac:dyDescent="0.25">
      <c r="A4844" s="5"/>
    </row>
    <row r="4845" spans="1:1" x14ac:dyDescent="0.25">
      <c r="A4845" s="5"/>
    </row>
    <row r="4846" spans="1:1" x14ac:dyDescent="0.25">
      <c r="A4846" s="5"/>
    </row>
    <row r="4847" spans="1:1" x14ac:dyDescent="0.25">
      <c r="A4847" s="5"/>
    </row>
    <row r="4848" spans="1:1" x14ac:dyDescent="0.25">
      <c r="A4848" s="5"/>
    </row>
    <row r="4849" spans="1:1" x14ac:dyDescent="0.25">
      <c r="A4849" s="5"/>
    </row>
    <row r="4850" spans="1:1" x14ac:dyDescent="0.25">
      <c r="A4850" s="5"/>
    </row>
    <row r="4851" spans="1:1" x14ac:dyDescent="0.25">
      <c r="A4851" s="5"/>
    </row>
    <row r="4852" spans="1:1" x14ac:dyDescent="0.25">
      <c r="A4852" s="5"/>
    </row>
    <row r="4853" spans="1:1" x14ac:dyDescent="0.25">
      <c r="A4853" s="5"/>
    </row>
    <row r="4854" spans="1:1" x14ac:dyDescent="0.25">
      <c r="A4854" s="5"/>
    </row>
    <row r="4855" spans="1:1" x14ac:dyDescent="0.25">
      <c r="A4855" s="5"/>
    </row>
    <row r="4856" spans="1:1" x14ac:dyDescent="0.25">
      <c r="A4856" s="5"/>
    </row>
    <row r="4857" spans="1:1" x14ac:dyDescent="0.25">
      <c r="A4857" s="5"/>
    </row>
    <row r="4858" spans="1:1" x14ac:dyDescent="0.25">
      <c r="A4858" s="5"/>
    </row>
    <row r="4859" spans="1:1" x14ac:dyDescent="0.25">
      <c r="A4859" s="5"/>
    </row>
    <row r="4860" spans="1:1" x14ac:dyDescent="0.25">
      <c r="A4860" s="5"/>
    </row>
    <row r="4861" spans="1:1" x14ac:dyDescent="0.25">
      <c r="A4861" s="5"/>
    </row>
    <row r="4862" spans="1:1" x14ac:dyDescent="0.25">
      <c r="A4862" s="5"/>
    </row>
    <row r="4863" spans="1:1" x14ac:dyDescent="0.25">
      <c r="A4863" s="5"/>
    </row>
    <row r="4864" spans="1:1" x14ac:dyDescent="0.25">
      <c r="A4864" s="5"/>
    </row>
    <row r="4865" spans="1:1" x14ac:dyDescent="0.25">
      <c r="A4865" s="5"/>
    </row>
    <row r="4866" spans="1:1" x14ac:dyDescent="0.25">
      <c r="A4866" s="5"/>
    </row>
    <row r="4867" spans="1:1" x14ac:dyDescent="0.25">
      <c r="A4867" s="5"/>
    </row>
    <row r="4868" spans="1:1" x14ac:dyDescent="0.25">
      <c r="A4868" s="5"/>
    </row>
    <row r="4869" spans="1:1" x14ac:dyDescent="0.25">
      <c r="A4869" s="5"/>
    </row>
    <row r="4870" spans="1:1" x14ac:dyDescent="0.25">
      <c r="A4870" s="5"/>
    </row>
    <row r="4871" spans="1:1" x14ac:dyDescent="0.25">
      <c r="A4871" s="5"/>
    </row>
    <row r="4872" spans="1:1" x14ac:dyDescent="0.25">
      <c r="A4872" s="5"/>
    </row>
    <row r="4873" spans="1:1" x14ac:dyDescent="0.25">
      <c r="A4873" s="5"/>
    </row>
    <row r="4874" spans="1:1" x14ac:dyDescent="0.25">
      <c r="A4874" s="5"/>
    </row>
    <row r="4875" spans="1:1" x14ac:dyDescent="0.25">
      <c r="A4875" s="5"/>
    </row>
    <row r="4876" spans="1:1" x14ac:dyDescent="0.25">
      <c r="A4876" s="5"/>
    </row>
    <row r="4877" spans="1:1" x14ac:dyDescent="0.25">
      <c r="A4877" s="5"/>
    </row>
    <row r="4878" spans="1:1" x14ac:dyDescent="0.25">
      <c r="A4878" s="5"/>
    </row>
    <row r="4879" spans="1:1" x14ac:dyDescent="0.25">
      <c r="A4879" s="5"/>
    </row>
    <row r="4880" spans="1:1" x14ac:dyDescent="0.25">
      <c r="A4880" s="5"/>
    </row>
    <row r="4881" spans="1:1" x14ac:dyDescent="0.25">
      <c r="A4881" s="5"/>
    </row>
    <row r="4882" spans="1:1" x14ac:dyDescent="0.25">
      <c r="A4882" s="5"/>
    </row>
    <row r="4883" spans="1:1" x14ac:dyDescent="0.25">
      <c r="A4883" s="5"/>
    </row>
    <row r="4884" spans="1:1" x14ac:dyDescent="0.25">
      <c r="A4884" s="5"/>
    </row>
    <row r="4885" spans="1:1" x14ac:dyDescent="0.25">
      <c r="A4885" s="5"/>
    </row>
    <row r="4886" spans="1:1" x14ac:dyDescent="0.25">
      <c r="A4886" s="5"/>
    </row>
    <row r="4887" spans="1:1" x14ac:dyDescent="0.25">
      <c r="A4887" s="5"/>
    </row>
    <row r="4888" spans="1:1" x14ac:dyDescent="0.25">
      <c r="A4888" s="5"/>
    </row>
    <row r="4889" spans="1:1" x14ac:dyDescent="0.25">
      <c r="A4889" s="5"/>
    </row>
    <row r="4890" spans="1:1" x14ac:dyDescent="0.25">
      <c r="A4890" s="5"/>
    </row>
    <row r="4891" spans="1:1" x14ac:dyDescent="0.25">
      <c r="A4891" s="5"/>
    </row>
    <row r="4892" spans="1:1" x14ac:dyDescent="0.25">
      <c r="A4892" s="5"/>
    </row>
    <row r="4893" spans="1:1" x14ac:dyDescent="0.25">
      <c r="A4893" s="5"/>
    </row>
    <row r="4894" spans="1:1" x14ac:dyDescent="0.25">
      <c r="A4894" s="5"/>
    </row>
    <row r="4895" spans="1:1" x14ac:dyDescent="0.25">
      <c r="A4895" s="5"/>
    </row>
    <row r="4896" spans="1:1" x14ac:dyDescent="0.25">
      <c r="A4896" s="5"/>
    </row>
    <row r="4897" spans="1:1" x14ac:dyDescent="0.25">
      <c r="A4897" s="5"/>
    </row>
    <row r="4898" spans="1:1" x14ac:dyDescent="0.25">
      <c r="A4898" s="5"/>
    </row>
    <row r="4899" spans="1:1" x14ac:dyDescent="0.25">
      <c r="A4899" s="5"/>
    </row>
    <row r="4900" spans="1:1" x14ac:dyDescent="0.25">
      <c r="A4900" s="5"/>
    </row>
    <row r="4901" spans="1:1" x14ac:dyDescent="0.25">
      <c r="A4901" s="5"/>
    </row>
    <row r="4902" spans="1:1" x14ac:dyDescent="0.25">
      <c r="A4902" s="5"/>
    </row>
    <row r="4903" spans="1:1" x14ac:dyDescent="0.25">
      <c r="A4903" s="5"/>
    </row>
    <row r="4904" spans="1:1" x14ac:dyDescent="0.25">
      <c r="A4904" s="5"/>
    </row>
    <row r="4905" spans="1:1" x14ac:dyDescent="0.25">
      <c r="A4905" s="5"/>
    </row>
    <row r="4906" spans="1:1" x14ac:dyDescent="0.25">
      <c r="A4906" s="5"/>
    </row>
    <row r="4907" spans="1:1" x14ac:dyDescent="0.25">
      <c r="A4907" s="5"/>
    </row>
    <row r="4908" spans="1:1" x14ac:dyDescent="0.25">
      <c r="A4908" s="5"/>
    </row>
    <row r="4909" spans="1:1" x14ac:dyDescent="0.25">
      <c r="A4909" s="5"/>
    </row>
    <row r="4910" spans="1:1" x14ac:dyDescent="0.25">
      <c r="A4910" s="5"/>
    </row>
    <row r="4911" spans="1:1" x14ac:dyDescent="0.25">
      <c r="A4911" s="5"/>
    </row>
    <row r="4912" spans="1:1" x14ac:dyDescent="0.25">
      <c r="A4912" s="5"/>
    </row>
    <row r="4913" spans="1:1" x14ac:dyDescent="0.25">
      <c r="A4913" s="5"/>
    </row>
    <row r="4914" spans="1:1" x14ac:dyDescent="0.25">
      <c r="A4914" s="5"/>
    </row>
    <row r="4915" spans="1:1" x14ac:dyDescent="0.25">
      <c r="A4915" s="5"/>
    </row>
    <row r="4916" spans="1:1" x14ac:dyDescent="0.25">
      <c r="A4916" s="5"/>
    </row>
    <row r="4917" spans="1:1" x14ac:dyDescent="0.25">
      <c r="A4917" s="5"/>
    </row>
    <row r="4918" spans="1:1" x14ac:dyDescent="0.25">
      <c r="A4918" s="5"/>
    </row>
    <row r="4919" spans="1:1" x14ac:dyDescent="0.25">
      <c r="A4919" s="5"/>
    </row>
    <row r="4920" spans="1:1" x14ac:dyDescent="0.25">
      <c r="A4920" s="5"/>
    </row>
    <row r="4921" spans="1:1" x14ac:dyDescent="0.25">
      <c r="A4921" s="5"/>
    </row>
    <row r="4922" spans="1:1" x14ac:dyDescent="0.25">
      <c r="A4922" s="5"/>
    </row>
    <row r="4923" spans="1:1" x14ac:dyDescent="0.25">
      <c r="A4923" s="5"/>
    </row>
    <row r="4924" spans="1:1" x14ac:dyDescent="0.25">
      <c r="A4924" s="5"/>
    </row>
    <row r="4925" spans="1:1" x14ac:dyDescent="0.25">
      <c r="A4925" s="5"/>
    </row>
    <row r="4926" spans="1:1" x14ac:dyDescent="0.25">
      <c r="A4926" s="5"/>
    </row>
    <row r="4927" spans="1:1" x14ac:dyDescent="0.25">
      <c r="A4927" s="5"/>
    </row>
    <row r="4928" spans="1:1" x14ac:dyDescent="0.25">
      <c r="A4928" s="5"/>
    </row>
    <row r="4929" spans="1:1" x14ac:dyDescent="0.25">
      <c r="A4929" s="5"/>
    </row>
    <row r="4930" spans="1:1" x14ac:dyDescent="0.25">
      <c r="A4930" s="5"/>
    </row>
    <row r="4931" spans="1:1" x14ac:dyDescent="0.25">
      <c r="A4931" s="5"/>
    </row>
    <row r="4932" spans="1:1" x14ac:dyDescent="0.25">
      <c r="A4932" s="5"/>
    </row>
    <row r="4933" spans="1:1" x14ac:dyDescent="0.25">
      <c r="A4933" s="5"/>
    </row>
    <row r="4934" spans="1:1" x14ac:dyDescent="0.25">
      <c r="A4934" s="5"/>
    </row>
    <row r="4935" spans="1:1" x14ac:dyDescent="0.25">
      <c r="A4935" s="5"/>
    </row>
    <row r="4936" spans="1:1" x14ac:dyDescent="0.25">
      <c r="A4936" s="5"/>
    </row>
    <row r="4937" spans="1:1" x14ac:dyDescent="0.25">
      <c r="A4937" s="5"/>
    </row>
    <row r="4938" spans="1:1" x14ac:dyDescent="0.25">
      <c r="A4938" s="5"/>
    </row>
    <row r="4939" spans="1:1" x14ac:dyDescent="0.25">
      <c r="A4939" s="5"/>
    </row>
    <row r="4940" spans="1:1" x14ac:dyDescent="0.25">
      <c r="A4940" s="5"/>
    </row>
    <row r="4941" spans="1:1" x14ac:dyDescent="0.25">
      <c r="A4941" s="5"/>
    </row>
    <row r="4942" spans="1:1" x14ac:dyDescent="0.25">
      <c r="A4942" s="5"/>
    </row>
    <row r="4943" spans="1:1" x14ac:dyDescent="0.25">
      <c r="A4943" s="5"/>
    </row>
    <row r="4944" spans="1:1" x14ac:dyDescent="0.25">
      <c r="A4944" s="5"/>
    </row>
    <row r="4945" spans="1:1" x14ac:dyDescent="0.25">
      <c r="A4945" s="5"/>
    </row>
    <row r="4946" spans="1:1" x14ac:dyDescent="0.25">
      <c r="A4946" s="5"/>
    </row>
    <row r="4947" spans="1:1" x14ac:dyDescent="0.25">
      <c r="A4947" s="5"/>
    </row>
    <row r="4948" spans="1:1" x14ac:dyDescent="0.25">
      <c r="A4948" s="5"/>
    </row>
    <row r="4949" spans="1:1" x14ac:dyDescent="0.25">
      <c r="A4949" s="5"/>
    </row>
    <row r="4950" spans="1:1" x14ac:dyDescent="0.25">
      <c r="A4950" s="5"/>
    </row>
    <row r="4951" spans="1:1" x14ac:dyDescent="0.25">
      <c r="A4951" s="5"/>
    </row>
    <row r="4952" spans="1:1" x14ac:dyDescent="0.25">
      <c r="A4952" s="5"/>
    </row>
    <row r="4953" spans="1:1" x14ac:dyDescent="0.25">
      <c r="A4953" s="5"/>
    </row>
    <row r="4954" spans="1:1" x14ac:dyDescent="0.25">
      <c r="A4954" s="5"/>
    </row>
    <row r="4955" spans="1:1" x14ac:dyDescent="0.25">
      <c r="A4955" s="5"/>
    </row>
    <row r="4956" spans="1:1" x14ac:dyDescent="0.25">
      <c r="A4956" s="5"/>
    </row>
    <row r="4957" spans="1:1" x14ac:dyDescent="0.25">
      <c r="A4957" s="5"/>
    </row>
    <row r="4958" spans="1:1" x14ac:dyDescent="0.25">
      <c r="A4958" s="5"/>
    </row>
    <row r="4959" spans="1:1" x14ac:dyDescent="0.25">
      <c r="A4959" s="5"/>
    </row>
    <row r="4960" spans="1:1" x14ac:dyDescent="0.25">
      <c r="A4960" s="5"/>
    </row>
    <row r="4961" spans="1:1" x14ac:dyDescent="0.25">
      <c r="A4961" s="5"/>
    </row>
    <row r="4962" spans="1:1" x14ac:dyDescent="0.25">
      <c r="A4962" s="5"/>
    </row>
    <row r="4963" spans="1:1" x14ac:dyDescent="0.25">
      <c r="A4963" s="5"/>
    </row>
    <row r="4964" spans="1:1" x14ac:dyDescent="0.25">
      <c r="A4964" s="5"/>
    </row>
    <row r="4965" spans="1:1" x14ac:dyDescent="0.25">
      <c r="A4965" s="5"/>
    </row>
    <row r="4966" spans="1:1" x14ac:dyDescent="0.25">
      <c r="A4966" s="5"/>
    </row>
    <row r="4967" spans="1:1" x14ac:dyDescent="0.25">
      <c r="A4967" s="5"/>
    </row>
    <row r="4968" spans="1:1" x14ac:dyDescent="0.25">
      <c r="A4968" s="5"/>
    </row>
    <row r="4969" spans="1:1" x14ac:dyDescent="0.25">
      <c r="A4969" s="5"/>
    </row>
    <row r="4970" spans="1:1" x14ac:dyDescent="0.25">
      <c r="A4970" s="5"/>
    </row>
    <row r="4971" spans="1:1" x14ac:dyDescent="0.25">
      <c r="A4971" s="5"/>
    </row>
    <row r="4972" spans="1:1" x14ac:dyDescent="0.25">
      <c r="A4972" s="5"/>
    </row>
    <row r="4973" spans="1:1" x14ac:dyDescent="0.25">
      <c r="A4973" s="5"/>
    </row>
    <row r="4974" spans="1:1" x14ac:dyDescent="0.25">
      <c r="A4974" s="5"/>
    </row>
    <row r="4975" spans="1:1" x14ac:dyDescent="0.25">
      <c r="A4975" s="5"/>
    </row>
    <row r="4976" spans="1:1" x14ac:dyDescent="0.25">
      <c r="A4976" s="5"/>
    </row>
    <row r="4977" spans="1:1" x14ac:dyDescent="0.25">
      <c r="A4977" s="5"/>
    </row>
    <row r="4978" spans="1:1" x14ac:dyDescent="0.25">
      <c r="A4978" s="5"/>
    </row>
    <row r="4979" spans="1:1" x14ac:dyDescent="0.25">
      <c r="A4979" s="5"/>
    </row>
    <row r="4980" spans="1:1" x14ac:dyDescent="0.25">
      <c r="A4980" s="5"/>
    </row>
    <row r="4981" spans="1:1" x14ac:dyDescent="0.25">
      <c r="A4981" s="5"/>
    </row>
    <row r="4982" spans="1:1" x14ac:dyDescent="0.25">
      <c r="A4982" s="5"/>
    </row>
    <row r="4983" spans="1:1" x14ac:dyDescent="0.25">
      <c r="A4983" s="5"/>
    </row>
    <row r="4984" spans="1:1" x14ac:dyDescent="0.25">
      <c r="A4984" s="5"/>
    </row>
    <row r="4985" spans="1:1" x14ac:dyDescent="0.25">
      <c r="A4985" s="5"/>
    </row>
    <row r="4986" spans="1:1" x14ac:dyDescent="0.25">
      <c r="A4986" s="5"/>
    </row>
    <row r="4987" spans="1:1" x14ac:dyDescent="0.25">
      <c r="A4987" s="5"/>
    </row>
    <row r="4988" spans="1:1" x14ac:dyDescent="0.25">
      <c r="A4988" s="5"/>
    </row>
    <row r="4989" spans="1:1" x14ac:dyDescent="0.25">
      <c r="A4989" s="5"/>
    </row>
    <row r="4990" spans="1:1" x14ac:dyDescent="0.25">
      <c r="A4990" s="5"/>
    </row>
    <row r="4991" spans="1:1" x14ac:dyDescent="0.25">
      <c r="A4991" s="5"/>
    </row>
    <row r="4992" spans="1:1" x14ac:dyDescent="0.25">
      <c r="A4992" s="5"/>
    </row>
    <row r="4993" spans="1:1" x14ac:dyDescent="0.25">
      <c r="A4993" s="5"/>
    </row>
    <row r="4994" spans="1:1" x14ac:dyDescent="0.25">
      <c r="A4994" s="5"/>
    </row>
    <row r="4995" spans="1:1" x14ac:dyDescent="0.25">
      <c r="A4995" s="5"/>
    </row>
    <row r="4996" spans="1:1" x14ac:dyDescent="0.25">
      <c r="A4996" s="5"/>
    </row>
    <row r="4997" spans="1:1" x14ac:dyDescent="0.25">
      <c r="A4997" s="5"/>
    </row>
    <row r="4998" spans="1:1" x14ac:dyDescent="0.25">
      <c r="A4998" s="5"/>
    </row>
    <row r="4999" spans="1:1" x14ac:dyDescent="0.25">
      <c r="A4999" s="5"/>
    </row>
    <row r="5000" spans="1:1" x14ac:dyDescent="0.25">
      <c r="A5000" s="5"/>
    </row>
    <row r="5001" spans="1:1" x14ac:dyDescent="0.25">
      <c r="A5001" s="5"/>
    </row>
    <row r="5002" spans="1:1" x14ac:dyDescent="0.25">
      <c r="A5002" s="5"/>
    </row>
    <row r="5003" spans="1:1" x14ac:dyDescent="0.25">
      <c r="A5003" s="5"/>
    </row>
    <row r="5004" spans="1:1" x14ac:dyDescent="0.25">
      <c r="A5004" s="5"/>
    </row>
    <row r="5005" spans="1:1" x14ac:dyDescent="0.25">
      <c r="A5005" s="5"/>
    </row>
    <row r="5006" spans="1:1" x14ac:dyDescent="0.25">
      <c r="A5006" s="5"/>
    </row>
    <row r="5007" spans="1:1" x14ac:dyDescent="0.25">
      <c r="A5007" s="5"/>
    </row>
    <row r="5008" spans="1:1" x14ac:dyDescent="0.25">
      <c r="A5008" s="5"/>
    </row>
    <row r="5009" spans="1:1" x14ac:dyDescent="0.25">
      <c r="A5009" s="5"/>
    </row>
    <row r="5010" spans="1:1" x14ac:dyDescent="0.25">
      <c r="A5010" s="5"/>
    </row>
    <row r="5011" spans="1:1" x14ac:dyDescent="0.25">
      <c r="A5011" s="5"/>
    </row>
    <row r="5012" spans="1:1" x14ac:dyDescent="0.25">
      <c r="A5012" s="5"/>
    </row>
    <row r="5013" spans="1:1" x14ac:dyDescent="0.25">
      <c r="A5013" s="5"/>
    </row>
    <row r="5014" spans="1:1" x14ac:dyDescent="0.25">
      <c r="A5014" s="5"/>
    </row>
    <row r="5015" spans="1:1" x14ac:dyDescent="0.25">
      <c r="A5015" s="5"/>
    </row>
    <row r="5016" spans="1:1" x14ac:dyDescent="0.25">
      <c r="A5016" s="5"/>
    </row>
    <row r="5017" spans="1:1" x14ac:dyDescent="0.25">
      <c r="A5017" s="5"/>
    </row>
    <row r="5018" spans="1:1" x14ac:dyDescent="0.25">
      <c r="A5018" s="5"/>
    </row>
    <row r="5019" spans="1:1" x14ac:dyDescent="0.25">
      <c r="A5019" s="5"/>
    </row>
    <row r="5020" spans="1:1" x14ac:dyDescent="0.25">
      <c r="A5020" s="5"/>
    </row>
    <row r="5021" spans="1:1" x14ac:dyDescent="0.25">
      <c r="A5021" s="5"/>
    </row>
    <row r="5022" spans="1:1" x14ac:dyDescent="0.25">
      <c r="A5022" s="5"/>
    </row>
    <row r="5023" spans="1:1" x14ac:dyDescent="0.25">
      <c r="A5023" s="5"/>
    </row>
    <row r="5024" spans="1:1" x14ac:dyDescent="0.25">
      <c r="A5024" s="5"/>
    </row>
    <row r="5025" spans="1:1" x14ac:dyDescent="0.25">
      <c r="A5025" s="5"/>
    </row>
    <row r="5026" spans="1:1" x14ac:dyDescent="0.25">
      <c r="A5026" s="5"/>
    </row>
    <row r="5027" spans="1:1" x14ac:dyDescent="0.25">
      <c r="A5027" s="5"/>
    </row>
    <row r="5028" spans="1:1" x14ac:dyDescent="0.25">
      <c r="A5028" s="5"/>
    </row>
    <row r="5029" spans="1:1" x14ac:dyDescent="0.25">
      <c r="A5029" s="5"/>
    </row>
    <row r="5030" spans="1:1" x14ac:dyDescent="0.25">
      <c r="A5030" s="5"/>
    </row>
    <row r="5031" spans="1:1" x14ac:dyDescent="0.25">
      <c r="A5031" s="5"/>
    </row>
    <row r="5032" spans="1:1" x14ac:dyDescent="0.25">
      <c r="A5032" s="5"/>
    </row>
    <row r="5033" spans="1:1" x14ac:dyDescent="0.25">
      <c r="A5033" s="5"/>
    </row>
    <row r="5034" spans="1:1" x14ac:dyDescent="0.25">
      <c r="A5034" s="5"/>
    </row>
    <row r="5035" spans="1:1" x14ac:dyDescent="0.25">
      <c r="A5035" s="5"/>
    </row>
    <row r="5036" spans="1:1" x14ac:dyDescent="0.25">
      <c r="A5036" s="5"/>
    </row>
    <row r="5037" spans="1:1" x14ac:dyDescent="0.25">
      <c r="A5037" s="5"/>
    </row>
    <row r="5038" spans="1:1" x14ac:dyDescent="0.25">
      <c r="A5038" s="5"/>
    </row>
    <row r="5039" spans="1:1" x14ac:dyDescent="0.25">
      <c r="A5039" s="5"/>
    </row>
    <row r="5040" spans="1:1" x14ac:dyDescent="0.25">
      <c r="A5040" s="5"/>
    </row>
    <row r="5041" spans="1:1" x14ac:dyDescent="0.25">
      <c r="A5041" s="5"/>
    </row>
    <row r="5042" spans="1:1" x14ac:dyDescent="0.25">
      <c r="A5042" s="5"/>
    </row>
    <row r="5043" spans="1:1" x14ac:dyDescent="0.25">
      <c r="A5043" s="5"/>
    </row>
    <row r="5044" spans="1:1" x14ac:dyDescent="0.25">
      <c r="A5044" s="5"/>
    </row>
    <row r="5045" spans="1:1" x14ac:dyDescent="0.25">
      <c r="A5045" s="5"/>
    </row>
    <row r="5046" spans="1:1" x14ac:dyDescent="0.25">
      <c r="A5046" s="5"/>
    </row>
    <row r="5047" spans="1:1" x14ac:dyDescent="0.25">
      <c r="A5047" s="5"/>
    </row>
    <row r="5048" spans="1:1" x14ac:dyDescent="0.25">
      <c r="A5048" s="5"/>
    </row>
    <row r="5049" spans="1:1" x14ac:dyDescent="0.25">
      <c r="A5049" s="5"/>
    </row>
    <row r="5050" spans="1:1" x14ac:dyDescent="0.25">
      <c r="A5050" s="5"/>
    </row>
    <row r="5051" spans="1:1" x14ac:dyDescent="0.25">
      <c r="A5051" s="5"/>
    </row>
    <row r="5052" spans="1:1" x14ac:dyDescent="0.25">
      <c r="A5052" s="5"/>
    </row>
    <row r="5053" spans="1:1" x14ac:dyDescent="0.25">
      <c r="A5053" s="5"/>
    </row>
    <row r="5054" spans="1:1" x14ac:dyDescent="0.25">
      <c r="A5054" s="5"/>
    </row>
    <row r="5055" spans="1:1" x14ac:dyDescent="0.25">
      <c r="A5055" s="5"/>
    </row>
    <row r="5056" spans="1:1" x14ac:dyDescent="0.25">
      <c r="A5056" s="5"/>
    </row>
    <row r="5057" spans="1:1" x14ac:dyDescent="0.25">
      <c r="A5057" s="5"/>
    </row>
    <row r="5058" spans="1:1" x14ac:dyDescent="0.25">
      <c r="A5058" s="5"/>
    </row>
    <row r="5059" spans="1:1" x14ac:dyDescent="0.25">
      <c r="A5059" s="5"/>
    </row>
    <row r="5060" spans="1:1" x14ac:dyDescent="0.25">
      <c r="A5060" s="5"/>
    </row>
    <row r="5061" spans="1:1" x14ac:dyDescent="0.25">
      <c r="A5061" s="5"/>
    </row>
    <row r="5062" spans="1:1" x14ac:dyDescent="0.25">
      <c r="A5062" s="5"/>
    </row>
    <row r="5063" spans="1:1" x14ac:dyDescent="0.25">
      <c r="A5063" s="5"/>
    </row>
    <row r="5064" spans="1:1" x14ac:dyDescent="0.25">
      <c r="A5064" s="5"/>
    </row>
    <row r="5065" spans="1:1" x14ac:dyDescent="0.25">
      <c r="A5065" s="5"/>
    </row>
    <row r="5066" spans="1:1" x14ac:dyDescent="0.25">
      <c r="A5066" s="5"/>
    </row>
    <row r="5067" spans="1:1" x14ac:dyDescent="0.25">
      <c r="A5067" s="5"/>
    </row>
    <row r="5068" spans="1:1" x14ac:dyDescent="0.25">
      <c r="A5068" s="5"/>
    </row>
    <row r="5069" spans="1:1" x14ac:dyDescent="0.25">
      <c r="A5069" s="5"/>
    </row>
    <row r="5070" spans="1:1" x14ac:dyDescent="0.25">
      <c r="A5070" s="5"/>
    </row>
    <row r="5071" spans="1:1" x14ac:dyDescent="0.25">
      <c r="A5071" s="5"/>
    </row>
    <row r="5072" spans="1:1" x14ac:dyDescent="0.25">
      <c r="A5072" s="5"/>
    </row>
    <row r="5073" spans="1:1" x14ac:dyDescent="0.25">
      <c r="A5073" s="5"/>
    </row>
    <row r="5074" spans="1:1" x14ac:dyDescent="0.25">
      <c r="A5074" s="5"/>
    </row>
    <row r="5075" spans="1:1" x14ac:dyDescent="0.25">
      <c r="A5075" s="5"/>
    </row>
    <row r="5076" spans="1:1" x14ac:dyDescent="0.25">
      <c r="A5076" s="5"/>
    </row>
    <row r="5077" spans="1:1" x14ac:dyDescent="0.25">
      <c r="A5077" s="5"/>
    </row>
    <row r="5078" spans="1:1" x14ac:dyDescent="0.25">
      <c r="A5078" s="5"/>
    </row>
    <row r="5079" spans="1:1" x14ac:dyDescent="0.25">
      <c r="A5079" s="5"/>
    </row>
    <row r="5080" spans="1:1" x14ac:dyDescent="0.25">
      <c r="A5080" s="5"/>
    </row>
    <row r="5081" spans="1:1" x14ac:dyDescent="0.25">
      <c r="A5081" s="5"/>
    </row>
    <row r="5082" spans="1:1" x14ac:dyDescent="0.25">
      <c r="A5082" s="5"/>
    </row>
    <row r="5083" spans="1:1" x14ac:dyDescent="0.25">
      <c r="A5083" s="5"/>
    </row>
    <row r="5084" spans="1:1" x14ac:dyDescent="0.25">
      <c r="A5084" s="5"/>
    </row>
    <row r="5085" spans="1:1" x14ac:dyDescent="0.25">
      <c r="A5085" s="5"/>
    </row>
    <row r="5086" spans="1:1" x14ac:dyDescent="0.25">
      <c r="A5086" s="5"/>
    </row>
    <row r="5087" spans="1:1" x14ac:dyDescent="0.25">
      <c r="A5087" s="5"/>
    </row>
    <row r="5088" spans="1:1" x14ac:dyDescent="0.25">
      <c r="A5088" s="5"/>
    </row>
    <row r="5089" spans="1:1" x14ac:dyDescent="0.25">
      <c r="A5089" s="5"/>
    </row>
    <row r="5090" spans="1:1" x14ac:dyDescent="0.25">
      <c r="A5090" s="5"/>
    </row>
    <row r="5091" spans="1:1" x14ac:dyDescent="0.25">
      <c r="A5091" s="5"/>
    </row>
    <row r="5092" spans="1:1" x14ac:dyDescent="0.25">
      <c r="A5092" s="5"/>
    </row>
    <row r="5093" spans="1:1" x14ac:dyDescent="0.25">
      <c r="A5093" s="5"/>
    </row>
    <row r="5094" spans="1:1" x14ac:dyDescent="0.25">
      <c r="A5094" s="5"/>
    </row>
    <row r="5095" spans="1:1" x14ac:dyDescent="0.25">
      <c r="A5095" s="5"/>
    </row>
    <row r="5096" spans="1:1" x14ac:dyDescent="0.25">
      <c r="A5096" s="5"/>
    </row>
    <row r="5097" spans="1:1" x14ac:dyDescent="0.25">
      <c r="A5097" s="5"/>
    </row>
    <row r="5098" spans="1:1" x14ac:dyDescent="0.25">
      <c r="A5098" s="5"/>
    </row>
    <row r="5099" spans="1:1" x14ac:dyDescent="0.25">
      <c r="A5099" s="5"/>
    </row>
    <row r="5100" spans="1:1" x14ac:dyDescent="0.25">
      <c r="A5100" s="5"/>
    </row>
    <row r="5101" spans="1:1" x14ac:dyDescent="0.25">
      <c r="A5101" s="5"/>
    </row>
    <row r="5102" spans="1:1" x14ac:dyDescent="0.25">
      <c r="A5102" s="5"/>
    </row>
    <row r="5103" spans="1:1" x14ac:dyDescent="0.25">
      <c r="A5103" s="5"/>
    </row>
    <row r="5104" spans="1:1" x14ac:dyDescent="0.25">
      <c r="A5104" s="5"/>
    </row>
    <row r="5105" spans="1:1" x14ac:dyDescent="0.25">
      <c r="A5105" s="5"/>
    </row>
    <row r="5106" spans="1:1" x14ac:dyDescent="0.25">
      <c r="A5106" s="5"/>
    </row>
    <row r="5107" spans="1:1" x14ac:dyDescent="0.25">
      <c r="A5107" s="5"/>
    </row>
    <row r="5108" spans="1:1" x14ac:dyDescent="0.25">
      <c r="A5108" s="5"/>
    </row>
    <row r="5109" spans="1:1" x14ac:dyDescent="0.25">
      <c r="A5109" s="5"/>
    </row>
    <row r="5110" spans="1:1" x14ac:dyDescent="0.25">
      <c r="A5110" s="5"/>
    </row>
    <row r="5111" spans="1:1" x14ac:dyDescent="0.25">
      <c r="A5111" s="5"/>
    </row>
    <row r="5112" spans="1:1" x14ac:dyDescent="0.25">
      <c r="A5112" s="5"/>
    </row>
    <row r="5113" spans="1:1" x14ac:dyDescent="0.25">
      <c r="A5113" s="5"/>
    </row>
    <row r="5114" spans="1:1" x14ac:dyDescent="0.25">
      <c r="A5114" s="5"/>
    </row>
    <row r="5115" spans="1:1" x14ac:dyDescent="0.25">
      <c r="A5115" s="5"/>
    </row>
    <row r="5116" spans="1:1" x14ac:dyDescent="0.25">
      <c r="A5116" s="5"/>
    </row>
    <row r="5117" spans="1:1" x14ac:dyDescent="0.25">
      <c r="A5117" s="5"/>
    </row>
    <row r="5118" spans="1:1" x14ac:dyDescent="0.25">
      <c r="A5118" s="5"/>
    </row>
    <row r="5119" spans="1:1" x14ac:dyDescent="0.25">
      <c r="A5119" s="5"/>
    </row>
    <row r="5120" spans="1:1" x14ac:dyDescent="0.25">
      <c r="A5120" s="5"/>
    </row>
    <row r="5121" spans="1:1" x14ac:dyDescent="0.25">
      <c r="A5121" s="5"/>
    </row>
    <row r="5122" spans="1:1" x14ac:dyDescent="0.25">
      <c r="A5122" s="5"/>
    </row>
    <row r="5123" spans="1:1" x14ac:dyDescent="0.25">
      <c r="A5123" s="5"/>
    </row>
    <row r="5124" spans="1:1" x14ac:dyDescent="0.25">
      <c r="A5124" s="5"/>
    </row>
    <row r="5125" spans="1:1" x14ac:dyDescent="0.25">
      <c r="A5125" s="5"/>
    </row>
    <row r="5126" spans="1:1" x14ac:dyDescent="0.25">
      <c r="A5126" s="5"/>
    </row>
    <row r="5127" spans="1:1" x14ac:dyDescent="0.25">
      <c r="A5127" s="5"/>
    </row>
    <row r="5128" spans="1:1" x14ac:dyDescent="0.25">
      <c r="A5128" s="5"/>
    </row>
    <row r="5129" spans="1:1" x14ac:dyDescent="0.25">
      <c r="A5129" s="5"/>
    </row>
    <row r="5130" spans="1:1" x14ac:dyDescent="0.25">
      <c r="A5130" s="5"/>
    </row>
    <row r="5131" spans="1:1" x14ac:dyDescent="0.25">
      <c r="A5131" s="5"/>
    </row>
    <row r="5132" spans="1:1" x14ac:dyDescent="0.25">
      <c r="A5132" s="5"/>
    </row>
    <row r="5133" spans="1:1" x14ac:dyDescent="0.25">
      <c r="A5133" s="5"/>
    </row>
    <row r="5134" spans="1:1" x14ac:dyDescent="0.25">
      <c r="A5134" s="5"/>
    </row>
    <row r="5135" spans="1:1" x14ac:dyDescent="0.25">
      <c r="A5135" s="5"/>
    </row>
    <row r="5136" spans="1:1" x14ac:dyDescent="0.25">
      <c r="A5136" s="5"/>
    </row>
    <row r="5137" spans="1:1" x14ac:dyDescent="0.25">
      <c r="A5137" s="5"/>
    </row>
    <row r="5138" spans="1:1" x14ac:dyDescent="0.25">
      <c r="A5138" s="5"/>
    </row>
    <row r="5139" spans="1:1" x14ac:dyDescent="0.25">
      <c r="A5139" s="5"/>
    </row>
    <row r="5140" spans="1:1" x14ac:dyDescent="0.25">
      <c r="A5140" s="5"/>
    </row>
    <row r="5141" spans="1:1" x14ac:dyDescent="0.25">
      <c r="A5141" s="5"/>
    </row>
    <row r="5142" spans="1:1" x14ac:dyDescent="0.25">
      <c r="A5142" s="5"/>
    </row>
    <row r="5143" spans="1:1" x14ac:dyDescent="0.25">
      <c r="A5143" s="5"/>
    </row>
    <row r="5144" spans="1:1" x14ac:dyDescent="0.25">
      <c r="A5144" s="5"/>
    </row>
    <row r="5145" spans="1:1" x14ac:dyDescent="0.25">
      <c r="A5145" s="5"/>
    </row>
    <row r="5146" spans="1:1" x14ac:dyDescent="0.25">
      <c r="A5146" s="5"/>
    </row>
    <row r="5147" spans="1:1" x14ac:dyDescent="0.25">
      <c r="A5147" s="5"/>
    </row>
    <row r="5148" spans="1:1" x14ac:dyDescent="0.25">
      <c r="A5148" s="5"/>
    </row>
    <row r="5149" spans="1:1" x14ac:dyDescent="0.25">
      <c r="A5149" s="5"/>
    </row>
    <row r="5150" spans="1:1" x14ac:dyDescent="0.25">
      <c r="A5150" s="5"/>
    </row>
    <row r="5151" spans="1:1" x14ac:dyDescent="0.25">
      <c r="A5151" s="5"/>
    </row>
    <row r="5152" spans="1:1" x14ac:dyDescent="0.25">
      <c r="A5152" s="5"/>
    </row>
    <row r="5153" spans="1:1" x14ac:dyDescent="0.25">
      <c r="A5153" s="5"/>
    </row>
    <row r="5154" spans="1:1" x14ac:dyDescent="0.25">
      <c r="A5154" s="5"/>
    </row>
    <row r="5155" spans="1:1" x14ac:dyDescent="0.25">
      <c r="A5155" s="5"/>
    </row>
    <row r="5156" spans="1:1" x14ac:dyDescent="0.25">
      <c r="A5156" s="5"/>
    </row>
    <row r="5157" spans="1:1" x14ac:dyDescent="0.25">
      <c r="A5157" s="5"/>
    </row>
    <row r="5158" spans="1:1" x14ac:dyDescent="0.25">
      <c r="A5158" s="5"/>
    </row>
    <row r="5159" spans="1:1" x14ac:dyDescent="0.25">
      <c r="A5159" s="5"/>
    </row>
    <row r="5160" spans="1:1" x14ac:dyDescent="0.25">
      <c r="A5160" s="5"/>
    </row>
    <row r="5161" spans="1:1" x14ac:dyDescent="0.25">
      <c r="A5161" s="5"/>
    </row>
    <row r="5162" spans="1:1" x14ac:dyDescent="0.25">
      <c r="A5162" s="5"/>
    </row>
    <row r="5163" spans="1:1" x14ac:dyDescent="0.25">
      <c r="A5163" s="5"/>
    </row>
    <row r="5164" spans="1:1" x14ac:dyDescent="0.25">
      <c r="A5164" s="5"/>
    </row>
    <row r="5165" spans="1:1" x14ac:dyDescent="0.25">
      <c r="A5165" s="5"/>
    </row>
    <row r="5166" spans="1:1" x14ac:dyDescent="0.25">
      <c r="A5166" s="5"/>
    </row>
    <row r="5167" spans="1:1" x14ac:dyDescent="0.25">
      <c r="A5167" s="5"/>
    </row>
    <row r="5168" spans="1:1" x14ac:dyDescent="0.25">
      <c r="A5168" s="5"/>
    </row>
    <row r="5169" spans="1:1" x14ac:dyDescent="0.25">
      <c r="A5169" s="5"/>
    </row>
    <row r="5170" spans="1:1" x14ac:dyDescent="0.25">
      <c r="A5170" s="5"/>
    </row>
    <row r="5171" spans="1:1" x14ac:dyDescent="0.25">
      <c r="A5171" s="5"/>
    </row>
    <row r="5172" spans="1:1" x14ac:dyDescent="0.25">
      <c r="A5172" s="5"/>
    </row>
    <row r="5173" spans="1:1" x14ac:dyDescent="0.25">
      <c r="A5173" s="5"/>
    </row>
    <row r="5174" spans="1:1" x14ac:dyDescent="0.25">
      <c r="A5174" s="5"/>
    </row>
    <row r="5175" spans="1:1" x14ac:dyDescent="0.25">
      <c r="A5175" s="5"/>
    </row>
    <row r="5176" spans="1:1" x14ac:dyDescent="0.25">
      <c r="A5176" s="5"/>
    </row>
    <row r="5177" spans="1:1" x14ac:dyDescent="0.25">
      <c r="A5177" s="5"/>
    </row>
    <row r="5178" spans="1:1" x14ac:dyDescent="0.25">
      <c r="A5178" s="5"/>
    </row>
    <row r="5179" spans="1:1" x14ac:dyDescent="0.25">
      <c r="A5179" s="5"/>
    </row>
    <row r="5180" spans="1:1" x14ac:dyDescent="0.25">
      <c r="A5180" s="5"/>
    </row>
    <row r="5181" spans="1:1" x14ac:dyDescent="0.25">
      <c r="A5181" s="5"/>
    </row>
    <row r="5182" spans="1:1" x14ac:dyDescent="0.25">
      <c r="A5182" s="5"/>
    </row>
    <row r="5183" spans="1:1" x14ac:dyDescent="0.25">
      <c r="A5183" s="5"/>
    </row>
    <row r="5184" spans="1:1" x14ac:dyDescent="0.25">
      <c r="A5184" s="5"/>
    </row>
    <row r="5185" spans="1:1" x14ac:dyDescent="0.25">
      <c r="A5185" s="5"/>
    </row>
    <row r="5186" spans="1:1" x14ac:dyDescent="0.25">
      <c r="A5186" s="5"/>
    </row>
    <row r="5187" spans="1:1" x14ac:dyDescent="0.25">
      <c r="A5187" s="5"/>
    </row>
    <row r="5188" spans="1:1" x14ac:dyDescent="0.25">
      <c r="A5188" s="5"/>
    </row>
    <row r="5189" spans="1:1" x14ac:dyDescent="0.25">
      <c r="A5189" s="5"/>
    </row>
    <row r="5190" spans="1:1" x14ac:dyDescent="0.25">
      <c r="A5190" s="5"/>
    </row>
    <row r="5191" spans="1:1" x14ac:dyDescent="0.25">
      <c r="A5191" s="5"/>
    </row>
    <row r="5192" spans="1:1" x14ac:dyDescent="0.25">
      <c r="A5192" s="5"/>
    </row>
    <row r="5193" spans="1:1" x14ac:dyDescent="0.25">
      <c r="A5193" s="5"/>
    </row>
    <row r="5194" spans="1:1" x14ac:dyDescent="0.25">
      <c r="A5194" s="5"/>
    </row>
    <row r="5195" spans="1:1" x14ac:dyDescent="0.25">
      <c r="A5195" s="5"/>
    </row>
    <row r="5196" spans="1:1" x14ac:dyDescent="0.25">
      <c r="A5196" s="5"/>
    </row>
    <row r="5197" spans="1:1" x14ac:dyDescent="0.25">
      <c r="A5197" s="5"/>
    </row>
    <row r="5198" spans="1:1" x14ac:dyDescent="0.25">
      <c r="A5198" s="5"/>
    </row>
    <row r="5199" spans="1:1" x14ac:dyDescent="0.25">
      <c r="A5199" s="5"/>
    </row>
    <row r="5200" spans="1:1" x14ac:dyDescent="0.25">
      <c r="A5200" s="5"/>
    </row>
    <row r="5201" spans="1:1" x14ac:dyDescent="0.25">
      <c r="A5201" s="5"/>
    </row>
    <row r="5202" spans="1:1" x14ac:dyDescent="0.25">
      <c r="A5202" s="5"/>
    </row>
    <row r="5203" spans="1:1" x14ac:dyDescent="0.25">
      <c r="A5203" s="5"/>
    </row>
    <row r="5204" spans="1:1" x14ac:dyDescent="0.25">
      <c r="A5204" s="5"/>
    </row>
    <row r="5205" spans="1:1" x14ac:dyDescent="0.25">
      <c r="A5205" s="5"/>
    </row>
    <row r="5206" spans="1:1" x14ac:dyDescent="0.25">
      <c r="A5206" s="5"/>
    </row>
    <row r="5207" spans="1:1" x14ac:dyDescent="0.25">
      <c r="A5207" s="5"/>
    </row>
    <row r="5208" spans="1:1" x14ac:dyDescent="0.25">
      <c r="A5208" s="5"/>
    </row>
    <row r="5209" spans="1:1" x14ac:dyDescent="0.25">
      <c r="A5209" s="5"/>
    </row>
    <row r="5210" spans="1:1" x14ac:dyDescent="0.25">
      <c r="A5210" s="5"/>
    </row>
    <row r="5211" spans="1:1" x14ac:dyDescent="0.25">
      <c r="A5211" s="5"/>
    </row>
    <row r="5212" spans="1:1" x14ac:dyDescent="0.25">
      <c r="A5212" s="5"/>
    </row>
    <row r="5213" spans="1:1" x14ac:dyDescent="0.25">
      <c r="A5213" s="5"/>
    </row>
    <row r="5214" spans="1:1" x14ac:dyDescent="0.25">
      <c r="A5214" s="5"/>
    </row>
    <row r="5215" spans="1:1" x14ac:dyDescent="0.25">
      <c r="A5215" s="5"/>
    </row>
    <row r="5216" spans="1:1" x14ac:dyDescent="0.25">
      <c r="A5216" s="5"/>
    </row>
    <row r="5217" spans="1:1" x14ac:dyDescent="0.25">
      <c r="A5217" s="5"/>
    </row>
    <row r="5218" spans="1:1" x14ac:dyDescent="0.25">
      <c r="A5218" s="5"/>
    </row>
    <row r="5219" spans="1:1" x14ac:dyDescent="0.25">
      <c r="A5219" s="5"/>
    </row>
    <row r="5220" spans="1:1" x14ac:dyDescent="0.25">
      <c r="A5220" s="5"/>
    </row>
    <row r="5221" spans="1:1" x14ac:dyDescent="0.25">
      <c r="A5221" s="5"/>
    </row>
    <row r="5222" spans="1:1" x14ac:dyDescent="0.25">
      <c r="A5222" s="5"/>
    </row>
    <row r="5223" spans="1:1" x14ac:dyDescent="0.25">
      <c r="A5223" s="5"/>
    </row>
    <row r="5224" spans="1:1" x14ac:dyDescent="0.25">
      <c r="A5224" s="5"/>
    </row>
    <row r="5225" spans="1:1" x14ac:dyDescent="0.25">
      <c r="A5225" s="5"/>
    </row>
    <row r="5226" spans="1:1" x14ac:dyDescent="0.25">
      <c r="A5226" s="5"/>
    </row>
    <row r="5227" spans="1:1" x14ac:dyDescent="0.25">
      <c r="A5227" s="5"/>
    </row>
    <row r="5228" spans="1:1" x14ac:dyDescent="0.25">
      <c r="A5228" s="5"/>
    </row>
    <row r="5229" spans="1:1" x14ac:dyDescent="0.25">
      <c r="A5229" s="5"/>
    </row>
    <row r="5230" spans="1:1" x14ac:dyDescent="0.25">
      <c r="A5230" s="5"/>
    </row>
    <row r="5231" spans="1:1" x14ac:dyDescent="0.25">
      <c r="A5231" s="5"/>
    </row>
    <row r="5232" spans="1:1" x14ac:dyDescent="0.25">
      <c r="A5232" s="5"/>
    </row>
    <row r="5233" spans="1:1" x14ac:dyDescent="0.25">
      <c r="A5233" s="5"/>
    </row>
    <row r="5234" spans="1:1" x14ac:dyDescent="0.25">
      <c r="A5234" s="5"/>
    </row>
    <row r="5235" spans="1:1" x14ac:dyDescent="0.25">
      <c r="A5235" s="5"/>
    </row>
    <row r="5236" spans="1:1" x14ac:dyDescent="0.25">
      <c r="A5236" s="5"/>
    </row>
    <row r="5237" spans="1:1" x14ac:dyDescent="0.25">
      <c r="A5237" s="5"/>
    </row>
    <row r="5238" spans="1:1" x14ac:dyDescent="0.25">
      <c r="A5238" s="5"/>
    </row>
    <row r="5239" spans="1:1" x14ac:dyDescent="0.25">
      <c r="A5239" s="5"/>
    </row>
    <row r="5240" spans="1:1" x14ac:dyDescent="0.25">
      <c r="A5240" s="5"/>
    </row>
    <row r="5241" spans="1:1" x14ac:dyDescent="0.25">
      <c r="A5241" s="5"/>
    </row>
    <row r="5242" spans="1:1" x14ac:dyDescent="0.25">
      <c r="A5242" s="5"/>
    </row>
    <row r="5243" spans="1:1" x14ac:dyDescent="0.25">
      <c r="A5243" s="5"/>
    </row>
    <row r="5244" spans="1:1" x14ac:dyDescent="0.25">
      <c r="A5244" s="5"/>
    </row>
    <row r="5245" spans="1:1" x14ac:dyDescent="0.25">
      <c r="A5245" s="5"/>
    </row>
    <row r="5246" spans="1:1" x14ac:dyDescent="0.25">
      <c r="A5246" s="5"/>
    </row>
    <row r="5247" spans="1:1" x14ac:dyDescent="0.25">
      <c r="A5247" s="5"/>
    </row>
    <row r="5248" spans="1:1" x14ac:dyDescent="0.25">
      <c r="A5248" s="5"/>
    </row>
    <row r="5249" spans="1:1" x14ac:dyDescent="0.25">
      <c r="A5249" s="5"/>
    </row>
    <row r="5250" spans="1:1" x14ac:dyDescent="0.25">
      <c r="A5250" s="5"/>
    </row>
    <row r="5251" spans="1:1" x14ac:dyDescent="0.25">
      <c r="A5251" s="5"/>
    </row>
    <row r="5252" spans="1:1" x14ac:dyDescent="0.25">
      <c r="A5252" s="5"/>
    </row>
    <row r="5253" spans="1:1" x14ac:dyDescent="0.25">
      <c r="A5253" s="5"/>
    </row>
    <row r="5254" spans="1:1" x14ac:dyDescent="0.25">
      <c r="A5254" s="5"/>
    </row>
    <row r="5255" spans="1:1" x14ac:dyDescent="0.25">
      <c r="A5255" s="5"/>
    </row>
    <row r="5256" spans="1:1" x14ac:dyDescent="0.25">
      <c r="A5256" s="5"/>
    </row>
    <row r="5257" spans="1:1" x14ac:dyDescent="0.25">
      <c r="A5257" s="5"/>
    </row>
    <row r="5258" spans="1:1" x14ac:dyDescent="0.25">
      <c r="A5258" s="5"/>
    </row>
    <row r="5259" spans="1:1" x14ac:dyDescent="0.25">
      <c r="A5259" s="5"/>
    </row>
    <row r="5260" spans="1:1" x14ac:dyDescent="0.25">
      <c r="A5260" s="5"/>
    </row>
    <row r="5261" spans="1:1" x14ac:dyDescent="0.25">
      <c r="A5261" s="5"/>
    </row>
    <row r="5262" spans="1:1" x14ac:dyDescent="0.25">
      <c r="A5262" s="5"/>
    </row>
    <row r="5263" spans="1:1" x14ac:dyDescent="0.25">
      <c r="A5263" s="5"/>
    </row>
    <row r="5264" spans="1:1" x14ac:dyDescent="0.25">
      <c r="A5264" s="5"/>
    </row>
    <row r="5265" spans="1:1" x14ac:dyDescent="0.25">
      <c r="A5265" s="5"/>
    </row>
    <row r="5266" spans="1:1" x14ac:dyDescent="0.25">
      <c r="A5266" s="5"/>
    </row>
    <row r="5267" spans="1:1" x14ac:dyDescent="0.25">
      <c r="A5267" s="5"/>
    </row>
    <row r="5268" spans="1:1" x14ac:dyDescent="0.25">
      <c r="A5268" s="5"/>
    </row>
    <row r="5269" spans="1:1" x14ac:dyDescent="0.25">
      <c r="A5269" s="5"/>
    </row>
    <row r="5270" spans="1:1" x14ac:dyDescent="0.25">
      <c r="A5270" s="5"/>
    </row>
    <row r="5271" spans="1:1" x14ac:dyDescent="0.25">
      <c r="A5271" s="5"/>
    </row>
    <row r="5272" spans="1:1" x14ac:dyDescent="0.25">
      <c r="A5272" s="5"/>
    </row>
    <row r="5273" spans="1:1" x14ac:dyDescent="0.25">
      <c r="A5273" s="5"/>
    </row>
    <row r="5274" spans="1:1" x14ac:dyDescent="0.25">
      <c r="A5274" s="5"/>
    </row>
    <row r="5275" spans="1:1" x14ac:dyDescent="0.25">
      <c r="A5275" s="5"/>
    </row>
    <row r="5276" spans="1:1" x14ac:dyDescent="0.25">
      <c r="A5276" s="5"/>
    </row>
    <row r="5277" spans="1:1" x14ac:dyDescent="0.25">
      <c r="A5277" s="5"/>
    </row>
    <row r="5278" spans="1:1" x14ac:dyDescent="0.25">
      <c r="A5278" s="5"/>
    </row>
    <row r="5279" spans="1:1" x14ac:dyDescent="0.25">
      <c r="A5279" s="5"/>
    </row>
    <row r="5280" spans="1:1" x14ac:dyDescent="0.25">
      <c r="A5280" s="5"/>
    </row>
    <row r="5281" spans="1:1" x14ac:dyDescent="0.25">
      <c r="A5281" s="5"/>
    </row>
    <row r="5282" spans="1:1" x14ac:dyDescent="0.25">
      <c r="A5282" s="5"/>
    </row>
    <row r="5283" spans="1:1" x14ac:dyDescent="0.25">
      <c r="A5283" s="5"/>
    </row>
    <row r="5284" spans="1:1" x14ac:dyDescent="0.25">
      <c r="A5284" s="5"/>
    </row>
    <row r="5285" spans="1:1" x14ac:dyDescent="0.25">
      <c r="A5285" s="5"/>
    </row>
    <row r="5286" spans="1:1" x14ac:dyDescent="0.25">
      <c r="A5286" s="5"/>
    </row>
    <row r="5287" spans="1:1" x14ac:dyDescent="0.25">
      <c r="A5287" s="5"/>
    </row>
    <row r="5288" spans="1:1" x14ac:dyDescent="0.25">
      <c r="A5288" s="5"/>
    </row>
    <row r="5289" spans="1:1" x14ac:dyDescent="0.25">
      <c r="A5289" s="5"/>
    </row>
    <row r="5290" spans="1:1" x14ac:dyDescent="0.25">
      <c r="A5290" s="5"/>
    </row>
    <row r="5291" spans="1:1" x14ac:dyDescent="0.25">
      <c r="A5291" s="5"/>
    </row>
    <row r="5292" spans="1:1" x14ac:dyDescent="0.25">
      <c r="A5292" s="5"/>
    </row>
    <row r="5293" spans="1:1" x14ac:dyDescent="0.25">
      <c r="A5293" s="5"/>
    </row>
    <row r="5294" spans="1:1" x14ac:dyDescent="0.25">
      <c r="A5294" s="5"/>
    </row>
    <row r="5295" spans="1:1" x14ac:dyDescent="0.25">
      <c r="A5295" s="5"/>
    </row>
    <row r="5296" spans="1:1" x14ac:dyDescent="0.25">
      <c r="A5296" s="5"/>
    </row>
    <row r="5297" spans="1:1" x14ac:dyDescent="0.25">
      <c r="A5297" s="5"/>
    </row>
    <row r="5298" spans="1:1" x14ac:dyDescent="0.25">
      <c r="A5298" s="5"/>
    </row>
    <row r="5299" spans="1:1" x14ac:dyDescent="0.25">
      <c r="A5299" s="5"/>
    </row>
    <row r="5300" spans="1:1" x14ac:dyDescent="0.25">
      <c r="A5300" s="5"/>
    </row>
    <row r="5301" spans="1:1" x14ac:dyDescent="0.25">
      <c r="A5301" s="5"/>
    </row>
    <row r="5302" spans="1:1" x14ac:dyDescent="0.25">
      <c r="A5302" s="5"/>
    </row>
    <row r="5303" spans="1:1" x14ac:dyDescent="0.25">
      <c r="A5303" s="5"/>
    </row>
    <row r="5304" spans="1:1" x14ac:dyDescent="0.25">
      <c r="A5304" s="5"/>
    </row>
    <row r="5305" spans="1:1" x14ac:dyDescent="0.25">
      <c r="A5305" s="5"/>
    </row>
    <row r="5306" spans="1:1" x14ac:dyDescent="0.25">
      <c r="A5306" s="5"/>
    </row>
    <row r="5307" spans="1:1" x14ac:dyDescent="0.25">
      <c r="A5307" s="5"/>
    </row>
    <row r="5308" spans="1:1" x14ac:dyDescent="0.25">
      <c r="A5308" s="5"/>
    </row>
    <row r="5309" spans="1:1" x14ac:dyDescent="0.25">
      <c r="A5309" s="5"/>
    </row>
    <row r="5310" spans="1:1" x14ac:dyDescent="0.25">
      <c r="A5310" s="5"/>
    </row>
    <row r="5311" spans="1:1" x14ac:dyDescent="0.25">
      <c r="A5311" s="5"/>
    </row>
    <row r="5312" spans="1:1" x14ac:dyDescent="0.25">
      <c r="A5312" s="5"/>
    </row>
    <row r="5313" spans="1:1" x14ac:dyDescent="0.25">
      <c r="A5313" s="5"/>
    </row>
    <row r="5314" spans="1:1" x14ac:dyDescent="0.25">
      <c r="A5314" s="5"/>
    </row>
    <row r="5315" spans="1:1" x14ac:dyDescent="0.25">
      <c r="A5315" s="5"/>
    </row>
    <row r="5316" spans="1:1" x14ac:dyDescent="0.25">
      <c r="A5316" s="5"/>
    </row>
    <row r="5317" spans="1:1" x14ac:dyDescent="0.25">
      <c r="A5317" s="5"/>
    </row>
    <row r="5318" spans="1:1" x14ac:dyDescent="0.25">
      <c r="A5318" s="5"/>
    </row>
    <row r="5319" spans="1:1" x14ac:dyDescent="0.25">
      <c r="A5319" s="5"/>
    </row>
    <row r="5320" spans="1:1" x14ac:dyDescent="0.25">
      <c r="A5320" s="5"/>
    </row>
    <row r="5321" spans="1:1" x14ac:dyDescent="0.25">
      <c r="A5321" s="5"/>
    </row>
    <row r="5322" spans="1:1" x14ac:dyDescent="0.25">
      <c r="A5322" s="5"/>
    </row>
    <row r="5323" spans="1:1" x14ac:dyDescent="0.25">
      <c r="A5323" s="5"/>
    </row>
    <row r="5324" spans="1:1" x14ac:dyDescent="0.25">
      <c r="A5324" s="5"/>
    </row>
    <row r="5325" spans="1:1" x14ac:dyDescent="0.25">
      <c r="A5325" s="5"/>
    </row>
    <row r="5326" spans="1:1" x14ac:dyDescent="0.25">
      <c r="A5326" s="5"/>
    </row>
    <row r="5327" spans="1:1" x14ac:dyDescent="0.25">
      <c r="A5327" s="5"/>
    </row>
    <row r="5328" spans="1:1" x14ac:dyDescent="0.25">
      <c r="A5328" s="5"/>
    </row>
    <row r="5329" spans="1:1" x14ac:dyDescent="0.25">
      <c r="A5329" s="5"/>
    </row>
    <row r="5330" spans="1:1" x14ac:dyDescent="0.25">
      <c r="A5330" s="5"/>
    </row>
    <row r="5331" spans="1:1" x14ac:dyDescent="0.25">
      <c r="A5331" s="5"/>
    </row>
    <row r="5332" spans="1:1" x14ac:dyDescent="0.25">
      <c r="A5332" s="5"/>
    </row>
    <row r="5333" spans="1:1" x14ac:dyDescent="0.25">
      <c r="A5333" s="5"/>
    </row>
    <row r="5334" spans="1:1" x14ac:dyDescent="0.25">
      <c r="A5334" s="5"/>
    </row>
    <row r="5335" spans="1:1" x14ac:dyDescent="0.25">
      <c r="A5335" s="5"/>
    </row>
    <row r="5336" spans="1:1" x14ac:dyDescent="0.25">
      <c r="A5336" s="5"/>
    </row>
    <row r="5337" spans="1:1" x14ac:dyDescent="0.25">
      <c r="A5337" s="5"/>
    </row>
    <row r="5338" spans="1:1" x14ac:dyDescent="0.25">
      <c r="A5338" s="5"/>
    </row>
    <row r="5339" spans="1:1" x14ac:dyDescent="0.25">
      <c r="A5339" s="5"/>
    </row>
    <row r="5340" spans="1:1" x14ac:dyDescent="0.25">
      <c r="A5340" s="5"/>
    </row>
    <row r="5341" spans="1:1" x14ac:dyDescent="0.25">
      <c r="A5341" s="5"/>
    </row>
    <row r="5342" spans="1:1" x14ac:dyDescent="0.25">
      <c r="A5342" s="5"/>
    </row>
    <row r="5343" spans="1:1" x14ac:dyDescent="0.25">
      <c r="A5343" s="5"/>
    </row>
    <row r="5344" spans="1:1" x14ac:dyDescent="0.25">
      <c r="A5344" s="5"/>
    </row>
    <row r="5345" spans="1:1" x14ac:dyDescent="0.25">
      <c r="A5345" s="5"/>
    </row>
    <row r="5346" spans="1:1" x14ac:dyDescent="0.25">
      <c r="A5346" s="5"/>
    </row>
    <row r="5347" spans="1:1" x14ac:dyDescent="0.25">
      <c r="A5347" s="5"/>
    </row>
    <row r="5348" spans="1:1" x14ac:dyDescent="0.25">
      <c r="A5348" s="5"/>
    </row>
    <row r="5349" spans="1:1" x14ac:dyDescent="0.25">
      <c r="A5349" s="5"/>
    </row>
    <row r="5350" spans="1:1" x14ac:dyDescent="0.25">
      <c r="A5350" s="5"/>
    </row>
    <row r="5351" spans="1:1" x14ac:dyDescent="0.25">
      <c r="A5351" s="5"/>
    </row>
    <row r="5352" spans="1:1" x14ac:dyDescent="0.25">
      <c r="A5352" s="5"/>
    </row>
    <row r="5353" spans="1:1" x14ac:dyDescent="0.25">
      <c r="A5353" s="5"/>
    </row>
    <row r="5354" spans="1:1" x14ac:dyDescent="0.25">
      <c r="A5354" s="5"/>
    </row>
    <row r="5355" spans="1:1" x14ac:dyDescent="0.25">
      <c r="A5355" s="5"/>
    </row>
    <row r="5356" spans="1:1" x14ac:dyDescent="0.25">
      <c r="A5356" s="5"/>
    </row>
    <row r="5357" spans="1:1" x14ac:dyDescent="0.25">
      <c r="A5357" s="5"/>
    </row>
    <row r="5358" spans="1:1" x14ac:dyDescent="0.25">
      <c r="A5358" s="5"/>
    </row>
    <row r="5359" spans="1:1" x14ac:dyDescent="0.25">
      <c r="A5359" s="5"/>
    </row>
    <row r="5360" spans="1:1" x14ac:dyDescent="0.25">
      <c r="A5360" s="5"/>
    </row>
    <row r="5361" spans="1:1" x14ac:dyDescent="0.25">
      <c r="A5361" s="5"/>
    </row>
    <row r="5362" spans="1:1" x14ac:dyDescent="0.25">
      <c r="A5362" s="5"/>
    </row>
    <row r="5363" spans="1:1" x14ac:dyDescent="0.25">
      <c r="A5363" s="5"/>
    </row>
    <row r="5364" spans="1:1" x14ac:dyDescent="0.25">
      <c r="A5364" s="5"/>
    </row>
    <row r="5365" spans="1:1" x14ac:dyDescent="0.25">
      <c r="A5365" s="5"/>
    </row>
    <row r="5366" spans="1:1" x14ac:dyDescent="0.25">
      <c r="A5366" s="5"/>
    </row>
    <row r="5367" spans="1:1" x14ac:dyDescent="0.25">
      <c r="A5367" s="5"/>
    </row>
    <row r="5368" spans="1:1" x14ac:dyDescent="0.25">
      <c r="A5368" s="5"/>
    </row>
    <row r="5369" spans="1:1" x14ac:dyDescent="0.25">
      <c r="A5369" s="5"/>
    </row>
    <row r="5370" spans="1:1" x14ac:dyDescent="0.25">
      <c r="A5370" s="5"/>
    </row>
    <row r="5371" spans="1:1" x14ac:dyDescent="0.25">
      <c r="A5371" s="5"/>
    </row>
    <row r="5372" spans="1:1" x14ac:dyDescent="0.25">
      <c r="A5372" s="5"/>
    </row>
    <row r="5373" spans="1:1" x14ac:dyDescent="0.25">
      <c r="A5373" s="5"/>
    </row>
    <row r="5374" spans="1:1" x14ac:dyDescent="0.25">
      <c r="A5374" s="5"/>
    </row>
    <row r="5375" spans="1:1" x14ac:dyDescent="0.25">
      <c r="A5375" s="5"/>
    </row>
    <row r="5376" spans="1:1" x14ac:dyDescent="0.25">
      <c r="A5376" s="5"/>
    </row>
    <row r="5377" spans="1:1" x14ac:dyDescent="0.25">
      <c r="A5377" s="5"/>
    </row>
    <row r="5378" spans="1:1" x14ac:dyDescent="0.25">
      <c r="A5378" s="5"/>
    </row>
    <row r="5379" spans="1:1" x14ac:dyDescent="0.25">
      <c r="A5379" s="5"/>
    </row>
    <row r="5380" spans="1:1" x14ac:dyDescent="0.25">
      <c r="A5380" s="5"/>
    </row>
    <row r="5381" spans="1:1" x14ac:dyDescent="0.25">
      <c r="A5381" s="5"/>
    </row>
    <row r="5382" spans="1:1" x14ac:dyDescent="0.25">
      <c r="A5382" s="5"/>
    </row>
    <row r="5383" spans="1:1" x14ac:dyDescent="0.25">
      <c r="A5383" s="5"/>
    </row>
    <row r="5384" spans="1:1" x14ac:dyDescent="0.25">
      <c r="A5384" s="5"/>
    </row>
    <row r="5385" spans="1:1" x14ac:dyDescent="0.25">
      <c r="A5385" s="5"/>
    </row>
    <row r="5386" spans="1:1" x14ac:dyDescent="0.25">
      <c r="A5386" s="5"/>
    </row>
    <row r="5387" spans="1:1" x14ac:dyDescent="0.25">
      <c r="A5387" s="5"/>
    </row>
    <row r="5388" spans="1:1" x14ac:dyDescent="0.25">
      <c r="A5388" s="5"/>
    </row>
    <row r="5389" spans="1:1" x14ac:dyDescent="0.25">
      <c r="A5389" s="5"/>
    </row>
    <row r="5390" spans="1:1" x14ac:dyDescent="0.25">
      <c r="A5390" s="5"/>
    </row>
    <row r="5391" spans="1:1" x14ac:dyDescent="0.25">
      <c r="A5391" s="5"/>
    </row>
    <row r="5392" spans="1:1" x14ac:dyDescent="0.25">
      <c r="A5392" s="5"/>
    </row>
    <row r="5393" spans="1:1" x14ac:dyDescent="0.25">
      <c r="A5393" s="5"/>
    </row>
    <row r="5394" spans="1:1" x14ac:dyDescent="0.25">
      <c r="A5394" s="5"/>
    </row>
    <row r="5395" spans="1:1" x14ac:dyDescent="0.25">
      <c r="A5395" s="5"/>
    </row>
    <row r="5396" spans="1:1" x14ac:dyDescent="0.25">
      <c r="A5396" s="5"/>
    </row>
    <row r="5397" spans="1:1" x14ac:dyDescent="0.25">
      <c r="A5397" s="5"/>
    </row>
    <row r="5398" spans="1:1" x14ac:dyDescent="0.25">
      <c r="A5398" s="5"/>
    </row>
    <row r="5399" spans="1:1" x14ac:dyDescent="0.25">
      <c r="A5399" s="5"/>
    </row>
    <row r="5400" spans="1:1" x14ac:dyDescent="0.25">
      <c r="A5400" s="5"/>
    </row>
    <row r="5401" spans="1:1" x14ac:dyDescent="0.25">
      <c r="A5401" s="5"/>
    </row>
    <row r="5402" spans="1:1" x14ac:dyDescent="0.25">
      <c r="A5402" s="5"/>
    </row>
    <row r="5403" spans="1:1" x14ac:dyDescent="0.25">
      <c r="A5403" s="5"/>
    </row>
    <row r="5404" spans="1:1" x14ac:dyDescent="0.25">
      <c r="A5404" s="5"/>
    </row>
    <row r="5405" spans="1:1" x14ac:dyDescent="0.25">
      <c r="A5405" s="5"/>
    </row>
    <row r="5406" spans="1:1" x14ac:dyDescent="0.25">
      <c r="A5406" s="5"/>
    </row>
    <row r="5407" spans="1:1" x14ac:dyDescent="0.25">
      <c r="A5407" s="5"/>
    </row>
    <row r="5408" spans="1:1" x14ac:dyDescent="0.25">
      <c r="A5408" s="5"/>
    </row>
    <row r="5409" spans="1:1" x14ac:dyDescent="0.25">
      <c r="A5409" s="5"/>
    </row>
    <row r="5410" spans="1:1" x14ac:dyDescent="0.25">
      <c r="A5410" s="5"/>
    </row>
    <row r="5411" spans="1:1" x14ac:dyDescent="0.25">
      <c r="A5411" s="5"/>
    </row>
    <row r="5412" spans="1:1" x14ac:dyDescent="0.25">
      <c r="A5412" s="5"/>
    </row>
    <row r="5413" spans="1:1" x14ac:dyDescent="0.25">
      <c r="A5413" s="5"/>
    </row>
    <row r="5414" spans="1:1" x14ac:dyDescent="0.25">
      <c r="A5414" s="5"/>
    </row>
    <row r="5415" spans="1:1" x14ac:dyDescent="0.25">
      <c r="A5415" s="5"/>
    </row>
    <row r="5416" spans="1:1" x14ac:dyDescent="0.25">
      <c r="A5416" s="5"/>
    </row>
    <row r="5417" spans="1:1" x14ac:dyDescent="0.25">
      <c r="A5417" s="5"/>
    </row>
    <row r="5418" spans="1:1" x14ac:dyDescent="0.25">
      <c r="A5418" s="5"/>
    </row>
    <row r="5419" spans="1:1" x14ac:dyDescent="0.25">
      <c r="A5419" s="5"/>
    </row>
    <row r="5420" spans="1:1" x14ac:dyDescent="0.25">
      <c r="A5420" s="5"/>
    </row>
    <row r="5421" spans="1:1" x14ac:dyDescent="0.25">
      <c r="A5421" s="5"/>
    </row>
    <row r="5422" spans="1:1" x14ac:dyDescent="0.25">
      <c r="A5422" s="5"/>
    </row>
    <row r="5423" spans="1:1" x14ac:dyDescent="0.25">
      <c r="A5423" s="5"/>
    </row>
    <row r="5424" spans="1:1" x14ac:dyDescent="0.25">
      <c r="A5424" s="5"/>
    </row>
    <row r="5425" spans="1:1" x14ac:dyDescent="0.25">
      <c r="A5425" s="5"/>
    </row>
    <row r="5426" spans="1:1" x14ac:dyDescent="0.25">
      <c r="A5426" s="5"/>
    </row>
    <row r="5427" spans="1:1" x14ac:dyDescent="0.25">
      <c r="A5427" s="5"/>
    </row>
    <row r="5428" spans="1:1" x14ac:dyDescent="0.25">
      <c r="A5428" s="5"/>
    </row>
    <row r="5429" spans="1:1" x14ac:dyDescent="0.25">
      <c r="A5429" s="5"/>
    </row>
    <row r="5430" spans="1:1" x14ac:dyDescent="0.25">
      <c r="A5430" s="5"/>
    </row>
    <row r="5431" spans="1:1" x14ac:dyDescent="0.25">
      <c r="A5431" s="5"/>
    </row>
    <row r="5432" spans="1:1" x14ac:dyDescent="0.25">
      <c r="A5432" s="5"/>
    </row>
    <row r="5433" spans="1:1" x14ac:dyDescent="0.25">
      <c r="A5433" s="5"/>
    </row>
    <row r="5434" spans="1:1" x14ac:dyDescent="0.25">
      <c r="A5434" s="5"/>
    </row>
    <row r="5435" spans="1:1" x14ac:dyDescent="0.25">
      <c r="A5435" s="5"/>
    </row>
    <row r="5436" spans="1:1" x14ac:dyDescent="0.25">
      <c r="A5436" s="5"/>
    </row>
    <row r="5437" spans="1:1" x14ac:dyDescent="0.25">
      <c r="A5437" s="5"/>
    </row>
    <row r="5438" spans="1:1" x14ac:dyDescent="0.25">
      <c r="A5438" s="5"/>
    </row>
    <row r="5439" spans="1:1" x14ac:dyDescent="0.25">
      <c r="A5439" s="5"/>
    </row>
    <row r="5440" spans="1:1" x14ac:dyDescent="0.25">
      <c r="A5440" s="5"/>
    </row>
    <row r="5441" spans="1:1" x14ac:dyDescent="0.25">
      <c r="A5441" s="5"/>
    </row>
    <row r="5442" spans="1:1" x14ac:dyDescent="0.25">
      <c r="A5442" s="5"/>
    </row>
    <row r="5443" spans="1:1" x14ac:dyDescent="0.25">
      <c r="A5443" s="5"/>
    </row>
    <row r="5444" spans="1:1" x14ac:dyDescent="0.25">
      <c r="A5444" s="5"/>
    </row>
    <row r="5445" spans="1:1" x14ac:dyDescent="0.25">
      <c r="A5445" s="5"/>
    </row>
    <row r="5446" spans="1:1" x14ac:dyDescent="0.25">
      <c r="A5446" s="5"/>
    </row>
    <row r="5447" spans="1:1" x14ac:dyDescent="0.25">
      <c r="A5447" s="5"/>
    </row>
    <row r="5448" spans="1:1" x14ac:dyDescent="0.25">
      <c r="A5448" s="5"/>
    </row>
    <row r="5449" spans="1:1" x14ac:dyDescent="0.25">
      <c r="A5449" s="5"/>
    </row>
    <row r="5450" spans="1:1" x14ac:dyDescent="0.25">
      <c r="A5450" s="5"/>
    </row>
    <row r="5451" spans="1:1" x14ac:dyDescent="0.25">
      <c r="A5451" s="5"/>
    </row>
    <row r="5452" spans="1:1" x14ac:dyDescent="0.25">
      <c r="A5452" s="5"/>
    </row>
    <row r="5453" spans="1:1" x14ac:dyDescent="0.25">
      <c r="A5453" s="5"/>
    </row>
    <row r="5454" spans="1:1" x14ac:dyDescent="0.25">
      <c r="A5454" s="5"/>
    </row>
    <row r="5455" spans="1:1" x14ac:dyDescent="0.25">
      <c r="A5455" s="5"/>
    </row>
    <row r="5456" spans="1:1" x14ac:dyDescent="0.25">
      <c r="A5456" s="5"/>
    </row>
    <row r="5457" spans="1:1" x14ac:dyDescent="0.25">
      <c r="A5457" s="5"/>
    </row>
    <row r="5458" spans="1:1" x14ac:dyDescent="0.25">
      <c r="A5458" s="5"/>
    </row>
    <row r="5459" spans="1:1" x14ac:dyDescent="0.25">
      <c r="A5459" s="5"/>
    </row>
    <row r="5460" spans="1:1" x14ac:dyDescent="0.25">
      <c r="A5460" s="5"/>
    </row>
    <row r="5461" spans="1:1" x14ac:dyDescent="0.25">
      <c r="A5461" s="5"/>
    </row>
    <row r="5462" spans="1:1" x14ac:dyDescent="0.25">
      <c r="A5462" s="5"/>
    </row>
    <row r="5463" spans="1:1" x14ac:dyDescent="0.25">
      <c r="A5463" s="5"/>
    </row>
    <row r="5464" spans="1:1" x14ac:dyDescent="0.25">
      <c r="A5464" s="5"/>
    </row>
    <row r="5465" spans="1:1" x14ac:dyDescent="0.25">
      <c r="A5465" s="5"/>
    </row>
    <row r="5466" spans="1:1" x14ac:dyDescent="0.25">
      <c r="A5466" s="5"/>
    </row>
    <row r="5467" spans="1:1" x14ac:dyDescent="0.25">
      <c r="A5467" s="5"/>
    </row>
    <row r="5468" spans="1:1" x14ac:dyDescent="0.25">
      <c r="A5468" s="5"/>
    </row>
    <row r="5469" spans="1:1" x14ac:dyDescent="0.25">
      <c r="A5469" s="5"/>
    </row>
    <row r="5470" spans="1:1" x14ac:dyDescent="0.25">
      <c r="A5470" s="5"/>
    </row>
    <row r="5471" spans="1:1" x14ac:dyDescent="0.25">
      <c r="A5471" s="5"/>
    </row>
    <row r="5472" spans="1:1" x14ac:dyDescent="0.25">
      <c r="A5472" s="5"/>
    </row>
    <row r="5473" spans="1:1" x14ac:dyDescent="0.25">
      <c r="A5473" s="5"/>
    </row>
    <row r="5474" spans="1:1" x14ac:dyDescent="0.25">
      <c r="A5474" s="5"/>
    </row>
    <row r="5475" spans="1:1" x14ac:dyDescent="0.25">
      <c r="A5475" s="5"/>
    </row>
    <row r="5476" spans="1:1" x14ac:dyDescent="0.25">
      <c r="A5476" s="5"/>
    </row>
    <row r="5477" spans="1:1" x14ac:dyDescent="0.25">
      <c r="A5477" s="5"/>
    </row>
    <row r="5478" spans="1:1" x14ac:dyDescent="0.25">
      <c r="A5478" s="5"/>
    </row>
    <row r="5479" spans="1:1" x14ac:dyDescent="0.25">
      <c r="A5479" s="5"/>
    </row>
    <row r="5480" spans="1:1" x14ac:dyDescent="0.25">
      <c r="A5480" s="5"/>
    </row>
    <row r="5481" spans="1:1" x14ac:dyDescent="0.25">
      <c r="A5481" s="5"/>
    </row>
    <row r="5482" spans="1:1" x14ac:dyDescent="0.25">
      <c r="A5482" s="5"/>
    </row>
    <row r="5483" spans="1:1" x14ac:dyDescent="0.25">
      <c r="A5483" s="5"/>
    </row>
    <row r="5484" spans="1:1" x14ac:dyDescent="0.25">
      <c r="A5484" s="5"/>
    </row>
    <row r="5485" spans="1:1" x14ac:dyDescent="0.25">
      <c r="A5485" s="5"/>
    </row>
    <row r="5486" spans="1:1" x14ac:dyDescent="0.25">
      <c r="A5486" s="5"/>
    </row>
    <row r="5487" spans="1:1" x14ac:dyDescent="0.25">
      <c r="A5487" s="5"/>
    </row>
    <row r="5488" spans="1:1" x14ac:dyDescent="0.25">
      <c r="A5488" s="5"/>
    </row>
    <row r="5489" spans="1:1" x14ac:dyDescent="0.25">
      <c r="A5489" s="5"/>
    </row>
    <row r="5490" spans="1:1" x14ac:dyDescent="0.25">
      <c r="A5490" s="5"/>
    </row>
    <row r="5491" spans="1:1" x14ac:dyDescent="0.25">
      <c r="A5491" s="5"/>
    </row>
    <row r="5492" spans="1:1" x14ac:dyDescent="0.25">
      <c r="A5492" s="5"/>
    </row>
    <row r="5493" spans="1:1" x14ac:dyDescent="0.25">
      <c r="A5493" s="5"/>
    </row>
    <row r="5494" spans="1:1" x14ac:dyDescent="0.25">
      <c r="A5494" s="5"/>
    </row>
    <row r="5495" spans="1:1" x14ac:dyDescent="0.25">
      <c r="A5495" s="5"/>
    </row>
    <row r="5496" spans="1:1" x14ac:dyDescent="0.25">
      <c r="A5496" s="5"/>
    </row>
    <row r="5497" spans="1:1" x14ac:dyDescent="0.25">
      <c r="A5497" s="5"/>
    </row>
    <row r="5498" spans="1:1" x14ac:dyDescent="0.25">
      <c r="A5498" s="5"/>
    </row>
    <row r="5499" spans="1:1" x14ac:dyDescent="0.25">
      <c r="A5499" s="5"/>
    </row>
    <row r="5500" spans="1:1" x14ac:dyDescent="0.25">
      <c r="A5500" s="5"/>
    </row>
    <row r="5501" spans="1:1" x14ac:dyDescent="0.25">
      <c r="A5501" s="5"/>
    </row>
    <row r="5502" spans="1:1" x14ac:dyDescent="0.25">
      <c r="A5502" s="5"/>
    </row>
    <row r="5503" spans="1:1" x14ac:dyDescent="0.25">
      <c r="A5503" s="5"/>
    </row>
    <row r="5504" spans="1:1" x14ac:dyDescent="0.25">
      <c r="A5504" s="5"/>
    </row>
    <row r="5505" spans="1:1" x14ac:dyDescent="0.25">
      <c r="A5505" s="5"/>
    </row>
    <row r="5506" spans="1:1" x14ac:dyDescent="0.25">
      <c r="A5506" s="5"/>
    </row>
    <row r="5507" spans="1:1" x14ac:dyDescent="0.25">
      <c r="A5507" s="5"/>
    </row>
    <row r="5508" spans="1:1" x14ac:dyDescent="0.25">
      <c r="A5508" s="5"/>
    </row>
    <row r="5509" spans="1:1" x14ac:dyDescent="0.25">
      <c r="A5509" s="5"/>
    </row>
    <row r="5510" spans="1:1" x14ac:dyDescent="0.25">
      <c r="A5510" s="5"/>
    </row>
    <row r="5511" spans="1:1" x14ac:dyDescent="0.25">
      <c r="A5511" s="5"/>
    </row>
    <row r="5512" spans="1:1" x14ac:dyDescent="0.25">
      <c r="A5512" s="5"/>
    </row>
    <row r="5513" spans="1:1" x14ac:dyDescent="0.25">
      <c r="A5513" s="5"/>
    </row>
    <row r="5514" spans="1:1" x14ac:dyDescent="0.25">
      <c r="A5514" s="5"/>
    </row>
    <row r="5515" spans="1:1" x14ac:dyDescent="0.25">
      <c r="A5515" s="5"/>
    </row>
    <row r="5516" spans="1:1" x14ac:dyDescent="0.25">
      <c r="A5516" s="5"/>
    </row>
    <row r="5517" spans="1:1" x14ac:dyDescent="0.25">
      <c r="A5517" s="5"/>
    </row>
    <row r="5518" spans="1:1" x14ac:dyDescent="0.25">
      <c r="A5518" s="5"/>
    </row>
    <row r="5519" spans="1:1" x14ac:dyDescent="0.25">
      <c r="A5519" s="5"/>
    </row>
    <row r="5520" spans="1:1" x14ac:dyDescent="0.25">
      <c r="A5520" s="5"/>
    </row>
    <row r="5521" spans="1:1" x14ac:dyDescent="0.25">
      <c r="A5521" s="5"/>
    </row>
    <row r="5522" spans="1:1" x14ac:dyDescent="0.25">
      <c r="A5522" s="5"/>
    </row>
    <row r="5523" spans="1:1" x14ac:dyDescent="0.25">
      <c r="A5523" s="5"/>
    </row>
    <row r="5524" spans="1:1" x14ac:dyDescent="0.25">
      <c r="A5524" s="5"/>
    </row>
    <row r="5525" spans="1:1" x14ac:dyDescent="0.25">
      <c r="A5525" s="5"/>
    </row>
    <row r="5526" spans="1:1" x14ac:dyDescent="0.25">
      <c r="A5526" s="5"/>
    </row>
    <row r="5527" spans="1:1" x14ac:dyDescent="0.25">
      <c r="A5527" s="5"/>
    </row>
    <row r="5528" spans="1:1" x14ac:dyDescent="0.25">
      <c r="A5528" s="5"/>
    </row>
    <row r="5529" spans="1:1" x14ac:dyDescent="0.25">
      <c r="A5529" s="5"/>
    </row>
    <row r="5530" spans="1:1" x14ac:dyDescent="0.25">
      <c r="A5530" s="5"/>
    </row>
    <row r="5531" spans="1:1" x14ac:dyDescent="0.25">
      <c r="A5531" s="5"/>
    </row>
    <row r="5532" spans="1:1" x14ac:dyDescent="0.25">
      <c r="A5532" s="5"/>
    </row>
    <row r="5533" spans="1:1" x14ac:dyDescent="0.25">
      <c r="A5533" s="5"/>
    </row>
    <row r="5534" spans="1:1" x14ac:dyDescent="0.25">
      <c r="A5534" s="5"/>
    </row>
    <row r="5535" spans="1:1" x14ac:dyDescent="0.25">
      <c r="A5535" s="5"/>
    </row>
    <row r="5536" spans="1:1" x14ac:dyDescent="0.25">
      <c r="A5536" s="5"/>
    </row>
    <row r="5537" spans="1:1" x14ac:dyDescent="0.25">
      <c r="A5537" s="5"/>
    </row>
    <row r="5538" spans="1:1" x14ac:dyDescent="0.25">
      <c r="A5538" s="5"/>
    </row>
    <row r="5539" spans="1:1" x14ac:dyDescent="0.25">
      <c r="A5539" s="5"/>
    </row>
    <row r="5540" spans="1:1" x14ac:dyDescent="0.25">
      <c r="A5540" s="5"/>
    </row>
    <row r="5541" spans="1:1" x14ac:dyDescent="0.25">
      <c r="A5541" s="5"/>
    </row>
    <row r="5542" spans="1:1" x14ac:dyDescent="0.25">
      <c r="A5542" s="5"/>
    </row>
    <row r="5543" spans="1:1" x14ac:dyDescent="0.25">
      <c r="A5543" s="5"/>
    </row>
    <row r="5544" spans="1:1" x14ac:dyDescent="0.25">
      <c r="A5544" s="5"/>
    </row>
    <row r="5545" spans="1:1" x14ac:dyDescent="0.25">
      <c r="A5545" s="5"/>
    </row>
    <row r="5546" spans="1:1" x14ac:dyDescent="0.25">
      <c r="A5546" s="5"/>
    </row>
    <row r="5547" spans="1:1" x14ac:dyDescent="0.25">
      <c r="A5547" s="5"/>
    </row>
    <row r="5548" spans="1:1" x14ac:dyDescent="0.25">
      <c r="A5548" s="5"/>
    </row>
    <row r="5549" spans="1:1" x14ac:dyDescent="0.25">
      <c r="A5549" s="5"/>
    </row>
    <row r="5550" spans="1:1" x14ac:dyDescent="0.25">
      <c r="A5550" s="5"/>
    </row>
    <row r="5551" spans="1:1" x14ac:dyDescent="0.25">
      <c r="A5551" s="5"/>
    </row>
    <row r="5552" spans="1:1" x14ac:dyDescent="0.25">
      <c r="A5552" s="5"/>
    </row>
    <row r="5553" spans="1:1" x14ac:dyDescent="0.25">
      <c r="A5553" s="5"/>
    </row>
    <row r="5554" spans="1:1" x14ac:dyDescent="0.25">
      <c r="A5554" s="5"/>
    </row>
    <row r="5555" spans="1:1" x14ac:dyDescent="0.25">
      <c r="A5555" s="5"/>
    </row>
    <row r="5556" spans="1:1" x14ac:dyDescent="0.25">
      <c r="A5556" s="5"/>
    </row>
    <row r="5557" spans="1:1" x14ac:dyDescent="0.25">
      <c r="A5557" s="5"/>
    </row>
    <row r="5558" spans="1:1" x14ac:dyDescent="0.25">
      <c r="A5558" s="5"/>
    </row>
    <row r="5559" spans="1:1" x14ac:dyDescent="0.25">
      <c r="A5559" s="5"/>
    </row>
    <row r="5560" spans="1:1" x14ac:dyDescent="0.25">
      <c r="A5560" s="5"/>
    </row>
    <row r="5561" spans="1:1" x14ac:dyDescent="0.25">
      <c r="A5561" s="5"/>
    </row>
    <row r="5562" spans="1:1" x14ac:dyDescent="0.25">
      <c r="A5562" s="5"/>
    </row>
    <row r="5563" spans="1:1" x14ac:dyDescent="0.25">
      <c r="A5563" s="5"/>
    </row>
    <row r="5564" spans="1:1" x14ac:dyDescent="0.25">
      <c r="A5564" s="5"/>
    </row>
    <row r="5565" spans="1:1" x14ac:dyDescent="0.25">
      <c r="A5565" s="5"/>
    </row>
    <row r="5566" spans="1:1" x14ac:dyDescent="0.25">
      <c r="A5566" s="5"/>
    </row>
    <row r="5567" spans="1:1" x14ac:dyDescent="0.25">
      <c r="A5567" s="5"/>
    </row>
    <row r="5568" spans="1:1" x14ac:dyDescent="0.25">
      <c r="A5568" s="5"/>
    </row>
    <row r="5569" spans="1:1" x14ac:dyDescent="0.25">
      <c r="A5569" s="5"/>
    </row>
    <row r="5570" spans="1:1" x14ac:dyDescent="0.25">
      <c r="A5570" s="5"/>
    </row>
    <row r="5571" spans="1:1" x14ac:dyDescent="0.25">
      <c r="A5571" s="5"/>
    </row>
    <row r="5572" spans="1:1" x14ac:dyDescent="0.25">
      <c r="A5572" s="5"/>
    </row>
    <row r="5573" spans="1:1" x14ac:dyDescent="0.25">
      <c r="A5573" s="5"/>
    </row>
    <row r="5574" spans="1:1" x14ac:dyDescent="0.25">
      <c r="A5574" s="5"/>
    </row>
    <row r="5575" spans="1:1" x14ac:dyDescent="0.25">
      <c r="A5575" s="5"/>
    </row>
    <row r="5576" spans="1:1" x14ac:dyDescent="0.25">
      <c r="A5576" s="5"/>
    </row>
    <row r="5577" spans="1:1" x14ac:dyDescent="0.25">
      <c r="A5577" s="5"/>
    </row>
    <row r="5578" spans="1:1" x14ac:dyDescent="0.25">
      <c r="A5578" s="5"/>
    </row>
    <row r="5579" spans="1:1" x14ac:dyDescent="0.25">
      <c r="A5579" s="5"/>
    </row>
    <row r="5580" spans="1:1" x14ac:dyDescent="0.25">
      <c r="A5580" s="5"/>
    </row>
    <row r="5581" spans="1:1" x14ac:dyDescent="0.25">
      <c r="A5581" s="5"/>
    </row>
    <row r="5582" spans="1:1" x14ac:dyDescent="0.25">
      <c r="A5582" s="5"/>
    </row>
    <row r="5583" spans="1:1" x14ac:dyDescent="0.25">
      <c r="A5583" s="5"/>
    </row>
    <row r="5584" spans="1:1" x14ac:dyDescent="0.25">
      <c r="A5584" s="5"/>
    </row>
    <row r="5585" spans="1:1" x14ac:dyDescent="0.25">
      <c r="A5585" s="5"/>
    </row>
    <row r="5586" spans="1:1" x14ac:dyDescent="0.25">
      <c r="A5586" s="5"/>
    </row>
    <row r="5587" spans="1:1" x14ac:dyDescent="0.25">
      <c r="A5587" s="5"/>
    </row>
    <row r="5588" spans="1:1" x14ac:dyDescent="0.25">
      <c r="A5588" s="5"/>
    </row>
    <row r="5589" spans="1:1" x14ac:dyDescent="0.25">
      <c r="A5589" s="5"/>
    </row>
    <row r="5590" spans="1:1" x14ac:dyDescent="0.25">
      <c r="A5590" s="5"/>
    </row>
    <row r="5591" spans="1:1" x14ac:dyDescent="0.25">
      <c r="A5591" s="5"/>
    </row>
    <row r="5592" spans="1:1" x14ac:dyDescent="0.25">
      <c r="A5592" s="5"/>
    </row>
    <row r="5593" spans="1:1" x14ac:dyDescent="0.25">
      <c r="A5593" s="5"/>
    </row>
    <row r="5594" spans="1:1" x14ac:dyDescent="0.25">
      <c r="A5594" s="5"/>
    </row>
    <row r="5595" spans="1:1" x14ac:dyDescent="0.25">
      <c r="A5595" s="5"/>
    </row>
    <row r="5596" spans="1:1" x14ac:dyDescent="0.25">
      <c r="A5596" s="5"/>
    </row>
    <row r="5597" spans="1:1" x14ac:dyDescent="0.25">
      <c r="A5597" s="5"/>
    </row>
    <row r="5598" spans="1:1" x14ac:dyDescent="0.25">
      <c r="A5598" s="5"/>
    </row>
    <row r="5599" spans="1:1" x14ac:dyDescent="0.25">
      <c r="A5599" s="5"/>
    </row>
    <row r="5600" spans="1:1" x14ac:dyDescent="0.25">
      <c r="A5600" s="5"/>
    </row>
    <row r="5601" spans="1:1" x14ac:dyDescent="0.25">
      <c r="A5601" s="5"/>
    </row>
    <row r="5602" spans="1:1" x14ac:dyDescent="0.25">
      <c r="A5602" s="5"/>
    </row>
    <row r="5603" spans="1:1" x14ac:dyDescent="0.25">
      <c r="A5603" s="5"/>
    </row>
    <row r="5604" spans="1:1" x14ac:dyDescent="0.25">
      <c r="A5604" s="5"/>
    </row>
    <row r="5605" spans="1:1" x14ac:dyDescent="0.25">
      <c r="A5605" s="5"/>
    </row>
    <row r="5606" spans="1:1" x14ac:dyDescent="0.25">
      <c r="A5606" s="5"/>
    </row>
    <row r="5607" spans="1:1" x14ac:dyDescent="0.25">
      <c r="A5607" s="5"/>
    </row>
    <row r="5608" spans="1:1" x14ac:dyDescent="0.25">
      <c r="A5608" s="5"/>
    </row>
    <row r="5609" spans="1:1" x14ac:dyDescent="0.25">
      <c r="A5609" s="5"/>
    </row>
    <row r="5610" spans="1:1" x14ac:dyDescent="0.25">
      <c r="A5610" s="5"/>
    </row>
    <row r="5611" spans="1:1" x14ac:dyDescent="0.25">
      <c r="A5611" s="5"/>
    </row>
    <row r="5612" spans="1:1" x14ac:dyDescent="0.25">
      <c r="A5612" s="5"/>
    </row>
    <row r="5613" spans="1:1" x14ac:dyDescent="0.25">
      <c r="A5613" s="5"/>
    </row>
    <row r="5614" spans="1:1" x14ac:dyDescent="0.25">
      <c r="A5614" s="5"/>
    </row>
    <row r="5615" spans="1:1" x14ac:dyDescent="0.25">
      <c r="A5615" s="5"/>
    </row>
    <row r="5616" spans="1:1" x14ac:dyDescent="0.25">
      <c r="A5616" s="5"/>
    </row>
    <row r="5617" spans="1:1" x14ac:dyDescent="0.25">
      <c r="A5617" s="5"/>
    </row>
    <row r="5618" spans="1:1" x14ac:dyDescent="0.25">
      <c r="A5618" s="5"/>
    </row>
    <row r="5619" spans="1:1" x14ac:dyDescent="0.25">
      <c r="A5619" s="5"/>
    </row>
    <row r="5620" spans="1:1" x14ac:dyDescent="0.25">
      <c r="A5620" s="5"/>
    </row>
    <row r="5621" spans="1:1" x14ac:dyDescent="0.25">
      <c r="A5621" s="5"/>
    </row>
    <row r="5622" spans="1:1" x14ac:dyDescent="0.25">
      <c r="A5622" s="5"/>
    </row>
    <row r="5623" spans="1:1" x14ac:dyDescent="0.25">
      <c r="A5623" s="5"/>
    </row>
    <row r="5624" spans="1:1" x14ac:dyDescent="0.25">
      <c r="A5624" s="5"/>
    </row>
    <row r="5625" spans="1:1" x14ac:dyDescent="0.25">
      <c r="A5625" s="5"/>
    </row>
    <row r="5626" spans="1:1" x14ac:dyDescent="0.25">
      <c r="A5626" s="5"/>
    </row>
    <row r="5627" spans="1:1" x14ac:dyDescent="0.25">
      <c r="A5627" s="5"/>
    </row>
    <row r="5628" spans="1:1" x14ac:dyDescent="0.25">
      <c r="A5628" s="5"/>
    </row>
    <row r="5629" spans="1:1" x14ac:dyDescent="0.25">
      <c r="A5629" s="5"/>
    </row>
    <row r="5630" spans="1:1" x14ac:dyDescent="0.25">
      <c r="A5630" s="5"/>
    </row>
    <row r="5631" spans="1:1" x14ac:dyDescent="0.25">
      <c r="A5631" s="5"/>
    </row>
    <row r="5632" spans="1:1" x14ac:dyDescent="0.25">
      <c r="A5632" s="5"/>
    </row>
    <row r="5633" spans="1:1" x14ac:dyDescent="0.25">
      <c r="A5633" s="5"/>
    </row>
    <row r="5634" spans="1:1" x14ac:dyDescent="0.25">
      <c r="A5634" s="5"/>
    </row>
    <row r="5635" spans="1:1" x14ac:dyDescent="0.25">
      <c r="A5635" s="5"/>
    </row>
    <row r="5636" spans="1:1" x14ac:dyDescent="0.25">
      <c r="A5636" s="5"/>
    </row>
    <row r="5637" spans="1:1" x14ac:dyDescent="0.25">
      <c r="A5637" s="5"/>
    </row>
    <row r="5638" spans="1:1" x14ac:dyDescent="0.25">
      <c r="A5638" s="5"/>
    </row>
    <row r="5639" spans="1:1" x14ac:dyDescent="0.25">
      <c r="A5639" s="5"/>
    </row>
    <row r="5640" spans="1:1" x14ac:dyDescent="0.25">
      <c r="A5640" s="5"/>
    </row>
    <row r="5641" spans="1:1" x14ac:dyDescent="0.25">
      <c r="A5641" s="5"/>
    </row>
    <row r="5642" spans="1:1" x14ac:dyDescent="0.25">
      <c r="A5642" s="5"/>
    </row>
    <row r="5643" spans="1:1" x14ac:dyDescent="0.25">
      <c r="A5643" s="5"/>
    </row>
    <row r="5644" spans="1:1" x14ac:dyDescent="0.25">
      <c r="A5644" s="5"/>
    </row>
    <row r="5645" spans="1:1" x14ac:dyDescent="0.25">
      <c r="A5645" s="5"/>
    </row>
    <row r="5646" spans="1:1" x14ac:dyDescent="0.25">
      <c r="A5646" s="5"/>
    </row>
    <row r="5647" spans="1:1" x14ac:dyDescent="0.25">
      <c r="A5647" s="5"/>
    </row>
    <row r="5648" spans="1:1" x14ac:dyDescent="0.25">
      <c r="A5648" s="5"/>
    </row>
    <row r="5649" spans="1:1" x14ac:dyDescent="0.25">
      <c r="A5649" s="5"/>
    </row>
    <row r="5650" spans="1:1" x14ac:dyDescent="0.25">
      <c r="A5650" s="5"/>
    </row>
    <row r="5651" spans="1:1" x14ac:dyDescent="0.25">
      <c r="A5651" s="5"/>
    </row>
    <row r="5652" spans="1:1" x14ac:dyDescent="0.25">
      <c r="A5652" s="5"/>
    </row>
    <row r="5653" spans="1:1" x14ac:dyDescent="0.25">
      <c r="A5653" s="5"/>
    </row>
    <row r="5654" spans="1:1" x14ac:dyDescent="0.25">
      <c r="A5654" s="5"/>
    </row>
    <row r="5655" spans="1:1" x14ac:dyDescent="0.25">
      <c r="A5655" s="5"/>
    </row>
    <row r="5656" spans="1:1" x14ac:dyDescent="0.25">
      <c r="A5656" s="5"/>
    </row>
    <row r="5657" spans="1:1" x14ac:dyDescent="0.25">
      <c r="A5657" s="5"/>
    </row>
    <row r="5658" spans="1:1" x14ac:dyDescent="0.25">
      <c r="A5658" s="5"/>
    </row>
    <row r="5659" spans="1:1" x14ac:dyDescent="0.25">
      <c r="A5659" s="5"/>
    </row>
    <row r="5660" spans="1:1" x14ac:dyDescent="0.25">
      <c r="A5660" s="5"/>
    </row>
    <row r="5661" spans="1:1" x14ac:dyDescent="0.25">
      <c r="A5661" s="5"/>
    </row>
    <row r="5662" spans="1:1" x14ac:dyDescent="0.25">
      <c r="A5662" s="5"/>
    </row>
    <row r="5663" spans="1:1" x14ac:dyDescent="0.25">
      <c r="A5663" s="5"/>
    </row>
    <row r="5664" spans="1:1" x14ac:dyDescent="0.25">
      <c r="A5664" s="5"/>
    </row>
    <row r="5665" spans="1:1" x14ac:dyDescent="0.25">
      <c r="A5665" s="5"/>
    </row>
    <row r="5666" spans="1:1" x14ac:dyDescent="0.25">
      <c r="A5666" s="5"/>
    </row>
    <row r="5667" spans="1:1" x14ac:dyDescent="0.25">
      <c r="A5667" s="5"/>
    </row>
    <row r="5668" spans="1:1" x14ac:dyDescent="0.25">
      <c r="A5668" s="5"/>
    </row>
    <row r="5669" spans="1:1" x14ac:dyDescent="0.25">
      <c r="A5669" s="5"/>
    </row>
    <row r="5670" spans="1:1" x14ac:dyDescent="0.25">
      <c r="A5670" s="5"/>
    </row>
    <row r="5671" spans="1:1" x14ac:dyDescent="0.25">
      <c r="A5671" s="5"/>
    </row>
    <row r="5672" spans="1:1" x14ac:dyDescent="0.25">
      <c r="A5672" s="5"/>
    </row>
    <row r="5673" spans="1:1" x14ac:dyDescent="0.25">
      <c r="A5673" s="5"/>
    </row>
    <row r="5674" spans="1:1" x14ac:dyDescent="0.25">
      <c r="A5674" s="5"/>
    </row>
    <row r="5675" spans="1:1" x14ac:dyDescent="0.25">
      <c r="A5675" s="5"/>
    </row>
    <row r="5676" spans="1:1" x14ac:dyDescent="0.25">
      <c r="A5676" s="5"/>
    </row>
    <row r="5677" spans="1:1" x14ac:dyDescent="0.25">
      <c r="A5677" s="5"/>
    </row>
    <row r="5678" spans="1:1" x14ac:dyDescent="0.25">
      <c r="A5678" s="5"/>
    </row>
    <row r="5679" spans="1:1" x14ac:dyDescent="0.25">
      <c r="A5679" s="5"/>
    </row>
    <row r="5680" spans="1:1" x14ac:dyDescent="0.25">
      <c r="A5680" s="5"/>
    </row>
    <row r="5681" spans="1:1" x14ac:dyDescent="0.25">
      <c r="A5681" s="5"/>
    </row>
    <row r="5682" spans="1:1" x14ac:dyDescent="0.25">
      <c r="A5682" s="5"/>
    </row>
    <row r="5683" spans="1:1" x14ac:dyDescent="0.25">
      <c r="A5683" s="5"/>
    </row>
    <row r="5684" spans="1:1" x14ac:dyDescent="0.25">
      <c r="A5684" s="5"/>
    </row>
    <row r="5685" spans="1:1" x14ac:dyDescent="0.25">
      <c r="A5685" s="5"/>
    </row>
    <row r="5686" spans="1:1" x14ac:dyDescent="0.25">
      <c r="A5686" s="5"/>
    </row>
    <row r="5687" spans="1:1" x14ac:dyDescent="0.25">
      <c r="A5687" s="5"/>
    </row>
    <row r="5688" spans="1:1" x14ac:dyDescent="0.25">
      <c r="A5688" s="5"/>
    </row>
    <row r="5689" spans="1:1" x14ac:dyDescent="0.25">
      <c r="A5689" s="5"/>
    </row>
    <row r="5690" spans="1:1" x14ac:dyDescent="0.25">
      <c r="A5690" s="5"/>
    </row>
    <row r="5691" spans="1:1" x14ac:dyDescent="0.25">
      <c r="A5691" s="5"/>
    </row>
    <row r="5692" spans="1:1" x14ac:dyDescent="0.25">
      <c r="A5692" s="5"/>
    </row>
    <row r="5693" spans="1:1" x14ac:dyDescent="0.25">
      <c r="A5693" s="5"/>
    </row>
    <row r="5694" spans="1:1" x14ac:dyDescent="0.25">
      <c r="A5694" s="5"/>
    </row>
    <row r="5695" spans="1:1" x14ac:dyDescent="0.25">
      <c r="A5695" s="5"/>
    </row>
    <row r="5696" spans="1:1" x14ac:dyDescent="0.25">
      <c r="A5696" s="5"/>
    </row>
    <row r="5697" spans="1:1" x14ac:dyDescent="0.25">
      <c r="A5697" s="5"/>
    </row>
    <row r="5698" spans="1:1" x14ac:dyDescent="0.25">
      <c r="A5698" s="5"/>
    </row>
    <row r="5699" spans="1:1" x14ac:dyDescent="0.25">
      <c r="A5699" s="5"/>
    </row>
    <row r="5700" spans="1:1" x14ac:dyDescent="0.25">
      <c r="A5700" s="5"/>
    </row>
    <row r="5701" spans="1:1" x14ac:dyDescent="0.25">
      <c r="A5701" s="5"/>
    </row>
    <row r="5702" spans="1:1" x14ac:dyDescent="0.25">
      <c r="A5702" s="5"/>
    </row>
    <row r="5703" spans="1:1" x14ac:dyDescent="0.25">
      <c r="A5703" s="5"/>
    </row>
    <row r="5704" spans="1:1" x14ac:dyDescent="0.25">
      <c r="A5704" s="5"/>
    </row>
    <row r="5705" spans="1:1" x14ac:dyDescent="0.25">
      <c r="A5705" s="5"/>
    </row>
    <row r="5706" spans="1:1" x14ac:dyDescent="0.25">
      <c r="A5706" s="5"/>
    </row>
    <row r="5707" spans="1:1" x14ac:dyDescent="0.25">
      <c r="A5707" s="5"/>
    </row>
    <row r="5708" spans="1:1" x14ac:dyDescent="0.25">
      <c r="A5708" s="5"/>
    </row>
    <row r="5709" spans="1:1" x14ac:dyDescent="0.25">
      <c r="A5709" s="5"/>
    </row>
    <row r="5710" spans="1:1" x14ac:dyDescent="0.25">
      <c r="A5710" s="5"/>
    </row>
    <row r="5711" spans="1:1" x14ac:dyDescent="0.25">
      <c r="A5711" s="5"/>
    </row>
    <row r="5712" spans="1:1" x14ac:dyDescent="0.25">
      <c r="A5712" s="5"/>
    </row>
    <row r="5713" spans="1:1" x14ac:dyDescent="0.25">
      <c r="A5713" s="5"/>
    </row>
    <row r="5714" spans="1:1" x14ac:dyDescent="0.25">
      <c r="A5714" s="5"/>
    </row>
    <row r="5715" spans="1:1" x14ac:dyDescent="0.25">
      <c r="A5715" s="5"/>
    </row>
    <row r="5716" spans="1:1" x14ac:dyDescent="0.25">
      <c r="A5716" s="5"/>
    </row>
    <row r="5717" spans="1:1" x14ac:dyDescent="0.25">
      <c r="A5717" s="5"/>
    </row>
    <row r="5718" spans="1:1" x14ac:dyDescent="0.25">
      <c r="A5718" s="5"/>
    </row>
    <row r="5719" spans="1:1" x14ac:dyDescent="0.25">
      <c r="A5719" s="5"/>
    </row>
    <row r="5720" spans="1:1" x14ac:dyDescent="0.25">
      <c r="A5720" s="5"/>
    </row>
    <row r="5721" spans="1:1" x14ac:dyDescent="0.25">
      <c r="A5721" s="5"/>
    </row>
    <row r="5722" spans="1:1" x14ac:dyDescent="0.25">
      <c r="A5722" s="5"/>
    </row>
    <row r="5723" spans="1:1" x14ac:dyDescent="0.25">
      <c r="A5723" s="5"/>
    </row>
    <row r="5724" spans="1:1" x14ac:dyDescent="0.25">
      <c r="A5724" s="5"/>
    </row>
    <row r="5725" spans="1:1" x14ac:dyDescent="0.25">
      <c r="A5725" s="5"/>
    </row>
    <row r="5726" spans="1:1" x14ac:dyDescent="0.25">
      <c r="A5726" s="5"/>
    </row>
    <row r="5727" spans="1:1" x14ac:dyDescent="0.25">
      <c r="A5727" s="5"/>
    </row>
    <row r="5728" spans="1:1" x14ac:dyDescent="0.25">
      <c r="A5728" s="5"/>
    </row>
    <row r="5729" spans="1:1" x14ac:dyDescent="0.25">
      <c r="A5729" s="5"/>
    </row>
    <row r="5730" spans="1:1" x14ac:dyDescent="0.25">
      <c r="A5730" s="5"/>
    </row>
    <row r="5731" spans="1:1" x14ac:dyDescent="0.25">
      <c r="A5731" s="5"/>
    </row>
    <row r="5732" spans="1:1" x14ac:dyDescent="0.25">
      <c r="A5732" s="5"/>
    </row>
    <row r="5733" spans="1:1" x14ac:dyDescent="0.25">
      <c r="A5733" s="5"/>
    </row>
    <row r="5734" spans="1:1" x14ac:dyDescent="0.25">
      <c r="A5734" s="5"/>
    </row>
    <row r="5735" spans="1:1" x14ac:dyDescent="0.25">
      <c r="A5735" s="5"/>
    </row>
    <row r="5736" spans="1:1" x14ac:dyDescent="0.25">
      <c r="A5736" s="5"/>
    </row>
    <row r="5737" spans="1:1" x14ac:dyDescent="0.25">
      <c r="A5737" s="5"/>
    </row>
    <row r="5738" spans="1:1" x14ac:dyDescent="0.25">
      <c r="A5738" s="5"/>
    </row>
    <row r="5739" spans="1:1" x14ac:dyDescent="0.25">
      <c r="A5739" s="5"/>
    </row>
    <row r="5740" spans="1:1" x14ac:dyDescent="0.25">
      <c r="A5740" s="5"/>
    </row>
    <row r="5741" spans="1:1" x14ac:dyDescent="0.25">
      <c r="A5741" s="5"/>
    </row>
    <row r="5742" spans="1:1" x14ac:dyDescent="0.25">
      <c r="A5742" s="5"/>
    </row>
    <row r="5743" spans="1:1" x14ac:dyDescent="0.25">
      <c r="A5743" s="5"/>
    </row>
    <row r="5744" spans="1:1" x14ac:dyDescent="0.25">
      <c r="A5744" s="5"/>
    </row>
    <row r="5745" spans="1:1" x14ac:dyDescent="0.25">
      <c r="A5745" s="5"/>
    </row>
    <row r="5746" spans="1:1" x14ac:dyDescent="0.25">
      <c r="A5746" s="5"/>
    </row>
    <row r="5747" spans="1:1" x14ac:dyDescent="0.25">
      <c r="A5747" s="5"/>
    </row>
    <row r="5748" spans="1:1" x14ac:dyDescent="0.25">
      <c r="A5748" s="5"/>
    </row>
    <row r="5749" spans="1:1" x14ac:dyDescent="0.25">
      <c r="A5749" s="5"/>
    </row>
    <row r="5750" spans="1:1" x14ac:dyDescent="0.25">
      <c r="A5750" s="5"/>
    </row>
    <row r="5751" spans="1:1" x14ac:dyDescent="0.25">
      <c r="A5751" s="5"/>
    </row>
    <row r="5752" spans="1:1" x14ac:dyDescent="0.25">
      <c r="A5752" s="5"/>
    </row>
    <row r="5753" spans="1:1" x14ac:dyDescent="0.25">
      <c r="A5753" s="5"/>
    </row>
    <row r="5754" spans="1:1" x14ac:dyDescent="0.25">
      <c r="A5754" s="5"/>
    </row>
    <row r="5755" spans="1:1" x14ac:dyDescent="0.25">
      <c r="A5755" s="5"/>
    </row>
    <row r="5756" spans="1:1" x14ac:dyDescent="0.25">
      <c r="A5756" s="5"/>
    </row>
    <row r="5757" spans="1:1" x14ac:dyDescent="0.25">
      <c r="A5757" s="5"/>
    </row>
    <row r="5758" spans="1:1" x14ac:dyDescent="0.25">
      <c r="A5758" s="5"/>
    </row>
    <row r="5759" spans="1:1" x14ac:dyDescent="0.25">
      <c r="A5759" s="5"/>
    </row>
    <row r="5760" spans="1:1" x14ac:dyDescent="0.25">
      <c r="A5760" s="5"/>
    </row>
    <row r="5761" spans="1:1" x14ac:dyDescent="0.25">
      <c r="A5761" s="5"/>
    </row>
    <row r="5762" spans="1:1" x14ac:dyDescent="0.25">
      <c r="A5762" s="5"/>
    </row>
    <row r="5763" spans="1:1" x14ac:dyDescent="0.25">
      <c r="A5763" s="5"/>
    </row>
    <row r="5764" spans="1:1" x14ac:dyDescent="0.25">
      <c r="A5764" s="5"/>
    </row>
    <row r="5765" spans="1:1" x14ac:dyDescent="0.25">
      <c r="A5765" s="5"/>
    </row>
    <row r="5766" spans="1:1" x14ac:dyDescent="0.25">
      <c r="A5766" s="5"/>
    </row>
    <row r="5767" spans="1:1" x14ac:dyDescent="0.25">
      <c r="A5767" s="5"/>
    </row>
    <row r="5768" spans="1:1" x14ac:dyDescent="0.25">
      <c r="A5768" s="5"/>
    </row>
    <row r="5769" spans="1:1" x14ac:dyDescent="0.25">
      <c r="A5769" s="5"/>
    </row>
    <row r="5770" spans="1:1" x14ac:dyDescent="0.25">
      <c r="A5770" s="5"/>
    </row>
    <row r="5771" spans="1:1" x14ac:dyDescent="0.25">
      <c r="A5771" s="5"/>
    </row>
    <row r="5772" spans="1:1" x14ac:dyDescent="0.25">
      <c r="A5772" s="5"/>
    </row>
    <row r="5773" spans="1:1" x14ac:dyDescent="0.25">
      <c r="A5773" s="5"/>
    </row>
    <row r="5774" spans="1:1" x14ac:dyDescent="0.25">
      <c r="A5774" s="5"/>
    </row>
    <row r="5775" spans="1:1" x14ac:dyDescent="0.25">
      <c r="A5775" s="5"/>
    </row>
    <row r="5776" spans="1:1" x14ac:dyDescent="0.25">
      <c r="A5776" s="5"/>
    </row>
    <row r="5777" spans="1:1" x14ac:dyDescent="0.25">
      <c r="A5777" s="5"/>
    </row>
    <row r="5778" spans="1:1" x14ac:dyDescent="0.25">
      <c r="A5778" s="5"/>
    </row>
    <row r="5779" spans="1:1" x14ac:dyDescent="0.25">
      <c r="A5779" s="5"/>
    </row>
    <row r="5780" spans="1:1" x14ac:dyDescent="0.25">
      <c r="A5780" s="5"/>
    </row>
    <row r="5781" spans="1:1" x14ac:dyDescent="0.25">
      <c r="A5781" s="5"/>
    </row>
    <row r="5782" spans="1:1" x14ac:dyDescent="0.25">
      <c r="A5782" s="5"/>
    </row>
    <row r="5783" spans="1:1" x14ac:dyDescent="0.25">
      <c r="A5783" s="5"/>
    </row>
    <row r="5784" spans="1:1" x14ac:dyDescent="0.25">
      <c r="A5784" s="5"/>
    </row>
    <row r="5785" spans="1:1" x14ac:dyDescent="0.25">
      <c r="A5785" s="5"/>
    </row>
    <row r="5786" spans="1:1" x14ac:dyDescent="0.25">
      <c r="A5786" s="5"/>
    </row>
    <row r="5787" spans="1:1" x14ac:dyDescent="0.25">
      <c r="A5787" s="5"/>
    </row>
    <row r="5788" spans="1:1" x14ac:dyDescent="0.25">
      <c r="A5788" s="5"/>
    </row>
    <row r="5789" spans="1:1" x14ac:dyDescent="0.25">
      <c r="A5789" s="5"/>
    </row>
    <row r="5790" spans="1:1" x14ac:dyDescent="0.25">
      <c r="A5790" s="5"/>
    </row>
    <row r="5791" spans="1:1" x14ac:dyDescent="0.25">
      <c r="A5791" s="5"/>
    </row>
    <row r="5792" spans="1:1" x14ac:dyDescent="0.25">
      <c r="A5792" s="5"/>
    </row>
    <row r="5793" spans="1:1" x14ac:dyDescent="0.25">
      <c r="A5793" s="5"/>
    </row>
    <row r="5794" spans="1:1" x14ac:dyDescent="0.25">
      <c r="A5794" s="5"/>
    </row>
    <row r="5795" spans="1:1" x14ac:dyDescent="0.25">
      <c r="A5795" s="5"/>
    </row>
    <row r="5796" spans="1:1" x14ac:dyDescent="0.25">
      <c r="A5796" s="5"/>
    </row>
    <row r="5797" spans="1:1" x14ac:dyDescent="0.25">
      <c r="A5797" s="5"/>
    </row>
    <row r="5798" spans="1:1" x14ac:dyDescent="0.25">
      <c r="A5798" s="5"/>
    </row>
    <row r="5799" spans="1:1" x14ac:dyDescent="0.25">
      <c r="A5799" s="5"/>
    </row>
    <row r="5800" spans="1:1" x14ac:dyDescent="0.25">
      <c r="A5800" s="5"/>
    </row>
    <row r="5801" spans="1:1" x14ac:dyDescent="0.25">
      <c r="A5801" s="5"/>
    </row>
    <row r="5802" spans="1:1" x14ac:dyDescent="0.25">
      <c r="A5802" s="5"/>
    </row>
    <row r="5803" spans="1:1" x14ac:dyDescent="0.25">
      <c r="A5803" s="5"/>
    </row>
    <row r="5804" spans="1:1" x14ac:dyDescent="0.25">
      <c r="A5804" s="5"/>
    </row>
    <row r="5805" spans="1:1" x14ac:dyDescent="0.25">
      <c r="A5805" s="5"/>
    </row>
    <row r="5806" spans="1:1" x14ac:dyDescent="0.25">
      <c r="A5806" s="5"/>
    </row>
    <row r="5807" spans="1:1" x14ac:dyDescent="0.25">
      <c r="A5807" s="5"/>
    </row>
    <row r="5808" spans="1:1" x14ac:dyDescent="0.25">
      <c r="A5808" s="5"/>
    </row>
    <row r="5809" spans="1:1" x14ac:dyDescent="0.25">
      <c r="A5809" s="5"/>
    </row>
    <row r="5810" spans="1:1" x14ac:dyDescent="0.25">
      <c r="A5810" s="5"/>
    </row>
    <row r="5811" spans="1:1" x14ac:dyDescent="0.25">
      <c r="A5811" s="5"/>
    </row>
    <row r="5812" spans="1:1" x14ac:dyDescent="0.25">
      <c r="A5812" s="5"/>
    </row>
    <row r="5813" spans="1:1" x14ac:dyDescent="0.25">
      <c r="A5813" s="5"/>
    </row>
    <row r="5814" spans="1:1" x14ac:dyDescent="0.25">
      <c r="A5814" s="5"/>
    </row>
    <row r="5815" spans="1:1" x14ac:dyDescent="0.25">
      <c r="A5815" s="5"/>
    </row>
    <row r="5816" spans="1:1" x14ac:dyDescent="0.25">
      <c r="A5816" s="5"/>
    </row>
    <row r="5817" spans="1:1" x14ac:dyDescent="0.25">
      <c r="A5817" s="5"/>
    </row>
    <row r="5818" spans="1:1" x14ac:dyDescent="0.25">
      <c r="A5818" s="5"/>
    </row>
    <row r="5819" spans="1:1" x14ac:dyDescent="0.25">
      <c r="A5819" s="5"/>
    </row>
    <row r="5820" spans="1:1" x14ac:dyDescent="0.25">
      <c r="A5820" s="5"/>
    </row>
    <row r="5821" spans="1:1" x14ac:dyDescent="0.25">
      <c r="A5821" s="5"/>
    </row>
    <row r="5822" spans="1:1" x14ac:dyDescent="0.25">
      <c r="A5822" s="5"/>
    </row>
    <row r="5823" spans="1:1" x14ac:dyDescent="0.25">
      <c r="A5823" s="5"/>
    </row>
    <row r="5824" spans="1:1" x14ac:dyDescent="0.25">
      <c r="A5824" s="5"/>
    </row>
    <row r="5825" spans="1:1" x14ac:dyDescent="0.25">
      <c r="A5825" s="5"/>
    </row>
    <row r="5826" spans="1:1" x14ac:dyDescent="0.25">
      <c r="A5826" s="5"/>
    </row>
    <row r="5827" spans="1:1" x14ac:dyDescent="0.25">
      <c r="A5827" s="5"/>
    </row>
    <row r="5828" spans="1:1" x14ac:dyDescent="0.25">
      <c r="A5828" s="5"/>
    </row>
    <row r="5829" spans="1:1" x14ac:dyDescent="0.25">
      <c r="A5829" s="5"/>
    </row>
    <row r="5830" spans="1:1" x14ac:dyDescent="0.25">
      <c r="A5830" s="5"/>
    </row>
    <row r="5831" spans="1:1" x14ac:dyDescent="0.25">
      <c r="A5831" s="5"/>
    </row>
    <row r="5832" spans="1:1" x14ac:dyDescent="0.25">
      <c r="A5832" s="5"/>
    </row>
    <row r="5833" spans="1:1" x14ac:dyDescent="0.25">
      <c r="A5833" s="5"/>
    </row>
    <row r="5834" spans="1:1" x14ac:dyDescent="0.25">
      <c r="A5834" s="5"/>
    </row>
    <row r="5835" spans="1:1" x14ac:dyDescent="0.25">
      <c r="A5835" s="5"/>
    </row>
    <row r="5836" spans="1:1" x14ac:dyDescent="0.25">
      <c r="A5836" s="5"/>
    </row>
    <row r="5837" spans="1:1" x14ac:dyDescent="0.25">
      <c r="A5837" s="5"/>
    </row>
    <row r="5838" spans="1:1" x14ac:dyDescent="0.25">
      <c r="A5838" s="5"/>
    </row>
    <row r="5839" spans="1:1" x14ac:dyDescent="0.25">
      <c r="A5839" s="5"/>
    </row>
    <row r="5840" spans="1:1" x14ac:dyDescent="0.25">
      <c r="A5840" s="5"/>
    </row>
    <row r="5841" spans="1:1" x14ac:dyDescent="0.25">
      <c r="A5841" s="5"/>
    </row>
    <row r="5842" spans="1:1" x14ac:dyDescent="0.25">
      <c r="A5842" s="5"/>
    </row>
    <row r="5843" spans="1:1" x14ac:dyDescent="0.25">
      <c r="A5843" s="5"/>
    </row>
    <row r="5844" spans="1:1" x14ac:dyDescent="0.25">
      <c r="A5844" s="5"/>
    </row>
    <row r="5845" spans="1:1" x14ac:dyDescent="0.25">
      <c r="A5845" s="5"/>
    </row>
    <row r="5846" spans="1:1" x14ac:dyDescent="0.25">
      <c r="A5846" s="5"/>
    </row>
    <row r="5847" spans="1:1" x14ac:dyDescent="0.25">
      <c r="A5847" s="5"/>
    </row>
    <row r="5848" spans="1:1" x14ac:dyDescent="0.25">
      <c r="A5848" s="5"/>
    </row>
    <row r="5849" spans="1:1" x14ac:dyDescent="0.25">
      <c r="A5849" s="5"/>
    </row>
    <row r="5850" spans="1:1" x14ac:dyDescent="0.25">
      <c r="A5850" s="5"/>
    </row>
    <row r="5851" spans="1:1" x14ac:dyDescent="0.25">
      <c r="A5851" s="5"/>
    </row>
    <row r="5852" spans="1:1" x14ac:dyDescent="0.25">
      <c r="A5852" s="5"/>
    </row>
    <row r="5853" spans="1:1" x14ac:dyDescent="0.25">
      <c r="A5853" s="5"/>
    </row>
    <row r="5854" spans="1:1" x14ac:dyDescent="0.25">
      <c r="A5854" s="5"/>
    </row>
    <row r="5855" spans="1:1" x14ac:dyDescent="0.25">
      <c r="A5855" s="5"/>
    </row>
    <row r="5856" spans="1:1" x14ac:dyDescent="0.25">
      <c r="A5856" s="5"/>
    </row>
    <row r="5857" spans="1:1" x14ac:dyDescent="0.25">
      <c r="A5857" s="5"/>
    </row>
    <row r="5858" spans="1:1" x14ac:dyDescent="0.25">
      <c r="A5858" s="5"/>
    </row>
    <row r="5859" spans="1:1" x14ac:dyDescent="0.25">
      <c r="A5859" s="5"/>
    </row>
    <row r="5860" spans="1:1" x14ac:dyDescent="0.25">
      <c r="A5860" s="5"/>
    </row>
    <row r="5861" spans="1:1" x14ac:dyDescent="0.25">
      <c r="A5861" s="5"/>
    </row>
    <row r="5862" spans="1:1" x14ac:dyDescent="0.25">
      <c r="A5862" s="5"/>
    </row>
    <row r="5863" spans="1:1" x14ac:dyDescent="0.25">
      <c r="A5863" s="5"/>
    </row>
    <row r="5864" spans="1:1" x14ac:dyDescent="0.25">
      <c r="A5864" s="5"/>
    </row>
    <row r="5865" spans="1:1" x14ac:dyDescent="0.25">
      <c r="A5865" s="5"/>
    </row>
    <row r="5866" spans="1:1" x14ac:dyDescent="0.25">
      <c r="A5866" s="5"/>
    </row>
    <row r="5867" spans="1:1" x14ac:dyDescent="0.25">
      <c r="A5867" s="5"/>
    </row>
    <row r="5868" spans="1:1" x14ac:dyDescent="0.25">
      <c r="A5868" s="5"/>
    </row>
    <row r="5869" spans="1:1" x14ac:dyDescent="0.25">
      <c r="A5869" s="5"/>
    </row>
    <row r="5870" spans="1:1" x14ac:dyDescent="0.25">
      <c r="A5870" s="5"/>
    </row>
    <row r="5871" spans="1:1" x14ac:dyDescent="0.25">
      <c r="A5871" s="5"/>
    </row>
    <row r="5872" spans="1:1" x14ac:dyDescent="0.25">
      <c r="A5872" s="5"/>
    </row>
    <row r="5873" spans="1:1" x14ac:dyDescent="0.25">
      <c r="A5873" s="5"/>
    </row>
    <row r="5874" spans="1:1" x14ac:dyDescent="0.25">
      <c r="A5874" s="5"/>
    </row>
    <row r="5875" spans="1:1" x14ac:dyDescent="0.25">
      <c r="A5875" s="5"/>
    </row>
    <row r="5876" spans="1:1" x14ac:dyDescent="0.25">
      <c r="A5876" s="5"/>
    </row>
    <row r="5877" spans="1:1" x14ac:dyDescent="0.25">
      <c r="A5877" s="5"/>
    </row>
    <row r="5878" spans="1:1" x14ac:dyDescent="0.25">
      <c r="A5878" s="5"/>
    </row>
    <row r="5879" spans="1:1" x14ac:dyDescent="0.25">
      <c r="A5879" s="5"/>
    </row>
    <row r="5880" spans="1:1" x14ac:dyDescent="0.25">
      <c r="A5880" s="5"/>
    </row>
    <row r="5881" spans="1:1" x14ac:dyDescent="0.25">
      <c r="A5881" s="5"/>
    </row>
    <row r="5882" spans="1:1" x14ac:dyDescent="0.25">
      <c r="A5882" s="5"/>
    </row>
    <row r="5883" spans="1:1" x14ac:dyDescent="0.25">
      <c r="A5883" s="5"/>
    </row>
    <row r="5884" spans="1:1" x14ac:dyDescent="0.25">
      <c r="A5884" s="5"/>
    </row>
    <row r="5885" spans="1:1" x14ac:dyDescent="0.25">
      <c r="A5885" s="5"/>
    </row>
    <row r="5886" spans="1:1" x14ac:dyDescent="0.25">
      <c r="A5886" s="5"/>
    </row>
    <row r="5887" spans="1:1" x14ac:dyDescent="0.25">
      <c r="A5887" s="5"/>
    </row>
    <row r="5888" spans="1:1" x14ac:dyDescent="0.25">
      <c r="A5888" s="5"/>
    </row>
    <row r="5889" spans="1:1" x14ac:dyDescent="0.25">
      <c r="A5889" s="5"/>
    </row>
    <row r="5890" spans="1:1" x14ac:dyDescent="0.25">
      <c r="A5890" s="5"/>
    </row>
    <row r="5891" spans="1:1" x14ac:dyDescent="0.25">
      <c r="A5891" s="5"/>
    </row>
    <row r="5892" spans="1:1" x14ac:dyDescent="0.25">
      <c r="A5892" s="5"/>
    </row>
    <row r="5893" spans="1:1" x14ac:dyDescent="0.25">
      <c r="A5893" s="5"/>
    </row>
    <row r="5894" spans="1:1" x14ac:dyDescent="0.25">
      <c r="A5894" s="5"/>
    </row>
    <row r="5895" spans="1:1" x14ac:dyDescent="0.25">
      <c r="A5895" s="5"/>
    </row>
    <row r="5896" spans="1:1" x14ac:dyDescent="0.25">
      <c r="A5896" s="5"/>
    </row>
    <row r="5897" spans="1:1" x14ac:dyDescent="0.25">
      <c r="A5897" s="5"/>
    </row>
    <row r="5898" spans="1:1" x14ac:dyDescent="0.25">
      <c r="A5898" s="5"/>
    </row>
    <row r="5899" spans="1:1" x14ac:dyDescent="0.25">
      <c r="A5899" s="5"/>
    </row>
    <row r="5900" spans="1:1" x14ac:dyDescent="0.25">
      <c r="A5900" s="5"/>
    </row>
    <row r="5901" spans="1:1" x14ac:dyDescent="0.25">
      <c r="A5901" s="5"/>
    </row>
    <row r="5902" spans="1:1" x14ac:dyDescent="0.25">
      <c r="A5902" s="5"/>
    </row>
    <row r="5903" spans="1:1" x14ac:dyDescent="0.25">
      <c r="A5903" s="5"/>
    </row>
    <row r="5904" spans="1:1" x14ac:dyDescent="0.25">
      <c r="A5904" s="5"/>
    </row>
    <row r="5905" spans="1:1" x14ac:dyDescent="0.25">
      <c r="A5905" s="5"/>
    </row>
    <row r="5906" spans="1:1" x14ac:dyDescent="0.25">
      <c r="A5906" s="5"/>
    </row>
    <row r="5907" spans="1:1" x14ac:dyDescent="0.25">
      <c r="A5907" s="5"/>
    </row>
    <row r="5908" spans="1:1" x14ac:dyDescent="0.25">
      <c r="A5908" s="5"/>
    </row>
    <row r="5909" spans="1:1" x14ac:dyDescent="0.25">
      <c r="A5909" s="5"/>
    </row>
    <row r="5910" spans="1:1" x14ac:dyDescent="0.25">
      <c r="A5910" s="5"/>
    </row>
    <row r="5911" spans="1:1" x14ac:dyDescent="0.25">
      <c r="A5911" s="5"/>
    </row>
    <row r="5912" spans="1:1" x14ac:dyDescent="0.25">
      <c r="A5912" s="5"/>
    </row>
    <row r="5913" spans="1:1" x14ac:dyDescent="0.25">
      <c r="A5913" s="5"/>
    </row>
    <row r="5914" spans="1:1" x14ac:dyDescent="0.25">
      <c r="A5914" s="5"/>
    </row>
    <row r="5915" spans="1:1" x14ac:dyDescent="0.25">
      <c r="A5915" s="5"/>
    </row>
    <row r="5916" spans="1:1" x14ac:dyDescent="0.25">
      <c r="A5916" s="5"/>
    </row>
    <row r="5917" spans="1:1" x14ac:dyDescent="0.25">
      <c r="A5917" s="5"/>
    </row>
    <row r="5918" spans="1:1" x14ac:dyDescent="0.25">
      <c r="A5918" s="5"/>
    </row>
    <row r="5919" spans="1:1" x14ac:dyDescent="0.25">
      <c r="A5919" s="5"/>
    </row>
    <row r="5920" spans="1:1" x14ac:dyDescent="0.25">
      <c r="A5920" s="5"/>
    </row>
    <row r="5921" spans="1:1" x14ac:dyDescent="0.25">
      <c r="A5921" s="5"/>
    </row>
    <row r="5922" spans="1:1" x14ac:dyDescent="0.25">
      <c r="A5922" s="5"/>
    </row>
    <row r="5923" spans="1:1" x14ac:dyDescent="0.25">
      <c r="A5923" s="5"/>
    </row>
    <row r="5924" spans="1:1" x14ac:dyDescent="0.25">
      <c r="A5924" s="5"/>
    </row>
    <row r="5925" spans="1:1" x14ac:dyDescent="0.25">
      <c r="A5925" s="5"/>
    </row>
    <row r="5926" spans="1:1" x14ac:dyDescent="0.25">
      <c r="A5926" s="5"/>
    </row>
    <row r="5927" spans="1:1" x14ac:dyDescent="0.25">
      <c r="A5927" s="5"/>
    </row>
    <row r="5928" spans="1:1" x14ac:dyDescent="0.25">
      <c r="A5928" s="5"/>
    </row>
    <row r="5929" spans="1:1" x14ac:dyDescent="0.25">
      <c r="A5929" s="5"/>
    </row>
    <row r="5930" spans="1:1" x14ac:dyDescent="0.25">
      <c r="A5930" s="5"/>
    </row>
    <row r="5931" spans="1:1" x14ac:dyDescent="0.25">
      <c r="A5931" s="5"/>
    </row>
    <row r="5932" spans="1:1" x14ac:dyDescent="0.25">
      <c r="A5932" s="5"/>
    </row>
    <row r="5933" spans="1:1" x14ac:dyDescent="0.25">
      <c r="A5933" s="5"/>
    </row>
    <row r="5934" spans="1:1" x14ac:dyDescent="0.25">
      <c r="A5934" s="5"/>
    </row>
    <row r="5935" spans="1:1" x14ac:dyDescent="0.25">
      <c r="A5935" s="5"/>
    </row>
    <row r="5936" spans="1:1" x14ac:dyDescent="0.25">
      <c r="A5936" s="5"/>
    </row>
    <row r="5937" spans="1:1" x14ac:dyDescent="0.25">
      <c r="A5937" s="5"/>
    </row>
    <row r="5938" spans="1:1" x14ac:dyDescent="0.25">
      <c r="A5938" s="5"/>
    </row>
    <row r="5939" spans="1:1" x14ac:dyDescent="0.25">
      <c r="A5939" s="5"/>
    </row>
    <row r="5940" spans="1:1" x14ac:dyDescent="0.25">
      <c r="A5940" s="5"/>
    </row>
    <row r="5941" spans="1:1" x14ac:dyDescent="0.25">
      <c r="A5941" s="5"/>
    </row>
    <row r="5942" spans="1:1" x14ac:dyDescent="0.25">
      <c r="A5942" s="5"/>
    </row>
    <row r="5943" spans="1:1" x14ac:dyDescent="0.25">
      <c r="A5943" s="5"/>
    </row>
    <row r="5944" spans="1:1" x14ac:dyDescent="0.25">
      <c r="A5944" s="5"/>
    </row>
    <row r="5945" spans="1:1" x14ac:dyDescent="0.25">
      <c r="A5945" s="5"/>
    </row>
    <row r="5946" spans="1:1" x14ac:dyDescent="0.25">
      <c r="A5946" s="5"/>
    </row>
    <row r="5947" spans="1:1" x14ac:dyDescent="0.25">
      <c r="A5947" s="5"/>
    </row>
    <row r="5948" spans="1:1" x14ac:dyDescent="0.25">
      <c r="A5948" s="5"/>
    </row>
    <row r="5949" spans="1:1" x14ac:dyDescent="0.25">
      <c r="A5949" s="5"/>
    </row>
    <row r="5950" spans="1:1" x14ac:dyDescent="0.25">
      <c r="A5950" s="5"/>
    </row>
    <row r="5951" spans="1:1" x14ac:dyDescent="0.25">
      <c r="A5951" s="5"/>
    </row>
    <row r="5952" spans="1:1" x14ac:dyDescent="0.25">
      <c r="A5952" s="5"/>
    </row>
    <row r="5953" spans="1:1" x14ac:dyDescent="0.25">
      <c r="A5953" s="5"/>
    </row>
    <row r="5954" spans="1:1" x14ac:dyDescent="0.25">
      <c r="A5954" s="5"/>
    </row>
    <row r="5955" spans="1:1" x14ac:dyDescent="0.25">
      <c r="A5955" s="5"/>
    </row>
    <row r="5956" spans="1:1" x14ac:dyDescent="0.25">
      <c r="A5956" s="5"/>
    </row>
    <row r="5957" spans="1:1" x14ac:dyDescent="0.25">
      <c r="A5957" s="5"/>
    </row>
    <row r="5958" spans="1:1" x14ac:dyDescent="0.25">
      <c r="A5958" s="5"/>
    </row>
    <row r="5959" spans="1:1" x14ac:dyDescent="0.25">
      <c r="A5959" s="5"/>
    </row>
    <row r="5960" spans="1:1" x14ac:dyDescent="0.25">
      <c r="A5960" s="5"/>
    </row>
    <row r="5961" spans="1:1" x14ac:dyDescent="0.25">
      <c r="A5961" s="5"/>
    </row>
    <row r="5962" spans="1:1" x14ac:dyDescent="0.25">
      <c r="A5962" s="5"/>
    </row>
    <row r="5963" spans="1:1" x14ac:dyDescent="0.25">
      <c r="A5963" s="5"/>
    </row>
    <row r="5964" spans="1:1" x14ac:dyDescent="0.25">
      <c r="A5964" s="5"/>
    </row>
    <row r="5965" spans="1:1" x14ac:dyDescent="0.25">
      <c r="A5965" s="5"/>
    </row>
    <row r="5966" spans="1:1" x14ac:dyDescent="0.25">
      <c r="A5966" s="5"/>
    </row>
    <row r="5967" spans="1:1" x14ac:dyDescent="0.25">
      <c r="A5967" s="5"/>
    </row>
    <row r="5968" spans="1:1" x14ac:dyDescent="0.25">
      <c r="A5968" s="5"/>
    </row>
    <row r="5969" spans="1:1" x14ac:dyDescent="0.25">
      <c r="A5969" s="5"/>
    </row>
    <row r="5970" spans="1:1" x14ac:dyDescent="0.25">
      <c r="A5970" s="5"/>
    </row>
    <row r="5971" spans="1:1" x14ac:dyDescent="0.25">
      <c r="A5971" s="5"/>
    </row>
    <row r="5972" spans="1:1" x14ac:dyDescent="0.25">
      <c r="A5972" s="5"/>
    </row>
    <row r="5973" spans="1:1" x14ac:dyDescent="0.25">
      <c r="A5973" s="5"/>
    </row>
    <row r="5974" spans="1:1" x14ac:dyDescent="0.25">
      <c r="A5974" s="5"/>
    </row>
    <row r="5975" spans="1:1" x14ac:dyDescent="0.25">
      <c r="A5975" s="5"/>
    </row>
    <row r="5976" spans="1:1" x14ac:dyDescent="0.25">
      <c r="A5976" s="5"/>
    </row>
    <row r="5977" spans="1:1" x14ac:dyDescent="0.25">
      <c r="A5977" s="5"/>
    </row>
    <row r="5978" spans="1:1" x14ac:dyDescent="0.25">
      <c r="A5978" s="5"/>
    </row>
    <row r="5979" spans="1:1" x14ac:dyDescent="0.25">
      <c r="A5979" s="5"/>
    </row>
    <row r="5980" spans="1:1" x14ac:dyDescent="0.25">
      <c r="A5980" s="5"/>
    </row>
    <row r="5981" spans="1:1" x14ac:dyDescent="0.25">
      <c r="A5981" s="5"/>
    </row>
    <row r="5982" spans="1:1" x14ac:dyDescent="0.25">
      <c r="A5982" s="5"/>
    </row>
    <row r="5983" spans="1:1" x14ac:dyDescent="0.25">
      <c r="A5983" s="5"/>
    </row>
    <row r="5984" spans="1:1" x14ac:dyDescent="0.25">
      <c r="A5984" s="5"/>
    </row>
    <row r="5985" spans="1:1" x14ac:dyDescent="0.25">
      <c r="A5985" s="5"/>
    </row>
    <row r="5986" spans="1:1" x14ac:dyDescent="0.25">
      <c r="A5986" s="5"/>
    </row>
    <row r="5987" spans="1:1" x14ac:dyDescent="0.25">
      <c r="A5987" s="5"/>
    </row>
    <row r="5988" spans="1:1" x14ac:dyDescent="0.25">
      <c r="A5988" s="5"/>
    </row>
    <row r="5989" spans="1:1" x14ac:dyDescent="0.25">
      <c r="A5989" s="5"/>
    </row>
    <row r="5990" spans="1:1" x14ac:dyDescent="0.25">
      <c r="A5990" s="5"/>
    </row>
    <row r="5991" spans="1:1" x14ac:dyDescent="0.25">
      <c r="A5991" s="5"/>
    </row>
    <row r="5992" spans="1:1" x14ac:dyDescent="0.25">
      <c r="A5992" s="5"/>
    </row>
    <row r="5993" spans="1:1" x14ac:dyDescent="0.25">
      <c r="A5993" s="5"/>
    </row>
    <row r="5994" spans="1:1" x14ac:dyDescent="0.25">
      <c r="A5994" s="5"/>
    </row>
    <row r="5995" spans="1:1" x14ac:dyDescent="0.25">
      <c r="A5995" s="5"/>
    </row>
    <row r="5996" spans="1:1" x14ac:dyDescent="0.25">
      <c r="A5996" s="5"/>
    </row>
    <row r="5997" spans="1:1" x14ac:dyDescent="0.25">
      <c r="A5997" s="5"/>
    </row>
    <row r="5998" spans="1:1" x14ac:dyDescent="0.25">
      <c r="A5998" s="5"/>
    </row>
    <row r="5999" spans="1:1" x14ac:dyDescent="0.25">
      <c r="A5999" s="5"/>
    </row>
    <row r="6000" spans="1:1" x14ac:dyDescent="0.25">
      <c r="A6000" s="5"/>
    </row>
    <row r="6001" spans="1:1" x14ac:dyDescent="0.25">
      <c r="A6001" s="5"/>
    </row>
    <row r="6002" spans="1:1" x14ac:dyDescent="0.25">
      <c r="A6002" s="5"/>
    </row>
    <row r="6003" spans="1:1" x14ac:dyDescent="0.25">
      <c r="A6003" s="5"/>
    </row>
    <row r="6004" spans="1:1" x14ac:dyDescent="0.25">
      <c r="A6004" s="5"/>
    </row>
    <row r="6005" spans="1:1" x14ac:dyDescent="0.25">
      <c r="A6005" s="5"/>
    </row>
    <row r="6006" spans="1:1" x14ac:dyDescent="0.25">
      <c r="A6006" s="5"/>
    </row>
    <row r="6007" spans="1:1" x14ac:dyDescent="0.25">
      <c r="A6007" s="5"/>
    </row>
    <row r="6008" spans="1:1" x14ac:dyDescent="0.25">
      <c r="A6008" s="5"/>
    </row>
    <row r="6009" spans="1:1" x14ac:dyDescent="0.25">
      <c r="A6009" s="5"/>
    </row>
    <row r="6010" spans="1:1" x14ac:dyDescent="0.25">
      <c r="A6010" s="5"/>
    </row>
    <row r="6011" spans="1:1" x14ac:dyDescent="0.25">
      <c r="A6011" s="5"/>
    </row>
    <row r="6012" spans="1:1" x14ac:dyDescent="0.25">
      <c r="A6012" s="5"/>
    </row>
    <row r="6013" spans="1:1" x14ac:dyDescent="0.25">
      <c r="A6013" s="5"/>
    </row>
    <row r="6014" spans="1:1" x14ac:dyDescent="0.25">
      <c r="A6014" s="5"/>
    </row>
    <row r="6015" spans="1:1" x14ac:dyDescent="0.25">
      <c r="A6015" s="5"/>
    </row>
    <row r="6016" spans="1:1" x14ac:dyDescent="0.25">
      <c r="A6016" s="5"/>
    </row>
    <row r="6017" spans="1:1" x14ac:dyDescent="0.25">
      <c r="A6017" s="5"/>
    </row>
    <row r="6018" spans="1:1" x14ac:dyDescent="0.25">
      <c r="A6018" s="5"/>
    </row>
    <row r="6019" spans="1:1" x14ac:dyDescent="0.25">
      <c r="A6019" s="5"/>
    </row>
    <row r="6020" spans="1:1" x14ac:dyDescent="0.25">
      <c r="A6020" s="5"/>
    </row>
    <row r="6021" spans="1:1" x14ac:dyDescent="0.25">
      <c r="A6021" s="5"/>
    </row>
    <row r="6022" spans="1:1" x14ac:dyDescent="0.25">
      <c r="A6022" s="5"/>
    </row>
    <row r="6023" spans="1:1" x14ac:dyDescent="0.25">
      <c r="A6023" s="5"/>
    </row>
    <row r="6024" spans="1:1" x14ac:dyDescent="0.25">
      <c r="A6024" s="5"/>
    </row>
    <row r="6025" spans="1:1" x14ac:dyDescent="0.25">
      <c r="A6025" s="5"/>
    </row>
    <row r="6026" spans="1:1" x14ac:dyDescent="0.25">
      <c r="A6026" s="5"/>
    </row>
    <row r="6027" spans="1:1" x14ac:dyDescent="0.25">
      <c r="A6027" s="5"/>
    </row>
    <row r="6028" spans="1:1" x14ac:dyDescent="0.25">
      <c r="A6028" s="5"/>
    </row>
    <row r="6029" spans="1:1" x14ac:dyDescent="0.25">
      <c r="A6029" s="5"/>
    </row>
    <row r="6030" spans="1:1" x14ac:dyDescent="0.25">
      <c r="A6030" s="5"/>
    </row>
    <row r="6031" spans="1:1" x14ac:dyDescent="0.25">
      <c r="A6031" s="5"/>
    </row>
    <row r="6032" spans="1:1" x14ac:dyDescent="0.25">
      <c r="A6032" s="5"/>
    </row>
    <row r="6033" spans="1:1" x14ac:dyDescent="0.25">
      <c r="A6033" s="5"/>
    </row>
    <row r="6034" spans="1:1" x14ac:dyDescent="0.25">
      <c r="A6034" s="5"/>
    </row>
    <row r="6035" spans="1:1" x14ac:dyDescent="0.25">
      <c r="A6035" s="5"/>
    </row>
    <row r="6036" spans="1:1" x14ac:dyDescent="0.25">
      <c r="A6036" s="5"/>
    </row>
    <row r="6037" spans="1:1" x14ac:dyDescent="0.25">
      <c r="A6037" s="5"/>
    </row>
    <row r="6038" spans="1:1" x14ac:dyDescent="0.25">
      <c r="A6038" s="5"/>
    </row>
    <row r="6039" spans="1:1" x14ac:dyDescent="0.25">
      <c r="A6039" s="5"/>
    </row>
    <row r="6040" spans="1:1" x14ac:dyDescent="0.25">
      <c r="A6040" s="5"/>
    </row>
    <row r="6041" spans="1:1" x14ac:dyDescent="0.25">
      <c r="A6041" s="5"/>
    </row>
    <row r="6042" spans="1:1" x14ac:dyDescent="0.25">
      <c r="A6042" s="5"/>
    </row>
    <row r="6043" spans="1:1" x14ac:dyDescent="0.25">
      <c r="A6043" s="5"/>
    </row>
    <row r="6044" spans="1:1" x14ac:dyDescent="0.25">
      <c r="A6044" s="5"/>
    </row>
    <row r="6045" spans="1:1" x14ac:dyDescent="0.25">
      <c r="A6045" s="5"/>
    </row>
    <row r="6046" spans="1:1" x14ac:dyDescent="0.25">
      <c r="A6046" s="5"/>
    </row>
    <row r="6047" spans="1:1" x14ac:dyDescent="0.25">
      <c r="A6047" s="5"/>
    </row>
    <row r="6048" spans="1:1" x14ac:dyDescent="0.25">
      <c r="A6048" s="5"/>
    </row>
    <row r="6049" spans="1:1" x14ac:dyDescent="0.25">
      <c r="A6049" s="5"/>
    </row>
    <row r="6050" spans="1:1" x14ac:dyDescent="0.25">
      <c r="A6050" s="5"/>
    </row>
    <row r="6051" spans="1:1" x14ac:dyDescent="0.25">
      <c r="A6051" s="5"/>
    </row>
    <row r="6052" spans="1:1" x14ac:dyDescent="0.25">
      <c r="A6052" s="5"/>
    </row>
    <row r="6053" spans="1:1" x14ac:dyDescent="0.25">
      <c r="A6053" s="5"/>
    </row>
    <row r="6054" spans="1:1" x14ac:dyDescent="0.25">
      <c r="A6054" s="5"/>
    </row>
    <row r="6055" spans="1:1" x14ac:dyDescent="0.25">
      <c r="A6055" s="5"/>
    </row>
    <row r="6056" spans="1:1" x14ac:dyDescent="0.25">
      <c r="A6056" s="5"/>
    </row>
    <row r="6057" spans="1:1" x14ac:dyDescent="0.25">
      <c r="A6057" s="5"/>
    </row>
    <row r="6058" spans="1:1" x14ac:dyDescent="0.25">
      <c r="A6058" s="5"/>
    </row>
    <row r="6059" spans="1:1" x14ac:dyDescent="0.25">
      <c r="A6059" s="5"/>
    </row>
    <row r="6060" spans="1:1" x14ac:dyDescent="0.25">
      <c r="A6060" s="5"/>
    </row>
    <row r="6061" spans="1:1" x14ac:dyDescent="0.25">
      <c r="A6061" s="5"/>
    </row>
    <row r="6062" spans="1:1" x14ac:dyDescent="0.25">
      <c r="A6062" s="5"/>
    </row>
    <row r="6063" spans="1:1" x14ac:dyDescent="0.25">
      <c r="A6063" s="5"/>
    </row>
    <row r="6064" spans="1:1" x14ac:dyDescent="0.25">
      <c r="A6064" s="5"/>
    </row>
    <row r="6065" spans="1:1" x14ac:dyDescent="0.25">
      <c r="A6065" s="5"/>
    </row>
    <row r="6066" spans="1:1" x14ac:dyDescent="0.25">
      <c r="A6066" s="5"/>
    </row>
    <row r="6067" spans="1:1" x14ac:dyDescent="0.25">
      <c r="A6067" s="5"/>
    </row>
    <row r="6068" spans="1:1" x14ac:dyDescent="0.25">
      <c r="A6068" s="5"/>
    </row>
    <row r="6069" spans="1:1" x14ac:dyDescent="0.25">
      <c r="A6069" s="5"/>
    </row>
    <row r="6070" spans="1:1" x14ac:dyDescent="0.25">
      <c r="A6070" s="5"/>
    </row>
    <row r="6071" spans="1:1" x14ac:dyDescent="0.25">
      <c r="A6071" s="5"/>
    </row>
    <row r="6072" spans="1:1" x14ac:dyDescent="0.25">
      <c r="A6072" s="5"/>
    </row>
    <row r="6073" spans="1:1" x14ac:dyDescent="0.25">
      <c r="A6073" s="5"/>
    </row>
    <row r="6074" spans="1:1" x14ac:dyDescent="0.25">
      <c r="A6074" s="5"/>
    </row>
    <row r="6075" spans="1:1" x14ac:dyDescent="0.25">
      <c r="A6075" s="5"/>
    </row>
    <row r="6076" spans="1:1" x14ac:dyDescent="0.25">
      <c r="A6076" s="5"/>
    </row>
    <row r="6077" spans="1:1" x14ac:dyDescent="0.25">
      <c r="A6077" s="5"/>
    </row>
    <row r="6078" spans="1:1" x14ac:dyDescent="0.25">
      <c r="A6078" s="5"/>
    </row>
    <row r="6079" spans="1:1" x14ac:dyDescent="0.25">
      <c r="A6079" s="5"/>
    </row>
    <row r="6080" spans="1:1" x14ac:dyDescent="0.25">
      <c r="A6080" s="5"/>
    </row>
    <row r="6081" spans="1:1" x14ac:dyDescent="0.25">
      <c r="A6081" s="5"/>
    </row>
    <row r="6082" spans="1:1" x14ac:dyDescent="0.25">
      <c r="A6082" s="5"/>
    </row>
    <row r="6083" spans="1:1" x14ac:dyDescent="0.25">
      <c r="A6083" s="5"/>
    </row>
    <row r="6084" spans="1:1" x14ac:dyDescent="0.25">
      <c r="A6084" s="5"/>
    </row>
    <row r="6085" spans="1:1" x14ac:dyDescent="0.25">
      <c r="A6085" s="5"/>
    </row>
    <row r="6086" spans="1:1" x14ac:dyDescent="0.25">
      <c r="A6086" s="5"/>
    </row>
    <row r="6087" spans="1:1" x14ac:dyDescent="0.25">
      <c r="A6087" s="5"/>
    </row>
    <row r="6088" spans="1:1" x14ac:dyDescent="0.25">
      <c r="A6088" s="5"/>
    </row>
    <row r="6089" spans="1:1" x14ac:dyDescent="0.25">
      <c r="A6089" s="5"/>
    </row>
    <row r="6090" spans="1:1" x14ac:dyDescent="0.25">
      <c r="A6090" s="5"/>
    </row>
    <row r="6091" spans="1:1" x14ac:dyDescent="0.25">
      <c r="A6091" s="5"/>
    </row>
    <row r="6092" spans="1:1" x14ac:dyDescent="0.25">
      <c r="A6092" s="5"/>
    </row>
    <row r="6093" spans="1:1" x14ac:dyDescent="0.25">
      <c r="A6093" s="5"/>
    </row>
    <row r="6094" spans="1:1" x14ac:dyDescent="0.25">
      <c r="A6094" s="5"/>
    </row>
    <row r="6095" spans="1:1" x14ac:dyDescent="0.25">
      <c r="A6095" s="5"/>
    </row>
    <row r="6096" spans="1:1" x14ac:dyDescent="0.25">
      <c r="A6096" s="5"/>
    </row>
    <row r="6097" spans="1:1" x14ac:dyDescent="0.25">
      <c r="A6097" s="5"/>
    </row>
    <row r="6098" spans="1:1" x14ac:dyDescent="0.25">
      <c r="A6098" s="5"/>
    </row>
    <row r="6099" spans="1:1" x14ac:dyDescent="0.25">
      <c r="A6099" s="5"/>
    </row>
    <row r="6100" spans="1:1" x14ac:dyDescent="0.25">
      <c r="A6100" s="5"/>
    </row>
    <row r="6101" spans="1:1" x14ac:dyDescent="0.25">
      <c r="A6101" s="5"/>
    </row>
    <row r="6102" spans="1:1" x14ac:dyDescent="0.25">
      <c r="A6102" s="5"/>
    </row>
    <row r="6103" spans="1:1" x14ac:dyDescent="0.25">
      <c r="A6103" s="5"/>
    </row>
    <row r="6104" spans="1:1" x14ac:dyDescent="0.25">
      <c r="A6104" s="5"/>
    </row>
    <row r="6105" spans="1:1" x14ac:dyDescent="0.25">
      <c r="A6105" s="5"/>
    </row>
    <row r="6106" spans="1:1" x14ac:dyDescent="0.25">
      <c r="A6106" s="5"/>
    </row>
    <row r="6107" spans="1:1" x14ac:dyDescent="0.25">
      <c r="A6107" s="5"/>
    </row>
    <row r="6108" spans="1:1" x14ac:dyDescent="0.25">
      <c r="A6108" s="5"/>
    </row>
    <row r="6109" spans="1:1" x14ac:dyDescent="0.25">
      <c r="A6109" s="5"/>
    </row>
    <row r="6110" spans="1:1" x14ac:dyDescent="0.25">
      <c r="A6110" s="5"/>
    </row>
    <row r="6111" spans="1:1" x14ac:dyDescent="0.25">
      <c r="A6111" s="5"/>
    </row>
    <row r="6112" spans="1:1" x14ac:dyDescent="0.25">
      <c r="A6112" s="5"/>
    </row>
    <row r="6113" spans="1:1" x14ac:dyDescent="0.25">
      <c r="A6113" s="5"/>
    </row>
    <row r="6114" spans="1:1" x14ac:dyDescent="0.25">
      <c r="A6114" s="5"/>
    </row>
    <row r="6115" spans="1:1" x14ac:dyDescent="0.25">
      <c r="A6115" s="5"/>
    </row>
    <row r="6116" spans="1:1" x14ac:dyDescent="0.25">
      <c r="A6116" s="5"/>
    </row>
    <row r="6117" spans="1:1" x14ac:dyDescent="0.25">
      <c r="A6117" s="5"/>
    </row>
    <row r="6118" spans="1:1" x14ac:dyDescent="0.25">
      <c r="A6118" s="5"/>
    </row>
    <row r="6119" spans="1:1" x14ac:dyDescent="0.25">
      <c r="A6119" s="5"/>
    </row>
    <row r="6120" spans="1:1" x14ac:dyDescent="0.25">
      <c r="A6120" s="5"/>
    </row>
    <row r="6121" spans="1:1" x14ac:dyDescent="0.25">
      <c r="A6121" s="5"/>
    </row>
    <row r="6122" spans="1:1" x14ac:dyDescent="0.25">
      <c r="A6122" s="5"/>
    </row>
    <row r="6123" spans="1:1" x14ac:dyDescent="0.25">
      <c r="A6123" s="5"/>
    </row>
    <row r="6124" spans="1:1" x14ac:dyDescent="0.25">
      <c r="A6124" s="5"/>
    </row>
    <row r="6125" spans="1:1" x14ac:dyDescent="0.25">
      <c r="A6125" s="5"/>
    </row>
    <row r="6126" spans="1:1" x14ac:dyDescent="0.25">
      <c r="A6126" s="5"/>
    </row>
    <row r="6127" spans="1:1" x14ac:dyDescent="0.25">
      <c r="A6127" s="5"/>
    </row>
    <row r="6128" spans="1:1" x14ac:dyDescent="0.25">
      <c r="A6128" s="5"/>
    </row>
    <row r="6129" spans="1:1" x14ac:dyDescent="0.25">
      <c r="A6129" s="5"/>
    </row>
    <row r="6130" spans="1:1" x14ac:dyDescent="0.25">
      <c r="A6130" s="5"/>
    </row>
    <row r="6131" spans="1:1" x14ac:dyDescent="0.25">
      <c r="A6131" s="5"/>
    </row>
    <row r="6132" spans="1:1" x14ac:dyDescent="0.25">
      <c r="A6132" s="5"/>
    </row>
    <row r="6133" spans="1:1" x14ac:dyDescent="0.25">
      <c r="A6133" s="5"/>
    </row>
    <row r="6134" spans="1:1" x14ac:dyDescent="0.25">
      <c r="A6134" s="5"/>
    </row>
    <row r="6135" spans="1:1" x14ac:dyDescent="0.25">
      <c r="A6135" s="5"/>
    </row>
    <row r="6136" spans="1:1" x14ac:dyDescent="0.25">
      <c r="A6136" s="5"/>
    </row>
    <row r="6137" spans="1:1" x14ac:dyDescent="0.25">
      <c r="A6137" s="5"/>
    </row>
    <row r="6138" spans="1:1" x14ac:dyDescent="0.25">
      <c r="A6138" s="5"/>
    </row>
    <row r="6139" spans="1:1" x14ac:dyDescent="0.25">
      <c r="A6139" s="5"/>
    </row>
    <row r="6140" spans="1:1" x14ac:dyDescent="0.25">
      <c r="A6140" s="5"/>
    </row>
    <row r="6141" spans="1:1" x14ac:dyDescent="0.25">
      <c r="A6141" s="5"/>
    </row>
    <row r="6142" spans="1:1" x14ac:dyDescent="0.25">
      <c r="A6142" s="5"/>
    </row>
    <row r="6143" spans="1:1" x14ac:dyDescent="0.25">
      <c r="A6143" s="5"/>
    </row>
    <row r="6144" spans="1:1" x14ac:dyDescent="0.25">
      <c r="A6144" s="5"/>
    </row>
    <row r="6145" spans="1:1" x14ac:dyDescent="0.25">
      <c r="A6145" s="5"/>
    </row>
    <row r="6146" spans="1:1" x14ac:dyDescent="0.25">
      <c r="A6146" s="5"/>
    </row>
    <row r="6147" spans="1:1" x14ac:dyDescent="0.25">
      <c r="A6147" s="5"/>
    </row>
    <row r="6148" spans="1:1" x14ac:dyDescent="0.25">
      <c r="A6148" s="5"/>
    </row>
    <row r="6149" spans="1:1" x14ac:dyDescent="0.25">
      <c r="A6149" s="5"/>
    </row>
    <row r="6150" spans="1:1" x14ac:dyDescent="0.25">
      <c r="A6150" s="5"/>
    </row>
    <row r="6151" spans="1:1" x14ac:dyDescent="0.25">
      <c r="A6151" s="5"/>
    </row>
    <row r="6152" spans="1:1" x14ac:dyDescent="0.25">
      <c r="A6152" s="5"/>
    </row>
    <row r="6153" spans="1:1" x14ac:dyDescent="0.25">
      <c r="A6153" s="5"/>
    </row>
    <row r="6154" spans="1:1" x14ac:dyDescent="0.25">
      <c r="A6154" s="5"/>
    </row>
    <row r="6155" spans="1:1" x14ac:dyDescent="0.25">
      <c r="A6155" s="5"/>
    </row>
    <row r="6156" spans="1:1" x14ac:dyDescent="0.25">
      <c r="A6156" s="5"/>
    </row>
    <row r="6157" spans="1:1" x14ac:dyDescent="0.25">
      <c r="A6157" s="5"/>
    </row>
    <row r="6158" spans="1:1" x14ac:dyDescent="0.25">
      <c r="A6158" s="5"/>
    </row>
    <row r="6159" spans="1:1" x14ac:dyDescent="0.25">
      <c r="A6159" s="5"/>
    </row>
    <row r="6160" spans="1:1" x14ac:dyDescent="0.25">
      <c r="A6160" s="5"/>
    </row>
    <row r="6161" spans="1:1" x14ac:dyDescent="0.25">
      <c r="A6161" s="5"/>
    </row>
    <row r="6162" spans="1:1" x14ac:dyDescent="0.25">
      <c r="A6162" s="5"/>
    </row>
    <row r="6163" spans="1:1" x14ac:dyDescent="0.25">
      <c r="A6163" s="5"/>
    </row>
    <row r="6164" spans="1:1" x14ac:dyDescent="0.25">
      <c r="A6164" s="5"/>
    </row>
    <row r="6165" spans="1:1" x14ac:dyDescent="0.25">
      <c r="A6165" s="5"/>
    </row>
    <row r="6166" spans="1:1" x14ac:dyDescent="0.25">
      <c r="A6166" s="5"/>
    </row>
    <row r="6167" spans="1:1" x14ac:dyDescent="0.25">
      <c r="A6167" s="5"/>
    </row>
    <row r="6168" spans="1:1" x14ac:dyDescent="0.25">
      <c r="A6168" s="5"/>
    </row>
    <row r="6169" spans="1:1" x14ac:dyDescent="0.25">
      <c r="A6169" s="5"/>
    </row>
    <row r="6170" spans="1:1" x14ac:dyDescent="0.25">
      <c r="A6170" s="5"/>
    </row>
    <row r="6171" spans="1:1" x14ac:dyDescent="0.25">
      <c r="A6171" s="5"/>
    </row>
    <row r="6172" spans="1:1" x14ac:dyDescent="0.25">
      <c r="A6172" s="5"/>
    </row>
    <row r="6173" spans="1:1" x14ac:dyDescent="0.25">
      <c r="A6173" s="5"/>
    </row>
    <row r="6174" spans="1:1" x14ac:dyDescent="0.25">
      <c r="A6174" s="5"/>
    </row>
    <row r="6175" spans="1:1" x14ac:dyDescent="0.25">
      <c r="A6175" s="5"/>
    </row>
    <row r="6176" spans="1:1" x14ac:dyDescent="0.25">
      <c r="A6176" s="5"/>
    </row>
    <row r="6177" spans="1:1" x14ac:dyDescent="0.25">
      <c r="A6177" s="5"/>
    </row>
    <row r="6178" spans="1:1" x14ac:dyDescent="0.25">
      <c r="A6178" s="5"/>
    </row>
    <row r="6179" spans="1:1" x14ac:dyDescent="0.25">
      <c r="A6179" s="5"/>
    </row>
    <row r="6180" spans="1:1" x14ac:dyDescent="0.25">
      <c r="A6180" s="5"/>
    </row>
    <row r="6181" spans="1:1" x14ac:dyDescent="0.25">
      <c r="A6181" s="5"/>
    </row>
    <row r="6182" spans="1:1" x14ac:dyDescent="0.25">
      <c r="A6182" s="5"/>
    </row>
    <row r="6183" spans="1:1" x14ac:dyDescent="0.25">
      <c r="A6183" s="5"/>
    </row>
    <row r="6184" spans="1:1" x14ac:dyDescent="0.25">
      <c r="A6184" s="5"/>
    </row>
    <row r="6185" spans="1:1" x14ac:dyDescent="0.25">
      <c r="A6185" s="5"/>
    </row>
    <row r="6186" spans="1:1" x14ac:dyDescent="0.25">
      <c r="A6186" s="5"/>
    </row>
    <row r="6187" spans="1:1" x14ac:dyDescent="0.25">
      <c r="A6187" s="5"/>
    </row>
    <row r="6188" spans="1:1" x14ac:dyDescent="0.25">
      <c r="A6188" s="5"/>
    </row>
    <row r="6189" spans="1:1" x14ac:dyDescent="0.25">
      <c r="A6189" s="5"/>
    </row>
    <row r="6190" spans="1:1" x14ac:dyDescent="0.25">
      <c r="A6190" s="5"/>
    </row>
    <row r="6191" spans="1:1" x14ac:dyDescent="0.25">
      <c r="A6191" s="5"/>
    </row>
    <row r="6192" spans="1:1" x14ac:dyDescent="0.25">
      <c r="A6192" s="5"/>
    </row>
    <row r="6193" spans="1:1" x14ac:dyDescent="0.25">
      <c r="A6193" s="5"/>
    </row>
    <row r="6194" spans="1:1" x14ac:dyDescent="0.25">
      <c r="A6194" s="5"/>
    </row>
    <row r="6195" spans="1:1" x14ac:dyDescent="0.25">
      <c r="A6195" s="5"/>
    </row>
    <row r="6196" spans="1:1" x14ac:dyDescent="0.25">
      <c r="A6196" s="5"/>
    </row>
    <row r="6197" spans="1:1" x14ac:dyDescent="0.25">
      <c r="A6197" s="5"/>
    </row>
    <row r="6198" spans="1:1" x14ac:dyDescent="0.25">
      <c r="A6198" s="5"/>
    </row>
    <row r="6199" spans="1:1" x14ac:dyDescent="0.25">
      <c r="A6199" s="5"/>
    </row>
    <row r="6200" spans="1:1" x14ac:dyDescent="0.25">
      <c r="A6200" s="5"/>
    </row>
    <row r="6201" spans="1:1" x14ac:dyDescent="0.25">
      <c r="A6201" s="5"/>
    </row>
    <row r="6202" spans="1:1" x14ac:dyDescent="0.25">
      <c r="A6202" s="5"/>
    </row>
    <row r="6203" spans="1:1" x14ac:dyDescent="0.25">
      <c r="A6203" s="5"/>
    </row>
    <row r="6204" spans="1:1" x14ac:dyDescent="0.25">
      <c r="A6204" s="5"/>
    </row>
    <row r="6205" spans="1:1" x14ac:dyDescent="0.25">
      <c r="A6205" s="5"/>
    </row>
    <row r="6206" spans="1:1" x14ac:dyDescent="0.25">
      <c r="A6206" s="5"/>
    </row>
    <row r="6207" spans="1:1" x14ac:dyDescent="0.25">
      <c r="A6207" s="5"/>
    </row>
    <row r="6208" spans="1:1" x14ac:dyDescent="0.25">
      <c r="A6208" s="5"/>
    </row>
    <row r="6209" spans="1:1" x14ac:dyDescent="0.25">
      <c r="A6209" s="5"/>
    </row>
    <row r="6210" spans="1:1" x14ac:dyDescent="0.25">
      <c r="A6210" s="5"/>
    </row>
    <row r="6211" spans="1:1" x14ac:dyDescent="0.25">
      <c r="A6211" s="5"/>
    </row>
    <row r="6212" spans="1:1" x14ac:dyDescent="0.25">
      <c r="A6212" s="5"/>
    </row>
    <row r="6213" spans="1:1" x14ac:dyDescent="0.25">
      <c r="A6213" s="5"/>
    </row>
    <row r="6214" spans="1:1" x14ac:dyDescent="0.25">
      <c r="A6214" s="5"/>
    </row>
    <row r="6215" spans="1:1" x14ac:dyDescent="0.25">
      <c r="A6215" s="5"/>
    </row>
    <row r="6216" spans="1:1" x14ac:dyDescent="0.25">
      <c r="A6216" s="5"/>
    </row>
    <row r="6217" spans="1:1" x14ac:dyDescent="0.25">
      <c r="A6217" s="5"/>
    </row>
    <row r="6218" spans="1:1" x14ac:dyDescent="0.25">
      <c r="A6218" s="5"/>
    </row>
    <row r="6219" spans="1:1" x14ac:dyDescent="0.25">
      <c r="A6219" s="5"/>
    </row>
    <row r="6220" spans="1:1" x14ac:dyDescent="0.25">
      <c r="A6220" s="5"/>
    </row>
    <row r="6221" spans="1:1" x14ac:dyDescent="0.25">
      <c r="A6221" s="5"/>
    </row>
    <row r="6222" spans="1:1" x14ac:dyDescent="0.25">
      <c r="A6222" s="5"/>
    </row>
    <row r="6223" spans="1:1" x14ac:dyDescent="0.25">
      <c r="A6223" s="5"/>
    </row>
    <row r="6224" spans="1:1" x14ac:dyDescent="0.25">
      <c r="A6224" s="5"/>
    </row>
    <row r="6225" spans="1:1" x14ac:dyDescent="0.25">
      <c r="A6225" s="5"/>
    </row>
    <row r="6226" spans="1:1" x14ac:dyDescent="0.25">
      <c r="A6226" s="5"/>
    </row>
    <row r="6227" spans="1:1" x14ac:dyDescent="0.25">
      <c r="A6227" s="5"/>
    </row>
    <row r="6228" spans="1:1" x14ac:dyDescent="0.25">
      <c r="A6228" s="5"/>
    </row>
    <row r="6229" spans="1:1" x14ac:dyDescent="0.25">
      <c r="A6229" s="5"/>
    </row>
    <row r="6230" spans="1:1" x14ac:dyDescent="0.25">
      <c r="A6230" s="5"/>
    </row>
    <row r="6231" spans="1:1" x14ac:dyDescent="0.25">
      <c r="A6231" s="5"/>
    </row>
    <row r="6232" spans="1:1" x14ac:dyDescent="0.25">
      <c r="A6232" s="5"/>
    </row>
    <row r="6233" spans="1:1" x14ac:dyDescent="0.25">
      <c r="A6233" s="5"/>
    </row>
    <row r="6234" spans="1:1" x14ac:dyDescent="0.25">
      <c r="A6234" s="5"/>
    </row>
    <row r="6235" spans="1:1" x14ac:dyDescent="0.25">
      <c r="A6235" s="5"/>
    </row>
    <row r="6236" spans="1:1" x14ac:dyDescent="0.25">
      <c r="A6236" s="5"/>
    </row>
    <row r="6237" spans="1:1" x14ac:dyDescent="0.25">
      <c r="A6237" s="5"/>
    </row>
    <row r="6238" spans="1:1" x14ac:dyDescent="0.25">
      <c r="A6238" s="5"/>
    </row>
    <row r="6239" spans="1:1" x14ac:dyDescent="0.25">
      <c r="A6239" s="5"/>
    </row>
    <row r="6240" spans="1:1" x14ac:dyDescent="0.25">
      <c r="A6240" s="5"/>
    </row>
    <row r="6241" spans="1:1" x14ac:dyDescent="0.25">
      <c r="A6241" s="5"/>
    </row>
    <row r="6242" spans="1:1" x14ac:dyDescent="0.25">
      <c r="A6242" s="5"/>
    </row>
    <row r="6243" spans="1:1" x14ac:dyDescent="0.25">
      <c r="A6243" s="5"/>
    </row>
    <row r="6244" spans="1:1" x14ac:dyDescent="0.25">
      <c r="A6244" s="5"/>
    </row>
    <row r="6245" spans="1:1" x14ac:dyDescent="0.25">
      <c r="A6245" s="5"/>
    </row>
    <row r="6246" spans="1:1" x14ac:dyDescent="0.25">
      <c r="A6246" s="5"/>
    </row>
    <row r="6247" spans="1:1" x14ac:dyDescent="0.25">
      <c r="A6247" s="5"/>
    </row>
    <row r="6248" spans="1:1" x14ac:dyDescent="0.25">
      <c r="A6248" s="5"/>
    </row>
    <row r="6249" spans="1:1" x14ac:dyDescent="0.25">
      <c r="A6249" s="5"/>
    </row>
    <row r="6250" spans="1:1" x14ac:dyDescent="0.25">
      <c r="A6250" s="5"/>
    </row>
    <row r="6251" spans="1:1" x14ac:dyDescent="0.25">
      <c r="A6251" s="5"/>
    </row>
    <row r="6252" spans="1:1" x14ac:dyDescent="0.25">
      <c r="A6252" s="5"/>
    </row>
    <row r="6253" spans="1:1" x14ac:dyDescent="0.25">
      <c r="A6253" s="5"/>
    </row>
    <row r="6254" spans="1:1" x14ac:dyDescent="0.25">
      <c r="A6254" s="5"/>
    </row>
    <row r="6255" spans="1:1" x14ac:dyDescent="0.25">
      <c r="A6255" s="5"/>
    </row>
    <row r="6256" spans="1:1" x14ac:dyDescent="0.25">
      <c r="A6256" s="5"/>
    </row>
    <row r="6257" spans="1:1" x14ac:dyDescent="0.25">
      <c r="A6257" s="5"/>
    </row>
    <row r="6258" spans="1:1" x14ac:dyDescent="0.25">
      <c r="A6258" s="5"/>
    </row>
    <row r="6259" spans="1:1" x14ac:dyDescent="0.25">
      <c r="A6259" s="5"/>
    </row>
    <row r="6260" spans="1:1" x14ac:dyDescent="0.25">
      <c r="A6260" s="5"/>
    </row>
    <row r="6261" spans="1:1" x14ac:dyDescent="0.25">
      <c r="A6261" s="5"/>
    </row>
    <row r="6262" spans="1:1" x14ac:dyDescent="0.25">
      <c r="A6262" s="5"/>
    </row>
    <row r="6263" spans="1:1" x14ac:dyDescent="0.25">
      <c r="A6263" s="5"/>
    </row>
    <row r="6264" spans="1:1" x14ac:dyDescent="0.25">
      <c r="A6264" s="5"/>
    </row>
    <row r="6265" spans="1:1" x14ac:dyDescent="0.25">
      <c r="A6265" s="5"/>
    </row>
    <row r="6266" spans="1:1" x14ac:dyDescent="0.25">
      <c r="A6266" s="5"/>
    </row>
    <row r="6267" spans="1:1" x14ac:dyDescent="0.25">
      <c r="A6267" s="5"/>
    </row>
    <row r="6268" spans="1:1" x14ac:dyDescent="0.25">
      <c r="A6268" s="5"/>
    </row>
    <row r="6269" spans="1:1" x14ac:dyDescent="0.25">
      <c r="A6269" s="5"/>
    </row>
    <row r="6270" spans="1:1" x14ac:dyDescent="0.25">
      <c r="A6270" s="5"/>
    </row>
    <row r="6271" spans="1:1" x14ac:dyDescent="0.25">
      <c r="A6271" s="5"/>
    </row>
    <row r="6272" spans="1:1" x14ac:dyDescent="0.25">
      <c r="A6272" s="5"/>
    </row>
    <row r="6273" spans="1:1" x14ac:dyDescent="0.25">
      <c r="A6273" s="5"/>
    </row>
    <row r="6274" spans="1:1" x14ac:dyDescent="0.25">
      <c r="A6274" s="5"/>
    </row>
    <row r="6275" spans="1:1" x14ac:dyDescent="0.25">
      <c r="A6275" s="5"/>
    </row>
    <row r="6276" spans="1:1" x14ac:dyDescent="0.25">
      <c r="A6276" s="5"/>
    </row>
    <row r="6277" spans="1:1" x14ac:dyDescent="0.25">
      <c r="A6277" s="5"/>
    </row>
    <row r="6278" spans="1:1" x14ac:dyDescent="0.25">
      <c r="A6278" s="5"/>
    </row>
    <row r="6279" spans="1:1" x14ac:dyDescent="0.25">
      <c r="A6279" s="5"/>
    </row>
    <row r="6280" spans="1:1" x14ac:dyDescent="0.25">
      <c r="A6280" s="5"/>
    </row>
    <row r="6281" spans="1:1" x14ac:dyDescent="0.25">
      <c r="A6281" s="5"/>
    </row>
    <row r="6282" spans="1:1" x14ac:dyDescent="0.25">
      <c r="A6282" s="5"/>
    </row>
    <row r="6283" spans="1:1" x14ac:dyDescent="0.25">
      <c r="A6283" s="5"/>
    </row>
    <row r="6284" spans="1:1" x14ac:dyDescent="0.25">
      <c r="A6284" s="5"/>
    </row>
    <row r="6285" spans="1:1" x14ac:dyDescent="0.25">
      <c r="A6285" s="5"/>
    </row>
    <row r="6286" spans="1:1" x14ac:dyDescent="0.25">
      <c r="A6286" s="5"/>
    </row>
    <row r="6287" spans="1:1" x14ac:dyDescent="0.25">
      <c r="A6287" s="5"/>
    </row>
    <row r="6288" spans="1:1" x14ac:dyDescent="0.25">
      <c r="A6288" s="5"/>
    </row>
    <row r="6289" spans="1:1" x14ac:dyDescent="0.25">
      <c r="A6289" s="5"/>
    </row>
    <row r="6290" spans="1:1" x14ac:dyDescent="0.25">
      <c r="A6290" s="5"/>
    </row>
    <row r="6291" spans="1:1" x14ac:dyDescent="0.25">
      <c r="A6291" s="5"/>
    </row>
    <row r="6292" spans="1:1" x14ac:dyDescent="0.25">
      <c r="A6292" s="5"/>
    </row>
    <row r="6293" spans="1:1" x14ac:dyDescent="0.25">
      <c r="A6293" s="5"/>
    </row>
    <row r="6294" spans="1:1" x14ac:dyDescent="0.25">
      <c r="A6294" s="5"/>
    </row>
    <row r="6295" spans="1:1" x14ac:dyDescent="0.25">
      <c r="A6295" s="5"/>
    </row>
    <row r="6296" spans="1:1" x14ac:dyDescent="0.25">
      <c r="A6296" s="5"/>
    </row>
    <row r="6297" spans="1:1" x14ac:dyDescent="0.25">
      <c r="A6297" s="5"/>
    </row>
    <row r="6298" spans="1:1" x14ac:dyDescent="0.25">
      <c r="A6298" s="5"/>
    </row>
    <row r="6299" spans="1:1" x14ac:dyDescent="0.25">
      <c r="A6299" s="5"/>
    </row>
    <row r="6300" spans="1:1" x14ac:dyDescent="0.25">
      <c r="A6300" s="5"/>
    </row>
    <row r="6301" spans="1:1" x14ac:dyDescent="0.25">
      <c r="A6301" s="5"/>
    </row>
    <row r="6302" spans="1:1" x14ac:dyDescent="0.25">
      <c r="A6302" s="5"/>
    </row>
    <row r="6303" spans="1:1" x14ac:dyDescent="0.25">
      <c r="A6303" s="5"/>
    </row>
    <row r="6304" spans="1:1" x14ac:dyDescent="0.25">
      <c r="A6304" s="5"/>
    </row>
    <row r="6305" spans="1:1" x14ac:dyDescent="0.25">
      <c r="A6305" s="5"/>
    </row>
    <row r="6306" spans="1:1" x14ac:dyDescent="0.25">
      <c r="A6306" s="5"/>
    </row>
    <row r="6307" spans="1:1" x14ac:dyDescent="0.25">
      <c r="A6307" s="5"/>
    </row>
    <row r="6308" spans="1:1" x14ac:dyDescent="0.25">
      <c r="A6308" s="5"/>
    </row>
    <row r="6309" spans="1:1" x14ac:dyDescent="0.25">
      <c r="A6309" s="5"/>
    </row>
    <row r="6310" spans="1:1" x14ac:dyDescent="0.25">
      <c r="A6310" s="5"/>
    </row>
    <row r="6311" spans="1:1" x14ac:dyDescent="0.25">
      <c r="A6311" s="5"/>
    </row>
    <row r="6312" spans="1:1" x14ac:dyDescent="0.25">
      <c r="A6312" s="5"/>
    </row>
    <row r="6313" spans="1:1" x14ac:dyDescent="0.25">
      <c r="A6313" s="5"/>
    </row>
    <row r="6314" spans="1:1" x14ac:dyDescent="0.25">
      <c r="A6314" s="5"/>
    </row>
    <row r="6315" spans="1:1" x14ac:dyDescent="0.25">
      <c r="A6315" s="5"/>
    </row>
    <row r="6316" spans="1:1" x14ac:dyDescent="0.25">
      <c r="A6316" s="5"/>
    </row>
    <row r="6317" spans="1:1" x14ac:dyDescent="0.25">
      <c r="A6317" s="5"/>
    </row>
    <row r="6318" spans="1:1" x14ac:dyDescent="0.25">
      <c r="A6318" s="5"/>
    </row>
    <row r="6319" spans="1:1" x14ac:dyDescent="0.25">
      <c r="A6319" s="5"/>
    </row>
    <row r="6320" spans="1:1" x14ac:dyDescent="0.25">
      <c r="A6320" s="5"/>
    </row>
    <row r="6321" spans="1:1" x14ac:dyDescent="0.25">
      <c r="A6321" s="5"/>
    </row>
    <row r="6322" spans="1:1" x14ac:dyDescent="0.25">
      <c r="A6322" s="5"/>
    </row>
    <row r="6323" spans="1:1" x14ac:dyDescent="0.25">
      <c r="A6323" s="5"/>
    </row>
    <row r="6324" spans="1:1" x14ac:dyDescent="0.25">
      <c r="A6324" s="5"/>
    </row>
    <row r="6325" spans="1:1" x14ac:dyDescent="0.25">
      <c r="A6325" s="5"/>
    </row>
    <row r="6326" spans="1:1" x14ac:dyDescent="0.25">
      <c r="A6326" s="5"/>
    </row>
    <row r="6327" spans="1:1" x14ac:dyDescent="0.25">
      <c r="A6327" s="5"/>
    </row>
    <row r="6328" spans="1:1" x14ac:dyDescent="0.25">
      <c r="A6328" s="5"/>
    </row>
    <row r="6329" spans="1:1" x14ac:dyDescent="0.25">
      <c r="A6329" s="5"/>
    </row>
    <row r="6330" spans="1:1" x14ac:dyDescent="0.25">
      <c r="A6330" s="5"/>
    </row>
    <row r="6331" spans="1:1" x14ac:dyDescent="0.25">
      <c r="A6331" s="5"/>
    </row>
    <row r="6332" spans="1:1" x14ac:dyDescent="0.25">
      <c r="A6332" s="5"/>
    </row>
    <row r="6333" spans="1:1" x14ac:dyDescent="0.25">
      <c r="A6333" s="5"/>
    </row>
    <row r="6334" spans="1:1" x14ac:dyDescent="0.25">
      <c r="A6334" s="5"/>
    </row>
    <row r="6335" spans="1:1" x14ac:dyDescent="0.25">
      <c r="A6335" s="5"/>
    </row>
    <row r="6336" spans="1:1" x14ac:dyDescent="0.25">
      <c r="A6336" s="5"/>
    </row>
    <row r="6337" spans="1:1" x14ac:dyDescent="0.25">
      <c r="A6337" s="5"/>
    </row>
    <row r="6338" spans="1:1" x14ac:dyDescent="0.25">
      <c r="A6338" s="5"/>
    </row>
    <row r="6339" spans="1:1" x14ac:dyDescent="0.25">
      <c r="A6339" s="5"/>
    </row>
    <row r="6340" spans="1:1" x14ac:dyDescent="0.25">
      <c r="A6340" s="5"/>
    </row>
    <row r="6341" spans="1:1" x14ac:dyDescent="0.25">
      <c r="A6341" s="5"/>
    </row>
    <row r="6342" spans="1:1" x14ac:dyDescent="0.25">
      <c r="A6342" s="5"/>
    </row>
    <row r="6343" spans="1:1" x14ac:dyDescent="0.25">
      <c r="A6343" s="5"/>
    </row>
    <row r="6344" spans="1:1" x14ac:dyDescent="0.25">
      <c r="A6344" s="5"/>
    </row>
    <row r="6345" spans="1:1" x14ac:dyDescent="0.25">
      <c r="A6345" s="5"/>
    </row>
    <row r="6346" spans="1:1" x14ac:dyDescent="0.25">
      <c r="A6346" s="5"/>
    </row>
    <row r="6347" spans="1:1" x14ac:dyDescent="0.25">
      <c r="A6347" s="5"/>
    </row>
    <row r="6348" spans="1:1" x14ac:dyDescent="0.25">
      <c r="A6348" s="5"/>
    </row>
    <row r="6349" spans="1:1" x14ac:dyDescent="0.25">
      <c r="A6349" s="5"/>
    </row>
    <row r="6350" spans="1:1" x14ac:dyDescent="0.25">
      <c r="A6350" s="5"/>
    </row>
    <row r="6351" spans="1:1" x14ac:dyDescent="0.25">
      <c r="A6351" s="5"/>
    </row>
    <row r="6352" spans="1:1" x14ac:dyDescent="0.25">
      <c r="A6352" s="5"/>
    </row>
    <row r="6353" spans="1:1" x14ac:dyDescent="0.25">
      <c r="A6353" s="5"/>
    </row>
    <row r="6354" spans="1:1" x14ac:dyDescent="0.25">
      <c r="A6354" s="5"/>
    </row>
    <row r="6355" spans="1:1" x14ac:dyDescent="0.25">
      <c r="A6355" s="5"/>
    </row>
    <row r="6356" spans="1:1" x14ac:dyDescent="0.25">
      <c r="A6356" s="5"/>
    </row>
    <row r="6357" spans="1:1" x14ac:dyDescent="0.25">
      <c r="A6357" s="5"/>
    </row>
    <row r="6358" spans="1:1" x14ac:dyDescent="0.25">
      <c r="A6358" s="5"/>
    </row>
    <row r="6359" spans="1:1" x14ac:dyDescent="0.25">
      <c r="A6359" s="5"/>
    </row>
    <row r="6360" spans="1:1" x14ac:dyDescent="0.25">
      <c r="A6360" s="5"/>
    </row>
    <row r="6361" spans="1:1" x14ac:dyDescent="0.25">
      <c r="A6361" s="5"/>
    </row>
    <row r="6362" spans="1:1" x14ac:dyDescent="0.25">
      <c r="A6362" s="5"/>
    </row>
    <row r="6363" spans="1:1" x14ac:dyDescent="0.25">
      <c r="A6363" s="5"/>
    </row>
    <row r="6364" spans="1:1" x14ac:dyDescent="0.25">
      <c r="A6364" s="5"/>
    </row>
    <row r="6365" spans="1:1" x14ac:dyDescent="0.25">
      <c r="A6365" s="5"/>
    </row>
    <row r="6366" spans="1:1" x14ac:dyDescent="0.25">
      <c r="A6366" s="5"/>
    </row>
    <row r="6367" spans="1:1" x14ac:dyDescent="0.25">
      <c r="A6367" s="5"/>
    </row>
    <row r="6368" spans="1:1" x14ac:dyDescent="0.25">
      <c r="A6368" s="5"/>
    </row>
    <row r="6369" spans="1:1" x14ac:dyDescent="0.25">
      <c r="A6369" s="5"/>
    </row>
    <row r="6370" spans="1:1" x14ac:dyDescent="0.25">
      <c r="A6370" s="5"/>
    </row>
    <row r="6371" spans="1:1" x14ac:dyDescent="0.25">
      <c r="A6371" s="5"/>
    </row>
    <row r="6372" spans="1:1" x14ac:dyDescent="0.25">
      <c r="A6372" s="5"/>
    </row>
    <row r="6373" spans="1:1" x14ac:dyDescent="0.25">
      <c r="A6373" s="5"/>
    </row>
    <row r="6374" spans="1:1" x14ac:dyDescent="0.25">
      <c r="A6374" s="5"/>
    </row>
    <row r="6375" spans="1:1" x14ac:dyDescent="0.25">
      <c r="A6375" s="5"/>
    </row>
    <row r="6376" spans="1:1" x14ac:dyDescent="0.25">
      <c r="A6376" s="5"/>
    </row>
    <row r="6377" spans="1:1" x14ac:dyDescent="0.25">
      <c r="A6377" s="5"/>
    </row>
    <row r="6378" spans="1:1" x14ac:dyDescent="0.25">
      <c r="A6378" s="5"/>
    </row>
    <row r="6379" spans="1:1" x14ac:dyDescent="0.25">
      <c r="A6379" s="5"/>
    </row>
    <row r="6380" spans="1:1" x14ac:dyDescent="0.25">
      <c r="A6380" s="5"/>
    </row>
    <row r="6381" spans="1:1" x14ac:dyDescent="0.25">
      <c r="A6381" s="5"/>
    </row>
    <row r="6382" spans="1:1" x14ac:dyDescent="0.25">
      <c r="A6382" s="5"/>
    </row>
    <row r="6383" spans="1:1" x14ac:dyDescent="0.25">
      <c r="A6383" s="5"/>
    </row>
    <row r="6384" spans="1:1" x14ac:dyDescent="0.25">
      <c r="A6384" s="5"/>
    </row>
    <row r="6385" spans="1:1" x14ac:dyDescent="0.25">
      <c r="A6385" s="5"/>
    </row>
    <row r="6386" spans="1:1" x14ac:dyDescent="0.25">
      <c r="A6386" s="5"/>
    </row>
    <row r="6387" spans="1:1" x14ac:dyDescent="0.25">
      <c r="A6387" s="5"/>
    </row>
    <row r="6388" spans="1:1" x14ac:dyDescent="0.25">
      <c r="A6388" s="5"/>
    </row>
    <row r="6389" spans="1:1" x14ac:dyDescent="0.25">
      <c r="A6389" s="5"/>
    </row>
    <row r="6390" spans="1:1" x14ac:dyDescent="0.25">
      <c r="A6390" s="5"/>
    </row>
    <row r="6391" spans="1:1" x14ac:dyDescent="0.25">
      <c r="A6391" s="5"/>
    </row>
    <row r="6392" spans="1:1" x14ac:dyDescent="0.25">
      <c r="A6392" s="5"/>
    </row>
    <row r="6393" spans="1:1" x14ac:dyDescent="0.25">
      <c r="A6393" s="5"/>
    </row>
    <row r="6394" spans="1:1" x14ac:dyDescent="0.25">
      <c r="A6394" s="5"/>
    </row>
    <row r="6395" spans="1:1" x14ac:dyDescent="0.25">
      <c r="A6395" s="5"/>
    </row>
    <row r="6396" spans="1:1" x14ac:dyDescent="0.25">
      <c r="A6396" s="5"/>
    </row>
    <row r="6397" spans="1:1" x14ac:dyDescent="0.25">
      <c r="A6397" s="5"/>
    </row>
    <row r="6398" spans="1:1" x14ac:dyDescent="0.25">
      <c r="A6398" s="5"/>
    </row>
    <row r="6399" spans="1:1" x14ac:dyDescent="0.25">
      <c r="A6399" s="5"/>
    </row>
    <row r="6400" spans="1:1" x14ac:dyDescent="0.25">
      <c r="A6400" s="5"/>
    </row>
    <row r="6401" spans="1:1" x14ac:dyDescent="0.25">
      <c r="A6401" s="5"/>
    </row>
    <row r="6402" spans="1:1" x14ac:dyDescent="0.25">
      <c r="A6402" s="5"/>
    </row>
    <row r="6403" spans="1:1" x14ac:dyDescent="0.25">
      <c r="A6403" s="5"/>
    </row>
    <row r="6404" spans="1:1" x14ac:dyDescent="0.25">
      <c r="A6404" s="5"/>
    </row>
    <row r="6405" spans="1:1" x14ac:dyDescent="0.25">
      <c r="A6405" s="5"/>
    </row>
    <row r="6406" spans="1:1" x14ac:dyDescent="0.25">
      <c r="A6406" s="5"/>
    </row>
    <row r="6407" spans="1:1" x14ac:dyDescent="0.25">
      <c r="A6407" s="5"/>
    </row>
    <row r="6408" spans="1:1" x14ac:dyDescent="0.25">
      <c r="A6408" s="5"/>
    </row>
    <row r="6409" spans="1:1" x14ac:dyDescent="0.25">
      <c r="A6409" s="5"/>
    </row>
    <row r="6410" spans="1:1" x14ac:dyDescent="0.25">
      <c r="A6410" s="5"/>
    </row>
    <row r="6411" spans="1:1" x14ac:dyDescent="0.25">
      <c r="A6411" s="5"/>
    </row>
    <row r="6412" spans="1:1" x14ac:dyDescent="0.25">
      <c r="A6412" s="5"/>
    </row>
    <row r="6413" spans="1:1" x14ac:dyDescent="0.25">
      <c r="A6413" s="5"/>
    </row>
    <row r="6414" spans="1:1" x14ac:dyDescent="0.25">
      <c r="A6414" s="5"/>
    </row>
    <row r="6415" spans="1:1" x14ac:dyDescent="0.25">
      <c r="A6415" s="5"/>
    </row>
    <row r="6416" spans="1:1" x14ac:dyDescent="0.25">
      <c r="A6416" s="5"/>
    </row>
    <row r="6417" spans="1:1" x14ac:dyDescent="0.25">
      <c r="A6417" s="5"/>
    </row>
    <row r="6418" spans="1:1" x14ac:dyDescent="0.25">
      <c r="A6418" s="5"/>
    </row>
    <row r="6419" spans="1:1" x14ac:dyDescent="0.25">
      <c r="A6419" s="5"/>
    </row>
    <row r="6420" spans="1:1" x14ac:dyDescent="0.25">
      <c r="A6420" s="5"/>
    </row>
    <row r="6421" spans="1:1" x14ac:dyDescent="0.25">
      <c r="A6421" s="5"/>
    </row>
    <row r="6422" spans="1:1" x14ac:dyDescent="0.25">
      <c r="A6422" s="5"/>
    </row>
    <row r="6423" spans="1:1" x14ac:dyDescent="0.25">
      <c r="A6423" s="5"/>
    </row>
    <row r="6424" spans="1:1" x14ac:dyDescent="0.25">
      <c r="A6424" s="5"/>
    </row>
    <row r="6425" spans="1:1" x14ac:dyDescent="0.25">
      <c r="A6425" s="5"/>
    </row>
    <row r="6426" spans="1:1" x14ac:dyDescent="0.25">
      <c r="A6426" s="5"/>
    </row>
    <row r="6427" spans="1:1" x14ac:dyDescent="0.25">
      <c r="A6427" s="5"/>
    </row>
    <row r="6428" spans="1:1" x14ac:dyDescent="0.25">
      <c r="A6428" s="5"/>
    </row>
    <row r="6429" spans="1:1" x14ac:dyDescent="0.25">
      <c r="A6429" s="5"/>
    </row>
    <row r="6430" spans="1:1" x14ac:dyDescent="0.25">
      <c r="A6430" s="5"/>
    </row>
    <row r="6431" spans="1:1" x14ac:dyDescent="0.25">
      <c r="A6431" s="5"/>
    </row>
    <row r="6432" spans="1:1" x14ac:dyDescent="0.25">
      <c r="A6432" s="5"/>
    </row>
    <row r="6433" spans="1:1" x14ac:dyDescent="0.25">
      <c r="A6433" s="5"/>
    </row>
    <row r="6434" spans="1:1" x14ac:dyDescent="0.25">
      <c r="A6434" s="5"/>
    </row>
    <row r="6435" spans="1:1" x14ac:dyDescent="0.25">
      <c r="A6435" s="5"/>
    </row>
    <row r="6436" spans="1:1" x14ac:dyDescent="0.25">
      <c r="A6436" s="5"/>
    </row>
    <row r="6437" spans="1:1" x14ac:dyDescent="0.25">
      <c r="A6437" s="5"/>
    </row>
    <row r="6438" spans="1:1" x14ac:dyDescent="0.25">
      <c r="A6438" s="5"/>
    </row>
    <row r="6439" spans="1:1" x14ac:dyDescent="0.25">
      <c r="A6439" s="5"/>
    </row>
    <row r="6440" spans="1:1" x14ac:dyDescent="0.25">
      <c r="A6440" s="5"/>
    </row>
    <row r="6441" spans="1:1" x14ac:dyDescent="0.25">
      <c r="A6441" s="5"/>
    </row>
    <row r="6442" spans="1:1" x14ac:dyDescent="0.25">
      <c r="A6442" s="5"/>
    </row>
    <row r="6443" spans="1:1" x14ac:dyDescent="0.25">
      <c r="A6443" s="5"/>
    </row>
    <row r="6444" spans="1:1" x14ac:dyDescent="0.25">
      <c r="A6444" s="5"/>
    </row>
    <row r="6445" spans="1:1" x14ac:dyDescent="0.25">
      <c r="A6445" s="5"/>
    </row>
    <row r="6446" spans="1:1" x14ac:dyDescent="0.25">
      <c r="A6446" s="5"/>
    </row>
    <row r="6447" spans="1:1" x14ac:dyDescent="0.25">
      <c r="A6447" s="5"/>
    </row>
    <row r="6448" spans="1:1" x14ac:dyDescent="0.25">
      <c r="A6448" s="5"/>
    </row>
    <row r="6449" spans="1:1" x14ac:dyDescent="0.25">
      <c r="A6449" s="5"/>
    </row>
    <row r="6450" spans="1:1" x14ac:dyDescent="0.25">
      <c r="A6450" s="5"/>
    </row>
    <row r="6451" spans="1:1" x14ac:dyDescent="0.25">
      <c r="A6451" s="5"/>
    </row>
    <row r="6452" spans="1:1" x14ac:dyDescent="0.25">
      <c r="A6452" s="5"/>
    </row>
    <row r="6453" spans="1:1" x14ac:dyDescent="0.25">
      <c r="A6453" s="5"/>
    </row>
    <row r="6454" spans="1:1" x14ac:dyDescent="0.25">
      <c r="A6454" s="5"/>
    </row>
    <row r="6455" spans="1:1" x14ac:dyDescent="0.25">
      <c r="A6455" s="5"/>
    </row>
    <row r="6456" spans="1:1" x14ac:dyDescent="0.25">
      <c r="A6456" s="5"/>
    </row>
    <row r="6457" spans="1:1" x14ac:dyDescent="0.25">
      <c r="A6457" s="5"/>
    </row>
    <row r="6458" spans="1:1" x14ac:dyDescent="0.25">
      <c r="A6458" s="5"/>
    </row>
    <row r="6459" spans="1:1" x14ac:dyDescent="0.25">
      <c r="A6459" s="5"/>
    </row>
    <row r="6460" spans="1:1" x14ac:dyDescent="0.25">
      <c r="A6460" s="5"/>
    </row>
    <row r="6461" spans="1:1" x14ac:dyDescent="0.25">
      <c r="A6461" s="5"/>
    </row>
    <row r="6462" spans="1:1" x14ac:dyDescent="0.25">
      <c r="A6462" s="5"/>
    </row>
    <row r="6463" spans="1:1" x14ac:dyDescent="0.25">
      <c r="A6463" s="5"/>
    </row>
    <row r="6464" spans="1:1" x14ac:dyDescent="0.25">
      <c r="A6464" s="5"/>
    </row>
    <row r="6465" spans="1:1" x14ac:dyDescent="0.25">
      <c r="A6465" s="5"/>
    </row>
    <row r="6466" spans="1:1" x14ac:dyDescent="0.25">
      <c r="A6466" s="5"/>
    </row>
    <row r="6467" spans="1:1" x14ac:dyDescent="0.25">
      <c r="A6467" s="5"/>
    </row>
    <row r="6468" spans="1:1" x14ac:dyDescent="0.25">
      <c r="A6468" s="5"/>
    </row>
    <row r="6469" spans="1:1" x14ac:dyDescent="0.25">
      <c r="A6469" s="5"/>
    </row>
    <row r="6470" spans="1:1" x14ac:dyDescent="0.25">
      <c r="A6470" s="5"/>
    </row>
    <row r="6471" spans="1:1" x14ac:dyDescent="0.25">
      <c r="A6471" s="5"/>
    </row>
    <row r="6472" spans="1:1" x14ac:dyDescent="0.25">
      <c r="A6472" s="5"/>
    </row>
    <row r="6473" spans="1:1" x14ac:dyDescent="0.25">
      <c r="A6473" s="5"/>
    </row>
    <row r="6474" spans="1:1" x14ac:dyDescent="0.25">
      <c r="A6474" s="5"/>
    </row>
    <row r="6475" spans="1:1" x14ac:dyDescent="0.25">
      <c r="A6475" s="5"/>
    </row>
    <row r="6476" spans="1:1" x14ac:dyDescent="0.25">
      <c r="A6476" s="5"/>
    </row>
    <row r="6477" spans="1:1" x14ac:dyDescent="0.25">
      <c r="A6477" s="5"/>
    </row>
    <row r="6478" spans="1:1" x14ac:dyDescent="0.25">
      <c r="A6478" s="5"/>
    </row>
    <row r="6479" spans="1:1" x14ac:dyDescent="0.25">
      <c r="A6479" s="5"/>
    </row>
    <row r="6480" spans="1:1" x14ac:dyDescent="0.25">
      <c r="A6480" s="5"/>
    </row>
    <row r="6481" spans="1:1" x14ac:dyDescent="0.25">
      <c r="A6481" s="5"/>
    </row>
    <row r="6482" spans="1:1" x14ac:dyDescent="0.25">
      <c r="A6482" s="5"/>
    </row>
    <row r="6483" spans="1:1" x14ac:dyDescent="0.25">
      <c r="A6483" s="5"/>
    </row>
    <row r="6484" spans="1:1" x14ac:dyDescent="0.25">
      <c r="A6484" s="5"/>
    </row>
    <row r="6485" spans="1:1" x14ac:dyDescent="0.25">
      <c r="A6485" s="5"/>
    </row>
    <row r="6486" spans="1:1" x14ac:dyDescent="0.25">
      <c r="A6486" s="5"/>
    </row>
    <row r="6487" spans="1:1" x14ac:dyDescent="0.25">
      <c r="A6487" s="5"/>
    </row>
    <row r="6488" spans="1:1" x14ac:dyDescent="0.25">
      <c r="A6488" s="5"/>
    </row>
    <row r="6489" spans="1:1" x14ac:dyDescent="0.25">
      <c r="A6489" s="5"/>
    </row>
    <row r="6490" spans="1:1" x14ac:dyDescent="0.25">
      <c r="A6490" s="5"/>
    </row>
    <row r="6491" spans="1:1" x14ac:dyDescent="0.25">
      <c r="A6491" s="5"/>
    </row>
    <row r="6492" spans="1:1" x14ac:dyDescent="0.25">
      <c r="A6492" s="5"/>
    </row>
    <row r="6493" spans="1:1" x14ac:dyDescent="0.25">
      <c r="A6493" s="5"/>
    </row>
    <row r="6494" spans="1:1" x14ac:dyDescent="0.25">
      <c r="A6494" s="5"/>
    </row>
    <row r="6495" spans="1:1" x14ac:dyDescent="0.25">
      <c r="A6495" s="5"/>
    </row>
    <row r="6496" spans="1:1" x14ac:dyDescent="0.25">
      <c r="A6496" s="5"/>
    </row>
    <row r="6497" spans="1:1" x14ac:dyDescent="0.25">
      <c r="A6497" s="5"/>
    </row>
    <row r="6498" spans="1:1" x14ac:dyDescent="0.25">
      <c r="A6498" s="5"/>
    </row>
    <row r="6499" spans="1:1" x14ac:dyDescent="0.25">
      <c r="A6499" s="5"/>
    </row>
    <row r="6500" spans="1:1" x14ac:dyDescent="0.25">
      <c r="A6500" s="5"/>
    </row>
    <row r="6501" spans="1:1" x14ac:dyDescent="0.25">
      <c r="A6501" s="5"/>
    </row>
    <row r="6502" spans="1:1" x14ac:dyDescent="0.25">
      <c r="A6502" s="5"/>
    </row>
    <row r="6503" spans="1:1" x14ac:dyDescent="0.25">
      <c r="A6503" s="5"/>
    </row>
    <row r="6504" spans="1:1" x14ac:dyDescent="0.25">
      <c r="A6504" s="5"/>
    </row>
    <row r="6505" spans="1:1" x14ac:dyDescent="0.25">
      <c r="A6505" s="5"/>
    </row>
    <row r="6506" spans="1:1" x14ac:dyDescent="0.25">
      <c r="A6506" s="5"/>
    </row>
    <row r="6507" spans="1:1" x14ac:dyDescent="0.25">
      <c r="A6507" s="5"/>
    </row>
    <row r="6508" spans="1:1" x14ac:dyDescent="0.25">
      <c r="A6508" s="5"/>
    </row>
    <row r="6509" spans="1:1" x14ac:dyDescent="0.25">
      <c r="A6509" s="5"/>
    </row>
    <row r="6510" spans="1:1" x14ac:dyDescent="0.25">
      <c r="A6510" s="5"/>
    </row>
    <row r="6511" spans="1:1" x14ac:dyDescent="0.25">
      <c r="A6511" s="5"/>
    </row>
    <row r="6512" spans="1:1" x14ac:dyDescent="0.25">
      <c r="A6512" s="5"/>
    </row>
    <row r="6513" spans="1:1" x14ac:dyDescent="0.25">
      <c r="A6513" s="5"/>
    </row>
    <row r="6514" spans="1:1" x14ac:dyDescent="0.25">
      <c r="A6514" s="5"/>
    </row>
    <row r="6515" spans="1:1" x14ac:dyDescent="0.25">
      <c r="A6515" s="5"/>
    </row>
    <row r="6516" spans="1:1" x14ac:dyDescent="0.25">
      <c r="A6516" s="5"/>
    </row>
    <row r="6517" spans="1:1" x14ac:dyDescent="0.25">
      <c r="A6517" s="5"/>
    </row>
    <row r="6518" spans="1:1" x14ac:dyDescent="0.25">
      <c r="A6518" s="5"/>
    </row>
    <row r="6519" spans="1:1" x14ac:dyDescent="0.25">
      <c r="A6519" s="5"/>
    </row>
    <row r="6520" spans="1:1" x14ac:dyDescent="0.25">
      <c r="A6520" s="5"/>
    </row>
    <row r="6521" spans="1:1" x14ac:dyDescent="0.25">
      <c r="A6521" s="5"/>
    </row>
    <row r="6522" spans="1:1" x14ac:dyDescent="0.25">
      <c r="A6522" s="5"/>
    </row>
    <row r="6523" spans="1:1" x14ac:dyDescent="0.25">
      <c r="A6523" s="5"/>
    </row>
    <row r="6524" spans="1:1" x14ac:dyDescent="0.25">
      <c r="A6524" s="5"/>
    </row>
    <row r="6525" spans="1:1" x14ac:dyDescent="0.25">
      <c r="A6525" s="5"/>
    </row>
    <row r="6526" spans="1:1" x14ac:dyDescent="0.25">
      <c r="A6526" s="5"/>
    </row>
    <row r="6527" spans="1:1" x14ac:dyDescent="0.25">
      <c r="A6527" s="5"/>
    </row>
    <row r="6528" spans="1:1" x14ac:dyDescent="0.25">
      <c r="A6528" s="5"/>
    </row>
    <row r="6529" spans="1:1" x14ac:dyDescent="0.25">
      <c r="A6529" s="5"/>
    </row>
    <row r="6530" spans="1:1" x14ac:dyDescent="0.25">
      <c r="A6530" s="5"/>
    </row>
    <row r="6531" spans="1:1" x14ac:dyDescent="0.25">
      <c r="A6531" s="5"/>
    </row>
    <row r="6532" spans="1:1" x14ac:dyDescent="0.25">
      <c r="A6532" s="5"/>
    </row>
    <row r="6533" spans="1:1" x14ac:dyDescent="0.25">
      <c r="A6533" s="5"/>
    </row>
    <row r="6534" spans="1:1" x14ac:dyDescent="0.25">
      <c r="A6534" s="5"/>
    </row>
    <row r="6535" spans="1:1" x14ac:dyDescent="0.25">
      <c r="A6535" s="5"/>
    </row>
    <row r="6536" spans="1:1" x14ac:dyDescent="0.25">
      <c r="A6536" s="5"/>
    </row>
    <row r="6537" spans="1:1" x14ac:dyDescent="0.25">
      <c r="A6537" s="5"/>
    </row>
    <row r="6538" spans="1:1" x14ac:dyDescent="0.25">
      <c r="A6538" s="5"/>
    </row>
    <row r="6539" spans="1:1" x14ac:dyDescent="0.25">
      <c r="A6539" s="5"/>
    </row>
    <row r="6540" spans="1:1" x14ac:dyDescent="0.25">
      <c r="A6540" s="5"/>
    </row>
    <row r="6541" spans="1:1" x14ac:dyDescent="0.25">
      <c r="A6541" s="5"/>
    </row>
    <row r="6542" spans="1:1" x14ac:dyDescent="0.25">
      <c r="A6542" s="5"/>
    </row>
    <row r="6543" spans="1:1" x14ac:dyDescent="0.25">
      <c r="A6543" s="5"/>
    </row>
    <row r="6544" spans="1:1" x14ac:dyDescent="0.25">
      <c r="A6544" s="5"/>
    </row>
    <row r="6545" spans="1:1" x14ac:dyDescent="0.25">
      <c r="A6545" s="5"/>
    </row>
    <row r="6546" spans="1:1" x14ac:dyDescent="0.25">
      <c r="A6546" s="5"/>
    </row>
    <row r="6547" spans="1:1" x14ac:dyDescent="0.25">
      <c r="A6547" s="5"/>
    </row>
    <row r="6548" spans="1:1" x14ac:dyDescent="0.25">
      <c r="A6548" s="5"/>
    </row>
    <row r="6549" spans="1:1" x14ac:dyDescent="0.25">
      <c r="A6549" s="5"/>
    </row>
    <row r="6550" spans="1:1" x14ac:dyDescent="0.25">
      <c r="A6550" s="5"/>
    </row>
    <row r="6551" spans="1:1" x14ac:dyDescent="0.25">
      <c r="A6551" s="5"/>
    </row>
    <row r="6552" spans="1:1" x14ac:dyDescent="0.25">
      <c r="A6552" s="5"/>
    </row>
    <row r="6553" spans="1:1" x14ac:dyDescent="0.25">
      <c r="A6553" s="5"/>
    </row>
    <row r="6554" spans="1:1" x14ac:dyDescent="0.25">
      <c r="A6554" s="5"/>
    </row>
    <row r="6555" spans="1:1" x14ac:dyDescent="0.25">
      <c r="A6555" s="5"/>
    </row>
    <row r="6556" spans="1:1" x14ac:dyDescent="0.25">
      <c r="A6556" s="5"/>
    </row>
    <row r="6557" spans="1:1" x14ac:dyDescent="0.25">
      <c r="A6557" s="5"/>
    </row>
    <row r="6558" spans="1:1" x14ac:dyDescent="0.25">
      <c r="A6558" s="5"/>
    </row>
    <row r="6559" spans="1:1" x14ac:dyDescent="0.25">
      <c r="A6559" s="5"/>
    </row>
    <row r="6560" spans="1:1" x14ac:dyDescent="0.25">
      <c r="A6560" s="5"/>
    </row>
    <row r="6561" spans="1:1" x14ac:dyDescent="0.25">
      <c r="A6561" s="5"/>
    </row>
    <row r="6562" spans="1:1" x14ac:dyDescent="0.25">
      <c r="A6562" s="5"/>
    </row>
    <row r="6563" spans="1:1" x14ac:dyDescent="0.25">
      <c r="A6563" s="5"/>
    </row>
    <row r="6564" spans="1:1" x14ac:dyDescent="0.25">
      <c r="A6564" s="5"/>
    </row>
    <row r="6565" spans="1:1" x14ac:dyDescent="0.25">
      <c r="A6565" s="5"/>
    </row>
    <row r="6566" spans="1:1" x14ac:dyDescent="0.25">
      <c r="A6566" s="5"/>
    </row>
    <row r="6567" spans="1:1" x14ac:dyDescent="0.25">
      <c r="A6567" s="5"/>
    </row>
    <row r="6568" spans="1:1" x14ac:dyDescent="0.25">
      <c r="A6568" s="5"/>
    </row>
    <row r="6569" spans="1:1" x14ac:dyDescent="0.25">
      <c r="A6569" s="5"/>
    </row>
    <row r="6570" spans="1:1" x14ac:dyDescent="0.25">
      <c r="A6570" s="5"/>
    </row>
    <row r="6571" spans="1:1" x14ac:dyDescent="0.25">
      <c r="A6571" s="5"/>
    </row>
    <row r="6572" spans="1:1" x14ac:dyDescent="0.25">
      <c r="A6572" s="5"/>
    </row>
    <row r="6573" spans="1:1" x14ac:dyDescent="0.25">
      <c r="A6573" s="5"/>
    </row>
    <row r="6574" spans="1:1" x14ac:dyDescent="0.25">
      <c r="A6574" s="5"/>
    </row>
    <row r="6575" spans="1:1" x14ac:dyDescent="0.25">
      <c r="A6575" s="5"/>
    </row>
    <row r="6576" spans="1:1" x14ac:dyDescent="0.25">
      <c r="A6576" s="5"/>
    </row>
    <row r="6577" spans="1:1" x14ac:dyDescent="0.25">
      <c r="A6577" s="5"/>
    </row>
    <row r="6578" spans="1:1" x14ac:dyDescent="0.25">
      <c r="A6578" s="5"/>
    </row>
    <row r="6579" spans="1:1" x14ac:dyDescent="0.25">
      <c r="A6579" s="5"/>
    </row>
    <row r="6580" spans="1:1" x14ac:dyDescent="0.25">
      <c r="A6580" s="5"/>
    </row>
    <row r="6581" spans="1:1" x14ac:dyDescent="0.25">
      <c r="A6581" s="5"/>
    </row>
    <row r="6582" spans="1:1" x14ac:dyDescent="0.25">
      <c r="A6582" s="5"/>
    </row>
    <row r="6583" spans="1:1" x14ac:dyDescent="0.25">
      <c r="A6583" s="5"/>
    </row>
    <row r="6584" spans="1:1" x14ac:dyDescent="0.25">
      <c r="A6584" s="5"/>
    </row>
    <row r="6585" spans="1:1" x14ac:dyDescent="0.25">
      <c r="A6585" s="5"/>
    </row>
    <row r="6586" spans="1:1" x14ac:dyDescent="0.25">
      <c r="A6586" s="5"/>
    </row>
    <row r="6587" spans="1:1" x14ac:dyDescent="0.25">
      <c r="A6587" s="5"/>
    </row>
    <row r="6588" spans="1:1" x14ac:dyDescent="0.25">
      <c r="A6588" s="5"/>
    </row>
    <row r="6589" spans="1:1" x14ac:dyDescent="0.25">
      <c r="A6589" s="5"/>
    </row>
    <row r="6590" spans="1:1" x14ac:dyDescent="0.25">
      <c r="A6590" s="5"/>
    </row>
    <row r="6591" spans="1:1" x14ac:dyDescent="0.25">
      <c r="A6591" s="5"/>
    </row>
    <row r="6592" spans="1:1" x14ac:dyDescent="0.25">
      <c r="A6592" s="5"/>
    </row>
    <row r="6593" spans="1:1" x14ac:dyDescent="0.25">
      <c r="A6593" s="5"/>
    </row>
    <row r="6594" spans="1:1" x14ac:dyDescent="0.25">
      <c r="A6594" s="5"/>
    </row>
    <row r="6595" spans="1:1" x14ac:dyDescent="0.25">
      <c r="A6595" s="5"/>
    </row>
    <row r="6596" spans="1:1" x14ac:dyDescent="0.25">
      <c r="A6596" s="5"/>
    </row>
    <row r="6597" spans="1:1" x14ac:dyDescent="0.25">
      <c r="A6597" s="5"/>
    </row>
    <row r="6598" spans="1:1" x14ac:dyDescent="0.25">
      <c r="A6598" s="5"/>
    </row>
    <row r="6599" spans="1:1" x14ac:dyDescent="0.25">
      <c r="A6599" s="5"/>
    </row>
    <row r="6600" spans="1:1" x14ac:dyDescent="0.25">
      <c r="A6600" s="5"/>
    </row>
    <row r="6601" spans="1:1" x14ac:dyDescent="0.25">
      <c r="A6601" s="5"/>
    </row>
    <row r="6602" spans="1:1" x14ac:dyDescent="0.25">
      <c r="A6602" s="5"/>
    </row>
    <row r="6603" spans="1:1" x14ac:dyDescent="0.25">
      <c r="A6603" s="5"/>
    </row>
    <row r="6604" spans="1:1" x14ac:dyDescent="0.25">
      <c r="A6604" s="5"/>
    </row>
    <row r="6605" spans="1:1" x14ac:dyDescent="0.25">
      <c r="A6605" s="5"/>
    </row>
    <row r="6606" spans="1:1" x14ac:dyDescent="0.25">
      <c r="A6606" s="5"/>
    </row>
    <row r="6607" spans="1:1" x14ac:dyDescent="0.25">
      <c r="A6607" s="5"/>
    </row>
    <row r="6608" spans="1:1" x14ac:dyDescent="0.25">
      <c r="A6608" s="5"/>
    </row>
    <row r="6609" spans="1:1" x14ac:dyDescent="0.25">
      <c r="A6609" s="5"/>
    </row>
    <row r="6610" spans="1:1" x14ac:dyDescent="0.25">
      <c r="A6610" s="5"/>
    </row>
    <row r="6611" spans="1:1" x14ac:dyDescent="0.25">
      <c r="A6611" s="5"/>
    </row>
    <row r="6612" spans="1:1" x14ac:dyDescent="0.25">
      <c r="A6612" s="5"/>
    </row>
    <row r="6613" spans="1:1" x14ac:dyDescent="0.25">
      <c r="A6613" s="5"/>
    </row>
    <row r="6614" spans="1:1" x14ac:dyDescent="0.25">
      <c r="A6614" s="5"/>
    </row>
    <row r="6615" spans="1:1" x14ac:dyDescent="0.25">
      <c r="A6615" s="5"/>
    </row>
    <row r="6616" spans="1:1" x14ac:dyDescent="0.25">
      <c r="A6616" s="5"/>
    </row>
    <row r="6617" spans="1:1" x14ac:dyDescent="0.25">
      <c r="A6617" s="5"/>
    </row>
    <row r="6618" spans="1:1" x14ac:dyDescent="0.25">
      <c r="A6618" s="5"/>
    </row>
    <row r="6619" spans="1:1" x14ac:dyDescent="0.25">
      <c r="A6619" s="5"/>
    </row>
    <row r="6620" spans="1:1" x14ac:dyDescent="0.25">
      <c r="A6620" s="5"/>
    </row>
    <row r="6621" spans="1:1" x14ac:dyDescent="0.25">
      <c r="A6621" s="5"/>
    </row>
    <row r="6622" spans="1:1" x14ac:dyDescent="0.25">
      <c r="A6622" s="5"/>
    </row>
    <row r="6623" spans="1:1" x14ac:dyDescent="0.25">
      <c r="A6623" s="5"/>
    </row>
    <row r="6624" spans="1:1" x14ac:dyDescent="0.25">
      <c r="A6624" s="5"/>
    </row>
    <row r="6625" spans="1:1" x14ac:dyDescent="0.25">
      <c r="A6625" s="5"/>
    </row>
    <row r="6626" spans="1:1" x14ac:dyDescent="0.25">
      <c r="A6626" s="5"/>
    </row>
    <row r="6627" spans="1:1" x14ac:dyDescent="0.25">
      <c r="A6627" s="5"/>
    </row>
    <row r="6628" spans="1:1" x14ac:dyDescent="0.25">
      <c r="A6628" s="5"/>
    </row>
    <row r="6629" spans="1:1" x14ac:dyDescent="0.25">
      <c r="A6629" s="5"/>
    </row>
    <row r="6630" spans="1:1" x14ac:dyDescent="0.25">
      <c r="A6630" s="5"/>
    </row>
    <row r="6631" spans="1:1" x14ac:dyDescent="0.25">
      <c r="A6631" s="5"/>
    </row>
    <row r="6632" spans="1:1" x14ac:dyDescent="0.25">
      <c r="A6632" s="5"/>
    </row>
    <row r="6633" spans="1:1" x14ac:dyDescent="0.25">
      <c r="A6633" s="5"/>
    </row>
    <row r="6634" spans="1:1" x14ac:dyDescent="0.25">
      <c r="A6634" s="5"/>
    </row>
    <row r="6635" spans="1:1" x14ac:dyDescent="0.25">
      <c r="A6635" s="5"/>
    </row>
    <row r="6636" spans="1:1" x14ac:dyDescent="0.25">
      <c r="A6636" s="5"/>
    </row>
    <row r="6637" spans="1:1" x14ac:dyDescent="0.25">
      <c r="A6637" s="5"/>
    </row>
    <row r="6638" spans="1:1" x14ac:dyDescent="0.25">
      <c r="A6638" s="5"/>
    </row>
    <row r="6639" spans="1:1" x14ac:dyDescent="0.25">
      <c r="A6639" s="5"/>
    </row>
    <row r="6640" spans="1:1" x14ac:dyDescent="0.25">
      <c r="A6640" s="5"/>
    </row>
    <row r="6641" spans="1:1" x14ac:dyDescent="0.25">
      <c r="A6641" s="5"/>
    </row>
    <row r="6642" spans="1:1" x14ac:dyDescent="0.25">
      <c r="A6642" s="5"/>
    </row>
    <row r="6643" spans="1:1" x14ac:dyDescent="0.25">
      <c r="A6643" s="5"/>
    </row>
    <row r="6644" spans="1:1" x14ac:dyDescent="0.25">
      <c r="A6644" s="5"/>
    </row>
    <row r="6645" spans="1:1" x14ac:dyDescent="0.25">
      <c r="A6645" s="5"/>
    </row>
    <row r="6646" spans="1:1" x14ac:dyDescent="0.25">
      <c r="A6646" s="5"/>
    </row>
    <row r="6647" spans="1:1" x14ac:dyDescent="0.25">
      <c r="A6647" s="5"/>
    </row>
    <row r="6648" spans="1:1" x14ac:dyDescent="0.25">
      <c r="A6648" s="5"/>
    </row>
    <row r="6649" spans="1:1" x14ac:dyDescent="0.25">
      <c r="A6649" s="5"/>
    </row>
    <row r="6650" spans="1:1" x14ac:dyDescent="0.25">
      <c r="A6650" s="5"/>
    </row>
    <row r="6651" spans="1:1" x14ac:dyDescent="0.25">
      <c r="A6651" s="5"/>
    </row>
    <row r="6652" spans="1:1" x14ac:dyDescent="0.25">
      <c r="A6652" s="5"/>
    </row>
    <row r="6653" spans="1:1" x14ac:dyDescent="0.25">
      <c r="A6653" s="5"/>
    </row>
    <row r="6654" spans="1:1" x14ac:dyDescent="0.25">
      <c r="A6654" s="5"/>
    </row>
    <row r="6655" spans="1:1" x14ac:dyDescent="0.25">
      <c r="A6655" s="5"/>
    </row>
    <row r="6656" spans="1:1" x14ac:dyDescent="0.25">
      <c r="A6656" s="5"/>
    </row>
    <row r="6657" spans="1:1" x14ac:dyDescent="0.25">
      <c r="A6657" s="5"/>
    </row>
    <row r="6658" spans="1:1" x14ac:dyDescent="0.25">
      <c r="A6658" s="5"/>
    </row>
    <row r="6659" spans="1:1" x14ac:dyDescent="0.25">
      <c r="A6659" s="5"/>
    </row>
    <row r="6660" spans="1:1" x14ac:dyDescent="0.25">
      <c r="A6660" s="5"/>
    </row>
    <row r="6661" spans="1:1" x14ac:dyDescent="0.25">
      <c r="A6661" s="5"/>
    </row>
    <row r="6662" spans="1:1" x14ac:dyDescent="0.25">
      <c r="A6662" s="5"/>
    </row>
    <row r="6663" spans="1:1" x14ac:dyDescent="0.25">
      <c r="A6663" s="5"/>
    </row>
    <row r="6664" spans="1:1" x14ac:dyDescent="0.25">
      <c r="A6664" s="5"/>
    </row>
    <row r="6665" spans="1:1" x14ac:dyDescent="0.25">
      <c r="A6665" s="5"/>
    </row>
    <row r="6666" spans="1:1" x14ac:dyDescent="0.25">
      <c r="A6666" s="5"/>
    </row>
    <row r="6667" spans="1:1" x14ac:dyDescent="0.25">
      <c r="A6667" s="5"/>
    </row>
    <row r="6668" spans="1:1" x14ac:dyDescent="0.25">
      <c r="A6668" s="5"/>
    </row>
    <row r="6669" spans="1:1" x14ac:dyDescent="0.25">
      <c r="A6669" s="5"/>
    </row>
    <row r="6670" spans="1:1" x14ac:dyDescent="0.25">
      <c r="A6670" s="5"/>
    </row>
    <row r="6671" spans="1:1" x14ac:dyDescent="0.25">
      <c r="A6671" s="5"/>
    </row>
    <row r="6672" spans="1:1" x14ac:dyDescent="0.25">
      <c r="A6672" s="5"/>
    </row>
    <row r="6673" spans="1:1" x14ac:dyDescent="0.25">
      <c r="A6673" s="5"/>
    </row>
    <row r="6674" spans="1:1" x14ac:dyDescent="0.25">
      <c r="A6674" s="5"/>
    </row>
    <row r="6675" spans="1:1" x14ac:dyDescent="0.25">
      <c r="A6675" s="5"/>
    </row>
    <row r="6676" spans="1:1" x14ac:dyDescent="0.25">
      <c r="A6676" s="5"/>
    </row>
    <row r="6677" spans="1:1" x14ac:dyDescent="0.25">
      <c r="A6677" s="5"/>
    </row>
    <row r="6678" spans="1:1" x14ac:dyDescent="0.25">
      <c r="A6678" s="5"/>
    </row>
    <row r="6679" spans="1:1" x14ac:dyDescent="0.25">
      <c r="A6679" s="5"/>
    </row>
    <row r="6680" spans="1:1" x14ac:dyDescent="0.25">
      <c r="A6680" s="5"/>
    </row>
    <row r="6681" spans="1:1" x14ac:dyDescent="0.25">
      <c r="A6681" s="5"/>
    </row>
    <row r="6682" spans="1:1" x14ac:dyDescent="0.25">
      <c r="A6682" s="5"/>
    </row>
    <row r="6683" spans="1:1" x14ac:dyDescent="0.25">
      <c r="A6683" s="5"/>
    </row>
    <row r="6684" spans="1:1" x14ac:dyDescent="0.25">
      <c r="A6684" s="5"/>
    </row>
    <row r="6685" spans="1:1" x14ac:dyDescent="0.25">
      <c r="A6685" s="5"/>
    </row>
    <row r="6686" spans="1:1" x14ac:dyDescent="0.25">
      <c r="A6686" s="5"/>
    </row>
    <row r="6687" spans="1:1" x14ac:dyDescent="0.25">
      <c r="A6687" s="5"/>
    </row>
    <row r="6688" spans="1:1" x14ac:dyDescent="0.25">
      <c r="A6688" s="5"/>
    </row>
    <row r="6689" spans="1:1" x14ac:dyDescent="0.25">
      <c r="A6689" s="5"/>
    </row>
    <row r="6690" spans="1:1" x14ac:dyDescent="0.25">
      <c r="A6690" s="5"/>
    </row>
    <row r="6691" spans="1:1" x14ac:dyDescent="0.25">
      <c r="A6691" s="5"/>
    </row>
    <row r="6692" spans="1:1" x14ac:dyDescent="0.25">
      <c r="A6692" s="5"/>
    </row>
    <row r="6693" spans="1:1" x14ac:dyDescent="0.25">
      <c r="A6693" s="5"/>
    </row>
    <row r="6694" spans="1:1" x14ac:dyDescent="0.25">
      <c r="A6694" s="5"/>
    </row>
    <row r="6695" spans="1:1" x14ac:dyDescent="0.25">
      <c r="A6695" s="5"/>
    </row>
    <row r="6696" spans="1:1" x14ac:dyDescent="0.25">
      <c r="A6696" s="5"/>
    </row>
    <row r="6697" spans="1:1" x14ac:dyDescent="0.25">
      <c r="A6697" s="5"/>
    </row>
    <row r="6698" spans="1:1" x14ac:dyDescent="0.25">
      <c r="A6698" s="5"/>
    </row>
    <row r="6699" spans="1:1" x14ac:dyDescent="0.25">
      <c r="A6699" s="5"/>
    </row>
    <row r="6700" spans="1:1" x14ac:dyDescent="0.25">
      <c r="A6700" s="5"/>
    </row>
    <row r="6701" spans="1:1" x14ac:dyDescent="0.25">
      <c r="A6701" s="5"/>
    </row>
    <row r="6702" spans="1:1" x14ac:dyDescent="0.25">
      <c r="A6702" s="5"/>
    </row>
    <row r="6703" spans="1:1" x14ac:dyDescent="0.25">
      <c r="A6703" s="5"/>
    </row>
    <row r="6704" spans="1:1" x14ac:dyDescent="0.25">
      <c r="A6704" s="5"/>
    </row>
    <row r="6705" spans="1:1" x14ac:dyDescent="0.25">
      <c r="A6705" s="5"/>
    </row>
    <row r="6706" spans="1:1" x14ac:dyDescent="0.25">
      <c r="A6706" s="5"/>
    </row>
    <row r="6707" spans="1:1" x14ac:dyDescent="0.25">
      <c r="A6707" s="5"/>
    </row>
    <row r="6708" spans="1:1" x14ac:dyDescent="0.25">
      <c r="A6708" s="5"/>
    </row>
    <row r="6709" spans="1:1" x14ac:dyDescent="0.25">
      <c r="A6709" s="5"/>
    </row>
    <row r="6710" spans="1:1" x14ac:dyDescent="0.25">
      <c r="A6710" s="5"/>
    </row>
    <row r="6711" spans="1:1" x14ac:dyDescent="0.25">
      <c r="A6711" s="5"/>
    </row>
    <row r="6712" spans="1:1" x14ac:dyDescent="0.25">
      <c r="A6712" s="5"/>
    </row>
    <row r="6713" spans="1:1" x14ac:dyDescent="0.25">
      <c r="A6713" s="5"/>
    </row>
    <row r="6714" spans="1:1" x14ac:dyDescent="0.25">
      <c r="A6714" s="5"/>
    </row>
    <row r="6715" spans="1:1" x14ac:dyDescent="0.25">
      <c r="A6715" s="5"/>
    </row>
    <row r="6716" spans="1:1" x14ac:dyDescent="0.25">
      <c r="A6716" s="5"/>
    </row>
    <row r="6717" spans="1:1" x14ac:dyDescent="0.25">
      <c r="A6717" s="5"/>
    </row>
    <row r="6718" spans="1:1" x14ac:dyDescent="0.25">
      <c r="A6718" s="5"/>
    </row>
    <row r="6719" spans="1:1" x14ac:dyDescent="0.25">
      <c r="A6719" s="5"/>
    </row>
    <row r="6720" spans="1:1" x14ac:dyDescent="0.25">
      <c r="A6720" s="5"/>
    </row>
    <row r="6721" spans="1:1" x14ac:dyDescent="0.25">
      <c r="A6721" s="5"/>
    </row>
    <row r="6722" spans="1:1" x14ac:dyDescent="0.25">
      <c r="A6722" s="5"/>
    </row>
    <row r="6723" spans="1:1" x14ac:dyDescent="0.25">
      <c r="A6723" s="5"/>
    </row>
    <row r="6724" spans="1:1" x14ac:dyDescent="0.25">
      <c r="A6724" s="5"/>
    </row>
    <row r="6725" spans="1:1" x14ac:dyDescent="0.25">
      <c r="A6725" s="5"/>
    </row>
    <row r="6726" spans="1:1" x14ac:dyDescent="0.25">
      <c r="A6726" s="5"/>
    </row>
    <row r="6727" spans="1:1" x14ac:dyDescent="0.25">
      <c r="A6727" s="5"/>
    </row>
    <row r="6728" spans="1:1" x14ac:dyDescent="0.25">
      <c r="A6728" s="5"/>
    </row>
    <row r="6729" spans="1:1" x14ac:dyDescent="0.25">
      <c r="A6729" s="5"/>
    </row>
    <row r="6730" spans="1:1" x14ac:dyDescent="0.25">
      <c r="A6730" s="5"/>
    </row>
    <row r="6731" spans="1:1" x14ac:dyDescent="0.25">
      <c r="A6731" s="5"/>
    </row>
    <row r="6732" spans="1:1" x14ac:dyDescent="0.25">
      <c r="A6732" s="5"/>
    </row>
    <row r="6733" spans="1:1" x14ac:dyDescent="0.25">
      <c r="A6733" s="5"/>
    </row>
    <row r="6734" spans="1:1" x14ac:dyDescent="0.25">
      <c r="A6734" s="5"/>
    </row>
    <row r="6735" spans="1:1" x14ac:dyDescent="0.25">
      <c r="A6735" s="5"/>
    </row>
    <row r="6736" spans="1:1" x14ac:dyDescent="0.25">
      <c r="A6736" s="5"/>
    </row>
    <row r="6737" spans="1:1" x14ac:dyDescent="0.25">
      <c r="A6737" s="5"/>
    </row>
    <row r="6738" spans="1:1" x14ac:dyDescent="0.25">
      <c r="A6738" s="5"/>
    </row>
    <row r="6739" spans="1:1" x14ac:dyDescent="0.25">
      <c r="A6739" s="5"/>
    </row>
    <row r="6740" spans="1:1" x14ac:dyDescent="0.25">
      <c r="A6740" s="5"/>
    </row>
    <row r="6741" spans="1:1" x14ac:dyDescent="0.25">
      <c r="A6741" s="5"/>
    </row>
    <row r="6742" spans="1:1" x14ac:dyDescent="0.25">
      <c r="A6742" s="5"/>
    </row>
    <row r="6743" spans="1:1" x14ac:dyDescent="0.25">
      <c r="A6743" s="5"/>
    </row>
    <row r="6744" spans="1:1" x14ac:dyDescent="0.25">
      <c r="A6744" s="5"/>
    </row>
    <row r="6745" spans="1:1" x14ac:dyDescent="0.25">
      <c r="A6745" s="5"/>
    </row>
    <row r="6746" spans="1:1" x14ac:dyDescent="0.25">
      <c r="A6746" s="5"/>
    </row>
    <row r="6747" spans="1:1" x14ac:dyDescent="0.25">
      <c r="A6747" s="5"/>
    </row>
    <row r="6748" spans="1:1" x14ac:dyDescent="0.25">
      <c r="A6748" s="5"/>
    </row>
    <row r="6749" spans="1:1" x14ac:dyDescent="0.25">
      <c r="A6749" s="5"/>
    </row>
    <row r="6750" spans="1:1" x14ac:dyDescent="0.25">
      <c r="A6750" s="5"/>
    </row>
    <row r="6751" spans="1:1" x14ac:dyDescent="0.25">
      <c r="A6751" s="5"/>
    </row>
    <row r="6752" spans="1:1" x14ac:dyDescent="0.25">
      <c r="A6752" s="5"/>
    </row>
    <row r="6753" spans="1:1" x14ac:dyDescent="0.25">
      <c r="A6753" s="5"/>
    </row>
    <row r="6754" spans="1:1" x14ac:dyDescent="0.25">
      <c r="A6754" s="5"/>
    </row>
    <row r="6755" spans="1:1" x14ac:dyDescent="0.25">
      <c r="A6755" s="5"/>
    </row>
    <row r="6756" spans="1:1" x14ac:dyDescent="0.25">
      <c r="A6756" s="5"/>
    </row>
    <row r="6757" spans="1:1" x14ac:dyDescent="0.25">
      <c r="A6757" s="5"/>
    </row>
    <row r="6758" spans="1:1" x14ac:dyDescent="0.25">
      <c r="A6758" s="5"/>
    </row>
    <row r="6759" spans="1:1" x14ac:dyDescent="0.25">
      <c r="A6759" s="5"/>
    </row>
    <row r="6760" spans="1:1" x14ac:dyDescent="0.25">
      <c r="A6760" s="5"/>
    </row>
    <row r="6761" spans="1:1" x14ac:dyDescent="0.25">
      <c r="A6761" s="5"/>
    </row>
    <row r="6762" spans="1:1" x14ac:dyDescent="0.25">
      <c r="A6762" s="5"/>
    </row>
    <row r="6763" spans="1:1" x14ac:dyDescent="0.25">
      <c r="A6763" s="5"/>
    </row>
    <row r="6764" spans="1:1" x14ac:dyDescent="0.25">
      <c r="A6764" s="5"/>
    </row>
    <row r="6765" spans="1:1" x14ac:dyDescent="0.25">
      <c r="A6765" s="5"/>
    </row>
    <row r="6766" spans="1:1" x14ac:dyDescent="0.25">
      <c r="A6766" s="5"/>
    </row>
    <row r="6767" spans="1:1" x14ac:dyDescent="0.25">
      <c r="A6767" s="5"/>
    </row>
    <row r="6768" spans="1:1" x14ac:dyDescent="0.25">
      <c r="A6768" s="5"/>
    </row>
    <row r="6769" spans="1:1" x14ac:dyDescent="0.25">
      <c r="A6769" s="5"/>
    </row>
    <row r="6770" spans="1:1" x14ac:dyDescent="0.25">
      <c r="A6770" s="5"/>
    </row>
    <row r="6771" spans="1:1" x14ac:dyDescent="0.25">
      <c r="A6771" s="5"/>
    </row>
    <row r="6772" spans="1:1" x14ac:dyDescent="0.25">
      <c r="A6772" s="5"/>
    </row>
    <row r="6773" spans="1:1" x14ac:dyDescent="0.25">
      <c r="A6773" s="5"/>
    </row>
    <row r="6774" spans="1:1" x14ac:dyDescent="0.25">
      <c r="A6774" s="5"/>
    </row>
    <row r="6775" spans="1:1" x14ac:dyDescent="0.25">
      <c r="A6775" s="5"/>
    </row>
    <row r="6776" spans="1:1" x14ac:dyDescent="0.25">
      <c r="A6776" s="5"/>
    </row>
    <row r="6777" spans="1:1" x14ac:dyDescent="0.25">
      <c r="A6777" s="5"/>
    </row>
    <row r="6778" spans="1:1" x14ac:dyDescent="0.25">
      <c r="A6778" s="5"/>
    </row>
    <row r="6779" spans="1:1" x14ac:dyDescent="0.25">
      <c r="A6779" s="5"/>
    </row>
    <row r="6780" spans="1:1" x14ac:dyDescent="0.25">
      <c r="A6780" s="5"/>
    </row>
    <row r="6781" spans="1:1" x14ac:dyDescent="0.25">
      <c r="A6781" s="5"/>
    </row>
    <row r="6782" spans="1:1" x14ac:dyDescent="0.25">
      <c r="A6782" s="5"/>
    </row>
    <row r="6783" spans="1:1" x14ac:dyDescent="0.25">
      <c r="A6783" s="5"/>
    </row>
    <row r="6784" spans="1:1" x14ac:dyDescent="0.25">
      <c r="A6784" s="5"/>
    </row>
    <row r="6785" spans="1:1" x14ac:dyDescent="0.25">
      <c r="A6785" s="5"/>
    </row>
    <row r="6786" spans="1:1" x14ac:dyDescent="0.25">
      <c r="A6786" s="5"/>
    </row>
    <row r="6787" spans="1:1" x14ac:dyDescent="0.25">
      <c r="A6787" s="5"/>
    </row>
    <row r="6788" spans="1:1" x14ac:dyDescent="0.25">
      <c r="A6788" s="5"/>
    </row>
    <row r="6789" spans="1:1" x14ac:dyDescent="0.25">
      <c r="A6789" s="5"/>
    </row>
    <row r="6790" spans="1:1" x14ac:dyDescent="0.25">
      <c r="A6790" s="5"/>
    </row>
    <row r="6791" spans="1:1" x14ac:dyDescent="0.25">
      <c r="A6791" s="5"/>
    </row>
    <row r="6792" spans="1:1" x14ac:dyDescent="0.25">
      <c r="A6792" s="5"/>
    </row>
    <row r="6793" spans="1:1" x14ac:dyDescent="0.25">
      <c r="A6793" s="5"/>
    </row>
    <row r="6794" spans="1:1" x14ac:dyDescent="0.25">
      <c r="A6794" s="5"/>
    </row>
    <row r="6795" spans="1:1" x14ac:dyDescent="0.25">
      <c r="A6795" s="5"/>
    </row>
    <row r="6796" spans="1:1" x14ac:dyDescent="0.25">
      <c r="A6796" s="5"/>
    </row>
    <row r="6797" spans="1:1" x14ac:dyDescent="0.25">
      <c r="A6797" s="5"/>
    </row>
    <row r="6798" spans="1:1" x14ac:dyDescent="0.25">
      <c r="A6798" s="5"/>
    </row>
    <row r="6799" spans="1:1" x14ac:dyDescent="0.25">
      <c r="A6799" s="5"/>
    </row>
    <row r="6800" spans="1:1" x14ac:dyDescent="0.25">
      <c r="A6800" s="5"/>
    </row>
    <row r="6801" spans="1:1" x14ac:dyDescent="0.25">
      <c r="A6801" s="5"/>
    </row>
    <row r="6802" spans="1:1" x14ac:dyDescent="0.25">
      <c r="A6802" s="5"/>
    </row>
    <row r="6803" spans="1:1" x14ac:dyDescent="0.25">
      <c r="A6803" s="5"/>
    </row>
    <row r="6804" spans="1:1" x14ac:dyDescent="0.25">
      <c r="A6804" s="5"/>
    </row>
    <row r="6805" spans="1:1" x14ac:dyDescent="0.25">
      <c r="A6805" s="5"/>
    </row>
    <row r="6806" spans="1:1" x14ac:dyDescent="0.25">
      <c r="A6806" s="5"/>
    </row>
    <row r="6807" spans="1:1" x14ac:dyDescent="0.25">
      <c r="A6807" s="5"/>
    </row>
    <row r="6808" spans="1:1" x14ac:dyDescent="0.25">
      <c r="A6808" s="5"/>
    </row>
    <row r="6809" spans="1:1" x14ac:dyDescent="0.25">
      <c r="A6809" s="5"/>
    </row>
    <row r="6810" spans="1:1" x14ac:dyDescent="0.25">
      <c r="A6810" s="5"/>
    </row>
    <row r="6811" spans="1:1" x14ac:dyDescent="0.25">
      <c r="A6811" s="5"/>
    </row>
    <row r="6812" spans="1:1" x14ac:dyDescent="0.25">
      <c r="A6812" s="5"/>
    </row>
    <row r="6813" spans="1:1" x14ac:dyDescent="0.25">
      <c r="A6813" s="5"/>
    </row>
    <row r="6814" spans="1:1" x14ac:dyDescent="0.25">
      <c r="A6814" s="5"/>
    </row>
    <row r="6815" spans="1:1" x14ac:dyDescent="0.25">
      <c r="A6815" s="5"/>
    </row>
    <row r="6816" spans="1:1" x14ac:dyDescent="0.25">
      <c r="A6816" s="5"/>
    </row>
    <row r="6817" spans="1:1" x14ac:dyDescent="0.25">
      <c r="A6817" s="5"/>
    </row>
    <row r="6818" spans="1:1" x14ac:dyDescent="0.25">
      <c r="A6818" s="5"/>
    </row>
    <row r="6819" spans="1:1" x14ac:dyDescent="0.25">
      <c r="A6819" s="5"/>
    </row>
    <row r="6820" spans="1:1" x14ac:dyDescent="0.25">
      <c r="A6820" s="5"/>
    </row>
    <row r="6821" spans="1:1" x14ac:dyDescent="0.25">
      <c r="A6821" s="5"/>
    </row>
    <row r="6822" spans="1:1" x14ac:dyDescent="0.25">
      <c r="A6822" s="5"/>
    </row>
    <row r="6823" spans="1:1" x14ac:dyDescent="0.25">
      <c r="A6823" s="5"/>
    </row>
    <row r="6824" spans="1:1" x14ac:dyDescent="0.25">
      <c r="A6824" s="5"/>
    </row>
    <row r="6825" spans="1:1" x14ac:dyDescent="0.25">
      <c r="A6825" s="5"/>
    </row>
    <row r="6826" spans="1:1" x14ac:dyDescent="0.25">
      <c r="A6826" s="5"/>
    </row>
    <row r="6827" spans="1:1" x14ac:dyDescent="0.25">
      <c r="A6827" s="5"/>
    </row>
    <row r="6828" spans="1:1" x14ac:dyDescent="0.25">
      <c r="A6828" s="5"/>
    </row>
    <row r="6829" spans="1:1" x14ac:dyDescent="0.25">
      <c r="A6829" s="5"/>
    </row>
    <row r="6830" spans="1:1" x14ac:dyDescent="0.25">
      <c r="A6830" s="5"/>
    </row>
    <row r="6831" spans="1:1" x14ac:dyDescent="0.25">
      <c r="A6831" s="5"/>
    </row>
    <row r="6832" spans="1:1" x14ac:dyDescent="0.25">
      <c r="A6832" s="5"/>
    </row>
    <row r="6833" spans="1:1" x14ac:dyDescent="0.25">
      <c r="A6833" s="5"/>
    </row>
    <row r="6834" spans="1:1" x14ac:dyDescent="0.25">
      <c r="A6834" s="5"/>
    </row>
    <row r="6835" spans="1:1" x14ac:dyDescent="0.25">
      <c r="A6835" s="5"/>
    </row>
    <row r="6836" spans="1:1" x14ac:dyDescent="0.25">
      <c r="A6836" s="5"/>
    </row>
    <row r="6837" spans="1:1" x14ac:dyDescent="0.25">
      <c r="A6837" s="5"/>
    </row>
    <row r="6838" spans="1:1" x14ac:dyDescent="0.25">
      <c r="A6838" s="5"/>
    </row>
    <row r="6839" spans="1:1" x14ac:dyDescent="0.25">
      <c r="A6839" s="5"/>
    </row>
    <row r="6840" spans="1:1" x14ac:dyDescent="0.25">
      <c r="A6840" s="5"/>
    </row>
    <row r="6841" spans="1:1" x14ac:dyDescent="0.25">
      <c r="A6841" s="5"/>
    </row>
    <row r="6842" spans="1:1" x14ac:dyDescent="0.25">
      <c r="A6842" s="5"/>
    </row>
    <row r="6843" spans="1:1" x14ac:dyDescent="0.25">
      <c r="A6843" s="5"/>
    </row>
    <row r="6844" spans="1:1" x14ac:dyDescent="0.25">
      <c r="A6844" s="5"/>
    </row>
    <row r="6845" spans="1:1" x14ac:dyDescent="0.25">
      <c r="A6845" s="5"/>
    </row>
    <row r="6846" spans="1:1" x14ac:dyDescent="0.25">
      <c r="A6846" s="5"/>
    </row>
    <row r="6847" spans="1:1" x14ac:dyDescent="0.25">
      <c r="A6847" s="5"/>
    </row>
    <row r="6848" spans="1:1" x14ac:dyDescent="0.25">
      <c r="A6848" s="5"/>
    </row>
    <row r="6849" spans="1:1" x14ac:dyDescent="0.25">
      <c r="A6849" s="5"/>
    </row>
    <row r="6850" spans="1:1" x14ac:dyDescent="0.25">
      <c r="A6850" s="5"/>
    </row>
    <row r="6851" spans="1:1" x14ac:dyDescent="0.25">
      <c r="A6851" s="5"/>
    </row>
    <row r="6852" spans="1:1" x14ac:dyDescent="0.25">
      <c r="A6852" s="5"/>
    </row>
    <row r="6853" spans="1:1" x14ac:dyDescent="0.25">
      <c r="A6853" s="5"/>
    </row>
    <row r="6854" spans="1:1" x14ac:dyDescent="0.25">
      <c r="A6854" s="5"/>
    </row>
    <row r="6855" spans="1:1" x14ac:dyDescent="0.25">
      <c r="A6855" s="5"/>
    </row>
    <row r="6856" spans="1:1" x14ac:dyDescent="0.25">
      <c r="A6856" s="5"/>
    </row>
    <row r="6857" spans="1:1" x14ac:dyDescent="0.25">
      <c r="A6857" s="5"/>
    </row>
    <row r="6858" spans="1:1" x14ac:dyDescent="0.25">
      <c r="A6858" s="5"/>
    </row>
    <row r="6859" spans="1:1" x14ac:dyDescent="0.25">
      <c r="A6859" s="5"/>
    </row>
    <row r="6860" spans="1:1" x14ac:dyDescent="0.25">
      <c r="A6860" s="5"/>
    </row>
    <row r="6861" spans="1:1" x14ac:dyDescent="0.25">
      <c r="A6861" s="5"/>
    </row>
    <row r="6862" spans="1:1" x14ac:dyDescent="0.25">
      <c r="A6862" s="5"/>
    </row>
    <row r="6863" spans="1:1" x14ac:dyDescent="0.25">
      <c r="A6863" s="5"/>
    </row>
    <row r="6864" spans="1:1" x14ac:dyDescent="0.25">
      <c r="A6864" s="5"/>
    </row>
    <row r="6865" spans="1:1" x14ac:dyDescent="0.25">
      <c r="A6865" s="5"/>
    </row>
    <row r="6866" spans="1:1" x14ac:dyDescent="0.25">
      <c r="A6866" s="5"/>
    </row>
    <row r="6867" spans="1:1" x14ac:dyDescent="0.25">
      <c r="A6867" s="5"/>
    </row>
    <row r="6868" spans="1:1" x14ac:dyDescent="0.25">
      <c r="A6868" s="5"/>
    </row>
    <row r="6869" spans="1:1" x14ac:dyDescent="0.25">
      <c r="A6869" s="5"/>
    </row>
    <row r="6870" spans="1:1" x14ac:dyDescent="0.25">
      <c r="A6870" s="5"/>
    </row>
    <row r="6871" spans="1:1" x14ac:dyDescent="0.25">
      <c r="A6871" s="5"/>
    </row>
    <row r="6872" spans="1:1" x14ac:dyDescent="0.25">
      <c r="A6872" s="5"/>
    </row>
    <row r="6873" spans="1:1" x14ac:dyDescent="0.25">
      <c r="A6873" s="5"/>
    </row>
    <row r="6874" spans="1:1" x14ac:dyDescent="0.25">
      <c r="A6874" s="5"/>
    </row>
    <row r="6875" spans="1:1" x14ac:dyDescent="0.25">
      <c r="A6875" s="5"/>
    </row>
    <row r="6876" spans="1:1" x14ac:dyDescent="0.25">
      <c r="A6876" s="5"/>
    </row>
    <row r="6877" spans="1:1" x14ac:dyDescent="0.25">
      <c r="A6877" s="5"/>
    </row>
    <row r="6878" spans="1:1" x14ac:dyDescent="0.25">
      <c r="A6878" s="5"/>
    </row>
    <row r="6879" spans="1:1" x14ac:dyDescent="0.25">
      <c r="A6879" s="5"/>
    </row>
    <row r="6880" spans="1:1" x14ac:dyDescent="0.25">
      <c r="A6880" s="5"/>
    </row>
    <row r="6881" spans="1:1" x14ac:dyDescent="0.25">
      <c r="A6881" s="5"/>
    </row>
    <row r="6882" spans="1:1" x14ac:dyDescent="0.25">
      <c r="A6882" s="5"/>
    </row>
    <row r="6883" spans="1:1" x14ac:dyDescent="0.25">
      <c r="A6883" s="5"/>
    </row>
    <row r="6884" spans="1:1" x14ac:dyDescent="0.25">
      <c r="A6884" s="5"/>
    </row>
    <row r="6885" spans="1:1" x14ac:dyDescent="0.25">
      <c r="A6885" s="5"/>
    </row>
    <row r="6886" spans="1:1" x14ac:dyDescent="0.25">
      <c r="A6886" s="5"/>
    </row>
    <row r="6887" spans="1:1" x14ac:dyDescent="0.25">
      <c r="A6887" s="5"/>
    </row>
    <row r="6888" spans="1:1" x14ac:dyDescent="0.25">
      <c r="A6888" s="5"/>
    </row>
    <row r="6889" spans="1:1" x14ac:dyDescent="0.25">
      <c r="A6889" s="5"/>
    </row>
    <row r="6890" spans="1:1" x14ac:dyDescent="0.25">
      <c r="A6890" s="5"/>
    </row>
    <row r="6891" spans="1:1" x14ac:dyDescent="0.25">
      <c r="A6891" s="5"/>
    </row>
    <row r="6892" spans="1:1" x14ac:dyDescent="0.25">
      <c r="A6892" s="5"/>
    </row>
    <row r="6893" spans="1:1" x14ac:dyDescent="0.25">
      <c r="A6893" s="5"/>
    </row>
    <row r="6894" spans="1:1" x14ac:dyDescent="0.25">
      <c r="A6894" s="5"/>
    </row>
    <row r="6895" spans="1:1" x14ac:dyDescent="0.25">
      <c r="A6895" s="5"/>
    </row>
    <row r="6896" spans="1:1" x14ac:dyDescent="0.25">
      <c r="A6896" s="5"/>
    </row>
    <row r="6897" spans="1:1" x14ac:dyDescent="0.25">
      <c r="A6897" s="5"/>
    </row>
    <row r="6898" spans="1:1" x14ac:dyDescent="0.25">
      <c r="A6898" s="5"/>
    </row>
    <row r="6899" spans="1:1" x14ac:dyDescent="0.25">
      <c r="A6899" s="5"/>
    </row>
    <row r="6900" spans="1:1" x14ac:dyDescent="0.25">
      <c r="A6900" s="5"/>
    </row>
    <row r="6901" spans="1:1" x14ac:dyDescent="0.25">
      <c r="A6901" s="5"/>
    </row>
    <row r="6902" spans="1:1" x14ac:dyDescent="0.25">
      <c r="A6902" s="5"/>
    </row>
    <row r="6903" spans="1:1" x14ac:dyDescent="0.25">
      <c r="A6903" s="5"/>
    </row>
    <row r="6904" spans="1:1" x14ac:dyDescent="0.25">
      <c r="A6904" s="5"/>
    </row>
    <row r="6905" spans="1:1" x14ac:dyDescent="0.25">
      <c r="A6905" s="5"/>
    </row>
    <row r="6906" spans="1:1" x14ac:dyDescent="0.25">
      <c r="A6906" s="5"/>
    </row>
    <row r="6907" spans="1:1" x14ac:dyDescent="0.25">
      <c r="A6907" s="5"/>
    </row>
    <row r="6908" spans="1:1" x14ac:dyDescent="0.25">
      <c r="A6908" s="5"/>
    </row>
    <row r="6909" spans="1:1" x14ac:dyDescent="0.25">
      <c r="A6909" s="5"/>
    </row>
    <row r="6910" spans="1:1" x14ac:dyDescent="0.25">
      <c r="A6910" s="5"/>
    </row>
    <row r="6911" spans="1:1" x14ac:dyDescent="0.25">
      <c r="A6911" s="5"/>
    </row>
    <row r="6912" spans="1:1" x14ac:dyDescent="0.25">
      <c r="A6912" s="5"/>
    </row>
    <row r="6913" spans="1:1" x14ac:dyDescent="0.25">
      <c r="A6913" s="5"/>
    </row>
    <row r="6914" spans="1:1" x14ac:dyDescent="0.25">
      <c r="A6914" s="5"/>
    </row>
    <row r="6915" spans="1:1" x14ac:dyDescent="0.25">
      <c r="A6915" s="5"/>
    </row>
    <row r="6916" spans="1:1" x14ac:dyDescent="0.25">
      <c r="A6916" s="5"/>
    </row>
    <row r="6917" spans="1:1" x14ac:dyDescent="0.25">
      <c r="A6917" s="5"/>
    </row>
    <row r="6918" spans="1:1" x14ac:dyDescent="0.25">
      <c r="A6918" s="5"/>
    </row>
    <row r="6919" spans="1:1" x14ac:dyDescent="0.25">
      <c r="A6919" s="5"/>
    </row>
    <row r="6920" spans="1:1" x14ac:dyDescent="0.25">
      <c r="A6920" s="5"/>
    </row>
    <row r="6921" spans="1:1" x14ac:dyDescent="0.25">
      <c r="A6921" s="5"/>
    </row>
    <row r="6922" spans="1:1" x14ac:dyDescent="0.25">
      <c r="A6922" s="5"/>
    </row>
    <row r="6923" spans="1:1" x14ac:dyDescent="0.25">
      <c r="A6923" s="5"/>
    </row>
    <row r="6924" spans="1:1" x14ac:dyDescent="0.25">
      <c r="A6924" s="5"/>
    </row>
    <row r="6925" spans="1:1" x14ac:dyDescent="0.25">
      <c r="A6925" s="5"/>
    </row>
    <row r="6926" spans="1:1" x14ac:dyDescent="0.25">
      <c r="A6926" s="5"/>
    </row>
    <row r="6927" spans="1:1" x14ac:dyDescent="0.25">
      <c r="A6927" s="5"/>
    </row>
    <row r="6928" spans="1:1" x14ac:dyDescent="0.25">
      <c r="A6928" s="5"/>
    </row>
    <row r="6929" spans="1:1" x14ac:dyDescent="0.25">
      <c r="A6929" s="5"/>
    </row>
    <row r="6930" spans="1:1" x14ac:dyDescent="0.25">
      <c r="A6930" s="5"/>
    </row>
    <row r="6931" spans="1:1" x14ac:dyDescent="0.25">
      <c r="A6931" s="5"/>
    </row>
    <row r="6932" spans="1:1" x14ac:dyDescent="0.25">
      <c r="A6932" s="5"/>
    </row>
    <row r="6933" spans="1:1" x14ac:dyDescent="0.25">
      <c r="A6933" s="5"/>
    </row>
    <row r="6934" spans="1:1" x14ac:dyDescent="0.25">
      <c r="A6934" s="5"/>
    </row>
    <row r="6935" spans="1:1" x14ac:dyDescent="0.25">
      <c r="A6935" s="5"/>
    </row>
    <row r="6936" spans="1:1" x14ac:dyDescent="0.25">
      <c r="A6936" s="5"/>
    </row>
    <row r="6937" spans="1:1" x14ac:dyDescent="0.25">
      <c r="A6937" s="5"/>
    </row>
    <row r="6938" spans="1:1" x14ac:dyDescent="0.25">
      <c r="A6938" s="5"/>
    </row>
    <row r="6939" spans="1:1" x14ac:dyDescent="0.25">
      <c r="A6939" s="5"/>
    </row>
    <row r="6940" spans="1:1" x14ac:dyDescent="0.25">
      <c r="A6940" s="5"/>
    </row>
    <row r="6941" spans="1:1" x14ac:dyDescent="0.25">
      <c r="A6941" s="5"/>
    </row>
    <row r="6942" spans="1:1" x14ac:dyDescent="0.25">
      <c r="A6942" s="5"/>
    </row>
    <row r="6943" spans="1:1" x14ac:dyDescent="0.25">
      <c r="A6943" s="5"/>
    </row>
    <row r="6944" spans="1:1" x14ac:dyDescent="0.25">
      <c r="A6944" s="5"/>
    </row>
    <row r="6945" spans="1:1" x14ac:dyDescent="0.25">
      <c r="A6945" s="5"/>
    </row>
    <row r="6946" spans="1:1" x14ac:dyDescent="0.25">
      <c r="A6946" s="5"/>
    </row>
    <row r="6947" spans="1:1" x14ac:dyDescent="0.25">
      <c r="A6947" s="5"/>
    </row>
    <row r="6948" spans="1:1" x14ac:dyDescent="0.25">
      <c r="A6948" s="5"/>
    </row>
    <row r="6949" spans="1:1" x14ac:dyDescent="0.25">
      <c r="A6949" s="5"/>
    </row>
    <row r="6950" spans="1:1" x14ac:dyDescent="0.25">
      <c r="A6950" s="5"/>
    </row>
    <row r="6951" spans="1:1" x14ac:dyDescent="0.25">
      <c r="A6951" s="5"/>
    </row>
    <row r="6952" spans="1:1" x14ac:dyDescent="0.25">
      <c r="A6952" s="5"/>
    </row>
    <row r="6953" spans="1:1" x14ac:dyDescent="0.25">
      <c r="A6953" s="5"/>
    </row>
    <row r="6954" spans="1:1" x14ac:dyDescent="0.25">
      <c r="A6954" s="5"/>
    </row>
    <row r="6955" spans="1:1" x14ac:dyDescent="0.25">
      <c r="A6955" s="5"/>
    </row>
    <row r="6956" spans="1:1" x14ac:dyDescent="0.25">
      <c r="A6956" s="5"/>
    </row>
    <row r="6957" spans="1:1" x14ac:dyDescent="0.25">
      <c r="A6957" s="5"/>
    </row>
    <row r="6958" spans="1:1" x14ac:dyDescent="0.25">
      <c r="A6958" s="5"/>
    </row>
    <row r="6959" spans="1:1" x14ac:dyDescent="0.25">
      <c r="A6959" s="5"/>
    </row>
    <row r="6960" spans="1:1" x14ac:dyDescent="0.25">
      <c r="A6960" s="5"/>
    </row>
    <row r="6961" spans="1:1" x14ac:dyDescent="0.25">
      <c r="A6961" s="5"/>
    </row>
    <row r="6962" spans="1:1" x14ac:dyDescent="0.25">
      <c r="A6962" s="5"/>
    </row>
    <row r="6963" spans="1:1" x14ac:dyDescent="0.25">
      <c r="A6963" s="5"/>
    </row>
    <row r="6964" spans="1:1" x14ac:dyDescent="0.25">
      <c r="A6964" s="5"/>
    </row>
    <row r="6965" spans="1:1" x14ac:dyDescent="0.25">
      <c r="A6965" s="5"/>
    </row>
    <row r="6966" spans="1:1" x14ac:dyDescent="0.25">
      <c r="A6966" s="5"/>
    </row>
    <row r="6967" spans="1:1" x14ac:dyDescent="0.25">
      <c r="A6967" s="5"/>
    </row>
    <row r="6968" spans="1:1" x14ac:dyDescent="0.25">
      <c r="A6968" s="5"/>
    </row>
    <row r="6969" spans="1:1" x14ac:dyDescent="0.25">
      <c r="A6969" s="5"/>
    </row>
    <row r="6970" spans="1:1" x14ac:dyDescent="0.25">
      <c r="A6970" s="5"/>
    </row>
    <row r="6971" spans="1:1" x14ac:dyDescent="0.25">
      <c r="A6971" s="5"/>
    </row>
    <row r="6972" spans="1:1" x14ac:dyDescent="0.25">
      <c r="A6972" s="5"/>
    </row>
    <row r="6973" spans="1:1" x14ac:dyDescent="0.25">
      <c r="A6973" s="5"/>
    </row>
    <row r="6974" spans="1:1" x14ac:dyDescent="0.25">
      <c r="A6974" s="5"/>
    </row>
    <row r="6975" spans="1:1" x14ac:dyDescent="0.25">
      <c r="A6975" s="5"/>
    </row>
    <row r="6976" spans="1:1" x14ac:dyDescent="0.25">
      <c r="A6976" s="5"/>
    </row>
    <row r="6977" spans="1:1" x14ac:dyDescent="0.25">
      <c r="A6977" s="5"/>
    </row>
    <row r="6978" spans="1:1" x14ac:dyDescent="0.25">
      <c r="A6978" s="5"/>
    </row>
    <row r="6979" spans="1:1" x14ac:dyDescent="0.25">
      <c r="A6979" s="5"/>
    </row>
    <row r="6980" spans="1:1" x14ac:dyDescent="0.25">
      <c r="A6980" s="5"/>
    </row>
    <row r="6981" spans="1:1" x14ac:dyDescent="0.25">
      <c r="A6981" s="5"/>
    </row>
    <row r="6982" spans="1:1" x14ac:dyDescent="0.25">
      <c r="A6982" s="5"/>
    </row>
    <row r="6983" spans="1:1" x14ac:dyDescent="0.25">
      <c r="A6983" s="5"/>
    </row>
    <row r="6984" spans="1:1" x14ac:dyDescent="0.25">
      <c r="A6984" s="5"/>
    </row>
    <row r="6985" spans="1:1" x14ac:dyDescent="0.25">
      <c r="A6985" s="5"/>
    </row>
    <row r="6986" spans="1:1" x14ac:dyDescent="0.25">
      <c r="A6986" s="5"/>
    </row>
    <row r="6987" spans="1:1" x14ac:dyDescent="0.25">
      <c r="A6987" s="5"/>
    </row>
    <row r="6988" spans="1:1" x14ac:dyDescent="0.25">
      <c r="A6988" s="5"/>
    </row>
    <row r="6989" spans="1:1" x14ac:dyDescent="0.25">
      <c r="A6989" s="5"/>
    </row>
    <row r="6990" spans="1:1" x14ac:dyDescent="0.25">
      <c r="A6990" s="5"/>
    </row>
    <row r="6991" spans="1:1" x14ac:dyDescent="0.25">
      <c r="A6991" s="5"/>
    </row>
    <row r="6992" spans="1:1" x14ac:dyDescent="0.25">
      <c r="A6992" s="5"/>
    </row>
    <row r="6993" spans="1:1" x14ac:dyDescent="0.25">
      <c r="A6993" s="5"/>
    </row>
    <row r="6994" spans="1:1" x14ac:dyDescent="0.25">
      <c r="A6994" s="5"/>
    </row>
    <row r="6995" spans="1:1" x14ac:dyDescent="0.25">
      <c r="A6995" s="5"/>
    </row>
    <row r="6996" spans="1:1" x14ac:dyDescent="0.25">
      <c r="A6996" s="5"/>
    </row>
    <row r="6997" spans="1:1" x14ac:dyDescent="0.25">
      <c r="A6997" s="5"/>
    </row>
    <row r="6998" spans="1:1" x14ac:dyDescent="0.25">
      <c r="A6998" s="5"/>
    </row>
    <row r="6999" spans="1:1" x14ac:dyDescent="0.25">
      <c r="A6999" s="5"/>
    </row>
    <row r="7000" spans="1:1" x14ac:dyDescent="0.25">
      <c r="A7000" s="5"/>
    </row>
    <row r="7001" spans="1:1" x14ac:dyDescent="0.25">
      <c r="A7001" s="5"/>
    </row>
    <row r="7002" spans="1:1" x14ac:dyDescent="0.25">
      <c r="A7002" s="5"/>
    </row>
    <row r="7003" spans="1:1" x14ac:dyDescent="0.25">
      <c r="A7003" s="5"/>
    </row>
    <row r="7004" spans="1:1" x14ac:dyDescent="0.25">
      <c r="A7004" s="5"/>
    </row>
    <row r="7005" spans="1:1" x14ac:dyDescent="0.25">
      <c r="A7005" s="5"/>
    </row>
    <row r="7006" spans="1:1" x14ac:dyDescent="0.25">
      <c r="A7006" s="5"/>
    </row>
    <row r="7007" spans="1:1" x14ac:dyDescent="0.25">
      <c r="A7007" s="5"/>
    </row>
    <row r="7008" spans="1:1" x14ac:dyDescent="0.25">
      <c r="A7008" s="5"/>
    </row>
    <row r="7009" spans="1:1" x14ac:dyDescent="0.25">
      <c r="A7009" s="5"/>
    </row>
    <row r="7010" spans="1:1" x14ac:dyDescent="0.25">
      <c r="A7010" s="5"/>
    </row>
    <row r="7011" spans="1:1" x14ac:dyDescent="0.25">
      <c r="A7011" s="5"/>
    </row>
    <row r="7012" spans="1:1" x14ac:dyDescent="0.25">
      <c r="A7012" s="5"/>
    </row>
    <row r="7013" spans="1:1" x14ac:dyDescent="0.25">
      <c r="A7013" s="5"/>
    </row>
    <row r="7014" spans="1:1" x14ac:dyDescent="0.25">
      <c r="A7014" s="5"/>
    </row>
    <row r="7015" spans="1:1" x14ac:dyDescent="0.25">
      <c r="A7015" s="5"/>
    </row>
    <row r="7016" spans="1:1" x14ac:dyDescent="0.25">
      <c r="A7016" s="5"/>
    </row>
    <row r="7017" spans="1:1" x14ac:dyDescent="0.25">
      <c r="A7017" s="5"/>
    </row>
    <row r="7018" spans="1:1" x14ac:dyDescent="0.25">
      <c r="A7018" s="5"/>
    </row>
    <row r="7019" spans="1:1" x14ac:dyDescent="0.25">
      <c r="A7019" s="5"/>
    </row>
    <row r="7020" spans="1:1" x14ac:dyDescent="0.25">
      <c r="A7020" s="5"/>
    </row>
    <row r="7021" spans="1:1" x14ac:dyDescent="0.25">
      <c r="A7021" s="5"/>
    </row>
    <row r="7022" spans="1:1" x14ac:dyDescent="0.25">
      <c r="A7022" s="5"/>
    </row>
    <row r="7023" spans="1:1" x14ac:dyDescent="0.25">
      <c r="A7023" s="5"/>
    </row>
    <row r="7024" spans="1:1" x14ac:dyDescent="0.25">
      <c r="A7024" s="5"/>
    </row>
    <row r="7025" spans="1:1" x14ac:dyDescent="0.25">
      <c r="A7025" s="5"/>
    </row>
    <row r="7026" spans="1:1" x14ac:dyDescent="0.25">
      <c r="A7026" s="5"/>
    </row>
    <row r="7027" spans="1:1" x14ac:dyDescent="0.25">
      <c r="A7027" s="5"/>
    </row>
    <row r="7028" spans="1:1" x14ac:dyDescent="0.25">
      <c r="A7028" s="5"/>
    </row>
    <row r="7029" spans="1:1" x14ac:dyDescent="0.25">
      <c r="A7029" s="5"/>
    </row>
    <row r="7030" spans="1:1" x14ac:dyDescent="0.25">
      <c r="A7030" s="5"/>
    </row>
    <row r="7031" spans="1:1" x14ac:dyDescent="0.25">
      <c r="A7031" s="5"/>
    </row>
    <row r="7032" spans="1:1" x14ac:dyDescent="0.25">
      <c r="A7032" s="5"/>
    </row>
    <row r="7033" spans="1:1" x14ac:dyDescent="0.25">
      <c r="A7033" s="5"/>
    </row>
    <row r="7034" spans="1:1" x14ac:dyDescent="0.25">
      <c r="A7034" s="5"/>
    </row>
    <row r="7035" spans="1:1" x14ac:dyDescent="0.25">
      <c r="A7035" s="5"/>
    </row>
    <row r="7036" spans="1:1" x14ac:dyDescent="0.25">
      <c r="A7036" s="5"/>
    </row>
    <row r="7037" spans="1:1" x14ac:dyDescent="0.25">
      <c r="A7037" s="5"/>
    </row>
    <row r="7038" spans="1:1" x14ac:dyDescent="0.25">
      <c r="A7038" s="5"/>
    </row>
    <row r="7039" spans="1:1" x14ac:dyDescent="0.25">
      <c r="A7039" s="5"/>
    </row>
    <row r="7040" spans="1:1" x14ac:dyDescent="0.25">
      <c r="A7040" s="5"/>
    </row>
    <row r="7041" spans="1:1" x14ac:dyDescent="0.25">
      <c r="A7041" s="5"/>
    </row>
    <row r="7042" spans="1:1" x14ac:dyDescent="0.25">
      <c r="A7042" s="5"/>
    </row>
    <row r="7043" spans="1:1" x14ac:dyDescent="0.25">
      <c r="A7043" s="5"/>
    </row>
    <row r="7044" spans="1:1" x14ac:dyDescent="0.25">
      <c r="A7044" s="5"/>
    </row>
    <row r="7045" spans="1:1" x14ac:dyDescent="0.25">
      <c r="A7045" s="5"/>
    </row>
    <row r="7046" spans="1:1" x14ac:dyDescent="0.25">
      <c r="A7046" s="5"/>
    </row>
    <row r="7047" spans="1:1" x14ac:dyDescent="0.25">
      <c r="A7047" s="5"/>
    </row>
    <row r="7048" spans="1:1" x14ac:dyDescent="0.25">
      <c r="A7048" s="5"/>
    </row>
    <row r="7049" spans="1:1" x14ac:dyDescent="0.25">
      <c r="A7049" s="5"/>
    </row>
    <row r="7050" spans="1:1" x14ac:dyDescent="0.25">
      <c r="A7050" s="5"/>
    </row>
    <row r="7051" spans="1:1" x14ac:dyDescent="0.25">
      <c r="A7051" s="5"/>
    </row>
    <row r="7052" spans="1:1" x14ac:dyDescent="0.25">
      <c r="A7052" s="5"/>
    </row>
    <row r="7053" spans="1:1" x14ac:dyDescent="0.25">
      <c r="A7053" s="5"/>
    </row>
    <row r="7054" spans="1:1" x14ac:dyDescent="0.25">
      <c r="A7054" s="5"/>
    </row>
    <row r="7055" spans="1:1" x14ac:dyDescent="0.25">
      <c r="A7055" s="5"/>
    </row>
    <row r="7056" spans="1:1" x14ac:dyDescent="0.25">
      <c r="A7056" s="5"/>
    </row>
    <row r="7057" spans="1:1" x14ac:dyDescent="0.25">
      <c r="A7057" s="5"/>
    </row>
    <row r="7058" spans="1:1" x14ac:dyDescent="0.25">
      <c r="A7058" s="5"/>
    </row>
    <row r="7059" spans="1:1" x14ac:dyDescent="0.25">
      <c r="A7059" s="5"/>
    </row>
    <row r="7060" spans="1:1" x14ac:dyDescent="0.25">
      <c r="A7060" s="5"/>
    </row>
    <row r="7061" spans="1:1" x14ac:dyDescent="0.25">
      <c r="A7061" s="5"/>
    </row>
    <row r="7062" spans="1:1" x14ac:dyDescent="0.25">
      <c r="A7062" s="5"/>
    </row>
    <row r="7063" spans="1:1" x14ac:dyDescent="0.25">
      <c r="A7063" s="5"/>
    </row>
    <row r="7064" spans="1:1" x14ac:dyDescent="0.25">
      <c r="A7064" s="5"/>
    </row>
    <row r="7065" spans="1:1" x14ac:dyDescent="0.25">
      <c r="A7065" s="5"/>
    </row>
    <row r="7066" spans="1:1" x14ac:dyDescent="0.25">
      <c r="A7066" s="5"/>
    </row>
    <row r="7067" spans="1:1" x14ac:dyDescent="0.25">
      <c r="A7067" s="5"/>
    </row>
    <row r="7068" spans="1:1" x14ac:dyDescent="0.25">
      <c r="A7068" s="5"/>
    </row>
    <row r="7069" spans="1:1" x14ac:dyDescent="0.25">
      <c r="A7069" s="5"/>
    </row>
    <row r="7070" spans="1:1" x14ac:dyDescent="0.25">
      <c r="A7070" s="5"/>
    </row>
    <row r="7071" spans="1:1" x14ac:dyDescent="0.25">
      <c r="A7071" s="5"/>
    </row>
    <row r="7072" spans="1:1" x14ac:dyDescent="0.25">
      <c r="A7072" s="5"/>
    </row>
    <row r="7073" spans="1:1" x14ac:dyDescent="0.25">
      <c r="A7073" s="5"/>
    </row>
    <row r="7074" spans="1:1" x14ac:dyDescent="0.25">
      <c r="A7074" s="5"/>
    </row>
    <row r="7075" spans="1:1" x14ac:dyDescent="0.25">
      <c r="A7075" s="5"/>
    </row>
    <row r="7076" spans="1:1" x14ac:dyDescent="0.25">
      <c r="A7076" s="5"/>
    </row>
    <row r="7077" spans="1:1" x14ac:dyDescent="0.25">
      <c r="A7077" s="5"/>
    </row>
    <row r="7078" spans="1:1" x14ac:dyDescent="0.25">
      <c r="A7078" s="5"/>
    </row>
    <row r="7079" spans="1:1" x14ac:dyDescent="0.25">
      <c r="A7079" s="5"/>
    </row>
    <row r="7080" spans="1:1" x14ac:dyDescent="0.25">
      <c r="A7080" s="5"/>
    </row>
    <row r="7081" spans="1:1" x14ac:dyDescent="0.25">
      <c r="A7081" s="5"/>
    </row>
    <row r="7082" spans="1:1" x14ac:dyDescent="0.25">
      <c r="A7082" s="5"/>
    </row>
    <row r="7083" spans="1:1" x14ac:dyDescent="0.25">
      <c r="A7083" s="5"/>
    </row>
    <row r="7084" spans="1:1" x14ac:dyDescent="0.25">
      <c r="A7084" s="5"/>
    </row>
    <row r="7085" spans="1:1" x14ac:dyDescent="0.25">
      <c r="A7085" s="5"/>
    </row>
    <row r="7086" spans="1:1" x14ac:dyDescent="0.25">
      <c r="A7086" s="5"/>
    </row>
    <row r="7087" spans="1:1" x14ac:dyDescent="0.25">
      <c r="A7087" s="5"/>
    </row>
    <row r="7088" spans="1:1" x14ac:dyDescent="0.25">
      <c r="A7088" s="5"/>
    </row>
    <row r="7089" spans="1:1" x14ac:dyDescent="0.25">
      <c r="A7089" s="5"/>
    </row>
    <row r="7090" spans="1:1" x14ac:dyDescent="0.25">
      <c r="A7090" s="5"/>
    </row>
    <row r="7091" spans="1:1" x14ac:dyDescent="0.25">
      <c r="A7091" s="5"/>
    </row>
    <row r="7092" spans="1:1" x14ac:dyDescent="0.25">
      <c r="A7092" s="5"/>
    </row>
    <row r="7093" spans="1:1" x14ac:dyDescent="0.25">
      <c r="A7093" s="5"/>
    </row>
    <row r="7094" spans="1:1" x14ac:dyDescent="0.25">
      <c r="A7094" s="5"/>
    </row>
    <row r="7095" spans="1:1" x14ac:dyDescent="0.25">
      <c r="A7095" s="5"/>
    </row>
    <row r="7096" spans="1:1" x14ac:dyDescent="0.25">
      <c r="A7096" s="5"/>
    </row>
    <row r="7097" spans="1:1" x14ac:dyDescent="0.25">
      <c r="A7097" s="5"/>
    </row>
    <row r="7098" spans="1:1" x14ac:dyDescent="0.25">
      <c r="A7098" s="5"/>
    </row>
    <row r="7099" spans="1:1" x14ac:dyDescent="0.25">
      <c r="A7099" s="5"/>
    </row>
    <row r="7100" spans="1:1" x14ac:dyDescent="0.25">
      <c r="A7100" s="5"/>
    </row>
    <row r="7101" spans="1:1" x14ac:dyDescent="0.25">
      <c r="A7101" s="5"/>
    </row>
    <row r="7102" spans="1:1" x14ac:dyDescent="0.25">
      <c r="A7102" s="5"/>
    </row>
    <row r="7103" spans="1:1" x14ac:dyDescent="0.25">
      <c r="A7103" s="5"/>
    </row>
    <row r="7104" spans="1:1" x14ac:dyDescent="0.25">
      <c r="A7104" s="5"/>
    </row>
    <row r="7105" spans="1:1" x14ac:dyDescent="0.25">
      <c r="A7105" s="5"/>
    </row>
    <row r="7106" spans="1:1" x14ac:dyDescent="0.25">
      <c r="A7106" s="5"/>
    </row>
    <row r="7107" spans="1:1" x14ac:dyDescent="0.25">
      <c r="A7107" s="5"/>
    </row>
    <row r="7108" spans="1:1" x14ac:dyDescent="0.25">
      <c r="A7108" s="5"/>
    </row>
    <row r="7109" spans="1:1" x14ac:dyDescent="0.25">
      <c r="A7109" s="5"/>
    </row>
    <row r="7110" spans="1:1" x14ac:dyDescent="0.25">
      <c r="A7110" s="5"/>
    </row>
    <row r="7111" spans="1:1" x14ac:dyDescent="0.25">
      <c r="A7111" s="5"/>
    </row>
    <row r="7112" spans="1:1" x14ac:dyDescent="0.25">
      <c r="A7112" s="5"/>
    </row>
    <row r="7113" spans="1:1" x14ac:dyDescent="0.25">
      <c r="A7113" s="5"/>
    </row>
    <row r="7114" spans="1:1" x14ac:dyDescent="0.25">
      <c r="A7114" s="5"/>
    </row>
    <row r="7115" spans="1:1" x14ac:dyDescent="0.25">
      <c r="A7115" s="5"/>
    </row>
    <row r="7116" spans="1:1" x14ac:dyDescent="0.25">
      <c r="A7116" s="5"/>
    </row>
    <row r="7117" spans="1:1" x14ac:dyDescent="0.25">
      <c r="A7117" s="5"/>
    </row>
    <row r="7118" spans="1:1" x14ac:dyDescent="0.25">
      <c r="A7118" s="5"/>
    </row>
    <row r="7119" spans="1:1" x14ac:dyDescent="0.25">
      <c r="A7119" s="5"/>
    </row>
    <row r="7120" spans="1:1" x14ac:dyDescent="0.25">
      <c r="A7120" s="5"/>
    </row>
    <row r="7121" spans="1:1" x14ac:dyDescent="0.25">
      <c r="A7121" s="5"/>
    </row>
    <row r="7122" spans="1:1" x14ac:dyDescent="0.25">
      <c r="A7122" s="5"/>
    </row>
    <row r="7123" spans="1:1" x14ac:dyDescent="0.25">
      <c r="A7123" s="5"/>
    </row>
    <row r="7124" spans="1:1" x14ac:dyDescent="0.25">
      <c r="A7124" s="5"/>
    </row>
    <row r="7125" spans="1:1" x14ac:dyDescent="0.25">
      <c r="A7125" s="5"/>
    </row>
    <row r="7126" spans="1:1" x14ac:dyDescent="0.25">
      <c r="A7126" s="5"/>
    </row>
    <row r="7127" spans="1:1" x14ac:dyDescent="0.25">
      <c r="A7127" s="5"/>
    </row>
    <row r="7128" spans="1:1" x14ac:dyDescent="0.25">
      <c r="A7128" s="5"/>
    </row>
    <row r="7129" spans="1:1" x14ac:dyDescent="0.25">
      <c r="A7129" s="5"/>
    </row>
    <row r="7130" spans="1:1" x14ac:dyDescent="0.25">
      <c r="A7130" s="5"/>
    </row>
    <row r="7131" spans="1:1" x14ac:dyDescent="0.25">
      <c r="A7131" s="5"/>
    </row>
    <row r="7132" spans="1:1" x14ac:dyDescent="0.25">
      <c r="A7132" s="5"/>
    </row>
    <row r="7133" spans="1:1" x14ac:dyDescent="0.25">
      <c r="A7133" s="5"/>
    </row>
    <row r="7134" spans="1:1" x14ac:dyDescent="0.25">
      <c r="A7134" s="5"/>
    </row>
    <row r="7135" spans="1:1" x14ac:dyDescent="0.25">
      <c r="A7135" s="5"/>
    </row>
    <row r="7136" spans="1:1" x14ac:dyDescent="0.25">
      <c r="A7136" s="5"/>
    </row>
    <row r="7137" spans="1:1" x14ac:dyDescent="0.25">
      <c r="A7137" s="5"/>
    </row>
    <row r="7138" spans="1:1" x14ac:dyDescent="0.25">
      <c r="A7138" s="5"/>
    </row>
    <row r="7139" spans="1:1" x14ac:dyDescent="0.25">
      <c r="A7139" s="5"/>
    </row>
    <row r="7140" spans="1:1" x14ac:dyDescent="0.25">
      <c r="A7140" s="5"/>
    </row>
    <row r="7141" spans="1:1" x14ac:dyDescent="0.25">
      <c r="A7141" s="5"/>
    </row>
    <row r="7142" spans="1:1" x14ac:dyDescent="0.25">
      <c r="A7142" s="5"/>
    </row>
    <row r="7143" spans="1:1" x14ac:dyDescent="0.25">
      <c r="A7143" s="5"/>
    </row>
    <row r="7144" spans="1:1" x14ac:dyDescent="0.25">
      <c r="A7144" s="5"/>
    </row>
    <row r="7145" spans="1:1" x14ac:dyDescent="0.25">
      <c r="A7145" s="5"/>
    </row>
    <row r="7146" spans="1:1" x14ac:dyDescent="0.25">
      <c r="A7146" s="5"/>
    </row>
    <row r="7147" spans="1:1" x14ac:dyDescent="0.25">
      <c r="A7147" s="5"/>
    </row>
    <row r="7148" spans="1:1" x14ac:dyDescent="0.25">
      <c r="A7148" s="5"/>
    </row>
    <row r="7149" spans="1:1" x14ac:dyDescent="0.25">
      <c r="A7149" s="5"/>
    </row>
    <row r="7150" spans="1:1" x14ac:dyDescent="0.25">
      <c r="A7150" s="5"/>
    </row>
    <row r="7151" spans="1:1" x14ac:dyDescent="0.25">
      <c r="A7151" s="5"/>
    </row>
    <row r="7152" spans="1:1" x14ac:dyDescent="0.25">
      <c r="A7152" s="5"/>
    </row>
    <row r="7153" spans="1:1" x14ac:dyDescent="0.25">
      <c r="A7153" s="5"/>
    </row>
    <row r="7154" spans="1:1" x14ac:dyDescent="0.25">
      <c r="A7154" s="5"/>
    </row>
    <row r="7155" spans="1:1" x14ac:dyDescent="0.25">
      <c r="A7155" s="5"/>
    </row>
    <row r="7156" spans="1:1" x14ac:dyDescent="0.25">
      <c r="A7156" s="5"/>
    </row>
    <row r="7157" spans="1:1" x14ac:dyDescent="0.25">
      <c r="A7157" s="5"/>
    </row>
    <row r="7158" spans="1:1" x14ac:dyDescent="0.25">
      <c r="A7158" s="5"/>
    </row>
    <row r="7159" spans="1:1" x14ac:dyDescent="0.25">
      <c r="A7159" s="5"/>
    </row>
    <row r="7160" spans="1:1" x14ac:dyDescent="0.25">
      <c r="A7160" s="5"/>
    </row>
    <row r="7161" spans="1:1" x14ac:dyDescent="0.25">
      <c r="A7161" s="5"/>
    </row>
    <row r="7162" spans="1:1" x14ac:dyDescent="0.25">
      <c r="A7162" s="5"/>
    </row>
    <row r="7163" spans="1:1" x14ac:dyDescent="0.25">
      <c r="A7163" s="5"/>
    </row>
    <row r="7164" spans="1:1" x14ac:dyDescent="0.25">
      <c r="A7164" s="5"/>
    </row>
    <row r="7165" spans="1:1" x14ac:dyDescent="0.25">
      <c r="A7165" s="5"/>
    </row>
    <row r="7166" spans="1:1" x14ac:dyDescent="0.25">
      <c r="A7166" s="5"/>
    </row>
    <row r="7167" spans="1:1" x14ac:dyDescent="0.25">
      <c r="A7167" s="5"/>
    </row>
    <row r="7168" spans="1:1" x14ac:dyDescent="0.25">
      <c r="A7168" s="5"/>
    </row>
    <row r="7169" spans="1:1" x14ac:dyDescent="0.25">
      <c r="A7169" s="5"/>
    </row>
    <row r="7170" spans="1:1" x14ac:dyDescent="0.25">
      <c r="A7170" s="5"/>
    </row>
    <row r="7171" spans="1:1" x14ac:dyDescent="0.25">
      <c r="A7171" s="5"/>
    </row>
    <row r="7172" spans="1:1" x14ac:dyDescent="0.25">
      <c r="A7172" s="5"/>
    </row>
    <row r="7173" spans="1:1" x14ac:dyDescent="0.25">
      <c r="A7173" s="5"/>
    </row>
    <row r="7174" spans="1:1" x14ac:dyDescent="0.25">
      <c r="A7174" s="5"/>
    </row>
    <row r="7175" spans="1:1" x14ac:dyDescent="0.25">
      <c r="A7175" s="5"/>
    </row>
    <row r="7176" spans="1:1" x14ac:dyDescent="0.25">
      <c r="A7176" s="5"/>
    </row>
    <row r="7177" spans="1:1" x14ac:dyDescent="0.25">
      <c r="A7177" s="5"/>
    </row>
    <row r="7178" spans="1:1" x14ac:dyDescent="0.25">
      <c r="A7178" s="5"/>
    </row>
    <row r="7179" spans="1:1" x14ac:dyDescent="0.25">
      <c r="A7179" s="5"/>
    </row>
    <row r="7180" spans="1:1" x14ac:dyDescent="0.25">
      <c r="A7180" s="5"/>
    </row>
    <row r="7181" spans="1:1" x14ac:dyDescent="0.25">
      <c r="A7181" s="5"/>
    </row>
    <row r="7182" spans="1:1" x14ac:dyDescent="0.25">
      <c r="A7182" s="5"/>
    </row>
    <row r="7183" spans="1:1" x14ac:dyDescent="0.25">
      <c r="A7183" s="5"/>
    </row>
    <row r="7184" spans="1:1" x14ac:dyDescent="0.25">
      <c r="A7184" s="5"/>
    </row>
    <row r="7185" spans="1:1" x14ac:dyDescent="0.25">
      <c r="A7185" s="5"/>
    </row>
    <row r="7186" spans="1:1" x14ac:dyDescent="0.25">
      <c r="A7186" s="5"/>
    </row>
    <row r="7187" spans="1:1" x14ac:dyDescent="0.25">
      <c r="A7187" s="5"/>
    </row>
    <row r="7188" spans="1:1" x14ac:dyDescent="0.25">
      <c r="A7188" s="5"/>
    </row>
    <row r="7189" spans="1:1" x14ac:dyDescent="0.25">
      <c r="A7189" s="5"/>
    </row>
    <row r="7190" spans="1:1" x14ac:dyDescent="0.25">
      <c r="A7190" s="5"/>
    </row>
    <row r="7191" spans="1:1" x14ac:dyDescent="0.25">
      <c r="A7191" s="5"/>
    </row>
    <row r="7192" spans="1:1" x14ac:dyDescent="0.25">
      <c r="A7192" s="5"/>
    </row>
    <row r="7193" spans="1:1" x14ac:dyDescent="0.25">
      <c r="A7193" s="5"/>
    </row>
    <row r="7194" spans="1:1" x14ac:dyDescent="0.25">
      <c r="A7194" s="5"/>
    </row>
    <row r="7195" spans="1:1" x14ac:dyDescent="0.25">
      <c r="A7195" s="5"/>
    </row>
    <row r="7196" spans="1:1" x14ac:dyDescent="0.25">
      <c r="A7196" s="5"/>
    </row>
    <row r="7197" spans="1:1" x14ac:dyDescent="0.25">
      <c r="A7197" s="5"/>
    </row>
    <row r="7198" spans="1:1" x14ac:dyDescent="0.25">
      <c r="A7198" s="5"/>
    </row>
    <row r="7199" spans="1:1" x14ac:dyDescent="0.25">
      <c r="A7199" s="5"/>
    </row>
    <row r="7200" spans="1:1" x14ac:dyDescent="0.25">
      <c r="A7200" s="5"/>
    </row>
    <row r="7201" spans="1:1" x14ac:dyDescent="0.25">
      <c r="A7201" s="5"/>
    </row>
    <row r="7202" spans="1:1" x14ac:dyDescent="0.25">
      <c r="A7202" s="5"/>
    </row>
    <row r="7203" spans="1:1" x14ac:dyDescent="0.25">
      <c r="A7203" s="5"/>
    </row>
    <row r="7204" spans="1:1" x14ac:dyDescent="0.25">
      <c r="A7204" s="5"/>
    </row>
    <row r="7205" spans="1:1" x14ac:dyDescent="0.25">
      <c r="A7205" s="5"/>
    </row>
    <row r="7206" spans="1:1" x14ac:dyDescent="0.25">
      <c r="A7206" s="5"/>
    </row>
    <row r="7207" spans="1:1" x14ac:dyDescent="0.25">
      <c r="A7207" s="5"/>
    </row>
    <row r="7208" spans="1:1" x14ac:dyDescent="0.25">
      <c r="A7208" s="5"/>
    </row>
    <row r="7209" spans="1:1" x14ac:dyDescent="0.25">
      <c r="A7209" s="5"/>
    </row>
    <row r="7210" spans="1:1" x14ac:dyDescent="0.25">
      <c r="A7210" s="5"/>
    </row>
    <row r="7211" spans="1:1" x14ac:dyDescent="0.25">
      <c r="A7211" s="5"/>
    </row>
    <row r="7212" spans="1:1" x14ac:dyDescent="0.25">
      <c r="A7212" s="5"/>
    </row>
    <row r="7213" spans="1:1" x14ac:dyDescent="0.25">
      <c r="A7213" s="5"/>
    </row>
    <row r="7214" spans="1:1" x14ac:dyDescent="0.25">
      <c r="A7214" s="5"/>
    </row>
    <row r="7215" spans="1:1" x14ac:dyDescent="0.25">
      <c r="A7215" s="5"/>
    </row>
    <row r="7216" spans="1:1" x14ac:dyDescent="0.25">
      <c r="A7216" s="5"/>
    </row>
    <row r="7217" spans="1:1" x14ac:dyDescent="0.25">
      <c r="A7217" s="5"/>
    </row>
    <row r="7218" spans="1:1" x14ac:dyDescent="0.25">
      <c r="A7218" s="5"/>
    </row>
    <row r="7219" spans="1:1" x14ac:dyDescent="0.25">
      <c r="A7219" s="5"/>
    </row>
    <row r="7220" spans="1:1" x14ac:dyDescent="0.25">
      <c r="A7220" s="5"/>
    </row>
    <row r="7221" spans="1:1" x14ac:dyDescent="0.25">
      <c r="A7221" s="5"/>
    </row>
    <row r="7222" spans="1:1" x14ac:dyDescent="0.25">
      <c r="A7222" s="5"/>
    </row>
    <row r="7223" spans="1:1" x14ac:dyDescent="0.25">
      <c r="A7223" s="5"/>
    </row>
    <row r="7224" spans="1:1" x14ac:dyDescent="0.25">
      <c r="A7224" s="5"/>
    </row>
    <row r="7225" spans="1:1" x14ac:dyDescent="0.25">
      <c r="A7225" s="5"/>
    </row>
    <row r="7226" spans="1:1" x14ac:dyDescent="0.25">
      <c r="A7226" s="5"/>
    </row>
    <row r="7227" spans="1:1" x14ac:dyDescent="0.25">
      <c r="A7227" s="5"/>
    </row>
    <row r="7228" spans="1:1" x14ac:dyDescent="0.25">
      <c r="A7228" s="5"/>
    </row>
    <row r="7229" spans="1:1" x14ac:dyDescent="0.25">
      <c r="A7229" s="5"/>
    </row>
    <row r="7230" spans="1:1" x14ac:dyDescent="0.25">
      <c r="A7230" s="5"/>
    </row>
    <row r="7231" spans="1:1" x14ac:dyDescent="0.25">
      <c r="A7231" s="5"/>
    </row>
    <row r="7232" spans="1:1" x14ac:dyDescent="0.25">
      <c r="A7232" s="5"/>
    </row>
    <row r="7233" spans="1:1" x14ac:dyDescent="0.25">
      <c r="A7233" s="5"/>
    </row>
    <row r="7234" spans="1:1" x14ac:dyDescent="0.25">
      <c r="A7234" s="5"/>
    </row>
    <row r="7235" spans="1:1" x14ac:dyDescent="0.25">
      <c r="A7235" s="5"/>
    </row>
    <row r="7236" spans="1:1" x14ac:dyDescent="0.25">
      <c r="A7236" s="5"/>
    </row>
    <row r="7237" spans="1:1" x14ac:dyDescent="0.25">
      <c r="A7237" s="5"/>
    </row>
    <row r="7238" spans="1:1" x14ac:dyDescent="0.25">
      <c r="A7238" s="5"/>
    </row>
    <row r="7239" spans="1:1" x14ac:dyDescent="0.25">
      <c r="A7239" s="5"/>
    </row>
    <row r="7240" spans="1:1" x14ac:dyDescent="0.25">
      <c r="A7240" s="5"/>
    </row>
    <row r="7241" spans="1:1" x14ac:dyDescent="0.25">
      <c r="A7241" s="5"/>
    </row>
    <row r="7242" spans="1:1" x14ac:dyDescent="0.25">
      <c r="A7242" s="5"/>
    </row>
    <row r="7243" spans="1:1" x14ac:dyDescent="0.25">
      <c r="A7243" s="5"/>
    </row>
    <row r="7244" spans="1:1" x14ac:dyDescent="0.25">
      <c r="A7244" s="5"/>
    </row>
    <row r="7245" spans="1:1" x14ac:dyDescent="0.25">
      <c r="A7245" s="5"/>
    </row>
    <row r="7246" spans="1:1" x14ac:dyDescent="0.25">
      <c r="A7246" s="5"/>
    </row>
    <row r="7247" spans="1:1" x14ac:dyDescent="0.25">
      <c r="A7247" s="5"/>
    </row>
    <row r="7248" spans="1:1" x14ac:dyDescent="0.25">
      <c r="A7248" s="5"/>
    </row>
    <row r="7249" spans="1:1" x14ac:dyDescent="0.25">
      <c r="A7249" s="5"/>
    </row>
    <row r="7250" spans="1:1" x14ac:dyDescent="0.25">
      <c r="A7250" s="5"/>
    </row>
    <row r="7251" spans="1:1" x14ac:dyDescent="0.25">
      <c r="A7251" s="5"/>
    </row>
    <row r="7252" spans="1:1" x14ac:dyDescent="0.25">
      <c r="A7252" s="5"/>
    </row>
    <row r="7253" spans="1:1" x14ac:dyDescent="0.25">
      <c r="A7253" s="5"/>
    </row>
    <row r="7254" spans="1:1" x14ac:dyDescent="0.25">
      <c r="A7254" s="5"/>
    </row>
    <row r="7255" spans="1:1" x14ac:dyDescent="0.25">
      <c r="A7255" s="5"/>
    </row>
    <row r="7256" spans="1:1" x14ac:dyDescent="0.25">
      <c r="A7256" s="5"/>
    </row>
    <row r="7257" spans="1:1" x14ac:dyDescent="0.25">
      <c r="A7257" s="5"/>
    </row>
    <row r="7258" spans="1:1" x14ac:dyDescent="0.25">
      <c r="A7258" s="5"/>
    </row>
    <row r="7259" spans="1:1" x14ac:dyDescent="0.25">
      <c r="A7259" s="5"/>
    </row>
    <row r="7260" spans="1:1" x14ac:dyDescent="0.25">
      <c r="A7260" s="5"/>
    </row>
    <row r="7261" spans="1:1" x14ac:dyDescent="0.25">
      <c r="A7261" s="5"/>
    </row>
    <row r="7262" spans="1:1" x14ac:dyDescent="0.25">
      <c r="A7262" s="5"/>
    </row>
    <row r="7263" spans="1:1" x14ac:dyDescent="0.25">
      <c r="A7263" s="5"/>
    </row>
    <row r="7264" spans="1:1" x14ac:dyDescent="0.25">
      <c r="A7264" s="5"/>
    </row>
    <row r="7265" spans="1:1" x14ac:dyDescent="0.25">
      <c r="A7265" s="5"/>
    </row>
    <row r="7266" spans="1:1" x14ac:dyDescent="0.25">
      <c r="A7266" s="5"/>
    </row>
    <row r="7267" spans="1:1" x14ac:dyDescent="0.25">
      <c r="A7267" s="5"/>
    </row>
    <row r="7268" spans="1:1" x14ac:dyDescent="0.25">
      <c r="A7268" s="5"/>
    </row>
    <row r="7269" spans="1:1" x14ac:dyDescent="0.25">
      <c r="A7269" s="5"/>
    </row>
    <row r="7270" spans="1:1" x14ac:dyDescent="0.25">
      <c r="A7270" s="5"/>
    </row>
    <row r="7271" spans="1:1" x14ac:dyDescent="0.25">
      <c r="A7271" s="5"/>
    </row>
    <row r="7272" spans="1:1" x14ac:dyDescent="0.25">
      <c r="A7272" s="5"/>
    </row>
    <row r="7273" spans="1:1" x14ac:dyDescent="0.25">
      <c r="A7273" s="5"/>
    </row>
    <row r="7274" spans="1:1" x14ac:dyDescent="0.25">
      <c r="A7274" s="5"/>
    </row>
    <row r="7275" spans="1:1" x14ac:dyDescent="0.25">
      <c r="A7275" s="5"/>
    </row>
    <row r="7276" spans="1:1" x14ac:dyDescent="0.25">
      <c r="A7276" s="5"/>
    </row>
    <row r="7277" spans="1:1" x14ac:dyDescent="0.25">
      <c r="A7277" s="5"/>
    </row>
    <row r="7278" spans="1:1" x14ac:dyDescent="0.25">
      <c r="A7278" s="5"/>
    </row>
    <row r="7279" spans="1:1" x14ac:dyDescent="0.25">
      <c r="A7279" s="5"/>
    </row>
    <row r="7280" spans="1:1" x14ac:dyDescent="0.25">
      <c r="A7280" s="5"/>
    </row>
    <row r="7281" spans="1:1" x14ac:dyDescent="0.25">
      <c r="A7281" s="5"/>
    </row>
    <row r="7282" spans="1:1" x14ac:dyDescent="0.25">
      <c r="A7282" s="5"/>
    </row>
    <row r="7283" spans="1:1" x14ac:dyDescent="0.25">
      <c r="A7283" s="5"/>
    </row>
    <row r="7284" spans="1:1" x14ac:dyDescent="0.25">
      <c r="A7284" s="5"/>
    </row>
    <row r="7285" spans="1:1" x14ac:dyDescent="0.25">
      <c r="A7285" s="5"/>
    </row>
    <row r="7286" spans="1:1" x14ac:dyDescent="0.25">
      <c r="A7286" s="5"/>
    </row>
    <row r="7287" spans="1:1" x14ac:dyDescent="0.25">
      <c r="A7287" s="5"/>
    </row>
    <row r="7288" spans="1:1" x14ac:dyDescent="0.25">
      <c r="A7288" s="5"/>
    </row>
    <row r="7289" spans="1:1" x14ac:dyDescent="0.25">
      <c r="A7289" s="5"/>
    </row>
    <row r="7290" spans="1:1" x14ac:dyDescent="0.25">
      <c r="A7290" s="5"/>
    </row>
    <row r="7291" spans="1:1" x14ac:dyDescent="0.25">
      <c r="A7291" s="5"/>
    </row>
    <row r="7292" spans="1:1" x14ac:dyDescent="0.25">
      <c r="A7292" s="5"/>
    </row>
    <row r="7293" spans="1:1" x14ac:dyDescent="0.25">
      <c r="A7293" s="5"/>
    </row>
    <row r="7294" spans="1:1" x14ac:dyDescent="0.25">
      <c r="A7294" s="5"/>
    </row>
    <row r="7295" spans="1:1" x14ac:dyDescent="0.25">
      <c r="A7295" s="5"/>
    </row>
    <row r="7296" spans="1:1" x14ac:dyDescent="0.25">
      <c r="A7296" s="5"/>
    </row>
    <row r="7297" spans="1:1" x14ac:dyDescent="0.25">
      <c r="A7297" s="5"/>
    </row>
    <row r="7298" spans="1:1" x14ac:dyDescent="0.25">
      <c r="A7298" s="5"/>
    </row>
    <row r="7299" spans="1:1" x14ac:dyDescent="0.25">
      <c r="A7299" s="5"/>
    </row>
    <row r="7300" spans="1:1" x14ac:dyDescent="0.25">
      <c r="A7300" s="5"/>
    </row>
    <row r="7301" spans="1:1" x14ac:dyDescent="0.25">
      <c r="A7301" s="5"/>
    </row>
    <row r="7302" spans="1:1" x14ac:dyDescent="0.25">
      <c r="A7302" s="5"/>
    </row>
    <row r="7303" spans="1:1" x14ac:dyDescent="0.25">
      <c r="A7303" s="5"/>
    </row>
    <row r="7304" spans="1:1" x14ac:dyDescent="0.25">
      <c r="A7304" s="5"/>
    </row>
    <row r="7305" spans="1:1" x14ac:dyDescent="0.25">
      <c r="A7305" s="5"/>
    </row>
    <row r="7306" spans="1:1" x14ac:dyDescent="0.25">
      <c r="A7306" s="5"/>
    </row>
    <row r="7307" spans="1:1" x14ac:dyDescent="0.25">
      <c r="A7307" s="5"/>
    </row>
    <row r="7308" spans="1:1" x14ac:dyDescent="0.25">
      <c r="A7308" s="5"/>
    </row>
    <row r="7309" spans="1:1" x14ac:dyDescent="0.25">
      <c r="A7309" s="5"/>
    </row>
    <row r="7310" spans="1:1" x14ac:dyDescent="0.25">
      <c r="A7310" s="5"/>
    </row>
    <row r="7311" spans="1:1" x14ac:dyDescent="0.25">
      <c r="A7311" s="5"/>
    </row>
    <row r="7312" spans="1:1" x14ac:dyDescent="0.25">
      <c r="A7312" s="5"/>
    </row>
    <row r="7313" spans="1:1" x14ac:dyDescent="0.25">
      <c r="A7313" s="5"/>
    </row>
    <row r="7314" spans="1:1" x14ac:dyDescent="0.25">
      <c r="A7314" s="5"/>
    </row>
    <row r="7315" spans="1:1" x14ac:dyDescent="0.25">
      <c r="A7315" s="5"/>
    </row>
    <row r="7316" spans="1:1" x14ac:dyDescent="0.25">
      <c r="A7316" s="5"/>
    </row>
    <row r="7317" spans="1:1" x14ac:dyDescent="0.25">
      <c r="A7317" s="5"/>
    </row>
    <row r="7318" spans="1:1" x14ac:dyDescent="0.25">
      <c r="A7318" s="5"/>
    </row>
    <row r="7319" spans="1:1" x14ac:dyDescent="0.25">
      <c r="A7319" s="5"/>
    </row>
    <row r="7320" spans="1:1" x14ac:dyDescent="0.25">
      <c r="A7320" s="5"/>
    </row>
    <row r="7321" spans="1:1" x14ac:dyDescent="0.25">
      <c r="A7321" s="5"/>
    </row>
    <row r="7322" spans="1:1" x14ac:dyDescent="0.25">
      <c r="A7322" s="5"/>
    </row>
    <row r="7323" spans="1:1" x14ac:dyDescent="0.25">
      <c r="A7323" s="5"/>
    </row>
    <row r="7324" spans="1:1" x14ac:dyDescent="0.25">
      <c r="A7324" s="5"/>
    </row>
    <row r="7325" spans="1:1" x14ac:dyDescent="0.25">
      <c r="A7325" s="5"/>
    </row>
    <row r="7326" spans="1:1" x14ac:dyDescent="0.25">
      <c r="A7326" s="5"/>
    </row>
    <row r="7327" spans="1:1" x14ac:dyDescent="0.25">
      <c r="A7327" s="5"/>
    </row>
    <row r="7328" spans="1:1" x14ac:dyDescent="0.25">
      <c r="A7328" s="5"/>
    </row>
    <row r="7329" spans="1:1" x14ac:dyDescent="0.25">
      <c r="A7329" s="5"/>
    </row>
    <row r="7330" spans="1:1" x14ac:dyDescent="0.25">
      <c r="A7330" s="5"/>
    </row>
    <row r="7331" spans="1:1" x14ac:dyDescent="0.25">
      <c r="A7331" s="5"/>
    </row>
    <row r="7332" spans="1:1" x14ac:dyDescent="0.25">
      <c r="A7332" s="5"/>
    </row>
    <row r="7333" spans="1:1" x14ac:dyDescent="0.25">
      <c r="A7333" s="5"/>
    </row>
    <row r="7334" spans="1:1" x14ac:dyDescent="0.25">
      <c r="A7334" s="5"/>
    </row>
    <row r="7335" spans="1:1" x14ac:dyDescent="0.25">
      <c r="A7335" s="5"/>
    </row>
    <row r="7336" spans="1:1" x14ac:dyDescent="0.25">
      <c r="A7336" s="5"/>
    </row>
    <row r="7337" spans="1:1" x14ac:dyDescent="0.25">
      <c r="A7337" s="5"/>
    </row>
    <row r="7338" spans="1:1" x14ac:dyDescent="0.25">
      <c r="A7338" s="5"/>
    </row>
    <row r="7339" spans="1:1" x14ac:dyDescent="0.25">
      <c r="A7339" s="5"/>
    </row>
    <row r="7340" spans="1:1" x14ac:dyDescent="0.25">
      <c r="A7340" s="5"/>
    </row>
    <row r="7341" spans="1:1" x14ac:dyDescent="0.25">
      <c r="A7341" s="5"/>
    </row>
    <row r="7342" spans="1:1" x14ac:dyDescent="0.25">
      <c r="A7342" s="5"/>
    </row>
    <row r="7343" spans="1:1" x14ac:dyDescent="0.25">
      <c r="A7343" s="5"/>
    </row>
    <row r="7344" spans="1:1" x14ac:dyDescent="0.25">
      <c r="A7344" s="5"/>
    </row>
    <row r="7345" spans="1:1" x14ac:dyDescent="0.25">
      <c r="A7345" s="5"/>
    </row>
    <row r="7346" spans="1:1" x14ac:dyDescent="0.25">
      <c r="A7346" s="5"/>
    </row>
    <row r="7347" spans="1:1" x14ac:dyDescent="0.25">
      <c r="A7347" s="5"/>
    </row>
    <row r="7348" spans="1:1" x14ac:dyDescent="0.25">
      <c r="A7348" s="5"/>
    </row>
    <row r="7349" spans="1:1" x14ac:dyDescent="0.25">
      <c r="A7349" s="5"/>
    </row>
    <row r="7350" spans="1:1" x14ac:dyDescent="0.25">
      <c r="A7350" s="5"/>
    </row>
    <row r="7351" spans="1:1" x14ac:dyDescent="0.25">
      <c r="A7351" s="5"/>
    </row>
    <row r="7352" spans="1:1" x14ac:dyDescent="0.25">
      <c r="A7352" s="5"/>
    </row>
    <row r="7353" spans="1:1" x14ac:dyDescent="0.25">
      <c r="A7353" s="5"/>
    </row>
    <row r="7354" spans="1:1" x14ac:dyDescent="0.25">
      <c r="A7354" s="5"/>
    </row>
    <row r="7355" spans="1:1" x14ac:dyDescent="0.25">
      <c r="A7355" s="5"/>
    </row>
    <row r="7356" spans="1:1" x14ac:dyDescent="0.25">
      <c r="A7356" s="5"/>
    </row>
    <row r="7357" spans="1:1" x14ac:dyDescent="0.25">
      <c r="A7357" s="5"/>
    </row>
    <row r="7358" spans="1:1" x14ac:dyDescent="0.25">
      <c r="A7358" s="5"/>
    </row>
    <row r="7359" spans="1:1" x14ac:dyDescent="0.25">
      <c r="A7359" s="5"/>
    </row>
    <row r="7360" spans="1:1" x14ac:dyDescent="0.25">
      <c r="A7360" s="5"/>
    </row>
    <row r="7361" spans="1:1" x14ac:dyDescent="0.25">
      <c r="A7361" s="5"/>
    </row>
    <row r="7362" spans="1:1" x14ac:dyDescent="0.25">
      <c r="A7362" s="5"/>
    </row>
    <row r="7363" spans="1:1" x14ac:dyDescent="0.25">
      <c r="A7363" s="5"/>
    </row>
    <row r="7364" spans="1:1" x14ac:dyDescent="0.25">
      <c r="A7364" s="5"/>
    </row>
    <row r="7365" spans="1:1" x14ac:dyDescent="0.25">
      <c r="A7365" s="5"/>
    </row>
    <row r="7366" spans="1:1" x14ac:dyDescent="0.25">
      <c r="A7366" s="5"/>
    </row>
    <row r="7367" spans="1:1" x14ac:dyDescent="0.25">
      <c r="A7367" s="5"/>
    </row>
    <row r="7368" spans="1:1" x14ac:dyDescent="0.25">
      <c r="A7368" s="5"/>
    </row>
    <row r="7369" spans="1:1" x14ac:dyDescent="0.25">
      <c r="A7369" s="5"/>
    </row>
    <row r="7370" spans="1:1" x14ac:dyDescent="0.25">
      <c r="A7370" s="5"/>
    </row>
    <row r="7371" spans="1:1" x14ac:dyDescent="0.25">
      <c r="A7371" s="5"/>
    </row>
    <row r="7372" spans="1:1" x14ac:dyDescent="0.25">
      <c r="A7372" s="5"/>
    </row>
    <row r="7373" spans="1:1" x14ac:dyDescent="0.25">
      <c r="A7373" s="5"/>
    </row>
    <row r="7374" spans="1:1" x14ac:dyDescent="0.25">
      <c r="A7374" s="5"/>
    </row>
    <row r="7375" spans="1:1" x14ac:dyDescent="0.25">
      <c r="A7375" s="5"/>
    </row>
    <row r="7376" spans="1:1" x14ac:dyDescent="0.25">
      <c r="A7376" s="5"/>
    </row>
    <row r="7377" spans="1:1" x14ac:dyDescent="0.25">
      <c r="A7377" s="5"/>
    </row>
    <row r="7378" spans="1:1" x14ac:dyDescent="0.25">
      <c r="A7378" s="5"/>
    </row>
    <row r="7379" spans="1:1" x14ac:dyDescent="0.25">
      <c r="A7379" s="5"/>
    </row>
    <row r="7380" spans="1:1" x14ac:dyDescent="0.25">
      <c r="A7380" s="5"/>
    </row>
    <row r="7381" spans="1:1" x14ac:dyDescent="0.25">
      <c r="A7381" s="5"/>
    </row>
    <row r="7382" spans="1:1" x14ac:dyDescent="0.25">
      <c r="A7382" s="5"/>
    </row>
    <row r="7383" spans="1:1" x14ac:dyDescent="0.25">
      <c r="A7383" s="5"/>
    </row>
    <row r="7384" spans="1:1" x14ac:dyDescent="0.25">
      <c r="A7384" s="5"/>
    </row>
    <row r="7385" spans="1:1" x14ac:dyDescent="0.25">
      <c r="A7385" s="5"/>
    </row>
    <row r="7386" spans="1:1" x14ac:dyDescent="0.25">
      <c r="A7386" s="5"/>
    </row>
    <row r="7387" spans="1:1" x14ac:dyDescent="0.25">
      <c r="A7387" s="5"/>
    </row>
    <row r="7388" spans="1:1" x14ac:dyDescent="0.25">
      <c r="A7388" s="5"/>
    </row>
    <row r="7389" spans="1:1" x14ac:dyDescent="0.25">
      <c r="A7389" s="5"/>
    </row>
    <row r="7390" spans="1:1" x14ac:dyDescent="0.25">
      <c r="A7390" s="5"/>
    </row>
    <row r="7391" spans="1:1" x14ac:dyDescent="0.25">
      <c r="A7391" s="5"/>
    </row>
    <row r="7392" spans="1:1" x14ac:dyDescent="0.25">
      <c r="A7392" s="5"/>
    </row>
    <row r="7393" spans="1:1" x14ac:dyDescent="0.25">
      <c r="A7393" s="5"/>
    </row>
    <row r="7394" spans="1:1" x14ac:dyDescent="0.25">
      <c r="A7394" s="5"/>
    </row>
    <row r="7395" spans="1:1" x14ac:dyDescent="0.25">
      <c r="A7395" s="5"/>
    </row>
    <row r="7396" spans="1:1" x14ac:dyDescent="0.25">
      <c r="A7396" s="5"/>
    </row>
    <row r="7397" spans="1:1" x14ac:dyDescent="0.25">
      <c r="A7397" s="5"/>
    </row>
    <row r="7398" spans="1:1" x14ac:dyDescent="0.25">
      <c r="A7398" s="5"/>
    </row>
    <row r="7399" spans="1:1" x14ac:dyDescent="0.25">
      <c r="A7399" s="5"/>
    </row>
    <row r="7400" spans="1:1" x14ac:dyDescent="0.25">
      <c r="A7400" s="5"/>
    </row>
    <row r="7401" spans="1:1" x14ac:dyDescent="0.25">
      <c r="A7401" s="5"/>
    </row>
    <row r="7402" spans="1:1" x14ac:dyDescent="0.25">
      <c r="A7402" s="5"/>
    </row>
    <row r="7403" spans="1:1" x14ac:dyDescent="0.25">
      <c r="A7403" s="5"/>
    </row>
    <row r="7404" spans="1:1" x14ac:dyDescent="0.25">
      <c r="A7404" s="5"/>
    </row>
    <row r="7405" spans="1:1" x14ac:dyDescent="0.25">
      <c r="A7405" s="5"/>
    </row>
    <row r="7406" spans="1:1" x14ac:dyDescent="0.25">
      <c r="A7406" s="5"/>
    </row>
    <row r="7407" spans="1:1" x14ac:dyDescent="0.25">
      <c r="A7407" s="5"/>
    </row>
    <row r="7408" spans="1:1" x14ac:dyDescent="0.25">
      <c r="A7408" s="5"/>
    </row>
    <row r="7409" spans="1:1" x14ac:dyDescent="0.25">
      <c r="A7409" s="5"/>
    </row>
    <row r="7410" spans="1:1" x14ac:dyDescent="0.25">
      <c r="A7410" s="5"/>
    </row>
    <row r="7411" spans="1:1" x14ac:dyDescent="0.25">
      <c r="A7411" s="5"/>
    </row>
    <row r="7412" spans="1:1" x14ac:dyDescent="0.25">
      <c r="A7412" s="5"/>
    </row>
    <row r="7413" spans="1:1" x14ac:dyDescent="0.25">
      <c r="A7413" s="5"/>
    </row>
    <row r="7414" spans="1:1" x14ac:dyDescent="0.25">
      <c r="A7414" s="5"/>
    </row>
    <row r="7415" spans="1:1" x14ac:dyDescent="0.25">
      <c r="A7415" s="5"/>
    </row>
    <row r="7416" spans="1:1" x14ac:dyDescent="0.25">
      <c r="A7416" s="5"/>
    </row>
    <row r="7417" spans="1:1" x14ac:dyDescent="0.25">
      <c r="A7417" s="5"/>
    </row>
    <row r="7418" spans="1:1" x14ac:dyDescent="0.25">
      <c r="A7418" s="5"/>
    </row>
    <row r="7419" spans="1:1" x14ac:dyDescent="0.25">
      <c r="A7419" s="5"/>
    </row>
    <row r="7420" spans="1:1" x14ac:dyDescent="0.25">
      <c r="A7420" s="5"/>
    </row>
    <row r="7421" spans="1:1" x14ac:dyDescent="0.25">
      <c r="A7421" s="5"/>
    </row>
    <row r="7422" spans="1:1" x14ac:dyDescent="0.25">
      <c r="A7422" s="5"/>
    </row>
    <row r="7423" spans="1:1" x14ac:dyDescent="0.25">
      <c r="A7423" s="5"/>
    </row>
    <row r="7424" spans="1:1" x14ac:dyDescent="0.25">
      <c r="A7424" s="5"/>
    </row>
    <row r="7425" spans="1:1" x14ac:dyDescent="0.25">
      <c r="A7425" s="5"/>
    </row>
    <row r="7426" spans="1:1" x14ac:dyDescent="0.25">
      <c r="A7426" s="5"/>
    </row>
    <row r="7427" spans="1:1" x14ac:dyDescent="0.25">
      <c r="A7427" s="5"/>
    </row>
    <row r="7428" spans="1:1" x14ac:dyDescent="0.25">
      <c r="A7428" s="5"/>
    </row>
    <row r="7429" spans="1:1" x14ac:dyDescent="0.25">
      <c r="A7429" s="5"/>
    </row>
    <row r="7430" spans="1:1" x14ac:dyDescent="0.25">
      <c r="A7430" s="5"/>
    </row>
    <row r="7431" spans="1:1" x14ac:dyDescent="0.25">
      <c r="A7431" s="5"/>
    </row>
    <row r="7432" spans="1:1" x14ac:dyDescent="0.25">
      <c r="A7432" s="5"/>
    </row>
    <row r="7433" spans="1:1" x14ac:dyDescent="0.25">
      <c r="A7433" s="5"/>
    </row>
    <row r="7434" spans="1:1" x14ac:dyDescent="0.25">
      <c r="A7434" s="5"/>
    </row>
    <row r="7435" spans="1:1" x14ac:dyDescent="0.25">
      <c r="A7435" s="5"/>
    </row>
    <row r="7436" spans="1:1" x14ac:dyDescent="0.25">
      <c r="A7436" s="5"/>
    </row>
    <row r="7437" spans="1:1" x14ac:dyDescent="0.25">
      <c r="A7437" s="5"/>
    </row>
    <row r="7438" spans="1:1" x14ac:dyDescent="0.25">
      <c r="A7438" s="5"/>
    </row>
    <row r="7439" spans="1:1" x14ac:dyDescent="0.25">
      <c r="A7439" s="5"/>
    </row>
    <row r="7440" spans="1:1" x14ac:dyDescent="0.25">
      <c r="A7440" s="5"/>
    </row>
    <row r="7441" spans="1:1" x14ac:dyDescent="0.25">
      <c r="A7441" s="5"/>
    </row>
    <row r="7442" spans="1:1" x14ac:dyDescent="0.25">
      <c r="A7442" s="5"/>
    </row>
    <row r="7443" spans="1:1" x14ac:dyDescent="0.25">
      <c r="A7443" s="5"/>
    </row>
    <row r="7444" spans="1:1" x14ac:dyDescent="0.25">
      <c r="A7444" s="5"/>
    </row>
    <row r="7445" spans="1:1" x14ac:dyDescent="0.25">
      <c r="A7445" s="5"/>
    </row>
    <row r="7446" spans="1:1" x14ac:dyDescent="0.25">
      <c r="A7446" s="5"/>
    </row>
    <row r="7447" spans="1:1" x14ac:dyDescent="0.25">
      <c r="A7447" s="5"/>
    </row>
    <row r="7448" spans="1:1" x14ac:dyDescent="0.25">
      <c r="A7448" s="5"/>
    </row>
    <row r="7449" spans="1:1" x14ac:dyDescent="0.25">
      <c r="A7449" s="5"/>
    </row>
    <row r="7450" spans="1:1" x14ac:dyDescent="0.25">
      <c r="A7450" s="5"/>
    </row>
    <row r="7451" spans="1:1" x14ac:dyDescent="0.25">
      <c r="A7451" s="5"/>
    </row>
    <row r="7452" spans="1:1" x14ac:dyDescent="0.25">
      <c r="A7452" s="5"/>
    </row>
    <row r="7453" spans="1:1" x14ac:dyDescent="0.25">
      <c r="A7453" s="5"/>
    </row>
    <row r="7454" spans="1:1" x14ac:dyDescent="0.25">
      <c r="A7454" s="5"/>
    </row>
    <row r="7455" spans="1:1" x14ac:dyDescent="0.25">
      <c r="A7455" s="5"/>
    </row>
    <row r="7456" spans="1:1" x14ac:dyDescent="0.25">
      <c r="A7456" s="5"/>
    </row>
    <row r="7457" spans="1:1" x14ac:dyDescent="0.25">
      <c r="A7457" s="5"/>
    </row>
    <row r="7458" spans="1:1" x14ac:dyDescent="0.25">
      <c r="A7458" s="5"/>
    </row>
    <row r="7459" spans="1:1" x14ac:dyDescent="0.25">
      <c r="A7459" s="5"/>
    </row>
    <row r="7460" spans="1:1" x14ac:dyDescent="0.25">
      <c r="A7460" s="5"/>
    </row>
    <row r="7461" spans="1:1" x14ac:dyDescent="0.25">
      <c r="A7461" s="5"/>
    </row>
    <row r="7462" spans="1:1" x14ac:dyDescent="0.25">
      <c r="A7462" s="5"/>
    </row>
    <row r="7463" spans="1:1" x14ac:dyDescent="0.25">
      <c r="A7463" s="5"/>
    </row>
    <row r="7464" spans="1:1" x14ac:dyDescent="0.25">
      <c r="A7464" s="5"/>
    </row>
    <row r="7465" spans="1:1" x14ac:dyDescent="0.25">
      <c r="A7465" s="5"/>
    </row>
    <row r="7466" spans="1:1" x14ac:dyDescent="0.25">
      <c r="A7466" s="5"/>
    </row>
    <row r="7467" spans="1:1" x14ac:dyDescent="0.25">
      <c r="A7467" s="5"/>
    </row>
    <row r="7468" spans="1:1" x14ac:dyDescent="0.25">
      <c r="A7468" s="5"/>
    </row>
    <row r="7469" spans="1:1" x14ac:dyDescent="0.25">
      <c r="A7469" s="5"/>
    </row>
    <row r="7470" spans="1:1" x14ac:dyDescent="0.25">
      <c r="A7470" s="5"/>
    </row>
    <row r="7471" spans="1:1" x14ac:dyDescent="0.25">
      <c r="A7471" s="5"/>
    </row>
    <row r="7472" spans="1:1" x14ac:dyDescent="0.25">
      <c r="A7472" s="5"/>
    </row>
    <row r="7473" spans="1:1" x14ac:dyDescent="0.25">
      <c r="A7473" s="5"/>
    </row>
    <row r="7474" spans="1:1" x14ac:dyDescent="0.25">
      <c r="A7474" s="5"/>
    </row>
    <row r="7475" spans="1:1" x14ac:dyDescent="0.25">
      <c r="A7475" s="5"/>
    </row>
    <row r="7476" spans="1:1" x14ac:dyDescent="0.25">
      <c r="A7476" s="5"/>
    </row>
    <row r="7477" spans="1:1" x14ac:dyDescent="0.25">
      <c r="A7477" s="5"/>
    </row>
    <row r="7478" spans="1:1" x14ac:dyDescent="0.25">
      <c r="A7478" s="5"/>
    </row>
    <row r="7479" spans="1:1" x14ac:dyDescent="0.25">
      <c r="A7479" s="5"/>
    </row>
    <row r="7480" spans="1:1" x14ac:dyDescent="0.25">
      <c r="A7480" s="5"/>
    </row>
    <row r="7481" spans="1:1" x14ac:dyDescent="0.25">
      <c r="A7481" s="5"/>
    </row>
    <row r="7482" spans="1:1" x14ac:dyDescent="0.25">
      <c r="A7482" s="5"/>
    </row>
    <row r="7483" spans="1:1" x14ac:dyDescent="0.25">
      <c r="A7483" s="5"/>
    </row>
    <row r="7484" spans="1:1" x14ac:dyDescent="0.25">
      <c r="A7484" s="5"/>
    </row>
    <row r="7485" spans="1:1" x14ac:dyDescent="0.25">
      <c r="A7485" s="5"/>
    </row>
    <row r="7486" spans="1:1" x14ac:dyDescent="0.25">
      <c r="A7486" s="5"/>
    </row>
    <row r="7487" spans="1:1" x14ac:dyDescent="0.25">
      <c r="A7487" s="5"/>
    </row>
    <row r="7488" spans="1:1" x14ac:dyDescent="0.25">
      <c r="A7488" s="5"/>
    </row>
    <row r="7489" spans="1:1" x14ac:dyDescent="0.25">
      <c r="A7489" s="5"/>
    </row>
    <row r="7490" spans="1:1" x14ac:dyDescent="0.25">
      <c r="A7490" s="5"/>
    </row>
    <row r="7491" spans="1:1" x14ac:dyDescent="0.25">
      <c r="A7491" s="5"/>
    </row>
    <row r="7492" spans="1:1" x14ac:dyDescent="0.25">
      <c r="A7492" s="5"/>
    </row>
    <row r="7493" spans="1:1" x14ac:dyDescent="0.25">
      <c r="A7493" s="5"/>
    </row>
    <row r="7494" spans="1:1" x14ac:dyDescent="0.25">
      <c r="A7494" s="5"/>
    </row>
    <row r="7495" spans="1:1" x14ac:dyDescent="0.25">
      <c r="A7495" s="5"/>
    </row>
    <row r="7496" spans="1:1" x14ac:dyDescent="0.25">
      <c r="A7496" s="5"/>
    </row>
    <row r="7497" spans="1:1" x14ac:dyDescent="0.25">
      <c r="A7497" s="5"/>
    </row>
    <row r="7498" spans="1:1" x14ac:dyDescent="0.25">
      <c r="A7498" s="5"/>
    </row>
    <row r="7499" spans="1:1" x14ac:dyDescent="0.25">
      <c r="A7499" s="5"/>
    </row>
    <row r="7500" spans="1:1" x14ac:dyDescent="0.25">
      <c r="A7500" s="5"/>
    </row>
    <row r="7501" spans="1:1" x14ac:dyDescent="0.25">
      <c r="A7501" s="5"/>
    </row>
    <row r="7502" spans="1:1" x14ac:dyDescent="0.25">
      <c r="A7502" s="5"/>
    </row>
    <row r="7503" spans="1:1" x14ac:dyDescent="0.25">
      <c r="A7503" s="5"/>
    </row>
    <row r="7504" spans="1:1" x14ac:dyDescent="0.25">
      <c r="A7504" s="5"/>
    </row>
    <row r="7505" spans="1:1" x14ac:dyDescent="0.25">
      <c r="A7505" s="5"/>
    </row>
    <row r="7506" spans="1:1" x14ac:dyDescent="0.25">
      <c r="A7506" s="5"/>
    </row>
    <row r="7507" spans="1:1" x14ac:dyDescent="0.25">
      <c r="A7507" s="5"/>
    </row>
    <row r="7508" spans="1:1" x14ac:dyDescent="0.25">
      <c r="A7508" s="5"/>
    </row>
    <row r="7509" spans="1:1" x14ac:dyDescent="0.25">
      <c r="A7509" s="5"/>
    </row>
    <row r="7510" spans="1:1" x14ac:dyDescent="0.25">
      <c r="A7510" s="5"/>
    </row>
    <row r="7511" spans="1:1" x14ac:dyDescent="0.25">
      <c r="A7511" s="5"/>
    </row>
    <row r="7512" spans="1:1" x14ac:dyDescent="0.25">
      <c r="A7512" s="5"/>
    </row>
    <row r="7513" spans="1:1" x14ac:dyDescent="0.25">
      <c r="A7513" s="5"/>
    </row>
    <row r="7514" spans="1:1" x14ac:dyDescent="0.25">
      <c r="A7514" s="5"/>
    </row>
    <row r="7515" spans="1:1" x14ac:dyDescent="0.25">
      <c r="A7515" s="5"/>
    </row>
    <row r="7516" spans="1:1" x14ac:dyDescent="0.25">
      <c r="A7516" s="5"/>
    </row>
    <row r="7517" spans="1:1" x14ac:dyDescent="0.25">
      <c r="A7517" s="5"/>
    </row>
    <row r="7518" spans="1:1" x14ac:dyDescent="0.25">
      <c r="A7518" s="5"/>
    </row>
    <row r="7519" spans="1:1" x14ac:dyDescent="0.25">
      <c r="A7519" s="5"/>
    </row>
    <row r="7520" spans="1:1" x14ac:dyDescent="0.25">
      <c r="A7520" s="5"/>
    </row>
    <row r="7521" spans="1:1" x14ac:dyDescent="0.25">
      <c r="A7521" s="5"/>
    </row>
    <row r="7522" spans="1:1" x14ac:dyDescent="0.25">
      <c r="A7522" s="5"/>
    </row>
    <row r="7523" spans="1:1" x14ac:dyDescent="0.25">
      <c r="A7523" s="5"/>
    </row>
    <row r="7524" spans="1:1" x14ac:dyDescent="0.25">
      <c r="A7524" s="5"/>
    </row>
    <row r="7525" spans="1:1" x14ac:dyDescent="0.25">
      <c r="A7525" s="5"/>
    </row>
    <row r="7526" spans="1:1" x14ac:dyDescent="0.25">
      <c r="A7526" s="5"/>
    </row>
    <row r="7527" spans="1:1" x14ac:dyDescent="0.25">
      <c r="A7527" s="5"/>
    </row>
    <row r="7528" spans="1:1" x14ac:dyDescent="0.25">
      <c r="A7528" s="5"/>
    </row>
    <row r="7529" spans="1:1" x14ac:dyDescent="0.25">
      <c r="A7529" s="5"/>
    </row>
    <row r="7530" spans="1:1" x14ac:dyDescent="0.25">
      <c r="A7530" s="5"/>
    </row>
    <row r="7531" spans="1:1" x14ac:dyDescent="0.25">
      <c r="A7531" s="5"/>
    </row>
    <row r="7532" spans="1:1" x14ac:dyDescent="0.25">
      <c r="A7532" s="5"/>
    </row>
    <row r="7533" spans="1:1" x14ac:dyDescent="0.25">
      <c r="A7533" s="5"/>
    </row>
    <row r="7534" spans="1:1" x14ac:dyDescent="0.25">
      <c r="A7534" s="5"/>
    </row>
    <row r="7535" spans="1:1" x14ac:dyDescent="0.25">
      <c r="A7535" s="5"/>
    </row>
    <row r="7536" spans="1:1" x14ac:dyDescent="0.25">
      <c r="A7536" s="5"/>
    </row>
    <row r="7537" spans="1:1" x14ac:dyDescent="0.25">
      <c r="A7537" s="5"/>
    </row>
    <row r="7538" spans="1:1" x14ac:dyDescent="0.25">
      <c r="A7538" s="5"/>
    </row>
    <row r="7539" spans="1:1" x14ac:dyDescent="0.25">
      <c r="A7539" s="5"/>
    </row>
    <row r="7540" spans="1:1" x14ac:dyDescent="0.25">
      <c r="A7540" s="5"/>
    </row>
    <row r="7541" spans="1:1" x14ac:dyDescent="0.25">
      <c r="A7541" s="5"/>
    </row>
    <row r="7542" spans="1:1" x14ac:dyDescent="0.25">
      <c r="A7542" s="5"/>
    </row>
    <row r="7543" spans="1:1" x14ac:dyDescent="0.25">
      <c r="A7543" s="5"/>
    </row>
    <row r="7544" spans="1:1" x14ac:dyDescent="0.25">
      <c r="A7544" s="5"/>
    </row>
    <row r="7545" spans="1:1" x14ac:dyDescent="0.25">
      <c r="A7545" s="5"/>
    </row>
    <row r="7546" spans="1:1" x14ac:dyDescent="0.25">
      <c r="A7546" s="5"/>
    </row>
    <row r="7547" spans="1:1" x14ac:dyDescent="0.25">
      <c r="A7547" s="5"/>
    </row>
    <row r="7548" spans="1:1" x14ac:dyDescent="0.25">
      <c r="A7548" s="5"/>
    </row>
    <row r="7549" spans="1:1" x14ac:dyDescent="0.25">
      <c r="A7549" s="5"/>
    </row>
    <row r="7550" spans="1:1" x14ac:dyDescent="0.25">
      <c r="A7550" s="5"/>
    </row>
    <row r="7551" spans="1:1" x14ac:dyDescent="0.25">
      <c r="A7551" s="5"/>
    </row>
    <row r="7552" spans="1:1" x14ac:dyDescent="0.25">
      <c r="A7552" s="5"/>
    </row>
    <row r="7553" spans="1:1" x14ac:dyDescent="0.25">
      <c r="A7553" s="5"/>
    </row>
    <row r="7554" spans="1:1" x14ac:dyDescent="0.25">
      <c r="A7554" s="5"/>
    </row>
    <row r="7555" spans="1:1" x14ac:dyDescent="0.25">
      <c r="A7555" s="5"/>
    </row>
    <row r="7556" spans="1:1" x14ac:dyDescent="0.25">
      <c r="A7556" s="5"/>
    </row>
    <row r="7557" spans="1:1" x14ac:dyDescent="0.25">
      <c r="A7557" s="5"/>
    </row>
    <row r="7558" spans="1:1" x14ac:dyDescent="0.25">
      <c r="A7558" s="5"/>
    </row>
    <row r="7559" spans="1:1" x14ac:dyDescent="0.25">
      <c r="A7559" s="5"/>
    </row>
    <row r="7560" spans="1:1" x14ac:dyDescent="0.25">
      <c r="A7560" s="5"/>
    </row>
    <row r="7561" spans="1:1" x14ac:dyDescent="0.25">
      <c r="A7561" s="5"/>
    </row>
    <row r="7562" spans="1:1" x14ac:dyDescent="0.25">
      <c r="A7562" s="5"/>
    </row>
    <row r="7563" spans="1:1" x14ac:dyDescent="0.25">
      <c r="A7563" s="5"/>
    </row>
    <row r="7564" spans="1:1" x14ac:dyDescent="0.25">
      <c r="A7564" s="5"/>
    </row>
    <row r="7565" spans="1:1" x14ac:dyDescent="0.25">
      <c r="A7565" s="5"/>
    </row>
    <row r="7566" spans="1:1" x14ac:dyDescent="0.25">
      <c r="A7566" s="5"/>
    </row>
    <row r="7567" spans="1:1" x14ac:dyDescent="0.25">
      <c r="A7567" s="5"/>
    </row>
    <row r="7568" spans="1:1" x14ac:dyDescent="0.25">
      <c r="A7568" s="5"/>
    </row>
    <row r="7569" spans="1:1" x14ac:dyDescent="0.25">
      <c r="A7569" s="5"/>
    </row>
    <row r="7570" spans="1:1" x14ac:dyDescent="0.25">
      <c r="A7570" s="5"/>
    </row>
    <row r="7571" spans="1:1" x14ac:dyDescent="0.25">
      <c r="A7571" s="5"/>
    </row>
    <row r="7572" spans="1:1" x14ac:dyDescent="0.25">
      <c r="A7572" s="5"/>
    </row>
    <row r="7573" spans="1:1" x14ac:dyDescent="0.25">
      <c r="A7573" s="5"/>
    </row>
    <row r="7574" spans="1:1" x14ac:dyDescent="0.25">
      <c r="A7574" s="5"/>
    </row>
    <row r="7575" spans="1:1" x14ac:dyDescent="0.25">
      <c r="A7575" s="5"/>
    </row>
    <row r="7576" spans="1:1" x14ac:dyDescent="0.25">
      <c r="A7576" s="5"/>
    </row>
    <row r="7577" spans="1:1" x14ac:dyDescent="0.25">
      <c r="A7577" s="5"/>
    </row>
    <row r="7578" spans="1:1" x14ac:dyDescent="0.25">
      <c r="A7578" s="5"/>
    </row>
    <row r="7579" spans="1:1" x14ac:dyDescent="0.25">
      <c r="A7579" s="5"/>
    </row>
    <row r="7580" spans="1:1" x14ac:dyDescent="0.25">
      <c r="A7580" s="5"/>
    </row>
    <row r="7581" spans="1:1" x14ac:dyDescent="0.25">
      <c r="A7581" s="5"/>
    </row>
    <row r="7582" spans="1:1" x14ac:dyDescent="0.25">
      <c r="A7582" s="5"/>
    </row>
    <row r="7583" spans="1:1" x14ac:dyDescent="0.25">
      <c r="A7583" s="5"/>
    </row>
    <row r="7584" spans="1:1" x14ac:dyDescent="0.25">
      <c r="A7584" s="5"/>
    </row>
    <row r="7585" spans="1:1" x14ac:dyDescent="0.25">
      <c r="A7585" s="5"/>
    </row>
    <row r="7586" spans="1:1" x14ac:dyDescent="0.25">
      <c r="A7586" s="5"/>
    </row>
    <row r="7587" spans="1:1" x14ac:dyDescent="0.25">
      <c r="A7587" s="5"/>
    </row>
    <row r="7588" spans="1:1" x14ac:dyDescent="0.25">
      <c r="A7588" s="5"/>
    </row>
    <row r="7589" spans="1:1" x14ac:dyDescent="0.25">
      <c r="A7589" s="5"/>
    </row>
    <row r="7590" spans="1:1" x14ac:dyDescent="0.25">
      <c r="A7590" s="5"/>
    </row>
    <row r="7591" spans="1:1" x14ac:dyDescent="0.25">
      <c r="A7591" s="5"/>
    </row>
    <row r="7592" spans="1:1" x14ac:dyDescent="0.25">
      <c r="A7592" s="5"/>
    </row>
    <row r="7593" spans="1:1" x14ac:dyDescent="0.25">
      <c r="A7593" s="5"/>
    </row>
    <row r="7594" spans="1:1" x14ac:dyDescent="0.25">
      <c r="A7594" s="5"/>
    </row>
    <row r="7595" spans="1:1" x14ac:dyDescent="0.25">
      <c r="A7595" s="5"/>
    </row>
    <row r="7596" spans="1:1" x14ac:dyDescent="0.25">
      <c r="A7596" s="5"/>
    </row>
    <row r="7597" spans="1:1" x14ac:dyDescent="0.25">
      <c r="A7597" s="5"/>
    </row>
    <row r="7598" spans="1:1" x14ac:dyDescent="0.25">
      <c r="A7598" s="5"/>
    </row>
    <row r="7599" spans="1:1" x14ac:dyDescent="0.25">
      <c r="A7599" s="5"/>
    </row>
    <row r="7600" spans="1:1" x14ac:dyDescent="0.25">
      <c r="A7600" s="5"/>
    </row>
    <row r="7601" spans="1:1" x14ac:dyDescent="0.25">
      <c r="A7601" s="5"/>
    </row>
    <row r="7602" spans="1:1" x14ac:dyDescent="0.25">
      <c r="A7602" s="5"/>
    </row>
    <row r="7603" spans="1:1" x14ac:dyDescent="0.25">
      <c r="A7603" s="5"/>
    </row>
    <row r="7604" spans="1:1" x14ac:dyDescent="0.25">
      <c r="A7604" s="5"/>
    </row>
    <row r="7605" spans="1:1" x14ac:dyDescent="0.25">
      <c r="A7605" s="5"/>
    </row>
    <row r="7606" spans="1:1" x14ac:dyDescent="0.25">
      <c r="A7606" s="5"/>
    </row>
    <row r="7607" spans="1:1" x14ac:dyDescent="0.25">
      <c r="A7607" s="5"/>
    </row>
    <row r="7608" spans="1:1" x14ac:dyDescent="0.25">
      <c r="A7608" s="5"/>
    </row>
    <row r="7609" spans="1:1" x14ac:dyDescent="0.25">
      <c r="A7609" s="5"/>
    </row>
    <row r="7610" spans="1:1" x14ac:dyDescent="0.25">
      <c r="A7610" s="5"/>
    </row>
    <row r="7611" spans="1:1" x14ac:dyDescent="0.25">
      <c r="A7611" s="5"/>
    </row>
    <row r="7612" spans="1:1" x14ac:dyDescent="0.25">
      <c r="A7612" s="5"/>
    </row>
    <row r="7613" spans="1:1" x14ac:dyDescent="0.25">
      <c r="A7613" s="5"/>
    </row>
    <row r="7614" spans="1:1" x14ac:dyDescent="0.25">
      <c r="A7614" s="5"/>
    </row>
    <row r="7615" spans="1:1" x14ac:dyDescent="0.25">
      <c r="A7615" s="5"/>
    </row>
    <row r="7616" spans="1:1" x14ac:dyDescent="0.25">
      <c r="A7616" s="5"/>
    </row>
    <row r="7617" spans="1:1" x14ac:dyDescent="0.25">
      <c r="A7617" s="5"/>
    </row>
    <row r="7618" spans="1:1" x14ac:dyDescent="0.25">
      <c r="A7618" s="5"/>
    </row>
    <row r="7619" spans="1:1" x14ac:dyDescent="0.25">
      <c r="A7619" s="5"/>
    </row>
    <row r="7620" spans="1:1" x14ac:dyDescent="0.25">
      <c r="A7620" s="5"/>
    </row>
    <row r="7621" spans="1:1" x14ac:dyDescent="0.25">
      <c r="A7621" s="5"/>
    </row>
    <row r="7622" spans="1:1" x14ac:dyDescent="0.25">
      <c r="A7622" s="5"/>
    </row>
    <row r="7623" spans="1:1" x14ac:dyDescent="0.25">
      <c r="A7623" s="5"/>
    </row>
    <row r="7624" spans="1:1" x14ac:dyDescent="0.25">
      <c r="A7624" s="5"/>
    </row>
    <row r="7625" spans="1:1" x14ac:dyDescent="0.25">
      <c r="A7625" s="5"/>
    </row>
    <row r="7626" spans="1:1" x14ac:dyDescent="0.25">
      <c r="A7626" s="5"/>
    </row>
    <row r="7627" spans="1:1" x14ac:dyDescent="0.25">
      <c r="A7627" s="5"/>
    </row>
    <row r="7628" spans="1:1" x14ac:dyDescent="0.25">
      <c r="A7628" s="5"/>
    </row>
    <row r="7629" spans="1:1" x14ac:dyDescent="0.25">
      <c r="A7629" s="5"/>
    </row>
    <row r="7630" spans="1:1" x14ac:dyDescent="0.25">
      <c r="A7630" s="5"/>
    </row>
    <row r="7631" spans="1:1" x14ac:dyDescent="0.25">
      <c r="A7631" s="5"/>
    </row>
    <row r="7632" spans="1:1" x14ac:dyDescent="0.25">
      <c r="A7632" s="5"/>
    </row>
    <row r="7633" spans="1:1" x14ac:dyDescent="0.25">
      <c r="A7633" s="5"/>
    </row>
    <row r="7634" spans="1:1" x14ac:dyDescent="0.25">
      <c r="A7634" s="5"/>
    </row>
    <row r="7635" spans="1:1" x14ac:dyDescent="0.25">
      <c r="A7635" s="5"/>
    </row>
    <row r="7636" spans="1:1" x14ac:dyDescent="0.25">
      <c r="A7636" s="5"/>
    </row>
    <row r="7637" spans="1:1" x14ac:dyDescent="0.25">
      <c r="A7637" s="5"/>
    </row>
    <row r="7638" spans="1:1" x14ac:dyDescent="0.25">
      <c r="A7638" s="5"/>
    </row>
    <row r="7639" spans="1:1" x14ac:dyDescent="0.25">
      <c r="A7639" s="5"/>
    </row>
    <row r="7640" spans="1:1" x14ac:dyDescent="0.25">
      <c r="A7640" s="5"/>
    </row>
    <row r="7641" spans="1:1" x14ac:dyDescent="0.25">
      <c r="A7641" s="5"/>
    </row>
    <row r="7642" spans="1:1" x14ac:dyDescent="0.25">
      <c r="A7642" s="5"/>
    </row>
    <row r="7643" spans="1:1" x14ac:dyDescent="0.25">
      <c r="A7643" s="5"/>
    </row>
    <row r="7644" spans="1:1" x14ac:dyDescent="0.25">
      <c r="A7644" s="5"/>
    </row>
    <row r="7645" spans="1:1" x14ac:dyDescent="0.25">
      <c r="A7645" s="5"/>
    </row>
    <row r="7646" spans="1:1" x14ac:dyDescent="0.25">
      <c r="A7646" s="5"/>
    </row>
    <row r="7647" spans="1:1" x14ac:dyDescent="0.25">
      <c r="A7647" s="5"/>
    </row>
    <row r="7648" spans="1:1" x14ac:dyDescent="0.25">
      <c r="A7648" s="5"/>
    </row>
    <row r="7649" spans="1:1" x14ac:dyDescent="0.25">
      <c r="A7649" s="5"/>
    </row>
    <row r="7650" spans="1:1" x14ac:dyDescent="0.25">
      <c r="A7650" s="5"/>
    </row>
    <row r="7651" spans="1:1" x14ac:dyDescent="0.25">
      <c r="A7651" s="5"/>
    </row>
    <row r="7652" spans="1:1" x14ac:dyDescent="0.25">
      <c r="A7652" s="5"/>
    </row>
    <row r="7653" spans="1:1" x14ac:dyDescent="0.25">
      <c r="A7653" s="5"/>
    </row>
    <row r="7654" spans="1:1" x14ac:dyDescent="0.25">
      <c r="A7654" s="5"/>
    </row>
    <row r="7655" spans="1:1" x14ac:dyDescent="0.25">
      <c r="A7655" s="5"/>
    </row>
    <row r="7656" spans="1:1" x14ac:dyDescent="0.25">
      <c r="A7656" s="5"/>
    </row>
    <row r="7657" spans="1:1" x14ac:dyDescent="0.25">
      <c r="A7657" s="5"/>
    </row>
    <row r="7658" spans="1:1" x14ac:dyDescent="0.25">
      <c r="A7658" s="5"/>
    </row>
    <row r="7659" spans="1:1" x14ac:dyDescent="0.25">
      <c r="A7659" s="5"/>
    </row>
    <row r="7660" spans="1:1" x14ac:dyDescent="0.25">
      <c r="A7660" s="5"/>
    </row>
    <row r="7661" spans="1:1" x14ac:dyDescent="0.25">
      <c r="A7661" s="5"/>
    </row>
    <row r="7662" spans="1:1" x14ac:dyDescent="0.25">
      <c r="A7662" s="5"/>
    </row>
    <row r="7663" spans="1:1" x14ac:dyDescent="0.25">
      <c r="A7663" s="5"/>
    </row>
    <row r="7664" spans="1:1" x14ac:dyDescent="0.25">
      <c r="A7664" s="5"/>
    </row>
    <row r="7665" spans="1:1" x14ac:dyDescent="0.25">
      <c r="A7665" s="5"/>
    </row>
    <row r="7666" spans="1:1" x14ac:dyDescent="0.25">
      <c r="A7666" s="5"/>
    </row>
    <row r="7667" spans="1:1" x14ac:dyDescent="0.25">
      <c r="A7667" s="5"/>
    </row>
    <row r="7668" spans="1:1" x14ac:dyDescent="0.25">
      <c r="A7668" s="5"/>
    </row>
    <row r="7669" spans="1:1" x14ac:dyDescent="0.25">
      <c r="A7669" s="5"/>
    </row>
    <row r="7670" spans="1:1" x14ac:dyDescent="0.25">
      <c r="A7670" s="5"/>
    </row>
    <row r="7671" spans="1:1" x14ac:dyDescent="0.25">
      <c r="A7671" s="5"/>
    </row>
    <row r="7672" spans="1:1" x14ac:dyDescent="0.25">
      <c r="A7672" s="5"/>
    </row>
    <row r="7673" spans="1:1" x14ac:dyDescent="0.25">
      <c r="A7673" s="5"/>
    </row>
    <row r="7674" spans="1:1" x14ac:dyDescent="0.25">
      <c r="A7674" s="5"/>
    </row>
    <row r="7675" spans="1:1" x14ac:dyDescent="0.25">
      <c r="A7675" s="5"/>
    </row>
    <row r="7676" spans="1:1" x14ac:dyDescent="0.25">
      <c r="A7676" s="5"/>
    </row>
    <row r="7677" spans="1:1" x14ac:dyDescent="0.25">
      <c r="A7677" s="5"/>
    </row>
    <row r="7678" spans="1:1" x14ac:dyDescent="0.25">
      <c r="A7678" s="5"/>
    </row>
    <row r="7679" spans="1:1" x14ac:dyDescent="0.25">
      <c r="A7679" s="5"/>
    </row>
    <row r="7680" spans="1:1" x14ac:dyDescent="0.25">
      <c r="A7680" s="5"/>
    </row>
    <row r="7681" spans="1:1" x14ac:dyDescent="0.25">
      <c r="A7681" s="5"/>
    </row>
    <row r="7682" spans="1:1" x14ac:dyDescent="0.25">
      <c r="A7682" s="5"/>
    </row>
    <row r="7683" spans="1:1" x14ac:dyDescent="0.25">
      <c r="A7683" s="5"/>
    </row>
    <row r="7684" spans="1:1" x14ac:dyDescent="0.25">
      <c r="A7684" s="5"/>
    </row>
    <row r="7685" spans="1:1" x14ac:dyDescent="0.25">
      <c r="A7685" s="5"/>
    </row>
    <row r="7686" spans="1:1" x14ac:dyDescent="0.25">
      <c r="A7686" s="5"/>
    </row>
    <row r="7687" spans="1:1" x14ac:dyDescent="0.25">
      <c r="A7687" s="5"/>
    </row>
    <row r="7688" spans="1:1" x14ac:dyDescent="0.25">
      <c r="A7688" s="5"/>
    </row>
    <row r="7689" spans="1:1" x14ac:dyDescent="0.25">
      <c r="A7689" s="5"/>
    </row>
    <row r="7690" spans="1:1" x14ac:dyDescent="0.25">
      <c r="A7690" s="5"/>
    </row>
    <row r="7691" spans="1:1" x14ac:dyDescent="0.25">
      <c r="A7691" s="5"/>
    </row>
    <row r="7692" spans="1:1" x14ac:dyDescent="0.25">
      <c r="A7692" s="5"/>
    </row>
    <row r="7693" spans="1:1" x14ac:dyDescent="0.25">
      <c r="A7693" s="5"/>
    </row>
    <row r="7694" spans="1:1" x14ac:dyDescent="0.25">
      <c r="A7694" s="5"/>
    </row>
    <row r="7695" spans="1:1" x14ac:dyDescent="0.25">
      <c r="A7695" s="5"/>
    </row>
    <row r="7696" spans="1:1" x14ac:dyDescent="0.25">
      <c r="A7696" s="5"/>
    </row>
    <row r="7697" spans="1:1" x14ac:dyDescent="0.25">
      <c r="A7697" s="5"/>
    </row>
    <row r="7698" spans="1:1" x14ac:dyDescent="0.25">
      <c r="A7698" s="5"/>
    </row>
    <row r="7699" spans="1:1" x14ac:dyDescent="0.25">
      <c r="A7699" s="5"/>
    </row>
    <row r="7700" spans="1:1" x14ac:dyDescent="0.25">
      <c r="A7700" s="5"/>
    </row>
    <row r="7701" spans="1:1" x14ac:dyDescent="0.25">
      <c r="A7701" s="5"/>
    </row>
    <row r="7702" spans="1:1" x14ac:dyDescent="0.25">
      <c r="A7702" s="5"/>
    </row>
    <row r="7703" spans="1:1" x14ac:dyDescent="0.25">
      <c r="A7703" s="5"/>
    </row>
    <row r="7704" spans="1:1" x14ac:dyDescent="0.25">
      <c r="A7704" s="5"/>
    </row>
    <row r="7705" spans="1:1" x14ac:dyDescent="0.25">
      <c r="A7705" s="5"/>
    </row>
    <row r="7706" spans="1:1" x14ac:dyDescent="0.25">
      <c r="A7706" s="5"/>
    </row>
    <row r="7707" spans="1:1" x14ac:dyDescent="0.25">
      <c r="A7707" s="5"/>
    </row>
    <row r="7708" spans="1:1" x14ac:dyDescent="0.25">
      <c r="A7708" s="5"/>
    </row>
    <row r="7709" spans="1:1" x14ac:dyDescent="0.25">
      <c r="A7709" s="5"/>
    </row>
    <row r="7710" spans="1:1" x14ac:dyDescent="0.25">
      <c r="A7710" s="5"/>
    </row>
    <row r="7711" spans="1:1" x14ac:dyDescent="0.25">
      <c r="A7711" s="5"/>
    </row>
    <row r="7712" spans="1:1" x14ac:dyDescent="0.25">
      <c r="A7712" s="5"/>
    </row>
    <row r="7713" spans="1:1" x14ac:dyDescent="0.25">
      <c r="A7713" s="5"/>
    </row>
    <row r="7714" spans="1:1" x14ac:dyDescent="0.25">
      <c r="A7714" s="5"/>
    </row>
    <row r="7715" spans="1:1" x14ac:dyDescent="0.25">
      <c r="A7715" s="5"/>
    </row>
    <row r="7716" spans="1:1" x14ac:dyDescent="0.25">
      <c r="A7716" s="5"/>
    </row>
    <row r="7717" spans="1:1" x14ac:dyDescent="0.25">
      <c r="A7717" s="5"/>
    </row>
    <row r="7718" spans="1:1" x14ac:dyDescent="0.25">
      <c r="A7718" s="5"/>
    </row>
    <row r="7719" spans="1:1" x14ac:dyDescent="0.25">
      <c r="A7719" s="5"/>
    </row>
    <row r="7720" spans="1:1" x14ac:dyDescent="0.25">
      <c r="A7720" s="5"/>
    </row>
    <row r="7721" spans="1:1" x14ac:dyDescent="0.25">
      <c r="A7721" s="5"/>
    </row>
    <row r="7722" spans="1:1" x14ac:dyDescent="0.25">
      <c r="A7722" s="5"/>
    </row>
    <row r="7723" spans="1:1" x14ac:dyDescent="0.25">
      <c r="A7723" s="5"/>
    </row>
    <row r="7724" spans="1:1" x14ac:dyDescent="0.25">
      <c r="A7724" s="5"/>
    </row>
    <row r="7725" spans="1:1" x14ac:dyDescent="0.25">
      <c r="A7725" s="5"/>
    </row>
    <row r="7726" spans="1:1" x14ac:dyDescent="0.25">
      <c r="A7726" s="5"/>
    </row>
    <row r="7727" spans="1:1" x14ac:dyDescent="0.25">
      <c r="A7727" s="5"/>
    </row>
    <row r="7728" spans="1:1" x14ac:dyDescent="0.25">
      <c r="A7728" s="5"/>
    </row>
    <row r="7729" spans="1:1" x14ac:dyDescent="0.25">
      <c r="A7729" s="5"/>
    </row>
    <row r="7730" spans="1:1" x14ac:dyDescent="0.25">
      <c r="A7730" s="5"/>
    </row>
    <row r="7731" spans="1:1" x14ac:dyDescent="0.25">
      <c r="A7731" s="5"/>
    </row>
    <row r="7732" spans="1:1" x14ac:dyDescent="0.25">
      <c r="A7732" s="5"/>
    </row>
    <row r="7733" spans="1:1" x14ac:dyDescent="0.25">
      <c r="A7733" s="5"/>
    </row>
    <row r="7734" spans="1:1" x14ac:dyDescent="0.25">
      <c r="A7734" s="5"/>
    </row>
    <row r="7735" spans="1:1" x14ac:dyDescent="0.25">
      <c r="A7735" s="5"/>
    </row>
    <row r="7736" spans="1:1" x14ac:dyDescent="0.25">
      <c r="A7736" s="5"/>
    </row>
    <row r="7737" spans="1:1" x14ac:dyDescent="0.25">
      <c r="A7737" s="5"/>
    </row>
    <row r="7738" spans="1:1" x14ac:dyDescent="0.25">
      <c r="A7738" s="5"/>
    </row>
    <row r="7739" spans="1:1" x14ac:dyDescent="0.25">
      <c r="A7739" s="5"/>
    </row>
    <row r="7740" spans="1:1" x14ac:dyDescent="0.25">
      <c r="A7740" s="5"/>
    </row>
    <row r="7741" spans="1:1" x14ac:dyDescent="0.25">
      <c r="A7741" s="5"/>
    </row>
    <row r="7742" spans="1:1" x14ac:dyDescent="0.25">
      <c r="A7742" s="5"/>
    </row>
    <row r="7743" spans="1:1" x14ac:dyDescent="0.25">
      <c r="A7743" s="5"/>
    </row>
    <row r="7744" spans="1:1" x14ac:dyDescent="0.25">
      <c r="A7744" s="5"/>
    </row>
    <row r="7745" spans="1:1" x14ac:dyDescent="0.25">
      <c r="A7745" s="5"/>
    </row>
    <row r="7746" spans="1:1" x14ac:dyDescent="0.25">
      <c r="A7746" s="5"/>
    </row>
    <row r="7747" spans="1:1" x14ac:dyDescent="0.25">
      <c r="A7747" s="5"/>
    </row>
    <row r="7748" spans="1:1" x14ac:dyDescent="0.25">
      <c r="A7748" s="5"/>
    </row>
    <row r="7749" spans="1:1" x14ac:dyDescent="0.25">
      <c r="A7749" s="5"/>
    </row>
    <row r="7750" spans="1:1" x14ac:dyDescent="0.25">
      <c r="A7750" s="5"/>
    </row>
    <row r="7751" spans="1:1" x14ac:dyDescent="0.25">
      <c r="A7751" s="5"/>
    </row>
    <row r="7752" spans="1:1" x14ac:dyDescent="0.25">
      <c r="A7752" s="5"/>
    </row>
    <row r="7753" spans="1:1" x14ac:dyDescent="0.25">
      <c r="A7753" s="5"/>
    </row>
    <row r="7754" spans="1:1" x14ac:dyDescent="0.25">
      <c r="A7754" s="5"/>
    </row>
    <row r="7755" spans="1:1" x14ac:dyDescent="0.25">
      <c r="A7755" s="5"/>
    </row>
    <row r="7756" spans="1:1" x14ac:dyDescent="0.25">
      <c r="A7756" s="5"/>
    </row>
    <row r="7757" spans="1:1" x14ac:dyDescent="0.25">
      <c r="A7757" s="5"/>
    </row>
    <row r="7758" spans="1:1" x14ac:dyDescent="0.25">
      <c r="A7758" s="5"/>
    </row>
    <row r="7759" spans="1:1" x14ac:dyDescent="0.25">
      <c r="A7759" s="5"/>
    </row>
    <row r="7760" spans="1:1" x14ac:dyDescent="0.25">
      <c r="A7760" s="5"/>
    </row>
    <row r="7761" spans="1:1" x14ac:dyDescent="0.25">
      <c r="A7761" s="5"/>
    </row>
    <row r="7762" spans="1:1" x14ac:dyDescent="0.25">
      <c r="A7762" s="5"/>
    </row>
    <row r="7763" spans="1:1" x14ac:dyDescent="0.25">
      <c r="A7763" s="5"/>
    </row>
    <row r="7764" spans="1:1" x14ac:dyDescent="0.25">
      <c r="A7764" s="5"/>
    </row>
    <row r="7765" spans="1:1" x14ac:dyDescent="0.25">
      <c r="A7765" s="5"/>
    </row>
    <row r="7766" spans="1:1" x14ac:dyDescent="0.25">
      <c r="A7766" s="5"/>
    </row>
    <row r="7767" spans="1:1" x14ac:dyDescent="0.25">
      <c r="A7767" s="5"/>
    </row>
    <row r="7768" spans="1:1" x14ac:dyDescent="0.25">
      <c r="A7768" s="5"/>
    </row>
    <row r="7769" spans="1:1" x14ac:dyDescent="0.25">
      <c r="A7769" s="5"/>
    </row>
    <row r="7770" spans="1:1" x14ac:dyDescent="0.25">
      <c r="A7770" s="5"/>
    </row>
    <row r="7771" spans="1:1" x14ac:dyDescent="0.25">
      <c r="A7771" s="5"/>
    </row>
    <row r="7772" spans="1:1" x14ac:dyDescent="0.25">
      <c r="A7772" s="5"/>
    </row>
    <row r="7773" spans="1:1" x14ac:dyDescent="0.25">
      <c r="A7773" s="5"/>
    </row>
    <row r="7774" spans="1:1" x14ac:dyDescent="0.25">
      <c r="A7774" s="5"/>
    </row>
    <row r="7775" spans="1:1" x14ac:dyDescent="0.25">
      <c r="A7775" s="5"/>
    </row>
    <row r="7776" spans="1:1" x14ac:dyDescent="0.25">
      <c r="A7776" s="5"/>
    </row>
    <row r="7777" spans="1:1" x14ac:dyDescent="0.25">
      <c r="A7777" s="5"/>
    </row>
    <row r="7778" spans="1:1" x14ac:dyDescent="0.25">
      <c r="A7778" s="5"/>
    </row>
    <row r="7779" spans="1:1" x14ac:dyDescent="0.25">
      <c r="A7779" s="5"/>
    </row>
    <row r="7780" spans="1:1" x14ac:dyDescent="0.25">
      <c r="A7780" s="5"/>
    </row>
    <row r="7781" spans="1:1" x14ac:dyDescent="0.25">
      <c r="A7781" s="5"/>
    </row>
    <row r="7782" spans="1:1" x14ac:dyDescent="0.25">
      <c r="A7782" s="5"/>
    </row>
    <row r="7783" spans="1:1" x14ac:dyDescent="0.25">
      <c r="A7783" s="5"/>
    </row>
    <row r="7784" spans="1:1" x14ac:dyDescent="0.25">
      <c r="A7784" s="5"/>
    </row>
    <row r="7785" spans="1:1" x14ac:dyDescent="0.25">
      <c r="A7785" s="5"/>
    </row>
    <row r="7786" spans="1:1" x14ac:dyDescent="0.25">
      <c r="A7786" s="5"/>
    </row>
    <row r="7787" spans="1:1" x14ac:dyDescent="0.25">
      <c r="A7787" s="5"/>
    </row>
    <row r="7788" spans="1:1" x14ac:dyDescent="0.25">
      <c r="A7788" s="5"/>
    </row>
    <row r="7789" spans="1:1" x14ac:dyDescent="0.25">
      <c r="A7789" s="5"/>
    </row>
    <row r="7790" spans="1:1" x14ac:dyDescent="0.25">
      <c r="A7790" s="5"/>
    </row>
    <row r="7791" spans="1:1" x14ac:dyDescent="0.25">
      <c r="A7791" s="5"/>
    </row>
    <row r="7792" spans="1:1" x14ac:dyDescent="0.25">
      <c r="A7792" s="5"/>
    </row>
    <row r="7793" spans="1:1" x14ac:dyDescent="0.25">
      <c r="A7793" s="5"/>
    </row>
    <row r="7794" spans="1:1" x14ac:dyDescent="0.25">
      <c r="A7794" s="5"/>
    </row>
    <row r="7795" spans="1:1" x14ac:dyDescent="0.25">
      <c r="A7795" s="5"/>
    </row>
    <row r="7796" spans="1:1" x14ac:dyDescent="0.25">
      <c r="A7796" s="5"/>
    </row>
    <row r="7797" spans="1:1" x14ac:dyDescent="0.25">
      <c r="A7797" s="5"/>
    </row>
    <row r="7798" spans="1:1" x14ac:dyDescent="0.25">
      <c r="A7798" s="5"/>
    </row>
    <row r="7799" spans="1:1" x14ac:dyDescent="0.25">
      <c r="A7799" s="5"/>
    </row>
    <row r="7800" spans="1:1" x14ac:dyDescent="0.25">
      <c r="A7800" s="5"/>
    </row>
    <row r="7801" spans="1:1" x14ac:dyDescent="0.25">
      <c r="A7801" s="5"/>
    </row>
    <row r="7802" spans="1:1" x14ac:dyDescent="0.25">
      <c r="A7802" s="5"/>
    </row>
    <row r="7803" spans="1:1" x14ac:dyDescent="0.25">
      <c r="A7803" s="5"/>
    </row>
    <row r="7804" spans="1:1" x14ac:dyDescent="0.25">
      <c r="A7804" s="5"/>
    </row>
    <row r="7805" spans="1:1" x14ac:dyDescent="0.25">
      <c r="A7805" s="5"/>
    </row>
    <row r="7806" spans="1:1" x14ac:dyDescent="0.25">
      <c r="A7806" s="5"/>
    </row>
    <row r="7807" spans="1:1" x14ac:dyDescent="0.25">
      <c r="A7807" s="5"/>
    </row>
    <row r="7808" spans="1:1" x14ac:dyDescent="0.25">
      <c r="A7808" s="5"/>
    </row>
    <row r="7809" spans="1:1" x14ac:dyDescent="0.25">
      <c r="A7809" s="5"/>
    </row>
    <row r="7810" spans="1:1" x14ac:dyDescent="0.25">
      <c r="A7810" s="5"/>
    </row>
    <row r="7811" spans="1:1" x14ac:dyDescent="0.25">
      <c r="A7811" s="5"/>
    </row>
    <row r="7812" spans="1:1" x14ac:dyDescent="0.25">
      <c r="A7812" s="5"/>
    </row>
    <row r="7813" spans="1:1" x14ac:dyDescent="0.25">
      <c r="A7813" s="5"/>
    </row>
    <row r="7814" spans="1:1" x14ac:dyDescent="0.25">
      <c r="A7814" s="5"/>
    </row>
    <row r="7815" spans="1:1" x14ac:dyDescent="0.25">
      <c r="A7815" s="5"/>
    </row>
    <row r="7816" spans="1:1" x14ac:dyDescent="0.25">
      <c r="A7816" s="5"/>
    </row>
    <row r="7817" spans="1:1" x14ac:dyDescent="0.25">
      <c r="A7817" s="5"/>
    </row>
    <row r="7818" spans="1:1" x14ac:dyDescent="0.25">
      <c r="A7818" s="5"/>
    </row>
    <row r="7819" spans="1:1" x14ac:dyDescent="0.25">
      <c r="A7819" s="5"/>
    </row>
    <row r="7820" spans="1:1" x14ac:dyDescent="0.25">
      <c r="A7820" s="5"/>
    </row>
    <row r="7821" spans="1:1" x14ac:dyDescent="0.25">
      <c r="A7821" s="5"/>
    </row>
    <row r="7822" spans="1:1" x14ac:dyDescent="0.25">
      <c r="A7822" s="5"/>
    </row>
    <row r="7823" spans="1:1" x14ac:dyDescent="0.25">
      <c r="A7823" s="5"/>
    </row>
    <row r="7824" spans="1:1" x14ac:dyDescent="0.25">
      <c r="A7824" s="5"/>
    </row>
    <row r="7825" spans="1:1" x14ac:dyDescent="0.25">
      <c r="A7825" s="5"/>
    </row>
    <row r="7826" spans="1:1" x14ac:dyDescent="0.25">
      <c r="A7826" s="5"/>
    </row>
    <row r="7827" spans="1:1" x14ac:dyDescent="0.25">
      <c r="A7827" s="5"/>
    </row>
    <row r="7828" spans="1:1" x14ac:dyDescent="0.25">
      <c r="A7828" s="5"/>
    </row>
    <row r="7829" spans="1:1" x14ac:dyDescent="0.25">
      <c r="A7829" s="5"/>
    </row>
    <row r="7830" spans="1:1" x14ac:dyDescent="0.25">
      <c r="A7830" s="5"/>
    </row>
    <row r="7831" spans="1:1" x14ac:dyDescent="0.25">
      <c r="A7831" s="5"/>
    </row>
    <row r="7832" spans="1:1" x14ac:dyDescent="0.25">
      <c r="A7832" s="5"/>
    </row>
    <row r="7833" spans="1:1" x14ac:dyDescent="0.25">
      <c r="A7833" s="5"/>
    </row>
    <row r="7834" spans="1:1" x14ac:dyDescent="0.25">
      <c r="A7834" s="5"/>
    </row>
    <row r="7835" spans="1:1" x14ac:dyDescent="0.25">
      <c r="A7835" s="5"/>
    </row>
    <row r="7836" spans="1:1" x14ac:dyDescent="0.25">
      <c r="A7836" s="5"/>
    </row>
    <row r="7837" spans="1:1" x14ac:dyDescent="0.25">
      <c r="A7837" s="5"/>
    </row>
    <row r="7838" spans="1:1" x14ac:dyDescent="0.25">
      <c r="A7838" s="5"/>
    </row>
    <row r="7839" spans="1:1" x14ac:dyDescent="0.25">
      <c r="A7839" s="5"/>
    </row>
    <row r="7840" spans="1:1" x14ac:dyDescent="0.25">
      <c r="A7840" s="5"/>
    </row>
    <row r="7841" spans="1:1" x14ac:dyDescent="0.25">
      <c r="A7841" s="5"/>
    </row>
    <row r="7842" spans="1:1" x14ac:dyDescent="0.25">
      <c r="A7842" s="5"/>
    </row>
    <row r="7843" spans="1:1" x14ac:dyDescent="0.25">
      <c r="A7843" s="5"/>
    </row>
    <row r="7844" spans="1:1" x14ac:dyDescent="0.25">
      <c r="A7844" s="5"/>
    </row>
    <row r="7845" spans="1:1" x14ac:dyDescent="0.25">
      <c r="A7845" s="5"/>
    </row>
    <row r="7846" spans="1:1" x14ac:dyDescent="0.25">
      <c r="A7846" s="5"/>
    </row>
    <row r="7847" spans="1:1" x14ac:dyDescent="0.25">
      <c r="A7847" s="5"/>
    </row>
    <row r="7848" spans="1:1" x14ac:dyDescent="0.25">
      <c r="A7848" s="5"/>
    </row>
    <row r="7849" spans="1:1" x14ac:dyDescent="0.25">
      <c r="A7849" s="5"/>
    </row>
    <row r="7850" spans="1:1" x14ac:dyDescent="0.25">
      <c r="A7850" s="5"/>
    </row>
    <row r="7851" spans="1:1" x14ac:dyDescent="0.25">
      <c r="A7851" s="5"/>
    </row>
    <row r="7852" spans="1:1" x14ac:dyDescent="0.25">
      <c r="A7852" s="5"/>
    </row>
    <row r="7853" spans="1:1" x14ac:dyDescent="0.25">
      <c r="A7853" s="5"/>
    </row>
    <row r="7854" spans="1:1" x14ac:dyDescent="0.25">
      <c r="A7854" s="5"/>
    </row>
    <row r="7855" spans="1:1" x14ac:dyDescent="0.25">
      <c r="A7855" s="5"/>
    </row>
    <row r="7856" spans="1:1" x14ac:dyDescent="0.25">
      <c r="A7856" s="5"/>
    </row>
    <row r="7857" spans="1:1" x14ac:dyDescent="0.25">
      <c r="A7857" s="5"/>
    </row>
    <row r="7858" spans="1:1" x14ac:dyDescent="0.25">
      <c r="A7858" s="5"/>
    </row>
    <row r="7859" spans="1:1" x14ac:dyDescent="0.25">
      <c r="A7859" s="5"/>
    </row>
    <row r="7860" spans="1:1" x14ac:dyDescent="0.25">
      <c r="A7860" s="5"/>
    </row>
    <row r="7861" spans="1:1" x14ac:dyDescent="0.25">
      <c r="A7861" s="5"/>
    </row>
    <row r="7862" spans="1:1" x14ac:dyDescent="0.25">
      <c r="A7862" s="5"/>
    </row>
    <row r="7863" spans="1:1" x14ac:dyDescent="0.25">
      <c r="A7863" s="5"/>
    </row>
    <row r="7864" spans="1:1" x14ac:dyDescent="0.25">
      <c r="A7864" s="5"/>
    </row>
    <row r="7865" spans="1:1" x14ac:dyDescent="0.25">
      <c r="A7865" s="5"/>
    </row>
    <row r="7866" spans="1:1" x14ac:dyDescent="0.25">
      <c r="A7866" s="5"/>
    </row>
    <row r="7867" spans="1:1" x14ac:dyDescent="0.25">
      <c r="A7867" s="5"/>
    </row>
    <row r="7868" spans="1:1" x14ac:dyDescent="0.25">
      <c r="A7868" s="5"/>
    </row>
    <row r="7869" spans="1:1" x14ac:dyDescent="0.25">
      <c r="A7869" s="5"/>
    </row>
    <row r="7870" spans="1:1" x14ac:dyDescent="0.25">
      <c r="A7870" s="5"/>
    </row>
    <row r="7871" spans="1:1" x14ac:dyDescent="0.25">
      <c r="A7871" s="5"/>
    </row>
    <row r="7872" spans="1:1" x14ac:dyDescent="0.25">
      <c r="A7872" s="5"/>
    </row>
    <row r="7873" spans="1:1" x14ac:dyDescent="0.25">
      <c r="A7873" s="5"/>
    </row>
    <row r="7874" spans="1:1" x14ac:dyDescent="0.25">
      <c r="A7874" s="5"/>
    </row>
    <row r="7875" spans="1:1" x14ac:dyDescent="0.25">
      <c r="A7875" s="5"/>
    </row>
    <row r="7876" spans="1:1" x14ac:dyDescent="0.25">
      <c r="A7876" s="5"/>
    </row>
    <row r="7877" spans="1:1" x14ac:dyDescent="0.25">
      <c r="A7877" s="5"/>
    </row>
    <row r="7878" spans="1:1" x14ac:dyDescent="0.25">
      <c r="A7878" s="5"/>
    </row>
    <row r="7879" spans="1:1" x14ac:dyDescent="0.25">
      <c r="A7879" s="5"/>
    </row>
    <row r="7880" spans="1:1" x14ac:dyDescent="0.25">
      <c r="A7880" s="5"/>
    </row>
    <row r="7881" spans="1:1" x14ac:dyDescent="0.25">
      <c r="A7881" s="5"/>
    </row>
    <row r="7882" spans="1:1" x14ac:dyDescent="0.25">
      <c r="A7882" s="5"/>
    </row>
    <row r="7883" spans="1:1" x14ac:dyDescent="0.25">
      <c r="A7883" s="5"/>
    </row>
    <row r="7884" spans="1:1" x14ac:dyDescent="0.25">
      <c r="A7884" s="5"/>
    </row>
    <row r="7885" spans="1:1" x14ac:dyDescent="0.25">
      <c r="A7885" s="5"/>
    </row>
    <row r="7886" spans="1:1" x14ac:dyDescent="0.25">
      <c r="A7886" s="5"/>
    </row>
    <row r="7887" spans="1:1" x14ac:dyDescent="0.25">
      <c r="A7887" s="5"/>
    </row>
    <row r="7888" spans="1:1" x14ac:dyDescent="0.25">
      <c r="A7888" s="5"/>
    </row>
    <row r="7889" spans="1:1" x14ac:dyDescent="0.25">
      <c r="A7889" s="5"/>
    </row>
    <row r="7890" spans="1:1" x14ac:dyDescent="0.25">
      <c r="A7890" s="5"/>
    </row>
    <row r="7891" spans="1:1" x14ac:dyDescent="0.25">
      <c r="A7891" s="5"/>
    </row>
    <row r="7892" spans="1:1" x14ac:dyDescent="0.25">
      <c r="A7892" s="5"/>
    </row>
    <row r="7893" spans="1:1" x14ac:dyDescent="0.25">
      <c r="A7893" s="5"/>
    </row>
    <row r="7894" spans="1:1" x14ac:dyDescent="0.25">
      <c r="A7894" s="5"/>
    </row>
    <row r="7895" spans="1:1" x14ac:dyDescent="0.25">
      <c r="A7895" s="5"/>
    </row>
    <row r="7896" spans="1:1" x14ac:dyDescent="0.25">
      <c r="A7896" s="5"/>
    </row>
    <row r="7897" spans="1:1" x14ac:dyDescent="0.25">
      <c r="A7897" s="5"/>
    </row>
    <row r="7898" spans="1:1" x14ac:dyDescent="0.25">
      <c r="A7898" s="5"/>
    </row>
    <row r="7899" spans="1:1" x14ac:dyDescent="0.25">
      <c r="A7899" s="5"/>
    </row>
    <row r="7900" spans="1:1" x14ac:dyDescent="0.25">
      <c r="A7900" s="5"/>
    </row>
    <row r="7901" spans="1:1" x14ac:dyDescent="0.25">
      <c r="A7901" s="5"/>
    </row>
    <row r="7902" spans="1:1" x14ac:dyDescent="0.25">
      <c r="A7902" s="5"/>
    </row>
    <row r="7903" spans="1:1" x14ac:dyDescent="0.25">
      <c r="A7903" s="5"/>
    </row>
    <row r="7904" spans="1:1" x14ac:dyDescent="0.25">
      <c r="A7904" s="5"/>
    </row>
    <row r="7905" spans="1:1" x14ac:dyDescent="0.25">
      <c r="A7905" s="5"/>
    </row>
    <row r="7906" spans="1:1" x14ac:dyDescent="0.25">
      <c r="A7906" s="5"/>
    </row>
    <row r="7907" spans="1:1" x14ac:dyDescent="0.25">
      <c r="A7907" s="5"/>
    </row>
    <row r="7908" spans="1:1" x14ac:dyDescent="0.25">
      <c r="A7908" s="5"/>
    </row>
    <row r="7909" spans="1:1" x14ac:dyDescent="0.25">
      <c r="A7909" s="5"/>
    </row>
    <row r="7910" spans="1:1" x14ac:dyDescent="0.25">
      <c r="A7910" s="5"/>
    </row>
    <row r="7911" spans="1:1" x14ac:dyDescent="0.25">
      <c r="A7911" s="5"/>
    </row>
    <row r="7912" spans="1:1" x14ac:dyDescent="0.25">
      <c r="A7912" s="5"/>
    </row>
    <row r="7913" spans="1:1" x14ac:dyDescent="0.25">
      <c r="A7913" s="5"/>
    </row>
    <row r="7914" spans="1:1" x14ac:dyDescent="0.25">
      <c r="A7914" s="5"/>
    </row>
    <row r="7915" spans="1:1" x14ac:dyDescent="0.25">
      <c r="A7915" s="5"/>
    </row>
    <row r="7916" spans="1:1" x14ac:dyDescent="0.25">
      <c r="A7916" s="5"/>
    </row>
    <row r="7917" spans="1:1" x14ac:dyDescent="0.25">
      <c r="A7917" s="5"/>
    </row>
    <row r="7918" spans="1:1" x14ac:dyDescent="0.25">
      <c r="A7918" s="5"/>
    </row>
    <row r="7919" spans="1:1" x14ac:dyDescent="0.25">
      <c r="A7919" s="5"/>
    </row>
    <row r="7920" spans="1:1" x14ac:dyDescent="0.25">
      <c r="A7920" s="5"/>
    </row>
    <row r="7921" spans="1:1" x14ac:dyDescent="0.25">
      <c r="A7921" s="5"/>
    </row>
    <row r="7922" spans="1:1" x14ac:dyDescent="0.25">
      <c r="A7922" s="5"/>
    </row>
    <row r="7923" spans="1:1" x14ac:dyDescent="0.25">
      <c r="A7923" s="5"/>
    </row>
    <row r="7924" spans="1:1" x14ac:dyDescent="0.25">
      <c r="A7924" s="5"/>
    </row>
    <row r="7925" spans="1:1" x14ac:dyDescent="0.25">
      <c r="A7925" s="5"/>
    </row>
    <row r="7926" spans="1:1" x14ac:dyDescent="0.25">
      <c r="A7926" s="5"/>
    </row>
    <row r="7927" spans="1:1" x14ac:dyDescent="0.25">
      <c r="A7927" s="5"/>
    </row>
    <row r="7928" spans="1:1" x14ac:dyDescent="0.25">
      <c r="A7928" s="5"/>
    </row>
    <row r="7929" spans="1:1" x14ac:dyDescent="0.25">
      <c r="A7929" s="5"/>
    </row>
    <row r="7930" spans="1:1" x14ac:dyDescent="0.25">
      <c r="A7930" s="5"/>
    </row>
    <row r="7931" spans="1:1" x14ac:dyDescent="0.25">
      <c r="A7931" s="5"/>
    </row>
    <row r="7932" spans="1:1" x14ac:dyDescent="0.25">
      <c r="A7932" s="5"/>
    </row>
    <row r="7933" spans="1:1" x14ac:dyDescent="0.25">
      <c r="A7933" s="5"/>
    </row>
    <row r="7934" spans="1:1" x14ac:dyDescent="0.25">
      <c r="A7934" s="5"/>
    </row>
    <row r="7935" spans="1:1" x14ac:dyDescent="0.25">
      <c r="A7935" s="5"/>
    </row>
    <row r="7936" spans="1:1" x14ac:dyDescent="0.25">
      <c r="A7936" s="5"/>
    </row>
    <row r="7937" spans="1:1" x14ac:dyDescent="0.25">
      <c r="A7937" s="5"/>
    </row>
    <row r="7938" spans="1:1" x14ac:dyDescent="0.25">
      <c r="A7938" s="5"/>
    </row>
    <row r="7939" spans="1:1" x14ac:dyDescent="0.25">
      <c r="A7939" s="5"/>
    </row>
    <row r="7940" spans="1:1" x14ac:dyDescent="0.25">
      <c r="A7940" s="5"/>
    </row>
    <row r="7941" spans="1:1" x14ac:dyDescent="0.25">
      <c r="A7941" s="5"/>
    </row>
    <row r="7942" spans="1:1" x14ac:dyDescent="0.25">
      <c r="A7942" s="5"/>
    </row>
    <row r="7943" spans="1:1" x14ac:dyDescent="0.25">
      <c r="A7943" s="5"/>
    </row>
    <row r="7944" spans="1:1" x14ac:dyDescent="0.25">
      <c r="A7944" s="5"/>
    </row>
    <row r="7945" spans="1:1" x14ac:dyDescent="0.25">
      <c r="A7945" s="5"/>
    </row>
    <row r="7946" spans="1:1" x14ac:dyDescent="0.25">
      <c r="A7946" s="5"/>
    </row>
    <row r="7947" spans="1:1" x14ac:dyDescent="0.25">
      <c r="A7947" s="5"/>
    </row>
    <row r="7948" spans="1:1" x14ac:dyDescent="0.25">
      <c r="A7948" s="5"/>
    </row>
    <row r="7949" spans="1:1" x14ac:dyDescent="0.25">
      <c r="A7949" s="5"/>
    </row>
    <row r="7950" spans="1:1" x14ac:dyDescent="0.25">
      <c r="A7950" s="5"/>
    </row>
    <row r="7951" spans="1:1" x14ac:dyDescent="0.25">
      <c r="A7951" s="5"/>
    </row>
    <row r="7952" spans="1:1" x14ac:dyDescent="0.25">
      <c r="A7952" s="5"/>
    </row>
    <row r="7953" spans="1:1" x14ac:dyDescent="0.25">
      <c r="A7953" s="5"/>
    </row>
    <row r="7954" spans="1:1" x14ac:dyDescent="0.25">
      <c r="A7954" s="5"/>
    </row>
    <row r="7955" spans="1:1" x14ac:dyDescent="0.25">
      <c r="A7955" s="5"/>
    </row>
    <row r="7956" spans="1:1" x14ac:dyDescent="0.25">
      <c r="A7956" s="5"/>
    </row>
    <row r="7957" spans="1:1" x14ac:dyDescent="0.25">
      <c r="A7957" s="5"/>
    </row>
    <row r="7958" spans="1:1" x14ac:dyDescent="0.25">
      <c r="A7958" s="5"/>
    </row>
    <row r="7959" spans="1:1" x14ac:dyDescent="0.25">
      <c r="A7959" s="5"/>
    </row>
    <row r="7960" spans="1:1" x14ac:dyDescent="0.25">
      <c r="A7960" s="5"/>
    </row>
    <row r="7961" spans="1:1" x14ac:dyDescent="0.25">
      <c r="A7961" s="5"/>
    </row>
    <row r="7962" spans="1:1" x14ac:dyDescent="0.25">
      <c r="A7962" s="5"/>
    </row>
    <row r="7963" spans="1:1" x14ac:dyDescent="0.25">
      <c r="A7963" s="5"/>
    </row>
    <row r="7964" spans="1:1" x14ac:dyDescent="0.25">
      <c r="A7964" s="5"/>
    </row>
    <row r="7965" spans="1:1" x14ac:dyDescent="0.25">
      <c r="A7965" s="5"/>
    </row>
    <row r="7966" spans="1:1" x14ac:dyDescent="0.25">
      <c r="A7966" s="5"/>
    </row>
    <row r="7967" spans="1:1" x14ac:dyDescent="0.25">
      <c r="A7967" s="5"/>
    </row>
    <row r="7968" spans="1:1" x14ac:dyDescent="0.25">
      <c r="A7968" s="5"/>
    </row>
    <row r="7969" spans="1:1" x14ac:dyDescent="0.25">
      <c r="A7969" s="5"/>
    </row>
    <row r="7970" spans="1:1" x14ac:dyDescent="0.25">
      <c r="A7970" s="5"/>
    </row>
    <row r="7971" spans="1:1" x14ac:dyDescent="0.25">
      <c r="A7971" s="5"/>
    </row>
    <row r="7972" spans="1:1" x14ac:dyDescent="0.25">
      <c r="A7972" s="5"/>
    </row>
    <row r="7973" spans="1:1" x14ac:dyDescent="0.25">
      <c r="A7973" s="5"/>
    </row>
    <row r="7974" spans="1:1" x14ac:dyDescent="0.25">
      <c r="A7974" s="5"/>
    </row>
    <row r="7975" spans="1:1" x14ac:dyDescent="0.25">
      <c r="A7975" s="5"/>
    </row>
    <row r="7976" spans="1:1" x14ac:dyDescent="0.25">
      <c r="A7976" s="5"/>
    </row>
    <row r="7977" spans="1:1" x14ac:dyDescent="0.25">
      <c r="A7977" s="5"/>
    </row>
    <row r="7978" spans="1:1" x14ac:dyDescent="0.25">
      <c r="A7978" s="5"/>
    </row>
    <row r="7979" spans="1:1" x14ac:dyDescent="0.25">
      <c r="A7979" s="5"/>
    </row>
    <row r="7980" spans="1:1" x14ac:dyDescent="0.25">
      <c r="A7980" s="5"/>
    </row>
    <row r="7981" spans="1:1" x14ac:dyDescent="0.25">
      <c r="A7981" s="5"/>
    </row>
    <row r="7982" spans="1:1" x14ac:dyDescent="0.25">
      <c r="A7982" s="5"/>
    </row>
    <row r="7983" spans="1:1" x14ac:dyDescent="0.25">
      <c r="A7983" s="5"/>
    </row>
    <row r="7984" spans="1:1" x14ac:dyDescent="0.25">
      <c r="A7984" s="5"/>
    </row>
    <row r="7985" spans="1:1" x14ac:dyDescent="0.25">
      <c r="A7985" s="5"/>
    </row>
    <row r="7986" spans="1:1" x14ac:dyDescent="0.25">
      <c r="A7986" s="5"/>
    </row>
    <row r="7987" spans="1:1" x14ac:dyDescent="0.25">
      <c r="A7987" s="5"/>
    </row>
    <row r="7988" spans="1:1" x14ac:dyDescent="0.25">
      <c r="A7988" s="5"/>
    </row>
    <row r="7989" spans="1:1" x14ac:dyDescent="0.25">
      <c r="A7989" s="5"/>
    </row>
    <row r="7990" spans="1:1" x14ac:dyDescent="0.25">
      <c r="A7990" s="5"/>
    </row>
    <row r="7991" spans="1:1" x14ac:dyDescent="0.25">
      <c r="A7991" s="5"/>
    </row>
    <row r="7992" spans="1:1" x14ac:dyDescent="0.25">
      <c r="A7992" s="5"/>
    </row>
    <row r="7993" spans="1:1" x14ac:dyDescent="0.25">
      <c r="A7993" s="5"/>
    </row>
    <row r="7994" spans="1:1" x14ac:dyDescent="0.25">
      <c r="A7994" s="5"/>
    </row>
    <row r="7995" spans="1:1" x14ac:dyDescent="0.25">
      <c r="A7995" s="5"/>
    </row>
    <row r="7996" spans="1:1" x14ac:dyDescent="0.25">
      <c r="A7996" s="5"/>
    </row>
    <row r="7997" spans="1:1" x14ac:dyDescent="0.25">
      <c r="A7997" s="5"/>
    </row>
    <row r="7998" spans="1:1" x14ac:dyDescent="0.25">
      <c r="A7998" s="5"/>
    </row>
    <row r="7999" spans="1:1" x14ac:dyDescent="0.25">
      <c r="A7999" s="5"/>
    </row>
    <row r="8000" spans="1:1" x14ac:dyDescent="0.25">
      <c r="A8000" s="5"/>
    </row>
    <row r="8001" spans="1:1" x14ac:dyDescent="0.25">
      <c r="A8001" s="5"/>
    </row>
    <row r="8002" spans="1:1" x14ac:dyDescent="0.25">
      <c r="A8002" s="5"/>
    </row>
    <row r="8003" spans="1:1" x14ac:dyDescent="0.25">
      <c r="A8003" s="5"/>
    </row>
    <row r="8004" spans="1:1" x14ac:dyDescent="0.25">
      <c r="A8004" s="5"/>
    </row>
    <row r="8005" spans="1:1" x14ac:dyDescent="0.25">
      <c r="A8005" s="5"/>
    </row>
    <row r="8006" spans="1:1" x14ac:dyDescent="0.25">
      <c r="A8006" s="5"/>
    </row>
    <row r="8007" spans="1:1" x14ac:dyDescent="0.25">
      <c r="A8007" s="5"/>
    </row>
    <row r="8008" spans="1:1" x14ac:dyDescent="0.25">
      <c r="A8008" s="5"/>
    </row>
    <row r="8009" spans="1:1" x14ac:dyDescent="0.25">
      <c r="A8009" s="5"/>
    </row>
    <row r="8010" spans="1:1" x14ac:dyDescent="0.25">
      <c r="A8010" s="5"/>
    </row>
    <row r="8011" spans="1:1" x14ac:dyDescent="0.25">
      <c r="A8011" s="5"/>
    </row>
    <row r="8012" spans="1:1" x14ac:dyDescent="0.25">
      <c r="A8012" s="5"/>
    </row>
    <row r="8013" spans="1:1" x14ac:dyDescent="0.25">
      <c r="A8013" s="5"/>
    </row>
    <row r="8014" spans="1:1" x14ac:dyDescent="0.25">
      <c r="A8014" s="5"/>
    </row>
    <row r="8015" spans="1:1" x14ac:dyDescent="0.25">
      <c r="A8015" s="5"/>
    </row>
    <row r="8016" spans="1:1" x14ac:dyDescent="0.25">
      <c r="A8016" s="5"/>
    </row>
    <row r="8017" spans="1:1" x14ac:dyDescent="0.25">
      <c r="A8017" s="5"/>
    </row>
    <row r="8018" spans="1:1" x14ac:dyDescent="0.25">
      <c r="A8018" s="5"/>
    </row>
    <row r="8019" spans="1:1" x14ac:dyDescent="0.25">
      <c r="A8019" s="5"/>
    </row>
    <row r="8020" spans="1:1" x14ac:dyDescent="0.25">
      <c r="A8020" s="5"/>
    </row>
    <row r="8021" spans="1:1" x14ac:dyDescent="0.25">
      <c r="A8021" s="5"/>
    </row>
    <row r="8022" spans="1:1" x14ac:dyDescent="0.25">
      <c r="A8022" s="5"/>
    </row>
    <row r="8023" spans="1:1" x14ac:dyDescent="0.25">
      <c r="A8023" s="5"/>
    </row>
    <row r="8024" spans="1:1" x14ac:dyDescent="0.25">
      <c r="A8024" s="5"/>
    </row>
    <row r="8025" spans="1:1" x14ac:dyDescent="0.25">
      <c r="A8025" s="5"/>
    </row>
    <row r="8026" spans="1:1" x14ac:dyDescent="0.25">
      <c r="A8026" s="5"/>
    </row>
    <row r="8027" spans="1:1" x14ac:dyDescent="0.25">
      <c r="A8027" s="5"/>
    </row>
    <row r="8028" spans="1:1" x14ac:dyDescent="0.25">
      <c r="A8028" s="5"/>
    </row>
    <row r="8029" spans="1:1" x14ac:dyDescent="0.25">
      <c r="A8029" s="5"/>
    </row>
    <row r="8030" spans="1:1" x14ac:dyDescent="0.25">
      <c r="A8030" s="5"/>
    </row>
    <row r="8031" spans="1:1" x14ac:dyDescent="0.25">
      <c r="A8031" s="5"/>
    </row>
    <row r="8032" spans="1:1" x14ac:dyDescent="0.25">
      <c r="A8032" s="5"/>
    </row>
    <row r="8033" spans="1:1" x14ac:dyDescent="0.25">
      <c r="A8033" s="5"/>
    </row>
    <row r="8034" spans="1:1" x14ac:dyDescent="0.25">
      <c r="A8034" s="5"/>
    </row>
    <row r="8035" spans="1:1" x14ac:dyDescent="0.25">
      <c r="A8035" s="5"/>
    </row>
    <row r="8036" spans="1:1" x14ac:dyDescent="0.25">
      <c r="A8036" s="5"/>
    </row>
    <row r="8037" spans="1:1" x14ac:dyDescent="0.25">
      <c r="A8037" s="5"/>
    </row>
    <row r="8038" spans="1:1" x14ac:dyDescent="0.25">
      <c r="A8038" s="5"/>
    </row>
    <row r="8039" spans="1:1" x14ac:dyDescent="0.25">
      <c r="A8039" s="5"/>
    </row>
    <row r="8040" spans="1:1" x14ac:dyDescent="0.25">
      <c r="A8040" s="5"/>
    </row>
    <row r="8041" spans="1:1" x14ac:dyDescent="0.25">
      <c r="A8041" s="5"/>
    </row>
    <row r="8042" spans="1:1" x14ac:dyDescent="0.25">
      <c r="A8042" s="5"/>
    </row>
    <row r="8043" spans="1:1" x14ac:dyDescent="0.25">
      <c r="A8043" s="5"/>
    </row>
    <row r="8044" spans="1:1" x14ac:dyDescent="0.25">
      <c r="A8044" s="5"/>
    </row>
    <row r="8045" spans="1:1" x14ac:dyDescent="0.25">
      <c r="A8045" s="5"/>
    </row>
    <row r="8046" spans="1:1" x14ac:dyDescent="0.25">
      <c r="A8046" s="5"/>
    </row>
    <row r="8047" spans="1:1" x14ac:dyDescent="0.25">
      <c r="A8047" s="5"/>
    </row>
    <row r="8048" spans="1:1" x14ac:dyDescent="0.25">
      <c r="A8048" s="5"/>
    </row>
    <row r="8049" spans="1:1" x14ac:dyDescent="0.25">
      <c r="A8049" s="5"/>
    </row>
    <row r="8050" spans="1:1" x14ac:dyDescent="0.25">
      <c r="A8050" s="5"/>
    </row>
    <row r="8051" spans="1:1" x14ac:dyDescent="0.25">
      <c r="A8051" s="5"/>
    </row>
    <row r="8052" spans="1:1" x14ac:dyDescent="0.25">
      <c r="A8052" s="5"/>
    </row>
    <row r="8053" spans="1:1" x14ac:dyDescent="0.25">
      <c r="A8053" s="5"/>
    </row>
    <row r="8054" spans="1:1" x14ac:dyDescent="0.25">
      <c r="A8054" s="5"/>
    </row>
    <row r="8055" spans="1:1" x14ac:dyDescent="0.25">
      <c r="A8055" s="5"/>
    </row>
    <row r="8056" spans="1:1" x14ac:dyDescent="0.25">
      <c r="A8056" s="5"/>
    </row>
    <row r="8057" spans="1:1" x14ac:dyDescent="0.25">
      <c r="A8057" s="5"/>
    </row>
    <row r="8058" spans="1:1" x14ac:dyDescent="0.25">
      <c r="A8058" s="5"/>
    </row>
    <row r="8059" spans="1:1" x14ac:dyDescent="0.25">
      <c r="A8059" s="5"/>
    </row>
    <row r="8060" spans="1:1" x14ac:dyDescent="0.25">
      <c r="A8060" s="5"/>
    </row>
    <row r="8061" spans="1:1" x14ac:dyDescent="0.25">
      <c r="A8061" s="5"/>
    </row>
    <row r="8062" spans="1:1" x14ac:dyDescent="0.25">
      <c r="A8062" s="5"/>
    </row>
    <row r="8063" spans="1:1" x14ac:dyDescent="0.25">
      <c r="A8063" s="5"/>
    </row>
    <row r="8064" spans="1:1" x14ac:dyDescent="0.25">
      <c r="A8064" s="5"/>
    </row>
    <row r="8065" spans="1:1" x14ac:dyDescent="0.25">
      <c r="A8065" s="5"/>
    </row>
    <row r="8066" spans="1:1" x14ac:dyDescent="0.25">
      <c r="A8066" s="5"/>
    </row>
    <row r="8067" spans="1:1" x14ac:dyDescent="0.25">
      <c r="A8067" s="5"/>
    </row>
    <row r="8068" spans="1:1" x14ac:dyDescent="0.25">
      <c r="A8068" s="5"/>
    </row>
    <row r="8069" spans="1:1" x14ac:dyDescent="0.25">
      <c r="A8069" s="5"/>
    </row>
    <row r="8070" spans="1:1" x14ac:dyDescent="0.25">
      <c r="A8070" s="5"/>
    </row>
    <row r="8071" spans="1:1" x14ac:dyDescent="0.25">
      <c r="A8071" s="5"/>
    </row>
    <row r="8072" spans="1:1" x14ac:dyDescent="0.25">
      <c r="A8072" s="5"/>
    </row>
    <row r="8073" spans="1:1" x14ac:dyDescent="0.25">
      <c r="A8073" s="5"/>
    </row>
    <row r="8074" spans="1:1" x14ac:dyDescent="0.25">
      <c r="A8074" s="5"/>
    </row>
    <row r="8075" spans="1:1" x14ac:dyDescent="0.25">
      <c r="A8075" s="5"/>
    </row>
    <row r="8076" spans="1:1" x14ac:dyDescent="0.25">
      <c r="A8076" s="5"/>
    </row>
    <row r="8077" spans="1:1" x14ac:dyDescent="0.25">
      <c r="A8077" s="5"/>
    </row>
    <row r="8078" spans="1:1" x14ac:dyDescent="0.25">
      <c r="A8078" s="5"/>
    </row>
    <row r="8079" spans="1:1" x14ac:dyDescent="0.25">
      <c r="A8079" s="5"/>
    </row>
    <row r="8080" spans="1:1" x14ac:dyDescent="0.25">
      <c r="A8080" s="5"/>
    </row>
    <row r="8081" spans="1:1" x14ac:dyDescent="0.25">
      <c r="A8081" s="5"/>
    </row>
    <row r="8082" spans="1:1" x14ac:dyDescent="0.25">
      <c r="A8082" s="5"/>
    </row>
    <row r="8083" spans="1:1" x14ac:dyDescent="0.25">
      <c r="A8083" s="5"/>
    </row>
    <row r="8084" spans="1:1" x14ac:dyDescent="0.25">
      <c r="A8084" s="5"/>
    </row>
    <row r="8085" spans="1:1" x14ac:dyDescent="0.25">
      <c r="A8085" s="5"/>
    </row>
    <row r="8086" spans="1:1" x14ac:dyDescent="0.25">
      <c r="A8086" s="5"/>
    </row>
    <row r="8087" spans="1:1" x14ac:dyDescent="0.25">
      <c r="A8087" s="5"/>
    </row>
    <row r="8088" spans="1:1" x14ac:dyDescent="0.25">
      <c r="A8088" s="5"/>
    </row>
    <row r="8089" spans="1:1" x14ac:dyDescent="0.25">
      <c r="A8089" s="5"/>
    </row>
    <row r="8090" spans="1:1" x14ac:dyDescent="0.25">
      <c r="A8090" s="5"/>
    </row>
    <row r="8091" spans="1:1" x14ac:dyDescent="0.25">
      <c r="A8091" s="5"/>
    </row>
    <row r="8092" spans="1:1" x14ac:dyDescent="0.25">
      <c r="A8092" s="5"/>
    </row>
    <row r="8093" spans="1:1" x14ac:dyDescent="0.25">
      <c r="A8093" s="5"/>
    </row>
    <row r="8094" spans="1:1" x14ac:dyDescent="0.25">
      <c r="A8094" s="5"/>
    </row>
    <row r="8095" spans="1:1" x14ac:dyDescent="0.25">
      <c r="A8095" s="5"/>
    </row>
    <row r="8096" spans="1:1" x14ac:dyDescent="0.25">
      <c r="A8096" s="5"/>
    </row>
    <row r="8097" spans="1:1" x14ac:dyDescent="0.25">
      <c r="A8097" s="5"/>
    </row>
    <row r="8098" spans="1:1" x14ac:dyDescent="0.25">
      <c r="A8098" s="5"/>
    </row>
    <row r="8099" spans="1:1" x14ac:dyDescent="0.25">
      <c r="A8099" s="5"/>
    </row>
    <row r="8100" spans="1:1" x14ac:dyDescent="0.25">
      <c r="A8100" s="5"/>
    </row>
    <row r="8101" spans="1:1" x14ac:dyDescent="0.25">
      <c r="A8101" s="5"/>
    </row>
    <row r="8102" spans="1:1" x14ac:dyDescent="0.25">
      <c r="A8102" s="5"/>
    </row>
    <row r="8103" spans="1:1" x14ac:dyDescent="0.25">
      <c r="A8103" s="5"/>
    </row>
    <row r="8104" spans="1:1" x14ac:dyDescent="0.25">
      <c r="A8104" s="5"/>
    </row>
    <row r="8105" spans="1:1" x14ac:dyDescent="0.25">
      <c r="A8105" s="5"/>
    </row>
    <row r="8106" spans="1:1" x14ac:dyDescent="0.25">
      <c r="A8106" s="5"/>
    </row>
    <row r="8107" spans="1:1" x14ac:dyDescent="0.25">
      <c r="A8107" s="5"/>
    </row>
    <row r="8108" spans="1:1" x14ac:dyDescent="0.25">
      <c r="A8108" s="5"/>
    </row>
    <row r="8109" spans="1:1" x14ac:dyDescent="0.25">
      <c r="A8109" s="5"/>
    </row>
    <row r="8110" spans="1:1" x14ac:dyDescent="0.25">
      <c r="A8110" s="5"/>
    </row>
    <row r="8111" spans="1:1" x14ac:dyDescent="0.25">
      <c r="A8111" s="5"/>
    </row>
    <row r="8112" spans="1:1" x14ac:dyDescent="0.25">
      <c r="A8112" s="5"/>
    </row>
    <row r="8113" spans="1:1" x14ac:dyDescent="0.25">
      <c r="A8113" s="5"/>
    </row>
    <row r="8114" spans="1:1" x14ac:dyDescent="0.25">
      <c r="A8114" s="5"/>
    </row>
    <row r="8115" spans="1:1" x14ac:dyDescent="0.25">
      <c r="A8115" s="5"/>
    </row>
    <row r="8116" spans="1:1" x14ac:dyDescent="0.25">
      <c r="A8116" s="5"/>
    </row>
    <row r="8117" spans="1:1" x14ac:dyDescent="0.25">
      <c r="A8117" s="5"/>
    </row>
    <row r="8118" spans="1:1" x14ac:dyDescent="0.25">
      <c r="A8118" s="5"/>
    </row>
    <row r="8119" spans="1:1" x14ac:dyDescent="0.25">
      <c r="A8119" s="5"/>
    </row>
    <row r="8120" spans="1:1" x14ac:dyDescent="0.25">
      <c r="A8120" s="5"/>
    </row>
    <row r="8121" spans="1:1" x14ac:dyDescent="0.25">
      <c r="A8121" s="5"/>
    </row>
    <row r="8122" spans="1:1" x14ac:dyDescent="0.25">
      <c r="A8122" s="5"/>
    </row>
    <row r="8123" spans="1:1" x14ac:dyDescent="0.25">
      <c r="A8123" s="5"/>
    </row>
    <row r="8124" spans="1:1" x14ac:dyDescent="0.25">
      <c r="A8124" s="5"/>
    </row>
    <row r="8125" spans="1:1" x14ac:dyDescent="0.25">
      <c r="A8125" s="5"/>
    </row>
    <row r="8126" spans="1:1" x14ac:dyDescent="0.25">
      <c r="A8126" s="5"/>
    </row>
    <row r="8127" spans="1:1" x14ac:dyDescent="0.25">
      <c r="A8127" s="5"/>
    </row>
    <row r="8128" spans="1:1" x14ac:dyDescent="0.25">
      <c r="A8128" s="5"/>
    </row>
    <row r="8129" spans="1:1" x14ac:dyDescent="0.25">
      <c r="A8129" s="5"/>
    </row>
    <row r="8130" spans="1:1" x14ac:dyDescent="0.25">
      <c r="A8130" s="5"/>
    </row>
    <row r="8131" spans="1:1" x14ac:dyDescent="0.25">
      <c r="A8131" s="5"/>
    </row>
    <row r="8132" spans="1:1" x14ac:dyDescent="0.25">
      <c r="A8132" s="5"/>
    </row>
    <row r="8133" spans="1:1" x14ac:dyDescent="0.25">
      <c r="A8133" s="5"/>
    </row>
    <row r="8134" spans="1:1" x14ac:dyDescent="0.25">
      <c r="A8134" s="5"/>
    </row>
    <row r="8135" spans="1:1" x14ac:dyDescent="0.25">
      <c r="A8135" s="5"/>
    </row>
    <row r="8136" spans="1:1" x14ac:dyDescent="0.25">
      <c r="A8136" s="5"/>
    </row>
    <row r="8137" spans="1:1" x14ac:dyDescent="0.25">
      <c r="A8137" s="5"/>
    </row>
    <row r="8138" spans="1:1" x14ac:dyDescent="0.25">
      <c r="A8138" s="5"/>
    </row>
    <row r="8139" spans="1:1" x14ac:dyDescent="0.25">
      <c r="A8139" s="5"/>
    </row>
    <row r="8140" spans="1:1" x14ac:dyDescent="0.25">
      <c r="A8140" s="5"/>
    </row>
    <row r="8141" spans="1:1" x14ac:dyDescent="0.25">
      <c r="A8141" s="5"/>
    </row>
    <row r="8142" spans="1:1" x14ac:dyDescent="0.25">
      <c r="A8142" s="5"/>
    </row>
    <row r="8143" spans="1:1" x14ac:dyDescent="0.25">
      <c r="A8143" s="5"/>
    </row>
    <row r="8144" spans="1:1" x14ac:dyDescent="0.25">
      <c r="A8144" s="5"/>
    </row>
    <row r="8145" spans="1:1" x14ac:dyDescent="0.25">
      <c r="A8145" s="5"/>
    </row>
    <row r="8146" spans="1:1" x14ac:dyDescent="0.25">
      <c r="A8146" s="5"/>
    </row>
    <row r="8147" spans="1:1" x14ac:dyDescent="0.25">
      <c r="A8147" s="5"/>
    </row>
    <row r="8148" spans="1:1" x14ac:dyDescent="0.25">
      <c r="A8148" s="5"/>
    </row>
    <row r="8149" spans="1:1" x14ac:dyDescent="0.25">
      <c r="A8149" s="5"/>
    </row>
    <row r="8150" spans="1:1" x14ac:dyDescent="0.25">
      <c r="A8150" s="5"/>
    </row>
    <row r="8151" spans="1:1" x14ac:dyDescent="0.25">
      <c r="A8151" s="5"/>
    </row>
    <row r="8152" spans="1:1" x14ac:dyDescent="0.25">
      <c r="A8152" s="5"/>
    </row>
    <row r="8153" spans="1:1" x14ac:dyDescent="0.25">
      <c r="A8153" s="5"/>
    </row>
    <row r="8154" spans="1:1" x14ac:dyDescent="0.25">
      <c r="A8154" s="5"/>
    </row>
    <row r="8155" spans="1:1" x14ac:dyDescent="0.25">
      <c r="A8155" s="5"/>
    </row>
    <row r="8156" spans="1:1" x14ac:dyDescent="0.25">
      <c r="A8156" s="5"/>
    </row>
    <row r="8157" spans="1:1" x14ac:dyDescent="0.25">
      <c r="A8157" s="5"/>
    </row>
    <row r="8158" spans="1:1" x14ac:dyDescent="0.25">
      <c r="A8158" s="5"/>
    </row>
    <row r="8159" spans="1:1" x14ac:dyDescent="0.25">
      <c r="A8159" s="5"/>
    </row>
    <row r="8160" spans="1:1" x14ac:dyDescent="0.25">
      <c r="A8160" s="5"/>
    </row>
    <row r="8161" spans="1:1" x14ac:dyDescent="0.25">
      <c r="A8161" s="5"/>
    </row>
    <row r="8162" spans="1:1" x14ac:dyDescent="0.25">
      <c r="A8162" s="5"/>
    </row>
    <row r="8163" spans="1:1" x14ac:dyDescent="0.25">
      <c r="A8163" s="5"/>
    </row>
    <row r="8164" spans="1:1" x14ac:dyDescent="0.25">
      <c r="A8164" s="5"/>
    </row>
    <row r="8165" spans="1:1" x14ac:dyDescent="0.25">
      <c r="A8165" s="5"/>
    </row>
    <row r="8166" spans="1:1" x14ac:dyDescent="0.25">
      <c r="A8166" s="5"/>
    </row>
    <row r="8167" spans="1:1" x14ac:dyDescent="0.25">
      <c r="A8167" s="5"/>
    </row>
    <row r="8168" spans="1:1" x14ac:dyDescent="0.25">
      <c r="A8168" s="5"/>
    </row>
    <row r="8169" spans="1:1" x14ac:dyDescent="0.25">
      <c r="A8169" s="5"/>
    </row>
    <row r="8170" spans="1:1" x14ac:dyDescent="0.25">
      <c r="A8170" s="5"/>
    </row>
    <row r="8171" spans="1:1" x14ac:dyDescent="0.25">
      <c r="A8171" s="5"/>
    </row>
    <row r="8172" spans="1:1" x14ac:dyDescent="0.25">
      <c r="A8172" s="5"/>
    </row>
    <row r="8173" spans="1:1" x14ac:dyDescent="0.25">
      <c r="A8173" s="5"/>
    </row>
    <row r="8174" spans="1:1" x14ac:dyDescent="0.25">
      <c r="A8174" s="5"/>
    </row>
    <row r="8175" spans="1:1" x14ac:dyDescent="0.25">
      <c r="A8175" s="5"/>
    </row>
    <row r="8176" spans="1:1" x14ac:dyDescent="0.25">
      <c r="A8176" s="5"/>
    </row>
    <row r="8177" spans="1:1" x14ac:dyDescent="0.25">
      <c r="A8177" s="5"/>
    </row>
    <row r="8178" spans="1:1" x14ac:dyDescent="0.25">
      <c r="A8178" s="5"/>
    </row>
    <row r="8179" spans="1:1" x14ac:dyDescent="0.25">
      <c r="A8179" s="5"/>
    </row>
    <row r="8180" spans="1:1" x14ac:dyDescent="0.25">
      <c r="A8180" s="5"/>
    </row>
    <row r="8181" spans="1:1" x14ac:dyDescent="0.25">
      <c r="A8181" s="5"/>
    </row>
    <row r="8182" spans="1:1" x14ac:dyDescent="0.25">
      <c r="A8182" s="5"/>
    </row>
    <row r="8183" spans="1:1" x14ac:dyDescent="0.25">
      <c r="A8183" s="5"/>
    </row>
    <row r="8184" spans="1:1" x14ac:dyDescent="0.25">
      <c r="A8184" s="5"/>
    </row>
    <row r="8185" spans="1:1" x14ac:dyDescent="0.25">
      <c r="A8185" s="5"/>
    </row>
    <row r="8186" spans="1:1" x14ac:dyDescent="0.25">
      <c r="A8186" s="5"/>
    </row>
    <row r="8187" spans="1:1" x14ac:dyDescent="0.25">
      <c r="A8187" s="5"/>
    </row>
    <row r="8188" spans="1:1" x14ac:dyDescent="0.25">
      <c r="A8188" s="5"/>
    </row>
    <row r="8189" spans="1:1" x14ac:dyDescent="0.25">
      <c r="A8189" s="5"/>
    </row>
    <row r="8190" spans="1:1" x14ac:dyDescent="0.25">
      <c r="A8190" s="5"/>
    </row>
    <row r="8191" spans="1:1" x14ac:dyDescent="0.25">
      <c r="A8191" s="5"/>
    </row>
    <row r="8192" spans="1:1" x14ac:dyDescent="0.25">
      <c r="A8192" s="5"/>
    </row>
    <row r="8193" spans="1:1" x14ac:dyDescent="0.25">
      <c r="A8193" s="5"/>
    </row>
    <row r="8194" spans="1:1" x14ac:dyDescent="0.25">
      <c r="A8194" s="5"/>
    </row>
    <row r="8195" spans="1:1" x14ac:dyDescent="0.25">
      <c r="A8195" s="5"/>
    </row>
    <row r="8196" spans="1:1" x14ac:dyDescent="0.25">
      <c r="A8196" s="5"/>
    </row>
    <row r="8197" spans="1:1" x14ac:dyDescent="0.25">
      <c r="A8197" s="5"/>
    </row>
    <row r="8198" spans="1:1" x14ac:dyDescent="0.25">
      <c r="A8198" s="5"/>
    </row>
    <row r="8199" spans="1:1" x14ac:dyDescent="0.25">
      <c r="A8199" s="5"/>
    </row>
    <row r="8200" spans="1:1" x14ac:dyDescent="0.25">
      <c r="A8200" s="5"/>
    </row>
    <row r="8201" spans="1:1" x14ac:dyDescent="0.25">
      <c r="A8201" s="5"/>
    </row>
    <row r="8202" spans="1:1" x14ac:dyDescent="0.25">
      <c r="A8202" s="5"/>
    </row>
    <row r="8203" spans="1:1" x14ac:dyDescent="0.25">
      <c r="A8203" s="5"/>
    </row>
    <row r="8204" spans="1:1" x14ac:dyDescent="0.25">
      <c r="A8204" s="5"/>
    </row>
    <row r="8205" spans="1:1" x14ac:dyDescent="0.25">
      <c r="A8205" s="5"/>
    </row>
    <row r="8206" spans="1:1" x14ac:dyDescent="0.25">
      <c r="A8206" s="5"/>
    </row>
    <row r="8207" spans="1:1" x14ac:dyDescent="0.25">
      <c r="A8207" s="5"/>
    </row>
    <row r="8208" spans="1:1" x14ac:dyDescent="0.25">
      <c r="A8208" s="5"/>
    </row>
    <row r="8209" spans="1:1" x14ac:dyDescent="0.25">
      <c r="A8209" s="5"/>
    </row>
    <row r="8210" spans="1:1" x14ac:dyDescent="0.25">
      <c r="A8210" s="5"/>
    </row>
    <row r="8211" spans="1:1" x14ac:dyDescent="0.25">
      <c r="A8211" s="5"/>
    </row>
    <row r="8212" spans="1:1" x14ac:dyDescent="0.25">
      <c r="A8212" s="5"/>
    </row>
    <row r="8213" spans="1:1" x14ac:dyDescent="0.25">
      <c r="A8213" s="5"/>
    </row>
    <row r="8214" spans="1:1" x14ac:dyDescent="0.25">
      <c r="A8214" s="5"/>
    </row>
    <row r="8215" spans="1:1" x14ac:dyDescent="0.25">
      <c r="A8215" s="5"/>
    </row>
    <row r="8216" spans="1:1" x14ac:dyDescent="0.25">
      <c r="A8216" s="5"/>
    </row>
    <row r="8217" spans="1:1" x14ac:dyDescent="0.25">
      <c r="A8217" s="5"/>
    </row>
    <row r="8218" spans="1:1" x14ac:dyDescent="0.25">
      <c r="A8218" s="5"/>
    </row>
    <row r="8219" spans="1:1" x14ac:dyDescent="0.25">
      <c r="A8219" s="5"/>
    </row>
    <row r="8220" spans="1:1" x14ac:dyDescent="0.25">
      <c r="A8220" s="5"/>
    </row>
    <row r="8221" spans="1:1" x14ac:dyDescent="0.25">
      <c r="A8221" s="5"/>
    </row>
    <row r="8222" spans="1:1" x14ac:dyDescent="0.25">
      <c r="A8222" s="5"/>
    </row>
    <row r="8223" spans="1:1" x14ac:dyDescent="0.25">
      <c r="A8223" s="5"/>
    </row>
    <row r="8224" spans="1:1" x14ac:dyDescent="0.25">
      <c r="A8224" s="5"/>
    </row>
    <row r="8225" spans="1:1" x14ac:dyDescent="0.25">
      <c r="A8225" s="5"/>
    </row>
    <row r="8226" spans="1:1" x14ac:dyDescent="0.25">
      <c r="A8226" s="5"/>
    </row>
    <row r="8227" spans="1:1" x14ac:dyDescent="0.25">
      <c r="A8227" s="5"/>
    </row>
    <row r="8228" spans="1:1" x14ac:dyDescent="0.25">
      <c r="A8228" s="5"/>
    </row>
    <row r="8229" spans="1:1" x14ac:dyDescent="0.25">
      <c r="A8229" s="5"/>
    </row>
    <row r="8230" spans="1:1" x14ac:dyDescent="0.25">
      <c r="A8230" s="5"/>
    </row>
    <row r="8231" spans="1:1" x14ac:dyDescent="0.25">
      <c r="A8231" s="5"/>
    </row>
    <row r="8232" spans="1:1" x14ac:dyDescent="0.25">
      <c r="A8232" s="5"/>
    </row>
    <row r="8233" spans="1:1" x14ac:dyDescent="0.25">
      <c r="A8233" s="5"/>
    </row>
    <row r="8234" spans="1:1" x14ac:dyDescent="0.25">
      <c r="A8234" s="5"/>
    </row>
    <row r="8235" spans="1:1" x14ac:dyDescent="0.25">
      <c r="A8235" s="5"/>
    </row>
    <row r="8236" spans="1:1" x14ac:dyDescent="0.25">
      <c r="A8236" s="5"/>
    </row>
    <row r="8237" spans="1:1" x14ac:dyDescent="0.25">
      <c r="A8237" s="5"/>
    </row>
    <row r="8238" spans="1:1" x14ac:dyDescent="0.25">
      <c r="A8238" s="5"/>
    </row>
    <row r="8239" spans="1:1" x14ac:dyDescent="0.25">
      <c r="A8239" s="5"/>
    </row>
    <row r="8240" spans="1:1" x14ac:dyDescent="0.25">
      <c r="A8240" s="5"/>
    </row>
    <row r="8241" spans="1:1" x14ac:dyDescent="0.25">
      <c r="A8241" s="5"/>
    </row>
    <row r="8242" spans="1:1" x14ac:dyDescent="0.25">
      <c r="A8242" s="5"/>
    </row>
    <row r="8243" spans="1:1" x14ac:dyDescent="0.25">
      <c r="A8243" s="5"/>
    </row>
    <row r="8244" spans="1:1" x14ac:dyDescent="0.25">
      <c r="A8244" s="5"/>
    </row>
    <row r="8245" spans="1:1" x14ac:dyDescent="0.25">
      <c r="A8245" s="5"/>
    </row>
    <row r="8246" spans="1:1" x14ac:dyDescent="0.25">
      <c r="A8246" s="5"/>
    </row>
    <row r="8247" spans="1:1" x14ac:dyDescent="0.25">
      <c r="A8247" s="5"/>
    </row>
    <row r="8248" spans="1:1" x14ac:dyDescent="0.25">
      <c r="A8248" s="5"/>
    </row>
    <row r="8249" spans="1:1" x14ac:dyDescent="0.25">
      <c r="A8249" s="5"/>
    </row>
    <row r="8250" spans="1:1" x14ac:dyDescent="0.25">
      <c r="A8250" s="5"/>
    </row>
    <row r="8251" spans="1:1" x14ac:dyDescent="0.25">
      <c r="A8251" s="5"/>
    </row>
    <row r="8252" spans="1:1" x14ac:dyDescent="0.25">
      <c r="A8252" s="5"/>
    </row>
    <row r="8253" spans="1:1" x14ac:dyDescent="0.25">
      <c r="A8253" s="5"/>
    </row>
    <row r="8254" spans="1:1" x14ac:dyDescent="0.25">
      <c r="A8254" s="5"/>
    </row>
    <row r="8255" spans="1:1" x14ac:dyDescent="0.25">
      <c r="A8255" s="5"/>
    </row>
    <row r="8256" spans="1:1" x14ac:dyDescent="0.25">
      <c r="A8256" s="5"/>
    </row>
    <row r="8257" spans="1:1" x14ac:dyDescent="0.25">
      <c r="A8257" s="5"/>
    </row>
    <row r="8258" spans="1:1" x14ac:dyDescent="0.25">
      <c r="A8258" s="5"/>
    </row>
    <row r="8259" spans="1:1" x14ac:dyDescent="0.25">
      <c r="A8259" s="5"/>
    </row>
    <row r="8260" spans="1:1" x14ac:dyDescent="0.25">
      <c r="A8260" s="5"/>
    </row>
    <row r="8261" spans="1:1" x14ac:dyDescent="0.25">
      <c r="A8261" s="5"/>
    </row>
    <row r="8262" spans="1:1" x14ac:dyDescent="0.25">
      <c r="A8262" s="5"/>
    </row>
    <row r="8263" spans="1:1" x14ac:dyDescent="0.25">
      <c r="A8263" s="5"/>
    </row>
    <row r="8264" spans="1:1" x14ac:dyDescent="0.25">
      <c r="A8264" s="5"/>
    </row>
    <row r="8265" spans="1:1" x14ac:dyDescent="0.25">
      <c r="A8265" s="5"/>
    </row>
    <row r="8266" spans="1:1" x14ac:dyDescent="0.25">
      <c r="A8266" s="5"/>
    </row>
    <row r="8267" spans="1:1" x14ac:dyDescent="0.25">
      <c r="A8267" s="5"/>
    </row>
    <row r="8268" spans="1:1" x14ac:dyDescent="0.25">
      <c r="A8268" s="5"/>
    </row>
    <row r="8269" spans="1:1" x14ac:dyDescent="0.25">
      <c r="A8269" s="5"/>
    </row>
    <row r="8270" spans="1:1" x14ac:dyDescent="0.25">
      <c r="A8270" s="5"/>
    </row>
    <row r="8271" spans="1:1" x14ac:dyDescent="0.25">
      <c r="A8271" s="5"/>
    </row>
    <row r="8272" spans="1:1" x14ac:dyDescent="0.25">
      <c r="A8272" s="5"/>
    </row>
    <row r="8273" spans="1:1" x14ac:dyDescent="0.25">
      <c r="A8273" s="5"/>
    </row>
    <row r="8274" spans="1:1" x14ac:dyDescent="0.25">
      <c r="A8274" s="5"/>
    </row>
    <row r="8275" spans="1:1" x14ac:dyDescent="0.25">
      <c r="A8275" s="5"/>
    </row>
    <row r="8276" spans="1:1" x14ac:dyDescent="0.25">
      <c r="A8276" s="5"/>
    </row>
    <row r="8277" spans="1:1" x14ac:dyDescent="0.25">
      <c r="A8277" s="5"/>
    </row>
    <row r="8278" spans="1:1" x14ac:dyDescent="0.25">
      <c r="A8278" s="5"/>
    </row>
    <row r="8279" spans="1:1" x14ac:dyDescent="0.25">
      <c r="A8279" s="5"/>
    </row>
    <row r="8280" spans="1:1" x14ac:dyDescent="0.25">
      <c r="A8280" s="5"/>
    </row>
    <row r="8281" spans="1:1" x14ac:dyDescent="0.25">
      <c r="A8281" s="5"/>
    </row>
    <row r="8282" spans="1:1" x14ac:dyDescent="0.25">
      <c r="A8282" s="5"/>
    </row>
    <row r="8283" spans="1:1" x14ac:dyDescent="0.25">
      <c r="A8283" s="5"/>
    </row>
    <row r="8284" spans="1:1" x14ac:dyDescent="0.25">
      <c r="A8284" s="5"/>
    </row>
    <row r="8285" spans="1:1" x14ac:dyDescent="0.25">
      <c r="A8285" s="5"/>
    </row>
    <row r="8286" spans="1:1" x14ac:dyDescent="0.25">
      <c r="A8286" s="5"/>
    </row>
    <row r="8287" spans="1:1" x14ac:dyDescent="0.25">
      <c r="A8287" s="5"/>
    </row>
    <row r="8288" spans="1:1" x14ac:dyDescent="0.25">
      <c r="A8288" s="5"/>
    </row>
    <row r="8289" spans="1:1" x14ac:dyDescent="0.25">
      <c r="A8289" s="5"/>
    </row>
    <row r="8290" spans="1:1" x14ac:dyDescent="0.25">
      <c r="A8290" s="5"/>
    </row>
    <row r="8291" spans="1:1" x14ac:dyDescent="0.25">
      <c r="A8291" s="5"/>
    </row>
    <row r="8292" spans="1:1" x14ac:dyDescent="0.25">
      <c r="A8292" s="5"/>
    </row>
    <row r="8293" spans="1:1" x14ac:dyDescent="0.25">
      <c r="A8293" s="5"/>
    </row>
    <row r="8294" spans="1:1" x14ac:dyDescent="0.25">
      <c r="A8294" s="5"/>
    </row>
    <row r="8295" spans="1:1" x14ac:dyDescent="0.25">
      <c r="A8295" s="5"/>
    </row>
    <row r="8296" spans="1:1" x14ac:dyDescent="0.25">
      <c r="A8296" s="5"/>
    </row>
    <row r="8297" spans="1:1" x14ac:dyDescent="0.25">
      <c r="A8297" s="5"/>
    </row>
    <row r="8298" spans="1:1" x14ac:dyDescent="0.25">
      <c r="A8298" s="5"/>
    </row>
    <row r="8299" spans="1:1" x14ac:dyDescent="0.25">
      <c r="A8299" s="5"/>
    </row>
    <row r="8300" spans="1:1" x14ac:dyDescent="0.25">
      <c r="A8300" s="5"/>
    </row>
    <row r="8301" spans="1:1" x14ac:dyDescent="0.25">
      <c r="A8301" s="5"/>
    </row>
    <row r="8302" spans="1:1" x14ac:dyDescent="0.25">
      <c r="A8302" s="5"/>
    </row>
    <row r="8303" spans="1:1" x14ac:dyDescent="0.25">
      <c r="A8303" s="5"/>
    </row>
    <row r="8304" spans="1:1" x14ac:dyDescent="0.25">
      <c r="A8304" s="5"/>
    </row>
    <row r="8305" spans="1:1" x14ac:dyDescent="0.25">
      <c r="A8305" s="5"/>
    </row>
    <row r="8306" spans="1:1" x14ac:dyDescent="0.25">
      <c r="A8306" s="5"/>
    </row>
    <row r="8307" spans="1:1" x14ac:dyDescent="0.25">
      <c r="A8307" s="5"/>
    </row>
    <row r="8308" spans="1:1" x14ac:dyDescent="0.25">
      <c r="A8308" s="5"/>
    </row>
    <row r="8309" spans="1:1" x14ac:dyDescent="0.25">
      <c r="A8309" s="5"/>
    </row>
    <row r="8310" spans="1:1" x14ac:dyDescent="0.25">
      <c r="A8310" s="5"/>
    </row>
    <row r="8311" spans="1:1" x14ac:dyDescent="0.25">
      <c r="A8311" s="5"/>
    </row>
    <row r="8312" spans="1:1" x14ac:dyDescent="0.25">
      <c r="A8312" s="5"/>
    </row>
    <row r="8313" spans="1:1" x14ac:dyDescent="0.25">
      <c r="A8313" s="5"/>
    </row>
    <row r="8314" spans="1:1" x14ac:dyDescent="0.25">
      <c r="A8314" s="5"/>
    </row>
    <row r="8315" spans="1:1" x14ac:dyDescent="0.25">
      <c r="A8315" s="5"/>
    </row>
    <row r="8316" spans="1:1" x14ac:dyDescent="0.25">
      <c r="A8316" s="5"/>
    </row>
    <row r="8317" spans="1:1" x14ac:dyDescent="0.25">
      <c r="A8317" s="5"/>
    </row>
    <row r="8318" spans="1:1" x14ac:dyDescent="0.25">
      <c r="A8318" s="5"/>
    </row>
    <row r="8319" spans="1:1" x14ac:dyDescent="0.25">
      <c r="A8319" s="5"/>
    </row>
    <row r="8320" spans="1:1" x14ac:dyDescent="0.25">
      <c r="A8320" s="5"/>
    </row>
    <row r="8321" spans="1:1" x14ac:dyDescent="0.25">
      <c r="A8321" s="5"/>
    </row>
    <row r="8322" spans="1:1" x14ac:dyDescent="0.25">
      <c r="A8322" s="5"/>
    </row>
    <row r="8323" spans="1:1" x14ac:dyDescent="0.25">
      <c r="A8323" s="5"/>
    </row>
    <row r="8324" spans="1:1" x14ac:dyDescent="0.25">
      <c r="A8324" s="5"/>
    </row>
    <row r="8325" spans="1:1" x14ac:dyDescent="0.25">
      <c r="A8325" s="5"/>
    </row>
    <row r="8326" spans="1:1" x14ac:dyDescent="0.25">
      <c r="A8326" s="5"/>
    </row>
    <row r="8327" spans="1:1" x14ac:dyDescent="0.25">
      <c r="A8327" s="5"/>
    </row>
    <row r="8328" spans="1:1" x14ac:dyDescent="0.25">
      <c r="A8328" s="5"/>
    </row>
    <row r="8329" spans="1:1" x14ac:dyDescent="0.25">
      <c r="A8329" s="5"/>
    </row>
    <row r="8330" spans="1:1" x14ac:dyDescent="0.25">
      <c r="A8330" s="5"/>
    </row>
    <row r="8331" spans="1:1" x14ac:dyDescent="0.25">
      <c r="A8331" s="5"/>
    </row>
    <row r="8332" spans="1:1" x14ac:dyDescent="0.25">
      <c r="A8332" s="5"/>
    </row>
    <row r="8333" spans="1:1" x14ac:dyDescent="0.25">
      <c r="A8333" s="5"/>
    </row>
    <row r="8334" spans="1:1" x14ac:dyDescent="0.25">
      <c r="A8334" s="5"/>
    </row>
    <row r="8335" spans="1:1" x14ac:dyDescent="0.25">
      <c r="A8335" s="5"/>
    </row>
    <row r="8336" spans="1:1" x14ac:dyDescent="0.25">
      <c r="A8336" s="5"/>
    </row>
    <row r="8337" spans="1:1" x14ac:dyDescent="0.25">
      <c r="A8337" s="5"/>
    </row>
    <row r="8338" spans="1:1" x14ac:dyDescent="0.25">
      <c r="A8338" s="5"/>
    </row>
    <row r="8339" spans="1:1" x14ac:dyDescent="0.25">
      <c r="A8339" s="5"/>
    </row>
    <row r="8340" spans="1:1" x14ac:dyDescent="0.25">
      <c r="A8340" s="5"/>
    </row>
    <row r="8341" spans="1:1" x14ac:dyDescent="0.25">
      <c r="A8341" s="5"/>
    </row>
    <row r="8342" spans="1:1" x14ac:dyDescent="0.25">
      <c r="A8342" s="5"/>
    </row>
    <row r="8343" spans="1:1" x14ac:dyDescent="0.25">
      <c r="A8343" s="5"/>
    </row>
    <row r="8344" spans="1:1" x14ac:dyDescent="0.25">
      <c r="A8344" s="5"/>
    </row>
    <row r="8345" spans="1:1" x14ac:dyDescent="0.25">
      <c r="A8345" s="5"/>
    </row>
    <row r="8346" spans="1:1" x14ac:dyDescent="0.25">
      <c r="A8346" s="5"/>
    </row>
    <row r="8347" spans="1:1" x14ac:dyDescent="0.25">
      <c r="A8347" s="5"/>
    </row>
    <row r="8348" spans="1:1" x14ac:dyDescent="0.25">
      <c r="A8348" s="5"/>
    </row>
    <row r="8349" spans="1:1" x14ac:dyDescent="0.25">
      <c r="A8349" s="5"/>
    </row>
    <row r="8350" spans="1:1" x14ac:dyDescent="0.25">
      <c r="A8350" s="5"/>
    </row>
    <row r="8351" spans="1:1" x14ac:dyDescent="0.25">
      <c r="A8351" s="5"/>
    </row>
    <row r="8352" spans="1:1" x14ac:dyDescent="0.25">
      <c r="A8352" s="5"/>
    </row>
    <row r="8353" spans="1:1" x14ac:dyDescent="0.25">
      <c r="A8353" s="5"/>
    </row>
    <row r="8354" spans="1:1" x14ac:dyDescent="0.25">
      <c r="A8354" s="5"/>
    </row>
    <row r="8355" spans="1:1" x14ac:dyDescent="0.25">
      <c r="A8355" s="5"/>
    </row>
    <row r="8356" spans="1:1" x14ac:dyDescent="0.25">
      <c r="A8356" s="5"/>
    </row>
    <row r="8357" spans="1:1" x14ac:dyDescent="0.25">
      <c r="A8357" s="5"/>
    </row>
    <row r="8358" spans="1:1" x14ac:dyDescent="0.25">
      <c r="A8358" s="5"/>
    </row>
    <row r="8359" spans="1:1" x14ac:dyDescent="0.25">
      <c r="A8359" s="5"/>
    </row>
    <row r="8360" spans="1:1" x14ac:dyDescent="0.25">
      <c r="A8360" s="5"/>
    </row>
    <row r="8361" spans="1:1" x14ac:dyDescent="0.25">
      <c r="A8361" s="5"/>
    </row>
    <row r="8362" spans="1:1" x14ac:dyDescent="0.25">
      <c r="A8362" s="5"/>
    </row>
    <row r="8363" spans="1:1" x14ac:dyDescent="0.25">
      <c r="A8363" s="5"/>
    </row>
    <row r="8364" spans="1:1" x14ac:dyDescent="0.25">
      <c r="A8364" s="5"/>
    </row>
    <row r="8365" spans="1:1" x14ac:dyDescent="0.25">
      <c r="A8365" s="5"/>
    </row>
    <row r="8366" spans="1:1" x14ac:dyDescent="0.25">
      <c r="A8366" s="5"/>
    </row>
    <row r="8367" spans="1:1" x14ac:dyDescent="0.25">
      <c r="A8367" s="5"/>
    </row>
    <row r="8368" spans="1:1" x14ac:dyDescent="0.25">
      <c r="A8368" s="5"/>
    </row>
    <row r="8369" spans="1:1" x14ac:dyDescent="0.25">
      <c r="A8369" s="5"/>
    </row>
    <row r="8370" spans="1:1" x14ac:dyDescent="0.25">
      <c r="A8370" s="5"/>
    </row>
    <row r="8371" spans="1:1" x14ac:dyDescent="0.25">
      <c r="A8371" s="5"/>
    </row>
    <row r="8372" spans="1:1" x14ac:dyDescent="0.25">
      <c r="A8372" s="5"/>
    </row>
    <row r="8373" spans="1:1" x14ac:dyDescent="0.25">
      <c r="A8373" s="5"/>
    </row>
    <row r="8374" spans="1:1" x14ac:dyDescent="0.25">
      <c r="A8374" s="5"/>
    </row>
    <row r="8375" spans="1:1" x14ac:dyDescent="0.25">
      <c r="A8375" s="5"/>
    </row>
    <row r="8376" spans="1:1" x14ac:dyDescent="0.25">
      <c r="A8376" s="5"/>
    </row>
    <row r="8377" spans="1:1" x14ac:dyDescent="0.25">
      <c r="A8377" s="5"/>
    </row>
    <row r="8378" spans="1:1" x14ac:dyDescent="0.25">
      <c r="A8378" s="5"/>
    </row>
    <row r="8379" spans="1:1" x14ac:dyDescent="0.25">
      <c r="A8379" s="5"/>
    </row>
    <row r="8380" spans="1:1" x14ac:dyDescent="0.25">
      <c r="A8380" s="5"/>
    </row>
    <row r="8381" spans="1:1" x14ac:dyDescent="0.25">
      <c r="A8381" s="5"/>
    </row>
    <row r="8382" spans="1:1" x14ac:dyDescent="0.25">
      <c r="A8382" s="5"/>
    </row>
    <row r="8383" spans="1:1" x14ac:dyDescent="0.25">
      <c r="A8383" s="5"/>
    </row>
    <row r="8384" spans="1:1" x14ac:dyDescent="0.25">
      <c r="A8384" s="5"/>
    </row>
    <row r="8385" spans="1:1" x14ac:dyDescent="0.25">
      <c r="A8385" s="5"/>
    </row>
    <row r="8386" spans="1:1" x14ac:dyDescent="0.25">
      <c r="A8386" s="5"/>
    </row>
    <row r="8387" spans="1:1" x14ac:dyDescent="0.25">
      <c r="A8387" s="5"/>
    </row>
    <row r="8388" spans="1:1" x14ac:dyDescent="0.25">
      <c r="A8388" s="5"/>
    </row>
    <row r="8389" spans="1:1" x14ac:dyDescent="0.25">
      <c r="A8389" s="5"/>
    </row>
    <row r="8390" spans="1:1" x14ac:dyDescent="0.25">
      <c r="A8390" s="5"/>
    </row>
    <row r="8391" spans="1:1" x14ac:dyDescent="0.25">
      <c r="A8391" s="5"/>
    </row>
    <row r="8392" spans="1:1" x14ac:dyDescent="0.25">
      <c r="A8392" s="5"/>
    </row>
    <row r="8393" spans="1:1" x14ac:dyDescent="0.25">
      <c r="A8393" s="5"/>
    </row>
    <row r="8394" spans="1:1" x14ac:dyDescent="0.25">
      <c r="A8394" s="5"/>
    </row>
    <row r="8395" spans="1:1" x14ac:dyDescent="0.25">
      <c r="A8395" s="5"/>
    </row>
    <row r="8396" spans="1:1" x14ac:dyDescent="0.25">
      <c r="A8396" s="5"/>
    </row>
    <row r="8397" spans="1:1" x14ac:dyDescent="0.25">
      <c r="A8397" s="5"/>
    </row>
    <row r="8398" spans="1:1" x14ac:dyDescent="0.25">
      <c r="A8398" s="5"/>
    </row>
    <row r="8399" spans="1:1" x14ac:dyDescent="0.25">
      <c r="A8399" s="5"/>
    </row>
    <row r="8400" spans="1:1" x14ac:dyDescent="0.25">
      <c r="A8400" s="5"/>
    </row>
    <row r="8401" spans="1:1" x14ac:dyDescent="0.25">
      <c r="A8401" s="5"/>
    </row>
    <row r="8402" spans="1:1" x14ac:dyDescent="0.25">
      <c r="A8402" s="5"/>
    </row>
    <row r="8403" spans="1:1" x14ac:dyDescent="0.25">
      <c r="A8403" s="5"/>
    </row>
    <row r="8404" spans="1:1" x14ac:dyDescent="0.25">
      <c r="A8404" s="5"/>
    </row>
    <row r="8405" spans="1:1" x14ac:dyDescent="0.25">
      <c r="A8405" s="5"/>
    </row>
    <row r="8406" spans="1:1" x14ac:dyDescent="0.25">
      <c r="A8406" s="5"/>
    </row>
    <row r="8407" spans="1:1" x14ac:dyDescent="0.25">
      <c r="A8407" s="5"/>
    </row>
    <row r="8408" spans="1:1" x14ac:dyDescent="0.25">
      <c r="A8408" s="5"/>
    </row>
    <row r="8409" spans="1:1" x14ac:dyDescent="0.25">
      <c r="A8409" s="5"/>
    </row>
    <row r="8410" spans="1:1" x14ac:dyDescent="0.25">
      <c r="A8410" s="5"/>
    </row>
    <row r="8411" spans="1:1" x14ac:dyDescent="0.25">
      <c r="A8411" s="5"/>
    </row>
    <row r="8412" spans="1:1" x14ac:dyDescent="0.25">
      <c r="A8412" s="5"/>
    </row>
    <row r="8413" spans="1:1" x14ac:dyDescent="0.25">
      <c r="A8413" s="5"/>
    </row>
    <row r="8414" spans="1:1" x14ac:dyDescent="0.25">
      <c r="A8414" s="5"/>
    </row>
    <row r="8415" spans="1:1" x14ac:dyDescent="0.25">
      <c r="A8415" s="5"/>
    </row>
    <row r="8416" spans="1:1" x14ac:dyDescent="0.25">
      <c r="A8416" s="5"/>
    </row>
    <row r="8417" spans="1:1" x14ac:dyDescent="0.25">
      <c r="A8417" s="5"/>
    </row>
    <row r="8418" spans="1:1" x14ac:dyDescent="0.25">
      <c r="A8418" s="5"/>
    </row>
    <row r="8419" spans="1:1" x14ac:dyDescent="0.25">
      <c r="A8419" s="5"/>
    </row>
    <row r="8420" spans="1:1" x14ac:dyDescent="0.25">
      <c r="A8420" s="5"/>
    </row>
    <row r="8421" spans="1:1" x14ac:dyDescent="0.25">
      <c r="A8421" s="5"/>
    </row>
    <row r="8422" spans="1:1" x14ac:dyDescent="0.25">
      <c r="A8422" s="5"/>
    </row>
    <row r="8423" spans="1:1" x14ac:dyDescent="0.25">
      <c r="A8423" s="5"/>
    </row>
    <row r="8424" spans="1:1" x14ac:dyDescent="0.25">
      <c r="A8424" s="5"/>
    </row>
    <row r="8425" spans="1:1" x14ac:dyDescent="0.25">
      <c r="A8425" s="5"/>
    </row>
    <row r="8426" spans="1:1" x14ac:dyDescent="0.25">
      <c r="A8426" s="5"/>
    </row>
    <row r="8427" spans="1:1" x14ac:dyDescent="0.25">
      <c r="A8427" s="5"/>
    </row>
    <row r="8428" spans="1:1" x14ac:dyDescent="0.25">
      <c r="A8428" s="5"/>
    </row>
    <row r="8429" spans="1:1" x14ac:dyDescent="0.25">
      <c r="A8429" s="5"/>
    </row>
    <row r="8430" spans="1:1" x14ac:dyDescent="0.25">
      <c r="A8430" s="5"/>
    </row>
    <row r="8431" spans="1:1" x14ac:dyDescent="0.25">
      <c r="A8431" s="5"/>
    </row>
    <row r="8432" spans="1:1" x14ac:dyDescent="0.25">
      <c r="A8432" s="5"/>
    </row>
    <row r="8433" spans="1:1" x14ac:dyDescent="0.25">
      <c r="A8433" s="5"/>
    </row>
    <row r="8434" spans="1:1" x14ac:dyDescent="0.25">
      <c r="A8434" s="5"/>
    </row>
    <row r="8435" spans="1:1" x14ac:dyDescent="0.25">
      <c r="A8435" s="5"/>
    </row>
    <row r="8436" spans="1:1" x14ac:dyDescent="0.25">
      <c r="A8436" s="5"/>
    </row>
    <row r="8437" spans="1:1" x14ac:dyDescent="0.25">
      <c r="A8437" s="5"/>
    </row>
    <row r="8438" spans="1:1" x14ac:dyDescent="0.25">
      <c r="A8438" s="5"/>
    </row>
    <row r="8439" spans="1:1" x14ac:dyDescent="0.25">
      <c r="A8439" s="5"/>
    </row>
    <row r="8440" spans="1:1" x14ac:dyDescent="0.25">
      <c r="A8440" s="5"/>
    </row>
    <row r="8441" spans="1:1" x14ac:dyDescent="0.25">
      <c r="A8441" s="5"/>
    </row>
    <row r="8442" spans="1:1" x14ac:dyDescent="0.25">
      <c r="A8442" s="5"/>
    </row>
    <row r="8443" spans="1:1" x14ac:dyDescent="0.25">
      <c r="A8443" s="5"/>
    </row>
    <row r="8444" spans="1:1" x14ac:dyDescent="0.25">
      <c r="A8444" s="5"/>
    </row>
    <row r="8445" spans="1:1" x14ac:dyDescent="0.25">
      <c r="A8445" s="5"/>
    </row>
    <row r="8446" spans="1:1" x14ac:dyDescent="0.25">
      <c r="A8446" s="5"/>
    </row>
    <row r="8447" spans="1:1" x14ac:dyDescent="0.25">
      <c r="A8447" s="5"/>
    </row>
    <row r="8448" spans="1:1" x14ac:dyDescent="0.25">
      <c r="A8448" s="5"/>
    </row>
    <row r="8449" spans="1:1" x14ac:dyDescent="0.25">
      <c r="A8449" s="5"/>
    </row>
    <row r="8450" spans="1:1" x14ac:dyDescent="0.25">
      <c r="A8450" s="5"/>
    </row>
    <row r="8451" spans="1:1" x14ac:dyDescent="0.25">
      <c r="A8451" s="5"/>
    </row>
    <row r="8452" spans="1:1" x14ac:dyDescent="0.25">
      <c r="A8452" s="5"/>
    </row>
    <row r="8453" spans="1:1" x14ac:dyDescent="0.25">
      <c r="A8453" s="5"/>
    </row>
    <row r="8454" spans="1:1" x14ac:dyDescent="0.25">
      <c r="A8454" s="5"/>
    </row>
    <row r="8455" spans="1:1" x14ac:dyDescent="0.25">
      <c r="A8455" s="5"/>
    </row>
    <row r="8456" spans="1:1" x14ac:dyDescent="0.25">
      <c r="A8456" s="5"/>
    </row>
    <row r="8457" spans="1:1" x14ac:dyDescent="0.25">
      <c r="A8457" s="5"/>
    </row>
    <row r="8458" spans="1:1" x14ac:dyDescent="0.25">
      <c r="A8458" s="5"/>
    </row>
    <row r="8459" spans="1:1" x14ac:dyDescent="0.25">
      <c r="A8459" s="5"/>
    </row>
    <row r="8460" spans="1:1" x14ac:dyDescent="0.25">
      <c r="A8460" s="5"/>
    </row>
    <row r="8461" spans="1:1" x14ac:dyDescent="0.25">
      <c r="A8461" s="5"/>
    </row>
    <row r="8462" spans="1:1" x14ac:dyDescent="0.25">
      <c r="A8462" s="5"/>
    </row>
    <row r="8463" spans="1:1" x14ac:dyDescent="0.25">
      <c r="A8463" s="5"/>
    </row>
    <row r="8464" spans="1:1" x14ac:dyDescent="0.25">
      <c r="A8464" s="5"/>
    </row>
    <row r="8465" spans="1:1" x14ac:dyDescent="0.25">
      <c r="A8465" s="5"/>
    </row>
    <row r="8466" spans="1:1" x14ac:dyDescent="0.25">
      <c r="A8466" s="5"/>
    </row>
    <row r="8467" spans="1:1" x14ac:dyDescent="0.25">
      <c r="A8467" s="5"/>
    </row>
    <row r="8468" spans="1:1" x14ac:dyDescent="0.25">
      <c r="A8468" s="5"/>
    </row>
    <row r="8469" spans="1:1" x14ac:dyDescent="0.25">
      <c r="A8469" s="5"/>
    </row>
    <row r="8470" spans="1:1" x14ac:dyDescent="0.25">
      <c r="A8470" s="5"/>
    </row>
    <row r="8471" spans="1:1" x14ac:dyDescent="0.25">
      <c r="A8471" s="5"/>
    </row>
    <row r="8472" spans="1:1" x14ac:dyDescent="0.25">
      <c r="A8472" s="5"/>
    </row>
    <row r="8473" spans="1:1" x14ac:dyDescent="0.25">
      <c r="A8473" s="5"/>
    </row>
    <row r="8474" spans="1:1" x14ac:dyDescent="0.25">
      <c r="A8474" s="5"/>
    </row>
    <row r="8475" spans="1:1" x14ac:dyDescent="0.25">
      <c r="A8475" s="5"/>
    </row>
    <row r="8476" spans="1:1" x14ac:dyDescent="0.25">
      <c r="A8476" s="5"/>
    </row>
    <row r="8477" spans="1:1" x14ac:dyDescent="0.25">
      <c r="A8477" s="5"/>
    </row>
    <row r="8478" spans="1:1" x14ac:dyDescent="0.25">
      <c r="A8478" s="5"/>
    </row>
    <row r="8479" spans="1:1" x14ac:dyDescent="0.25">
      <c r="A8479" s="5"/>
    </row>
    <row r="8480" spans="1:1" x14ac:dyDescent="0.25">
      <c r="A8480" s="5"/>
    </row>
    <row r="8481" spans="1:1" x14ac:dyDescent="0.25">
      <c r="A8481" s="5"/>
    </row>
    <row r="8482" spans="1:1" x14ac:dyDescent="0.25">
      <c r="A8482" s="5"/>
    </row>
    <row r="8483" spans="1:1" x14ac:dyDescent="0.25">
      <c r="A8483" s="5"/>
    </row>
    <row r="8484" spans="1:1" x14ac:dyDescent="0.25">
      <c r="A8484" s="5"/>
    </row>
    <row r="8485" spans="1:1" x14ac:dyDescent="0.25">
      <c r="A8485" s="5"/>
    </row>
    <row r="8486" spans="1:1" x14ac:dyDescent="0.25">
      <c r="A8486" s="5"/>
    </row>
    <row r="8487" spans="1:1" x14ac:dyDescent="0.25">
      <c r="A8487" s="5"/>
    </row>
    <row r="8488" spans="1:1" x14ac:dyDescent="0.25">
      <c r="A8488" s="5"/>
    </row>
    <row r="8489" spans="1:1" x14ac:dyDescent="0.25">
      <c r="A8489" s="5"/>
    </row>
    <row r="8490" spans="1:1" x14ac:dyDescent="0.25">
      <c r="A8490" s="5"/>
    </row>
    <row r="8491" spans="1:1" x14ac:dyDescent="0.25">
      <c r="A8491" s="5"/>
    </row>
    <row r="8492" spans="1:1" x14ac:dyDescent="0.25">
      <c r="A8492" s="5"/>
    </row>
    <row r="8493" spans="1:1" x14ac:dyDescent="0.25">
      <c r="A8493" s="5"/>
    </row>
    <row r="8494" spans="1:1" x14ac:dyDescent="0.25">
      <c r="A8494" s="5"/>
    </row>
    <row r="8495" spans="1:1" x14ac:dyDescent="0.25">
      <c r="A8495" s="5"/>
    </row>
    <row r="8496" spans="1:1" x14ac:dyDescent="0.25">
      <c r="A8496" s="5"/>
    </row>
    <row r="8497" spans="1:1" x14ac:dyDescent="0.25">
      <c r="A8497" s="5"/>
    </row>
    <row r="8498" spans="1:1" x14ac:dyDescent="0.25">
      <c r="A8498" s="5"/>
    </row>
    <row r="8499" spans="1:1" x14ac:dyDescent="0.25">
      <c r="A8499" s="5"/>
    </row>
    <row r="8500" spans="1:1" x14ac:dyDescent="0.25">
      <c r="A8500" s="5"/>
    </row>
    <row r="8501" spans="1:1" x14ac:dyDescent="0.25">
      <c r="A8501" s="5"/>
    </row>
    <row r="8502" spans="1:1" x14ac:dyDescent="0.25">
      <c r="A8502" s="5"/>
    </row>
    <row r="8503" spans="1:1" x14ac:dyDescent="0.25">
      <c r="A8503" s="5"/>
    </row>
    <row r="8504" spans="1:1" x14ac:dyDescent="0.25">
      <c r="A8504" s="5"/>
    </row>
    <row r="8505" spans="1:1" x14ac:dyDescent="0.25">
      <c r="A8505" s="5"/>
    </row>
    <row r="8506" spans="1:1" x14ac:dyDescent="0.25">
      <c r="A8506" s="5"/>
    </row>
    <row r="8507" spans="1:1" x14ac:dyDescent="0.25">
      <c r="A8507" s="5"/>
    </row>
    <row r="8508" spans="1:1" x14ac:dyDescent="0.25">
      <c r="A8508" s="5"/>
    </row>
    <row r="8509" spans="1:1" x14ac:dyDescent="0.25">
      <c r="A8509" s="5"/>
    </row>
    <row r="8510" spans="1:1" x14ac:dyDescent="0.25">
      <c r="A8510" s="5"/>
    </row>
    <row r="8511" spans="1:1" x14ac:dyDescent="0.25">
      <c r="A8511" s="5"/>
    </row>
    <row r="8512" spans="1:1" x14ac:dyDescent="0.25">
      <c r="A8512" s="5"/>
    </row>
    <row r="8513" spans="1:1" x14ac:dyDescent="0.25">
      <c r="A8513" s="5"/>
    </row>
    <row r="8514" spans="1:1" x14ac:dyDescent="0.25">
      <c r="A8514" s="5"/>
    </row>
    <row r="8515" spans="1:1" x14ac:dyDescent="0.25">
      <c r="A8515" s="5"/>
    </row>
    <row r="8516" spans="1:1" x14ac:dyDescent="0.25">
      <c r="A8516" s="5"/>
    </row>
    <row r="8517" spans="1:1" x14ac:dyDescent="0.25">
      <c r="A8517" s="5"/>
    </row>
    <row r="8518" spans="1:1" x14ac:dyDescent="0.25">
      <c r="A8518" s="5"/>
    </row>
    <row r="8519" spans="1:1" x14ac:dyDescent="0.25">
      <c r="A8519" s="5"/>
    </row>
    <row r="8520" spans="1:1" x14ac:dyDescent="0.25">
      <c r="A8520" s="5"/>
    </row>
    <row r="8521" spans="1:1" x14ac:dyDescent="0.25">
      <c r="A8521" s="5"/>
    </row>
    <row r="8522" spans="1:1" x14ac:dyDescent="0.25">
      <c r="A8522" s="5"/>
    </row>
    <row r="8523" spans="1:1" x14ac:dyDescent="0.25">
      <c r="A8523" s="5"/>
    </row>
    <row r="8524" spans="1:1" x14ac:dyDescent="0.25">
      <c r="A8524" s="5"/>
    </row>
    <row r="8525" spans="1:1" x14ac:dyDescent="0.25">
      <c r="A8525" s="5"/>
    </row>
    <row r="8526" spans="1:1" x14ac:dyDescent="0.25">
      <c r="A8526" s="5"/>
    </row>
    <row r="8527" spans="1:1" x14ac:dyDescent="0.25">
      <c r="A8527" s="5"/>
    </row>
    <row r="8528" spans="1:1" x14ac:dyDescent="0.25">
      <c r="A8528" s="5"/>
    </row>
    <row r="8529" spans="1:1" x14ac:dyDescent="0.25">
      <c r="A8529" s="5"/>
    </row>
    <row r="8530" spans="1:1" x14ac:dyDescent="0.25">
      <c r="A8530" s="5"/>
    </row>
    <row r="8531" spans="1:1" x14ac:dyDescent="0.25">
      <c r="A8531" s="5"/>
    </row>
    <row r="8532" spans="1:1" x14ac:dyDescent="0.25">
      <c r="A8532" s="5"/>
    </row>
    <row r="8533" spans="1:1" x14ac:dyDescent="0.25">
      <c r="A8533" s="5"/>
    </row>
    <row r="8534" spans="1:1" x14ac:dyDescent="0.25">
      <c r="A8534" s="5"/>
    </row>
    <row r="8535" spans="1:1" x14ac:dyDescent="0.25">
      <c r="A8535" s="5"/>
    </row>
    <row r="8536" spans="1:1" x14ac:dyDescent="0.25">
      <c r="A8536" s="5"/>
    </row>
    <row r="8537" spans="1:1" x14ac:dyDescent="0.25">
      <c r="A8537" s="5"/>
    </row>
    <row r="8538" spans="1:1" x14ac:dyDescent="0.25">
      <c r="A8538" s="5"/>
    </row>
    <row r="8539" spans="1:1" x14ac:dyDescent="0.25">
      <c r="A8539" s="5"/>
    </row>
    <row r="8540" spans="1:1" x14ac:dyDescent="0.25">
      <c r="A8540" s="5"/>
    </row>
    <row r="8541" spans="1:1" x14ac:dyDescent="0.25">
      <c r="A8541" s="5"/>
    </row>
    <row r="8542" spans="1:1" x14ac:dyDescent="0.25">
      <c r="A8542" s="5"/>
    </row>
    <row r="8543" spans="1:1" x14ac:dyDescent="0.25">
      <c r="A8543" s="5"/>
    </row>
    <row r="8544" spans="1:1" x14ac:dyDescent="0.25">
      <c r="A8544" s="5"/>
    </row>
    <row r="8545" spans="1:1" x14ac:dyDescent="0.25">
      <c r="A8545" s="5"/>
    </row>
    <row r="8546" spans="1:1" x14ac:dyDescent="0.25">
      <c r="A8546" s="5"/>
    </row>
    <row r="8547" spans="1:1" x14ac:dyDescent="0.25">
      <c r="A8547" s="5"/>
    </row>
    <row r="8548" spans="1:1" x14ac:dyDescent="0.25">
      <c r="A8548" s="5"/>
    </row>
    <row r="8549" spans="1:1" x14ac:dyDescent="0.25">
      <c r="A8549" s="5"/>
    </row>
    <row r="8550" spans="1:1" x14ac:dyDescent="0.25">
      <c r="A8550" s="5"/>
    </row>
    <row r="8551" spans="1:1" x14ac:dyDescent="0.25">
      <c r="A8551" s="5"/>
    </row>
    <row r="8552" spans="1:1" x14ac:dyDescent="0.25">
      <c r="A8552" s="5"/>
    </row>
    <row r="8553" spans="1:1" x14ac:dyDescent="0.25">
      <c r="A8553" s="5"/>
    </row>
    <row r="8554" spans="1:1" x14ac:dyDescent="0.25">
      <c r="A8554" s="5"/>
    </row>
    <row r="8555" spans="1:1" x14ac:dyDescent="0.25">
      <c r="A8555" s="5"/>
    </row>
    <row r="8556" spans="1:1" x14ac:dyDescent="0.25">
      <c r="A8556" s="5"/>
    </row>
    <row r="8557" spans="1:1" x14ac:dyDescent="0.25">
      <c r="A8557" s="5"/>
    </row>
    <row r="8558" spans="1:1" x14ac:dyDescent="0.25">
      <c r="A8558" s="5"/>
    </row>
    <row r="8559" spans="1:1" x14ac:dyDescent="0.25">
      <c r="A8559" s="5"/>
    </row>
    <row r="8560" spans="1:1" x14ac:dyDescent="0.25">
      <c r="A8560" s="5"/>
    </row>
    <row r="8561" spans="1:1" x14ac:dyDescent="0.25">
      <c r="A8561" s="5"/>
    </row>
    <row r="8562" spans="1:1" x14ac:dyDescent="0.25">
      <c r="A8562" s="5"/>
    </row>
    <row r="8563" spans="1:1" x14ac:dyDescent="0.25">
      <c r="A8563" s="5"/>
    </row>
    <row r="8564" spans="1:1" x14ac:dyDescent="0.25">
      <c r="A8564" s="5"/>
    </row>
    <row r="8565" spans="1:1" x14ac:dyDescent="0.25">
      <c r="A8565" s="5"/>
    </row>
    <row r="8566" spans="1:1" x14ac:dyDescent="0.25">
      <c r="A8566" s="5"/>
    </row>
    <row r="8567" spans="1:1" x14ac:dyDescent="0.25">
      <c r="A8567" s="5"/>
    </row>
    <row r="8568" spans="1:1" x14ac:dyDescent="0.25">
      <c r="A8568" s="5"/>
    </row>
    <row r="8569" spans="1:1" x14ac:dyDescent="0.25">
      <c r="A8569" s="5"/>
    </row>
    <row r="8570" spans="1:1" x14ac:dyDescent="0.25">
      <c r="A8570" s="5"/>
    </row>
    <row r="8571" spans="1:1" x14ac:dyDescent="0.25">
      <c r="A8571" s="5"/>
    </row>
    <row r="8572" spans="1:1" x14ac:dyDescent="0.25">
      <c r="A8572" s="5"/>
    </row>
    <row r="8573" spans="1:1" x14ac:dyDescent="0.25">
      <c r="A8573" s="5"/>
    </row>
    <row r="8574" spans="1:1" x14ac:dyDescent="0.25">
      <c r="A8574" s="5"/>
    </row>
    <row r="8575" spans="1:1" x14ac:dyDescent="0.25">
      <c r="A8575" s="5"/>
    </row>
    <row r="8576" spans="1:1" x14ac:dyDescent="0.25">
      <c r="A8576" s="5"/>
    </row>
    <row r="8577" spans="1:1" x14ac:dyDescent="0.25">
      <c r="A8577" s="5"/>
    </row>
    <row r="8578" spans="1:1" x14ac:dyDescent="0.25">
      <c r="A8578" s="5"/>
    </row>
    <row r="8579" spans="1:1" x14ac:dyDescent="0.25">
      <c r="A8579" s="5"/>
    </row>
    <row r="8580" spans="1:1" x14ac:dyDescent="0.25">
      <c r="A8580" s="5"/>
    </row>
    <row r="8581" spans="1:1" x14ac:dyDescent="0.25">
      <c r="A8581" s="5"/>
    </row>
    <row r="8582" spans="1:1" x14ac:dyDescent="0.25">
      <c r="A8582" s="5"/>
    </row>
    <row r="8583" spans="1:1" x14ac:dyDescent="0.25">
      <c r="A8583" s="5"/>
    </row>
    <row r="8584" spans="1:1" x14ac:dyDescent="0.25">
      <c r="A8584" s="5"/>
    </row>
    <row r="8585" spans="1:1" x14ac:dyDescent="0.25">
      <c r="A8585" s="5"/>
    </row>
    <row r="8586" spans="1:1" x14ac:dyDescent="0.25">
      <c r="A8586" s="5"/>
    </row>
    <row r="8587" spans="1:1" x14ac:dyDescent="0.25">
      <c r="A8587" s="5"/>
    </row>
    <row r="8588" spans="1:1" x14ac:dyDescent="0.25">
      <c r="A8588" s="5"/>
    </row>
    <row r="8589" spans="1:1" x14ac:dyDescent="0.25">
      <c r="A8589" s="5"/>
    </row>
    <row r="8590" spans="1:1" x14ac:dyDescent="0.25">
      <c r="A8590" s="5"/>
    </row>
    <row r="8591" spans="1:1" x14ac:dyDescent="0.25">
      <c r="A8591" s="5"/>
    </row>
    <row r="8592" spans="1:1" x14ac:dyDescent="0.25">
      <c r="A8592" s="5"/>
    </row>
    <row r="8593" spans="1:1" x14ac:dyDescent="0.25">
      <c r="A8593" s="5"/>
    </row>
    <row r="8594" spans="1:1" x14ac:dyDescent="0.25">
      <c r="A8594" s="5"/>
    </row>
    <row r="8595" spans="1:1" x14ac:dyDescent="0.25">
      <c r="A8595" s="5"/>
    </row>
    <row r="8596" spans="1:1" x14ac:dyDescent="0.25">
      <c r="A8596" s="5"/>
    </row>
    <row r="8597" spans="1:1" x14ac:dyDescent="0.25">
      <c r="A8597" s="5"/>
    </row>
    <row r="8598" spans="1:1" x14ac:dyDescent="0.25">
      <c r="A8598" s="5"/>
    </row>
    <row r="8599" spans="1:1" x14ac:dyDescent="0.25">
      <c r="A8599" s="5"/>
    </row>
    <row r="8600" spans="1:1" x14ac:dyDescent="0.25">
      <c r="A8600" s="5"/>
    </row>
    <row r="8601" spans="1:1" x14ac:dyDescent="0.25">
      <c r="A8601" s="5"/>
    </row>
    <row r="8602" spans="1:1" x14ac:dyDescent="0.25">
      <c r="A8602" s="5"/>
    </row>
    <row r="8603" spans="1:1" x14ac:dyDescent="0.25">
      <c r="A8603" s="5"/>
    </row>
    <row r="8604" spans="1:1" x14ac:dyDescent="0.25">
      <c r="A8604" s="5"/>
    </row>
    <row r="8605" spans="1:1" x14ac:dyDescent="0.25">
      <c r="A8605" s="5"/>
    </row>
    <row r="8606" spans="1:1" x14ac:dyDescent="0.25">
      <c r="A8606" s="5"/>
    </row>
    <row r="8607" spans="1:1" x14ac:dyDescent="0.25">
      <c r="A8607" s="5"/>
    </row>
    <row r="8608" spans="1:1" x14ac:dyDescent="0.25">
      <c r="A8608" s="5"/>
    </row>
    <row r="8609" spans="1:1" x14ac:dyDescent="0.25">
      <c r="A8609" s="5"/>
    </row>
    <row r="8610" spans="1:1" x14ac:dyDescent="0.25">
      <c r="A8610" s="5"/>
    </row>
    <row r="8611" spans="1:1" x14ac:dyDescent="0.25">
      <c r="A8611" s="5"/>
    </row>
    <row r="8612" spans="1:1" x14ac:dyDescent="0.25">
      <c r="A8612" s="5"/>
    </row>
    <row r="8613" spans="1:1" x14ac:dyDescent="0.25">
      <c r="A8613" s="5"/>
    </row>
    <row r="8614" spans="1:1" x14ac:dyDescent="0.25">
      <c r="A8614" s="5"/>
    </row>
    <row r="8615" spans="1:1" x14ac:dyDescent="0.25">
      <c r="A8615" s="5"/>
    </row>
    <row r="8616" spans="1:1" x14ac:dyDescent="0.25">
      <c r="A8616" s="5"/>
    </row>
    <row r="8617" spans="1:1" x14ac:dyDescent="0.25">
      <c r="A8617" s="5"/>
    </row>
    <row r="8618" spans="1:1" x14ac:dyDescent="0.25">
      <c r="A8618" s="5"/>
    </row>
    <row r="8619" spans="1:1" x14ac:dyDescent="0.25">
      <c r="A8619" s="5"/>
    </row>
    <row r="8620" spans="1:1" x14ac:dyDescent="0.25">
      <c r="A8620" s="5"/>
    </row>
    <row r="8621" spans="1:1" x14ac:dyDescent="0.25">
      <c r="A8621" s="5"/>
    </row>
    <row r="8622" spans="1:1" x14ac:dyDescent="0.25">
      <c r="A8622" s="5"/>
    </row>
    <row r="8623" spans="1:1" x14ac:dyDescent="0.25">
      <c r="A8623" s="5"/>
    </row>
    <row r="8624" spans="1:1" x14ac:dyDescent="0.25">
      <c r="A8624" s="5"/>
    </row>
    <row r="8625" spans="1:1" x14ac:dyDescent="0.25">
      <c r="A8625" s="5"/>
    </row>
    <row r="8626" spans="1:1" x14ac:dyDescent="0.25">
      <c r="A8626" s="5"/>
    </row>
    <row r="8627" spans="1:1" x14ac:dyDescent="0.25">
      <c r="A8627" s="5"/>
    </row>
    <row r="8628" spans="1:1" x14ac:dyDescent="0.25">
      <c r="A8628" s="5"/>
    </row>
    <row r="8629" spans="1:1" x14ac:dyDescent="0.25">
      <c r="A8629" s="5"/>
    </row>
    <row r="8630" spans="1:1" x14ac:dyDescent="0.25">
      <c r="A8630" s="5"/>
    </row>
    <row r="8631" spans="1:1" x14ac:dyDescent="0.25">
      <c r="A8631" s="5"/>
    </row>
    <row r="8632" spans="1:1" x14ac:dyDescent="0.25">
      <c r="A8632" s="5"/>
    </row>
    <row r="8633" spans="1:1" x14ac:dyDescent="0.25">
      <c r="A8633" s="5"/>
    </row>
    <row r="8634" spans="1:1" x14ac:dyDescent="0.25">
      <c r="A8634" s="5"/>
    </row>
    <row r="8635" spans="1:1" x14ac:dyDescent="0.25">
      <c r="A8635" s="5"/>
    </row>
    <row r="8636" spans="1:1" x14ac:dyDescent="0.25">
      <c r="A8636" s="5"/>
    </row>
    <row r="8637" spans="1:1" x14ac:dyDescent="0.25">
      <c r="A8637" s="5"/>
    </row>
    <row r="8638" spans="1:1" x14ac:dyDescent="0.25">
      <c r="A8638" s="5"/>
    </row>
    <row r="8639" spans="1:1" x14ac:dyDescent="0.25">
      <c r="A8639" s="5"/>
    </row>
    <row r="8640" spans="1:1" x14ac:dyDescent="0.25">
      <c r="A8640" s="5"/>
    </row>
    <row r="8641" spans="1:1" x14ac:dyDescent="0.25">
      <c r="A8641" s="5"/>
    </row>
    <row r="8642" spans="1:1" x14ac:dyDescent="0.25">
      <c r="A8642" s="5"/>
    </row>
    <row r="8643" spans="1:1" x14ac:dyDescent="0.25">
      <c r="A8643" s="5"/>
    </row>
    <row r="8644" spans="1:1" x14ac:dyDescent="0.25">
      <c r="A8644" s="5"/>
    </row>
    <row r="8645" spans="1:1" x14ac:dyDescent="0.25">
      <c r="A8645" s="5"/>
    </row>
    <row r="8646" spans="1:1" x14ac:dyDescent="0.25">
      <c r="A8646" s="5"/>
    </row>
    <row r="8647" spans="1:1" x14ac:dyDescent="0.25">
      <c r="A8647" s="5"/>
    </row>
    <row r="8648" spans="1:1" x14ac:dyDescent="0.25">
      <c r="A8648" s="5"/>
    </row>
    <row r="8649" spans="1:1" x14ac:dyDescent="0.25">
      <c r="A8649" s="5"/>
    </row>
    <row r="8650" spans="1:1" x14ac:dyDescent="0.25">
      <c r="A8650" s="5"/>
    </row>
    <row r="8651" spans="1:1" x14ac:dyDescent="0.25">
      <c r="A8651" s="5"/>
    </row>
    <row r="8652" spans="1:1" x14ac:dyDescent="0.25">
      <c r="A8652" s="5"/>
    </row>
    <row r="8653" spans="1:1" x14ac:dyDescent="0.25">
      <c r="A8653" s="5"/>
    </row>
    <row r="8654" spans="1:1" x14ac:dyDescent="0.25">
      <c r="A8654" s="5"/>
    </row>
    <row r="8655" spans="1:1" x14ac:dyDescent="0.25">
      <c r="A8655" s="5"/>
    </row>
    <row r="8656" spans="1:1" x14ac:dyDescent="0.25">
      <c r="A8656" s="5"/>
    </row>
    <row r="8657" spans="1:1" x14ac:dyDescent="0.25">
      <c r="A8657" s="5"/>
    </row>
    <row r="8658" spans="1:1" x14ac:dyDescent="0.25">
      <c r="A8658" s="5"/>
    </row>
    <row r="8659" spans="1:1" x14ac:dyDescent="0.25">
      <c r="A8659" s="5"/>
    </row>
    <row r="8660" spans="1:1" x14ac:dyDescent="0.25">
      <c r="A8660" s="5"/>
    </row>
    <row r="8661" spans="1:1" x14ac:dyDescent="0.25">
      <c r="A8661" s="5"/>
    </row>
    <row r="8662" spans="1:1" x14ac:dyDescent="0.25">
      <c r="A8662" s="5"/>
    </row>
    <row r="8663" spans="1:1" x14ac:dyDescent="0.25">
      <c r="A8663" s="5"/>
    </row>
    <row r="8664" spans="1:1" x14ac:dyDescent="0.25">
      <c r="A8664" s="5"/>
    </row>
    <row r="8665" spans="1:1" x14ac:dyDescent="0.25">
      <c r="A8665" s="5"/>
    </row>
    <row r="8666" spans="1:1" x14ac:dyDescent="0.25">
      <c r="A8666" s="5"/>
    </row>
    <row r="8667" spans="1:1" x14ac:dyDescent="0.25">
      <c r="A8667" s="5"/>
    </row>
    <row r="8668" spans="1:1" x14ac:dyDescent="0.25">
      <c r="A8668" s="5"/>
    </row>
    <row r="8669" spans="1:1" x14ac:dyDescent="0.25">
      <c r="A8669" s="5"/>
    </row>
    <row r="8670" spans="1:1" x14ac:dyDescent="0.25">
      <c r="A8670" s="5"/>
    </row>
    <row r="8671" spans="1:1" x14ac:dyDescent="0.25">
      <c r="A8671" s="5"/>
    </row>
    <row r="8672" spans="1:1" x14ac:dyDescent="0.25">
      <c r="A8672" s="5"/>
    </row>
    <row r="8673" spans="1:1" x14ac:dyDescent="0.25">
      <c r="A8673" s="5"/>
    </row>
    <row r="8674" spans="1:1" x14ac:dyDescent="0.25">
      <c r="A8674" s="5"/>
    </row>
    <row r="8675" spans="1:1" x14ac:dyDescent="0.25">
      <c r="A8675" s="5"/>
    </row>
    <row r="8676" spans="1:1" x14ac:dyDescent="0.25">
      <c r="A8676" s="5"/>
    </row>
    <row r="8677" spans="1:1" x14ac:dyDescent="0.25">
      <c r="A8677" s="5"/>
    </row>
    <row r="8678" spans="1:1" x14ac:dyDescent="0.25">
      <c r="A8678" s="5"/>
    </row>
    <row r="8679" spans="1:1" x14ac:dyDescent="0.25">
      <c r="A8679" s="5"/>
    </row>
    <row r="8680" spans="1:1" x14ac:dyDescent="0.25">
      <c r="A8680" s="5"/>
    </row>
    <row r="8681" spans="1:1" x14ac:dyDescent="0.25">
      <c r="A8681" s="5"/>
    </row>
    <row r="8682" spans="1:1" x14ac:dyDescent="0.25">
      <c r="A8682" s="5"/>
    </row>
    <row r="8683" spans="1:1" x14ac:dyDescent="0.25">
      <c r="A8683" s="5"/>
    </row>
    <row r="8684" spans="1:1" x14ac:dyDescent="0.25">
      <c r="A8684" s="5"/>
    </row>
    <row r="8685" spans="1:1" x14ac:dyDescent="0.25">
      <c r="A8685" s="5"/>
    </row>
    <row r="8686" spans="1:1" x14ac:dyDescent="0.25">
      <c r="A8686" s="5"/>
    </row>
    <row r="8687" spans="1:1" x14ac:dyDescent="0.25">
      <c r="A8687" s="5"/>
    </row>
    <row r="8688" spans="1:1" x14ac:dyDescent="0.25">
      <c r="A8688" s="5"/>
    </row>
    <row r="8689" spans="1:1" x14ac:dyDescent="0.25">
      <c r="A8689" s="5"/>
    </row>
    <row r="8690" spans="1:1" x14ac:dyDescent="0.25">
      <c r="A8690" s="5"/>
    </row>
    <row r="8691" spans="1:1" x14ac:dyDescent="0.25">
      <c r="A8691" s="5"/>
    </row>
    <row r="8692" spans="1:1" x14ac:dyDescent="0.25">
      <c r="A8692" s="5"/>
    </row>
    <row r="8693" spans="1:1" x14ac:dyDescent="0.25">
      <c r="A8693" s="5"/>
    </row>
    <row r="8694" spans="1:1" x14ac:dyDescent="0.25">
      <c r="A8694" s="5"/>
    </row>
    <row r="8695" spans="1:1" x14ac:dyDescent="0.25">
      <c r="A8695" s="5"/>
    </row>
    <row r="8696" spans="1:1" x14ac:dyDescent="0.25">
      <c r="A8696" s="5"/>
    </row>
    <row r="8697" spans="1:1" x14ac:dyDescent="0.25">
      <c r="A8697" s="5"/>
    </row>
    <row r="8698" spans="1:1" x14ac:dyDescent="0.25">
      <c r="A8698" s="5"/>
    </row>
    <row r="8699" spans="1:1" x14ac:dyDescent="0.25">
      <c r="A8699" s="5"/>
    </row>
    <row r="8700" spans="1:1" x14ac:dyDescent="0.25">
      <c r="A8700" s="5"/>
    </row>
    <row r="8701" spans="1:1" x14ac:dyDescent="0.25">
      <c r="A8701" s="5"/>
    </row>
    <row r="8702" spans="1:1" x14ac:dyDescent="0.25">
      <c r="A8702" s="5"/>
    </row>
    <row r="8703" spans="1:1" x14ac:dyDescent="0.25">
      <c r="A8703" s="5"/>
    </row>
    <row r="8704" spans="1:1" x14ac:dyDescent="0.25">
      <c r="A8704" s="5"/>
    </row>
    <row r="8705" spans="1:1" x14ac:dyDescent="0.25">
      <c r="A8705" s="5"/>
    </row>
    <row r="8706" spans="1:1" x14ac:dyDescent="0.25">
      <c r="A8706" s="5"/>
    </row>
    <row r="8707" spans="1:1" x14ac:dyDescent="0.25">
      <c r="A8707" s="5"/>
    </row>
    <row r="8708" spans="1:1" x14ac:dyDescent="0.25">
      <c r="A8708" s="5"/>
    </row>
    <row r="8709" spans="1:1" x14ac:dyDescent="0.25">
      <c r="A8709" s="5"/>
    </row>
    <row r="8710" spans="1:1" x14ac:dyDescent="0.25">
      <c r="A8710" s="5"/>
    </row>
    <row r="8711" spans="1:1" x14ac:dyDescent="0.25">
      <c r="A8711" s="5"/>
    </row>
    <row r="8712" spans="1:1" x14ac:dyDescent="0.25">
      <c r="A8712" s="5"/>
    </row>
    <row r="8713" spans="1:1" x14ac:dyDescent="0.25">
      <c r="A8713" s="5"/>
    </row>
    <row r="8714" spans="1:1" x14ac:dyDescent="0.25">
      <c r="A8714" s="5"/>
    </row>
    <row r="8715" spans="1:1" x14ac:dyDescent="0.25">
      <c r="A8715" s="5"/>
    </row>
    <row r="8716" spans="1:1" x14ac:dyDescent="0.25">
      <c r="A8716" s="5"/>
    </row>
    <row r="8717" spans="1:1" x14ac:dyDescent="0.25">
      <c r="A8717" s="5"/>
    </row>
    <row r="8718" spans="1:1" x14ac:dyDescent="0.25">
      <c r="A8718" s="5"/>
    </row>
    <row r="8719" spans="1:1" x14ac:dyDescent="0.25">
      <c r="A8719" s="5"/>
    </row>
    <row r="8720" spans="1:1" x14ac:dyDescent="0.25">
      <c r="A8720" s="5"/>
    </row>
    <row r="8721" spans="1:1" x14ac:dyDescent="0.25">
      <c r="A8721" s="5"/>
    </row>
    <row r="8722" spans="1:1" x14ac:dyDescent="0.25">
      <c r="A8722" s="5"/>
    </row>
    <row r="8723" spans="1:1" x14ac:dyDescent="0.25">
      <c r="A8723" s="5"/>
    </row>
    <row r="8724" spans="1:1" x14ac:dyDescent="0.25">
      <c r="A8724" s="5"/>
    </row>
    <row r="8725" spans="1:1" x14ac:dyDescent="0.25">
      <c r="A8725" s="5"/>
    </row>
    <row r="8726" spans="1:1" x14ac:dyDescent="0.25">
      <c r="A8726" s="5"/>
    </row>
    <row r="8727" spans="1:1" x14ac:dyDescent="0.25">
      <c r="A8727" s="5"/>
    </row>
    <row r="8728" spans="1:1" x14ac:dyDescent="0.25">
      <c r="A8728" s="5"/>
    </row>
    <row r="8729" spans="1:1" x14ac:dyDescent="0.25">
      <c r="A8729" s="5"/>
    </row>
    <row r="8730" spans="1:1" x14ac:dyDescent="0.25">
      <c r="A8730" s="5"/>
    </row>
    <row r="8731" spans="1:1" x14ac:dyDescent="0.25">
      <c r="A8731" s="5"/>
    </row>
    <row r="8732" spans="1:1" x14ac:dyDescent="0.25">
      <c r="A8732" s="5"/>
    </row>
    <row r="8733" spans="1:1" x14ac:dyDescent="0.25">
      <c r="A8733" s="5"/>
    </row>
    <row r="8734" spans="1:1" x14ac:dyDescent="0.25">
      <c r="A8734" s="5"/>
    </row>
    <row r="8735" spans="1:1" x14ac:dyDescent="0.25">
      <c r="A8735" s="5"/>
    </row>
    <row r="8736" spans="1:1" x14ac:dyDescent="0.25">
      <c r="A8736" s="5"/>
    </row>
    <row r="8737" spans="1:1" x14ac:dyDescent="0.25">
      <c r="A8737" s="5"/>
    </row>
    <row r="8738" spans="1:1" x14ac:dyDescent="0.25">
      <c r="A8738" s="5"/>
    </row>
    <row r="8739" spans="1:1" x14ac:dyDescent="0.25">
      <c r="A8739" s="5"/>
    </row>
    <row r="8740" spans="1:1" x14ac:dyDescent="0.25">
      <c r="A8740" s="5"/>
    </row>
    <row r="8741" spans="1:1" x14ac:dyDescent="0.25">
      <c r="A8741" s="5"/>
    </row>
    <row r="8742" spans="1:1" x14ac:dyDescent="0.25">
      <c r="A8742" s="5"/>
    </row>
    <row r="8743" spans="1:1" x14ac:dyDescent="0.25">
      <c r="A8743" s="5"/>
    </row>
    <row r="8744" spans="1:1" x14ac:dyDescent="0.25">
      <c r="A8744" s="5"/>
    </row>
    <row r="8745" spans="1:1" x14ac:dyDescent="0.25">
      <c r="A8745" s="5"/>
    </row>
    <row r="8746" spans="1:1" x14ac:dyDescent="0.25">
      <c r="A8746" s="5"/>
    </row>
    <row r="8747" spans="1:1" x14ac:dyDescent="0.25">
      <c r="A8747" s="5"/>
    </row>
    <row r="8748" spans="1:1" x14ac:dyDescent="0.25">
      <c r="A8748" s="5"/>
    </row>
    <row r="8749" spans="1:1" x14ac:dyDescent="0.25">
      <c r="A8749" s="5"/>
    </row>
    <row r="8750" spans="1:1" x14ac:dyDescent="0.25">
      <c r="A8750" s="5"/>
    </row>
    <row r="8751" spans="1:1" x14ac:dyDescent="0.25">
      <c r="A8751" s="5"/>
    </row>
    <row r="8752" spans="1:1" x14ac:dyDescent="0.25">
      <c r="A8752" s="5"/>
    </row>
    <row r="8753" spans="1:1" x14ac:dyDescent="0.25">
      <c r="A8753" s="5"/>
    </row>
    <row r="8754" spans="1:1" x14ac:dyDescent="0.25">
      <c r="A8754" s="5"/>
    </row>
    <row r="8755" spans="1:1" x14ac:dyDescent="0.25">
      <c r="A8755" s="5"/>
    </row>
    <row r="8756" spans="1:1" x14ac:dyDescent="0.25">
      <c r="A8756" s="5"/>
    </row>
    <row r="8757" spans="1:1" x14ac:dyDescent="0.25">
      <c r="A8757" s="5"/>
    </row>
    <row r="8758" spans="1:1" x14ac:dyDescent="0.25">
      <c r="A8758" s="5"/>
    </row>
    <row r="8759" spans="1:1" x14ac:dyDescent="0.25">
      <c r="A8759" s="5"/>
    </row>
    <row r="8760" spans="1:1" x14ac:dyDescent="0.25">
      <c r="A8760" s="5"/>
    </row>
    <row r="8761" spans="1:1" x14ac:dyDescent="0.25">
      <c r="A8761" s="5"/>
    </row>
    <row r="8762" spans="1:1" x14ac:dyDescent="0.25">
      <c r="A8762" s="5"/>
    </row>
    <row r="8763" spans="1:1" x14ac:dyDescent="0.25">
      <c r="A8763" s="5"/>
    </row>
    <row r="8764" spans="1:1" x14ac:dyDescent="0.25">
      <c r="A8764" s="5"/>
    </row>
    <row r="8765" spans="1:1" x14ac:dyDescent="0.25">
      <c r="A8765" s="5"/>
    </row>
    <row r="8766" spans="1:1" x14ac:dyDescent="0.25">
      <c r="A8766" s="5"/>
    </row>
    <row r="8767" spans="1:1" x14ac:dyDescent="0.25">
      <c r="A8767" s="5"/>
    </row>
    <row r="8768" spans="1:1" x14ac:dyDescent="0.25">
      <c r="A8768" s="5"/>
    </row>
    <row r="8769" spans="1:1" x14ac:dyDescent="0.25">
      <c r="A8769" s="5"/>
    </row>
    <row r="8770" spans="1:1" x14ac:dyDescent="0.25">
      <c r="A8770" s="5"/>
    </row>
    <row r="8771" spans="1:1" x14ac:dyDescent="0.25">
      <c r="A8771" s="5"/>
    </row>
    <row r="8772" spans="1:1" x14ac:dyDescent="0.25">
      <c r="A8772" s="5"/>
    </row>
    <row r="8773" spans="1:1" x14ac:dyDescent="0.25">
      <c r="A8773" s="5"/>
    </row>
    <row r="8774" spans="1:1" x14ac:dyDescent="0.25">
      <c r="A8774" s="5"/>
    </row>
    <row r="8775" spans="1:1" x14ac:dyDescent="0.25">
      <c r="A8775" s="5"/>
    </row>
    <row r="8776" spans="1:1" x14ac:dyDescent="0.25">
      <c r="A8776" s="5"/>
    </row>
    <row r="8777" spans="1:1" x14ac:dyDescent="0.25">
      <c r="A8777" s="5"/>
    </row>
    <row r="8778" spans="1:1" x14ac:dyDescent="0.25">
      <c r="A8778" s="5"/>
    </row>
    <row r="8779" spans="1:1" x14ac:dyDescent="0.25">
      <c r="A8779" s="5"/>
    </row>
    <row r="8780" spans="1:1" x14ac:dyDescent="0.25">
      <c r="A8780" s="5"/>
    </row>
    <row r="8781" spans="1:1" x14ac:dyDescent="0.25">
      <c r="A8781" s="5"/>
    </row>
    <row r="8782" spans="1:1" x14ac:dyDescent="0.25">
      <c r="A8782" s="5"/>
    </row>
    <row r="8783" spans="1:1" x14ac:dyDescent="0.25">
      <c r="A8783" s="5"/>
    </row>
    <row r="8784" spans="1:1" x14ac:dyDescent="0.25">
      <c r="A8784" s="5"/>
    </row>
    <row r="8785" spans="1:1" x14ac:dyDescent="0.25">
      <c r="A8785" s="5"/>
    </row>
    <row r="8786" spans="1:1" x14ac:dyDescent="0.25">
      <c r="A8786" s="5"/>
    </row>
    <row r="8787" spans="1:1" x14ac:dyDescent="0.25">
      <c r="A8787" s="5"/>
    </row>
    <row r="8788" spans="1:1" x14ac:dyDescent="0.25">
      <c r="A8788" s="5"/>
    </row>
    <row r="8789" spans="1:1" x14ac:dyDescent="0.25">
      <c r="A8789" s="5"/>
    </row>
    <row r="8790" spans="1:1" x14ac:dyDescent="0.25">
      <c r="A8790" s="5"/>
    </row>
    <row r="8791" spans="1:1" x14ac:dyDescent="0.25">
      <c r="A8791" s="5"/>
    </row>
    <row r="8792" spans="1:1" x14ac:dyDescent="0.25">
      <c r="A8792" s="5"/>
    </row>
    <row r="8793" spans="1:1" x14ac:dyDescent="0.25">
      <c r="A8793" s="5"/>
    </row>
    <row r="8794" spans="1:1" x14ac:dyDescent="0.25">
      <c r="A8794" s="5"/>
    </row>
    <row r="8795" spans="1:1" x14ac:dyDescent="0.25">
      <c r="A8795" s="5"/>
    </row>
    <row r="8796" spans="1:1" x14ac:dyDescent="0.25">
      <c r="A8796" s="5"/>
    </row>
    <row r="8797" spans="1:1" x14ac:dyDescent="0.25">
      <c r="A8797" s="5"/>
    </row>
    <row r="8798" spans="1:1" x14ac:dyDescent="0.25">
      <c r="A8798" s="5"/>
    </row>
    <row r="8799" spans="1:1" x14ac:dyDescent="0.25">
      <c r="A8799" s="5"/>
    </row>
    <row r="8800" spans="1:1" x14ac:dyDescent="0.25">
      <c r="A8800" s="5"/>
    </row>
    <row r="8801" spans="1:1" x14ac:dyDescent="0.25">
      <c r="A8801" s="5"/>
    </row>
    <row r="8802" spans="1:1" x14ac:dyDescent="0.25">
      <c r="A8802" s="5"/>
    </row>
    <row r="8803" spans="1:1" x14ac:dyDescent="0.25">
      <c r="A8803" s="5"/>
    </row>
    <row r="8804" spans="1:1" x14ac:dyDescent="0.25">
      <c r="A8804" s="5"/>
    </row>
    <row r="8805" spans="1:1" x14ac:dyDescent="0.25">
      <c r="A8805" s="5"/>
    </row>
    <row r="8806" spans="1:1" x14ac:dyDescent="0.25">
      <c r="A8806" s="5"/>
    </row>
    <row r="8807" spans="1:1" x14ac:dyDescent="0.25">
      <c r="A8807" s="5"/>
    </row>
    <row r="8808" spans="1:1" x14ac:dyDescent="0.25">
      <c r="A8808" s="5"/>
    </row>
    <row r="8809" spans="1:1" x14ac:dyDescent="0.25">
      <c r="A8809" s="5"/>
    </row>
    <row r="8810" spans="1:1" x14ac:dyDescent="0.25">
      <c r="A8810" s="5"/>
    </row>
    <row r="8811" spans="1:1" x14ac:dyDescent="0.25">
      <c r="A8811" s="5"/>
    </row>
    <row r="8812" spans="1:1" x14ac:dyDescent="0.25">
      <c r="A8812" s="5"/>
    </row>
    <row r="8813" spans="1:1" x14ac:dyDescent="0.25">
      <c r="A8813" s="5"/>
    </row>
    <row r="8814" spans="1:1" x14ac:dyDescent="0.25">
      <c r="A8814" s="5"/>
    </row>
    <row r="8815" spans="1:1" x14ac:dyDescent="0.25">
      <c r="A8815" s="5"/>
    </row>
    <row r="8816" spans="1:1" x14ac:dyDescent="0.25">
      <c r="A8816" s="5"/>
    </row>
    <row r="8817" spans="1:1" x14ac:dyDescent="0.25">
      <c r="A8817" s="5"/>
    </row>
    <row r="8818" spans="1:1" x14ac:dyDescent="0.25">
      <c r="A8818" s="5"/>
    </row>
    <row r="8819" spans="1:1" x14ac:dyDescent="0.25">
      <c r="A8819" s="5"/>
    </row>
    <row r="8820" spans="1:1" x14ac:dyDescent="0.25">
      <c r="A8820" s="5"/>
    </row>
    <row r="8821" spans="1:1" x14ac:dyDescent="0.25">
      <c r="A8821" s="5"/>
    </row>
    <row r="8822" spans="1:1" x14ac:dyDescent="0.25">
      <c r="A8822" s="5"/>
    </row>
    <row r="8823" spans="1:1" x14ac:dyDescent="0.25">
      <c r="A8823" s="5"/>
    </row>
    <row r="8824" spans="1:1" x14ac:dyDescent="0.25">
      <c r="A8824" s="5"/>
    </row>
    <row r="8825" spans="1:1" x14ac:dyDescent="0.25">
      <c r="A8825" s="5"/>
    </row>
    <row r="8826" spans="1:1" x14ac:dyDescent="0.25">
      <c r="A8826" s="5"/>
    </row>
    <row r="8827" spans="1:1" x14ac:dyDescent="0.25">
      <c r="A8827" s="5"/>
    </row>
    <row r="8828" spans="1:1" x14ac:dyDescent="0.25">
      <c r="A8828" s="5"/>
    </row>
    <row r="8829" spans="1:1" x14ac:dyDescent="0.25">
      <c r="A8829" s="5"/>
    </row>
    <row r="8830" spans="1:1" x14ac:dyDescent="0.25">
      <c r="A8830" s="5"/>
    </row>
    <row r="8831" spans="1:1" x14ac:dyDescent="0.25">
      <c r="A8831" s="5"/>
    </row>
    <row r="8832" spans="1:1" x14ac:dyDescent="0.25">
      <c r="A8832" s="5"/>
    </row>
    <row r="8833" spans="1:1" x14ac:dyDescent="0.25">
      <c r="A8833" s="5"/>
    </row>
    <row r="8834" spans="1:1" x14ac:dyDescent="0.25">
      <c r="A8834" s="5"/>
    </row>
    <row r="8835" spans="1:1" x14ac:dyDescent="0.25">
      <c r="A8835" s="5"/>
    </row>
    <row r="8836" spans="1:1" x14ac:dyDescent="0.25">
      <c r="A8836" s="5"/>
    </row>
    <row r="8837" spans="1:1" x14ac:dyDescent="0.25">
      <c r="A8837" s="5"/>
    </row>
    <row r="8838" spans="1:1" x14ac:dyDescent="0.25">
      <c r="A8838" s="5"/>
    </row>
    <row r="8839" spans="1:1" x14ac:dyDescent="0.25">
      <c r="A8839" s="5"/>
    </row>
    <row r="8840" spans="1:1" x14ac:dyDescent="0.25">
      <c r="A8840" s="5"/>
    </row>
    <row r="8841" spans="1:1" x14ac:dyDescent="0.25">
      <c r="A8841" s="5"/>
    </row>
    <row r="8842" spans="1:1" x14ac:dyDescent="0.25">
      <c r="A8842" s="5"/>
    </row>
    <row r="8843" spans="1:1" x14ac:dyDescent="0.25">
      <c r="A8843" s="5"/>
    </row>
    <row r="8844" spans="1:1" x14ac:dyDescent="0.25">
      <c r="A8844" s="5"/>
    </row>
    <row r="8845" spans="1:1" x14ac:dyDescent="0.25">
      <c r="A8845" s="5"/>
    </row>
    <row r="8846" spans="1:1" x14ac:dyDescent="0.25">
      <c r="A8846" s="5"/>
    </row>
    <row r="8847" spans="1:1" x14ac:dyDescent="0.25">
      <c r="A8847" s="5"/>
    </row>
    <row r="8848" spans="1:1" x14ac:dyDescent="0.25">
      <c r="A8848" s="5"/>
    </row>
    <row r="8849" spans="1:1" x14ac:dyDescent="0.25">
      <c r="A8849" s="5"/>
    </row>
    <row r="8850" spans="1:1" x14ac:dyDescent="0.25">
      <c r="A8850" s="5"/>
    </row>
    <row r="8851" spans="1:1" x14ac:dyDescent="0.25">
      <c r="A8851" s="5"/>
    </row>
    <row r="8852" spans="1:1" x14ac:dyDescent="0.25">
      <c r="A8852" s="5"/>
    </row>
    <row r="8853" spans="1:1" x14ac:dyDescent="0.25">
      <c r="A8853" s="5"/>
    </row>
    <row r="8854" spans="1:1" x14ac:dyDescent="0.25">
      <c r="A8854" s="5"/>
    </row>
    <row r="8855" spans="1:1" x14ac:dyDescent="0.25">
      <c r="A8855" s="5"/>
    </row>
    <row r="8856" spans="1:1" x14ac:dyDescent="0.25">
      <c r="A8856" s="5"/>
    </row>
    <row r="8857" spans="1:1" x14ac:dyDescent="0.25">
      <c r="A8857" s="5"/>
    </row>
    <row r="8858" spans="1:1" x14ac:dyDescent="0.25">
      <c r="A8858" s="5"/>
    </row>
    <row r="8859" spans="1:1" x14ac:dyDescent="0.25">
      <c r="A8859" s="5"/>
    </row>
    <row r="8860" spans="1:1" x14ac:dyDescent="0.25">
      <c r="A8860" s="5"/>
    </row>
    <row r="8861" spans="1:1" x14ac:dyDescent="0.25">
      <c r="A8861" s="5"/>
    </row>
    <row r="8862" spans="1:1" x14ac:dyDescent="0.25">
      <c r="A8862" s="5"/>
    </row>
    <row r="8863" spans="1:1" x14ac:dyDescent="0.25">
      <c r="A8863" s="5"/>
    </row>
    <row r="8864" spans="1:1" x14ac:dyDescent="0.25">
      <c r="A8864" s="5"/>
    </row>
    <row r="8865" spans="1:1" x14ac:dyDescent="0.25">
      <c r="A8865" s="5"/>
    </row>
    <row r="8866" spans="1:1" x14ac:dyDescent="0.25">
      <c r="A8866" s="5"/>
    </row>
    <row r="8867" spans="1:1" x14ac:dyDescent="0.25">
      <c r="A8867" s="5"/>
    </row>
    <row r="8868" spans="1:1" x14ac:dyDescent="0.25">
      <c r="A8868" s="5"/>
    </row>
    <row r="8869" spans="1:1" x14ac:dyDescent="0.25">
      <c r="A8869" s="5"/>
    </row>
    <row r="8870" spans="1:1" x14ac:dyDescent="0.25">
      <c r="A8870" s="5"/>
    </row>
    <row r="8871" spans="1:1" x14ac:dyDescent="0.25">
      <c r="A8871" s="5"/>
    </row>
    <row r="8872" spans="1:1" x14ac:dyDescent="0.25">
      <c r="A8872" s="5"/>
    </row>
    <row r="8873" spans="1:1" x14ac:dyDescent="0.25">
      <c r="A8873" s="5"/>
    </row>
    <row r="8874" spans="1:1" x14ac:dyDescent="0.25">
      <c r="A8874" s="5"/>
    </row>
    <row r="8875" spans="1:1" x14ac:dyDescent="0.25">
      <c r="A8875" s="5"/>
    </row>
    <row r="8876" spans="1:1" x14ac:dyDescent="0.25">
      <c r="A8876" s="5"/>
    </row>
    <row r="8877" spans="1:1" x14ac:dyDescent="0.25">
      <c r="A8877" s="5"/>
    </row>
    <row r="8878" spans="1:1" x14ac:dyDescent="0.25">
      <c r="A8878" s="5"/>
    </row>
    <row r="8879" spans="1:1" x14ac:dyDescent="0.25">
      <c r="A8879" s="5"/>
    </row>
    <row r="8880" spans="1:1" x14ac:dyDescent="0.25">
      <c r="A8880" s="5"/>
    </row>
    <row r="8881" spans="1:1" x14ac:dyDescent="0.25">
      <c r="A8881" s="5"/>
    </row>
    <row r="8882" spans="1:1" x14ac:dyDescent="0.25">
      <c r="A8882" s="5"/>
    </row>
    <row r="8883" spans="1:1" x14ac:dyDescent="0.25">
      <c r="A8883" s="5"/>
    </row>
    <row r="8884" spans="1:1" x14ac:dyDescent="0.25">
      <c r="A8884" s="5"/>
    </row>
    <row r="8885" spans="1:1" x14ac:dyDescent="0.25">
      <c r="A8885" s="5"/>
    </row>
    <row r="8886" spans="1:1" x14ac:dyDescent="0.25">
      <c r="A8886" s="5"/>
    </row>
    <row r="8887" spans="1:1" x14ac:dyDescent="0.25">
      <c r="A8887" s="5"/>
    </row>
    <row r="8888" spans="1:1" x14ac:dyDescent="0.25">
      <c r="A8888" s="5"/>
    </row>
    <row r="8889" spans="1:1" x14ac:dyDescent="0.25">
      <c r="A8889" s="5"/>
    </row>
    <row r="8890" spans="1:1" x14ac:dyDescent="0.25">
      <c r="A8890" s="5"/>
    </row>
    <row r="8891" spans="1:1" x14ac:dyDescent="0.25">
      <c r="A8891" s="5"/>
    </row>
    <row r="8892" spans="1:1" x14ac:dyDescent="0.25">
      <c r="A8892" s="5"/>
    </row>
    <row r="8893" spans="1:1" x14ac:dyDescent="0.25">
      <c r="A8893" s="5"/>
    </row>
    <row r="8894" spans="1:1" x14ac:dyDescent="0.25">
      <c r="A8894" s="5"/>
    </row>
    <row r="8895" spans="1:1" x14ac:dyDescent="0.25">
      <c r="A8895" s="5"/>
    </row>
    <row r="8896" spans="1:1" x14ac:dyDescent="0.25">
      <c r="A8896" s="5"/>
    </row>
    <row r="8897" spans="1:1" x14ac:dyDescent="0.25">
      <c r="A8897" s="5"/>
    </row>
    <row r="8898" spans="1:1" x14ac:dyDescent="0.25">
      <c r="A8898" s="5"/>
    </row>
    <row r="8899" spans="1:1" x14ac:dyDescent="0.25">
      <c r="A8899" s="5"/>
    </row>
    <row r="8900" spans="1:1" x14ac:dyDescent="0.25">
      <c r="A8900" s="5"/>
    </row>
    <row r="8901" spans="1:1" x14ac:dyDescent="0.25">
      <c r="A8901" s="5"/>
    </row>
    <row r="8902" spans="1:1" x14ac:dyDescent="0.25">
      <c r="A8902" s="5"/>
    </row>
    <row r="8903" spans="1:1" x14ac:dyDescent="0.25">
      <c r="A8903" s="5"/>
    </row>
    <row r="8904" spans="1:1" x14ac:dyDescent="0.25">
      <c r="A8904" s="5"/>
    </row>
    <row r="8905" spans="1:1" x14ac:dyDescent="0.25">
      <c r="A8905" s="5"/>
    </row>
    <row r="8906" spans="1:1" x14ac:dyDescent="0.25">
      <c r="A8906" s="5"/>
    </row>
    <row r="8907" spans="1:1" x14ac:dyDescent="0.25">
      <c r="A8907" s="5"/>
    </row>
    <row r="8908" spans="1:1" x14ac:dyDescent="0.25">
      <c r="A8908" s="5"/>
    </row>
    <row r="8909" spans="1:1" x14ac:dyDescent="0.25">
      <c r="A8909" s="5"/>
    </row>
    <row r="8910" spans="1:1" x14ac:dyDescent="0.25">
      <c r="A8910" s="5"/>
    </row>
    <row r="8911" spans="1:1" x14ac:dyDescent="0.25">
      <c r="A8911" s="5"/>
    </row>
    <row r="8912" spans="1:1" x14ac:dyDescent="0.25">
      <c r="A8912" s="5"/>
    </row>
    <row r="8913" spans="1:1" x14ac:dyDescent="0.25">
      <c r="A8913" s="5"/>
    </row>
    <row r="8914" spans="1:1" x14ac:dyDescent="0.25">
      <c r="A8914" s="5"/>
    </row>
    <row r="8915" spans="1:1" x14ac:dyDescent="0.25">
      <c r="A8915" s="5"/>
    </row>
    <row r="8916" spans="1:1" x14ac:dyDescent="0.25">
      <c r="A8916" s="5"/>
    </row>
    <row r="8917" spans="1:1" x14ac:dyDescent="0.25">
      <c r="A8917" s="5"/>
    </row>
    <row r="8918" spans="1:1" x14ac:dyDescent="0.25">
      <c r="A8918" s="5"/>
    </row>
    <row r="8919" spans="1:1" x14ac:dyDescent="0.25">
      <c r="A8919" s="5"/>
    </row>
    <row r="8920" spans="1:1" x14ac:dyDescent="0.25">
      <c r="A8920" s="5"/>
    </row>
    <row r="8921" spans="1:1" x14ac:dyDescent="0.25">
      <c r="A8921" s="5"/>
    </row>
    <row r="8922" spans="1:1" x14ac:dyDescent="0.25">
      <c r="A8922" s="5"/>
    </row>
    <row r="8923" spans="1:1" x14ac:dyDescent="0.25">
      <c r="A8923" s="5"/>
    </row>
    <row r="8924" spans="1:1" x14ac:dyDescent="0.25">
      <c r="A8924" s="5"/>
    </row>
    <row r="8925" spans="1:1" x14ac:dyDescent="0.25">
      <c r="A8925" s="5"/>
    </row>
    <row r="8926" spans="1:1" x14ac:dyDescent="0.25">
      <c r="A8926" s="5"/>
    </row>
    <row r="8927" spans="1:1" x14ac:dyDescent="0.25">
      <c r="A8927" s="5"/>
    </row>
    <row r="8928" spans="1:1" x14ac:dyDescent="0.25">
      <c r="A8928" s="5"/>
    </row>
    <row r="8929" spans="1:1" x14ac:dyDescent="0.25">
      <c r="A8929" s="5"/>
    </row>
    <row r="8930" spans="1:1" x14ac:dyDescent="0.25">
      <c r="A8930" s="5"/>
    </row>
    <row r="8931" spans="1:1" x14ac:dyDescent="0.25">
      <c r="A8931" s="5"/>
    </row>
    <row r="8932" spans="1:1" x14ac:dyDescent="0.25">
      <c r="A8932" s="5"/>
    </row>
    <row r="8933" spans="1:1" x14ac:dyDescent="0.25">
      <c r="A8933" s="5"/>
    </row>
    <row r="8934" spans="1:1" x14ac:dyDescent="0.25">
      <c r="A8934" s="5"/>
    </row>
    <row r="8935" spans="1:1" x14ac:dyDescent="0.25">
      <c r="A8935" s="5"/>
    </row>
    <row r="8936" spans="1:1" x14ac:dyDescent="0.25">
      <c r="A8936" s="5"/>
    </row>
    <row r="8937" spans="1:1" x14ac:dyDescent="0.25">
      <c r="A8937" s="5"/>
    </row>
    <row r="8938" spans="1:1" x14ac:dyDescent="0.25">
      <c r="A8938" s="5"/>
    </row>
    <row r="8939" spans="1:1" x14ac:dyDescent="0.25">
      <c r="A8939" s="5"/>
    </row>
    <row r="8940" spans="1:1" x14ac:dyDescent="0.25">
      <c r="A8940" s="5"/>
    </row>
    <row r="8941" spans="1:1" x14ac:dyDescent="0.25">
      <c r="A8941" s="5"/>
    </row>
    <row r="8942" spans="1:1" x14ac:dyDescent="0.25">
      <c r="A8942" s="5"/>
    </row>
    <row r="8943" spans="1:1" x14ac:dyDescent="0.25">
      <c r="A8943" s="5"/>
    </row>
    <row r="8944" spans="1:1" x14ac:dyDescent="0.25">
      <c r="A8944" s="5"/>
    </row>
    <row r="8945" spans="1:1" x14ac:dyDescent="0.25">
      <c r="A8945" s="5"/>
    </row>
    <row r="8946" spans="1:1" x14ac:dyDescent="0.25">
      <c r="A8946" s="5"/>
    </row>
    <row r="8947" spans="1:1" x14ac:dyDescent="0.25">
      <c r="A8947" s="5"/>
    </row>
    <row r="8948" spans="1:1" x14ac:dyDescent="0.25">
      <c r="A8948" s="5"/>
    </row>
    <row r="8949" spans="1:1" x14ac:dyDescent="0.25">
      <c r="A8949" s="5"/>
    </row>
    <row r="8950" spans="1:1" x14ac:dyDescent="0.25">
      <c r="A8950" s="5"/>
    </row>
    <row r="8951" spans="1:1" x14ac:dyDescent="0.25">
      <c r="A8951" s="5"/>
    </row>
    <row r="8952" spans="1:1" x14ac:dyDescent="0.25">
      <c r="A8952" s="5"/>
    </row>
    <row r="8953" spans="1:1" x14ac:dyDescent="0.25">
      <c r="A8953" s="5"/>
    </row>
    <row r="8954" spans="1:1" x14ac:dyDescent="0.25">
      <c r="A8954" s="5"/>
    </row>
    <row r="8955" spans="1:1" x14ac:dyDescent="0.25">
      <c r="A8955" s="5"/>
    </row>
    <row r="8956" spans="1:1" x14ac:dyDescent="0.25">
      <c r="A8956" s="5"/>
    </row>
    <row r="8957" spans="1:1" x14ac:dyDescent="0.25">
      <c r="A8957" s="5"/>
    </row>
    <row r="8958" spans="1:1" x14ac:dyDescent="0.25">
      <c r="A8958" s="5"/>
    </row>
    <row r="8959" spans="1:1" x14ac:dyDescent="0.25">
      <c r="A8959" s="5"/>
    </row>
    <row r="8960" spans="1:1" x14ac:dyDescent="0.25">
      <c r="A8960" s="5"/>
    </row>
    <row r="8961" spans="1:1" x14ac:dyDescent="0.25">
      <c r="A8961" s="5"/>
    </row>
    <row r="8962" spans="1:1" x14ac:dyDescent="0.25">
      <c r="A8962" s="5"/>
    </row>
    <row r="8963" spans="1:1" x14ac:dyDescent="0.25">
      <c r="A8963" s="5"/>
    </row>
    <row r="8964" spans="1:1" x14ac:dyDescent="0.25">
      <c r="A8964" s="5"/>
    </row>
    <row r="8965" spans="1:1" x14ac:dyDescent="0.25">
      <c r="A8965" s="5"/>
    </row>
    <row r="8966" spans="1:1" x14ac:dyDescent="0.25">
      <c r="A8966" s="5"/>
    </row>
    <row r="8967" spans="1:1" x14ac:dyDescent="0.25">
      <c r="A8967" s="5"/>
    </row>
    <row r="8968" spans="1:1" x14ac:dyDescent="0.25">
      <c r="A8968" s="5"/>
    </row>
    <row r="8969" spans="1:1" x14ac:dyDescent="0.25">
      <c r="A8969" s="5"/>
    </row>
    <row r="8970" spans="1:1" x14ac:dyDescent="0.25">
      <c r="A8970" s="5"/>
    </row>
    <row r="8971" spans="1:1" x14ac:dyDescent="0.25">
      <c r="A8971" s="5"/>
    </row>
    <row r="8972" spans="1:1" x14ac:dyDescent="0.25">
      <c r="A8972" s="5"/>
    </row>
    <row r="8973" spans="1:1" x14ac:dyDescent="0.25">
      <c r="A8973" s="5"/>
    </row>
    <row r="8974" spans="1:1" x14ac:dyDescent="0.25">
      <c r="A8974" s="5"/>
    </row>
    <row r="8975" spans="1:1" x14ac:dyDescent="0.25">
      <c r="A8975" s="5"/>
    </row>
    <row r="8976" spans="1:1" x14ac:dyDescent="0.25">
      <c r="A8976" s="5"/>
    </row>
    <row r="8977" spans="1:1" x14ac:dyDescent="0.25">
      <c r="A8977" s="5"/>
    </row>
    <row r="8978" spans="1:1" x14ac:dyDescent="0.25">
      <c r="A8978" s="5"/>
    </row>
    <row r="8979" spans="1:1" x14ac:dyDescent="0.25">
      <c r="A8979" s="5"/>
    </row>
    <row r="8980" spans="1:1" x14ac:dyDescent="0.25">
      <c r="A8980" s="5"/>
    </row>
    <row r="8981" spans="1:1" x14ac:dyDescent="0.25">
      <c r="A8981" s="5"/>
    </row>
    <row r="8982" spans="1:1" x14ac:dyDescent="0.25">
      <c r="A8982" s="5"/>
    </row>
    <row r="8983" spans="1:1" x14ac:dyDescent="0.25">
      <c r="A8983" s="5"/>
    </row>
    <row r="8984" spans="1:1" x14ac:dyDescent="0.25">
      <c r="A8984" s="5"/>
    </row>
    <row r="8985" spans="1:1" x14ac:dyDescent="0.25">
      <c r="A8985" s="5"/>
    </row>
    <row r="8986" spans="1:1" x14ac:dyDescent="0.25">
      <c r="A8986" s="5"/>
    </row>
    <row r="8987" spans="1:1" x14ac:dyDescent="0.25">
      <c r="A8987" s="5"/>
    </row>
    <row r="8988" spans="1:1" x14ac:dyDescent="0.25">
      <c r="A8988" s="5"/>
    </row>
    <row r="8989" spans="1:1" x14ac:dyDescent="0.25">
      <c r="A8989" s="5"/>
    </row>
    <row r="8990" spans="1:1" x14ac:dyDescent="0.25">
      <c r="A8990" s="5"/>
    </row>
    <row r="8991" spans="1:1" x14ac:dyDescent="0.25">
      <c r="A8991" s="5"/>
    </row>
    <row r="8992" spans="1:1" x14ac:dyDescent="0.25">
      <c r="A8992" s="5"/>
    </row>
    <row r="8993" spans="1:1" x14ac:dyDescent="0.25">
      <c r="A8993" s="5"/>
    </row>
    <row r="8994" spans="1:1" x14ac:dyDescent="0.25">
      <c r="A8994" s="5"/>
    </row>
    <row r="8995" spans="1:1" x14ac:dyDescent="0.25">
      <c r="A8995" s="5"/>
    </row>
    <row r="8996" spans="1:1" x14ac:dyDescent="0.25">
      <c r="A8996" s="5"/>
    </row>
    <row r="8997" spans="1:1" x14ac:dyDescent="0.25">
      <c r="A8997" s="5"/>
    </row>
    <row r="8998" spans="1:1" x14ac:dyDescent="0.25">
      <c r="A8998" s="5"/>
    </row>
    <row r="8999" spans="1:1" x14ac:dyDescent="0.25">
      <c r="A8999" s="5"/>
    </row>
    <row r="9000" spans="1:1" x14ac:dyDescent="0.25">
      <c r="A9000" s="5"/>
    </row>
    <row r="9001" spans="1:1" x14ac:dyDescent="0.25">
      <c r="A9001" s="5"/>
    </row>
    <row r="9002" spans="1:1" x14ac:dyDescent="0.25">
      <c r="A9002" s="5"/>
    </row>
    <row r="9003" spans="1:1" x14ac:dyDescent="0.25">
      <c r="A9003" s="5"/>
    </row>
    <row r="9004" spans="1:1" x14ac:dyDescent="0.25">
      <c r="A9004" s="5"/>
    </row>
    <row r="9005" spans="1:1" x14ac:dyDescent="0.25">
      <c r="A9005" s="5"/>
    </row>
    <row r="9006" spans="1:1" x14ac:dyDescent="0.25">
      <c r="A9006" s="5"/>
    </row>
    <row r="9007" spans="1:1" x14ac:dyDescent="0.25">
      <c r="A9007" s="5"/>
    </row>
    <row r="9008" spans="1:1" x14ac:dyDescent="0.25">
      <c r="A9008" s="5"/>
    </row>
    <row r="9009" spans="1:1" x14ac:dyDescent="0.25">
      <c r="A9009" s="5"/>
    </row>
    <row r="9010" spans="1:1" x14ac:dyDescent="0.25">
      <c r="A9010" s="5"/>
    </row>
    <row r="9011" spans="1:1" x14ac:dyDescent="0.25">
      <c r="A9011" s="5"/>
    </row>
    <row r="9012" spans="1:1" x14ac:dyDescent="0.25">
      <c r="A9012" s="5"/>
    </row>
    <row r="9013" spans="1:1" x14ac:dyDescent="0.25">
      <c r="A9013" s="5"/>
    </row>
    <row r="9014" spans="1:1" x14ac:dyDescent="0.25">
      <c r="A9014" s="5"/>
    </row>
    <row r="9015" spans="1:1" x14ac:dyDescent="0.25">
      <c r="A9015" s="5"/>
    </row>
    <row r="9016" spans="1:1" x14ac:dyDescent="0.25">
      <c r="A9016" s="5"/>
    </row>
    <row r="9017" spans="1:1" x14ac:dyDescent="0.25">
      <c r="A9017" s="5"/>
    </row>
    <row r="9018" spans="1:1" x14ac:dyDescent="0.25">
      <c r="A9018" s="5"/>
    </row>
    <row r="9019" spans="1:1" x14ac:dyDescent="0.25">
      <c r="A9019" s="5"/>
    </row>
    <row r="9020" spans="1:1" x14ac:dyDescent="0.25">
      <c r="A9020" s="5"/>
    </row>
    <row r="9021" spans="1:1" x14ac:dyDescent="0.25">
      <c r="A9021" s="5"/>
    </row>
    <row r="9022" spans="1:1" x14ac:dyDescent="0.25">
      <c r="A9022" s="5"/>
    </row>
    <row r="9023" spans="1:1" x14ac:dyDescent="0.25">
      <c r="A9023" s="5"/>
    </row>
    <row r="9024" spans="1:1" x14ac:dyDescent="0.25">
      <c r="A9024" s="5"/>
    </row>
    <row r="9025" spans="1:1" x14ac:dyDescent="0.25">
      <c r="A9025" s="5"/>
    </row>
    <row r="9026" spans="1:1" x14ac:dyDescent="0.25">
      <c r="A9026" s="5"/>
    </row>
    <row r="9027" spans="1:1" x14ac:dyDescent="0.25">
      <c r="A9027" s="5"/>
    </row>
    <row r="9028" spans="1:1" x14ac:dyDescent="0.25">
      <c r="A9028" s="5"/>
    </row>
    <row r="9029" spans="1:1" x14ac:dyDescent="0.25">
      <c r="A9029" s="5"/>
    </row>
    <row r="9030" spans="1:1" x14ac:dyDescent="0.25">
      <c r="A9030" s="5"/>
    </row>
    <row r="9031" spans="1:1" x14ac:dyDescent="0.25">
      <c r="A9031" s="5"/>
    </row>
    <row r="9032" spans="1:1" x14ac:dyDescent="0.25">
      <c r="A9032" s="5"/>
    </row>
    <row r="9033" spans="1:1" x14ac:dyDescent="0.25">
      <c r="A9033" s="5"/>
    </row>
    <row r="9034" spans="1:1" x14ac:dyDescent="0.25">
      <c r="A9034" s="5"/>
    </row>
    <row r="9035" spans="1:1" x14ac:dyDescent="0.25">
      <c r="A9035" s="5"/>
    </row>
    <row r="9036" spans="1:1" x14ac:dyDescent="0.25">
      <c r="A9036" s="5"/>
    </row>
    <row r="9037" spans="1:1" x14ac:dyDescent="0.25">
      <c r="A9037" s="5"/>
    </row>
    <row r="9038" spans="1:1" x14ac:dyDescent="0.25">
      <c r="A9038" s="5"/>
    </row>
    <row r="9039" spans="1:1" x14ac:dyDescent="0.25">
      <c r="A9039" s="5"/>
    </row>
    <row r="9040" spans="1:1" x14ac:dyDescent="0.25">
      <c r="A9040" s="5"/>
    </row>
    <row r="9041" spans="1:1" x14ac:dyDescent="0.25">
      <c r="A9041" s="5"/>
    </row>
    <row r="9042" spans="1:1" x14ac:dyDescent="0.25">
      <c r="A9042" s="5"/>
    </row>
    <row r="9043" spans="1:1" x14ac:dyDescent="0.25">
      <c r="A9043" s="5"/>
    </row>
    <row r="9044" spans="1:1" x14ac:dyDescent="0.25">
      <c r="A9044" s="5"/>
    </row>
    <row r="9045" spans="1:1" x14ac:dyDescent="0.25">
      <c r="A9045" s="5"/>
    </row>
    <row r="9046" spans="1:1" x14ac:dyDescent="0.25">
      <c r="A9046" s="5"/>
    </row>
    <row r="9047" spans="1:1" x14ac:dyDescent="0.25">
      <c r="A9047" s="5"/>
    </row>
    <row r="9048" spans="1:1" x14ac:dyDescent="0.25">
      <c r="A9048" s="5"/>
    </row>
    <row r="9049" spans="1:1" x14ac:dyDescent="0.25">
      <c r="A9049" s="5"/>
    </row>
    <row r="9050" spans="1:1" x14ac:dyDescent="0.25">
      <c r="A9050" s="5"/>
    </row>
    <row r="9051" spans="1:1" x14ac:dyDescent="0.25">
      <c r="A9051" s="5"/>
    </row>
    <row r="9052" spans="1:1" x14ac:dyDescent="0.25">
      <c r="A9052" s="5"/>
    </row>
    <row r="9053" spans="1:1" x14ac:dyDescent="0.25">
      <c r="A9053" s="5"/>
    </row>
    <row r="9054" spans="1:1" x14ac:dyDescent="0.25">
      <c r="A9054" s="5"/>
    </row>
    <row r="9055" spans="1:1" x14ac:dyDescent="0.25">
      <c r="A9055" s="5"/>
    </row>
    <row r="9056" spans="1:1" x14ac:dyDescent="0.25">
      <c r="A9056" s="5"/>
    </row>
    <row r="9057" spans="1:1" x14ac:dyDescent="0.25">
      <c r="A9057" s="5"/>
    </row>
    <row r="9058" spans="1:1" x14ac:dyDescent="0.25">
      <c r="A9058" s="5"/>
    </row>
    <row r="9059" spans="1:1" x14ac:dyDescent="0.25">
      <c r="A9059" s="5"/>
    </row>
    <row r="9060" spans="1:1" x14ac:dyDescent="0.25">
      <c r="A9060" s="5"/>
    </row>
    <row r="9061" spans="1:1" x14ac:dyDescent="0.25">
      <c r="A9061" s="5"/>
    </row>
    <row r="9062" spans="1:1" x14ac:dyDescent="0.25">
      <c r="A9062" s="5"/>
    </row>
    <row r="9063" spans="1:1" x14ac:dyDescent="0.25">
      <c r="A9063" s="5"/>
    </row>
    <row r="9064" spans="1:1" x14ac:dyDescent="0.25">
      <c r="A9064" s="5"/>
    </row>
    <row r="9065" spans="1:1" x14ac:dyDescent="0.25">
      <c r="A9065" s="5"/>
    </row>
    <row r="9066" spans="1:1" x14ac:dyDescent="0.25">
      <c r="A9066" s="5"/>
    </row>
    <row r="9067" spans="1:1" x14ac:dyDescent="0.25">
      <c r="A9067" s="5"/>
    </row>
    <row r="9068" spans="1:1" x14ac:dyDescent="0.25">
      <c r="A9068" s="5"/>
    </row>
    <row r="9069" spans="1:1" x14ac:dyDescent="0.25">
      <c r="A9069" s="5"/>
    </row>
    <row r="9070" spans="1:1" x14ac:dyDescent="0.25">
      <c r="A9070" s="5"/>
    </row>
    <row r="9071" spans="1:1" x14ac:dyDescent="0.25">
      <c r="A9071" s="5"/>
    </row>
    <row r="9072" spans="1:1" x14ac:dyDescent="0.25">
      <c r="A9072" s="5"/>
    </row>
    <row r="9073" spans="1:1" x14ac:dyDescent="0.25">
      <c r="A9073" s="5"/>
    </row>
    <row r="9074" spans="1:1" x14ac:dyDescent="0.25">
      <c r="A9074" s="5"/>
    </row>
    <row r="9075" spans="1:1" x14ac:dyDescent="0.25">
      <c r="A9075" s="5"/>
    </row>
    <row r="9076" spans="1:1" x14ac:dyDescent="0.25">
      <c r="A9076" s="5"/>
    </row>
    <row r="9077" spans="1:1" x14ac:dyDescent="0.25">
      <c r="A9077" s="5"/>
    </row>
    <row r="9078" spans="1:1" x14ac:dyDescent="0.25">
      <c r="A9078" s="5"/>
    </row>
    <row r="9079" spans="1:1" x14ac:dyDescent="0.25">
      <c r="A9079" s="5"/>
    </row>
    <row r="9080" spans="1:1" x14ac:dyDescent="0.25">
      <c r="A9080" s="5"/>
    </row>
    <row r="9081" spans="1:1" x14ac:dyDescent="0.25">
      <c r="A9081" s="5"/>
    </row>
    <row r="9082" spans="1:1" x14ac:dyDescent="0.25">
      <c r="A9082" s="5"/>
    </row>
    <row r="9083" spans="1:1" x14ac:dyDescent="0.25">
      <c r="A9083" s="5"/>
    </row>
    <row r="9084" spans="1:1" x14ac:dyDescent="0.25">
      <c r="A9084" s="5"/>
    </row>
    <row r="9085" spans="1:1" x14ac:dyDescent="0.25">
      <c r="A9085" s="5"/>
    </row>
    <row r="9086" spans="1:1" x14ac:dyDescent="0.25">
      <c r="A9086" s="5"/>
    </row>
    <row r="9087" spans="1:1" x14ac:dyDescent="0.25">
      <c r="A9087" s="5"/>
    </row>
    <row r="9088" spans="1:1" x14ac:dyDescent="0.25">
      <c r="A9088" s="5"/>
    </row>
    <row r="9089" spans="1:1" x14ac:dyDescent="0.25">
      <c r="A9089" s="5"/>
    </row>
    <row r="9090" spans="1:1" x14ac:dyDescent="0.25">
      <c r="A9090" s="5"/>
    </row>
    <row r="9091" spans="1:1" x14ac:dyDescent="0.25">
      <c r="A9091" s="5"/>
    </row>
    <row r="9092" spans="1:1" x14ac:dyDescent="0.25">
      <c r="A9092" s="5"/>
    </row>
    <row r="9093" spans="1:1" x14ac:dyDescent="0.25">
      <c r="A9093" s="5"/>
    </row>
    <row r="9094" spans="1:1" x14ac:dyDescent="0.25">
      <c r="A9094" s="5"/>
    </row>
    <row r="9095" spans="1:1" x14ac:dyDescent="0.25">
      <c r="A9095" s="5"/>
    </row>
    <row r="9096" spans="1:1" x14ac:dyDescent="0.25">
      <c r="A9096" s="5"/>
    </row>
    <row r="9097" spans="1:1" x14ac:dyDescent="0.25">
      <c r="A9097" s="5"/>
    </row>
    <row r="9098" spans="1:1" x14ac:dyDescent="0.25">
      <c r="A9098" s="5"/>
    </row>
    <row r="9099" spans="1:1" x14ac:dyDescent="0.25">
      <c r="A9099" s="5"/>
    </row>
    <row r="9100" spans="1:1" x14ac:dyDescent="0.25">
      <c r="A9100" s="5"/>
    </row>
    <row r="9101" spans="1:1" x14ac:dyDescent="0.25">
      <c r="A9101" s="5"/>
    </row>
    <row r="9102" spans="1:1" x14ac:dyDescent="0.25">
      <c r="A9102" s="5"/>
    </row>
    <row r="9103" spans="1:1" x14ac:dyDescent="0.25">
      <c r="A9103" s="5"/>
    </row>
    <row r="9104" spans="1:1" x14ac:dyDescent="0.25">
      <c r="A9104" s="5"/>
    </row>
    <row r="9105" spans="1:1" x14ac:dyDescent="0.25">
      <c r="A9105" s="5"/>
    </row>
    <row r="9106" spans="1:1" x14ac:dyDescent="0.25">
      <c r="A9106" s="5"/>
    </row>
    <row r="9107" spans="1:1" x14ac:dyDescent="0.25">
      <c r="A9107" s="5"/>
    </row>
    <row r="9108" spans="1:1" x14ac:dyDescent="0.25">
      <c r="A9108" s="5"/>
    </row>
    <row r="9109" spans="1:1" x14ac:dyDescent="0.25">
      <c r="A9109" s="5"/>
    </row>
    <row r="9110" spans="1:1" x14ac:dyDescent="0.25">
      <c r="A9110" s="5"/>
    </row>
    <row r="9111" spans="1:1" x14ac:dyDescent="0.25">
      <c r="A9111" s="5"/>
    </row>
    <row r="9112" spans="1:1" x14ac:dyDescent="0.25">
      <c r="A9112" s="5"/>
    </row>
    <row r="9113" spans="1:1" x14ac:dyDescent="0.25">
      <c r="A9113" s="5"/>
    </row>
    <row r="9114" spans="1:1" x14ac:dyDescent="0.25">
      <c r="A9114" s="5"/>
    </row>
    <row r="9115" spans="1:1" x14ac:dyDescent="0.25">
      <c r="A9115" s="5"/>
    </row>
    <row r="9116" spans="1:1" x14ac:dyDescent="0.25">
      <c r="A9116" s="5"/>
    </row>
    <row r="9117" spans="1:1" x14ac:dyDescent="0.25">
      <c r="A9117" s="5"/>
    </row>
    <row r="9118" spans="1:1" x14ac:dyDescent="0.25">
      <c r="A9118" s="5"/>
    </row>
    <row r="9119" spans="1:1" x14ac:dyDescent="0.25">
      <c r="A9119" s="5"/>
    </row>
    <row r="9120" spans="1:1" x14ac:dyDescent="0.25">
      <c r="A9120" s="5"/>
    </row>
    <row r="9121" spans="1:1" x14ac:dyDescent="0.25">
      <c r="A9121" s="5"/>
    </row>
    <row r="9122" spans="1:1" x14ac:dyDescent="0.25">
      <c r="A9122" s="5"/>
    </row>
    <row r="9123" spans="1:1" x14ac:dyDescent="0.25">
      <c r="A9123" s="5"/>
    </row>
    <row r="9124" spans="1:1" x14ac:dyDescent="0.25">
      <c r="A9124" s="5"/>
    </row>
    <row r="9125" spans="1:1" x14ac:dyDescent="0.25">
      <c r="A9125" s="5"/>
    </row>
    <row r="9126" spans="1:1" x14ac:dyDescent="0.25">
      <c r="A9126" s="5"/>
    </row>
    <row r="9127" spans="1:1" x14ac:dyDescent="0.25">
      <c r="A9127" s="5"/>
    </row>
    <row r="9128" spans="1:1" x14ac:dyDescent="0.25">
      <c r="A9128" s="5"/>
    </row>
    <row r="9129" spans="1:1" x14ac:dyDescent="0.25">
      <c r="A9129" s="5"/>
    </row>
    <row r="9130" spans="1:1" x14ac:dyDescent="0.25">
      <c r="A9130" s="5"/>
    </row>
    <row r="9131" spans="1:1" x14ac:dyDescent="0.25">
      <c r="A9131" s="5"/>
    </row>
    <row r="9132" spans="1:1" x14ac:dyDescent="0.25">
      <c r="A9132" s="5"/>
    </row>
    <row r="9133" spans="1:1" x14ac:dyDescent="0.25">
      <c r="A9133" s="5"/>
    </row>
    <row r="9134" spans="1:1" x14ac:dyDescent="0.25">
      <c r="A9134" s="5"/>
    </row>
    <row r="9135" spans="1:1" x14ac:dyDescent="0.25">
      <c r="A9135" s="5"/>
    </row>
    <row r="9136" spans="1:1" x14ac:dyDescent="0.25">
      <c r="A9136" s="5"/>
    </row>
    <row r="9137" spans="1:1" x14ac:dyDescent="0.25">
      <c r="A9137" s="5"/>
    </row>
    <row r="9138" spans="1:1" x14ac:dyDescent="0.25">
      <c r="A9138" s="5"/>
    </row>
    <row r="9139" spans="1:1" x14ac:dyDescent="0.25">
      <c r="A9139" s="5"/>
    </row>
    <row r="9140" spans="1:1" x14ac:dyDescent="0.25">
      <c r="A9140" s="5"/>
    </row>
    <row r="9141" spans="1:1" x14ac:dyDescent="0.25">
      <c r="A9141" s="5"/>
    </row>
    <row r="9142" spans="1:1" x14ac:dyDescent="0.25">
      <c r="A9142" s="5"/>
    </row>
    <row r="9143" spans="1:1" x14ac:dyDescent="0.25">
      <c r="A9143" s="5"/>
    </row>
    <row r="9144" spans="1:1" x14ac:dyDescent="0.25">
      <c r="A9144" s="5"/>
    </row>
    <row r="9145" spans="1:1" x14ac:dyDescent="0.25">
      <c r="A9145" s="5"/>
    </row>
    <row r="9146" spans="1:1" x14ac:dyDescent="0.25">
      <c r="A9146" s="5"/>
    </row>
    <row r="9147" spans="1:1" x14ac:dyDescent="0.25">
      <c r="A9147" s="5"/>
    </row>
    <row r="9148" spans="1:1" x14ac:dyDescent="0.25">
      <c r="A9148" s="5"/>
    </row>
    <row r="9149" spans="1:1" x14ac:dyDescent="0.25">
      <c r="A9149" s="5"/>
    </row>
    <row r="9150" spans="1:1" x14ac:dyDescent="0.25">
      <c r="A9150" s="5"/>
    </row>
    <row r="9151" spans="1:1" x14ac:dyDescent="0.25">
      <c r="A9151" s="5"/>
    </row>
    <row r="9152" spans="1:1" x14ac:dyDescent="0.25">
      <c r="A9152" s="5"/>
    </row>
    <row r="9153" spans="1:1" x14ac:dyDescent="0.25">
      <c r="A9153" s="5"/>
    </row>
    <row r="9154" spans="1:1" x14ac:dyDescent="0.25">
      <c r="A9154" s="5"/>
    </row>
    <row r="9155" spans="1:1" x14ac:dyDescent="0.25">
      <c r="A9155" s="5"/>
    </row>
    <row r="9156" spans="1:1" x14ac:dyDescent="0.25">
      <c r="A9156" s="5"/>
    </row>
    <row r="9157" spans="1:1" x14ac:dyDescent="0.25">
      <c r="A9157" s="5"/>
    </row>
    <row r="9158" spans="1:1" x14ac:dyDescent="0.25">
      <c r="A9158" s="5"/>
    </row>
    <row r="9159" spans="1:1" x14ac:dyDescent="0.25">
      <c r="A9159" s="5"/>
    </row>
    <row r="9160" spans="1:1" x14ac:dyDescent="0.25">
      <c r="A9160" s="5"/>
    </row>
    <row r="9161" spans="1:1" x14ac:dyDescent="0.25">
      <c r="A9161" s="5"/>
    </row>
    <row r="9162" spans="1:1" x14ac:dyDescent="0.25">
      <c r="A9162" s="5"/>
    </row>
    <row r="9163" spans="1:1" x14ac:dyDescent="0.25">
      <c r="A9163" s="5"/>
    </row>
    <row r="9164" spans="1:1" x14ac:dyDescent="0.25">
      <c r="A9164" s="5"/>
    </row>
    <row r="9165" spans="1:1" x14ac:dyDescent="0.25">
      <c r="A9165" s="5"/>
    </row>
    <row r="9166" spans="1:1" x14ac:dyDescent="0.25">
      <c r="A9166" s="5"/>
    </row>
    <row r="9167" spans="1:1" x14ac:dyDescent="0.25">
      <c r="A9167" s="5"/>
    </row>
    <row r="9168" spans="1:1" x14ac:dyDescent="0.25">
      <c r="A9168" s="5"/>
    </row>
    <row r="9169" spans="1:1" x14ac:dyDescent="0.25">
      <c r="A9169" s="5"/>
    </row>
    <row r="9170" spans="1:1" x14ac:dyDescent="0.25">
      <c r="A9170" s="5"/>
    </row>
    <row r="9171" spans="1:1" x14ac:dyDescent="0.25">
      <c r="A9171" s="5"/>
    </row>
    <row r="9172" spans="1:1" x14ac:dyDescent="0.25">
      <c r="A9172" s="5"/>
    </row>
    <row r="9173" spans="1:1" x14ac:dyDescent="0.25">
      <c r="A9173" s="5"/>
    </row>
    <row r="9174" spans="1:1" x14ac:dyDescent="0.25">
      <c r="A9174" s="5"/>
    </row>
    <row r="9175" spans="1:1" x14ac:dyDescent="0.25">
      <c r="A9175" s="5"/>
    </row>
    <row r="9176" spans="1:1" x14ac:dyDescent="0.25">
      <c r="A9176" s="5"/>
    </row>
    <row r="9177" spans="1:1" x14ac:dyDescent="0.25">
      <c r="A9177" s="5"/>
    </row>
    <row r="9178" spans="1:1" x14ac:dyDescent="0.25">
      <c r="A9178" s="5"/>
    </row>
    <row r="9179" spans="1:1" x14ac:dyDescent="0.25">
      <c r="A9179" s="5"/>
    </row>
    <row r="9180" spans="1:1" x14ac:dyDescent="0.25">
      <c r="A9180" s="5"/>
    </row>
    <row r="9181" spans="1:1" x14ac:dyDescent="0.25">
      <c r="A9181" s="5"/>
    </row>
    <row r="9182" spans="1:1" x14ac:dyDescent="0.25">
      <c r="A9182" s="5"/>
    </row>
    <row r="9183" spans="1:1" x14ac:dyDescent="0.25">
      <c r="A9183" s="5"/>
    </row>
    <row r="9184" spans="1:1" x14ac:dyDescent="0.25">
      <c r="A9184" s="5"/>
    </row>
    <row r="9185" spans="1:1" x14ac:dyDescent="0.25">
      <c r="A9185" s="5"/>
    </row>
    <row r="9186" spans="1:1" x14ac:dyDescent="0.25">
      <c r="A9186" s="5"/>
    </row>
    <row r="9187" spans="1:1" x14ac:dyDescent="0.25">
      <c r="A9187" s="5"/>
    </row>
    <row r="9188" spans="1:1" x14ac:dyDescent="0.25">
      <c r="A9188" s="5"/>
    </row>
    <row r="9189" spans="1:1" x14ac:dyDescent="0.25">
      <c r="A9189" s="5"/>
    </row>
    <row r="9190" spans="1:1" x14ac:dyDescent="0.25">
      <c r="A9190" s="5"/>
    </row>
    <row r="9191" spans="1:1" x14ac:dyDescent="0.25">
      <c r="A9191" s="5"/>
    </row>
    <row r="9192" spans="1:1" x14ac:dyDescent="0.25">
      <c r="A9192" s="5"/>
    </row>
    <row r="9193" spans="1:1" x14ac:dyDescent="0.25">
      <c r="A9193" s="5"/>
    </row>
    <row r="9194" spans="1:1" x14ac:dyDescent="0.25">
      <c r="A9194" s="5"/>
    </row>
    <row r="9195" spans="1:1" x14ac:dyDescent="0.25">
      <c r="A9195" s="5"/>
    </row>
    <row r="9196" spans="1:1" x14ac:dyDescent="0.25">
      <c r="A9196" s="5"/>
    </row>
    <row r="9197" spans="1:1" x14ac:dyDescent="0.25">
      <c r="A9197" s="5"/>
    </row>
    <row r="9198" spans="1:1" x14ac:dyDescent="0.25">
      <c r="A9198" s="5"/>
    </row>
    <row r="9199" spans="1:1" x14ac:dyDescent="0.25">
      <c r="A9199" s="5"/>
    </row>
    <row r="9200" spans="1:1" x14ac:dyDescent="0.25">
      <c r="A9200" s="5"/>
    </row>
    <row r="9201" spans="1:1" x14ac:dyDescent="0.25">
      <c r="A9201" s="5"/>
    </row>
    <row r="9202" spans="1:1" x14ac:dyDescent="0.25">
      <c r="A9202" s="5"/>
    </row>
    <row r="9203" spans="1:1" x14ac:dyDescent="0.25">
      <c r="A9203" s="5"/>
    </row>
    <row r="9204" spans="1:1" x14ac:dyDescent="0.25">
      <c r="A9204" s="5"/>
    </row>
    <row r="9205" spans="1:1" x14ac:dyDescent="0.25">
      <c r="A9205" s="5"/>
    </row>
    <row r="9206" spans="1:1" x14ac:dyDescent="0.25">
      <c r="A9206" s="5"/>
    </row>
    <row r="9207" spans="1:1" x14ac:dyDescent="0.25">
      <c r="A9207" s="5"/>
    </row>
    <row r="9208" spans="1:1" x14ac:dyDescent="0.25">
      <c r="A9208" s="5"/>
    </row>
    <row r="9209" spans="1:1" x14ac:dyDescent="0.25">
      <c r="A9209" s="5"/>
    </row>
    <row r="9210" spans="1:1" x14ac:dyDescent="0.25">
      <c r="A9210" s="5"/>
    </row>
    <row r="9211" spans="1:1" x14ac:dyDescent="0.25">
      <c r="A9211" s="5"/>
    </row>
    <row r="9212" spans="1:1" x14ac:dyDescent="0.25">
      <c r="A9212" s="5"/>
    </row>
    <row r="9213" spans="1:1" x14ac:dyDescent="0.25">
      <c r="A9213" s="5"/>
    </row>
    <row r="9214" spans="1:1" x14ac:dyDescent="0.25">
      <c r="A9214" s="5"/>
    </row>
    <row r="9215" spans="1:1" x14ac:dyDescent="0.25">
      <c r="A9215" s="5"/>
    </row>
    <row r="9216" spans="1:1" x14ac:dyDescent="0.25">
      <c r="A9216" s="5"/>
    </row>
    <row r="9217" spans="1:1" x14ac:dyDescent="0.25">
      <c r="A9217" s="5"/>
    </row>
    <row r="9218" spans="1:1" x14ac:dyDescent="0.25">
      <c r="A9218" s="5"/>
    </row>
    <row r="9219" spans="1:1" x14ac:dyDescent="0.25">
      <c r="A9219" s="5"/>
    </row>
    <row r="9220" spans="1:1" x14ac:dyDescent="0.25">
      <c r="A9220" s="5"/>
    </row>
    <row r="9221" spans="1:1" x14ac:dyDescent="0.25">
      <c r="A9221" s="5"/>
    </row>
    <row r="9222" spans="1:1" x14ac:dyDescent="0.25">
      <c r="A9222" s="5"/>
    </row>
    <row r="9223" spans="1:1" x14ac:dyDescent="0.25">
      <c r="A9223" s="5"/>
    </row>
    <row r="9224" spans="1:1" x14ac:dyDescent="0.25">
      <c r="A9224" s="5"/>
    </row>
    <row r="9225" spans="1:1" x14ac:dyDescent="0.25">
      <c r="A9225" s="5"/>
    </row>
    <row r="9226" spans="1:1" x14ac:dyDescent="0.25">
      <c r="A9226" s="5"/>
    </row>
    <row r="9227" spans="1:1" x14ac:dyDescent="0.25">
      <c r="A9227" s="5"/>
    </row>
    <row r="9228" spans="1:1" x14ac:dyDescent="0.25">
      <c r="A9228" s="5"/>
    </row>
    <row r="9229" spans="1:1" x14ac:dyDescent="0.25">
      <c r="A9229" s="5"/>
    </row>
    <row r="9230" spans="1:1" x14ac:dyDescent="0.25">
      <c r="A9230" s="5"/>
    </row>
    <row r="9231" spans="1:1" x14ac:dyDescent="0.25">
      <c r="A9231" s="5"/>
    </row>
    <row r="9232" spans="1:1" x14ac:dyDescent="0.25">
      <c r="A9232" s="5"/>
    </row>
    <row r="9233" spans="1:1" x14ac:dyDescent="0.25">
      <c r="A9233" s="5"/>
    </row>
    <row r="9234" spans="1:1" x14ac:dyDescent="0.25">
      <c r="A9234" s="5"/>
    </row>
    <row r="9235" spans="1:1" x14ac:dyDescent="0.25">
      <c r="A9235" s="5"/>
    </row>
    <row r="9236" spans="1:1" x14ac:dyDescent="0.25">
      <c r="A9236" s="5"/>
    </row>
    <row r="9237" spans="1:1" x14ac:dyDescent="0.25">
      <c r="A9237" s="5"/>
    </row>
    <row r="9238" spans="1:1" x14ac:dyDescent="0.25">
      <c r="A9238" s="5"/>
    </row>
    <row r="9239" spans="1:1" x14ac:dyDescent="0.25">
      <c r="A9239" s="5"/>
    </row>
    <row r="9240" spans="1:1" x14ac:dyDescent="0.25">
      <c r="A9240" s="5"/>
    </row>
    <row r="9241" spans="1:1" x14ac:dyDescent="0.25">
      <c r="A9241" s="5"/>
    </row>
    <row r="9242" spans="1:1" x14ac:dyDescent="0.25">
      <c r="A9242" s="5"/>
    </row>
    <row r="9243" spans="1:1" x14ac:dyDescent="0.25">
      <c r="A9243" s="5"/>
    </row>
    <row r="9244" spans="1:1" x14ac:dyDescent="0.25">
      <c r="A9244" s="5"/>
    </row>
    <row r="9245" spans="1:1" x14ac:dyDescent="0.25">
      <c r="A9245" s="5"/>
    </row>
    <row r="9246" spans="1:1" x14ac:dyDescent="0.25">
      <c r="A9246" s="5"/>
    </row>
    <row r="9247" spans="1:1" x14ac:dyDescent="0.25">
      <c r="A9247" s="5"/>
    </row>
    <row r="9248" spans="1:1" x14ac:dyDescent="0.25">
      <c r="A9248" s="5"/>
    </row>
    <row r="9249" spans="1:1" x14ac:dyDescent="0.25">
      <c r="A9249" s="5"/>
    </row>
    <row r="9250" spans="1:1" x14ac:dyDescent="0.25">
      <c r="A9250" s="5"/>
    </row>
    <row r="9251" spans="1:1" x14ac:dyDescent="0.25">
      <c r="A9251" s="5"/>
    </row>
    <row r="9252" spans="1:1" x14ac:dyDescent="0.25">
      <c r="A9252" s="5"/>
    </row>
    <row r="9253" spans="1:1" x14ac:dyDescent="0.25">
      <c r="A9253" s="5"/>
    </row>
    <row r="9254" spans="1:1" x14ac:dyDescent="0.25">
      <c r="A9254" s="5"/>
    </row>
    <row r="9255" spans="1:1" x14ac:dyDescent="0.25">
      <c r="A9255" s="5"/>
    </row>
    <row r="9256" spans="1:1" x14ac:dyDescent="0.25">
      <c r="A9256" s="5"/>
    </row>
    <row r="9257" spans="1:1" x14ac:dyDescent="0.25">
      <c r="A9257" s="5"/>
    </row>
    <row r="9258" spans="1:1" x14ac:dyDescent="0.25">
      <c r="A9258" s="5"/>
    </row>
    <row r="9259" spans="1:1" x14ac:dyDescent="0.25">
      <c r="A9259" s="5"/>
    </row>
    <row r="9260" spans="1:1" x14ac:dyDescent="0.25">
      <c r="A9260" s="5"/>
    </row>
    <row r="9261" spans="1:1" x14ac:dyDescent="0.25">
      <c r="A9261" s="5"/>
    </row>
    <row r="9262" spans="1:1" x14ac:dyDescent="0.25">
      <c r="A9262" s="5"/>
    </row>
    <row r="9263" spans="1:1" x14ac:dyDescent="0.25">
      <c r="A9263" s="5"/>
    </row>
    <row r="9264" spans="1:1" x14ac:dyDescent="0.25">
      <c r="A9264" s="5"/>
    </row>
    <row r="9265" spans="1:1" x14ac:dyDescent="0.25">
      <c r="A9265" s="5"/>
    </row>
    <row r="9266" spans="1:1" x14ac:dyDescent="0.25">
      <c r="A9266" s="5"/>
    </row>
    <row r="9267" spans="1:1" x14ac:dyDescent="0.25">
      <c r="A9267" s="5"/>
    </row>
    <row r="9268" spans="1:1" x14ac:dyDescent="0.25">
      <c r="A9268" s="5"/>
    </row>
    <row r="9269" spans="1:1" x14ac:dyDescent="0.25">
      <c r="A9269" s="5"/>
    </row>
    <row r="9270" spans="1:1" x14ac:dyDescent="0.25">
      <c r="A9270" s="5"/>
    </row>
    <row r="9271" spans="1:1" x14ac:dyDescent="0.25">
      <c r="A9271" s="5"/>
    </row>
    <row r="9272" spans="1:1" x14ac:dyDescent="0.25">
      <c r="A9272" s="5"/>
    </row>
    <row r="9273" spans="1:1" x14ac:dyDescent="0.25">
      <c r="A9273" s="5"/>
    </row>
    <row r="9274" spans="1:1" x14ac:dyDescent="0.25">
      <c r="A9274" s="5"/>
    </row>
    <row r="9275" spans="1:1" x14ac:dyDescent="0.25">
      <c r="A9275" s="5"/>
    </row>
    <row r="9276" spans="1:1" x14ac:dyDescent="0.25">
      <c r="A9276" s="5"/>
    </row>
    <row r="9277" spans="1:1" x14ac:dyDescent="0.25">
      <c r="A9277" s="5"/>
    </row>
    <row r="9278" spans="1:1" x14ac:dyDescent="0.25">
      <c r="A9278" s="5"/>
    </row>
    <row r="9279" spans="1:1" x14ac:dyDescent="0.25">
      <c r="A9279" s="5"/>
    </row>
    <row r="9280" spans="1:1" x14ac:dyDescent="0.25">
      <c r="A9280" s="5"/>
    </row>
    <row r="9281" spans="1:1" x14ac:dyDescent="0.25">
      <c r="A9281" s="5"/>
    </row>
    <row r="9282" spans="1:1" x14ac:dyDescent="0.25">
      <c r="A9282" s="5"/>
    </row>
    <row r="9283" spans="1:1" x14ac:dyDescent="0.25">
      <c r="A9283" s="5"/>
    </row>
    <row r="9284" spans="1:1" x14ac:dyDescent="0.25">
      <c r="A9284" s="5"/>
    </row>
    <row r="9285" spans="1:1" x14ac:dyDescent="0.25">
      <c r="A9285" s="5"/>
    </row>
    <row r="9286" spans="1:1" x14ac:dyDescent="0.25">
      <c r="A9286" s="5"/>
    </row>
    <row r="9287" spans="1:1" x14ac:dyDescent="0.25">
      <c r="A9287" s="5"/>
    </row>
    <row r="9288" spans="1:1" x14ac:dyDescent="0.25">
      <c r="A9288" s="5"/>
    </row>
    <row r="9289" spans="1:1" x14ac:dyDescent="0.25">
      <c r="A9289" s="5"/>
    </row>
    <row r="9290" spans="1:1" x14ac:dyDescent="0.25">
      <c r="A9290" s="5"/>
    </row>
    <row r="9291" spans="1:1" x14ac:dyDescent="0.25">
      <c r="A9291" s="5"/>
    </row>
    <row r="9292" spans="1:1" x14ac:dyDescent="0.25">
      <c r="A9292" s="5"/>
    </row>
    <row r="9293" spans="1:1" x14ac:dyDescent="0.25">
      <c r="A9293" s="5"/>
    </row>
    <row r="9294" spans="1:1" x14ac:dyDescent="0.25">
      <c r="A9294" s="5"/>
    </row>
    <row r="9295" spans="1:1" x14ac:dyDescent="0.25">
      <c r="A9295" s="5"/>
    </row>
    <row r="9296" spans="1:1" x14ac:dyDescent="0.25">
      <c r="A9296" s="5"/>
    </row>
    <row r="9297" spans="1:1" x14ac:dyDescent="0.25">
      <c r="A9297" s="5"/>
    </row>
    <row r="9298" spans="1:1" x14ac:dyDescent="0.25">
      <c r="A9298" s="5"/>
    </row>
    <row r="9299" spans="1:1" x14ac:dyDescent="0.25">
      <c r="A9299" s="5"/>
    </row>
    <row r="9300" spans="1:1" x14ac:dyDescent="0.25">
      <c r="A9300" s="5"/>
    </row>
    <row r="9301" spans="1:1" x14ac:dyDescent="0.25">
      <c r="A9301" s="5"/>
    </row>
    <row r="9302" spans="1:1" x14ac:dyDescent="0.25">
      <c r="A9302" s="5"/>
    </row>
    <row r="9303" spans="1:1" x14ac:dyDescent="0.25">
      <c r="A9303" s="5"/>
    </row>
    <row r="9304" spans="1:1" x14ac:dyDescent="0.25">
      <c r="A9304" s="5"/>
    </row>
    <row r="9305" spans="1:1" x14ac:dyDescent="0.25">
      <c r="A9305" s="5"/>
    </row>
    <row r="9306" spans="1:1" x14ac:dyDescent="0.25">
      <c r="A9306" s="5"/>
    </row>
    <row r="9307" spans="1:1" x14ac:dyDescent="0.25">
      <c r="A9307" s="5"/>
    </row>
    <row r="9308" spans="1:1" x14ac:dyDescent="0.25">
      <c r="A9308" s="5"/>
    </row>
    <row r="9309" spans="1:1" x14ac:dyDescent="0.25">
      <c r="A9309" s="5"/>
    </row>
    <row r="9310" spans="1:1" x14ac:dyDescent="0.25">
      <c r="A9310" s="5"/>
    </row>
    <row r="9311" spans="1:1" x14ac:dyDescent="0.25">
      <c r="A9311" s="5"/>
    </row>
    <row r="9312" spans="1:1" x14ac:dyDescent="0.25">
      <c r="A9312" s="5"/>
    </row>
    <row r="9313" spans="1:1" x14ac:dyDescent="0.25">
      <c r="A9313" s="5"/>
    </row>
    <row r="9314" spans="1:1" x14ac:dyDescent="0.25">
      <c r="A9314" s="5"/>
    </row>
    <row r="9315" spans="1:1" x14ac:dyDescent="0.25">
      <c r="A9315" s="5"/>
    </row>
    <row r="9316" spans="1:1" x14ac:dyDescent="0.25">
      <c r="A9316" s="5"/>
    </row>
    <row r="9317" spans="1:1" x14ac:dyDescent="0.25">
      <c r="A9317" s="5"/>
    </row>
    <row r="9318" spans="1:1" x14ac:dyDescent="0.25">
      <c r="A9318" s="5"/>
    </row>
    <row r="9319" spans="1:1" x14ac:dyDescent="0.25">
      <c r="A9319" s="5"/>
    </row>
    <row r="9320" spans="1:1" x14ac:dyDescent="0.25">
      <c r="A9320" s="5"/>
    </row>
    <row r="9321" spans="1:1" x14ac:dyDescent="0.25">
      <c r="A9321" s="5"/>
    </row>
    <row r="9322" spans="1:1" x14ac:dyDescent="0.25">
      <c r="A9322" s="5"/>
    </row>
    <row r="9323" spans="1:1" x14ac:dyDescent="0.25">
      <c r="A9323" s="5"/>
    </row>
    <row r="9324" spans="1:1" x14ac:dyDescent="0.25">
      <c r="A9324" s="5"/>
    </row>
    <row r="9325" spans="1:1" x14ac:dyDescent="0.25">
      <c r="A9325" s="5"/>
    </row>
    <row r="9326" spans="1:1" x14ac:dyDescent="0.25">
      <c r="A9326" s="5"/>
    </row>
    <row r="9327" spans="1:1" x14ac:dyDescent="0.25">
      <c r="A9327" s="5"/>
    </row>
    <row r="9328" spans="1:1" x14ac:dyDescent="0.25">
      <c r="A9328" s="5"/>
    </row>
    <row r="9329" spans="1:1" x14ac:dyDescent="0.25">
      <c r="A9329" s="5"/>
    </row>
    <row r="9330" spans="1:1" x14ac:dyDescent="0.25">
      <c r="A9330" s="5"/>
    </row>
    <row r="9331" spans="1:1" x14ac:dyDescent="0.25">
      <c r="A9331" s="5"/>
    </row>
    <row r="9332" spans="1:1" x14ac:dyDescent="0.25">
      <c r="A9332" s="5"/>
    </row>
    <row r="9333" spans="1:1" x14ac:dyDescent="0.25">
      <c r="A9333" s="5"/>
    </row>
    <row r="9334" spans="1:1" x14ac:dyDescent="0.25">
      <c r="A9334" s="5"/>
    </row>
    <row r="9335" spans="1:1" x14ac:dyDescent="0.25">
      <c r="A9335" s="5"/>
    </row>
    <row r="9336" spans="1:1" x14ac:dyDescent="0.25">
      <c r="A9336" s="5"/>
    </row>
    <row r="9337" spans="1:1" x14ac:dyDescent="0.25">
      <c r="A9337" s="5"/>
    </row>
    <row r="9338" spans="1:1" x14ac:dyDescent="0.25">
      <c r="A9338" s="5"/>
    </row>
    <row r="9339" spans="1:1" x14ac:dyDescent="0.25">
      <c r="A9339" s="5"/>
    </row>
    <row r="9340" spans="1:1" x14ac:dyDescent="0.25">
      <c r="A9340" s="5"/>
    </row>
    <row r="9341" spans="1:1" x14ac:dyDescent="0.25">
      <c r="A9341" s="5"/>
    </row>
    <row r="9342" spans="1:1" x14ac:dyDescent="0.25">
      <c r="A9342" s="5"/>
    </row>
    <row r="9343" spans="1:1" x14ac:dyDescent="0.25">
      <c r="A9343" s="5"/>
    </row>
    <row r="9344" spans="1:1" x14ac:dyDescent="0.25">
      <c r="A9344" s="5"/>
    </row>
    <row r="9345" spans="1:1" x14ac:dyDescent="0.25">
      <c r="A9345" s="5"/>
    </row>
    <row r="9346" spans="1:1" x14ac:dyDescent="0.25">
      <c r="A9346" s="5"/>
    </row>
    <row r="9347" spans="1:1" x14ac:dyDescent="0.25">
      <c r="A9347" s="5"/>
    </row>
    <row r="9348" spans="1:1" x14ac:dyDescent="0.25">
      <c r="A9348" s="5"/>
    </row>
    <row r="9349" spans="1:1" x14ac:dyDescent="0.25">
      <c r="A9349" s="5"/>
    </row>
    <row r="9350" spans="1:1" x14ac:dyDescent="0.25">
      <c r="A9350" s="5"/>
    </row>
    <row r="9351" spans="1:1" x14ac:dyDescent="0.25">
      <c r="A9351" s="5"/>
    </row>
    <row r="9352" spans="1:1" x14ac:dyDescent="0.25">
      <c r="A9352" s="5"/>
    </row>
    <row r="9353" spans="1:1" x14ac:dyDescent="0.25">
      <c r="A9353" s="5"/>
    </row>
    <row r="9354" spans="1:1" x14ac:dyDescent="0.25">
      <c r="A9354" s="5"/>
    </row>
    <row r="9355" spans="1:1" x14ac:dyDescent="0.25">
      <c r="A9355" s="5"/>
    </row>
    <row r="9356" spans="1:1" x14ac:dyDescent="0.25">
      <c r="A9356" s="5"/>
    </row>
    <row r="9357" spans="1:1" x14ac:dyDescent="0.25">
      <c r="A9357" s="5"/>
    </row>
    <row r="9358" spans="1:1" x14ac:dyDescent="0.25">
      <c r="A9358" s="5"/>
    </row>
    <row r="9359" spans="1:1" x14ac:dyDescent="0.25">
      <c r="A9359" s="5"/>
    </row>
    <row r="9360" spans="1:1" x14ac:dyDescent="0.25">
      <c r="A9360" s="5"/>
    </row>
    <row r="9361" spans="1:1" x14ac:dyDescent="0.25">
      <c r="A9361" s="5"/>
    </row>
    <row r="9362" spans="1:1" x14ac:dyDescent="0.25">
      <c r="A9362" s="5"/>
    </row>
    <row r="9363" spans="1:1" x14ac:dyDescent="0.25">
      <c r="A9363" s="5"/>
    </row>
    <row r="9364" spans="1:1" x14ac:dyDescent="0.25">
      <c r="A9364" s="5"/>
    </row>
    <row r="9365" spans="1:1" x14ac:dyDescent="0.25">
      <c r="A9365" s="5"/>
    </row>
    <row r="9366" spans="1:1" x14ac:dyDescent="0.25">
      <c r="A9366" s="5"/>
    </row>
    <row r="9367" spans="1:1" x14ac:dyDescent="0.25">
      <c r="A9367" s="5"/>
    </row>
    <row r="9368" spans="1:1" x14ac:dyDescent="0.25">
      <c r="A9368" s="5"/>
    </row>
    <row r="9369" spans="1:1" x14ac:dyDescent="0.25">
      <c r="A9369" s="5"/>
    </row>
    <row r="9370" spans="1:1" x14ac:dyDescent="0.25">
      <c r="A9370" s="5"/>
    </row>
    <row r="9371" spans="1:1" x14ac:dyDescent="0.25">
      <c r="A9371" s="5"/>
    </row>
    <row r="9372" spans="1:1" x14ac:dyDescent="0.25">
      <c r="A9372" s="5"/>
    </row>
    <row r="9373" spans="1:1" x14ac:dyDescent="0.25">
      <c r="A9373" s="5"/>
    </row>
    <row r="9374" spans="1:1" x14ac:dyDescent="0.25">
      <c r="A9374" s="5"/>
    </row>
    <row r="9375" spans="1:1" x14ac:dyDescent="0.25">
      <c r="A9375" s="5"/>
    </row>
    <row r="9376" spans="1:1" x14ac:dyDescent="0.25">
      <c r="A9376" s="5"/>
    </row>
    <row r="9377" spans="1:1" x14ac:dyDescent="0.25">
      <c r="A9377" s="5"/>
    </row>
    <row r="9378" spans="1:1" x14ac:dyDescent="0.25">
      <c r="A9378" s="5"/>
    </row>
    <row r="9379" spans="1:1" x14ac:dyDescent="0.25">
      <c r="A9379" s="5"/>
    </row>
    <row r="9380" spans="1:1" x14ac:dyDescent="0.25">
      <c r="A9380" s="5"/>
    </row>
    <row r="9381" spans="1:1" x14ac:dyDescent="0.25">
      <c r="A9381" s="5"/>
    </row>
    <row r="9382" spans="1:1" x14ac:dyDescent="0.25">
      <c r="A9382" s="5"/>
    </row>
    <row r="9383" spans="1:1" x14ac:dyDescent="0.25">
      <c r="A9383" s="5"/>
    </row>
    <row r="9384" spans="1:1" x14ac:dyDescent="0.25">
      <c r="A9384" s="5"/>
    </row>
    <row r="9385" spans="1:1" x14ac:dyDescent="0.25">
      <c r="A9385" s="5"/>
    </row>
    <row r="9386" spans="1:1" x14ac:dyDescent="0.25">
      <c r="A9386" s="5"/>
    </row>
    <row r="9387" spans="1:1" x14ac:dyDescent="0.25">
      <c r="A9387" s="5"/>
    </row>
    <row r="9388" spans="1:1" x14ac:dyDescent="0.25">
      <c r="A9388" s="5"/>
    </row>
    <row r="9389" spans="1:1" x14ac:dyDescent="0.25">
      <c r="A9389" s="5"/>
    </row>
    <row r="9390" spans="1:1" x14ac:dyDescent="0.25">
      <c r="A9390" s="5"/>
    </row>
    <row r="9391" spans="1:1" x14ac:dyDescent="0.25">
      <c r="A9391" s="5"/>
    </row>
    <row r="9392" spans="1:1" x14ac:dyDescent="0.25">
      <c r="A9392" s="5"/>
    </row>
    <row r="9393" spans="1:1" x14ac:dyDescent="0.25">
      <c r="A9393" s="5"/>
    </row>
    <row r="9394" spans="1:1" x14ac:dyDescent="0.25">
      <c r="A9394" s="5"/>
    </row>
    <row r="9395" spans="1:1" x14ac:dyDescent="0.25">
      <c r="A9395" s="5"/>
    </row>
    <row r="9396" spans="1:1" x14ac:dyDescent="0.25">
      <c r="A9396" s="5"/>
    </row>
    <row r="9397" spans="1:1" x14ac:dyDescent="0.25">
      <c r="A9397" s="5"/>
    </row>
    <row r="9398" spans="1:1" x14ac:dyDescent="0.25">
      <c r="A9398" s="5"/>
    </row>
    <row r="9399" spans="1:1" x14ac:dyDescent="0.25">
      <c r="A9399" s="5"/>
    </row>
    <row r="9400" spans="1:1" x14ac:dyDescent="0.25">
      <c r="A9400" s="5"/>
    </row>
    <row r="9401" spans="1:1" x14ac:dyDescent="0.25">
      <c r="A9401" s="5"/>
    </row>
    <row r="9402" spans="1:1" x14ac:dyDescent="0.25">
      <c r="A9402" s="5"/>
    </row>
    <row r="9403" spans="1:1" x14ac:dyDescent="0.25">
      <c r="A9403" s="5"/>
    </row>
    <row r="9404" spans="1:1" x14ac:dyDescent="0.25">
      <c r="A9404" s="5"/>
    </row>
    <row r="9405" spans="1:1" x14ac:dyDescent="0.25">
      <c r="A9405" s="5"/>
    </row>
    <row r="9406" spans="1:1" x14ac:dyDescent="0.25">
      <c r="A9406" s="5"/>
    </row>
    <row r="9407" spans="1:1" x14ac:dyDescent="0.25">
      <c r="A9407" s="5"/>
    </row>
    <row r="9408" spans="1:1" x14ac:dyDescent="0.25">
      <c r="A9408" s="5"/>
    </row>
    <row r="9409" spans="1:1" x14ac:dyDescent="0.25">
      <c r="A9409" s="5"/>
    </row>
    <row r="9410" spans="1:1" x14ac:dyDescent="0.25">
      <c r="A9410" s="5"/>
    </row>
    <row r="9411" spans="1:1" x14ac:dyDescent="0.25">
      <c r="A9411" s="5"/>
    </row>
    <row r="9412" spans="1:1" x14ac:dyDescent="0.25">
      <c r="A9412" s="5"/>
    </row>
    <row r="9413" spans="1:1" x14ac:dyDescent="0.25">
      <c r="A9413" s="5"/>
    </row>
    <row r="9414" spans="1:1" x14ac:dyDescent="0.25">
      <c r="A9414" s="5"/>
    </row>
    <row r="9415" spans="1:1" x14ac:dyDescent="0.25">
      <c r="A9415" s="5"/>
    </row>
    <row r="9416" spans="1:1" x14ac:dyDescent="0.25">
      <c r="A9416" s="5"/>
    </row>
    <row r="9417" spans="1:1" x14ac:dyDescent="0.25">
      <c r="A9417" s="5"/>
    </row>
    <row r="9418" spans="1:1" x14ac:dyDescent="0.25">
      <c r="A9418" s="5"/>
    </row>
    <row r="9419" spans="1:1" x14ac:dyDescent="0.25">
      <c r="A9419" s="5"/>
    </row>
    <row r="9420" spans="1:1" x14ac:dyDescent="0.25">
      <c r="A9420" s="5"/>
    </row>
    <row r="9421" spans="1:1" x14ac:dyDescent="0.25">
      <c r="A9421" s="5"/>
    </row>
    <row r="9422" spans="1:1" x14ac:dyDescent="0.25">
      <c r="A9422" s="5"/>
    </row>
    <row r="9423" spans="1:1" x14ac:dyDescent="0.25">
      <c r="A9423" s="5"/>
    </row>
    <row r="9424" spans="1:1" x14ac:dyDescent="0.25">
      <c r="A9424" s="5"/>
    </row>
    <row r="9425" spans="1:1" x14ac:dyDescent="0.25">
      <c r="A9425" s="5"/>
    </row>
    <row r="9426" spans="1:1" x14ac:dyDescent="0.25">
      <c r="A9426" s="5"/>
    </row>
    <row r="9427" spans="1:1" x14ac:dyDescent="0.25">
      <c r="A9427" s="5"/>
    </row>
    <row r="9428" spans="1:1" x14ac:dyDescent="0.25">
      <c r="A9428" s="5"/>
    </row>
    <row r="9429" spans="1:1" x14ac:dyDescent="0.25">
      <c r="A9429" s="5"/>
    </row>
    <row r="9430" spans="1:1" x14ac:dyDescent="0.25">
      <c r="A9430" s="5"/>
    </row>
    <row r="9431" spans="1:1" x14ac:dyDescent="0.25">
      <c r="A9431" s="5"/>
    </row>
    <row r="9432" spans="1:1" x14ac:dyDescent="0.25">
      <c r="A9432" s="5"/>
    </row>
    <row r="9433" spans="1:1" x14ac:dyDescent="0.25">
      <c r="A9433" s="5"/>
    </row>
    <row r="9434" spans="1:1" x14ac:dyDescent="0.25">
      <c r="A9434" s="5"/>
    </row>
    <row r="9435" spans="1:1" x14ac:dyDescent="0.25">
      <c r="A9435" s="5"/>
    </row>
    <row r="9436" spans="1:1" x14ac:dyDescent="0.25">
      <c r="A9436" s="5"/>
    </row>
    <row r="9437" spans="1:1" x14ac:dyDescent="0.25">
      <c r="A9437" s="5"/>
    </row>
    <row r="9438" spans="1:1" x14ac:dyDescent="0.25">
      <c r="A9438" s="5"/>
    </row>
    <row r="9439" spans="1:1" x14ac:dyDescent="0.25">
      <c r="A9439" s="5"/>
    </row>
    <row r="9440" spans="1:1" x14ac:dyDescent="0.25">
      <c r="A9440" s="5"/>
    </row>
    <row r="9441" spans="1:1" x14ac:dyDescent="0.25">
      <c r="A9441" s="5"/>
    </row>
    <row r="9442" spans="1:1" x14ac:dyDescent="0.25">
      <c r="A9442" s="5"/>
    </row>
    <row r="9443" spans="1:1" x14ac:dyDescent="0.25">
      <c r="A9443" s="5"/>
    </row>
    <row r="9444" spans="1:1" x14ac:dyDescent="0.25">
      <c r="A9444" s="5"/>
    </row>
    <row r="9445" spans="1:1" x14ac:dyDescent="0.25">
      <c r="A9445" s="5"/>
    </row>
    <row r="9446" spans="1:1" x14ac:dyDescent="0.25">
      <c r="A9446" s="5"/>
    </row>
    <row r="9447" spans="1:1" x14ac:dyDescent="0.25">
      <c r="A9447" s="5"/>
    </row>
    <row r="9448" spans="1:1" x14ac:dyDescent="0.25">
      <c r="A9448" s="5"/>
    </row>
    <row r="9449" spans="1:1" x14ac:dyDescent="0.25">
      <c r="A9449" s="5"/>
    </row>
    <row r="9450" spans="1:1" x14ac:dyDescent="0.25">
      <c r="A9450" s="5"/>
    </row>
    <row r="9451" spans="1:1" x14ac:dyDescent="0.25">
      <c r="A9451" s="5"/>
    </row>
    <row r="9452" spans="1:1" x14ac:dyDescent="0.25">
      <c r="A9452" s="5"/>
    </row>
    <row r="9453" spans="1:1" x14ac:dyDescent="0.25">
      <c r="A9453" s="5"/>
    </row>
    <row r="9454" spans="1:1" x14ac:dyDescent="0.25">
      <c r="A9454" s="5"/>
    </row>
    <row r="9455" spans="1:1" x14ac:dyDescent="0.25">
      <c r="A9455" s="5"/>
    </row>
    <row r="9456" spans="1:1" x14ac:dyDescent="0.25">
      <c r="A9456" s="5"/>
    </row>
    <row r="9457" spans="1:1" x14ac:dyDescent="0.25">
      <c r="A9457" s="5"/>
    </row>
    <row r="9458" spans="1:1" x14ac:dyDescent="0.25">
      <c r="A9458" s="5"/>
    </row>
    <row r="9459" spans="1:1" x14ac:dyDescent="0.25">
      <c r="A9459" s="5"/>
    </row>
    <row r="9460" spans="1:1" x14ac:dyDescent="0.25">
      <c r="A9460" s="5"/>
    </row>
    <row r="9461" spans="1:1" x14ac:dyDescent="0.25">
      <c r="A9461" s="5"/>
    </row>
    <row r="9462" spans="1:1" x14ac:dyDescent="0.25">
      <c r="A9462" s="5"/>
    </row>
    <row r="9463" spans="1:1" x14ac:dyDescent="0.25">
      <c r="A9463" s="5"/>
    </row>
    <row r="9464" spans="1:1" x14ac:dyDescent="0.25">
      <c r="A9464" s="5"/>
    </row>
    <row r="9465" spans="1:1" x14ac:dyDescent="0.25">
      <c r="A9465" s="5"/>
    </row>
    <row r="9466" spans="1:1" x14ac:dyDescent="0.25">
      <c r="A9466" s="5"/>
    </row>
    <row r="9467" spans="1:1" x14ac:dyDescent="0.25">
      <c r="A9467" s="5"/>
    </row>
    <row r="9468" spans="1:1" x14ac:dyDescent="0.25">
      <c r="A9468" s="5"/>
    </row>
    <row r="9469" spans="1:1" x14ac:dyDescent="0.25">
      <c r="A9469" s="5"/>
    </row>
    <row r="9470" spans="1:1" x14ac:dyDescent="0.25">
      <c r="A9470" s="5"/>
    </row>
    <row r="9471" spans="1:1" x14ac:dyDescent="0.25">
      <c r="A9471" s="5"/>
    </row>
    <row r="9472" spans="1:1" x14ac:dyDescent="0.25">
      <c r="A9472" s="5"/>
    </row>
    <row r="9473" spans="1:1" x14ac:dyDescent="0.25">
      <c r="A9473" s="5"/>
    </row>
    <row r="9474" spans="1:1" x14ac:dyDescent="0.25">
      <c r="A9474" s="5"/>
    </row>
    <row r="9475" spans="1:1" x14ac:dyDescent="0.25">
      <c r="A9475" s="5"/>
    </row>
    <row r="9476" spans="1:1" x14ac:dyDescent="0.25">
      <c r="A9476" s="5"/>
    </row>
    <row r="9477" spans="1:1" x14ac:dyDescent="0.25">
      <c r="A9477" s="5"/>
    </row>
    <row r="9478" spans="1:1" x14ac:dyDescent="0.25">
      <c r="A9478" s="5"/>
    </row>
    <row r="9479" spans="1:1" x14ac:dyDescent="0.25">
      <c r="A9479" s="5"/>
    </row>
    <row r="9480" spans="1:1" x14ac:dyDescent="0.25">
      <c r="A9480" s="5"/>
    </row>
    <row r="9481" spans="1:1" x14ac:dyDescent="0.25">
      <c r="A9481" s="5"/>
    </row>
    <row r="9482" spans="1:1" x14ac:dyDescent="0.25">
      <c r="A9482" s="5"/>
    </row>
    <row r="9483" spans="1:1" x14ac:dyDescent="0.25">
      <c r="A9483" s="5"/>
    </row>
    <row r="9484" spans="1:1" x14ac:dyDescent="0.25">
      <c r="A9484" s="5"/>
    </row>
    <row r="9485" spans="1:1" x14ac:dyDescent="0.25">
      <c r="A9485" s="5"/>
    </row>
    <row r="9486" spans="1:1" x14ac:dyDescent="0.25">
      <c r="A9486" s="5"/>
    </row>
    <row r="9487" spans="1:1" x14ac:dyDescent="0.25">
      <c r="A9487" s="5"/>
    </row>
    <row r="9488" spans="1:1" x14ac:dyDescent="0.25">
      <c r="A9488" s="5"/>
    </row>
    <row r="9489" spans="1:1" x14ac:dyDescent="0.25">
      <c r="A9489" s="5"/>
    </row>
    <row r="9490" spans="1:1" x14ac:dyDescent="0.25">
      <c r="A9490" s="5"/>
    </row>
    <row r="9491" spans="1:1" x14ac:dyDescent="0.25">
      <c r="A9491" s="5"/>
    </row>
    <row r="9492" spans="1:1" x14ac:dyDescent="0.25">
      <c r="A9492" s="5"/>
    </row>
    <row r="9493" spans="1:1" x14ac:dyDescent="0.25">
      <c r="A9493" s="5"/>
    </row>
    <row r="9494" spans="1:1" x14ac:dyDescent="0.25">
      <c r="A9494" s="5"/>
    </row>
    <row r="9495" spans="1:1" x14ac:dyDescent="0.25">
      <c r="A9495" s="5"/>
    </row>
    <row r="9496" spans="1:1" x14ac:dyDescent="0.25">
      <c r="A9496" s="5"/>
    </row>
    <row r="9497" spans="1:1" x14ac:dyDescent="0.25">
      <c r="A9497" s="5"/>
    </row>
    <row r="9498" spans="1:1" x14ac:dyDescent="0.25">
      <c r="A9498" s="5"/>
    </row>
    <row r="9499" spans="1:1" x14ac:dyDescent="0.25">
      <c r="A9499" s="5"/>
    </row>
    <row r="9500" spans="1:1" x14ac:dyDescent="0.25">
      <c r="A9500" s="5"/>
    </row>
    <row r="9501" spans="1:1" x14ac:dyDescent="0.25">
      <c r="A9501" s="5"/>
    </row>
    <row r="9502" spans="1:1" x14ac:dyDescent="0.25">
      <c r="A9502" s="5"/>
    </row>
    <row r="9503" spans="1:1" x14ac:dyDescent="0.25">
      <c r="A9503" s="5"/>
    </row>
    <row r="9504" spans="1:1" x14ac:dyDescent="0.25">
      <c r="A9504" s="5"/>
    </row>
    <row r="9505" spans="1:1" x14ac:dyDescent="0.25">
      <c r="A9505" s="5"/>
    </row>
    <row r="9506" spans="1:1" x14ac:dyDescent="0.25">
      <c r="A9506" s="5"/>
    </row>
    <row r="9507" spans="1:1" x14ac:dyDescent="0.25">
      <c r="A9507" s="5"/>
    </row>
    <row r="9508" spans="1:1" x14ac:dyDescent="0.25">
      <c r="A9508" s="5"/>
    </row>
    <row r="9509" spans="1:1" x14ac:dyDescent="0.25">
      <c r="A9509" s="5"/>
    </row>
    <row r="9510" spans="1:1" x14ac:dyDescent="0.25">
      <c r="A9510" s="5"/>
    </row>
    <row r="9511" spans="1:1" x14ac:dyDescent="0.25">
      <c r="A9511" s="5"/>
    </row>
    <row r="9512" spans="1:1" x14ac:dyDescent="0.25">
      <c r="A9512" s="5"/>
    </row>
    <row r="9513" spans="1:1" x14ac:dyDescent="0.25">
      <c r="A9513" s="5"/>
    </row>
    <row r="9514" spans="1:1" x14ac:dyDescent="0.25">
      <c r="A9514" s="5"/>
    </row>
    <row r="9515" spans="1:1" x14ac:dyDescent="0.25">
      <c r="A9515" s="5"/>
    </row>
    <row r="9516" spans="1:1" x14ac:dyDescent="0.25">
      <c r="A9516" s="5"/>
    </row>
    <row r="9517" spans="1:1" x14ac:dyDescent="0.25">
      <c r="A9517" s="5"/>
    </row>
    <row r="9518" spans="1:1" x14ac:dyDescent="0.25">
      <c r="A9518" s="5"/>
    </row>
    <row r="9519" spans="1:1" x14ac:dyDescent="0.25">
      <c r="A9519" s="5"/>
    </row>
    <row r="9520" spans="1:1" x14ac:dyDescent="0.25">
      <c r="A9520" s="5"/>
    </row>
    <row r="9521" spans="1:1" x14ac:dyDescent="0.25">
      <c r="A9521" s="5"/>
    </row>
    <row r="9522" spans="1:1" x14ac:dyDescent="0.25">
      <c r="A9522" s="5"/>
    </row>
    <row r="9523" spans="1:1" x14ac:dyDescent="0.25">
      <c r="A9523" s="5"/>
    </row>
    <row r="9524" spans="1:1" x14ac:dyDescent="0.25">
      <c r="A9524" s="5"/>
    </row>
    <row r="9525" spans="1:1" x14ac:dyDescent="0.25">
      <c r="A9525" s="5"/>
    </row>
    <row r="9526" spans="1:1" x14ac:dyDescent="0.25">
      <c r="A9526" s="5"/>
    </row>
    <row r="9527" spans="1:1" x14ac:dyDescent="0.25">
      <c r="A9527" s="5"/>
    </row>
    <row r="9528" spans="1:1" x14ac:dyDescent="0.25">
      <c r="A9528" s="5"/>
    </row>
    <row r="9529" spans="1:1" x14ac:dyDescent="0.25">
      <c r="A9529" s="5"/>
    </row>
    <row r="9530" spans="1:1" x14ac:dyDescent="0.25">
      <c r="A9530" s="5"/>
    </row>
    <row r="9531" spans="1:1" x14ac:dyDescent="0.25">
      <c r="A9531" s="5"/>
    </row>
    <row r="9532" spans="1:1" x14ac:dyDescent="0.25">
      <c r="A9532" s="5"/>
    </row>
    <row r="9533" spans="1:1" x14ac:dyDescent="0.25">
      <c r="A9533" s="5"/>
    </row>
    <row r="9534" spans="1:1" x14ac:dyDescent="0.25">
      <c r="A9534" s="5"/>
    </row>
    <row r="9535" spans="1:1" x14ac:dyDescent="0.25">
      <c r="A9535" s="5"/>
    </row>
    <row r="9536" spans="1:1" x14ac:dyDescent="0.25">
      <c r="A9536" s="5"/>
    </row>
    <row r="9537" spans="1:1" x14ac:dyDescent="0.25">
      <c r="A9537" s="5"/>
    </row>
    <row r="9538" spans="1:1" x14ac:dyDescent="0.25">
      <c r="A9538" s="5"/>
    </row>
    <row r="9539" spans="1:1" x14ac:dyDescent="0.25">
      <c r="A9539" s="5"/>
    </row>
    <row r="9540" spans="1:1" x14ac:dyDescent="0.25">
      <c r="A9540" s="5"/>
    </row>
    <row r="9541" spans="1:1" x14ac:dyDescent="0.25">
      <c r="A9541" s="5"/>
    </row>
    <row r="9542" spans="1:1" x14ac:dyDescent="0.25">
      <c r="A9542" s="5"/>
    </row>
    <row r="9543" spans="1:1" x14ac:dyDescent="0.25">
      <c r="A9543" s="5"/>
    </row>
    <row r="9544" spans="1:1" x14ac:dyDescent="0.25">
      <c r="A9544" s="5"/>
    </row>
    <row r="9545" spans="1:1" x14ac:dyDescent="0.25">
      <c r="A9545" s="5"/>
    </row>
    <row r="9546" spans="1:1" x14ac:dyDescent="0.25">
      <c r="A9546" s="5"/>
    </row>
    <row r="9547" spans="1:1" x14ac:dyDescent="0.25">
      <c r="A9547" s="5"/>
    </row>
    <row r="9548" spans="1:1" x14ac:dyDescent="0.25">
      <c r="A9548" s="5"/>
    </row>
    <row r="9549" spans="1:1" x14ac:dyDescent="0.25">
      <c r="A9549" s="5"/>
    </row>
    <row r="9550" spans="1:1" x14ac:dyDescent="0.25">
      <c r="A9550" s="5"/>
    </row>
    <row r="9551" spans="1:1" x14ac:dyDescent="0.25">
      <c r="A9551" s="5"/>
    </row>
    <row r="9552" spans="1:1" x14ac:dyDescent="0.25">
      <c r="A9552" s="5"/>
    </row>
    <row r="9553" spans="1:1" x14ac:dyDescent="0.25">
      <c r="A9553" s="5"/>
    </row>
    <row r="9554" spans="1:1" x14ac:dyDescent="0.25">
      <c r="A9554" s="5"/>
    </row>
    <row r="9555" spans="1:1" x14ac:dyDescent="0.25">
      <c r="A9555" s="5"/>
    </row>
    <row r="9556" spans="1:1" x14ac:dyDescent="0.25">
      <c r="A9556" s="5"/>
    </row>
    <row r="9557" spans="1:1" x14ac:dyDescent="0.25">
      <c r="A9557" s="5"/>
    </row>
    <row r="9558" spans="1:1" x14ac:dyDescent="0.25">
      <c r="A9558" s="5"/>
    </row>
    <row r="9559" spans="1:1" x14ac:dyDescent="0.25">
      <c r="A9559" s="5"/>
    </row>
    <row r="9560" spans="1:1" x14ac:dyDescent="0.25">
      <c r="A9560" s="5"/>
    </row>
    <row r="9561" spans="1:1" x14ac:dyDescent="0.25">
      <c r="A9561" s="5"/>
    </row>
    <row r="9562" spans="1:1" x14ac:dyDescent="0.25">
      <c r="A9562" s="5"/>
    </row>
    <row r="9563" spans="1:1" x14ac:dyDescent="0.25">
      <c r="A9563" s="5"/>
    </row>
    <row r="9564" spans="1:1" x14ac:dyDescent="0.25">
      <c r="A9564" s="5"/>
    </row>
    <row r="9565" spans="1:1" x14ac:dyDescent="0.25">
      <c r="A9565" s="5"/>
    </row>
    <row r="9566" spans="1:1" x14ac:dyDescent="0.25">
      <c r="A9566" s="5"/>
    </row>
    <row r="9567" spans="1:1" x14ac:dyDescent="0.25">
      <c r="A9567" s="5"/>
    </row>
    <row r="9568" spans="1:1" x14ac:dyDescent="0.25">
      <c r="A9568" s="5"/>
    </row>
    <row r="9569" spans="1:1" x14ac:dyDescent="0.25">
      <c r="A9569" s="5"/>
    </row>
    <row r="9570" spans="1:1" x14ac:dyDescent="0.25">
      <c r="A9570" s="5"/>
    </row>
    <row r="9571" spans="1:1" x14ac:dyDescent="0.25">
      <c r="A9571" s="5"/>
    </row>
    <row r="9572" spans="1:1" x14ac:dyDescent="0.25">
      <c r="A9572" s="5"/>
    </row>
    <row r="9573" spans="1:1" x14ac:dyDescent="0.25">
      <c r="A9573" s="5"/>
    </row>
    <row r="9574" spans="1:1" x14ac:dyDescent="0.25">
      <c r="A9574" s="5"/>
    </row>
    <row r="9575" spans="1:1" x14ac:dyDescent="0.25">
      <c r="A9575" s="5"/>
    </row>
    <row r="9576" spans="1:1" x14ac:dyDescent="0.25">
      <c r="A9576" s="5"/>
    </row>
    <row r="9577" spans="1:1" x14ac:dyDescent="0.25">
      <c r="A9577" s="5"/>
    </row>
    <row r="9578" spans="1:1" x14ac:dyDescent="0.25">
      <c r="A9578" s="5"/>
    </row>
    <row r="9579" spans="1:1" x14ac:dyDescent="0.25">
      <c r="A9579" s="5"/>
    </row>
    <row r="9580" spans="1:1" x14ac:dyDescent="0.25">
      <c r="A9580" s="5"/>
    </row>
    <row r="9581" spans="1:1" x14ac:dyDescent="0.25">
      <c r="A9581" s="5"/>
    </row>
    <row r="9582" spans="1:1" x14ac:dyDescent="0.25">
      <c r="A9582" s="5"/>
    </row>
    <row r="9583" spans="1:1" x14ac:dyDescent="0.25">
      <c r="A9583" s="5"/>
    </row>
    <row r="9584" spans="1:1" x14ac:dyDescent="0.25">
      <c r="A9584" s="5"/>
    </row>
    <row r="9585" spans="1:1" x14ac:dyDescent="0.25">
      <c r="A9585" s="5"/>
    </row>
    <row r="9586" spans="1:1" x14ac:dyDescent="0.25">
      <c r="A9586" s="5"/>
    </row>
    <row r="9587" spans="1:1" x14ac:dyDescent="0.25">
      <c r="A9587" s="5"/>
    </row>
    <row r="9588" spans="1:1" x14ac:dyDescent="0.25">
      <c r="A9588" s="5"/>
    </row>
    <row r="9589" spans="1:1" x14ac:dyDescent="0.25">
      <c r="A9589" s="5"/>
    </row>
    <row r="9590" spans="1:1" x14ac:dyDescent="0.25">
      <c r="A9590" s="5"/>
    </row>
    <row r="9591" spans="1:1" x14ac:dyDescent="0.25">
      <c r="A9591" s="5"/>
    </row>
    <row r="9592" spans="1:1" x14ac:dyDescent="0.25">
      <c r="A9592" s="5"/>
    </row>
    <row r="9593" spans="1:1" x14ac:dyDescent="0.25">
      <c r="A9593" s="5"/>
    </row>
    <row r="9594" spans="1:1" x14ac:dyDescent="0.25">
      <c r="A9594" s="5"/>
    </row>
    <row r="9595" spans="1:1" x14ac:dyDescent="0.25">
      <c r="A9595" s="5"/>
    </row>
    <row r="9596" spans="1:1" x14ac:dyDescent="0.25">
      <c r="A9596" s="5"/>
    </row>
    <row r="9597" spans="1:1" x14ac:dyDescent="0.25">
      <c r="A9597" s="5"/>
    </row>
    <row r="9598" spans="1:1" x14ac:dyDescent="0.25">
      <c r="A9598" s="5"/>
    </row>
    <row r="9599" spans="1:1" x14ac:dyDescent="0.25">
      <c r="A9599" s="5"/>
    </row>
    <row r="9600" spans="1:1" x14ac:dyDescent="0.25">
      <c r="A9600" s="5"/>
    </row>
    <row r="9601" spans="1:1" x14ac:dyDescent="0.25">
      <c r="A9601" s="5"/>
    </row>
    <row r="9602" spans="1:1" x14ac:dyDescent="0.25">
      <c r="A9602" s="5"/>
    </row>
    <row r="9603" spans="1:1" x14ac:dyDescent="0.25">
      <c r="A9603" s="5"/>
    </row>
    <row r="9604" spans="1:1" x14ac:dyDescent="0.25">
      <c r="A9604" s="5"/>
    </row>
    <row r="9605" spans="1:1" x14ac:dyDescent="0.25">
      <c r="A9605" s="5"/>
    </row>
    <row r="9606" spans="1:1" x14ac:dyDescent="0.25">
      <c r="A9606" s="5"/>
    </row>
    <row r="9607" spans="1:1" x14ac:dyDescent="0.25">
      <c r="A9607" s="5"/>
    </row>
    <row r="9608" spans="1:1" x14ac:dyDescent="0.25">
      <c r="A9608" s="5"/>
    </row>
    <row r="9609" spans="1:1" x14ac:dyDescent="0.25">
      <c r="A9609" s="5"/>
    </row>
    <row r="9610" spans="1:1" x14ac:dyDescent="0.25">
      <c r="A9610" s="5"/>
    </row>
    <row r="9611" spans="1:1" x14ac:dyDescent="0.25">
      <c r="A9611" s="5"/>
    </row>
    <row r="9612" spans="1:1" x14ac:dyDescent="0.25">
      <c r="A9612" s="5"/>
    </row>
    <row r="9613" spans="1:1" x14ac:dyDescent="0.25">
      <c r="A9613" s="5"/>
    </row>
    <row r="9614" spans="1:1" x14ac:dyDescent="0.25">
      <c r="A9614" s="5"/>
    </row>
    <row r="9615" spans="1:1" x14ac:dyDescent="0.25">
      <c r="A9615" s="5"/>
    </row>
    <row r="9616" spans="1:1" x14ac:dyDescent="0.25">
      <c r="A9616" s="5"/>
    </row>
    <row r="9617" spans="1:1" x14ac:dyDescent="0.25">
      <c r="A9617" s="5"/>
    </row>
    <row r="9618" spans="1:1" x14ac:dyDescent="0.25">
      <c r="A9618" s="5"/>
    </row>
    <row r="9619" spans="1:1" x14ac:dyDescent="0.25">
      <c r="A9619" s="5"/>
    </row>
    <row r="9620" spans="1:1" x14ac:dyDescent="0.25">
      <c r="A9620" s="5"/>
    </row>
    <row r="9621" spans="1:1" x14ac:dyDescent="0.25">
      <c r="A9621" s="5"/>
    </row>
    <row r="9622" spans="1:1" x14ac:dyDescent="0.25">
      <c r="A9622" s="5"/>
    </row>
    <row r="9623" spans="1:1" x14ac:dyDescent="0.25">
      <c r="A9623" s="5"/>
    </row>
    <row r="9624" spans="1:1" x14ac:dyDescent="0.25">
      <c r="A9624" s="5"/>
    </row>
    <row r="9625" spans="1:1" x14ac:dyDescent="0.25">
      <c r="A9625" s="5"/>
    </row>
    <row r="9626" spans="1:1" x14ac:dyDescent="0.25">
      <c r="A9626" s="5"/>
    </row>
    <row r="9627" spans="1:1" x14ac:dyDescent="0.25">
      <c r="A9627" s="5"/>
    </row>
    <row r="9628" spans="1:1" x14ac:dyDescent="0.25">
      <c r="A9628" s="5"/>
    </row>
    <row r="9629" spans="1:1" x14ac:dyDescent="0.25">
      <c r="A9629" s="5"/>
    </row>
    <row r="9630" spans="1:1" x14ac:dyDescent="0.25">
      <c r="A9630" s="5"/>
    </row>
    <row r="9631" spans="1:1" x14ac:dyDescent="0.25">
      <c r="A9631" s="5"/>
    </row>
    <row r="9632" spans="1:1" x14ac:dyDescent="0.25">
      <c r="A9632" s="5"/>
    </row>
    <row r="9633" spans="1:1" x14ac:dyDescent="0.25">
      <c r="A9633" s="5"/>
    </row>
    <row r="9634" spans="1:1" x14ac:dyDescent="0.25">
      <c r="A9634" s="5"/>
    </row>
    <row r="9635" spans="1:1" x14ac:dyDescent="0.25">
      <c r="A9635" s="5"/>
    </row>
    <row r="9636" spans="1:1" x14ac:dyDescent="0.25">
      <c r="A9636" s="5"/>
    </row>
    <row r="9637" spans="1:1" x14ac:dyDescent="0.25">
      <c r="A9637" s="5"/>
    </row>
    <row r="9638" spans="1:1" x14ac:dyDescent="0.25">
      <c r="A9638" s="5"/>
    </row>
    <row r="9639" spans="1:1" x14ac:dyDescent="0.25">
      <c r="A9639" s="5"/>
    </row>
    <row r="9640" spans="1:1" x14ac:dyDescent="0.25">
      <c r="A9640" s="5"/>
    </row>
    <row r="9641" spans="1:1" x14ac:dyDescent="0.25">
      <c r="A9641" s="5"/>
    </row>
    <row r="9642" spans="1:1" x14ac:dyDescent="0.25">
      <c r="A9642" s="5"/>
    </row>
    <row r="9643" spans="1:1" x14ac:dyDescent="0.25">
      <c r="A9643" s="5"/>
    </row>
    <row r="9644" spans="1:1" x14ac:dyDescent="0.25">
      <c r="A9644" s="5"/>
    </row>
    <row r="9645" spans="1:1" x14ac:dyDescent="0.25">
      <c r="A9645" s="5"/>
    </row>
    <row r="9646" spans="1:1" x14ac:dyDescent="0.25">
      <c r="A9646" s="5"/>
    </row>
    <row r="9647" spans="1:1" x14ac:dyDescent="0.25">
      <c r="A9647" s="5"/>
    </row>
    <row r="9648" spans="1:1" x14ac:dyDescent="0.25">
      <c r="A9648" s="5"/>
    </row>
    <row r="9649" spans="1:1" x14ac:dyDescent="0.25">
      <c r="A9649" s="5"/>
    </row>
    <row r="9650" spans="1:1" x14ac:dyDescent="0.25">
      <c r="A9650" s="5"/>
    </row>
    <row r="9651" spans="1:1" x14ac:dyDescent="0.25">
      <c r="A9651" s="5"/>
    </row>
    <row r="9652" spans="1:1" x14ac:dyDescent="0.25">
      <c r="A9652" s="5"/>
    </row>
    <row r="9653" spans="1:1" x14ac:dyDescent="0.25">
      <c r="A9653" s="5"/>
    </row>
    <row r="9654" spans="1:1" x14ac:dyDescent="0.25">
      <c r="A9654" s="5"/>
    </row>
    <row r="9655" spans="1:1" x14ac:dyDescent="0.25">
      <c r="A9655" s="5"/>
    </row>
    <row r="9656" spans="1:1" x14ac:dyDescent="0.25">
      <c r="A9656" s="5"/>
    </row>
    <row r="9657" spans="1:1" x14ac:dyDescent="0.25">
      <c r="A9657" s="5"/>
    </row>
    <row r="9658" spans="1:1" x14ac:dyDescent="0.25">
      <c r="A9658" s="5"/>
    </row>
    <row r="9659" spans="1:1" x14ac:dyDescent="0.25">
      <c r="A9659" s="5"/>
    </row>
    <row r="9660" spans="1:1" x14ac:dyDescent="0.25">
      <c r="A9660" s="5"/>
    </row>
    <row r="9661" spans="1:1" x14ac:dyDescent="0.25">
      <c r="A9661" s="5"/>
    </row>
    <row r="9662" spans="1:1" x14ac:dyDescent="0.25">
      <c r="A9662" s="5"/>
    </row>
    <row r="9663" spans="1:1" x14ac:dyDescent="0.25">
      <c r="A9663" s="5"/>
    </row>
    <row r="9664" spans="1:1" x14ac:dyDescent="0.25">
      <c r="A9664" s="5"/>
    </row>
    <row r="9665" spans="1:1" x14ac:dyDescent="0.25">
      <c r="A9665" s="5"/>
    </row>
    <row r="9666" spans="1:1" x14ac:dyDescent="0.25">
      <c r="A9666" s="5"/>
    </row>
    <row r="9667" spans="1:1" x14ac:dyDescent="0.25">
      <c r="A9667" s="5"/>
    </row>
    <row r="9668" spans="1:1" x14ac:dyDescent="0.25">
      <c r="A9668" s="5"/>
    </row>
    <row r="9669" spans="1:1" x14ac:dyDescent="0.25">
      <c r="A9669" s="5"/>
    </row>
    <row r="9670" spans="1:1" x14ac:dyDescent="0.25">
      <c r="A9670" s="5"/>
    </row>
    <row r="9671" spans="1:1" x14ac:dyDescent="0.25">
      <c r="A9671" s="5"/>
    </row>
    <row r="9672" spans="1:1" x14ac:dyDescent="0.25">
      <c r="A9672" s="5"/>
    </row>
    <row r="9673" spans="1:1" x14ac:dyDescent="0.25">
      <c r="A9673" s="5"/>
    </row>
    <row r="9674" spans="1:1" x14ac:dyDescent="0.25">
      <c r="A9674" s="5"/>
    </row>
    <row r="9675" spans="1:1" x14ac:dyDescent="0.25">
      <c r="A9675" s="5"/>
    </row>
    <row r="9676" spans="1:1" x14ac:dyDescent="0.25">
      <c r="A9676" s="5"/>
    </row>
    <row r="9677" spans="1:1" x14ac:dyDescent="0.25">
      <c r="A9677" s="5"/>
    </row>
    <row r="9678" spans="1:1" x14ac:dyDescent="0.25">
      <c r="A9678" s="5"/>
    </row>
    <row r="9679" spans="1:1" x14ac:dyDescent="0.25">
      <c r="A9679" s="5"/>
    </row>
    <row r="9680" spans="1:1" x14ac:dyDescent="0.25">
      <c r="A9680" s="5"/>
    </row>
    <row r="9681" spans="1:1" x14ac:dyDescent="0.25">
      <c r="A9681" s="5"/>
    </row>
    <row r="9682" spans="1:1" x14ac:dyDescent="0.25">
      <c r="A9682" s="5"/>
    </row>
    <row r="9683" spans="1:1" x14ac:dyDescent="0.25">
      <c r="A9683" s="5"/>
    </row>
    <row r="9684" spans="1:1" x14ac:dyDescent="0.25">
      <c r="A9684" s="5"/>
    </row>
    <row r="9685" spans="1:1" x14ac:dyDescent="0.25">
      <c r="A9685" s="5"/>
    </row>
    <row r="9686" spans="1:1" x14ac:dyDescent="0.25">
      <c r="A9686" s="5"/>
    </row>
    <row r="9687" spans="1:1" x14ac:dyDescent="0.25">
      <c r="A9687" s="5"/>
    </row>
    <row r="9688" spans="1:1" x14ac:dyDescent="0.25">
      <c r="A9688" s="5"/>
    </row>
    <row r="9689" spans="1:1" x14ac:dyDescent="0.25">
      <c r="A9689" s="5"/>
    </row>
    <row r="9690" spans="1:1" x14ac:dyDescent="0.25">
      <c r="A9690" s="5"/>
    </row>
    <row r="9691" spans="1:1" x14ac:dyDescent="0.25">
      <c r="A9691" s="5"/>
    </row>
    <row r="9692" spans="1:1" x14ac:dyDescent="0.25">
      <c r="A9692" s="5"/>
    </row>
    <row r="9693" spans="1:1" x14ac:dyDescent="0.25">
      <c r="A9693" s="5"/>
    </row>
    <row r="9694" spans="1:1" x14ac:dyDescent="0.25">
      <c r="A9694" s="5"/>
    </row>
    <row r="9695" spans="1:1" x14ac:dyDescent="0.25">
      <c r="A9695" s="5"/>
    </row>
    <row r="9696" spans="1:1" x14ac:dyDescent="0.25">
      <c r="A9696" s="5"/>
    </row>
    <row r="9697" spans="1:1" x14ac:dyDescent="0.25">
      <c r="A9697" s="5"/>
    </row>
    <row r="9698" spans="1:1" x14ac:dyDescent="0.25">
      <c r="A9698" s="5"/>
    </row>
    <row r="9699" spans="1:1" x14ac:dyDescent="0.25">
      <c r="A9699" s="5"/>
    </row>
    <row r="9700" spans="1:1" x14ac:dyDescent="0.25">
      <c r="A9700" s="5"/>
    </row>
    <row r="9701" spans="1:1" x14ac:dyDescent="0.25">
      <c r="A9701" s="5"/>
    </row>
    <row r="9702" spans="1:1" x14ac:dyDescent="0.25">
      <c r="A9702" s="5"/>
    </row>
    <row r="9703" spans="1:1" x14ac:dyDescent="0.25">
      <c r="A9703" s="5"/>
    </row>
    <row r="9704" spans="1:1" x14ac:dyDescent="0.25">
      <c r="A9704" s="5"/>
    </row>
    <row r="9705" spans="1:1" x14ac:dyDescent="0.25">
      <c r="A9705" s="5"/>
    </row>
    <row r="9706" spans="1:1" x14ac:dyDescent="0.25">
      <c r="A9706" s="5"/>
    </row>
    <row r="9707" spans="1:1" x14ac:dyDescent="0.25">
      <c r="A9707" s="5"/>
    </row>
    <row r="9708" spans="1:1" x14ac:dyDescent="0.25">
      <c r="A9708" s="5"/>
    </row>
    <row r="9709" spans="1:1" x14ac:dyDescent="0.25">
      <c r="A9709" s="5"/>
    </row>
    <row r="9710" spans="1:1" x14ac:dyDescent="0.25">
      <c r="A9710" s="5"/>
    </row>
    <row r="9711" spans="1:1" x14ac:dyDescent="0.25">
      <c r="A9711" s="5"/>
    </row>
    <row r="9712" spans="1:1" x14ac:dyDescent="0.25">
      <c r="A9712" s="5"/>
    </row>
    <row r="9713" spans="1:1" x14ac:dyDescent="0.25">
      <c r="A9713" s="5"/>
    </row>
    <row r="9714" spans="1:1" x14ac:dyDescent="0.25">
      <c r="A9714" s="5"/>
    </row>
    <row r="9715" spans="1:1" x14ac:dyDescent="0.25">
      <c r="A9715" s="5"/>
    </row>
    <row r="9716" spans="1:1" x14ac:dyDescent="0.25">
      <c r="A9716" s="5"/>
    </row>
    <row r="9717" spans="1:1" x14ac:dyDescent="0.25">
      <c r="A9717" s="5"/>
    </row>
    <row r="9718" spans="1:1" x14ac:dyDescent="0.25">
      <c r="A9718" s="5"/>
    </row>
    <row r="9719" spans="1:1" x14ac:dyDescent="0.25">
      <c r="A9719" s="5"/>
    </row>
    <row r="9720" spans="1:1" x14ac:dyDescent="0.25">
      <c r="A9720" s="5"/>
    </row>
    <row r="9721" spans="1:1" x14ac:dyDescent="0.25">
      <c r="A9721" s="5"/>
    </row>
    <row r="9722" spans="1:1" x14ac:dyDescent="0.25">
      <c r="A9722" s="5"/>
    </row>
    <row r="9723" spans="1:1" x14ac:dyDescent="0.25">
      <c r="A9723" s="5"/>
    </row>
    <row r="9724" spans="1:1" x14ac:dyDescent="0.25">
      <c r="A9724" s="5"/>
    </row>
    <row r="9725" spans="1:1" x14ac:dyDescent="0.25">
      <c r="A9725" s="5"/>
    </row>
    <row r="9726" spans="1:1" x14ac:dyDescent="0.25">
      <c r="A9726" s="5"/>
    </row>
    <row r="9727" spans="1:1" x14ac:dyDescent="0.25">
      <c r="A9727" s="5"/>
    </row>
    <row r="9728" spans="1:1" x14ac:dyDescent="0.25">
      <c r="A9728" s="5"/>
    </row>
    <row r="9729" spans="1:1" x14ac:dyDescent="0.25">
      <c r="A9729" s="5"/>
    </row>
    <row r="9730" spans="1:1" x14ac:dyDescent="0.25">
      <c r="A9730" s="5"/>
    </row>
    <row r="9731" spans="1:1" x14ac:dyDescent="0.25">
      <c r="A9731" s="5"/>
    </row>
    <row r="9732" spans="1:1" x14ac:dyDescent="0.25">
      <c r="A9732" s="5"/>
    </row>
    <row r="9733" spans="1:1" x14ac:dyDescent="0.25">
      <c r="A9733" s="5"/>
    </row>
    <row r="9734" spans="1:1" x14ac:dyDescent="0.25">
      <c r="A9734" s="5"/>
    </row>
    <row r="9735" spans="1:1" x14ac:dyDescent="0.25">
      <c r="A9735" s="5"/>
    </row>
    <row r="9736" spans="1:1" x14ac:dyDescent="0.25">
      <c r="A9736" s="5"/>
    </row>
    <row r="9737" spans="1:1" x14ac:dyDescent="0.25">
      <c r="A9737" s="5"/>
    </row>
    <row r="9738" spans="1:1" x14ac:dyDescent="0.25">
      <c r="A9738" s="5"/>
    </row>
    <row r="9739" spans="1:1" x14ac:dyDescent="0.25">
      <c r="A9739" s="5"/>
    </row>
    <row r="9740" spans="1:1" x14ac:dyDescent="0.25">
      <c r="A9740" s="5"/>
    </row>
    <row r="9741" spans="1:1" x14ac:dyDescent="0.25">
      <c r="A9741" s="5"/>
    </row>
    <row r="9742" spans="1:1" x14ac:dyDescent="0.25">
      <c r="A9742" s="5"/>
    </row>
    <row r="9743" spans="1:1" x14ac:dyDescent="0.25">
      <c r="A9743" s="5"/>
    </row>
    <row r="9744" spans="1:1" x14ac:dyDescent="0.25">
      <c r="A9744" s="5"/>
    </row>
    <row r="9745" spans="1:1" x14ac:dyDescent="0.25">
      <c r="A9745" s="5"/>
    </row>
    <row r="9746" spans="1:1" x14ac:dyDescent="0.25">
      <c r="A9746" s="5"/>
    </row>
    <row r="9747" spans="1:1" x14ac:dyDescent="0.25">
      <c r="A9747" s="5"/>
    </row>
    <row r="9748" spans="1:1" x14ac:dyDescent="0.25">
      <c r="A9748" s="5"/>
    </row>
    <row r="9749" spans="1:1" x14ac:dyDescent="0.25">
      <c r="A9749" s="5"/>
    </row>
    <row r="9750" spans="1:1" x14ac:dyDescent="0.25">
      <c r="A9750" s="5"/>
    </row>
    <row r="9751" spans="1:1" x14ac:dyDescent="0.25">
      <c r="A9751" s="5"/>
    </row>
    <row r="9752" spans="1:1" x14ac:dyDescent="0.25">
      <c r="A9752" s="5"/>
    </row>
    <row r="9753" spans="1:1" x14ac:dyDescent="0.25">
      <c r="A9753" s="5"/>
    </row>
    <row r="9754" spans="1:1" x14ac:dyDescent="0.25">
      <c r="A9754" s="5"/>
    </row>
    <row r="9755" spans="1:1" x14ac:dyDescent="0.25">
      <c r="A9755" s="5"/>
    </row>
    <row r="9756" spans="1:1" x14ac:dyDescent="0.25">
      <c r="A9756" s="5"/>
    </row>
    <row r="9757" spans="1:1" x14ac:dyDescent="0.25">
      <c r="A9757" s="5"/>
    </row>
    <row r="9758" spans="1:1" x14ac:dyDescent="0.25">
      <c r="A9758" s="5"/>
    </row>
    <row r="9759" spans="1:1" x14ac:dyDescent="0.25">
      <c r="A9759" s="5"/>
    </row>
    <row r="9760" spans="1:1" x14ac:dyDescent="0.25">
      <c r="A9760" s="5"/>
    </row>
    <row r="9761" spans="1:1" x14ac:dyDescent="0.25">
      <c r="A9761" s="5"/>
    </row>
    <row r="9762" spans="1:1" x14ac:dyDescent="0.25">
      <c r="A9762" s="5"/>
    </row>
    <row r="9763" spans="1:1" x14ac:dyDescent="0.25">
      <c r="A9763" s="5"/>
    </row>
    <row r="9764" spans="1:1" x14ac:dyDescent="0.25">
      <c r="A9764" s="5"/>
    </row>
    <row r="9765" spans="1:1" x14ac:dyDescent="0.25">
      <c r="A9765" s="5"/>
    </row>
    <row r="9766" spans="1:1" x14ac:dyDescent="0.25">
      <c r="A9766" s="5"/>
    </row>
    <row r="9767" spans="1:1" x14ac:dyDescent="0.25">
      <c r="A9767" s="5"/>
    </row>
    <row r="9768" spans="1:1" x14ac:dyDescent="0.25">
      <c r="A9768" s="5"/>
    </row>
    <row r="9769" spans="1:1" x14ac:dyDescent="0.25">
      <c r="A9769" s="5"/>
    </row>
    <row r="9770" spans="1:1" x14ac:dyDescent="0.25">
      <c r="A9770" s="5"/>
    </row>
    <row r="9771" spans="1:1" x14ac:dyDescent="0.25">
      <c r="A9771" s="5"/>
    </row>
    <row r="9772" spans="1:1" x14ac:dyDescent="0.25">
      <c r="A9772" s="5"/>
    </row>
    <row r="9773" spans="1:1" x14ac:dyDescent="0.25">
      <c r="A9773" s="5"/>
    </row>
    <row r="9774" spans="1:1" x14ac:dyDescent="0.25">
      <c r="A9774" s="5"/>
    </row>
    <row r="9775" spans="1:1" x14ac:dyDescent="0.25">
      <c r="A9775" s="5"/>
    </row>
    <row r="9776" spans="1:1" x14ac:dyDescent="0.25">
      <c r="A9776" s="5"/>
    </row>
    <row r="9777" spans="1:1" x14ac:dyDescent="0.25">
      <c r="A9777" s="5"/>
    </row>
    <row r="9778" spans="1:1" x14ac:dyDescent="0.25">
      <c r="A9778" s="5"/>
    </row>
    <row r="9779" spans="1:1" x14ac:dyDescent="0.25">
      <c r="A9779" s="5"/>
    </row>
    <row r="9780" spans="1:1" x14ac:dyDescent="0.25">
      <c r="A9780" s="5"/>
    </row>
    <row r="9781" spans="1:1" x14ac:dyDescent="0.25">
      <c r="A9781" s="5"/>
    </row>
    <row r="9782" spans="1:1" x14ac:dyDescent="0.25">
      <c r="A9782" s="5"/>
    </row>
    <row r="9783" spans="1:1" x14ac:dyDescent="0.25">
      <c r="A9783" s="5"/>
    </row>
    <row r="9784" spans="1:1" x14ac:dyDescent="0.25">
      <c r="A9784" s="5"/>
    </row>
    <row r="9785" spans="1:1" x14ac:dyDescent="0.25">
      <c r="A9785" s="5"/>
    </row>
    <row r="9786" spans="1:1" x14ac:dyDescent="0.25">
      <c r="A9786" s="5"/>
    </row>
    <row r="9787" spans="1:1" x14ac:dyDescent="0.25">
      <c r="A9787" s="5"/>
    </row>
    <row r="9788" spans="1:1" x14ac:dyDescent="0.25">
      <c r="A9788" s="5"/>
    </row>
    <row r="9789" spans="1:1" x14ac:dyDescent="0.25">
      <c r="A9789" s="5"/>
    </row>
    <row r="9790" spans="1:1" x14ac:dyDescent="0.25">
      <c r="A9790" s="5"/>
    </row>
    <row r="9791" spans="1:1" x14ac:dyDescent="0.25">
      <c r="A9791" s="5"/>
    </row>
    <row r="9792" spans="1:1" x14ac:dyDescent="0.25">
      <c r="A9792" s="5"/>
    </row>
    <row r="9793" spans="1:1" x14ac:dyDescent="0.25">
      <c r="A9793" s="5"/>
    </row>
    <row r="9794" spans="1:1" x14ac:dyDescent="0.25">
      <c r="A9794" s="5"/>
    </row>
    <row r="9795" spans="1:1" x14ac:dyDescent="0.25">
      <c r="A9795" s="5"/>
    </row>
    <row r="9796" spans="1:1" x14ac:dyDescent="0.25">
      <c r="A9796" s="5"/>
    </row>
    <row r="9797" spans="1:1" x14ac:dyDescent="0.25">
      <c r="A9797" s="5"/>
    </row>
    <row r="9798" spans="1:1" x14ac:dyDescent="0.25">
      <c r="A9798" s="5"/>
    </row>
    <row r="9799" spans="1:1" x14ac:dyDescent="0.25">
      <c r="A9799" s="5"/>
    </row>
    <row r="9800" spans="1:1" x14ac:dyDescent="0.25">
      <c r="A9800" s="5"/>
    </row>
    <row r="9801" spans="1:1" x14ac:dyDescent="0.25">
      <c r="A9801" s="5"/>
    </row>
    <row r="9802" spans="1:1" x14ac:dyDescent="0.25">
      <c r="A9802" s="5"/>
    </row>
    <row r="9803" spans="1:1" x14ac:dyDescent="0.25">
      <c r="A9803" s="5"/>
    </row>
    <row r="9804" spans="1:1" x14ac:dyDescent="0.25">
      <c r="A9804" s="5"/>
    </row>
    <row r="9805" spans="1:1" x14ac:dyDescent="0.25">
      <c r="A9805" s="5"/>
    </row>
    <row r="9806" spans="1:1" x14ac:dyDescent="0.25">
      <c r="A9806" s="5"/>
    </row>
    <row r="9807" spans="1:1" x14ac:dyDescent="0.25">
      <c r="A9807" s="5"/>
    </row>
    <row r="9808" spans="1:1" x14ac:dyDescent="0.25">
      <c r="A9808" s="5"/>
    </row>
    <row r="9809" spans="1:1" x14ac:dyDescent="0.25">
      <c r="A9809" s="5"/>
    </row>
    <row r="9810" spans="1:1" x14ac:dyDescent="0.25">
      <c r="A9810" s="5"/>
    </row>
    <row r="9811" spans="1:1" x14ac:dyDescent="0.25">
      <c r="A9811" s="5"/>
    </row>
    <row r="9812" spans="1:1" x14ac:dyDescent="0.25">
      <c r="A9812" s="5"/>
    </row>
    <row r="9813" spans="1:1" x14ac:dyDescent="0.25">
      <c r="A9813" s="5"/>
    </row>
    <row r="9814" spans="1:1" x14ac:dyDescent="0.25">
      <c r="A9814" s="5"/>
    </row>
    <row r="9815" spans="1:1" x14ac:dyDescent="0.25">
      <c r="A9815" s="5"/>
    </row>
    <row r="9816" spans="1:1" x14ac:dyDescent="0.25">
      <c r="A9816" s="5"/>
    </row>
    <row r="9817" spans="1:1" x14ac:dyDescent="0.25">
      <c r="A9817" s="5"/>
    </row>
    <row r="9818" spans="1:1" x14ac:dyDescent="0.25">
      <c r="A9818" s="5"/>
    </row>
    <row r="9819" spans="1:1" x14ac:dyDescent="0.25">
      <c r="A9819" s="5"/>
    </row>
    <row r="9820" spans="1:1" x14ac:dyDescent="0.25">
      <c r="A9820" s="5"/>
    </row>
    <row r="9821" spans="1:1" x14ac:dyDescent="0.25">
      <c r="A9821" s="5"/>
    </row>
    <row r="9822" spans="1:1" x14ac:dyDescent="0.25">
      <c r="A9822" s="5"/>
    </row>
    <row r="9823" spans="1:1" x14ac:dyDescent="0.25">
      <c r="A9823" s="5"/>
    </row>
    <row r="9824" spans="1:1" x14ac:dyDescent="0.25">
      <c r="A9824" s="5"/>
    </row>
    <row r="9825" spans="1:1" x14ac:dyDescent="0.25">
      <c r="A9825" s="5"/>
    </row>
    <row r="9826" spans="1:1" x14ac:dyDescent="0.25">
      <c r="A9826" s="5"/>
    </row>
    <row r="9827" spans="1:1" x14ac:dyDescent="0.25">
      <c r="A9827" s="5"/>
    </row>
    <row r="9828" spans="1:1" x14ac:dyDescent="0.25">
      <c r="A9828" s="5"/>
    </row>
    <row r="9829" spans="1:1" x14ac:dyDescent="0.25">
      <c r="A9829" s="5"/>
    </row>
    <row r="9830" spans="1:1" x14ac:dyDescent="0.25">
      <c r="A9830" s="5"/>
    </row>
    <row r="9831" spans="1:1" x14ac:dyDescent="0.25">
      <c r="A9831" s="5"/>
    </row>
    <row r="9832" spans="1:1" x14ac:dyDescent="0.25">
      <c r="A9832" s="5"/>
    </row>
    <row r="9833" spans="1:1" x14ac:dyDescent="0.25">
      <c r="A9833" s="5"/>
    </row>
    <row r="9834" spans="1:1" x14ac:dyDescent="0.25">
      <c r="A9834" s="5"/>
    </row>
    <row r="9835" spans="1:1" x14ac:dyDescent="0.25">
      <c r="A9835" s="5"/>
    </row>
    <row r="9836" spans="1:1" x14ac:dyDescent="0.25">
      <c r="A9836" s="5"/>
    </row>
    <row r="9837" spans="1:1" x14ac:dyDescent="0.25">
      <c r="A9837" s="5"/>
    </row>
    <row r="9838" spans="1:1" x14ac:dyDescent="0.25">
      <c r="A9838" s="5"/>
    </row>
    <row r="9839" spans="1:1" x14ac:dyDescent="0.25">
      <c r="A9839" s="5"/>
    </row>
    <row r="9840" spans="1:1" x14ac:dyDescent="0.25">
      <c r="A9840" s="5"/>
    </row>
    <row r="9841" spans="1:1" x14ac:dyDescent="0.25">
      <c r="A9841" s="5"/>
    </row>
    <row r="9842" spans="1:1" x14ac:dyDescent="0.25">
      <c r="A9842" s="5"/>
    </row>
    <row r="9843" spans="1:1" x14ac:dyDescent="0.25">
      <c r="A9843" s="5"/>
    </row>
    <row r="9844" spans="1:1" x14ac:dyDescent="0.25">
      <c r="A9844" s="5"/>
    </row>
    <row r="9845" spans="1:1" x14ac:dyDescent="0.25">
      <c r="A9845" s="5"/>
    </row>
    <row r="9846" spans="1:1" x14ac:dyDescent="0.25">
      <c r="A9846" s="5"/>
    </row>
    <row r="9847" spans="1:1" x14ac:dyDescent="0.25">
      <c r="A9847" s="5"/>
    </row>
    <row r="9848" spans="1:1" x14ac:dyDescent="0.25">
      <c r="A9848" s="5"/>
    </row>
    <row r="9849" spans="1:1" x14ac:dyDescent="0.25">
      <c r="A9849" s="5"/>
    </row>
    <row r="9850" spans="1:1" x14ac:dyDescent="0.25">
      <c r="A9850" s="5"/>
    </row>
    <row r="9851" spans="1:1" x14ac:dyDescent="0.25">
      <c r="A9851" s="5"/>
    </row>
    <row r="9852" spans="1:1" x14ac:dyDescent="0.25">
      <c r="A9852" s="5"/>
    </row>
    <row r="9853" spans="1:1" x14ac:dyDescent="0.25">
      <c r="A9853" s="5"/>
    </row>
    <row r="9854" spans="1:1" x14ac:dyDescent="0.25">
      <c r="A9854" s="5"/>
    </row>
    <row r="9855" spans="1:1" x14ac:dyDescent="0.25">
      <c r="A9855" s="5"/>
    </row>
    <row r="9856" spans="1:1" x14ac:dyDescent="0.25">
      <c r="A9856" s="5"/>
    </row>
    <row r="9857" spans="1:1" x14ac:dyDescent="0.25">
      <c r="A9857" s="5"/>
    </row>
    <row r="9858" spans="1:1" x14ac:dyDescent="0.25">
      <c r="A9858" s="5"/>
    </row>
    <row r="9859" spans="1:1" x14ac:dyDescent="0.25">
      <c r="A9859" s="5"/>
    </row>
    <row r="9860" spans="1:1" x14ac:dyDescent="0.25">
      <c r="A9860" s="5"/>
    </row>
    <row r="9861" spans="1:1" x14ac:dyDescent="0.25">
      <c r="A9861" s="5"/>
    </row>
    <row r="9862" spans="1:1" x14ac:dyDescent="0.25">
      <c r="A9862" s="5"/>
    </row>
    <row r="9863" spans="1:1" x14ac:dyDescent="0.25">
      <c r="A9863" s="5"/>
    </row>
    <row r="9864" spans="1:1" x14ac:dyDescent="0.25">
      <c r="A9864" s="5"/>
    </row>
    <row r="9865" spans="1:1" x14ac:dyDescent="0.25">
      <c r="A9865" s="5"/>
    </row>
    <row r="9866" spans="1:1" x14ac:dyDescent="0.25">
      <c r="A9866" s="5"/>
    </row>
    <row r="9867" spans="1:1" x14ac:dyDescent="0.25">
      <c r="A9867" s="5"/>
    </row>
    <row r="9868" spans="1:1" x14ac:dyDescent="0.25">
      <c r="A9868" s="5"/>
    </row>
    <row r="9869" spans="1:1" x14ac:dyDescent="0.25">
      <c r="A9869" s="5"/>
    </row>
    <row r="9870" spans="1:1" x14ac:dyDescent="0.25">
      <c r="A9870" s="5"/>
    </row>
    <row r="9871" spans="1:1" x14ac:dyDescent="0.25">
      <c r="A9871" s="5"/>
    </row>
    <row r="9872" spans="1:1" x14ac:dyDescent="0.25">
      <c r="A9872" s="5"/>
    </row>
    <row r="9873" spans="1:1" x14ac:dyDescent="0.25">
      <c r="A9873" s="5"/>
    </row>
    <row r="9874" spans="1:1" x14ac:dyDescent="0.25">
      <c r="A9874" s="5"/>
    </row>
    <row r="9875" spans="1:1" x14ac:dyDescent="0.25">
      <c r="A9875" s="5"/>
    </row>
    <row r="9876" spans="1:1" x14ac:dyDescent="0.25">
      <c r="A9876" s="5"/>
    </row>
    <row r="9877" spans="1:1" x14ac:dyDescent="0.25">
      <c r="A9877" s="5"/>
    </row>
    <row r="9878" spans="1:1" x14ac:dyDescent="0.25">
      <c r="A9878" s="5"/>
    </row>
    <row r="9879" spans="1:1" x14ac:dyDescent="0.25">
      <c r="A9879" s="5"/>
    </row>
    <row r="9880" spans="1:1" x14ac:dyDescent="0.25">
      <c r="A9880" s="5"/>
    </row>
    <row r="9881" spans="1:1" x14ac:dyDescent="0.25">
      <c r="A9881" s="5"/>
    </row>
    <row r="9882" spans="1:1" x14ac:dyDescent="0.25">
      <c r="A9882" s="5"/>
    </row>
    <row r="9883" spans="1:1" x14ac:dyDescent="0.25">
      <c r="A9883" s="5"/>
    </row>
    <row r="9884" spans="1:1" x14ac:dyDescent="0.25">
      <c r="A9884" s="5"/>
    </row>
    <row r="9885" spans="1:1" x14ac:dyDescent="0.25">
      <c r="A9885" s="5"/>
    </row>
    <row r="9886" spans="1:1" x14ac:dyDescent="0.25">
      <c r="A9886" s="5"/>
    </row>
    <row r="9887" spans="1:1" x14ac:dyDescent="0.25">
      <c r="A9887" s="5"/>
    </row>
    <row r="9888" spans="1:1" x14ac:dyDescent="0.25">
      <c r="A9888" s="5"/>
    </row>
    <row r="9889" spans="1:1" x14ac:dyDescent="0.25">
      <c r="A9889" s="5"/>
    </row>
    <row r="9890" spans="1:1" x14ac:dyDescent="0.25">
      <c r="A9890" s="5"/>
    </row>
    <row r="9891" spans="1:1" x14ac:dyDescent="0.25">
      <c r="A9891" s="5"/>
    </row>
    <row r="9892" spans="1:1" x14ac:dyDescent="0.25">
      <c r="A9892" s="5"/>
    </row>
    <row r="9893" spans="1:1" x14ac:dyDescent="0.25">
      <c r="A9893" s="5"/>
    </row>
    <row r="9894" spans="1:1" x14ac:dyDescent="0.25">
      <c r="A9894" s="5"/>
    </row>
    <row r="9895" spans="1:1" x14ac:dyDescent="0.25">
      <c r="A9895" s="5"/>
    </row>
    <row r="9896" spans="1:1" x14ac:dyDescent="0.25">
      <c r="A9896" s="5"/>
    </row>
    <row r="9897" spans="1:1" x14ac:dyDescent="0.25">
      <c r="A9897" s="5"/>
    </row>
    <row r="9898" spans="1:1" x14ac:dyDescent="0.25">
      <c r="A9898" s="5"/>
    </row>
    <row r="9899" spans="1:1" x14ac:dyDescent="0.25">
      <c r="A9899" s="5"/>
    </row>
    <row r="9900" spans="1:1" x14ac:dyDescent="0.25">
      <c r="A9900" s="5"/>
    </row>
    <row r="9901" spans="1:1" x14ac:dyDescent="0.25">
      <c r="A9901" s="5"/>
    </row>
    <row r="9902" spans="1:1" x14ac:dyDescent="0.25">
      <c r="A9902" s="5"/>
    </row>
    <row r="9903" spans="1:1" x14ac:dyDescent="0.25">
      <c r="A9903" s="5"/>
    </row>
    <row r="9904" spans="1:1" x14ac:dyDescent="0.25">
      <c r="A9904" s="5"/>
    </row>
    <row r="9905" spans="1:1" x14ac:dyDescent="0.25">
      <c r="A9905" s="5"/>
    </row>
    <row r="9906" spans="1:1" x14ac:dyDescent="0.25">
      <c r="A9906" s="5"/>
    </row>
    <row r="9907" spans="1:1" x14ac:dyDescent="0.25">
      <c r="A9907" s="5"/>
    </row>
    <row r="9908" spans="1:1" x14ac:dyDescent="0.25">
      <c r="A9908" s="5"/>
    </row>
    <row r="9909" spans="1:1" x14ac:dyDescent="0.25">
      <c r="A9909" s="5"/>
    </row>
    <row r="9910" spans="1:1" x14ac:dyDescent="0.25">
      <c r="A9910" s="5"/>
    </row>
    <row r="9911" spans="1:1" x14ac:dyDescent="0.25">
      <c r="A9911" s="5"/>
    </row>
    <row r="9912" spans="1:1" x14ac:dyDescent="0.25">
      <c r="A9912" s="5"/>
    </row>
    <row r="9913" spans="1:1" x14ac:dyDescent="0.25">
      <c r="A9913" s="5"/>
    </row>
    <row r="9914" spans="1:1" x14ac:dyDescent="0.25">
      <c r="A9914" s="5"/>
    </row>
    <row r="9915" spans="1:1" x14ac:dyDescent="0.25">
      <c r="A9915" s="5"/>
    </row>
    <row r="9916" spans="1:1" x14ac:dyDescent="0.25">
      <c r="A9916" s="5"/>
    </row>
    <row r="9917" spans="1:1" x14ac:dyDescent="0.25">
      <c r="A9917" s="5"/>
    </row>
    <row r="9918" spans="1:1" x14ac:dyDescent="0.25">
      <c r="A9918" s="5"/>
    </row>
    <row r="9919" spans="1:1" x14ac:dyDescent="0.25">
      <c r="A9919" s="5"/>
    </row>
    <row r="9920" spans="1:1" x14ac:dyDescent="0.25">
      <c r="A9920" s="5"/>
    </row>
    <row r="9921" spans="1:1" x14ac:dyDescent="0.25">
      <c r="A9921" s="5"/>
    </row>
    <row r="9922" spans="1:1" x14ac:dyDescent="0.25">
      <c r="A9922" s="5"/>
    </row>
    <row r="9923" spans="1:1" x14ac:dyDescent="0.25">
      <c r="A9923" s="5"/>
    </row>
    <row r="9924" spans="1:1" x14ac:dyDescent="0.25">
      <c r="A9924" s="5"/>
    </row>
    <row r="9925" spans="1:1" x14ac:dyDescent="0.25">
      <c r="A9925" s="5"/>
    </row>
    <row r="9926" spans="1:1" x14ac:dyDescent="0.25">
      <c r="A9926" s="5"/>
    </row>
    <row r="9927" spans="1:1" x14ac:dyDescent="0.25">
      <c r="A9927" s="5"/>
    </row>
    <row r="9928" spans="1:1" x14ac:dyDescent="0.25">
      <c r="A9928" s="5"/>
    </row>
    <row r="9929" spans="1:1" x14ac:dyDescent="0.25">
      <c r="A9929" s="5"/>
    </row>
    <row r="9930" spans="1:1" x14ac:dyDescent="0.25">
      <c r="A9930" s="5"/>
    </row>
    <row r="9931" spans="1:1" x14ac:dyDescent="0.25">
      <c r="A9931" s="5"/>
    </row>
    <row r="9932" spans="1:1" x14ac:dyDescent="0.25">
      <c r="A9932" s="5"/>
    </row>
    <row r="9933" spans="1:1" x14ac:dyDescent="0.25">
      <c r="A9933" s="5"/>
    </row>
    <row r="9934" spans="1:1" x14ac:dyDescent="0.25">
      <c r="A9934" s="5"/>
    </row>
    <row r="9935" spans="1:1" x14ac:dyDescent="0.25">
      <c r="A9935" s="5"/>
    </row>
    <row r="9936" spans="1:1" x14ac:dyDescent="0.25">
      <c r="A9936" s="5"/>
    </row>
    <row r="9937" spans="1:1" x14ac:dyDescent="0.25">
      <c r="A9937" s="5"/>
    </row>
    <row r="9938" spans="1:1" x14ac:dyDescent="0.25">
      <c r="A9938" s="5"/>
    </row>
    <row r="9939" spans="1:1" x14ac:dyDescent="0.25">
      <c r="A9939" s="5"/>
    </row>
    <row r="9940" spans="1:1" x14ac:dyDescent="0.25">
      <c r="A9940" s="5"/>
    </row>
    <row r="9941" spans="1:1" x14ac:dyDescent="0.25">
      <c r="A9941" s="5"/>
    </row>
    <row r="9942" spans="1:1" x14ac:dyDescent="0.25">
      <c r="A9942" s="5"/>
    </row>
    <row r="9943" spans="1:1" x14ac:dyDescent="0.25">
      <c r="A9943" s="5"/>
    </row>
    <row r="9944" spans="1:1" x14ac:dyDescent="0.25">
      <c r="A9944" s="5"/>
    </row>
    <row r="9945" spans="1:1" x14ac:dyDescent="0.25">
      <c r="A9945" s="5"/>
    </row>
    <row r="9946" spans="1:1" x14ac:dyDescent="0.25">
      <c r="A9946" s="5"/>
    </row>
    <row r="9947" spans="1:1" x14ac:dyDescent="0.25">
      <c r="A9947" s="5"/>
    </row>
    <row r="9948" spans="1:1" x14ac:dyDescent="0.25">
      <c r="A9948" s="5"/>
    </row>
    <row r="9949" spans="1:1" x14ac:dyDescent="0.25">
      <c r="A9949" s="5"/>
    </row>
    <row r="9950" spans="1:1" x14ac:dyDescent="0.25">
      <c r="A9950" s="5"/>
    </row>
    <row r="9951" spans="1:1" x14ac:dyDescent="0.25">
      <c r="A9951" s="5"/>
    </row>
    <row r="9952" spans="1:1" x14ac:dyDescent="0.25">
      <c r="A9952" s="5"/>
    </row>
    <row r="9953" spans="1:1" x14ac:dyDescent="0.25">
      <c r="A9953" s="5"/>
    </row>
    <row r="9954" spans="1:1" x14ac:dyDescent="0.25">
      <c r="A9954" s="5"/>
    </row>
    <row r="9955" spans="1:1" x14ac:dyDescent="0.25">
      <c r="A9955" s="5"/>
    </row>
    <row r="9956" spans="1:1" x14ac:dyDescent="0.25">
      <c r="A9956" s="5"/>
    </row>
    <row r="9957" spans="1:1" x14ac:dyDescent="0.25">
      <c r="A9957" s="5"/>
    </row>
    <row r="9958" spans="1:1" x14ac:dyDescent="0.25">
      <c r="A9958" s="5"/>
    </row>
    <row r="9959" spans="1:1" x14ac:dyDescent="0.25">
      <c r="A9959" s="5"/>
    </row>
    <row r="9960" spans="1:1" x14ac:dyDescent="0.25">
      <c r="A9960" s="5"/>
    </row>
    <row r="9961" spans="1:1" x14ac:dyDescent="0.25">
      <c r="A9961" s="5"/>
    </row>
    <row r="9962" spans="1:1" x14ac:dyDescent="0.25">
      <c r="A9962" s="5"/>
    </row>
    <row r="9963" spans="1:1" x14ac:dyDescent="0.25">
      <c r="A9963" s="5"/>
    </row>
    <row r="9964" spans="1:1" x14ac:dyDescent="0.25">
      <c r="A9964" s="5"/>
    </row>
    <row r="9965" spans="1:1" x14ac:dyDescent="0.25">
      <c r="A9965" s="5"/>
    </row>
    <row r="9966" spans="1:1" x14ac:dyDescent="0.25">
      <c r="A9966" s="5"/>
    </row>
    <row r="9967" spans="1:1" x14ac:dyDescent="0.25">
      <c r="A9967" s="5"/>
    </row>
    <row r="9968" spans="1:1" x14ac:dyDescent="0.25">
      <c r="A9968" s="5"/>
    </row>
    <row r="9969" spans="1:1" x14ac:dyDescent="0.25">
      <c r="A9969" s="5"/>
    </row>
    <row r="9970" spans="1:1" x14ac:dyDescent="0.25">
      <c r="A9970" s="5"/>
    </row>
    <row r="9971" spans="1:1" x14ac:dyDescent="0.25">
      <c r="A9971" s="5"/>
    </row>
    <row r="9972" spans="1:1" x14ac:dyDescent="0.25">
      <c r="A9972" s="5"/>
    </row>
    <row r="9973" spans="1:1" x14ac:dyDescent="0.25">
      <c r="A9973" s="5"/>
    </row>
    <row r="9974" spans="1:1" x14ac:dyDescent="0.25">
      <c r="A9974" s="5"/>
    </row>
    <row r="9975" spans="1:1" x14ac:dyDescent="0.25">
      <c r="A9975" s="5"/>
    </row>
    <row r="9976" spans="1:1" x14ac:dyDescent="0.25">
      <c r="A9976" s="5"/>
    </row>
    <row r="9977" spans="1:1" x14ac:dyDescent="0.25">
      <c r="A9977" s="5"/>
    </row>
    <row r="9978" spans="1:1" x14ac:dyDescent="0.25">
      <c r="A9978" s="5"/>
    </row>
    <row r="9979" spans="1:1" x14ac:dyDescent="0.25">
      <c r="A9979" s="5"/>
    </row>
    <row r="9980" spans="1:1" x14ac:dyDescent="0.25">
      <c r="A9980" s="5"/>
    </row>
    <row r="9981" spans="1:1" x14ac:dyDescent="0.25">
      <c r="A9981" s="5"/>
    </row>
    <row r="9982" spans="1:1" x14ac:dyDescent="0.25">
      <c r="A9982" s="5"/>
    </row>
    <row r="9983" spans="1:1" x14ac:dyDescent="0.25">
      <c r="A9983" s="5"/>
    </row>
    <row r="9984" spans="1:1" x14ac:dyDescent="0.25">
      <c r="A9984" s="5"/>
    </row>
    <row r="9985" spans="1:1" x14ac:dyDescent="0.25">
      <c r="A9985" s="5"/>
    </row>
    <row r="9986" spans="1:1" x14ac:dyDescent="0.25">
      <c r="A9986" s="5"/>
    </row>
    <row r="9987" spans="1:1" x14ac:dyDescent="0.25">
      <c r="A9987" s="5"/>
    </row>
    <row r="9988" spans="1:1" x14ac:dyDescent="0.25">
      <c r="A9988" s="5"/>
    </row>
    <row r="9989" spans="1:1" x14ac:dyDescent="0.25">
      <c r="A9989" s="5"/>
    </row>
    <row r="9990" spans="1:1" x14ac:dyDescent="0.25">
      <c r="A9990" s="5"/>
    </row>
    <row r="9991" spans="1:1" x14ac:dyDescent="0.25">
      <c r="A9991" s="5"/>
    </row>
    <row r="9992" spans="1:1" x14ac:dyDescent="0.25">
      <c r="A9992" s="5"/>
    </row>
    <row r="9993" spans="1:1" x14ac:dyDescent="0.25">
      <c r="A9993" s="5"/>
    </row>
    <row r="9994" spans="1:1" x14ac:dyDescent="0.25">
      <c r="A9994" s="5"/>
    </row>
    <row r="9995" spans="1:1" x14ac:dyDescent="0.25">
      <c r="A9995" s="5"/>
    </row>
    <row r="9996" spans="1:1" x14ac:dyDescent="0.25">
      <c r="A9996" s="5"/>
    </row>
    <row r="9997" spans="1:1" x14ac:dyDescent="0.25">
      <c r="A9997" s="5"/>
    </row>
    <row r="9998" spans="1:1" x14ac:dyDescent="0.25">
      <c r="A9998" s="5"/>
    </row>
    <row r="9999" spans="1:1" x14ac:dyDescent="0.25">
      <c r="A9999" s="5"/>
    </row>
    <row r="10000" spans="1:1" x14ac:dyDescent="0.25">
      <c r="A10000" s="5"/>
    </row>
    <row r="10001" spans="1:1" x14ac:dyDescent="0.25">
      <c r="A10001" s="5"/>
    </row>
    <row r="10002" spans="1:1" x14ac:dyDescent="0.25">
      <c r="A10002" s="5"/>
    </row>
    <row r="10003" spans="1:1" x14ac:dyDescent="0.25">
      <c r="A10003" s="5"/>
    </row>
    <row r="10004" spans="1:1" x14ac:dyDescent="0.25">
      <c r="A10004" s="5"/>
    </row>
    <row r="10005" spans="1:1" x14ac:dyDescent="0.25">
      <c r="A10005" s="5"/>
    </row>
    <row r="10006" spans="1:1" x14ac:dyDescent="0.25">
      <c r="A10006" s="5"/>
    </row>
    <row r="10007" spans="1:1" x14ac:dyDescent="0.25">
      <c r="A10007" s="5"/>
    </row>
    <row r="10008" spans="1:1" x14ac:dyDescent="0.25">
      <c r="A10008" s="5"/>
    </row>
    <row r="10009" spans="1:1" x14ac:dyDescent="0.25">
      <c r="A10009" s="5"/>
    </row>
    <row r="10010" spans="1:1" x14ac:dyDescent="0.25">
      <c r="A10010" s="5"/>
    </row>
    <row r="10011" spans="1:1" x14ac:dyDescent="0.25">
      <c r="A10011" s="5"/>
    </row>
    <row r="10012" spans="1:1" x14ac:dyDescent="0.25">
      <c r="A10012" s="5"/>
    </row>
    <row r="10013" spans="1:1" x14ac:dyDescent="0.25">
      <c r="A10013" s="5"/>
    </row>
    <row r="10014" spans="1:1" x14ac:dyDescent="0.25">
      <c r="A10014" s="5"/>
    </row>
    <row r="10015" spans="1:1" x14ac:dyDescent="0.25">
      <c r="A10015" s="5"/>
    </row>
    <row r="10016" spans="1:1" x14ac:dyDescent="0.25">
      <c r="A10016" s="5"/>
    </row>
    <row r="10017" spans="1:1" x14ac:dyDescent="0.25">
      <c r="A10017" s="5"/>
    </row>
    <row r="10018" spans="1:1" x14ac:dyDescent="0.25">
      <c r="A10018" s="5"/>
    </row>
    <row r="10019" spans="1:1" x14ac:dyDescent="0.25">
      <c r="A10019" s="5"/>
    </row>
    <row r="10020" spans="1:1" x14ac:dyDescent="0.25">
      <c r="A10020" s="5"/>
    </row>
    <row r="10021" spans="1:1" x14ac:dyDescent="0.25">
      <c r="A10021" s="5"/>
    </row>
    <row r="10022" spans="1:1" x14ac:dyDescent="0.25">
      <c r="A10022" s="5"/>
    </row>
    <row r="10023" spans="1:1" x14ac:dyDescent="0.25">
      <c r="A10023" s="5"/>
    </row>
    <row r="10024" spans="1:1" x14ac:dyDescent="0.25">
      <c r="A10024" s="5"/>
    </row>
    <row r="10025" spans="1:1" x14ac:dyDescent="0.25">
      <c r="A10025" s="5"/>
    </row>
    <row r="10026" spans="1:1" x14ac:dyDescent="0.25">
      <c r="A10026" s="5"/>
    </row>
    <row r="10027" spans="1:1" x14ac:dyDescent="0.25">
      <c r="A10027" s="5"/>
    </row>
    <row r="10028" spans="1:1" x14ac:dyDescent="0.25">
      <c r="A10028" s="5"/>
    </row>
    <row r="10029" spans="1:1" x14ac:dyDescent="0.25">
      <c r="A10029" s="5"/>
    </row>
    <row r="10030" spans="1:1" x14ac:dyDescent="0.25">
      <c r="A10030" s="5"/>
    </row>
    <row r="10031" spans="1:1" x14ac:dyDescent="0.25">
      <c r="A10031" s="5"/>
    </row>
    <row r="10032" spans="1:1" x14ac:dyDescent="0.25">
      <c r="A10032" s="5"/>
    </row>
    <row r="10033" spans="1:1" x14ac:dyDescent="0.25">
      <c r="A10033" s="5"/>
    </row>
    <row r="10034" spans="1:1" x14ac:dyDescent="0.25">
      <c r="A10034" s="5"/>
    </row>
    <row r="10035" spans="1:1" x14ac:dyDescent="0.25">
      <c r="A10035" s="5"/>
    </row>
    <row r="10036" spans="1:1" x14ac:dyDescent="0.25">
      <c r="A10036" s="5"/>
    </row>
    <row r="10037" spans="1:1" x14ac:dyDescent="0.25">
      <c r="A10037" s="5"/>
    </row>
    <row r="10038" spans="1:1" x14ac:dyDescent="0.25">
      <c r="A10038" s="5"/>
    </row>
    <row r="10039" spans="1:1" x14ac:dyDescent="0.25">
      <c r="A10039" s="5"/>
    </row>
    <row r="10040" spans="1:1" x14ac:dyDescent="0.25">
      <c r="A10040" s="5"/>
    </row>
    <row r="10041" spans="1:1" x14ac:dyDescent="0.25">
      <c r="A10041" s="5"/>
    </row>
    <row r="10042" spans="1:1" x14ac:dyDescent="0.25">
      <c r="A10042" s="5"/>
    </row>
    <row r="10043" spans="1:1" x14ac:dyDescent="0.25">
      <c r="A10043" s="5"/>
    </row>
    <row r="10044" spans="1:1" x14ac:dyDescent="0.25">
      <c r="A10044" s="5"/>
    </row>
    <row r="10045" spans="1:1" x14ac:dyDescent="0.25">
      <c r="A10045" s="5"/>
    </row>
    <row r="10046" spans="1:1" x14ac:dyDescent="0.25">
      <c r="A10046" s="5"/>
    </row>
    <row r="10047" spans="1:1" x14ac:dyDescent="0.25">
      <c r="A10047" s="5"/>
    </row>
    <row r="10048" spans="1:1" x14ac:dyDescent="0.25">
      <c r="A10048" s="5"/>
    </row>
    <row r="10049" spans="1:1" x14ac:dyDescent="0.25">
      <c r="A10049" s="5"/>
    </row>
    <row r="10050" spans="1:1" x14ac:dyDescent="0.25">
      <c r="A10050" s="5"/>
    </row>
    <row r="10051" spans="1:1" x14ac:dyDescent="0.25">
      <c r="A10051" s="5"/>
    </row>
    <row r="10052" spans="1:1" x14ac:dyDescent="0.25">
      <c r="A10052" s="5"/>
    </row>
    <row r="10053" spans="1:1" x14ac:dyDescent="0.25">
      <c r="A10053" s="5"/>
    </row>
    <row r="10054" spans="1:1" x14ac:dyDescent="0.25">
      <c r="A10054" s="5"/>
    </row>
    <row r="10055" spans="1:1" x14ac:dyDescent="0.25">
      <c r="A10055" s="5"/>
    </row>
    <row r="10056" spans="1:1" x14ac:dyDescent="0.25">
      <c r="A10056" s="5"/>
    </row>
    <row r="10057" spans="1:1" x14ac:dyDescent="0.25">
      <c r="A10057" s="5"/>
    </row>
    <row r="10058" spans="1:1" x14ac:dyDescent="0.25">
      <c r="A10058" s="5"/>
    </row>
    <row r="10059" spans="1:1" x14ac:dyDescent="0.25">
      <c r="A10059" s="5"/>
    </row>
    <row r="10060" spans="1:1" x14ac:dyDescent="0.25">
      <c r="A10060" s="5"/>
    </row>
    <row r="10061" spans="1:1" x14ac:dyDescent="0.25">
      <c r="A10061" s="5"/>
    </row>
    <row r="10062" spans="1:1" x14ac:dyDescent="0.25">
      <c r="A10062" s="5"/>
    </row>
    <row r="10063" spans="1:1" x14ac:dyDescent="0.25">
      <c r="A10063" s="5"/>
    </row>
    <row r="10064" spans="1:1" x14ac:dyDescent="0.25">
      <c r="A10064" s="5"/>
    </row>
    <row r="10065" spans="1:1" x14ac:dyDescent="0.25">
      <c r="A10065" s="5"/>
    </row>
    <row r="10066" spans="1:1" x14ac:dyDescent="0.25">
      <c r="A10066" s="5"/>
    </row>
    <row r="10067" spans="1:1" x14ac:dyDescent="0.25">
      <c r="A10067" s="5"/>
    </row>
    <row r="10068" spans="1:1" x14ac:dyDescent="0.25">
      <c r="A10068" s="5"/>
    </row>
    <row r="10069" spans="1:1" x14ac:dyDescent="0.25">
      <c r="A10069" s="5"/>
    </row>
    <row r="10070" spans="1:1" x14ac:dyDescent="0.25">
      <c r="A10070" s="5"/>
    </row>
    <row r="10071" spans="1:1" x14ac:dyDescent="0.25">
      <c r="A10071" s="5"/>
    </row>
    <row r="10072" spans="1:1" x14ac:dyDescent="0.25">
      <c r="A10072" s="5"/>
    </row>
    <row r="10073" spans="1:1" x14ac:dyDescent="0.25">
      <c r="A10073" s="5"/>
    </row>
    <row r="10074" spans="1:1" x14ac:dyDescent="0.25">
      <c r="A10074" s="5"/>
    </row>
    <row r="10075" spans="1:1" x14ac:dyDescent="0.25">
      <c r="A10075" s="5"/>
    </row>
    <row r="10076" spans="1:1" x14ac:dyDescent="0.25">
      <c r="A10076" s="5"/>
    </row>
    <row r="10077" spans="1:1" x14ac:dyDescent="0.25">
      <c r="A10077" s="5"/>
    </row>
    <row r="10078" spans="1:1" x14ac:dyDescent="0.25">
      <c r="A10078" s="5"/>
    </row>
    <row r="10079" spans="1:1" x14ac:dyDescent="0.25">
      <c r="A10079" s="5"/>
    </row>
    <row r="10080" spans="1:1" x14ac:dyDescent="0.25">
      <c r="A10080" s="5"/>
    </row>
    <row r="10081" spans="1:1" x14ac:dyDescent="0.25">
      <c r="A10081" s="5"/>
    </row>
    <row r="10082" spans="1:1" x14ac:dyDescent="0.25">
      <c r="A10082" s="5"/>
    </row>
    <row r="10083" spans="1:1" x14ac:dyDescent="0.25">
      <c r="A10083" s="5"/>
    </row>
    <row r="10084" spans="1:1" x14ac:dyDescent="0.25">
      <c r="A10084" s="5"/>
    </row>
    <row r="10085" spans="1:1" x14ac:dyDescent="0.25">
      <c r="A10085" s="5"/>
    </row>
    <row r="10086" spans="1:1" x14ac:dyDescent="0.25">
      <c r="A10086" s="5"/>
    </row>
    <row r="10087" spans="1:1" x14ac:dyDescent="0.25">
      <c r="A10087" s="5"/>
    </row>
    <row r="10088" spans="1:1" x14ac:dyDescent="0.25">
      <c r="A10088" s="5"/>
    </row>
    <row r="10089" spans="1:1" x14ac:dyDescent="0.25">
      <c r="A10089" s="5"/>
    </row>
    <row r="10090" spans="1:1" x14ac:dyDescent="0.25">
      <c r="A10090" s="5"/>
    </row>
    <row r="10091" spans="1:1" x14ac:dyDescent="0.25">
      <c r="A10091" s="5"/>
    </row>
    <row r="10092" spans="1:1" x14ac:dyDescent="0.25">
      <c r="A10092" s="5"/>
    </row>
    <row r="10093" spans="1:1" x14ac:dyDescent="0.25">
      <c r="A10093" s="5"/>
    </row>
    <row r="10094" spans="1:1" x14ac:dyDescent="0.25">
      <c r="A10094" s="5"/>
    </row>
    <row r="10095" spans="1:1" x14ac:dyDescent="0.25">
      <c r="A10095" s="5"/>
    </row>
    <row r="10096" spans="1:1" x14ac:dyDescent="0.25">
      <c r="A10096" s="5"/>
    </row>
    <row r="10097" spans="1:1" x14ac:dyDescent="0.25">
      <c r="A10097" s="5"/>
    </row>
    <row r="10098" spans="1:1" x14ac:dyDescent="0.25">
      <c r="A10098" s="5"/>
    </row>
    <row r="10099" spans="1:1" x14ac:dyDescent="0.25">
      <c r="A10099" s="5"/>
    </row>
    <row r="10100" spans="1:1" x14ac:dyDescent="0.25">
      <c r="A10100" s="5"/>
    </row>
    <row r="10101" spans="1:1" x14ac:dyDescent="0.25">
      <c r="A10101" s="5"/>
    </row>
    <row r="10102" spans="1:1" x14ac:dyDescent="0.25">
      <c r="A10102" s="5"/>
    </row>
    <row r="10103" spans="1:1" x14ac:dyDescent="0.25">
      <c r="A10103" s="5"/>
    </row>
    <row r="10104" spans="1:1" x14ac:dyDescent="0.25">
      <c r="A10104" s="5"/>
    </row>
    <row r="10105" spans="1:1" x14ac:dyDescent="0.25">
      <c r="A10105" s="5"/>
    </row>
    <row r="10106" spans="1:1" x14ac:dyDescent="0.25">
      <c r="A10106" s="5"/>
    </row>
    <row r="10107" spans="1:1" x14ac:dyDescent="0.25">
      <c r="A10107" s="5"/>
    </row>
    <row r="10108" spans="1:1" x14ac:dyDescent="0.25">
      <c r="A10108" s="5"/>
    </row>
    <row r="10109" spans="1:1" x14ac:dyDescent="0.25">
      <c r="A10109" s="5"/>
    </row>
    <row r="10110" spans="1:1" x14ac:dyDescent="0.25">
      <c r="A10110" s="5"/>
    </row>
    <row r="10111" spans="1:1" x14ac:dyDescent="0.25">
      <c r="A10111" s="5"/>
    </row>
    <row r="10112" spans="1:1" x14ac:dyDescent="0.25">
      <c r="A10112" s="5"/>
    </row>
    <row r="10113" spans="1:1" x14ac:dyDescent="0.25">
      <c r="A10113" s="5"/>
    </row>
    <row r="10114" spans="1:1" x14ac:dyDescent="0.25">
      <c r="A10114" s="5"/>
    </row>
    <row r="10115" spans="1:1" x14ac:dyDescent="0.25">
      <c r="A10115" s="5"/>
    </row>
    <row r="10116" spans="1:1" x14ac:dyDescent="0.25">
      <c r="A10116" s="5"/>
    </row>
    <row r="10117" spans="1:1" x14ac:dyDescent="0.25">
      <c r="A10117" s="5"/>
    </row>
    <row r="10118" spans="1:1" x14ac:dyDescent="0.25">
      <c r="A10118" s="5"/>
    </row>
    <row r="10119" spans="1:1" x14ac:dyDescent="0.25">
      <c r="A10119" s="5"/>
    </row>
    <row r="10120" spans="1:1" x14ac:dyDescent="0.25">
      <c r="A10120" s="5"/>
    </row>
    <row r="10121" spans="1:1" x14ac:dyDescent="0.25">
      <c r="A10121" s="5"/>
    </row>
    <row r="10122" spans="1:1" x14ac:dyDescent="0.25">
      <c r="A10122" s="5"/>
    </row>
    <row r="10123" spans="1:1" x14ac:dyDescent="0.25">
      <c r="A10123" s="5"/>
    </row>
    <row r="10124" spans="1:1" x14ac:dyDescent="0.25">
      <c r="A10124" s="5"/>
    </row>
    <row r="10125" spans="1:1" x14ac:dyDescent="0.25">
      <c r="A10125" s="5"/>
    </row>
    <row r="10126" spans="1:1" x14ac:dyDescent="0.25">
      <c r="A10126" s="5"/>
    </row>
    <row r="10127" spans="1:1" x14ac:dyDescent="0.25">
      <c r="A10127" s="5"/>
    </row>
    <row r="10128" spans="1:1" x14ac:dyDescent="0.25">
      <c r="A10128" s="5"/>
    </row>
    <row r="10129" spans="1:1" x14ac:dyDescent="0.25">
      <c r="A10129" s="5"/>
    </row>
    <row r="10130" spans="1:1" x14ac:dyDescent="0.25">
      <c r="A10130" s="5"/>
    </row>
    <row r="10131" spans="1:1" x14ac:dyDescent="0.25">
      <c r="A10131" s="5"/>
    </row>
    <row r="10132" spans="1:1" x14ac:dyDescent="0.25">
      <c r="A10132" s="5"/>
    </row>
    <row r="10133" spans="1:1" x14ac:dyDescent="0.25">
      <c r="A10133" s="5"/>
    </row>
    <row r="10134" spans="1:1" x14ac:dyDescent="0.25">
      <c r="A10134" s="5"/>
    </row>
    <row r="10135" spans="1:1" x14ac:dyDescent="0.25">
      <c r="A10135" s="5"/>
    </row>
    <row r="10136" spans="1:1" x14ac:dyDescent="0.25">
      <c r="A10136" s="5"/>
    </row>
    <row r="10137" spans="1:1" x14ac:dyDescent="0.25">
      <c r="A10137" s="5"/>
    </row>
    <row r="10138" spans="1:1" x14ac:dyDescent="0.25">
      <c r="A10138" s="5"/>
    </row>
    <row r="10139" spans="1:1" x14ac:dyDescent="0.25">
      <c r="A10139" s="5"/>
    </row>
    <row r="10140" spans="1:1" x14ac:dyDescent="0.25">
      <c r="A10140" s="5"/>
    </row>
    <row r="10141" spans="1:1" x14ac:dyDescent="0.25">
      <c r="A10141" s="5"/>
    </row>
    <row r="10142" spans="1:1" x14ac:dyDescent="0.25">
      <c r="A10142" s="5"/>
    </row>
    <row r="10143" spans="1:1" x14ac:dyDescent="0.25">
      <c r="A10143" s="5"/>
    </row>
    <row r="10144" spans="1:1" x14ac:dyDescent="0.25">
      <c r="A10144" s="5"/>
    </row>
    <row r="10145" spans="1:1" x14ac:dyDescent="0.25">
      <c r="A10145" s="5"/>
    </row>
    <row r="10146" spans="1:1" x14ac:dyDescent="0.25">
      <c r="A10146" s="5"/>
    </row>
    <row r="10147" spans="1:1" x14ac:dyDescent="0.25">
      <c r="A10147" s="5"/>
    </row>
    <row r="10148" spans="1:1" x14ac:dyDescent="0.25">
      <c r="A10148" s="5"/>
    </row>
    <row r="10149" spans="1:1" x14ac:dyDescent="0.25">
      <c r="A10149" s="5"/>
    </row>
    <row r="10150" spans="1:1" x14ac:dyDescent="0.25">
      <c r="A10150" s="5"/>
    </row>
    <row r="10151" spans="1:1" x14ac:dyDescent="0.25">
      <c r="A10151" s="5"/>
    </row>
    <row r="10152" spans="1:1" x14ac:dyDescent="0.25">
      <c r="A10152" s="5"/>
    </row>
    <row r="10153" spans="1:1" x14ac:dyDescent="0.25">
      <c r="A10153" s="5"/>
    </row>
    <row r="10154" spans="1:1" x14ac:dyDescent="0.25">
      <c r="A10154" s="5"/>
    </row>
    <row r="10155" spans="1:1" x14ac:dyDescent="0.25">
      <c r="A10155" s="5"/>
    </row>
    <row r="10156" spans="1:1" x14ac:dyDescent="0.25">
      <c r="A10156" s="5"/>
    </row>
    <row r="10157" spans="1:1" x14ac:dyDescent="0.25">
      <c r="A10157" s="5"/>
    </row>
    <row r="10158" spans="1:1" x14ac:dyDescent="0.25">
      <c r="A10158" s="5"/>
    </row>
    <row r="10159" spans="1:1" x14ac:dyDescent="0.25">
      <c r="A10159" s="5"/>
    </row>
    <row r="10160" spans="1:1" x14ac:dyDescent="0.25">
      <c r="A10160" s="5"/>
    </row>
    <row r="10161" spans="1:1" x14ac:dyDescent="0.25">
      <c r="A10161" s="5"/>
    </row>
    <row r="10162" spans="1:1" x14ac:dyDescent="0.25">
      <c r="A10162" s="5"/>
    </row>
    <row r="10163" spans="1:1" x14ac:dyDescent="0.25">
      <c r="A10163" s="5"/>
    </row>
    <row r="10164" spans="1:1" x14ac:dyDescent="0.25">
      <c r="A10164" s="5"/>
    </row>
    <row r="10165" spans="1:1" x14ac:dyDescent="0.25">
      <c r="A10165" s="5"/>
    </row>
    <row r="10166" spans="1:1" x14ac:dyDescent="0.25">
      <c r="A10166" s="5"/>
    </row>
    <row r="10167" spans="1:1" x14ac:dyDescent="0.25">
      <c r="A10167" s="5"/>
    </row>
    <row r="10168" spans="1:1" x14ac:dyDescent="0.25">
      <c r="A10168" s="5"/>
    </row>
    <row r="10169" spans="1:1" x14ac:dyDescent="0.25">
      <c r="A10169" s="5"/>
    </row>
    <row r="10170" spans="1:1" x14ac:dyDescent="0.25">
      <c r="A10170" s="5"/>
    </row>
    <row r="10171" spans="1:1" x14ac:dyDescent="0.25">
      <c r="A10171" s="5"/>
    </row>
    <row r="10172" spans="1:1" x14ac:dyDescent="0.25">
      <c r="A10172" s="5"/>
    </row>
    <row r="10173" spans="1:1" x14ac:dyDescent="0.25">
      <c r="A10173" s="5"/>
    </row>
    <row r="10174" spans="1:1" x14ac:dyDescent="0.25">
      <c r="A10174" s="5"/>
    </row>
    <row r="10175" spans="1:1" x14ac:dyDescent="0.25">
      <c r="A10175" s="5"/>
    </row>
    <row r="10176" spans="1:1" x14ac:dyDescent="0.25">
      <c r="A10176" s="5"/>
    </row>
    <row r="10177" spans="1:1" x14ac:dyDescent="0.25">
      <c r="A10177" s="5"/>
    </row>
    <row r="10178" spans="1:1" x14ac:dyDescent="0.25">
      <c r="A10178" s="5"/>
    </row>
    <row r="10179" spans="1:1" x14ac:dyDescent="0.25">
      <c r="A10179" s="5"/>
    </row>
    <row r="10180" spans="1:1" x14ac:dyDescent="0.25">
      <c r="A10180" s="5"/>
    </row>
    <row r="10181" spans="1:1" x14ac:dyDescent="0.25">
      <c r="A10181" s="5"/>
    </row>
    <row r="10182" spans="1:1" x14ac:dyDescent="0.25">
      <c r="A10182" s="5"/>
    </row>
    <row r="10183" spans="1:1" x14ac:dyDescent="0.25">
      <c r="A10183" s="5"/>
    </row>
    <row r="10184" spans="1:1" x14ac:dyDescent="0.25">
      <c r="A10184" s="5"/>
    </row>
    <row r="10185" spans="1:1" x14ac:dyDescent="0.25">
      <c r="A10185" s="5"/>
    </row>
    <row r="10186" spans="1:1" x14ac:dyDescent="0.25">
      <c r="A10186" s="5"/>
    </row>
    <row r="10187" spans="1:1" x14ac:dyDescent="0.25">
      <c r="A10187" s="5"/>
    </row>
    <row r="10188" spans="1:1" x14ac:dyDescent="0.25">
      <c r="A10188" s="5"/>
    </row>
    <row r="10189" spans="1:1" x14ac:dyDescent="0.25">
      <c r="A10189" s="5"/>
    </row>
    <row r="10190" spans="1:1" x14ac:dyDescent="0.25">
      <c r="A10190" s="5"/>
    </row>
    <row r="10191" spans="1:1" x14ac:dyDescent="0.25">
      <c r="A10191" s="5"/>
    </row>
    <row r="10192" spans="1:1" x14ac:dyDescent="0.25">
      <c r="A10192" s="5"/>
    </row>
    <row r="10193" spans="1:1" x14ac:dyDescent="0.25">
      <c r="A10193" s="5"/>
    </row>
    <row r="10194" spans="1:1" x14ac:dyDescent="0.25">
      <c r="A10194" s="5"/>
    </row>
    <row r="10195" spans="1:1" x14ac:dyDescent="0.25">
      <c r="A10195" s="5"/>
    </row>
    <row r="10196" spans="1:1" x14ac:dyDescent="0.25">
      <c r="A10196" s="5"/>
    </row>
    <row r="10197" spans="1:1" x14ac:dyDescent="0.25">
      <c r="A10197" s="5"/>
    </row>
    <row r="10198" spans="1:1" x14ac:dyDescent="0.25">
      <c r="A10198" s="5"/>
    </row>
    <row r="10199" spans="1:1" x14ac:dyDescent="0.25">
      <c r="A10199" s="5"/>
    </row>
    <row r="10200" spans="1:1" x14ac:dyDescent="0.25">
      <c r="A10200" s="5"/>
    </row>
    <row r="10201" spans="1:1" x14ac:dyDescent="0.25">
      <c r="A10201" s="5"/>
    </row>
    <row r="10202" spans="1:1" x14ac:dyDescent="0.25">
      <c r="A10202" s="5"/>
    </row>
    <row r="10203" spans="1:1" x14ac:dyDescent="0.25">
      <c r="A10203" s="5"/>
    </row>
    <row r="10204" spans="1:1" x14ac:dyDescent="0.25">
      <c r="A10204" s="5"/>
    </row>
    <row r="10205" spans="1:1" x14ac:dyDescent="0.25">
      <c r="A10205" s="5"/>
    </row>
    <row r="10206" spans="1:1" x14ac:dyDescent="0.25">
      <c r="A10206" s="5"/>
    </row>
    <row r="10207" spans="1:1" x14ac:dyDescent="0.25">
      <c r="A10207" s="5"/>
    </row>
    <row r="10208" spans="1:1" x14ac:dyDescent="0.25">
      <c r="A10208" s="5"/>
    </row>
    <row r="10209" spans="1:1" x14ac:dyDescent="0.25">
      <c r="A10209" s="5"/>
    </row>
    <row r="10210" spans="1:1" x14ac:dyDescent="0.25">
      <c r="A10210" s="5"/>
    </row>
    <row r="10211" spans="1:1" x14ac:dyDescent="0.25">
      <c r="A10211" s="5"/>
    </row>
    <row r="10212" spans="1:1" x14ac:dyDescent="0.25">
      <c r="A10212" s="5"/>
    </row>
    <row r="10213" spans="1:1" x14ac:dyDescent="0.25">
      <c r="A10213" s="5"/>
    </row>
    <row r="10214" spans="1:1" x14ac:dyDescent="0.25">
      <c r="A10214" s="5"/>
    </row>
    <row r="10215" spans="1:1" x14ac:dyDescent="0.25">
      <c r="A10215" s="5"/>
    </row>
    <row r="10216" spans="1:1" x14ac:dyDescent="0.25">
      <c r="A10216" s="5"/>
    </row>
    <row r="10217" spans="1:1" x14ac:dyDescent="0.25">
      <c r="A10217" s="5"/>
    </row>
    <row r="10218" spans="1:1" x14ac:dyDescent="0.25">
      <c r="A10218" s="5"/>
    </row>
    <row r="10219" spans="1:1" x14ac:dyDescent="0.25">
      <c r="A10219" s="5"/>
    </row>
    <row r="10220" spans="1:1" x14ac:dyDescent="0.25">
      <c r="A10220" s="5"/>
    </row>
    <row r="10221" spans="1:1" x14ac:dyDescent="0.25">
      <c r="A10221" s="5"/>
    </row>
    <row r="10222" spans="1:1" x14ac:dyDescent="0.25">
      <c r="A10222" s="5"/>
    </row>
    <row r="10223" spans="1:1" x14ac:dyDescent="0.25">
      <c r="A10223" s="5"/>
    </row>
    <row r="10224" spans="1:1" x14ac:dyDescent="0.25">
      <c r="A10224" s="5"/>
    </row>
    <row r="10225" spans="1:1" x14ac:dyDescent="0.25">
      <c r="A10225" s="5"/>
    </row>
    <row r="10226" spans="1:1" x14ac:dyDescent="0.25">
      <c r="A10226" s="5"/>
    </row>
    <row r="10227" spans="1:1" x14ac:dyDescent="0.25">
      <c r="A10227" s="5"/>
    </row>
    <row r="10228" spans="1:1" x14ac:dyDescent="0.25">
      <c r="A10228" s="5"/>
    </row>
    <row r="10229" spans="1:1" x14ac:dyDescent="0.25">
      <c r="A10229" s="5"/>
    </row>
    <row r="10230" spans="1:1" x14ac:dyDescent="0.25">
      <c r="A10230" s="5"/>
    </row>
    <row r="10231" spans="1:1" x14ac:dyDescent="0.25">
      <c r="A10231" s="5"/>
    </row>
    <row r="10232" spans="1:1" x14ac:dyDescent="0.25">
      <c r="A10232" s="5"/>
    </row>
    <row r="10233" spans="1:1" x14ac:dyDescent="0.25">
      <c r="A10233" s="5"/>
    </row>
    <row r="10234" spans="1:1" x14ac:dyDescent="0.25">
      <c r="A10234" s="5"/>
    </row>
    <row r="10235" spans="1:1" x14ac:dyDescent="0.25">
      <c r="A10235" s="5"/>
    </row>
    <row r="10236" spans="1:1" x14ac:dyDescent="0.25">
      <c r="A10236" s="5"/>
    </row>
    <row r="10237" spans="1:1" x14ac:dyDescent="0.25">
      <c r="A10237" s="5"/>
    </row>
    <row r="10238" spans="1:1" x14ac:dyDescent="0.25">
      <c r="A10238" s="5"/>
    </row>
    <row r="10239" spans="1:1" x14ac:dyDescent="0.25">
      <c r="A10239" s="5"/>
    </row>
    <row r="10240" spans="1:1" x14ac:dyDescent="0.25">
      <c r="A10240" s="5"/>
    </row>
    <row r="10241" spans="1:1" x14ac:dyDescent="0.25">
      <c r="A10241" s="5"/>
    </row>
    <row r="10242" spans="1:1" x14ac:dyDescent="0.25">
      <c r="A10242" s="5"/>
    </row>
    <row r="10243" spans="1:1" x14ac:dyDescent="0.25">
      <c r="A10243" s="5"/>
    </row>
    <row r="10244" spans="1:1" x14ac:dyDescent="0.25">
      <c r="A10244" s="5"/>
    </row>
    <row r="10245" spans="1:1" x14ac:dyDescent="0.25">
      <c r="A10245" s="5"/>
    </row>
    <row r="10246" spans="1:1" x14ac:dyDescent="0.25">
      <c r="A10246" s="5"/>
    </row>
    <row r="10247" spans="1:1" x14ac:dyDescent="0.25">
      <c r="A10247" s="5"/>
    </row>
    <row r="10248" spans="1:1" x14ac:dyDescent="0.25">
      <c r="A10248" s="5"/>
    </row>
    <row r="10249" spans="1:1" x14ac:dyDescent="0.25">
      <c r="A10249" s="5"/>
    </row>
    <row r="10250" spans="1:1" x14ac:dyDescent="0.25">
      <c r="A10250" s="5"/>
    </row>
    <row r="10251" spans="1:1" x14ac:dyDescent="0.25">
      <c r="A10251" s="5"/>
    </row>
    <row r="10252" spans="1:1" x14ac:dyDescent="0.25">
      <c r="A10252" s="5"/>
    </row>
    <row r="10253" spans="1:1" x14ac:dyDescent="0.25">
      <c r="A10253" s="5"/>
    </row>
    <row r="10254" spans="1:1" x14ac:dyDescent="0.25">
      <c r="A10254" s="5"/>
    </row>
    <row r="10255" spans="1:1" x14ac:dyDescent="0.25">
      <c r="A10255" s="5"/>
    </row>
    <row r="10256" spans="1:1" x14ac:dyDescent="0.25">
      <c r="A10256" s="5"/>
    </row>
    <row r="10257" spans="1:1" x14ac:dyDescent="0.25">
      <c r="A10257" s="5"/>
    </row>
    <row r="10258" spans="1:1" x14ac:dyDescent="0.25">
      <c r="A10258" s="5"/>
    </row>
    <row r="10259" spans="1:1" x14ac:dyDescent="0.25">
      <c r="A10259" s="5"/>
    </row>
    <row r="10260" spans="1:1" x14ac:dyDescent="0.25">
      <c r="A10260" s="5"/>
    </row>
    <row r="10261" spans="1:1" x14ac:dyDescent="0.25">
      <c r="A10261" s="5"/>
    </row>
    <row r="10262" spans="1:1" x14ac:dyDescent="0.25">
      <c r="A10262" s="5"/>
    </row>
    <row r="10263" spans="1:1" x14ac:dyDescent="0.25">
      <c r="A10263" s="5"/>
    </row>
    <row r="10264" spans="1:1" x14ac:dyDescent="0.25">
      <c r="A10264" s="5"/>
    </row>
    <row r="10265" spans="1:1" x14ac:dyDescent="0.25">
      <c r="A10265" s="5"/>
    </row>
    <row r="10266" spans="1:1" x14ac:dyDescent="0.25">
      <c r="A10266" s="5"/>
    </row>
    <row r="10267" spans="1:1" x14ac:dyDescent="0.25">
      <c r="A10267" s="5"/>
    </row>
    <row r="10268" spans="1:1" x14ac:dyDescent="0.25">
      <c r="A10268" s="5"/>
    </row>
    <row r="10269" spans="1:1" x14ac:dyDescent="0.25">
      <c r="A10269" s="5"/>
    </row>
    <row r="10270" spans="1:1" x14ac:dyDescent="0.25">
      <c r="A10270" s="5"/>
    </row>
    <row r="10271" spans="1:1" x14ac:dyDescent="0.25">
      <c r="A10271" s="5"/>
    </row>
    <row r="10272" spans="1:1" x14ac:dyDescent="0.25">
      <c r="A10272" s="5"/>
    </row>
    <row r="10273" spans="1:1" x14ac:dyDescent="0.25">
      <c r="A10273" s="5"/>
    </row>
    <row r="10274" spans="1:1" x14ac:dyDescent="0.25">
      <c r="A10274" s="5"/>
    </row>
    <row r="10275" spans="1:1" x14ac:dyDescent="0.25">
      <c r="A10275" s="5"/>
    </row>
    <row r="10276" spans="1:1" x14ac:dyDescent="0.25">
      <c r="A10276" s="5"/>
    </row>
    <row r="10277" spans="1:1" x14ac:dyDescent="0.25">
      <c r="A10277" s="5"/>
    </row>
    <row r="10278" spans="1:1" x14ac:dyDescent="0.25">
      <c r="A10278" s="5"/>
    </row>
    <row r="10279" spans="1:1" x14ac:dyDescent="0.25">
      <c r="A10279" s="5"/>
    </row>
    <row r="10280" spans="1:1" x14ac:dyDescent="0.25">
      <c r="A10280" s="5"/>
    </row>
    <row r="10281" spans="1:1" x14ac:dyDescent="0.25">
      <c r="A10281" s="5"/>
    </row>
    <row r="10282" spans="1:1" x14ac:dyDescent="0.25">
      <c r="A10282" s="5"/>
    </row>
    <row r="10283" spans="1:1" x14ac:dyDescent="0.25">
      <c r="A10283" s="5"/>
    </row>
    <row r="10284" spans="1:1" x14ac:dyDescent="0.25">
      <c r="A10284" s="5"/>
    </row>
    <row r="10285" spans="1:1" x14ac:dyDescent="0.25">
      <c r="A10285" s="5"/>
    </row>
    <row r="10286" spans="1:1" x14ac:dyDescent="0.25">
      <c r="A10286" s="5"/>
    </row>
    <row r="10287" spans="1:1" x14ac:dyDescent="0.25">
      <c r="A10287" s="5"/>
    </row>
    <row r="10288" spans="1:1" x14ac:dyDescent="0.25">
      <c r="A10288" s="5"/>
    </row>
    <row r="10289" spans="1:1" x14ac:dyDescent="0.25">
      <c r="A10289" s="5"/>
    </row>
    <row r="10290" spans="1:1" x14ac:dyDescent="0.25">
      <c r="A10290" s="5"/>
    </row>
    <row r="10291" spans="1:1" x14ac:dyDescent="0.25">
      <c r="A10291" s="5"/>
    </row>
    <row r="10292" spans="1:1" x14ac:dyDescent="0.25">
      <c r="A10292" s="5"/>
    </row>
    <row r="10293" spans="1:1" x14ac:dyDescent="0.25">
      <c r="A10293" s="5"/>
    </row>
    <row r="10294" spans="1:1" x14ac:dyDescent="0.25">
      <c r="A10294" s="5"/>
    </row>
    <row r="10295" spans="1:1" x14ac:dyDescent="0.25">
      <c r="A10295" s="5"/>
    </row>
    <row r="10296" spans="1:1" x14ac:dyDescent="0.25">
      <c r="A10296" s="5"/>
    </row>
    <row r="10297" spans="1:1" x14ac:dyDescent="0.25">
      <c r="A10297" s="5"/>
    </row>
    <row r="10298" spans="1:1" x14ac:dyDescent="0.25">
      <c r="A10298" s="5"/>
    </row>
    <row r="10299" spans="1:1" x14ac:dyDescent="0.25">
      <c r="A10299" s="5"/>
    </row>
    <row r="10300" spans="1:1" x14ac:dyDescent="0.25">
      <c r="A10300" s="5"/>
    </row>
    <row r="10301" spans="1:1" x14ac:dyDescent="0.25">
      <c r="A10301" s="5"/>
    </row>
    <row r="10302" spans="1:1" x14ac:dyDescent="0.25">
      <c r="A10302" s="5"/>
    </row>
    <row r="10303" spans="1:1" x14ac:dyDescent="0.25">
      <c r="A10303" s="5"/>
    </row>
    <row r="10304" spans="1:1" x14ac:dyDescent="0.25">
      <c r="A10304" s="5"/>
    </row>
    <row r="10305" spans="1:1" x14ac:dyDescent="0.25">
      <c r="A10305" s="5"/>
    </row>
    <row r="10306" spans="1:1" x14ac:dyDescent="0.25">
      <c r="A10306" s="5"/>
    </row>
    <row r="10307" spans="1:1" x14ac:dyDescent="0.25">
      <c r="A10307" s="5"/>
    </row>
    <row r="10308" spans="1:1" x14ac:dyDescent="0.25">
      <c r="A10308" s="5"/>
    </row>
    <row r="10309" spans="1:1" x14ac:dyDescent="0.25">
      <c r="A10309" s="5"/>
    </row>
    <row r="10310" spans="1:1" x14ac:dyDescent="0.25">
      <c r="A10310" s="5"/>
    </row>
    <row r="10311" spans="1:1" x14ac:dyDescent="0.25">
      <c r="A10311" s="5"/>
    </row>
    <row r="10312" spans="1:1" x14ac:dyDescent="0.25">
      <c r="A10312" s="5"/>
    </row>
    <row r="10313" spans="1:1" x14ac:dyDescent="0.25">
      <c r="A10313" s="5"/>
    </row>
    <row r="10314" spans="1:1" x14ac:dyDescent="0.25">
      <c r="A10314" s="5"/>
    </row>
    <row r="10315" spans="1:1" x14ac:dyDescent="0.25">
      <c r="A10315" s="5"/>
    </row>
    <row r="10316" spans="1:1" x14ac:dyDescent="0.25">
      <c r="A10316" s="5"/>
    </row>
    <row r="10317" spans="1:1" x14ac:dyDescent="0.25">
      <c r="A10317" s="5"/>
    </row>
    <row r="10318" spans="1:1" x14ac:dyDescent="0.25">
      <c r="A10318" s="5"/>
    </row>
    <row r="10319" spans="1:1" x14ac:dyDescent="0.25">
      <c r="A10319" s="5"/>
    </row>
    <row r="10320" spans="1:1" x14ac:dyDescent="0.25">
      <c r="A10320" s="5"/>
    </row>
    <row r="10321" spans="1:1" x14ac:dyDescent="0.25">
      <c r="A10321" s="5"/>
    </row>
    <row r="10322" spans="1:1" x14ac:dyDescent="0.25">
      <c r="A10322" s="5"/>
    </row>
    <row r="10323" spans="1:1" x14ac:dyDescent="0.25">
      <c r="A10323" s="5"/>
    </row>
    <row r="10324" spans="1:1" x14ac:dyDescent="0.25">
      <c r="A10324" s="5"/>
    </row>
    <row r="10325" spans="1:1" x14ac:dyDescent="0.25">
      <c r="A10325" s="5"/>
    </row>
    <row r="10326" spans="1:1" x14ac:dyDescent="0.25">
      <c r="A10326" s="5"/>
    </row>
    <row r="10327" spans="1:1" x14ac:dyDescent="0.25">
      <c r="A10327" s="5"/>
    </row>
    <row r="10328" spans="1:1" x14ac:dyDescent="0.25">
      <c r="A10328" s="5"/>
    </row>
    <row r="10329" spans="1:1" x14ac:dyDescent="0.25">
      <c r="A10329" s="5"/>
    </row>
    <row r="10330" spans="1:1" x14ac:dyDescent="0.25">
      <c r="A10330" s="5"/>
    </row>
    <row r="10331" spans="1:1" x14ac:dyDescent="0.25">
      <c r="A10331" s="5"/>
    </row>
    <row r="10332" spans="1:1" x14ac:dyDescent="0.25">
      <c r="A10332" s="5"/>
    </row>
    <row r="10333" spans="1:1" x14ac:dyDescent="0.25">
      <c r="A10333" s="5"/>
    </row>
    <row r="10334" spans="1:1" x14ac:dyDescent="0.25">
      <c r="A10334" s="5"/>
    </row>
    <row r="10335" spans="1:1" x14ac:dyDescent="0.25">
      <c r="A10335" s="5"/>
    </row>
    <row r="10336" spans="1:1" x14ac:dyDescent="0.25">
      <c r="A10336" s="5"/>
    </row>
    <row r="10337" spans="1:1" x14ac:dyDescent="0.25">
      <c r="A10337" s="5"/>
    </row>
    <row r="10338" spans="1:1" x14ac:dyDescent="0.25">
      <c r="A10338" s="5"/>
    </row>
    <row r="10339" spans="1:1" x14ac:dyDescent="0.25">
      <c r="A10339" s="5"/>
    </row>
    <row r="10340" spans="1:1" x14ac:dyDescent="0.25">
      <c r="A10340" s="5"/>
    </row>
    <row r="10341" spans="1:1" x14ac:dyDescent="0.25">
      <c r="A10341" s="5"/>
    </row>
    <row r="10342" spans="1:1" x14ac:dyDescent="0.25">
      <c r="A10342" s="5"/>
    </row>
    <row r="10343" spans="1:1" x14ac:dyDescent="0.25">
      <c r="A10343" s="5"/>
    </row>
    <row r="10344" spans="1:1" x14ac:dyDescent="0.25">
      <c r="A10344" s="5"/>
    </row>
    <row r="10345" spans="1:1" x14ac:dyDescent="0.25">
      <c r="A10345" s="5"/>
    </row>
    <row r="10346" spans="1:1" x14ac:dyDescent="0.25">
      <c r="A10346" s="5"/>
    </row>
    <row r="10347" spans="1:1" x14ac:dyDescent="0.25">
      <c r="A10347" s="5"/>
    </row>
    <row r="10348" spans="1:1" x14ac:dyDescent="0.25">
      <c r="A10348" s="5"/>
    </row>
    <row r="10349" spans="1:1" x14ac:dyDescent="0.25">
      <c r="A10349" s="5"/>
    </row>
    <row r="10350" spans="1:1" x14ac:dyDescent="0.25">
      <c r="A10350" s="5"/>
    </row>
    <row r="10351" spans="1:1" x14ac:dyDescent="0.25">
      <c r="A10351" s="5"/>
    </row>
    <row r="10352" spans="1:1" x14ac:dyDescent="0.25">
      <c r="A10352" s="5"/>
    </row>
    <row r="10353" spans="1:1" x14ac:dyDescent="0.25">
      <c r="A10353" s="5"/>
    </row>
    <row r="10354" spans="1:1" x14ac:dyDescent="0.25">
      <c r="A10354" s="5"/>
    </row>
    <row r="10355" spans="1:1" x14ac:dyDescent="0.25">
      <c r="A10355" s="5"/>
    </row>
    <row r="10356" spans="1:1" x14ac:dyDescent="0.25">
      <c r="A10356" s="5"/>
    </row>
    <row r="10357" spans="1:1" x14ac:dyDescent="0.25">
      <c r="A10357" s="5"/>
    </row>
    <row r="10358" spans="1:1" x14ac:dyDescent="0.25">
      <c r="A10358" s="5"/>
    </row>
    <row r="10359" spans="1:1" x14ac:dyDescent="0.25">
      <c r="A10359" s="5"/>
    </row>
    <row r="10360" spans="1:1" x14ac:dyDescent="0.25">
      <c r="A10360" s="5"/>
    </row>
    <row r="10361" spans="1:1" x14ac:dyDescent="0.25">
      <c r="A10361" s="5"/>
    </row>
    <row r="10362" spans="1:1" x14ac:dyDescent="0.25">
      <c r="A10362" s="5"/>
    </row>
    <row r="10363" spans="1:1" x14ac:dyDescent="0.25">
      <c r="A10363" s="5"/>
    </row>
    <row r="10364" spans="1:1" x14ac:dyDescent="0.25">
      <c r="A10364" s="5"/>
    </row>
    <row r="10365" spans="1:1" x14ac:dyDescent="0.25">
      <c r="A10365" s="5"/>
    </row>
    <row r="10366" spans="1:1" x14ac:dyDescent="0.25">
      <c r="A10366" s="5"/>
    </row>
    <row r="10367" spans="1:1" x14ac:dyDescent="0.25">
      <c r="A10367" s="5"/>
    </row>
    <row r="10368" spans="1:1" x14ac:dyDescent="0.25">
      <c r="A10368" s="5"/>
    </row>
    <row r="10369" spans="1:1" x14ac:dyDescent="0.25">
      <c r="A10369" s="5"/>
    </row>
    <row r="10370" spans="1:1" x14ac:dyDescent="0.25">
      <c r="A10370" s="5"/>
    </row>
    <row r="10371" spans="1:1" x14ac:dyDescent="0.25">
      <c r="A10371" s="5"/>
    </row>
    <row r="10372" spans="1:1" x14ac:dyDescent="0.25">
      <c r="A10372" s="5"/>
    </row>
    <row r="10373" spans="1:1" x14ac:dyDescent="0.25">
      <c r="A10373" s="5"/>
    </row>
    <row r="10374" spans="1:1" x14ac:dyDescent="0.25">
      <c r="A10374" s="5"/>
    </row>
    <row r="10375" spans="1:1" x14ac:dyDescent="0.25">
      <c r="A10375" s="5"/>
    </row>
    <row r="10376" spans="1:1" x14ac:dyDescent="0.25">
      <c r="A10376" s="5"/>
    </row>
    <row r="10377" spans="1:1" x14ac:dyDescent="0.25">
      <c r="A10377" s="5"/>
    </row>
    <row r="10378" spans="1:1" x14ac:dyDescent="0.25">
      <c r="A10378" s="5"/>
    </row>
    <row r="10379" spans="1:1" x14ac:dyDescent="0.25">
      <c r="A10379" s="5"/>
    </row>
    <row r="10380" spans="1:1" x14ac:dyDescent="0.25">
      <c r="A10380" s="5"/>
    </row>
    <row r="10381" spans="1:1" x14ac:dyDescent="0.25">
      <c r="A10381" s="5"/>
    </row>
    <row r="10382" spans="1:1" x14ac:dyDescent="0.25">
      <c r="A10382" s="5"/>
    </row>
    <row r="10383" spans="1:1" x14ac:dyDescent="0.25">
      <c r="A10383" s="5"/>
    </row>
    <row r="10384" spans="1:1" x14ac:dyDescent="0.25">
      <c r="A10384" s="5"/>
    </row>
    <row r="10385" spans="1:1" x14ac:dyDescent="0.25">
      <c r="A10385" s="5"/>
    </row>
    <row r="10386" spans="1:1" x14ac:dyDescent="0.25">
      <c r="A10386" s="5"/>
    </row>
    <row r="10387" spans="1:1" x14ac:dyDescent="0.25">
      <c r="A10387" s="5"/>
    </row>
    <row r="10388" spans="1:1" x14ac:dyDescent="0.25">
      <c r="A10388" s="5"/>
    </row>
    <row r="10389" spans="1:1" x14ac:dyDescent="0.25">
      <c r="A10389" s="5"/>
    </row>
    <row r="10390" spans="1:1" x14ac:dyDescent="0.25">
      <c r="A10390" s="5"/>
    </row>
    <row r="10391" spans="1:1" x14ac:dyDescent="0.25">
      <c r="A10391" s="5"/>
    </row>
    <row r="10392" spans="1:1" x14ac:dyDescent="0.25">
      <c r="A10392" s="5"/>
    </row>
    <row r="10393" spans="1:1" x14ac:dyDescent="0.25">
      <c r="A10393" s="5"/>
    </row>
    <row r="10394" spans="1:1" x14ac:dyDescent="0.25">
      <c r="A10394" s="5"/>
    </row>
    <row r="10395" spans="1:1" x14ac:dyDescent="0.25">
      <c r="A10395" s="5"/>
    </row>
    <row r="10396" spans="1:1" x14ac:dyDescent="0.25">
      <c r="A10396" s="5"/>
    </row>
    <row r="10397" spans="1:1" x14ac:dyDescent="0.25">
      <c r="A10397" s="5"/>
    </row>
    <row r="10398" spans="1:1" x14ac:dyDescent="0.25">
      <c r="A10398" s="5"/>
    </row>
    <row r="10399" spans="1:1" x14ac:dyDescent="0.25">
      <c r="A10399" s="5"/>
    </row>
    <row r="10400" spans="1:1" x14ac:dyDescent="0.25">
      <c r="A10400" s="5"/>
    </row>
    <row r="10401" spans="1:1" x14ac:dyDescent="0.25">
      <c r="A10401" s="5"/>
    </row>
    <row r="10402" spans="1:1" x14ac:dyDescent="0.25">
      <c r="A10402" s="5"/>
    </row>
    <row r="10403" spans="1:1" x14ac:dyDescent="0.25">
      <c r="A10403" s="5"/>
    </row>
    <row r="10404" spans="1:1" x14ac:dyDescent="0.25">
      <c r="A10404" s="5"/>
    </row>
    <row r="10405" spans="1:1" x14ac:dyDescent="0.25">
      <c r="A10405" s="5"/>
    </row>
    <row r="10406" spans="1:1" x14ac:dyDescent="0.25">
      <c r="A10406" s="5"/>
    </row>
    <row r="10407" spans="1:1" x14ac:dyDescent="0.25">
      <c r="A10407" s="5"/>
    </row>
    <row r="10408" spans="1:1" x14ac:dyDescent="0.25">
      <c r="A10408" s="5"/>
    </row>
    <row r="10409" spans="1:1" x14ac:dyDescent="0.25">
      <c r="A10409" s="5"/>
    </row>
    <row r="10410" spans="1:1" x14ac:dyDescent="0.25">
      <c r="A10410" s="5"/>
    </row>
    <row r="10411" spans="1:1" x14ac:dyDescent="0.25">
      <c r="A10411" s="5"/>
    </row>
    <row r="10412" spans="1:1" x14ac:dyDescent="0.25">
      <c r="A10412" s="5"/>
    </row>
    <row r="10413" spans="1:1" x14ac:dyDescent="0.25">
      <c r="A10413" s="5"/>
    </row>
    <row r="10414" spans="1:1" x14ac:dyDescent="0.25">
      <c r="A10414" s="5"/>
    </row>
    <row r="10415" spans="1:1" x14ac:dyDescent="0.25">
      <c r="A10415" s="5"/>
    </row>
    <row r="10416" spans="1:1" x14ac:dyDescent="0.25">
      <c r="A10416" s="5"/>
    </row>
    <row r="10417" spans="1:1" x14ac:dyDescent="0.25">
      <c r="A10417" s="5"/>
    </row>
    <row r="10418" spans="1:1" x14ac:dyDescent="0.25">
      <c r="A10418" s="5"/>
    </row>
    <row r="10419" spans="1:1" x14ac:dyDescent="0.25">
      <c r="A10419" s="5"/>
    </row>
    <row r="10420" spans="1:1" x14ac:dyDescent="0.25">
      <c r="A10420" s="5"/>
    </row>
    <row r="10421" spans="1:1" x14ac:dyDescent="0.25">
      <c r="A10421" s="5"/>
    </row>
    <row r="10422" spans="1:1" x14ac:dyDescent="0.25">
      <c r="A10422" s="5"/>
    </row>
    <row r="10423" spans="1:1" x14ac:dyDescent="0.25">
      <c r="A10423" s="5"/>
    </row>
    <row r="10424" spans="1:1" x14ac:dyDescent="0.25">
      <c r="A10424" s="5"/>
    </row>
    <row r="10425" spans="1:1" x14ac:dyDescent="0.25">
      <c r="A10425" s="5"/>
    </row>
    <row r="10426" spans="1:1" x14ac:dyDescent="0.25">
      <c r="A10426" s="5"/>
    </row>
    <row r="10427" spans="1:1" x14ac:dyDescent="0.25">
      <c r="A10427" s="5"/>
    </row>
    <row r="10428" spans="1:1" x14ac:dyDescent="0.25">
      <c r="A10428" s="5"/>
    </row>
    <row r="10429" spans="1:1" x14ac:dyDescent="0.25">
      <c r="A10429" s="5"/>
    </row>
    <row r="10430" spans="1:1" x14ac:dyDescent="0.25">
      <c r="A10430" s="5"/>
    </row>
    <row r="10431" spans="1:1" x14ac:dyDescent="0.25">
      <c r="A10431" s="5"/>
    </row>
    <row r="10432" spans="1:1" x14ac:dyDescent="0.25">
      <c r="A10432" s="5"/>
    </row>
    <row r="10433" spans="1:1" x14ac:dyDescent="0.25">
      <c r="A10433" s="5"/>
    </row>
    <row r="10434" spans="1:1" x14ac:dyDescent="0.25">
      <c r="A10434" s="5"/>
    </row>
    <row r="10435" spans="1:1" x14ac:dyDescent="0.25">
      <c r="A10435" s="5"/>
    </row>
    <row r="10436" spans="1:1" x14ac:dyDescent="0.25">
      <c r="A10436" s="5"/>
    </row>
    <row r="10437" spans="1:1" x14ac:dyDescent="0.25">
      <c r="A10437" s="5"/>
    </row>
    <row r="10438" spans="1:1" x14ac:dyDescent="0.25">
      <c r="A10438" s="5"/>
    </row>
    <row r="10439" spans="1:1" x14ac:dyDescent="0.25">
      <c r="A10439" s="5"/>
    </row>
    <row r="10440" spans="1:1" x14ac:dyDescent="0.25">
      <c r="A10440" s="5"/>
    </row>
    <row r="10441" spans="1:1" x14ac:dyDescent="0.25">
      <c r="A10441" s="5"/>
    </row>
    <row r="10442" spans="1:1" x14ac:dyDescent="0.25">
      <c r="A10442" s="5"/>
    </row>
    <row r="10443" spans="1:1" x14ac:dyDescent="0.25">
      <c r="A10443" s="5"/>
    </row>
    <row r="10444" spans="1:1" x14ac:dyDescent="0.25">
      <c r="A10444" s="5"/>
    </row>
    <row r="10445" spans="1:1" x14ac:dyDescent="0.25">
      <c r="A10445" s="5"/>
    </row>
    <row r="10446" spans="1:1" x14ac:dyDescent="0.25">
      <c r="A10446" s="5"/>
    </row>
    <row r="10447" spans="1:1" x14ac:dyDescent="0.25">
      <c r="A10447" s="5"/>
    </row>
    <row r="10448" spans="1:1" x14ac:dyDescent="0.25">
      <c r="A10448" s="5"/>
    </row>
    <row r="10449" spans="1:1" x14ac:dyDescent="0.25">
      <c r="A10449" s="5"/>
    </row>
    <row r="10450" spans="1:1" x14ac:dyDescent="0.25">
      <c r="A10450" s="5"/>
    </row>
    <row r="10451" spans="1:1" x14ac:dyDescent="0.25">
      <c r="A10451" s="5"/>
    </row>
    <row r="10452" spans="1:1" x14ac:dyDescent="0.25">
      <c r="A10452" s="5"/>
    </row>
    <row r="10453" spans="1:1" x14ac:dyDescent="0.25">
      <c r="A10453" s="5"/>
    </row>
    <row r="10454" spans="1:1" x14ac:dyDescent="0.25">
      <c r="A10454" s="5"/>
    </row>
    <row r="10455" spans="1:1" x14ac:dyDescent="0.25">
      <c r="A10455" s="5"/>
    </row>
    <row r="10456" spans="1:1" x14ac:dyDescent="0.25">
      <c r="A10456" s="5"/>
    </row>
    <row r="10457" spans="1:1" x14ac:dyDescent="0.25">
      <c r="A10457" s="5"/>
    </row>
    <row r="10458" spans="1:1" x14ac:dyDescent="0.25">
      <c r="A10458" s="5"/>
    </row>
    <row r="10459" spans="1:1" x14ac:dyDescent="0.25">
      <c r="A10459" s="5"/>
    </row>
    <row r="10460" spans="1:1" x14ac:dyDescent="0.25">
      <c r="A10460" s="5"/>
    </row>
    <row r="10461" spans="1:1" x14ac:dyDescent="0.25">
      <c r="A10461" s="5"/>
    </row>
    <row r="10462" spans="1:1" x14ac:dyDescent="0.25">
      <c r="A10462" s="5"/>
    </row>
    <row r="10463" spans="1:1" x14ac:dyDescent="0.25">
      <c r="A10463" s="5"/>
    </row>
    <row r="10464" spans="1:1" x14ac:dyDescent="0.25">
      <c r="A10464" s="5"/>
    </row>
    <row r="10465" spans="1:1" x14ac:dyDescent="0.25">
      <c r="A10465" s="5"/>
    </row>
    <row r="10466" spans="1:1" x14ac:dyDescent="0.25">
      <c r="A10466" s="5"/>
    </row>
    <row r="10467" spans="1:1" x14ac:dyDescent="0.25">
      <c r="A10467" s="5"/>
    </row>
    <row r="10468" spans="1:1" x14ac:dyDescent="0.25">
      <c r="A10468" s="5"/>
    </row>
    <row r="10469" spans="1:1" x14ac:dyDescent="0.25">
      <c r="A10469" s="5"/>
    </row>
    <row r="10470" spans="1:1" x14ac:dyDescent="0.25">
      <c r="A10470" s="5"/>
    </row>
    <row r="10471" spans="1:1" x14ac:dyDescent="0.25">
      <c r="A10471" s="5"/>
    </row>
    <row r="10472" spans="1:1" x14ac:dyDescent="0.25">
      <c r="A10472" s="5"/>
    </row>
    <row r="10473" spans="1:1" x14ac:dyDescent="0.25">
      <c r="A10473" s="5"/>
    </row>
    <row r="10474" spans="1:1" x14ac:dyDescent="0.25">
      <c r="A10474" s="5"/>
    </row>
    <row r="10475" spans="1:1" x14ac:dyDescent="0.25">
      <c r="A10475" s="5"/>
    </row>
    <row r="10476" spans="1:1" x14ac:dyDescent="0.25">
      <c r="A10476" s="5"/>
    </row>
    <row r="10477" spans="1:1" x14ac:dyDescent="0.25">
      <c r="A10477" s="5"/>
    </row>
    <row r="10478" spans="1:1" x14ac:dyDescent="0.25">
      <c r="A10478" s="5"/>
    </row>
    <row r="10479" spans="1:1" x14ac:dyDescent="0.25">
      <c r="A10479" s="5"/>
    </row>
    <row r="10480" spans="1:1" x14ac:dyDescent="0.25">
      <c r="A10480" s="5"/>
    </row>
    <row r="10481" spans="1:1" x14ac:dyDescent="0.25">
      <c r="A10481" s="5"/>
    </row>
    <row r="10482" spans="1:1" x14ac:dyDescent="0.25">
      <c r="A10482" s="5"/>
    </row>
    <row r="10483" spans="1:1" x14ac:dyDescent="0.25">
      <c r="A10483" s="5"/>
    </row>
    <row r="10484" spans="1:1" x14ac:dyDescent="0.25">
      <c r="A10484" s="5"/>
    </row>
    <row r="10485" spans="1:1" x14ac:dyDescent="0.25">
      <c r="A10485" s="5"/>
    </row>
    <row r="10486" spans="1:1" x14ac:dyDescent="0.25">
      <c r="A10486" s="5"/>
    </row>
    <row r="10487" spans="1:1" x14ac:dyDescent="0.25">
      <c r="A10487" s="5"/>
    </row>
    <row r="10488" spans="1:1" x14ac:dyDescent="0.25">
      <c r="A10488" s="5"/>
    </row>
    <row r="10489" spans="1:1" x14ac:dyDescent="0.25">
      <c r="A10489" s="5"/>
    </row>
    <row r="10490" spans="1:1" x14ac:dyDescent="0.25">
      <c r="A10490" s="5"/>
    </row>
    <row r="10491" spans="1:1" x14ac:dyDescent="0.25">
      <c r="A10491" s="5"/>
    </row>
    <row r="10492" spans="1:1" x14ac:dyDescent="0.25">
      <c r="A10492" s="5"/>
    </row>
    <row r="10493" spans="1:1" x14ac:dyDescent="0.25">
      <c r="A10493" s="5"/>
    </row>
    <row r="10494" spans="1:1" x14ac:dyDescent="0.25">
      <c r="A10494" s="5"/>
    </row>
    <row r="10495" spans="1:1" x14ac:dyDescent="0.25">
      <c r="A10495" s="5"/>
    </row>
    <row r="10496" spans="1:1" x14ac:dyDescent="0.25">
      <c r="A10496" s="5"/>
    </row>
    <row r="10497" spans="1:1" x14ac:dyDescent="0.25">
      <c r="A10497" s="5"/>
    </row>
    <row r="10498" spans="1:1" x14ac:dyDescent="0.25">
      <c r="A10498" s="5"/>
    </row>
    <row r="10499" spans="1:1" x14ac:dyDescent="0.25">
      <c r="A10499" s="5"/>
    </row>
    <row r="10500" spans="1:1" x14ac:dyDescent="0.25">
      <c r="A10500" s="5"/>
    </row>
    <row r="10501" spans="1:1" x14ac:dyDescent="0.25">
      <c r="A10501" s="5"/>
    </row>
    <row r="10502" spans="1:1" x14ac:dyDescent="0.25">
      <c r="A10502" s="5"/>
    </row>
    <row r="10503" spans="1:1" x14ac:dyDescent="0.25">
      <c r="A10503" s="5"/>
    </row>
    <row r="10504" spans="1:1" x14ac:dyDescent="0.25">
      <c r="A10504" s="5"/>
    </row>
    <row r="10505" spans="1:1" x14ac:dyDescent="0.25">
      <c r="A10505" s="5"/>
    </row>
    <row r="10506" spans="1:1" x14ac:dyDescent="0.25">
      <c r="A10506" s="5"/>
    </row>
    <row r="10507" spans="1:1" x14ac:dyDescent="0.25">
      <c r="A10507" s="5"/>
    </row>
    <row r="10508" spans="1:1" x14ac:dyDescent="0.25">
      <c r="A10508" s="5"/>
    </row>
    <row r="10509" spans="1:1" x14ac:dyDescent="0.25">
      <c r="A10509" s="5"/>
    </row>
    <row r="10510" spans="1:1" x14ac:dyDescent="0.25">
      <c r="A10510" s="5"/>
    </row>
    <row r="10511" spans="1:1" x14ac:dyDescent="0.25">
      <c r="A10511" s="5"/>
    </row>
    <row r="10512" spans="1:1" x14ac:dyDescent="0.25">
      <c r="A10512" s="5"/>
    </row>
    <row r="10513" spans="1:1" x14ac:dyDescent="0.25">
      <c r="A10513" s="5"/>
    </row>
    <row r="10514" spans="1:1" x14ac:dyDescent="0.25">
      <c r="A10514" s="5"/>
    </row>
    <row r="10515" spans="1:1" x14ac:dyDescent="0.25">
      <c r="A10515" s="5"/>
    </row>
    <row r="10516" spans="1:1" x14ac:dyDescent="0.25">
      <c r="A10516" s="5"/>
    </row>
    <row r="10517" spans="1:1" x14ac:dyDescent="0.25">
      <c r="A10517" s="5"/>
    </row>
    <row r="10518" spans="1:1" x14ac:dyDescent="0.25">
      <c r="A10518" s="5"/>
    </row>
    <row r="10519" spans="1:1" x14ac:dyDescent="0.25">
      <c r="A10519" s="5"/>
    </row>
    <row r="10520" spans="1:1" x14ac:dyDescent="0.25">
      <c r="A10520" s="5"/>
    </row>
    <row r="10521" spans="1:1" x14ac:dyDescent="0.25">
      <c r="A10521" s="5"/>
    </row>
    <row r="10522" spans="1:1" x14ac:dyDescent="0.25">
      <c r="A10522" s="5"/>
    </row>
    <row r="10523" spans="1:1" x14ac:dyDescent="0.25">
      <c r="A10523" s="5"/>
    </row>
    <row r="10524" spans="1:1" x14ac:dyDescent="0.25">
      <c r="A10524" s="5"/>
    </row>
    <row r="10525" spans="1:1" x14ac:dyDescent="0.25">
      <c r="A10525" s="5"/>
    </row>
    <row r="10526" spans="1:1" x14ac:dyDescent="0.25">
      <c r="A10526" s="5"/>
    </row>
    <row r="10527" spans="1:1" x14ac:dyDescent="0.25">
      <c r="A10527" s="5"/>
    </row>
    <row r="10528" spans="1:1" x14ac:dyDescent="0.25">
      <c r="A10528" s="5"/>
    </row>
    <row r="10529" spans="1:1" x14ac:dyDescent="0.25">
      <c r="A10529" s="5"/>
    </row>
    <row r="10530" spans="1:1" x14ac:dyDescent="0.25">
      <c r="A10530" s="5"/>
    </row>
    <row r="10531" spans="1:1" x14ac:dyDescent="0.25">
      <c r="A10531" s="5"/>
    </row>
    <row r="10532" spans="1:1" x14ac:dyDescent="0.25">
      <c r="A10532" s="5"/>
    </row>
    <row r="10533" spans="1:1" x14ac:dyDescent="0.25">
      <c r="A10533" s="5"/>
    </row>
    <row r="10534" spans="1:1" x14ac:dyDescent="0.25">
      <c r="A10534" s="5"/>
    </row>
    <row r="10535" spans="1:1" x14ac:dyDescent="0.25">
      <c r="A10535" s="5"/>
    </row>
    <row r="10536" spans="1:1" x14ac:dyDescent="0.25">
      <c r="A10536" s="5"/>
    </row>
    <row r="10537" spans="1:1" x14ac:dyDescent="0.25">
      <c r="A10537" s="5"/>
    </row>
    <row r="10538" spans="1:1" x14ac:dyDescent="0.25">
      <c r="A10538" s="5"/>
    </row>
    <row r="10539" spans="1:1" x14ac:dyDescent="0.25">
      <c r="A10539" s="5"/>
    </row>
    <row r="10540" spans="1:1" x14ac:dyDescent="0.25">
      <c r="A10540" s="5"/>
    </row>
    <row r="10541" spans="1:1" x14ac:dyDescent="0.25">
      <c r="A10541" s="5"/>
    </row>
    <row r="10542" spans="1:1" x14ac:dyDescent="0.25">
      <c r="A10542" s="5"/>
    </row>
    <row r="10543" spans="1:1" x14ac:dyDescent="0.25">
      <c r="A10543" s="5"/>
    </row>
    <row r="10544" spans="1:1" x14ac:dyDescent="0.25">
      <c r="A10544" s="5"/>
    </row>
    <row r="10545" spans="1:1" x14ac:dyDescent="0.25">
      <c r="A10545" s="5"/>
    </row>
    <row r="10546" spans="1:1" x14ac:dyDescent="0.25">
      <c r="A10546" s="5"/>
    </row>
    <row r="10547" spans="1:1" x14ac:dyDescent="0.25">
      <c r="A10547" s="5"/>
    </row>
    <row r="10548" spans="1:1" x14ac:dyDescent="0.25">
      <c r="A10548" s="5"/>
    </row>
    <row r="10549" spans="1:1" x14ac:dyDescent="0.25">
      <c r="A10549" s="5"/>
    </row>
    <row r="10550" spans="1:1" x14ac:dyDescent="0.25">
      <c r="A10550" s="5"/>
    </row>
    <row r="10551" spans="1:1" x14ac:dyDescent="0.25">
      <c r="A10551" s="5"/>
    </row>
    <row r="10552" spans="1:1" x14ac:dyDescent="0.25">
      <c r="A10552" s="5"/>
    </row>
    <row r="10553" spans="1:1" x14ac:dyDescent="0.25">
      <c r="A10553" s="5"/>
    </row>
    <row r="10554" spans="1:1" x14ac:dyDescent="0.25">
      <c r="A10554" s="5"/>
    </row>
    <row r="10555" spans="1:1" x14ac:dyDescent="0.25">
      <c r="A10555" s="5"/>
    </row>
    <row r="10556" spans="1:1" x14ac:dyDescent="0.25">
      <c r="A10556" s="5"/>
    </row>
    <row r="10557" spans="1:1" x14ac:dyDescent="0.25">
      <c r="A10557" s="5"/>
    </row>
    <row r="10558" spans="1:1" x14ac:dyDescent="0.25">
      <c r="A10558" s="5"/>
    </row>
    <row r="10559" spans="1:1" x14ac:dyDescent="0.25">
      <c r="A10559" s="5"/>
    </row>
    <row r="10560" spans="1:1" x14ac:dyDescent="0.25">
      <c r="A10560" s="5"/>
    </row>
    <row r="10561" spans="1:1" x14ac:dyDescent="0.25">
      <c r="A10561" s="5"/>
    </row>
    <row r="10562" spans="1:1" x14ac:dyDescent="0.25">
      <c r="A10562" s="5"/>
    </row>
    <row r="10563" spans="1:1" x14ac:dyDescent="0.25">
      <c r="A10563" s="5"/>
    </row>
    <row r="10564" spans="1:1" x14ac:dyDescent="0.25">
      <c r="A10564" s="5"/>
    </row>
    <row r="10565" spans="1:1" x14ac:dyDescent="0.25">
      <c r="A10565" s="5"/>
    </row>
    <row r="10566" spans="1:1" x14ac:dyDescent="0.25">
      <c r="A10566" s="5"/>
    </row>
    <row r="10567" spans="1:1" x14ac:dyDescent="0.25">
      <c r="A10567" s="5"/>
    </row>
    <row r="10568" spans="1:1" x14ac:dyDescent="0.25">
      <c r="A10568" s="5"/>
    </row>
    <row r="10569" spans="1:1" x14ac:dyDescent="0.25">
      <c r="A10569" s="5"/>
    </row>
    <row r="10570" spans="1:1" x14ac:dyDescent="0.25">
      <c r="A10570" s="5"/>
    </row>
    <row r="10571" spans="1:1" x14ac:dyDescent="0.25">
      <c r="A10571" s="5"/>
    </row>
    <row r="10572" spans="1:1" x14ac:dyDescent="0.25">
      <c r="A10572" s="5"/>
    </row>
    <row r="10573" spans="1:1" x14ac:dyDescent="0.25">
      <c r="A10573" s="5"/>
    </row>
    <row r="10574" spans="1:1" x14ac:dyDescent="0.25">
      <c r="A10574" s="5"/>
    </row>
    <row r="10575" spans="1:1" x14ac:dyDescent="0.25">
      <c r="A10575" s="5"/>
    </row>
    <row r="10576" spans="1:1" x14ac:dyDescent="0.25">
      <c r="A10576" s="5"/>
    </row>
    <row r="10577" spans="1:1" x14ac:dyDescent="0.25">
      <c r="A10577" s="5"/>
    </row>
    <row r="10578" spans="1:1" x14ac:dyDescent="0.25">
      <c r="A10578" s="5"/>
    </row>
    <row r="10579" spans="1:1" x14ac:dyDescent="0.25">
      <c r="A10579" s="5"/>
    </row>
    <row r="10580" spans="1:1" x14ac:dyDescent="0.25">
      <c r="A10580" s="5"/>
    </row>
    <row r="10581" spans="1:1" x14ac:dyDescent="0.25">
      <c r="A10581" s="5"/>
    </row>
    <row r="10582" spans="1:1" x14ac:dyDescent="0.25">
      <c r="A10582" s="5"/>
    </row>
    <row r="10583" spans="1:1" x14ac:dyDescent="0.25">
      <c r="A10583" s="5"/>
    </row>
    <row r="10584" spans="1:1" x14ac:dyDescent="0.25">
      <c r="A10584" s="5"/>
    </row>
    <row r="10585" spans="1:1" x14ac:dyDescent="0.25">
      <c r="A10585" s="5"/>
    </row>
    <row r="10586" spans="1:1" x14ac:dyDescent="0.25">
      <c r="A10586" s="5"/>
    </row>
    <row r="10587" spans="1:1" x14ac:dyDescent="0.25">
      <c r="A10587" s="5"/>
    </row>
    <row r="10588" spans="1:1" x14ac:dyDescent="0.25">
      <c r="A10588" s="5"/>
    </row>
    <row r="10589" spans="1:1" x14ac:dyDescent="0.25">
      <c r="A10589" s="5"/>
    </row>
    <row r="10590" spans="1:1" x14ac:dyDescent="0.25">
      <c r="A10590" s="5"/>
    </row>
    <row r="10591" spans="1:1" x14ac:dyDescent="0.25">
      <c r="A10591" s="5"/>
    </row>
    <row r="10592" spans="1:1" x14ac:dyDescent="0.25">
      <c r="A10592" s="5"/>
    </row>
    <row r="10593" spans="1:1" x14ac:dyDescent="0.25">
      <c r="A10593" s="5"/>
    </row>
    <row r="10594" spans="1:1" x14ac:dyDescent="0.25">
      <c r="A10594" s="5"/>
    </row>
    <row r="10595" spans="1:1" x14ac:dyDescent="0.25">
      <c r="A10595" s="5"/>
    </row>
    <row r="10596" spans="1:1" x14ac:dyDescent="0.25">
      <c r="A10596" s="5"/>
    </row>
    <row r="10597" spans="1:1" x14ac:dyDescent="0.25">
      <c r="A10597" s="5"/>
    </row>
    <row r="10598" spans="1:1" x14ac:dyDescent="0.25">
      <c r="A10598" s="5"/>
    </row>
    <row r="10599" spans="1:1" x14ac:dyDescent="0.25">
      <c r="A10599" s="5"/>
    </row>
    <row r="10600" spans="1:1" x14ac:dyDescent="0.25">
      <c r="A10600" s="5"/>
    </row>
    <row r="10601" spans="1:1" x14ac:dyDescent="0.25">
      <c r="A10601" s="5"/>
    </row>
    <row r="10602" spans="1:1" x14ac:dyDescent="0.25">
      <c r="A10602" s="5"/>
    </row>
    <row r="10603" spans="1:1" x14ac:dyDescent="0.25">
      <c r="A10603" s="5"/>
    </row>
    <row r="10604" spans="1:1" x14ac:dyDescent="0.25">
      <c r="A10604" s="5"/>
    </row>
    <row r="10605" spans="1:1" x14ac:dyDescent="0.25">
      <c r="A10605" s="5"/>
    </row>
    <row r="10606" spans="1:1" x14ac:dyDescent="0.25">
      <c r="A10606" s="5"/>
    </row>
    <row r="10607" spans="1:1" x14ac:dyDescent="0.25">
      <c r="A10607" s="5"/>
    </row>
    <row r="10608" spans="1:1" x14ac:dyDescent="0.25">
      <c r="A10608" s="5"/>
    </row>
    <row r="10609" spans="1:1" x14ac:dyDescent="0.25">
      <c r="A10609" s="5"/>
    </row>
    <row r="10610" spans="1:1" x14ac:dyDescent="0.25">
      <c r="A10610" s="5"/>
    </row>
    <row r="10611" spans="1:1" x14ac:dyDescent="0.25">
      <c r="A10611" s="5"/>
    </row>
    <row r="10612" spans="1:1" x14ac:dyDescent="0.25">
      <c r="A10612" s="5"/>
    </row>
    <row r="10613" spans="1:1" x14ac:dyDescent="0.25">
      <c r="A10613" s="5"/>
    </row>
    <row r="10614" spans="1:1" x14ac:dyDescent="0.25">
      <c r="A10614" s="5"/>
    </row>
    <row r="10615" spans="1:1" x14ac:dyDescent="0.25">
      <c r="A10615" s="5"/>
    </row>
    <row r="10616" spans="1:1" x14ac:dyDescent="0.25">
      <c r="A10616" s="5"/>
    </row>
    <row r="10617" spans="1:1" x14ac:dyDescent="0.25">
      <c r="A10617" s="5"/>
    </row>
    <row r="10618" spans="1:1" x14ac:dyDescent="0.25">
      <c r="A10618" s="5"/>
    </row>
    <row r="10619" spans="1:1" x14ac:dyDescent="0.25">
      <c r="A10619" s="5"/>
    </row>
    <row r="10620" spans="1:1" x14ac:dyDescent="0.25">
      <c r="A10620" s="5"/>
    </row>
    <row r="10621" spans="1:1" x14ac:dyDescent="0.25">
      <c r="A10621" s="5"/>
    </row>
    <row r="10622" spans="1:1" x14ac:dyDescent="0.25">
      <c r="A10622" s="5"/>
    </row>
    <row r="10623" spans="1:1" x14ac:dyDescent="0.25">
      <c r="A10623" s="5"/>
    </row>
    <row r="10624" spans="1:1" x14ac:dyDescent="0.25">
      <c r="A10624" s="5"/>
    </row>
    <row r="10625" spans="1:1" x14ac:dyDescent="0.25">
      <c r="A10625" s="5"/>
    </row>
    <row r="10626" spans="1:1" x14ac:dyDescent="0.25">
      <c r="A10626" s="5"/>
    </row>
    <row r="10627" spans="1:1" x14ac:dyDescent="0.25">
      <c r="A10627" s="5"/>
    </row>
    <row r="10628" spans="1:1" x14ac:dyDescent="0.25">
      <c r="A10628" s="5"/>
    </row>
    <row r="10629" spans="1:1" x14ac:dyDescent="0.25">
      <c r="A10629" s="5"/>
    </row>
    <row r="10630" spans="1:1" x14ac:dyDescent="0.25">
      <c r="A10630" s="5"/>
    </row>
    <row r="10631" spans="1:1" x14ac:dyDescent="0.25">
      <c r="A10631" s="5"/>
    </row>
    <row r="10632" spans="1:1" x14ac:dyDescent="0.25">
      <c r="A10632" s="5"/>
    </row>
    <row r="10633" spans="1:1" x14ac:dyDescent="0.25">
      <c r="A10633" s="5"/>
    </row>
    <row r="10634" spans="1:1" x14ac:dyDescent="0.25">
      <c r="A10634" s="5"/>
    </row>
    <row r="10635" spans="1:1" x14ac:dyDescent="0.25">
      <c r="A10635" s="5"/>
    </row>
    <row r="10636" spans="1:1" x14ac:dyDescent="0.25">
      <c r="A10636" s="5"/>
    </row>
    <row r="10637" spans="1:1" x14ac:dyDescent="0.25">
      <c r="A10637" s="5"/>
    </row>
    <row r="10638" spans="1:1" x14ac:dyDescent="0.25">
      <c r="A10638" s="5"/>
    </row>
    <row r="10639" spans="1:1" x14ac:dyDescent="0.25">
      <c r="A10639" s="5"/>
    </row>
    <row r="10640" spans="1:1" x14ac:dyDescent="0.25">
      <c r="A10640" s="5"/>
    </row>
    <row r="10641" spans="1:1" x14ac:dyDescent="0.25">
      <c r="A10641" s="5"/>
    </row>
    <row r="10642" spans="1:1" x14ac:dyDescent="0.25">
      <c r="A10642" s="5"/>
    </row>
    <row r="10643" spans="1:1" x14ac:dyDescent="0.25">
      <c r="A10643" s="5"/>
    </row>
    <row r="10644" spans="1:1" x14ac:dyDescent="0.25">
      <c r="A10644" s="5"/>
    </row>
    <row r="10645" spans="1:1" x14ac:dyDescent="0.25">
      <c r="A10645" s="5"/>
    </row>
    <row r="10646" spans="1:1" x14ac:dyDescent="0.25">
      <c r="A10646" s="5"/>
    </row>
    <row r="10647" spans="1:1" x14ac:dyDescent="0.25">
      <c r="A10647" s="5"/>
    </row>
    <row r="10648" spans="1:1" x14ac:dyDescent="0.25">
      <c r="A10648" s="5"/>
    </row>
    <row r="10649" spans="1:1" x14ac:dyDescent="0.25">
      <c r="A10649" s="5"/>
    </row>
    <row r="10650" spans="1:1" x14ac:dyDescent="0.25">
      <c r="A10650" s="5"/>
    </row>
    <row r="10651" spans="1:1" x14ac:dyDescent="0.25">
      <c r="A10651" s="5"/>
    </row>
    <row r="10652" spans="1:1" x14ac:dyDescent="0.25">
      <c r="A10652" s="5"/>
    </row>
    <row r="10653" spans="1:1" x14ac:dyDescent="0.25">
      <c r="A10653" s="5"/>
    </row>
    <row r="10654" spans="1:1" x14ac:dyDescent="0.25">
      <c r="A10654" s="5"/>
    </row>
    <row r="10655" spans="1:1" x14ac:dyDescent="0.25">
      <c r="A10655" s="5"/>
    </row>
    <row r="10656" spans="1:1" x14ac:dyDescent="0.25">
      <c r="A10656" s="5"/>
    </row>
    <row r="10657" spans="1:1" x14ac:dyDescent="0.25">
      <c r="A10657" s="5"/>
    </row>
    <row r="10658" spans="1:1" x14ac:dyDescent="0.25">
      <c r="A10658" s="5"/>
    </row>
    <row r="10659" spans="1:1" x14ac:dyDescent="0.25">
      <c r="A10659" s="5"/>
    </row>
    <row r="10660" spans="1:1" x14ac:dyDescent="0.25">
      <c r="A10660" s="5"/>
    </row>
    <row r="10661" spans="1:1" x14ac:dyDescent="0.25">
      <c r="A10661" s="5"/>
    </row>
    <row r="10662" spans="1:1" x14ac:dyDescent="0.25">
      <c r="A10662" s="5"/>
    </row>
    <row r="10663" spans="1:1" x14ac:dyDescent="0.25">
      <c r="A10663" s="5"/>
    </row>
    <row r="10664" spans="1:1" x14ac:dyDescent="0.25">
      <c r="A10664" s="5"/>
    </row>
    <row r="10665" spans="1:1" x14ac:dyDescent="0.25">
      <c r="A10665" s="5"/>
    </row>
    <row r="10666" spans="1:1" x14ac:dyDescent="0.25">
      <c r="A10666" s="5"/>
    </row>
    <row r="10667" spans="1:1" x14ac:dyDescent="0.25">
      <c r="A10667" s="5"/>
    </row>
    <row r="10668" spans="1:1" x14ac:dyDescent="0.25">
      <c r="A10668" s="5"/>
    </row>
    <row r="10669" spans="1:1" x14ac:dyDescent="0.25">
      <c r="A10669" s="5"/>
    </row>
    <row r="10670" spans="1:1" x14ac:dyDescent="0.25">
      <c r="A10670" s="5"/>
    </row>
    <row r="10671" spans="1:1" x14ac:dyDescent="0.25">
      <c r="A10671" s="5"/>
    </row>
    <row r="10672" spans="1:1" x14ac:dyDescent="0.25">
      <c r="A10672" s="5"/>
    </row>
    <row r="10673" spans="1:1" x14ac:dyDescent="0.25">
      <c r="A10673" s="5"/>
    </row>
    <row r="10674" spans="1:1" x14ac:dyDescent="0.25">
      <c r="A10674" s="5"/>
    </row>
    <row r="10675" spans="1:1" x14ac:dyDescent="0.25">
      <c r="A10675" s="5"/>
    </row>
    <row r="10676" spans="1:1" x14ac:dyDescent="0.25">
      <c r="A10676" s="5"/>
    </row>
    <row r="10677" spans="1:1" x14ac:dyDescent="0.25">
      <c r="A10677" s="5"/>
    </row>
    <row r="10678" spans="1:1" x14ac:dyDescent="0.25">
      <c r="A10678" s="5"/>
    </row>
    <row r="10679" spans="1:1" x14ac:dyDescent="0.25">
      <c r="A10679" s="5"/>
    </row>
    <row r="10680" spans="1:1" x14ac:dyDescent="0.25">
      <c r="A10680" s="5"/>
    </row>
    <row r="10681" spans="1:1" x14ac:dyDescent="0.25">
      <c r="A10681" s="5"/>
    </row>
    <row r="10682" spans="1:1" x14ac:dyDescent="0.25">
      <c r="A10682" s="5"/>
    </row>
    <row r="10683" spans="1:1" x14ac:dyDescent="0.25">
      <c r="A10683" s="5"/>
    </row>
    <row r="10684" spans="1:1" x14ac:dyDescent="0.25">
      <c r="A10684" s="5"/>
    </row>
    <row r="10685" spans="1:1" x14ac:dyDescent="0.25">
      <c r="A10685" s="5"/>
    </row>
    <row r="10686" spans="1:1" x14ac:dyDescent="0.25">
      <c r="A10686" s="5"/>
    </row>
    <row r="10687" spans="1:1" x14ac:dyDescent="0.25">
      <c r="A10687" s="5"/>
    </row>
    <row r="10688" spans="1:1" x14ac:dyDescent="0.25">
      <c r="A10688" s="5"/>
    </row>
    <row r="10689" spans="1:1" x14ac:dyDescent="0.25">
      <c r="A10689" s="5"/>
    </row>
    <row r="10690" spans="1:1" x14ac:dyDescent="0.25">
      <c r="A10690" s="5"/>
    </row>
    <row r="10691" spans="1:1" x14ac:dyDescent="0.25">
      <c r="A10691" s="5"/>
    </row>
    <row r="10692" spans="1:1" x14ac:dyDescent="0.25">
      <c r="A10692" s="5"/>
    </row>
    <row r="10693" spans="1:1" x14ac:dyDescent="0.25">
      <c r="A10693" s="5"/>
    </row>
    <row r="10694" spans="1:1" x14ac:dyDescent="0.25">
      <c r="A10694" s="5"/>
    </row>
    <row r="10695" spans="1:1" x14ac:dyDescent="0.25">
      <c r="A10695" s="5"/>
    </row>
    <row r="10696" spans="1:1" x14ac:dyDescent="0.25">
      <c r="A10696" s="5"/>
    </row>
    <row r="10697" spans="1:1" x14ac:dyDescent="0.25">
      <c r="A10697" s="5"/>
    </row>
    <row r="10698" spans="1:1" x14ac:dyDescent="0.25">
      <c r="A10698" s="5"/>
    </row>
    <row r="10699" spans="1:1" x14ac:dyDescent="0.25">
      <c r="A10699" s="5"/>
    </row>
    <row r="10700" spans="1:1" x14ac:dyDescent="0.25">
      <c r="A10700" s="5"/>
    </row>
    <row r="10701" spans="1:1" x14ac:dyDescent="0.25">
      <c r="A10701" s="5"/>
    </row>
    <row r="10702" spans="1:1" x14ac:dyDescent="0.25">
      <c r="A10702" s="5"/>
    </row>
    <row r="10703" spans="1:1" x14ac:dyDescent="0.25">
      <c r="A10703" s="5"/>
    </row>
    <row r="10704" spans="1:1" x14ac:dyDescent="0.25">
      <c r="A10704" s="5"/>
    </row>
    <row r="10705" spans="1:1" x14ac:dyDescent="0.25">
      <c r="A10705" s="5"/>
    </row>
    <row r="10706" spans="1:1" x14ac:dyDescent="0.25">
      <c r="A10706" s="5"/>
    </row>
    <row r="10707" spans="1:1" x14ac:dyDescent="0.25">
      <c r="A10707" s="5"/>
    </row>
    <row r="10708" spans="1:1" x14ac:dyDescent="0.25">
      <c r="A10708" s="5"/>
    </row>
    <row r="10709" spans="1:1" x14ac:dyDescent="0.25">
      <c r="A10709" s="5"/>
    </row>
    <row r="10710" spans="1:1" x14ac:dyDescent="0.25">
      <c r="A10710" s="5"/>
    </row>
    <row r="10711" spans="1:1" x14ac:dyDescent="0.25">
      <c r="A10711" s="5"/>
    </row>
    <row r="10712" spans="1:1" x14ac:dyDescent="0.25">
      <c r="A10712" s="5"/>
    </row>
    <row r="10713" spans="1:1" x14ac:dyDescent="0.25">
      <c r="A10713" s="5"/>
    </row>
    <row r="10714" spans="1:1" x14ac:dyDescent="0.25">
      <c r="A10714" s="5"/>
    </row>
    <row r="10715" spans="1:1" x14ac:dyDescent="0.25">
      <c r="A10715" s="5"/>
    </row>
    <row r="10716" spans="1:1" x14ac:dyDescent="0.25">
      <c r="A10716" s="5"/>
    </row>
    <row r="10717" spans="1:1" x14ac:dyDescent="0.25">
      <c r="A10717" s="5"/>
    </row>
    <row r="10718" spans="1:1" x14ac:dyDescent="0.25">
      <c r="A10718" s="5"/>
    </row>
    <row r="10719" spans="1:1" x14ac:dyDescent="0.25">
      <c r="A10719" s="5"/>
    </row>
    <row r="10720" spans="1:1" x14ac:dyDescent="0.25">
      <c r="A10720" s="5"/>
    </row>
    <row r="10721" spans="1:1" x14ac:dyDescent="0.25">
      <c r="A10721" s="5"/>
    </row>
    <row r="10722" spans="1:1" x14ac:dyDescent="0.25">
      <c r="A10722" s="5"/>
    </row>
    <row r="10723" spans="1:1" x14ac:dyDescent="0.25">
      <c r="A10723" s="5"/>
    </row>
    <row r="10724" spans="1:1" x14ac:dyDescent="0.25">
      <c r="A10724" s="5"/>
    </row>
    <row r="10725" spans="1:1" x14ac:dyDescent="0.25">
      <c r="A10725" s="5"/>
    </row>
    <row r="10726" spans="1:1" x14ac:dyDescent="0.25">
      <c r="A10726" s="5"/>
    </row>
    <row r="10727" spans="1:1" x14ac:dyDescent="0.25">
      <c r="A10727" s="5"/>
    </row>
    <row r="10728" spans="1:1" x14ac:dyDescent="0.25">
      <c r="A10728" s="5"/>
    </row>
    <row r="10729" spans="1:1" x14ac:dyDescent="0.25">
      <c r="A10729" s="5"/>
    </row>
    <row r="10730" spans="1:1" x14ac:dyDescent="0.25">
      <c r="A10730" s="5"/>
    </row>
    <row r="10731" spans="1:1" x14ac:dyDescent="0.25">
      <c r="A10731" s="5"/>
    </row>
    <row r="10732" spans="1:1" x14ac:dyDescent="0.25">
      <c r="A10732" s="5"/>
    </row>
    <row r="10733" spans="1:1" x14ac:dyDescent="0.25">
      <c r="A10733" s="5"/>
    </row>
    <row r="10734" spans="1:1" x14ac:dyDescent="0.25">
      <c r="A10734" s="5"/>
    </row>
    <row r="10735" spans="1:1" x14ac:dyDescent="0.25">
      <c r="A10735" s="5"/>
    </row>
    <row r="10736" spans="1:1" x14ac:dyDescent="0.25">
      <c r="A10736" s="5"/>
    </row>
    <row r="10737" spans="1:1" x14ac:dyDescent="0.25">
      <c r="A10737" s="5"/>
    </row>
    <row r="10738" spans="1:1" x14ac:dyDescent="0.25">
      <c r="A10738" s="5"/>
    </row>
    <row r="10739" spans="1:1" x14ac:dyDescent="0.25">
      <c r="A10739" s="5"/>
    </row>
    <row r="10740" spans="1:1" x14ac:dyDescent="0.25">
      <c r="A10740" s="5"/>
    </row>
    <row r="10741" spans="1:1" x14ac:dyDescent="0.25">
      <c r="A10741" s="5"/>
    </row>
    <row r="10742" spans="1:1" x14ac:dyDescent="0.25">
      <c r="A10742" s="5"/>
    </row>
    <row r="10743" spans="1:1" x14ac:dyDescent="0.25">
      <c r="A10743" s="5"/>
    </row>
    <row r="10744" spans="1:1" x14ac:dyDescent="0.25">
      <c r="A10744" s="5"/>
    </row>
    <row r="10745" spans="1:1" x14ac:dyDescent="0.25">
      <c r="A10745" s="5"/>
    </row>
    <row r="10746" spans="1:1" x14ac:dyDescent="0.25">
      <c r="A10746" s="5"/>
    </row>
    <row r="10747" spans="1:1" x14ac:dyDescent="0.25">
      <c r="A10747" s="5"/>
    </row>
    <row r="10748" spans="1:1" x14ac:dyDescent="0.25">
      <c r="A10748" s="5"/>
    </row>
    <row r="10749" spans="1:1" x14ac:dyDescent="0.25">
      <c r="A10749" s="5"/>
    </row>
    <row r="10750" spans="1:1" x14ac:dyDescent="0.25">
      <c r="A10750" s="5"/>
    </row>
    <row r="10751" spans="1:1" x14ac:dyDescent="0.25">
      <c r="A10751" s="5"/>
    </row>
    <row r="10752" spans="1:1" x14ac:dyDescent="0.25">
      <c r="A10752" s="5"/>
    </row>
    <row r="10753" spans="1:1" x14ac:dyDescent="0.25">
      <c r="A10753" s="5"/>
    </row>
    <row r="10754" spans="1:1" x14ac:dyDescent="0.25">
      <c r="A10754" s="5"/>
    </row>
    <row r="10755" spans="1:1" x14ac:dyDescent="0.25">
      <c r="A10755" s="5"/>
    </row>
    <row r="10756" spans="1:1" x14ac:dyDescent="0.25">
      <c r="A10756" s="5"/>
    </row>
    <row r="10757" spans="1:1" x14ac:dyDescent="0.25">
      <c r="A10757" s="5"/>
    </row>
    <row r="10758" spans="1:1" x14ac:dyDescent="0.25">
      <c r="A10758" s="5"/>
    </row>
    <row r="10759" spans="1:1" x14ac:dyDescent="0.25">
      <c r="A10759" s="5"/>
    </row>
    <row r="10760" spans="1:1" x14ac:dyDescent="0.25">
      <c r="A10760" s="5"/>
    </row>
    <row r="10761" spans="1:1" x14ac:dyDescent="0.25">
      <c r="A10761" s="5"/>
    </row>
    <row r="10762" spans="1:1" x14ac:dyDescent="0.25">
      <c r="A10762" s="5"/>
    </row>
    <row r="10763" spans="1:1" x14ac:dyDescent="0.25">
      <c r="A10763" s="5"/>
    </row>
    <row r="10764" spans="1:1" x14ac:dyDescent="0.25">
      <c r="A10764" s="5"/>
    </row>
    <row r="10765" spans="1:1" x14ac:dyDescent="0.25">
      <c r="A10765" s="5"/>
    </row>
    <row r="10766" spans="1:1" x14ac:dyDescent="0.25">
      <c r="A10766" s="5"/>
    </row>
    <row r="10767" spans="1:1" x14ac:dyDescent="0.25">
      <c r="A10767" s="5"/>
    </row>
    <row r="10768" spans="1:1" x14ac:dyDescent="0.25">
      <c r="A10768" s="5"/>
    </row>
    <row r="10769" spans="1:1" x14ac:dyDescent="0.25">
      <c r="A10769" s="5"/>
    </row>
    <row r="10770" spans="1:1" x14ac:dyDescent="0.25">
      <c r="A10770" s="5"/>
    </row>
    <row r="10771" spans="1:1" x14ac:dyDescent="0.25">
      <c r="A10771" s="5"/>
    </row>
    <row r="10772" spans="1:1" x14ac:dyDescent="0.25">
      <c r="A10772" s="5"/>
    </row>
    <row r="10773" spans="1:1" x14ac:dyDescent="0.25">
      <c r="A10773" s="5"/>
    </row>
    <row r="10774" spans="1:1" x14ac:dyDescent="0.25">
      <c r="A10774" s="5"/>
    </row>
    <row r="10775" spans="1:1" x14ac:dyDescent="0.25">
      <c r="A10775" s="5"/>
    </row>
    <row r="10776" spans="1:1" x14ac:dyDescent="0.25">
      <c r="A10776" s="5"/>
    </row>
    <row r="10777" spans="1:1" x14ac:dyDescent="0.25">
      <c r="A10777" s="5"/>
    </row>
    <row r="10778" spans="1:1" x14ac:dyDescent="0.25">
      <c r="A10778" s="5"/>
    </row>
    <row r="10779" spans="1:1" x14ac:dyDescent="0.25">
      <c r="A10779" s="5"/>
    </row>
    <row r="10780" spans="1:1" x14ac:dyDescent="0.25">
      <c r="A10780" s="5"/>
    </row>
    <row r="10781" spans="1:1" x14ac:dyDescent="0.25">
      <c r="A10781" s="5"/>
    </row>
    <row r="10782" spans="1:1" x14ac:dyDescent="0.25">
      <c r="A10782" s="5"/>
    </row>
    <row r="10783" spans="1:1" x14ac:dyDescent="0.25">
      <c r="A10783" s="5"/>
    </row>
    <row r="10784" spans="1:1" x14ac:dyDescent="0.25">
      <c r="A10784" s="5"/>
    </row>
    <row r="10785" spans="1:1" x14ac:dyDescent="0.25">
      <c r="A10785" s="5"/>
    </row>
    <row r="10786" spans="1:1" x14ac:dyDescent="0.25">
      <c r="A10786" s="5"/>
    </row>
    <row r="10787" spans="1:1" x14ac:dyDescent="0.25">
      <c r="A10787" s="5"/>
    </row>
    <row r="10788" spans="1:1" x14ac:dyDescent="0.25">
      <c r="A10788" s="5"/>
    </row>
    <row r="10789" spans="1:1" x14ac:dyDescent="0.25">
      <c r="A10789" s="5"/>
    </row>
    <row r="10790" spans="1:1" x14ac:dyDescent="0.25">
      <c r="A10790" s="5"/>
    </row>
    <row r="10791" spans="1:1" x14ac:dyDescent="0.25">
      <c r="A10791" s="5"/>
    </row>
    <row r="10792" spans="1:1" x14ac:dyDescent="0.25">
      <c r="A10792" s="5"/>
    </row>
    <row r="10793" spans="1:1" x14ac:dyDescent="0.25">
      <c r="A10793" s="5"/>
    </row>
    <row r="10794" spans="1:1" x14ac:dyDescent="0.25">
      <c r="A10794" s="5"/>
    </row>
    <row r="10795" spans="1:1" x14ac:dyDescent="0.25">
      <c r="A10795" s="5"/>
    </row>
    <row r="10796" spans="1:1" x14ac:dyDescent="0.25">
      <c r="A10796" s="5"/>
    </row>
    <row r="10797" spans="1:1" x14ac:dyDescent="0.25">
      <c r="A10797" s="5"/>
    </row>
    <row r="10798" spans="1:1" x14ac:dyDescent="0.25">
      <c r="A10798" s="5"/>
    </row>
    <row r="10799" spans="1:1" x14ac:dyDescent="0.25">
      <c r="A10799" s="5"/>
    </row>
    <row r="10800" spans="1:1" x14ac:dyDescent="0.25">
      <c r="A10800" s="5"/>
    </row>
    <row r="10801" spans="1:1" x14ac:dyDescent="0.25">
      <c r="A10801" s="5"/>
    </row>
    <row r="10802" spans="1:1" x14ac:dyDescent="0.25">
      <c r="A10802" s="5"/>
    </row>
    <row r="10803" spans="1:1" x14ac:dyDescent="0.25">
      <c r="A10803" s="5"/>
    </row>
    <row r="10804" spans="1:1" x14ac:dyDescent="0.25">
      <c r="A10804" s="5"/>
    </row>
    <row r="10805" spans="1:1" x14ac:dyDescent="0.25">
      <c r="A10805" s="5"/>
    </row>
    <row r="10806" spans="1:1" x14ac:dyDescent="0.25">
      <c r="A10806" s="5"/>
    </row>
    <row r="10807" spans="1:1" x14ac:dyDescent="0.25">
      <c r="A10807" s="5"/>
    </row>
    <row r="10808" spans="1:1" x14ac:dyDescent="0.25">
      <c r="A10808" s="5"/>
    </row>
    <row r="10809" spans="1:1" x14ac:dyDescent="0.25">
      <c r="A10809" s="5"/>
    </row>
    <row r="10810" spans="1:1" x14ac:dyDescent="0.25">
      <c r="A10810" s="5"/>
    </row>
    <row r="10811" spans="1:1" x14ac:dyDescent="0.25">
      <c r="A10811" s="5"/>
    </row>
    <row r="10812" spans="1:1" x14ac:dyDescent="0.25">
      <c r="A10812" s="5"/>
    </row>
    <row r="10813" spans="1:1" x14ac:dyDescent="0.25">
      <c r="A10813" s="5"/>
    </row>
    <row r="10814" spans="1:1" x14ac:dyDescent="0.25">
      <c r="A10814" s="5"/>
    </row>
    <row r="10815" spans="1:1" x14ac:dyDescent="0.25">
      <c r="A10815" s="5"/>
    </row>
    <row r="10816" spans="1:1" x14ac:dyDescent="0.25">
      <c r="A10816" s="5"/>
    </row>
    <row r="10817" spans="1:1" x14ac:dyDescent="0.25">
      <c r="A10817" s="5"/>
    </row>
    <row r="10818" spans="1:1" x14ac:dyDescent="0.25">
      <c r="A10818" s="5"/>
    </row>
    <row r="10819" spans="1:1" x14ac:dyDescent="0.25">
      <c r="A10819" s="5"/>
    </row>
    <row r="10820" spans="1:1" x14ac:dyDescent="0.25">
      <c r="A10820" s="5"/>
    </row>
    <row r="10821" spans="1:1" x14ac:dyDescent="0.25">
      <c r="A10821" s="5"/>
    </row>
    <row r="10822" spans="1:1" x14ac:dyDescent="0.25">
      <c r="A10822" s="5"/>
    </row>
    <row r="10823" spans="1:1" x14ac:dyDescent="0.25">
      <c r="A10823" s="5"/>
    </row>
    <row r="10824" spans="1:1" x14ac:dyDescent="0.25">
      <c r="A10824" s="5"/>
    </row>
    <row r="10825" spans="1:1" x14ac:dyDescent="0.25">
      <c r="A10825" s="5"/>
    </row>
    <row r="10826" spans="1:1" x14ac:dyDescent="0.25">
      <c r="A10826" s="5"/>
    </row>
    <row r="10827" spans="1:1" x14ac:dyDescent="0.25">
      <c r="A10827" s="5"/>
    </row>
    <row r="10828" spans="1:1" x14ac:dyDescent="0.25">
      <c r="A10828" s="5"/>
    </row>
    <row r="10829" spans="1:1" x14ac:dyDescent="0.25">
      <c r="A10829" s="5"/>
    </row>
    <row r="10830" spans="1:1" x14ac:dyDescent="0.25">
      <c r="A10830" s="5"/>
    </row>
    <row r="10831" spans="1:1" x14ac:dyDescent="0.25">
      <c r="A10831" s="5"/>
    </row>
    <row r="10832" spans="1:1" x14ac:dyDescent="0.25">
      <c r="A10832" s="5"/>
    </row>
    <row r="10833" spans="1:1" x14ac:dyDescent="0.25">
      <c r="A10833" s="5"/>
    </row>
    <row r="10834" spans="1:1" x14ac:dyDescent="0.25">
      <c r="A10834" s="5"/>
    </row>
    <row r="10835" spans="1:1" x14ac:dyDescent="0.25">
      <c r="A10835" s="5"/>
    </row>
    <row r="10836" spans="1:1" x14ac:dyDescent="0.25">
      <c r="A10836" s="5"/>
    </row>
    <row r="10837" spans="1:1" x14ac:dyDescent="0.25">
      <c r="A10837" s="5"/>
    </row>
    <row r="10838" spans="1:1" x14ac:dyDescent="0.25">
      <c r="A10838" s="5"/>
    </row>
    <row r="10839" spans="1:1" x14ac:dyDescent="0.25">
      <c r="A10839" s="5"/>
    </row>
    <row r="10840" spans="1:1" x14ac:dyDescent="0.25">
      <c r="A10840" s="5"/>
    </row>
    <row r="10841" spans="1:1" x14ac:dyDescent="0.25">
      <c r="A10841" s="5"/>
    </row>
    <row r="10842" spans="1:1" x14ac:dyDescent="0.25">
      <c r="A10842" s="5"/>
    </row>
    <row r="10843" spans="1:1" x14ac:dyDescent="0.25">
      <c r="A10843" s="5"/>
    </row>
    <row r="10844" spans="1:1" x14ac:dyDescent="0.25">
      <c r="A10844" s="5"/>
    </row>
    <row r="10845" spans="1:1" x14ac:dyDescent="0.25">
      <c r="A10845" s="5"/>
    </row>
    <row r="10846" spans="1:1" x14ac:dyDescent="0.25">
      <c r="A10846" s="5"/>
    </row>
    <row r="10847" spans="1:1" x14ac:dyDescent="0.25">
      <c r="A10847" s="5"/>
    </row>
    <row r="10848" spans="1:1" x14ac:dyDescent="0.25">
      <c r="A10848" s="5"/>
    </row>
    <row r="10849" spans="1:1" x14ac:dyDescent="0.25">
      <c r="A10849" s="5"/>
    </row>
    <row r="10850" spans="1:1" x14ac:dyDescent="0.25">
      <c r="A10850" s="5"/>
    </row>
    <row r="10851" spans="1:1" x14ac:dyDescent="0.25">
      <c r="A10851" s="5"/>
    </row>
    <row r="10852" spans="1:1" x14ac:dyDescent="0.25">
      <c r="A10852" s="5"/>
    </row>
    <row r="10853" spans="1:1" x14ac:dyDescent="0.25">
      <c r="A10853" s="5"/>
    </row>
    <row r="10854" spans="1:1" x14ac:dyDescent="0.25">
      <c r="A10854" s="5"/>
    </row>
    <row r="10855" spans="1:1" x14ac:dyDescent="0.25">
      <c r="A10855" s="5"/>
    </row>
    <row r="10856" spans="1:1" x14ac:dyDescent="0.25">
      <c r="A10856" s="5"/>
    </row>
    <row r="10857" spans="1:1" x14ac:dyDescent="0.25">
      <c r="A10857" s="5"/>
    </row>
    <row r="10858" spans="1:1" x14ac:dyDescent="0.25">
      <c r="A10858" s="5"/>
    </row>
    <row r="10859" spans="1:1" x14ac:dyDescent="0.25">
      <c r="A10859" s="5"/>
    </row>
    <row r="10860" spans="1:1" x14ac:dyDescent="0.25">
      <c r="A10860" s="5"/>
    </row>
    <row r="10861" spans="1:1" x14ac:dyDescent="0.25">
      <c r="A10861" s="5"/>
    </row>
    <row r="10862" spans="1:1" x14ac:dyDescent="0.25">
      <c r="A10862" s="5"/>
    </row>
    <row r="10863" spans="1:1" x14ac:dyDescent="0.25">
      <c r="A10863" s="5"/>
    </row>
    <row r="10864" spans="1:1" x14ac:dyDescent="0.25">
      <c r="A10864" s="5"/>
    </row>
    <row r="10865" spans="1:1" x14ac:dyDescent="0.25">
      <c r="A10865" s="5"/>
    </row>
    <row r="10866" spans="1:1" x14ac:dyDescent="0.25">
      <c r="A10866" s="5"/>
    </row>
    <row r="10867" spans="1:1" x14ac:dyDescent="0.25">
      <c r="A10867" s="5"/>
    </row>
    <row r="10868" spans="1:1" x14ac:dyDescent="0.25">
      <c r="A10868" s="5"/>
    </row>
    <row r="10869" spans="1:1" x14ac:dyDescent="0.25">
      <c r="A10869" s="5"/>
    </row>
    <row r="10870" spans="1:1" x14ac:dyDescent="0.25">
      <c r="A10870" s="5"/>
    </row>
    <row r="10871" spans="1:1" x14ac:dyDescent="0.25">
      <c r="A10871" s="5"/>
    </row>
    <row r="10872" spans="1:1" x14ac:dyDescent="0.25">
      <c r="A10872" s="5"/>
    </row>
    <row r="10873" spans="1:1" x14ac:dyDescent="0.25">
      <c r="A10873" s="5"/>
    </row>
    <row r="10874" spans="1:1" x14ac:dyDescent="0.25">
      <c r="A10874" s="5"/>
    </row>
    <row r="10875" spans="1:1" x14ac:dyDescent="0.25">
      <c r="A10875" s="5"/>
    </row>
    <row r="10876" spans="1:1" x14ac:dyDescent="0.25">
      <c r="A10876" s="5"/>
    </row>
    <row r="10877" spans="1:1" x14ac:dyDescent="0.25">
      <c r="A10877" s="5"/>
    </row>
    <row r="10878" spans="1:1" x14ac:dyDescent="0.25">
      <c r="A10878" s="5"/>
    </row>
    <row r="10879" spans="1:1" x14ac:dyDescent="0.25">
      <c r="A10879" s="5"/>
    </row>
    <row r="10880" spans="1:1" x14ac:dyDescent="0.25">
      <c r="A10880" s="5"/>
    </row>
    <row r="10881" spans="1:1" x14ac:dyDescent="0.25">
      <c r="A10881" s="5"/>
    </row>
    <row r="10882" spans="1:1" x14ac:dyDescent="0.25">
      <c r="A10882" s="5"/>
    </row>
    <row r="10883" spans="1:1" x14ac:dyDescent="0.25">
      <c r="A10883" s="5"/>
    </row>
    <row r="10884" spans="1:1" x14ac:dyDescent="0.25">
      <c r="A10884" s="5"/>
    </row>
    <row r="10885" spans="1:1" x14ac:dyDescent="0.25">
      <c r="A10885" s="5"/>
    </row>
    <row r="10886" spans="1:1" x14ac:dyDescent="0.25">
      <c r="A10886" s="5"/>
    </row>
    <row r="10887" spans="1:1" x14ac:dyDescent="0.25">
      <c r="A10887" s="5"/>
    </row>
    <row r="10888" spans="1:1" x14ac:dyDescent="0.25">
      <c r="A10888" s="5"/>
    </row>
    <row r="10889" spans="1:1" x14ac:dyDescent="0.25">
      <c r="A10889" s="5"/>
    </row>
    <row r="10890" spans="1:1" x14ac:dyDescent="0.25">
      <c r="A10890" s="5"/>
    </row>
    <row r="10891" spans="1:1" x14ac:dyDescent="0.25">
      <c r="A10891" s="5"/>
    </row>
    <row r="10892" spans="1:1" x14ac:dyDescent="0.25">
      <c r="A10892" s="5"/>
    </row>
    <row r="10893" spans="1:1" x14ac:dyDescent="0.25">
      <c r="A10893" s="5"/>
    </row>
    <row r="10894" spans="1:1" x14ac:dyDescent="0.25">
      <c r="A10894" s="5"/>
    </row>
    <row r="10895" spans="1:1" x14ac:dyDescent="0.25">
      <c r="A10895" s="5"/>
    </row>
    <row r="10896" spans="1:1" x14ac:dyDescent="0.25">
      <c r="A10896" s="5"/>
    </row>
    <row r="10897" spans="1:1" x14ac:dyDescent="0.25">
      <c r="A10897" s="5"/>
    </row>
    <row r="10898" spans="1:1" x14ac:dyDescent="0.25">
      <c r="A10898" s="5"/>
    </row>
    <row r="10899" spans="1:1" x14ac:dyDescent="0.25">
      <c r="A10899" s="5"/>
    </row>
    <row r="10900" spans="1:1" x14ac:dyDescent="0.25">
      <c r="A10900" s="5"/>
    </row>
    <row r="10901" spans="1:1" x14ac:dyDescent="0.25">
      <c r="A10901" s="5"/>
    </row>
    <row r="10902" spans="1:1" x14ac:dyDescent="0.25">
      <c r="A10902" s="5"/>
    </row>
    <row r="10903" spans="1:1" x14ac:dyDescent="0.25">
      <c r="A10903" s="5"/>
    </row>
    <row r="10904" spans="1:1" x14ac:dyDescent="0.25">
      <c r="A10904" s="5"/>
    </row>
    <row r="10905" spans="1:1" x14ac:dyDescent="0.25">
      <c r="A10905" s="5"/>
    </row>
    <row r="10906" spans="1:1" x14ac:dyDescent="0.25">
      <c r="A10906" s="5"/>
    </row>
    <row r="10907" spans="1:1" x14ac:dyDescent="0.25">
      <c r="A10907" s="5"/>
    </row>
    <row r="10908" spans="1:1" x14ac:dyDescent="0.25">
      <c r="A10908" s="5"/>
    </row>
    <row r="10909" spans="1:1" x14ac:dyDescent="0.25">
      <c r="A10909" s="5"/>
    </row>
    <row r="10910" spans="1:1" x14ac:dyDescent="0.25">
      <c r="A10910" s="5"/>
    </row>
    <row r="10911" spans="1:1" x14ac:dyDescent="0.25">
      <c r="A10911" s="5"/>
    </row>
    <row r="10912" spans="1:1" x14ac:dyDescent="0.25">
      <c r="A10912" s="5"/>
    </row>
    <row r="10913" spans="1:1" x14ac:dyDescent="0.25">
      <c r="A10913" s="5"/>
    </row>
    <row r="10914" spans="1:1" x14ac:dyDescent="0.25">
      <c r="A10914" s="5"/>
    </row>
    <row r="10915" spans="1:1" x14ac:dyDescent="0.25">
      <c r="A10915" s="5"/>
    </row>
    <row r="10916" spans="1:1" x14ac:dyDescent="0.25">
      <c r="A10916" s="5"/>
    </row>
    <row r="10917" spans="1:1" x14ac:dyDescent="0.25">
      <c r="A10917" s="5"/>
    </row>
    <row r="10918" spans="1:1" x14ac:dyDescent="0.25">
      <c r="A10918" s="5"/>
    </row>
    <row r="10919" spans="1:1" x14ac:dyDescent="0.25">
      <c r="A10919" s="5"/>
    </row>
    <row r="10920" spans="1:1" x14ac:dyDescent="0.25">
      <c r="A10920" s="5"/>
    </row>
    <row r="10921" spans="1:1" x14ac:dyDescent="0.25">
      <c r="A10921" s="5"/>
    </row>
    <row r="10922" spans="1:1" x14ac:dyDescent="0.25">
      <c r="A10922" s="5"/>
    </row>
    <row r="10923" spans="1:1" x14ac:dyDescent="0.25">
      <c r="A10923" s="5"/>
    </row>
    <row r="10924" spans="1:1" x14ac:dyDescent="0.25">
      <c r="A10924" s="5"/>
    </row>
    <row r="10925" spans="1:1" x14ac:dyDescent="0.25">
      <c r="A10925" s="5"/>
    </row>
    <row r="10926" spans="1:1" x14ac:dyDescent="0.25">
      <c r="A10926" s="5"/>
    </row>
    <row r="10927" spans="1:1" x14ac:dyDescent="0.25">
      <c r="A10927" s="5"/>
    </row>
    <row r="10928" spans="1:1" x14ac:dyDescent="0.25">
      <c r="A10928" s="5"/>
    </row>
    <row r="10929" spans="1:1" x14ac:dyDescent="0.25">
      <c r="A10929" s="5"/>
    </row>
    <row r="10930" spans="1:1" x14ac:dyDescent="0.25">
      <c r="A10930" s="5"/>
    </row>
    <row r="10931" spans="1:1" x14ac:dyDescent="0.25">
      <c r="A10931" s="5"/>
    </row>
    <row r="10932" spans="1:1" x14ac:dyDescent="0.25">
      <c r="A10932" s="5"/>
    </row>
    <row r="10933" spans="1:1" x14ac:dyDescent="0.25">
      <c r="A10933" s="5"/>
    </row>
    <row r="10934" spans="1:1" x14ac:dyDescent="0.25">
      <c r="A10934" s="5"/>
    </row>
    <row r="10935" spans="1:1" x14ac:dyDescent="0.25">
      <c r="A10935" s="5"/>
    </row>
    <row r="10936" spans="1:1" x14ac:dyDescent="0.25">
      <c r="A10936" s="5"/>
    </row>
    <row r="10937" spans="1:1" x14ac:dyDescent="0.25">
      <c r="A10937" s="5"/>
    </row>
    <row r="10938" spans="1:1" x14ac:dyDescent="0.25">
      <c r="A10938" s="5"/>
    </row>
    <row r="10939" spans="1:1" x14ac:dyDescent="0.25">
      <c r="A10939" s="5"/>
    </row>
    <row r="10940" spans="1:1" x14ac:dyDescent="0.25">
      <c r="A10940" s="5"/>
    </row>
    <row r="10941" spans="1:1" x14ac:dyDescent="0.25">
      <c r="A10941" s="5"/>
    </row>
    <row r="10942" spans="1:1" x14ac:dyDescent="0.25">
      <c r="A10942" s="5"/>
    </row>
    <row r="10943" spans="1:1" x14ac:dyDescent="0.25">
      <c r="A10943" s="5"/>
    </row>
    <row r="10944" spans="1:1" x14ac:dyDescent="0.25">
      <c r="A10944" s="5"/>
    </row>
    <row r="10945" spans="1:1" x14ac:dyDescent="0.25">
      <c r="A10945" s="5"/>
    </row>
    <row r="10946" spans="1:1" x14ac:dyDescent="0.25">
      <c r="A10946" s="5"/>
    </row>
    <row r="10947" spans="1:1" x14ac:dyDescent="0.25">
      <c r="A10947" s="5"/>
    </row>
    <row r="10948" spans="1:1" x14ac:dyDescent="0.25">
      <c r="A10948" s="5"/>
    </row>
    <row r="10949" spans="1:1" x14ac:dyDescent="0.25">
      <c r="A10949" s="5"/>
    </row>
    <row r="10950" spans="1:1" x14ac:dyDescent="0.25">
      <c r="A10950" s="5"/>
    </row>
    <row r="10951" spans="1:1" x14ac:dyDescent="0.25">
      <c r="A10951" s="5"/>
    </row>
    <row r="10952" spans="1:1" x14ac:dyDescent="0.25">
      <c r="A10952" s="5"/>
    </row>
    <row r="10953" spans="1:1" x14ac:dyDescent="0.25">
      <c r="A10953" s="5"/>
    </row>
    <row r="10954" spans="1:1" x14ac:dyDescent="0.25">
      <c r="A10954" s="5"/>
    </row>
    <row r="10955" spans="1:1" x14ac:dyDescent="0.25">
      <c r="A10955" s="5"/>
    </row>
    <row r="10956" spans="1:1" x14ac:dyDescent="0.25">
      <c r="A10956" s="5"/>
    </row>
    <row r="10957" spans="1:1" x14ac:dyDescent="0.25">
      <c r="A10957" s="5"/>
    </row>
    <row r="10958" spans="1:1" x14ac:dyDescent="0.25">
      <c r="A10958" s="5"/>
    </row>
    <row r="10959" spans="1:1" x14ac:dyDescent="0.25">
      <c r="A10959" s="5"/>
    </row>
    <row r="10960" spans="1:1" x14ac:dyDescent="0.25">
      <c r="A10960" s="5"/>
    </row>
    <row r="10961" spans="1:1" x14ac:dyDescent="0.25">
      <c r="A10961" s="5"/>
    </row>
    <row r="10962" spans="1:1" x14ac:dyDescent="0.25">
      <c r="A10962" s="5"/>
    </row>
    <row r="10963" spans="1:1" x14ac:dyDescent="0.25">
      <c r="A10963" s="5"/>
    </row>
    <row r="10964" spans="1:1" x14ac:dyDescent="0.25">
      <c r="A10964" s="5"/>
    </row>
    <row r="10965" spans="1:1" x14ac:dyDescent="0.25">
      <c r="A10965" s="5"/>
    </row>
    <row r="10966" spans="1:1" x14ac:dyDescent="0.25">
      <c r="A10966" s="5"/>
    </row>
    <row r="10967" spans="1:1" x14ac:dyDescent="0.25">
      <c r="A10967" s="5"/>
    </row>
    <row r="10968" spans="1:1" x14ac:dyDescent="0.25">
      <c r="A10968" s="5"/>
    </row>
    <row r="10969" spans="1:1" x14ac:dyDescent="0.25">
      <c r="A10969" s="5"/>
    </row>
    <row r="10970" spans="1:1" x14ac:dyDescent="0.25">
      <c r="A10970" s="5"/>
    </row>
    <row r="10971" spans="1:1" x14ac:dyDescent="0.25">
      <c r="A10971" s="5"/>
    </row>
    <row r="10972" spans="1:1" x14ac:dyDescent="0.25">
      <c r="A10972" s="5"/>
    </row>
    <row r="10973" spans="1:1" x14ac:dyDescent="0.25">
      <c r="A10973" s="5"/>
    </row>
    <row r="10974" spans="1:1" x14ac:dyDescent="0.25">
      <c r="A10974" s="5"/>
    </row>
    <row r="10975" spans="1:1" x14ac:dyDescent="0.25">
      <c r="A10975" s="5"/>
    </row>
    <row r="10976" spans="1:1" x14ac:dyDescent="0.25">
      <c r="A10976" s="5"/>
    </row>
    <row r="10977" spans="1:1" x14ac:dyDescent="0.25">
      <c r="A10977" s="5"/>
    </row>
    <row r="10978" spans="1:1" x14ac:dyDescent="0.25">
      <c r="A10978" s="5"/>
    </row>
    <row r="10979" spans="1:1" x14ac:dyDescent="0.25">
      <c r="A10979" s="5"/>
    </row>
    <row r="10980" spans="1:1" x14ac:dyDescent="0.25">
      <c r="A10980" s="5"/>
    </row>
    <row r="10981" spans="1:1" x14ac:dyDescent="0.25">
      <c r="A10981" s="5"/>
    </row>
    <row r="10982" spans="1:1" x14ac:dyDescent="0.25">
      <c r="A10982" s="5"/>
    </row>
    <row r="10983" spans="1:1" x14ac:dyDescent="0.25">
      <c r="A10983" s="5"/>
    </row>
    <row r="10984" spans="1:1" x14ac:dyDescent="0.25">
      <c r="A10984" s="5"/>
    </row>
    <row r="10985" spans="1:1" x14ac:dyDescent="0.25">
      <c r="A10985" s="5"/>
    </row>
    <row r="10986" spans="1:1" x14ac:dyDescent="0.25">
      <c r="A10986" s="5"/>
    </row>
    <row r="10987" spans="1:1" x14ac:dyDescent="0.25">
      <c r="A10987" s="5"/>
    </row>
    <row r="10988" spans="1:1" x14ac:dyDescent="0.25">
      <c r="A10988" s="5"/>
    </row>
    <row r="10989" spans="1:1" x14ac:dyDescent="0.25">
      <c r="A10989" s="5"/>
    </row>
    <row r="10990" spans="1:1" x14ac:dyDescent="0.25">
      <c r="A10990" s="5"/>
    </row>
    <row r="10991" spans="1:1" x14ac:dyDescent="0.25">
      <c r="A10991" s="5"/>
    </row>
    <row r="10992" spans="1:1" x14ac:dyDescent="0.25">
      <c r="A10992" s="5"/>
    </row>
    <row r="10993" spans="1:1" x14ac:dyDescent="0.25">
      <c r="A10993" s="5"/>
    </row>
    <row r="10994" spans="1:1" x14ac:dyDescent="0.25">
      <c r="A10994" s="5"/>
    </row>
    <row r="10995" spans="1:1" x14ac:dyDescent="0.25">
      <c r="A10995" s="5"/>
    </row>
    <row r="10996" spans="1:1" x14ac:dyDescent="0.25">
      <c r="A10996" s="5"/>
    </row>
    <row r="10997" spans="1:1" x14ac:dyDescent="0.25">
      <c r="A10997" s="5"/>
    </row>
    <row r="10998" spans="1:1" x14ac:dyDescent="0.25">
      <c r="A10998" s="5"/>
    </row>
    <row r="10999" spans="1:1" x14ac:dyDescent="0.25">
      <c r="A10999" s="5"/>
    </row>
    <row r="11000" spans="1:1" x14ac:dyDescent="0.25">
      <c r="A11000" s="5"/>
    </row>
    <row r="11001" spans="1:1" x14ac:dyDescent="0.25">
      <c r="A11001" s="5"/>
    </row>
    <row r="11002" spans="1:1" x14ac:dyDescent="0.25">
      <c r="A11002" s="5"/>
    </row>
    <row r="11003" spans="1:1" x14ac:dyDescent="0.25">
      <c r="A11003" s="5"/>
    </row>
    <row r="11004" spans="1:1" x14ac:dyDescent="0.25">
      <c r="A11004" s="5"/>
    </row>
    <row r="11005" spans="1:1" x14ac:dyDescent="0.25">
      <c r="A11005" s="5"/>
    </row>
    <row r="11006" spans="1:1" x14ac:dyDescent="0.25">
      <c r="A11006" s="5"/>
    </row>
    <row r="11007" spans="1:1" x14ac:dyDescent="0.25">
      <c r="A11007" s="5"/>
    </row>
    <row r="11008" spans="1:1" x14ac:dyDescent="0.25">
      <c r="A11008" s="5"/>
    </row>
    <row r="11009" spans="1:1" x14ac:dyDescent="0.25">
      <c r="A11009" s="5"/>
    </row>
    <row r="11010" spans="1:1" x14ac:dyDescent="0.25">
      <c r="A11010" s="5"/>
    </row>
    <row r="11011" spans="1:1" x14ac:dyDescent="0.25">
      <c r="A11011" s="5"/>
    </row>
    <row r="11012" spans="1:1" x14ac:dyDescent="0.25">
      <c r="A11012" s="5"/>
    </row>
    <row r="11013" spans="1:1" x14ac:dyDescent="0.25">
      <c r="A11013" s="5"/>
    </row>
    <row r="11014" spans="1:1" x14ac:dyDescent="0.25">
      <c r="A11014" s="5"/>
    </row>
    <row r="11015" spans="1:1" x14ac:dyDescent="0.25">
      <c r="A11015" s="5"/>
    </row>
    <row r="11016" spans="1:1" x14ac:dyDescent="0.25">
      <c r="A11016" s="5"/>
    </row>
    <row r="11017" spans="1:1" x14ac:dyDescent="0.25">
      <c r="A11017" s="5"/>
    </row>
    <row r="11018" spans="1:1" x14ac:dyDescent="0.25">
      <c r="A11018" s="5"/>
    </row>
    <row r="11019" spans="1:1" x14ac:dyDescent="0.25">
      <c r="A11019" s="5"/>
    </row>
    <row r="11020" spans="1:1" x14ac:dyDescent="0.25">
      <c r="A11020" s="5"/>
    </row>
    <row r="11021" spans="1:1" x14ac:dyDescent="0.25">
      <c r="A11021" s="5"/>
    </row>
    <row r="11022" spans="1:1" x14ac:dyDescent="0.25">
      <c r="A11022" s="5"/>
    </row>
    <row r="11023" spans="1:1" x14ac:dyDescent="0.25">
      <c r="A11023" s="5"/>
    </row>
    <row r="11024" spans="1:1" x14ac:dyDescent="0.25">
      <c r="A11024" s="5"/>
    </row>
    <row r="11025" spans="1:1" x14ac:dyDescent="0.25">
      <c r="A11025" s="5"/>
    </row>
    <row r="11026" spans="1:1" x14ac:dyDescent="0.25">
      <c r="A11026" s="5"/>
    </row>
    <row r="11027" spans="1:1" x14ac:dyDescent="0.25">
      <c r="A11027" s="5"/>
    </row>
    <row r="11028" spans="1:1" x14ac:dyDescent="0.25">
      <c r="A11028" s="5"/>
    </row>
    <row r="11029" spans="1:1" x14ac:dyDescent="0.25">
      <c r="A11029" s="5"/>
    </row>
    <row r="11030" spans="1:1" x14ac:dyDescent="0.25">
      <c r="A11030" s="5"/>
    </row>
    <row r="11031" spans="1:1" x14ac:dyDescent="0.25">
      <c r="A11031" s="5"/>
    </row>
    <row r="11032" spans="1:1" x14ac:dyDescent="0.25">
      <c r="A11032" s="5"/>
    </row>
    <row r="11033" spans="1:1" x14ac:dyDescent="0.25">
      <c r="A11033" s="5"/>
    </row>
    <row r="11034" spans="1:1" x14ac:dyDescent="0.25">
      <c r="A11034" s="5"/>
    </row>
    <row r="11035" spans="1:1" x14ac:dyDescent="0.25">
      <c r="A11035" s="5"/>
    </row>
    <row r="11036" spans="1:1" x14ac:dyDescent="0.25">
      <c r="A11036" s="5"/>
    </row>
    <row r="11037" spans="1:1" x14ac:dyDescent="0.25">
      <c r="A11037" s="5"/>
    </row>
    <row r="11038" spans="1:1" x14ac:dyDescent="0.25">
      <c r="A11038" s="5"/>
    </row>
    <row r="11039" spans="1:1" x14ac:dyDescent="0.25">
      <c r="A11039" s="5"/>
    </row>
    <row r="11040" spans="1:1" x14ac:dyDescent="0.25">
      <c r="A11040" s="5"/>
    </row>
    <row r="11041" spans="1:1" x14ac:dyDescent="0.25">
      <c r="A11041" s="5"/>
    </row>
    <row r="11042" spans="1:1" x14ac:dyDescent="0.25">
      <c r="A11042" s="5"/>
    </row>
    <row r="11043" spans="1:1" x14ac:dyDescent="0.25">
      <c r="A11043" s="5"/>
    </row>
    <row r="11044" spans="1:1" x14ac:dyDescent="0.25">
      <c r="A11044" s="5"/>
    </row>
    <row r="11045" spans="1:1" x14ac:dyDescent="0.25">
      <c r="A11045" s="5"/>
    </row>
    <row r="11046" spans="1:1" x14ac:dyDescent="0.25">
      <c r="A11046" s="5"/>
    </row>
    <row r="11047" spans="1:1" x14ac:dyDescent="0.25">
      <c r="A11047" s="5"/>
    </row>
    <row r="11048" spans="1:1" x14ac:dyDescent="0.25">
      <c r="A11048" s="5"/>
    </row>
    <row r="11049" spans="1:1" x14ac:dyDescent="0.25">
      <c r="A11049" s="5"/>
    </row>
    <row r="11050" spans="1:1" x14ac:dyDescent="0.25">
      <c r="A11050" s="5"/>
    </row>
    <row r="11051" spans="1:1" x14ac:dyDescent="0.25">
      <c r="A11051" s="5"/>
    </row>
    <row r="11052" spans="1:1" x14ac:dyDescent="0.25">
      <c r="A11052" s="5"/>
    </row>
    <row r="11053" spans="1:1" x14ac:dyDescent="0.25">
      <c r="A11053" s="5"/>
    </row>
    <row r="11054" spans="1:1" x14ac:dyDescent="0.25">
      <c r="A11054" s="5"/>
    </row>
    <row r="11055" spans="1:1" x14ac:dyDescent="0.25">
      <c r="A11055" s="5"/>
    </row>
    <row r="11056" spans="1:1" x14ac:dyDescent="0.25">
      <c r="A11056" s="5"/>
    </row>
    <row r="11057" spans="1:1" x14ac:dyDescent="0.25">
      <c r="A11057" s="5"/>
    </row>
    <row r="11058" spans="1:1" x14ac:dyDescent="0.25">
      <c r="A11058" s="5"/>
    </row>
    <row r="11059" spans="1:1" x14ac:dyDescent="0.25">
      <c r="A11059" s="5"/>
    </row>
    <row r="11060" spans="1:1" x14ac:dyDescent="0.25">
      <c r="A11060" s="5"/>
    </row>
    <row r="11061" spans="1:1" x14ac:dyDescent="0.25">
      <c r="A11061" s="5"/>
    </row>
    <row r="11062" spans="1:1" x14ac:dyDescent="0.25">
      <c r="A11062" s="5"/>
    </row>
    <row r="11063" spans="1:1" x14ac:dyDescent="0.25">
      <c r="A11063" s="5"/>
    </row>
    <row r="11064" spans="1:1" x14ac:dyDescent="0.25">
      <c r="A11064" s="5"/>
    </row>
    <row r="11065" spans="1:1" x14ac:dyDescent="0.25">
      <c r="A11065" s="5"/>
    </row>
    <row r="11066" spans="1:1" x14ac:dyDescent="0.25">
      <c r="A11066" s="5"/>
    </row>
    <row r="11067" spans="1:1" x14ac:dyDescent="0.25">
      <c r="A11067" s="5"/>
    </row>
    <row r="11068" spans="1:1" x14ac:dyDescent="0.25">
      <c r="A11068" s="5"/>
    </row>
    <row r="11069" spans="1:1" x14ac:dyDescent="0.25">
      <c r="A11069" s="5"/>
    </row>
    <row r="11070" spans="1:1" x14ac:dyDescent="0.25">
      <c r="A11070" s="5"/>
    </row>
    <row r="11071" spans="1:1" x14ac:dyDescent="0.25">
      <c r="A11071" s="5"/>
    </row>
    <row r="11072" spans="1:1" x14ac:dyDescent="0.25">
      <c r="A11072" s="5"/>
    </row>
    <row r="11073" spans="1:1" x14ac:dyDescent="0.25">
      <c r="A11073" s="5"/>
    </row>
    <row r="11074" spans="1:1" x14ac:dyDescent="0.25">
      <c r="A11074" s="5"/>
    </row>
    <row r="11075" spans="1:1" x14ac:dyDescent="0.25">
      <c r="A11075" s="5"/>
    </row>
    <row r="11076" spans="1:1" x14ac:dyDescent="0.25">
      <c r="A11076" s="5"/>
    </row>
    <row r="11077" spans="1:1" x14ac:dyDescent="0.25">
      <c r="A11077" s="5"/>
    </row>
    <row r="11078" spans="1:1" x14ac:dyDescent="0.25">
      <c r="A11078" s="5"/>
    </row>
    <row r="11079" spans="1:1" x14ac:dyDescent="0.25">
      <c r="A11079" s="5"/>
    </row>
    <row r="11080" spans="1:1" x14ac:dyDescent="0.25">
      <c r="A11080" s="5"/>
    </row>
    <row r="11081" spans="1:1" x14ac:dyDescent="0.25">
      <c r="A11081" s="5"/>
    </row>
    <row r="11082" spans="1:1" x14ac:dyDescent="0.25">
      <c r="A11082" s="5"/>
    </row>
    <row r="11083" spans="1:1" x14ac:dyDescent="0.25">
      <c r="A11083" s="5"/>
    </row>
    <row r="11084" spans="1:1" x14ac:dyDescent="0.25">
      <c r="A11084" s="5"/>
    </row>
    <row r="11085" spans="1:1" x14ac:dyDescent="0.25">
      <c r="A11085" s="5"/>
    </row>
    <row r="11086" spans="1:1" x14ac:dyDescent="0.25">
      <c r="A11086" s="5"/>
    </row>
    <row r="11087" spans="1:1" x14ac:dyDescent="0.25">
      <c r="A11087" s="5"/>
    </row>
    <row r="11088" spans="1:1" x14ac:dyDescent="0.25">
      <c r="A11088" s="5"/>
    </row>
    <row r="11089" spans="1:1" x14ac:dyDescent="0.25">
      <c r="A11089" s="5"/>
    </row>
    <row r="11090" spans="1:1" x14ac:dyDescent="0.25">
      <c r="A11090" s="5"/>
    </row>
    <row r="11091" spans="1:1" x14ac:dyDescent="0.25">
      <c r="A11091" s="5"/>
    </row>
    <row r="11092" spans="1:1" x14ac:dyDescent="0.25">
      <c r="A11092" s="5"/>
    </row>
    <row r="11093" spans="1:1" x14ac:dyDescent="0.25">
      <c r="A11093" s="5"/>
    </row>
    <row r="11094" spans="1:1" x14ac:dyDescent="0.25">
      <c r="A11094" s="5"/>
    </row>
    <row r="11095" spans="1:1" x14ac:dyDescent="0.25">
      <c r="A11095" s="5"/>
    </row>
    <row r="11096" spans="1:1" x14ac:dyDescent="0.25">
      <c r="A11096" s="5"/>
    </row>
    <row r="11097" spans="1:1" x14ac:dyDescent="0.25">
      <c r="A11097" s="5"/>
    </row>
    <row r="11098" spans="1:1" x14ac:dyDescent="0.25">
      <c r="A11098" s="5"/>
    </row>
    <row r="11099" spans="1:1" x14ac:dyDescent="0.25">
      <c r="A11099" s="5"/>
    </row>
    <row r="11100" spans="1:1" x14ac:dyDescent="0.25">
      <c r="A11100" s="5"/>
    </row>
    <row r="11101" spans="1:1" x14ac:dyDescent="0.25">
      <c r="A11101" s="5"/>
    </row>
    <row r="11102" spans="1:1" x14ac:dyDescent="0.25">
      <c r="A11102" s="5"/>
    </row>
    <row r="11103" spans="1:1" x14ac:dyDescent="0.25">
      <c r="A11103" s="5"/>
    </row>
    <row r="11104" spans="1:1" x14ac:dyDescent="0.25">
      <c r="A11104" s="5"/>
    </row>
    <row r="11105" spans="1:1" x14ac:dyDescent="0.25">
      <c r="A11105" s="5"/>
    </row>
    <row r="11106" spans="1:1" x14ac:dyDescent="0.25">
      <c r="A11106" s="5"/>
    </row>
    <row r="11107" spans="1:1" x14ac:dyDescent="0.25">
      <c r="A11107" s="5"/>
    </row>
    <row r="11108" spans="1:1" x14ac:dyDescent="0.25">
      <c r="A11108" s="5"/>
    </row>
    <row r="11109" spans="1:1" x14ac:dyDescent="0.25">
      <c r="A11109" s="5"/>
    </row>
    <row r="11110" spans="1:1" x14ac:dyDescent="0.25">
      <c r="A11110" s="5"/>
    </row>
    <row r="11111" spans="1:1" x14ac:dyDescent="0.25">
      <c r="A11111" s="5"/>
    </row>
    <row r="11112" spans="1:1" x14ac:dyDescent="0.25">
      <c r="A11112" s="5"/>
    </row>
    <row r="11113" spans="1:1" x14ac:dyDescent="0.25">
      <c r="A11113" s="5"/>
    </row>
    <row r="11114" spans="1:1" x14ac:dyDescent="0.25">
      <c r="A11114" s="5"/>
    </row>
    <row r="11115" spans="1:1" x14ac:dyDescent="0.25">
      <c r="A11115" s="5"/>
    </row>
    <row r="11116" spans="1:1" x14ac:dyDescent="0.25">
      <c r="A11116" s="5"/>
    </row>
    <row r="11117" spans="1:1" x14ac:dyDescent="0.25">
      <c r="A11117" s="5"/>
    </row>
    <row r="11118" spans="1:1" x14ac:dyDescent="0.25">
      <c r="A11118" s="5"/>
    </row>
    <row r="11119" spans="1:1" x14ac:dyDescent="0.25">
      <c r="A11119" s="5"/>
    </row>
    <row r="11120" spans="1:1" x14ac:dyDescent="0.25">
      <c r="A11120" s="5"/>
    </row>
    <row r="11121" spans="1:1" x14ac:dyDescent="0.25">
      <c r="A11121" s="5"/>
    </row>
    <row r="11122" spans="1:1" x14ac:dyDescent="0.25">
      <c r="A11122" s="5"/>
    </row>
    <row r="11123" spans="1:1" x14ac:dyDescent="0.25">
      <c r="A11123" s="5"/>
    </row>
    <row r="11124" spans="1:1" x14ac:dyDescent="0.25">
      <c r="A11124" s="5"/>
    </row>
    <row r="11125" spans="1:1" x14ac:dyDescent="0.25">
      <c r="A11125" s="5"/>
    </row>
    <row r="11126" spans="1:1" x14ac:dyDescent="0.25">
      <c r="A11126" s="5"/>
    </row>
    <row r="11127" spans="1:1" x14ac:dyDescent="0.25">
      <c r="A11127" s="5"/>
    </row>
    <row r="11128" spans="1:1" x14ac:dyDescent="0.25">
      <c r="A11128" s="5"/>
    </row>
    <row r="11129" spans="1:1" x14ac:dyDescent="0.25">
      <c r="A11129" s="5"/>
    </row>
    <row r="11130" spans="1:1" x14ac:dyDescent="0.25">
      <c r="A11130" s="5"/>
    </row>
    <row r="11131" spans="1:1" x14ac:dyDescent="0.25">
      <c r="A11131" s="5"/>
    </row>
    <row r="11132" spans="1:1" x14ac:dyDescent="0.25">
      <c r="A11132" s="5"/>
    </row>
    <row r="11133" spans="1:1" x14ac:dyDescent="0.25">
      <c r="A11133" s="5"/>
    </row>
    <row r="11134" spans="1:1" x14ac:dyDescent="0.25">
      <c r="A11134" s="5"/>
    </row>
    <row r="11135" spans="1:1" x14ac:dyDescent="0.25">
      <c r="A11135" s="5"/>
    </row>
    <row r="11136" spans="1:1" x14ac:dyDescent="0.25">
      <c r="A11136" s="5"/>
    </row>
    <row r="11137" spans="1:1" x14ac:dyDescent="0.25">
      <c r="A11137" s="5"/>
    </row>
    <row r="11138" spans="1:1" x14ac:dyDescent="0.25">
      <c r="A11138" s="5"/>
    </row>
    <row r="11139" spans="1:1" x14ac:dyDescent="0.25">
      <c r="A11139" s="5"/>
    </row>
    <row r="11140" spans="1:1" x14ac:dyDescent="0.25">
      <c r="A11140" s="5"/>
    </row>
    <row r="11141" spans="1:1" x14ac:dyDescent="0.25">
      <c r="A11141" s="5"/>
    </row>
    <row r="11142" spans="1:1" x14ac:dyDescent="0.25">
      <c r="A11142" s="5"/>
    </row>
    <row r="11143" spans="1:1" x14ac:dyDescent="0.25">
      <c r="A11143" s="5"/>
    </row>
    <row r="11144" spans="1:1" x14ac:dyDescent="0.25">
      <c r="A11144" s="5"/>
    </row>
    <row r="11145" spans="1:1" x14ac:dyDescent="0.25">
      <c r="A11145" s="5"/>
    </row>
    <row r="11146" spans="1:1" x14ac:dyDescent="0.25">
      <c r="A11146" s="5"/>
    </row>
    <row r="11147" spans="1:1" x14ac:dyDescent="0.25">
      <c r="A11147" s="5"/>
    </row>
    <row r="11148" spans="1:1" x14ac:dyDescent="0.25">
      <c r="A11148" s="5"/>
    </row>
    <row r="11149" spans="1:1" x14ac:dyDescent="0.25">
      <c r="A11149" s="5"/>
    </row>
    <row r="11150" spans="1:1" x14ac:dyDescent="0.25">
      <c r="A11150" s="5"/>
    </row>
    <row r="11151" spans="1:1" x14ac:dyDescent="0.25">
      <c r="A11151" s="5"/>
    </row>
    <row r="11152" spans="1:1" x14ac:dyDescent="0.25">
      <c r="A11152" s="5"/>
    </row>
    <row r="11153" spans="1:1" x14ac:dyDescent="0.25">
      <c r="A11153" s="5"/>
    </row>
    <row r="11154" spans="1:1" x14ac:dyDescent="0.25">
      <c r="A11154" s="5"/>
    </row>
    <row r="11155" spans="1:1" x14ac:dyDescent="0.25">
      <c r="A11155" s="5"/>
    </row>
    <row r="11156" spans="1:1" x14ac:dyDescent="0.25">
      <c r="A11156" s="5"/>
    </row>
    <row r="11157" spans="1:1" x14ac:dyDescent="0.25">
      <c r="A11157" s="5"/>
    </row>
    <row r="11158" spans="1:1" x14ac:dyDescent="0.25">
      <c r="A11158" s="5"/>
    </row>
    <row r="11159" spans="1:1" x14ac:dyDescent="0.25">
      <c r="A11159" s="5"/>
    </row>
    <row r="11160" spans="1:1" x14ac:dyDescent="0.25">
      <c r="A11160" s="5"/>
    </row>
    <row r="11161" spans="1:1" x14ac:dyDescent="0.25">
      <c r="A11161" s="5"/>
    </row>
    <row r="11162" spans="1:1" x14ac:dyDescent="0.25">
      <c r="A11162" s="5"/>
    </row>
    <row r="11163" spans="1:1" x14ac:dyDescent="0.25">
      <c r="A11163" s="5"/>
    </row>
    <row r="11164" spans="1:1" x14ac:dyDescent="0.25">
      <c r="A11164" s="5"/>
    </row>
    <row r="11165" spans="1:1" x14ac:dyDescent="0.25">
      <c r="A11165" s="5"/>
    </row>
    <row r="11166" spans="1:1" x14ac:dyDescent="0.25">
      <c r="A11166" s="5"/>
    </row>
    <row r="11167" spans="1:1" x14ac:dyDescent="0.25">
      <c r="A11167" s="5"/>
    </row>
    <row r="11168" spans="1:1" x14ac:dyDescent="0.25">
      <c r="A11168" s="5"/>
    </row>
    <row r="11169" spans="1:1" x14ac:dyDescent="0.25">
      <c r="A11169" s="5"/>
    </row>
    <row r="11170" spans="1:1" x14ac:dyDescent="0.25">
      <c r="A11170" s="5"/>
    </row>
    <row r="11171" spans="1:1" x14ac:dyDescent="0.25">
      <c r="A11171" s="5"/>
    </row>
    <row r="11172" spans="1:1" x14ac:dyDescent="0.25">
      <c r="A11172" s="5"/>
    </row>
    <row r="11173" spans="1:1" x14ac:dyDescent="0.25">
      <c r="A11173" s="5"/>
    </row>
    <row r="11174" spans="1:1" x14ac:dyDescent="0.25">
      <c r="A11174" s="5"/>
    </row>
    <row r="11175" spans="1:1" x14ac:dyDescent="0.25">
      <c r="A11175" s="5"/>
    </row>
    <row r="11176" spans="1:1" x14ac:dyDescent="0.25">
      <c r="A11176" s="5"/>
    </row>
    <row r="11177" spans="1:1" x14ac:dyDescent="0.25">
      <c r="A11177" s="5"/>
    </row>
    <row r="11178" spans="1:1" x14ac:dyDescent="0.25">
      <c r="A11178" s="5"/>
    </row>
    <row r="11179" spans="1:1" x14ac:dyDescent="0.25">
      <c r="A11179" s="5"/>
    </row>
    <row r="11180" spans="1:1" x14ac:dyDescent="0.25">
      <c r="A11180" s="5"/>
    </row>
    <row r="11181" spans="1:1" x14ac:dyDescent="0.25">
      <c r="A11181" s="5"/>
    </row>
    <row r="11182" spans="1:1" x14ac:dyDescent="0.25">
      <c r="A11182" s="5"/>
    </row>
    <row r="11183" spans="1:1" x14ac:dyDescent="0.25">
      <c r="A11183" s="5"/>
    </row>
    <row r="11184" spans="1:1" x14ac:dyDescent="0.25">
      <c r="A11184" s="5"/>
    </row>
    <row r="11185" spans="1:1" x14ac:dyDescent="0.25">
      <c r="A11185" s="5"/>
    </row>
    <row r="11186" spans="1:1" x14ac:dyDescent="0.25">
      <c r="A11186" s="5"/>
    </row>
    <row r="11187" spans="1:1" x14ac:dyDescent="0.25">
      <c r="A11187" s="5"/>
    </row>
    <row r="11188" spans="1:1" x14ac:dyDescent="0.25">
      <c r="A11188" s="5"/>
    </row>
    <row r="11189" spans="1:1" x14ac:dyDescent="0.25">
      <c r="A11189" s="5"/>
    </row>
    <row r="11190" spans="1:1" x14ac:dyDescent="0.25">
      <c r="A11190" s="5"/>
    </row>
    <row r="11191" spans="1:1" x14ac:dyDescent="0.25">
      <c r="A11191" s="5"/>
    </row>
    <row r="11192" spans="1:1" x14ac:dyDescent="0.25">
      <c r="A11192" s="5"/>
    </row>
    <row r="11193" spans="1:1" x14ac:dyDescent="0.25">
      <c r="A11193" s="5"/>
    </row>
    <row r="11194" spans="1:1" x14ac:dyDescent="0.25">
      <c r="A11194" s="5"/>
    </row>
    <row r="11195" spans="1:1" x14ac:dyDescent="0.25">
      <c r="A11195" s="5"/>
    </row>
    <row r="11196" spans="1:1" x14ac:dyDescent="0.25">
      <c r="A11196" s="5"/>
    </row>
    <row r="11197" spans="1:1" x14ac:dyDescent="0.25">
      <c r="A11197" s="5"/>
    </row>
    <row r="11198" spans="1:1" x14ac:dyDescent="0.25">
      <c r="A11198" s="5"/>
    </row>
    <row r="11199" spans="1:1" x14ac:dyDescent="0.25">
      <c r="A11199" s="5"/>
    </row>
    <row r="11200" spans="1:1" x14ac:dyDescent="0.25">
      <c r="A11200" s="5"/>
    </row>
    <row r="11201" spans="1:1" x14ac:dyDescent="0.25">
      <c r="A11201" s="5"/>
    </row>
    <row r="11202" spans="1:1" x14ac:dyDescent="0.25">
      <c r="A11202" s="5"/>
    </row>
    <row r="11203" spans="1:1" x14ac:dyDescent="0.25">
      <c r="A11203" s="5"/>
    </row>
    <row r="11204" spans="1:1" x14ac:dyDescent="0.25">
      <c r="A11204" s="5"/>
    </row>
    <row r="11205" spans="1:1" x14ac:dyDescent="0.25">
      <c r="A11205" s="5"/>
    </row>
    <row r="11206" spans="1:1" x14ac:dyDescent="0.25">
      <c r="A11206" s="5"/>
    </row>
    <row r="11207" spans="1:1" x14ac:dyDescent="0.25">
      <c r="A11207" s="5"/>
    </row>
    <row r="11208" spans="1:1" x14ac:dyDescent="0.25">
      <c r="A11208" s="5"/>
    </row>
    <row r="11209" spans="1:1" x14ac:dyDescent="0.25">
      <c r="A11209" s="5"/>
    </row>
    <row r="11210" spans="1:1" x14ac:dyDescent="0.25">
      <c r="A11210" s="5"/>
    </row>
    <row r="11211" spans="1:1" x14ac:dyDescent="0.25">
      <c r="A11211" s="5"/>
    </row>
    <row r="11212" spans="1:1" x14ac:dyDescent="0.25">
      <c r="A11212" s="5"/>
    </row>
    <row r="11213" spans="1:1" x14ac:dyDescent="0.25">
      <c r="A11213" s="5"/>
    </row>
    <row r="11214" spans="1:1" x14ac:dyDescent="0.25">
      <c r="A11214" s="5"/>
    </row>
    <row r="11215" spans="1:1" x14ac:dyDescent="0.25">
      <c r="A11215" s="5"/>
    </row>
    <row r="11216" spans="1:1" x14ac:dyDescent="0.25">
      <c r="A11216" s="5"/>
    </row>
    <row r="11217" spans="1:1" x14ac:dyDescent="0.25">
      <c r="A11217" s="5"/>
    </row>
    <row r="11218" spans="1:1" x14ac:dyDescent="0.25">
      <c r="A11218" s="5"/>
    </row>
    <row r="11219" spans="1:1" x14ac:dyDescent="0.25">
      <c r="A11219" s="5"/>
    </row>
    <row r="11220" spans="1:1" x14ac:dyDescent="0.25">
      <c r="A11220" s="5"/>
    </row>
    <row r="11221" spans="1:1" x14ac:dyDescent="0.25">
      <c r="A11221" s="5"/>
    </row>
    <row r="11222" spans="1:1" x14ac:dyDescent="0.25">
      <c r="A11222" s="5"/>
    </row>
    <row r="11223" spans="1:1" x14ac:dyDescent="0.25">
      <c r="A11223" s="5"/>
    </row>
    <row r="11224" spans="1:1" x14ac:dyDescent="0.25">
      <c r="A11224" s="5"/>
    </row>
    <row r="11225" spans="1:1" x14ac:dyDescent="0.25">
      <c r="A11225" s="5"/>
    </row>
    <row r="11226" spans="1:1" x14ac:dyDescent="0.25">
      <c r="A11226" s="5"/>
    </row>
    <row r="11227" spans="1:1" x14ac:dyDescent="0.25">
      <c r="A11227" s="5"/>
    </row>
    <row r="11228" spans="1:1" x14ac:dyDescent="0.25">
      <c r="A11228" s="5"/>
    </row>
    <row r="11229" spans="1:1" x14ac:dyDescent="0.25">
      <c r="A11229" s="5"/>
    </row>
    <row r="11230" spans="1:1" x14ac:dyDescent="0.25">
      <c r="A11230" s="5"/>
    </row>
    <row r="11231" spans="1:1" x14ac:dyDescent="0.25">
      <c r="A11231" s="5"/>
    </row>
    <row r="11232" spans="1:1" x14ac:dyDescent="0.25">
      <c r="A11232" s="5"/>
    </row>
    <row r="11233" spans="1:1" x14ac:dyDescent="0.25">
      <c r="A11233" s="5"/>
    </row>
    <row r="11234" spans="1:1" x14ac:dyDescent="0.25">
      <c r="A11234" s="5"/>
    </row>
    <row r="11235" spans="1:1" x14ac:dyDescent="0.25">
      <c r="A11235" s="5"/>
    </row>
    <row r="11236" spans="1:1" x14ac:dyDescent="0.25">
      <c r="A11236" s="5"/>
    </row>
    <row r="11237" spans="1:1" x14ac:dyDescent="0.25">
      <c r="A11237" s="5"/>
    </row>
    <row r="11238" spans="1:1" x14ac:dyDescent="0.25">
      <c r="A11238" s="5"/>
    </row>
    <row r="11239" spans="1:1" x14ac:dyDescent="0.25">
      <c r="A11239" s="5"/>
    </row>
    <row r="11240" spans="1:1" x14ac:dyDescent="0.25">
      <c r="A11240" s="5"/>
    </row>
    <row r="11241" spans="1:1" x14ac:dyDescent="0.25">
      <c r="A11241" s="5"/>
    </row>
    <row r="11242" spans="1:1" x14ac:dyDescent="0.25">
      <c r="A11242" s="5"/>
    </row>
    <row r="11243" spans="1:1" x14ac:dyDescent="0.25">
      <c r="A11243" s="5"/>
    </row>
    <row r="11244" spans="1:1" x14ac:dyDescent="0.25">
      <c r="A11244" s="5"/>
    </row>
    <row r="11245" spans="1:1" x14ac:dyDescent="0.25">
      <c r="A11245" s="5"/>
    </row>
    <row r="11246" spans="1:1" x14ac:dyDescent="0.25">
      <c r="A11246" s="5"/>
    </row>
    <row r="11247" spans="1:1" x14ac:dyDescent="0.25">
      <c r="A11247" s="5"/>
    </row>
    <row r="11248" spans="1:1" x14ac:dyDescent="0.25">
      <c r="A11248" s="5"/>
    </row>
    <row r="11249" spans="1:1" x14ac:dyDescent="0.25">
      <c r="A11249" s="5"/>
    </row>
    <row r="11250" spans="1:1" x14ac:dyDescent="0.25">
      <c r="A11250" s="5"/>
    </row>
    <row r="11251" spans="1:1" x14ac:dyDescent="0.25">
      <c r="A11251" s="5"/>
    </row>
    <row r="11252" spans="1:1" x14ac:dyDescent="0.25">
      <c r="A11252" s="5"/>
    </row>
    <row r="11253" spans="1:1" x14ac:dyDescent="0.25">
      <c r="A11253" s="5"/>
    </row>
    <row r="11254" spans="1:1" x14ac:dyDescent="0.25">
      <c r="A11254" s="5"/>
    </row>
    <row r="11255" spans="1:1" x14ac:dyDescent="0.25">
      <c r="A11255" s="5"/>
    </row>
    <row r="11256" spans="1:1" x14ac:dyDescent="0.25">
      <c r="A11256" s="5"/>
    </row>
    <row r="11257" spans="1:1" x14ac:dyDescent="0.25">
      <c r="A11257" s="5"/>
    </row>
    <row r="11258" spans="1:1" x14ac:dyDescent="0.25">
      <c r="A11258" s="5"/>
    </row>
    <row r="11259" spans="1:1" x14ac:dyDescent="0.25">
      <c r="A11259" s="5"/>
    </row>
    <row r="11260" spans="1:1" x14ac:dyDescent="0.25">
      <c r="A11260" s="5"/>
    </row>
    <row r="11261" spans="1:1" x14ac:dyDescent="0.25">
      <c r="A11261" s="5"/>
    </row>
    <row r="11262" spans="1:1" x14ac:dyDescent="0.25">
      <c r="A11262" s="5"/>
    </row>
    <row r="11263" spans="1:1" x14ac:dyDescent="0.25">
      <c r="A11263" s="5"/>
    </row>
    <row r="11264" spans="1:1" x14ac:dyDescent="0.25">
      <c r="A11264" s="5"/>
    </row>
    <row r="11265" spans="1:1" x14ac:dyDescent="0.25">
      <c r="A11265" s="5"/>
    </row>
    <row r="11266" spans="1:1" x14ac:dyDescent="0.25">
      <c r="A11266" s="5"/>
    </row>
    <row r="11267" spans="1:1" x14ac:dyDescent="0.25">
      <c r="A11267" s="5"/>
    </row>
    <row r="11268" spans="1:1" x14ac:dyDescent="0.25">
      <c r="A11268" s="5"/>
    </row>
    <row r="11269" spans="1:1" x14ac:dyDescent="0.25">
      <c r="A11269" s="5"/>
    </row>
    <row r="11270" spans="1:1" x14ac:dyDescent="0.25">
      <c r="A11270" s="5"/>
    </row>
    <row r="11271" spans="1:1" x14ac:dyDescent="0.25">
      <c r="A11271" s="5"/>
    </row>
    <row r="11272" spans="1:1" x14ac:dyDescent="0.25">
      <c r="A11272" s="5"/>
    </row>
    <row r="11273" spans="1:1" x14ac:dyDescent="0.25">
      <c r="A11273" s="5"/>
    </row>
    <row r="11274" spans="1:1" x14ac:dyDescent="0.25">
      <c r="A11274" s="5"/>
    </row>
    <row r="11275" spans="1:1" x14ac:dyDescent="0.25">
      <c r="A11275" s="5"/>
    </row>
    <row r="11276" spans="1:1" x14ac:dyDescent="0.25">
      <c r="A11276" s="5"/>
    </row>
    <row r="11277" spans="1:1" x14ac:dyDescent="0.25">
      <c r="A11277" s="5"/>
    </row>
    <row r="11278" spans="1:1" x14ac:dyDescent="0.25">
      <c r="A11278" s="5"/>
    </row>
    <row r="11279" spans="1:1" x14ac:dyDescent="0.25">
      <c r="A11279" s="5"/>
    </row>
    <row r="11280" spans="1:1" x14ac:dyDescent="0.25">
      <c r="A11280" s="5"/>
    </row>
    <row r="11281" spans="1:1" x14ac:dyDescent="0.25">
      <c r="A11281" s="5"/>
    </row>
    <row r="11282" spans="1:1" x14ac:dyDescent="0.25">
      <c r="A11282" s="5"/>
    </row>
    <row r="11283" spans="1:1" x14ac:dyDescent="0.25">
      <c r="A11283" s="5"/>
    </row>
    <row r="11284" spans="1:1" x14ac:dyDescent="0.25">
      <c r="A11284" s="5"/>
    </row>
    <row r="11285" spans="1:1" x14ac:dyDescent="0.25">
      <c r="A11285" s="5"/>
    </row>
    <row r="11286" spans="1:1" x14ac:dyDescent="0.25">
      <c r="A11286" s="5"/>
    </row>
    <row r="11287" spans="1:1" x14ac:dyDescent="0.25">
      <c r="A11287" s="5"/>
    </row>
    <row r="11288" spans="1:1" x14ac:dyDescent="0.25">
      <c r="A11288" s="5"/>
    </row>
    <row r="11289" spans="1:1" x14ac:dyDescent="0.25">
      <c r="A11289" s="5"/>
    </row>
    <row r="11290" spans="1:1" x14ac:dyDescent="0.25">
      <c r="A11290" s="5"/>
    </row>
    <row r="11291" spans="1:1" x14ac:dyDescent="0.25">
      <c r="A11291" s="5"/>
    </row>
    <row r="11292" spans="1:1" x14ac:dyDescent="0.25">
      <c r="A11292" s="5"/>
    </row>
    <row r="11293" spans="1:1" x14ac:dyDescent="0.25">
      <c r="A11293" s="5"/>
    </row>
    <row r="11294" spans="1:1" x14ac:dyDescent="0.25">
      <c r="A11294" s="5"/>
    </row>
    <row r="11295" spans="1:1" x14ac:dyDescent="0.25">
      <c r="A11295" s="5"/>
    </row>
    <row r="11296" spans="1:1" x14ac:dyDescent="0.25">
      <c r="A11296" s="5"/>
    </row>
    <row r="11297" spans="1:1" x14ac:dyDescent="0.25">
      <c r="A11297" s="5"/>
    </row>
    <row r="11298" spans="1:1" x14ac:dyDescent="0.25">
      <c r="A11298" s="5"/>
    </row>
    <row r="11299" spans="1:1" x14ac:dyDescent="0.25">
      <c r="A11299" s="5"/>
    </row>
    <row r="11300" spans="1:1" x14ac:dyDescent="0.25">
      <c r="A11300" s="5"/>
    </row>
    <row r="11301" spans="1:1" x14ac:dyDescent="0.25">
      <c r="A11301" s="5"/>
    </row>
    <row r="11302" spans="1:1" x14ac:dyDescent="0.25">
      <c r="A11302" s="5"/>
    </row>
    <row r="11303" spans="1:1" x14ac:dyDescent="0.25">
      <c r="A11303" s="5"/>
    </row>
    <row r="11304" spans="1:1" x14ac:dyDescent="0.25">
      <c r="A11304" s="5"/>
    </row>
    <row r="11305" spans="1:1" x14ac:dyDescent="0.25">
      <c r="A11305" s="5"/>
    </row>
    <row r="11306" spans="1:1" x14ac:dyDescent="0.25">
      <c r="A11306" s="5"/>
    </row>
    <row r="11307" spans="1:1" x14ac:dyDescent="0.25">
      <c r="A11307" s="5"/>
    </row>
    <row r="11308" spans="1:1" x14ac:dyDescent="0.25">
      <c r="A11308" s="5"/>
    </row>
    <row r="11309" spans="1:1" x14ac:dyDescent="0.25">
      <c r="A11309" s="5"/>
    </row>
    <row r="11310" spans="1:1" x14ac:dyDescent="0.25">
      <c r="A11310" s="5"/>
    </row>
    <row r="11311" spans="1:1" x14ac:dyDescent="0.25">
      <c r="A11311" s="5"/>
    </row>
    <row r="11312" spans="1:1" x14ac:dyDescent="0.25">
      <c r="A11312" s="5"/>
    </row>
    <row r="11313" spans="1:1" x14ac:dyDescent="0.25">
      <c r="A11313" s="5"/>
    </row>
    <row r="11314" spans="1:1" x14ac:dyDescent="0.25">
      <c r="A11314" s="5"/>
    </row>
    <row r="11315" spans="1:1" x14ac:dyDescent="0.25">
      <c r="A11315" s="5"/>
    </row>
    <row r="11316" spans="1:1" x14ac:dyDescent="0.25">
      <c r="A11316" s="5"/>
    </row>
    <row r="11317" spans="1:1" x14ac:dyDescent="0.25">
      <c r="A11317" s="5"/>
    </row>
    <row r="11318" spans="1:1" x14ac:dyDescent="0.25">
      <c r="A11318" s="5"/>
    </row>
    <row r="11319" spans="1:1" x14ac:dyDescent="0.25">
      <c r="A11319" s="5"/>
    </row>
    <row r="11320" spans="1:1" x14ac:dyDescent="0.25">
      <c r="A11320" s="5"/>
    </row>
    <row r="11321" spans="1:1" x14ac:dyDescent="0.25">
      <c r="A11321" s="5"/>
    </row>
    <row r="11322" spans="1:1" x14ac:dyDescent="0.25">
      <c r="A11322" s="5"/>
    </row>
    <row r="11323" spans="1:1" x14ac:dyDescent="0.25">
      <c r="A11323" s="5"/>
    </row>
    <row r="11324" spans="1:1" x14ac:dyDescent="0.25">
      <c r="A11324" s="5"/>
    </row>
    <row r="11325" spans="1:1" x14ac:dyDescent="0.25">
      <c r="A11325" s="5"/>
    </row>
    <row r="11326" spans="1:1" x14ac:dyDescent="0.25">
      <c r="A11326" s="5"/>
    </row>
    <row r="11327" spans="1:1" x14ac:dyDescent="0.25">
      <c r="A11327" s="5"/>
    </row>
    <row r="11328" spans="1:1" x14ac:dyDescent="0.25">
      <c r="A11328" s="5"/>
    </row>
    <row r="11329" spans="1:1" x14ac:dyDescent="0.25">
      <c r="A11329" s="5"/>
    </row>
    <row r="11330" spans="1:1" x14ac:dyDescent="0.25">
      <c r="A11330" s="5"/>
    </row>
    <row r="11331" spans="1:1" x14ac:dyDescent="0.25">
      <c r="A11331" s="5"/>
    </row>
    <row r="11332" spans="1:1" x14ac:dyDescent="0.25">
      <c r="A11332" s="5"/>
    </row>
    <row r="11333" spans="1:1" x14ac:dyDescent="0.25">
      <c r="A11333" s="5"/>
    </row>
    <row r="11334" spans="1:1" x14ac:dyDescent="0.25">
      <c r="A11334" s="5"/>
    </row>
    <row r="11335" spans="1:1" x14ac:dyDescent="0.25">
      <c r="A11335" s="5"/>
    </row>
    <row r="11336" spans="1:1" x14ac:dyDescent="0.25">
      <c r="A11336" s="5"/>
    </row>
    <row r="11337" spans="1:1" x14ac:dyDescent="0.25">
      <c r="A11337" s="5"/>
    </row>
    <row r="11338" spans="1:1" x14ac:dyDescent="0.25">
      <c r="A11338" s="5"/>
    </row>
    <row r="11339" spans="1:1" x14ac:dyDescent="0.25">
      <c r="A11339" s="5"/>
    </row>
    <row r="11340" spans="1:1" x14ac:dyDescent="0.25">
      <c r="A11340" s="5"/>
    </row>
    <row r="11341" spans="1:1" x14ac:dyDescent="0.25">
      <c r="A11341" s="5"/>
    </row>
    <row r="11342" spans="1:1" x14ac:dyDescent="0.25">
      <c r="A11342" s="5"/>
    </row>
    <row r="11343" spans="1:1" x14ac:dyDescent="0.25">
      <c r="A11343" s="5"/>
    </row>
    <row r="11344" spans="1:1" x14ac:dyDescent="0.25">
      <c r="A11344" s="5"/>
    </row>
    <row r="11345" spans="1:1" x14ac:dyDescent="0.25">
      <c r="A11345" s="5"/>
    </row>
    <row r="11346" spans="1:1" x14ac:dyDescent="0.25">
      <c r="A11346" s="5"/>
    </row>
    <row r="11347" spans="1:1" x14ac:dyDescent="0.25">
      <c r="A11347" s="5"/>
    </row>
    <row r="11348" spans="1:1" x14ac:dyDescent="0.25">
      <c r="A11348" s="5"/>
    </row>
    <row r="11349" spans="1:1" x14ac:dyDescent="0.25">
      <c r="A11349" s="5"/>
    </row>
    <row r="11350" spans="1:1" x14ac:dyDescent="0.25">
      <c r="A11350" s="5"/>
    </row>
    <row r="11351" spans="1:1" x14ac:dyDescent="0.25">
      <c r="A11351" s="5"/>
    </row>
    <row r="11352" spans="1:1" x14ac:dyDescent="0.25">
      <c r="A11352" s="5"/>
    </row>
    <row r="11353" spans="1:1" x14ac:dyDescent="0.25">
      <c r="A11353" s="5"/>
    </row>
    <row r="11354" spans="1:1" x14ac:dyDescent="0.25">
      <c r="A11354" s="5"/>
    </row>
    <row r="11355" spans="1:1" x14ac:dyDescent="0.25">
      <c r="A11355" s="5"/>
    </row>
    <row r="11356" spans="1:1" x14ac:dyDescent="0.25">
      <c r="A11356" s="5"/>
    </row>
    <row r="11357" spans="1:1" x14ac:dyDescent="0.25">
      <c r="A11357" s="5"/>
    </row>
    <row r="11358" spans="1:1" x14ac:dyDescent="0.25">
      <c r="A11358" s="5"/>
    </row>
    <row r="11359" spans="1:1" x14ac:dyDescent="0.25">
      <c r="A11359" s="5"/>
    </row>
    <row r="11360" spans="1:1" x14ac:dyDescent="0.25">
      <c r="A11360" s="5"/>
    </row>
    <row r="11361" spans="1:1" x14ac:dyDescent="0.25">
      <c r="A11361" s="5"/>
    </row>
    <row r="11362" spans="1:1" x14ac:dyDescent="0.25">
      <c r="A11362" s="5"/>
    </row>
    <row r="11363" spans="1:1" x14ac:dyDescent="0.25">
      <c r="A11363" s="5"/>
    </row>
    <row r="11364" spans="1:1" x14ac:dyDescent="0.25">
      <c r="A11364" s="5"/>
    </row>
    <row r="11365" spans="1:1" x14ac:dyDescent="0.25">
      <c r="A11365" s="5"/>
    </row>
    <row r="11366" spans="1:1" x14ac:dyDescent="0.25">
      <c r="A11366" s="5"/>
    </row>
    <row r="11367" spans="1:1" x14ac:dyDescent="0.25">
      <c r="A11367" s="5"/>
    </row>
    <row r="11368" spans="1:1" x14ac:dyDescent="0.25">
      <c r="A11368" s="5"/>
    </row>
    <row r="11369" spans="1:1" x14ac:dyDescent="0.25">
      <c r="A11369" s="5"/>
    </row>
    <row r="11370" spans="1:1" x14ac:dyDescent="0.25">
      <c r="A11370" s="5"/>
    </row>
    <row r="11371" spans="1:1" x14ac:dyDescent="0.25">
      <c r="A11371" s="5"/>
    </row>
    <row r="11372" spans="1:1" x14ac:dyDescent="0.25">
      <c r="A11372" s="5"/>
    </row>
    <row r="11373" spans="1:1" x14ac:dyDescent="0.25">
      <c r="A11373" s="5"/>
    </row>
    <row r="11374" spans="1:1" x14ac:dyDescent="0.25">
      <c r="A11374" s="5"/>
    </row>
    <row r="11375" spans="1:1" x14ac:dyDescent="0.25">
      <c r="A11375" s="5"/>
    </row>
    <row r="11376" spans="1:1" x14ac:dyDescent="0.25">
      <c r="A11376" s="5"/>
    </row>
    <row r="11377" spans="1:1" x14ac:dyDescent="0.25">
      <c r="A11377" s="5"/>
    </row>
    <row r="11378" spans="1:1" x14ac:dyDescent="0.25">
      <c r="A11378" s="5"/>
    </row>
    <row r="11379" spans="1:1" x14ac:dyDescent="0.25">
      <c r="A11379" s="5"/>
    </row>
    <row r="11380" spans="1:1" x14ac:dyDescent="0.25">
      <c r="A11380" s="5"/>
    </row>
    <row r="11381" spans="1:1" x14ac:dyDescent="0.25">
      <c r="A11381" s="5"/>
    </row>
    <row r="11382" spans="1:1" x14ac:dyDescent="0.25">
      <c r="A11382" s="5"/>
    </row>
    <row r="11383" spans="1:1" x14ac:dyDescent="0.25">
      <c r="A11383" s="5"/>
    </row>
    <row r="11384" spans="1:1" x14ac:dyDescent="0.25">
      <c r="A11384" s="5"/>
    </row>
    <row r="11385" spans="1:1" x14ac:dyDescent="0.25">
      <c r="A11385" s="5"/>
    </row>
    <row r="11386" spans="1:1" x14ac:dyDescent="0.25">
      <c r="A11386" s="5"/>
    </row>
    <row r="11387" spans="1:1" x14ac:dyDescent="0.25">
      <c r="A11387" s="5"/>
    </row>
    <row r="11388" spans="1:1" x14ac:dyDescent="0.25">
      <c r="A11388" s="5"/>
    </row>
    <row r="11389" spans="1:1" x14ac:dyDescent="0.25">
      <c r="A11389" s="5"/>
    </row>
    <row r="11390" spans="1:1" x14ac:dyDescent="0.25">
      <c r="A11390" s="5"/>
    </row>
    <row r="11391" spans="1:1" x14ac:dyDescent="0.25">
      <c r="A11391" s="5"/>
    </row>
    <row r="11392" spans="1:1" x14ac:dyDescent="0.25">
      <c r="A11392" s="5"/>
    </row>
    <row r="11393" spans="1:1" x14ac:dyDescent="0.25">
      <c r="A11393" s="5"/>
    </row>
    <row r="11394" spans="1:1" x14ac:dyDescent="0.25">
      <c r="A11394" s="5"/>
    </row>
    <row r="11395" spans="1:1" x14ac:dyDescent="0.25">
      <c r="A11395" s="5"/>
    </row>
    <row r="11396" spans="1:1" x14ac:dyDescent="0.25">
      <c r="A11396" s="5"/>
    </row>
    <row r="11397" spans="1:1" x14ac:dyDescent="0.25">
      <c r="A11397" s="5"/>
    </row>
    <row r="11398" spans="1:1" x14ac:dyDescent="0.25">
      <c r="A11398" s="5"/>
    </row>
    <row r="11399" spans="1:1" x14ac:dyDescent="0.25">
      <c r="A11399" s="5"/>
    </row>
    <row r="11400" spans="1:1" x14ac:dyDescent="0.25">
      <c r="A11400" s="5"/>
    </row>
    <row r="11401" spans="1:1" x14ac:dyDescent="0.25">
      <c r="A11401" s="5"/>
    </row>
    <row r="11402" spans="1:1" x14ac:dyDescent="0.25">
      <c r="A11402" s="5"/>
    </row>
    <row r="11403" spans="1:1" x14ac:dyDescent="0.25">
      <c r="A11403" s="5"/>
    </row>
    <row r="11404" spans="1:1" x14ac:dyDescent="0.25">
      <c r="A11404" s="5"/>
    </row>
    <row r="11405" spans="1:1" x14ac:dyDescent="0.25">
      <c r="A11405" s="5"/>
    </row>
    <row r="11406" spans="1:1" x14ac:dyDescent="0.25">
      <c r="A11406" s="5"/>
    </row>
    <row r="11407" spans="1:1" x14ac:dyDescent="0.25">
      <c r="A11407" s="5"/>
    </row>
    <row r="11408" spans="1:1" x14ac:dyDescent="0.25">
      <c r="A11408" s="5"/>
    </row>
    <row r="11409" spans="1:1" x14ac:dyDescent="0.25">
      <c r="A11409" s="5"/>
    </row>
    <row r="11410" spans="1:1" x14ac:dyDescent="0.25">
      <c r="A11410" s="5"/>
    </row>
    <row r="11411" spans="1:1" x14ac:dyDescent="0.25">
      <c r="A11411" s="5"/>
    </row>
    <row r="11412" spans="1:1" x14ac:dyDescent="0.25">
      <c r="A11412" s="5"/>
    </row>
    <row r="11413" spans="1:1" x14ac:dyDescent="0.25">
      <c r="A11413" s="5"/>
    </row>
    <row r="11414" spans="1:1" x14ac:dyDescent="0.25">
      <c r="A11414" s="5"/>
    </row>
    <row r="11415" spans="1:1" x14ac:dyDescent="0.25">
      <c r="A11415" s="5"/>
    </row>
    <row r="11416" spans="1:1" x14ac:dyDescent="0.25">
      <c r="A11416" s="5"/>
    </row>
    <row r="11417" spans="1:1" x14ac:dyDescent="0.25">
      <c r="A11417" s="5"/>
    </row>
    <row r="11418" spans="1:1" x14ac:dyDescent="0.25">
      <c r="A11418" s="5"/>
    </row>
    <row r="11419" spans="1:1" x14ac:dyDescent="0.25">
      <c r="A11419" s="5"/>
    </row>
    <row r="11420" spans="1:1" x14ac:dyDescent="0.25">
      <c r="A11420" s="5"/>
    </row>
    <row r="11421" spans="1:1" x14ac:dyDescent="0.25">
      <c r="A11421" s="5"/>
    </row>
    <row r="11422" spans="1:1" x14ac:dyDescent="0.25">
      <c r="A11422" s="5"/>
    </row>
    <row r="11423" spans="1:1" x14ac:dyDescent="0.25">
      <c r="A11423" s="5"/>
    </row>
    <row r="11424" spans="1:1" x14ac:dyDescent="0.25">
      <c r="A11424" s="5"/>
    </row>
    <row r="11425" spans="1:1" x14ac:dyDescent="0.25">
      <c r="A11425" s="5"/>
    </row>
    <row r="11426" spans="1:1" x14ac:dyDescent="0.25">
      <c r="A11426" s="5"/>
    </row>
    <row r="11427" spans="1:1" x14ac:dyDescent="0.25">
      <c r="A11427" s="5"/>
    </row>
    <row r="11428" spans="1:1" x14ac:dyDescent="0.25">
      <c r="A11428" s="5"/>
    </row>
    <row r="11429" spans="1:1" x14ac:dyDescent="0.25">
      <c r="A11429" s="5"/>
    </row>
    <row r="11430" spans="1:1" x14ac:dyDescent="0.25">
      <c r="A11430" s="5"/>
    </row>
    <row r="11431" spans="1:1" x14ac:dyDescent="0.25">
      <c r="A11431" s="5"/>
    </row>
    <row r="11432" spans="1:1" x14ac:dyDescent="0.25">
      <c r="A11432" s="5"/>
    </row>
    <row r="11433" spans="1:1" x14ac:dyDescent="0.25">
      <c r="A11433" s="5"/>
    </row>
    <row r="11434" spans="1:1" x14ac:dyDescent="0.25">
      <c r="A11434" s="5"/>
    </row>
    <row r="11435" spans="1:1" x14ac:dyDescent="0.25">
      <c r="A11435" s="5"/>
    </row>
    <row r="11436" spans="1:1" x14ac:dyDescent="0.25">
      <c r="A11436" s="5"/>
    </row>
    <row r="11437" spans="1:1" x14ac:dyDescent="0.25">
      <c r="A11437" s="5"/>
    </row>
    <row r="11438" spans="1:1" x14ac:dyDescent="0.25">
      <c r="A11438" s="5"/>
    </row>
    <row r="11439" spans="1:1" x14ac:dyDescent="0.25">
      <c r="A11439" s="5"/>
    </row>
    <row r="11440" spans="1:1" x14ac:dyDescent="0.25">
      <c r="A11440" s="5"/>
    </row>
    <row r="11441" spans="1:1" x14ac:dyDescent="0.25">
      <c r="A11441" s="5"/>
    </row>
    <row r="11442" spans="1:1" x14ac:dyDescent="0.25">
      <c r="A11442" s="5"/>
    </row>
    <row r="11443" spans="1:1" x14ac:dyDescent="0.25">
      <c r="A11443" s="5"/>
    </row>
    <row r="11444" spans="1:1" x14ac:dyDescent="0.25">
      <c r="A11444" s="5"/>
    </row>
    <row r="11445" spans="1:1" x14ac:dyDescent="0.25">
      <c r="A11445" s="5"/>
    </row>
    <row r="11446" spans="1:1" x14ac:dyDescent="0.25">
      <c r="A11446" s="5"/>
    </row>
    <row r="11447" spans="1:1" x14ac:dyDescent="0.25">
      <c r="A11447" s="5"/>
    </row>
    <row r="11448" spans="1:1" x14ac:dyDescent="0.25">
      <c r="A11448" s="5"/>
    </row>
    <row r="11449" spans="1:1" x14ac:dyDescent="0.25">
      <c r="A11449" s="5"/>
    </row>
    <row r="11450" spans="1:1" x14ac:dyDescent="0.25">
      <c r="A11450" s="5"/>
    </row>
    <row r="11451" spans="1:1" x14ac:dyDescent="0.25">
      <c r="A11451" s="5"/>
    </row>
    <row r="11452" spans="1:1" x14ac:dyDescent="0.25">
      <c r="A11452" s="5"/>
    </row>
    <row r="11453" spans="1:1" x14ac:dyDescent="0.25">
      <c r="A11453" s="5"/>
    </row>
    <row r="11454" spans="1:1" x14ac:dyDescent="0.25">
      <c r="A11454" s="5"/>
    </row>
    <row r="11455" spans="1:1" x14ac:dyDescent="0.25">
      <c r="A11455" s="5"/>
    </row>
    <row r="11456" spans="1:1" x14ac:dyDescent="0.25">
      <c r="A11456" s="5"/>
    </row>
    <row r="11457" spans="1:1" x14ac:dyDescent="0.25">
      <c r="A11457" s="5"/>
    </row>
    <row r="11458" spans="1:1" x14ac:dyDescent="0.25">
      <c r="A11458" s="5"/>
    </row>
    <row r="11459" spans="1:1" x14ac:dyDescent="0.25">
      <c r="A11459" s="5"/>
    </row>
    <row r="11460" spans="1:1" x14ac:dyDescent="0.25">
      <c r="A11460" s="5"/>
    </row>
    <row r="11461" spans="1:1" x14ac:dyDescent="0.25">
      <c r="A11461" s="5"/>
    </row>
    <row r="11462" spans="1:1" x14ac:dyDescent="0.25">
      <c r="A11462" s="5"/>
    </row>
    <row r="11463" spans="1:1" x14ac:dyDescent="0.25">
      <c r="A11463" s="5"/>
    </row>
    <row r="11464" spans="1:1" x14ac:dyDescent="0.25">
      <c r="A11464" s="5"/>
    </row>
    <row r="11465" spans="1:1" x14ac:dyDescent="0.25">
      <c r="A11465" s="5"/>
    </row>
    <row r="11466" spans="1:1" x14ac:dyDescent="0.25">
      <c r="A11466" s="5"/>
    </row>
    <row r="11467" spans="1:1" x14ac:dyDescent="0.25">
      <c r="A11467" s="5"/>
    </row>
    <row r="11468" spans="1:1" x14ac:dyDescent="0.25">
      <c r="A11468" s="5"/>
    </row>
    <row r="11469" spans="1:1" x14ac:dyDescent="0.25">
      <c r="A11469" s="5"/>
    </row>
    <row r="11470" spans="1:1" x14ac:dyDescent="0.25">
      <c r="A11470" s="5"/>
    </row>
    <row r="11471" spans="1:1" x14ac:dyDescent="0.25">
      <c r="A11471" s="5"/>
    </row>
    <row r="11472" spans="1:1" x14ac:dyDescent="0.25">
      <c r="A11472" s="5"/>
    </row>
    <row r="11473" spans="1:1" x14ac:dyDescent="0.25">
      <c r="A11473" s="5"/>
    </row>
    <row r="11474" spans="1:1" x14ac:dyDescent="0.25">
      <c r="A11474" s="5"/>
    </row>
    <row r="11475" spans="1:1" x14ac:dyDescent="0.25">
      <c r="A11475" s="5"/>
    </row>
    <row r="11476" spans="1:1" x14ac:dyDescent="0.25">
      <c r="A11476" s="5"/>
    </row>
    <row r="11477" spans="1:1" x14ac:dyDescent="0.25">
      <c r="A11477" s="5"/>
    </row>
    <row r="11478" spans="1:1" x14ac:dyDescent="0.25">
      <c r="A11478" s="5"/>
    </row>
    <row r="11479" spans="1:1" x14ac:dyDescent="0.25">
      <c r="A11479" s="5"/>
    </row>
    <row r="11480" spans="1:1" x14ac:dyDescent="0.25">
      <c r="A11480" s="5"/>
    </row>
    <row r="11481" spans="1:1" x14ac:dyDescent="0.25">
      <c r="A11481" s="5"/>
    </row>
    <row r="11482" spans="1:1" x14ac:dyDescent="0.25">
      <c r="A11482" s="5"/>
    </row>
    <row r="11483" spans="1:1" x14ac:dyDescent="0.25">
      <c r="A11483" s="5"/>
    </row>
    <row r="11484" spans="1:1" x14ac:dyDescent="0.25">
      <c r="A11484" s="5"/>
    </row>
    <row r="11485" spans="1:1" x14ac:dyDescent="0.25">
      <c r="A11485" s="5"/>
    </row>
    <row r="11486" spans="1:1" x14ac:dyDescent="0.25">
      <c r="A11486" s="5"/>
    </row>
    <row r="11487" spans="1:1" x14ac:dyDescent="0.25">
      <c r="A11487" s="5"/>
    </row>
    <row r="11488" spans="1:1" x14ac:dyDescent="0.25">
      <c r="A11488" s="5"/>
    </row>
    <row r="11489" spans="1:1" x14ac:dyDescent="0.25">
      <c r="A11489" s="5"/>
    </row>
    <row r="11490" spans="1:1" x14ac:dyDescent="0.25">
      <c r="A11490" s="5"/>
    </row>
    <row r="11491" spans="1:1" x14ac:dyDescent="0.25">
      <c r="A11491" s="5"/>
    </row>
    <row r="11492" spans="1:1" x14ac:dyDescent="0.25">
      <c r="A11492" s="5"/>
    </row>
    <row r="11493" spans="1:1" x14ac:dyDescent="0.25">
      <c r="A11493" s="5"/>
    </row>
    <row r="11494" spans="1:1" x14ac:dyDescent="0.25">
      <c r="A11494" s="5"/>
    </row>
    <row r="11495" spans="1:1" x14ac:dyDescent="0.25">
      <c r="A11495" s="5"/>
    </row>
    <row r="11496" spans="1:1" x14ac:dyDescent="0.25">
      <c r="A11496" s="5"/>
    </row>
    <row r="11497" spans="1:1" x14ac:dyDescent="0.25">
      <c r="A11497" s="5"/>
    </row>
    <row r="11498" spans="1:1" x14ac:dyDescent="0.25">
      <c r="A11498" s="5"/>
    </row>
    <row r="11499" spans="1:1" x14ac:dyDescent="0.25">
      <c r="A11499" s="5"/>
    </row>
    <row r="11500" spans="1:1" x14ac:dyDescent="0.25">
      <c r="A11500" s="5"/>
    </row>
    <row r="11501" spans="1:1" x14ac:dyDescent="0.25">
      <c r="A11501" s="5"/>
    </row>
    <row r="11502" spans="1:1" x14ac:dyDescent="0.25">
      <c r="A11502" s="5"/>
    </row>
    <row r="11503" spans="1:1" x14ac:dyDescent="0.25">
      <c r="A11503" s="5"/>
    </row>
    <row r="11504" spans="1:1" x14ac:dyDescent="0.25">
      <c r="A11504" s="5"/>
    </row>
    <row r="11505" spans="1:1" x14ac:dyDescent="0.25">
      <c r="A11505" s="5"/>
    </row>
    <row r="11506" spans="1:1" x14ac:dyDescent="0.25">
      <c r="A11506" s="5"/>
    </row>
    <row r="11507" spans="1:1" x14ac:dyDescent="0.25">
      <c r="A11507" s="5"/>
    </row>
    <row r="11508" spans="1:1" x14ac:dyDescent="0.25">
      <c r="A11508" s="5"/>
    </row>
    <row r="11509" spans="1:1" x14ac:dyDescent="0.25">
      <c r="A11509" s="5"/>
    </row>
    <row r="11510" spans="1:1" x14ac:dyDescent="0.25">
      <c r="A11510" s="5"/>
    </row>
    <row r="11511" spans="1:1" x14ac:dyDescent="0.25">
      <c r="A11511" s="5"/>
    </row>
    <row r="11512" spans="1:1" x14ac:dyDescent="0.25">
      <c r="A11512" s="5"/>
    </row>
    <row r="11513" spans="1:1" x14ac:dyDescent="0.25">
      <c r="A11513" s="5"/>
    </row>
    <row r="11514" spans="1:1" x14ac:dyDescent="0.25">
      <c r="A11514" s="5"/>
    </row>
    <row r="11515" spans="1:1" x14ac:dyDescent="0.25">
      <c r="A11515" s="5"/>
    </row>
    <row r="11516" spans="1:1" x14ac:dyDescent="0.25">
      <c r="A11516" s="5"/>
    </row>
    <row r="11517" spans="1:1" x14ac:dyDescent="0.25">
      <c r="A11517" s="5"/>
    </row>
    <row r="11518" spans="1:1" x14ac:dyDescent="0.25">
      <c r="A11518" s="5"/>
    </row>
    <row r="11519" spans="1:1" x14ac:dyDescent="0.25">
      <c r="A11519" s="5"/>
    </row>
    <row r="11520" spans="1:1" x14ac:dyDescent="0.25">
      <c r="A11520" s="5"/>
    </row>
    <row r="11521" spans="1:1" x14ac:dyDescent="0.25">
      <c r="A11521" s="5"/>
    </row>
    <row r="11522" spans="1:1" x14ac:dyDescent="0.25">
      <c r="A11522" s="5"/>
    </row>
    <row r="11523" spans="1:1" x14ac:dyDescent="0.25">
      <c r="A11523" s="5"/>
    </row>
    <row r="11524" spans="1:1" x14ac:dyDescent="0.25">
      <c r="A11524" s="5"/>
    </row>
    <row r="11525" spans="1:1" x14ac:dyDescent="0.25">
      <c r="A11525" s="5"/>
    </row>
    <row r="11526" spans="1:1" x14ac:dyDescent="0.25">
      <c r="A11526" s="5"/>
    </row>
    <row r="11527" spans="1:1" x14ac:dyDescent="0.25">
      <c r="A11527" s="5"/>
    </row>
    <row r="11528" spans="1:1" x14ac:dyDescent="0.25">
      <c r="A11528" s="5"/>
    </row>
    <row r="11529" spans="1:1" x14ac:dyDescent="0.25">
      <c r="A11529" s="5"/>
    </row>
    <row r="11530" spans="1:1" x14ac:dyDescent="0.25">
      <c r="A11530" s="5"/>
    </row>
    <row r="11531" spans="1:1" x14ac:dyDescent="0.25">
      <c r="A11531" s="5"/>
    </row>
    <row r="11532" spans="1:1" x14ac:dyDescent="0.25">
      <c r="A11532" s="5"/>
    </row>
    <row r="11533" spans="1:1" x14ac:dyDescent="0.25">
      <c r="A11533" s="5"/>
    </row>
    <row r="11534" spans="1:1" x14ac:dyDescent="0.25">
      <c r="A11534" s="5"/>
    </row>
    <row r="11535" spans="1:1" x14ac:dyDescent="0.25">
      <c r="A11535" s="5"/>
    </row>
    <row r="11536" spans="1:1" x14ac:dyDescent="0.25">
      <c r="A11536" s="5"/>
    </row>
    <row r="11537" spans="1:1" x14ac:dyDescent="0.25">
      <c r="A11537" s="5"/>
    </row>
    <row r="11538" spans="1:1" x14ac:dyDescent="0.25">
      <c r="A11538" s="5"/>
    </row>
    <row r="11539" spans="1:1" x14ac:dyDescent="0.25">
      <c r="A11539" s="5"/>
    </row>
    <row r="11540" spans="1:1" x14ac:dyDescent="0.25">
      <c r="A11540" s="5"/>
    </row>
    <row r="11541" spans="1:1" x14ac:dyDescent="0.25">
      <c r="A11541" s="5"/>
    </row>
    <row r="11542" spans="1:1" x14ac:dyDescent="0.25">
      <c r="A11542" s="5"/>
    </row>
    <row r="11543" spans="1:1" x14ac:dyDescent="0.25">
      <c r="A11543" s="5"/>
    </row>
    <row r="11544" spans="1:1" x14ac:dyDescent="0.25">
      <c r="A11544" s="5"/>
    </row>
    <row r="11545" spans="1:1" x14ac:dyDescent="0.25">
      <c r="A11545" s="5"/>
    </row>
    <row r="11546" spans="1:1" x14ac:dyDescent="0.25">
      <c r="A11546" s="5"/>
    </row>
    <row r="11547" spans="1:1" x14ac:dyDescent="0.25">
      <c r="A11547" s="5"/>
    </row>
    <row r="11548" spans="1:1" x14ac:dyDescent="0.25">
      <c r="A11548" s="5"/>
    </row>
    <row r="11549" spans="1:1" x14ac:dyDescent="0.25">
      <c r="A11549" s="5"/>
    </row>
    <row r="11550" spans="1:1" x14ac:dyDescent="0.25">
      <c r="A11550" s="5"/>
    </row>
    <row r="11551" spans="1:1" x14ac:dyDescent="0.25">
      <c r="A11551" s="5"/>
    </row>
    <row r="11552" spans="1:1" x14ac:dyDescent="0.25">
      <c r="A11552" s="5"/>
    </row>
    <row r="11553" spans="1:1" x14ac:dyDescent="0.25">
      <c r="A11553" s="5"/>
    </row>
    <row r="11554" spans="1:1" x14ac:dyDescent="0.25">
      <c r="A11554" s="5"/>
    </row>
    <row r="11555" spans="1:1" x14ac:dyDescent="0.25">
      <c r="A11555" s="5"/>
    </row>
    <row r="11556" spans="1:1" x14ac:dyDescent="0.25">
      <c r="A11556" s="5"/>
    </row>
    <row r="11557" spans="1:1" x14ac:dyDescent="0.25">
      <c r="A11557" s="5"/>
    </row>
    <row r="11558" spans="1:1" x14ac:dyDescent="0.25">
      <c r="A11558" s="5"/>
    </row>
    <row r="11559" spans="1:1" x14ac:dyDescent="0.25">
      <c r="A11559" s="5"/>
    </row>
    <row r="11560" spans="1:1" x14ac:dyDescent="0.25">
      <c r="A11560" s="5"/>
    </row>
    <row r="11561" spans="1:1" x14ac:dyDescent="0.25">
      <c r="A11561" s="5"/>
    </row>
    <row r="11562" spans="1:1" x14ac:dyDescent="0.25">
      <c r="A11562" s="5"/>
    </row>
    <row r="11563" spans="1:1" x14ac:dyDescent="0.25">
      <c r="A11563" s="5"/>
    </row>
    <row r="11564" spans="1:1" x14ac:dyDescent="0.25">
      <c r="A11564" s="5"/>
    </row>
    <row r="11565" spans="1:1" x14ac:dyDescent="0.25">
      <c r="A11565" s="5"/>
    </row>
    <row r="11566" spans="1:1" x14ac:dyDescent="0.25">
      <c r="A11566" s="5"/>
    </row>
    <row r="11567" spans="1:1" x14ac:dyDescent="0.25">
      <c r="A11567" s="5"/>
    </row>
    <row r="11568" spans="1:1" x14ac:dyDescent="0.25">
      <c r="A11568" s="5"/>
    </row>
    <row r="11569" spans="1:1" x14ac:dyDescent="0.25">
      <c r="A11569" s="5"/>
    </row>
    <row r="11570" spans="1:1" x14ac:dyDescent="0.25">
      <c r="A11570" s="5"/>
    </row>
    <row r="11571" spans="1:1" x14ac:dyDescent="0.25">
      <c r="A11571" s="5"/>
    </row>
    <row r="11572" spans="1:1" x14ac:dyDescent="0.25">
      <c r="A11572" s="5"/>
    </row>
    <row r="11573" spans="1:1" x14ac:dyDescent="0.25">
      <c r="A11573" s="5"/>
    </row>
    <row r="11574" spans="1:1" x14ac:dyDescent="0.25">
      <c r="A11574" s="5"/>
    </row>
    <row r="11575" spans="1:1" x14ac:dyDescent="0.25">
      <c r="A11575" s="5"/>
    </row>
    <row r="11576" spans="1:1" x14ac:dyDescent="0.25">
      <c r="A11576" s="5"/>
    </row>
    <row r="11577" spans="1:1" x14ac:dyDescent="0.25">
      <c r="A11577" s="5"/>
    </row>
    <row r="11578" spans="1:1" x14ac:dyDescent="0.25">
      <c r="A11578" s="5"/>
    </row>
    <row r="11579" spans="1:1" x14ac:dyDescent="0.25">
      <c r="A11579" s="5"/>
    </row>
    <row r="11580" spans="1:1" x14ac:dyDescent="0.25">
      <c r="A11580" s="5"/>
    </row>
    <row r="11581" spans="1:1" x14ac:dyDescent="0.25">
      <c r="A11581" s="5"/>
    </row>
    <row r="11582" spans="1:1" x14ac:dyDescent="0.25">
      <c r="A11582" s="5"/>
    </row>
    <row r="11583" spans="1:1" x14ac:dyDescent="0.25">
      <c r="A11583" s="5"/>
    </row>
    <row r="11584" spans="1:1" x14ac:dyDescent="0.25">
      <c r="A11584" s="5"/>
    </row>
    <row r="11585" spans="1:1" x14ac:dyDescent="0.25">
      <c r="A11585" s="5"/>
    </row>
    <row r="11586" spans="1:1" x14ac:dyDescent="0.25">
      <c r="A11586" s="5"/>
    </row>
    <row r="11587" spans="1:1" x14ac:dyDescent="0.25">
      <c r="A11587" s="5"/>
    </row>
    <row r="11588" spans="1:1" x14ac:dyDescent="0.25">
      <c r="A11588" s="5"/>
    </row>
    <row r="11589" spans="1:1" x14ac:dyDescent="0.25">
      <c r="A11589" s="5"/>
    </row>
    <row r="11590" spans="1:1" x14ac:dyDescent="0.25">
      <c r="A11590" s="5"/>
    </row>
    <row r="11591" spans="1:1" x14ac:dyDescent="0.25">
      <c r="A11591" s="5"/>
    </row>
    <row r="11592" spans="1:1" x14ac:dyDescent="0.25">
      <c r="A11592" s="5"/>
    </row>
    <row r="11593" spans="1:1" x14ac:dyDescent="0.25">
      <c r="A11593" s="5"/>
    </row>
    <row r="11594" spans="1:1" x14ac:dyDescent="0.25">
      <c r="A11594" s="5"/>
    </row>
    <row r="11595" spans="1:1" x14ac:dyDescent="0.25">
      <c r="A11595" s="5"/>
    </row>
    <row r="11596" spans="1:1" x14ac:dyDescent="0.25">
      <c r="A11596" s="5"/>
    </row>
    <row r="11597" spans="1:1" x14ac:dyDescent="0.25">
      <c r="A11597" s="5"/>
    </row>
    <row r="11598" spans="1:1" x14ac:dyDescent="0.25">
      <c r="A11598" s="5"/>
    </row>
    <row r="11599" spans="1:1" x14ac:dyDescent="0.25">
      <c r="A11599" s="5"/>
    </row>
    <row r="11600" spans="1:1" x14ac:dyDescent="0.25">
      <c r="A11600" s="5"/>
    </row>
    <row r="11601" spans="1:1" x14ac:dyDescent="0.25">
      <c r="A11601" s="5"/>
    </row>
    <row r="11602" spans="1:1" x14ac:dyDescent="0.25">
      <c r="A11602" s="5"/>
    </row>
    <row r="11603" spans="1:1" x14ac:dyDescent="0.25">
      <c r="A11603" s="5"/>
    </row>
    <row r="11604" spans="1:1" x14ac:dyDescent="0.25">
      <c r="A11604" s="5"/>
    </row>
    <row r="11605" spans="1:1" x14ac:dyDescent="0.25">
      <c r="A11605" s="5"/>
    </row>
    <row r="11606" spans="1:1" x14ac:dyDescent="0.25">
      <c r="A11606" s="5"/>
    </row>
    <row r="11607" spans="1:1" x14ac:dyDescent="0.25">
      <c r="A11607" s="5"/>
    </row>
    <row r="11608" spans="1:1" x14ac:dyDescent="0.25">
      <c r="A11608" s="5"/>
    </row>
    <row r="11609" spans="1:1" x14ac:dyDescent="0.25">
      <c r="A11609" s="5"/>
    </row>
    <row r="11610" spans="1:1" x14ac:dyDescent="0.25">
      <c r="A11610" s="5"/>
    </row>
    <row r="11611" spans="1:1" x14ac:dyDescent="0.25">
      <c r="A11611" s="5"/>
    </row>
    <row r="11612" spans="1:1" x14ac:dyDescent="0.25">
      <c r="A11612" s="5"/>
    </row>
    <row r="11613" spans="1:1" x14ac:dyDescent="0.25">
      <c r="A11613" s="5"/>
    </row>
    <row r="11614" spans="1:1" x14ac:dyDescent="0.25">
      <c r="A11614" s="5"/>
    </row>
    <row r="11615" spans="1:1" x14ac:dyDescent="0.25">
      <c r="A11615" s="5"/>
    </row>
    <row r="11616" spans="1:1" x14ac:dyDescent="0.25">
      <c r="A11616" s="5"/>
    </row>
    <row r="11617" spans="1:1" x14ac:dyDescent="0.25">
      <c r="A11617" s="5"/>
    </row>
    <row r="11618" spans="1:1" x14ac:dyDescent="0.25">
      <c r="A11618" s="5"/>
    </row>
    <row r="11619" spans="1:1" x14ac:dyDescent="0.25">
      <c r="A11619" s="5"/>
    </row>
    <row r="11620" spans="1:1" x14ac:dyDescent="0.25">
      <c r="A11620" s="5"/>
    </row>
    <row r="11621" spans="1:1" x14ac:dyDescent="0.25">
      <c r="A11621" s="5"/>
    </row>
    <row r="11622" spans="1:1" x14ac:dyDescent="0.25">
      <c r="A11622" s="5"/>
    </row>
    <row r="11623" spans="1:1" x14ac:dyDescent="0.25">
      <c r="A11623" s="5"/>
    </row>
    <row r="11624" spans="1:1" x14ac:dyDescent="0.25">
      <c r="A11624" s="5"/>
    </row>
    <row r="11625" spans="1:1" x14ac:dyDescent="0.25">
      <c r="A11625" s="5"/>
    </row>
    <row r="11626" spans="1:1" x14ac:dyDescent="0.25">
      <c r="A11626" s="5"/>
    </row>
    <row r="11627" spans="1:1" x14ac:dyDescent="0.25">
      <c r="A11627" s="5"/>
    </row>
    <row r="11628" spans="1:1" x14ac:dyDescent="0.25">
      <c r="A11628" s="5"/>
    </row>
    <row r="11629" spans="1:1" x14ac:dyDescent="0.25">
      <c r="A11629" s="5"/>
    </row>
    <row r="11630" spans="1:1" x14ac:dyDescent="0.25">
      <c r="A11630" s="5"/>
    </row>
    <row r="11631" spans="1:1" x14ac:dyDescent="0.25">
      <c r="A11631" s="5"/>
    </row>
    <row r="11632" spans="1:1" x14ac:dyDescent="0.25">
      <c r="A11632" s="5"/>
    </row>
    <row r="11633" spans="1:1" x14ac:dyDescent="0.25">
      <c r="A11633" s="5"/>
    </row>
    <row r="11634" spans="1:1" x14ac:dyDescent="0.25">
      <c r="A11634" s="5"/>
    </row>
    <row r="11635" spans="1:1" x14ac:dyDescent="0.25">
      <c r="A11635" s="5"/>
    </row>
    <row r="11636" spans="1:1" x14ac:dyDescent="0.25">
      <c r="A11636" s="5"/>
    </row>
    <row r="11637" spans="1:1" x14ac:dyDescent="0.25">
      <c r="A11637" s="5"/>
    </row>
    <row r="11638" spans="1:1" x14ac:dyDescent="0.25">
      <c r="A11638" s="5"/>
    </row>
    <row r="11639" spans="1:1" x14ac:dyDescent="0.25">
      <c r="A11639" s="5"/>
    </row>
    <row r="11640" spans="1:1" x14ac:dyDescent="0.25">
      <c r="A11640" s="5"/>
    </row>
    <row r="11641" spans="1:1" x14ac:dyDescent="0.25">
      <c r="A11641" s="5"/>
    </row>
    <row r="11642" spans="1:1" x14ac:dyDescent="0.25">
      <c r="A11642" s="5"/>
    </row>
    <row r="11643" spans="1:1" x14ac:dyDescent="0.25">
      <c r="A11643" s="5"/>
    </row>
    <row r="11644" spans="1:1" x14ac:dyDescent="0.25">
      <c r="A11644" s="5"/>
    </row>
    <row r="11645" spans="1:1" x14ac:dyDescent="0.25">
      <c r="A11645" s="5"/>
    </row>
    <row r="11646" spans="1:1" x14ac:dyDescent="0.25">
      <c r="A11646" s="5"/>
    </row>
    <row r="11647" spans="1:1" x14ac:dyDescent="0.25">
      <c r="A11647" s="5"/>
    </row>
    <row r="11648" spans="1:1" x14ac:dyDescent="0.25">
      <c r="A11648" s="5"/>
    </row>
    <row r="11649" spans="1:1" x14ac:dyDescent="0.25">
      <c r="A11649" s="5"/>
    </row>
    <row r="11650" spans="1:1" x14ac:dyDescent="0.25">
      <c r="A11650" s="5"/>
    </row>
    <row r="11651" spans="1:1" x14ac:dyDescent="0.25">
      <c r="A11651" s="5"/>
    </row>
    <row r="11652" spans="1:1" x14ac:dyDescent="0.25">
      <c r="A11652" s="5"/>
    </row>
    <row r="11653" spans="1:1" x14ac:dyDescent="0.25">
      <c r="A11653" s="5"/>
    </row>
    <row r="11654" spans="1:1" x14ac:dyDescent="0.25">
      <c r="A11654" s="5"/>
    </row>
    <row r="11655" spans="1:1" x14ac:dyDescent="0.25">
      <c r="A11655" s="5"/>
    </row>
    <row r="11656" spans="1:1" x14ac:dyDescent="0.25">
      <c r="A11656" s="5"/>
    </row>
    <row r="11657" spans="1:1" x14ac:dyDescent="0.25">
      <c r="A11657" s="5"/>
    </row>
    <row r="11658" spans="1:1" x14ac:dyDescent="0.25">
      <c r="A11658" s="5"/>
    </row>
    <row r="11659" spans="1:1" x14ac:dyDescent="0.25">
      <c r="A11659" s="5"/>
    </row>
    <row r="11660" spans="1:1" x14ac:dyDescent="0.25">
      <c r="A11660" s="5"/>
    </row>
    <row r="11661" spans="1:1" x14ac:dyDescent="0.25">
      <c r="A11661" s="5"/>
    </row>
    <row r="11662" spans="1:1" x14ac:dyDescent="0.25">
      <c r="A11662" s="5"/>
    </row>
    <row r="11663" spans="1:1" x14ac:dyDescent="0.25">
      <c r="A11663" s="5"/>
    </row>
    <row r="11664" spans="1:1" x14ac:dyDescent="0.25">
      <c r="A11664" s="5"/>
    </row>
    <row r="11665" spans="1:1" x14ac:dyDescent="0.25">
      <c r="A11665" s="5"/>
    </row>
    <row r="11666" spans="1:1" x14ac:dyDescent="0.25">
      <c r="A11666" s="5"/>
    </row>
    <row r="11667" spans="1:1" x14ac:dyDescent="0.25">
      <c r="A11667" s="5"/>
    </row>
    <row r="11668" spans="1:1" x14ac:dyDescent="0.25">
      <c r="A11668" s="5"/>
    </row>
    <row r="11669" spans="1:1" x14ac:dyDescent="0.25">
      <c r="A11669" s="5"/>
    </row>
    <row r="11670" spans="1:1" x14ac:dyDescent="0.25">
      <c r="A11670" s="5"/>
    </row>
    <row r="11671" spans="1:1" x14ac:dyDescent="0.25">
      <c r="A11671" s="5"/>
    </row>
    <row r="11672" spans="1:1" x14ac:dyDescent="0.25">
      <c r="A11672" s="5"/>
    </row>
    <row r="11673" spans="1:1" x14ac:dyDescent="0.25">
      <c r="A11673" s="5"/>
    </row>
    <row r="11674" spans="1:1" x14ac:dyDescent="0.25">
      <c r="A11674" s="5"/>
    </row>
    <row r="11675" spans="1:1" x14ac:dyDescent="0.25">
      <c r="A11675" s="5"/>
    </row>
    <row r="11676" spans="1:1" x14ac:dyDescent="0.25">
      <c r="A11676" s="5"/>
    </row>
    <row r="11677" spans="1:1" x14ac:dyDescent="0.25">
      <c r="A11677" s="5"/>
    </row>
    <row r="11678" spans="1:1" x14ac:dyDescent="0.25">
      <c r="A11678" s="5"/>
    </row>
    <row r="11679" spans="1:1" x14ac:dyDescent="0.25">
      <c r="A11679" s="5"/>
    </row>
    <row r="11680" spans="1:1" x14ac:dyDescent="0.25">
      <c r="A11680" s="5"/>
    </row>
    <row r="11681" spans="1:1" x14ac:dyDescent="0.25">
      <c r="A11681" s="5"/>
    </row>
    <row r="11682" spans="1:1" x14ac:dyDescent="0.25">
      <c r="A11682" s="5"/>
    </row>
    <row r="11683" spans="1:1" x14ac:dyDescent="0.25">
      <c r="A11683" s="5"/>
    </row>
    <row r="11684" spans="1:1" x14ac:dyDescent="0.25">
      <c r="A11684" s="5"/>
    </row>
    <row r="11685" spans="1:1" x14ac:dyDescent="0.25">
      <c r="A11685" s="5"/>
    </row>
    <row r="11686" spans="1:1" x14ac:dyDescent="0.25">
      <c r="A11686" s="5"/>
    </row>
    <row r="11687" spans="1:1" x14ac:dyDescent="0.25">
      <c r="A11687" s="5"/>
    </row>
    <row r="11688" spans="1:1" x14ac:dyDescent="0.25">
      <c r="A11688" s="5"/>
    </row>
    <row r="11689" spans="1:1" x14ac:dyDescent="0.25">
      <c r="A11689" s="5"/>
    </row>
    <row r="11690" spans="1:1" x14ac:dyDescent="0.25">
      <c r="A11690" s="5"/>
    </row>
    <row r="11691" spans="1:1" x14ac:dyDescent="0.25">
      <c r="A11691" s="5"/>
    </row>
    <row r="11692" spans="1:1" x14ac:dyDescent="0.25">
      <c r="A11692" s="5"/>
    </row>
    <row r="11693" spans="1:1" x14ac:dyDescent="0.25">
      <c r="A11693" s="5"/>
    </row>
    <row r="11694" spans="1:1" x14ac:dyDescent="0.25">
      <c r="A11694" s="5"/>
    </row>
    <row r="11695" spans="1:1" x14ac:dyDescent="0.25">
      <c r="A11695" s="5"/>
    </row>
    <row r="11696" spans="1:1" x14ac:dyDescent="0.25">
      <c r="A11696" s="5"/>
    </row>
    <row r="11697" spans="1:1" x14ac:dyDescent="0.25">
      <c r="A11697" s="5"/>
    </row>
    <row r="11698" spans="1:1" x14ac:dyDescent="0.25">
      <c r="A11698" s="5"/>
    </row>
    <row r="11699" spans="1:1" x14ac:dyDescent="0.25">
      <c r="A11699" s="5"/>
    </row>
    <row r="11700" spans="1:1" x14ac:dyDescent="0.25">
      <c r="A11700" s="5"/>
    </row>
    <row r="11701" spans="1:1" x14ac:dyDescent="0.25">
      <c r="A11701" s="5"/>
    </row>
    <row r="11702" spans="1:1" x14ac:dyDescent="0.25">
      <c r="A11702" s="5"/>
    </row>
    <row r="11703" spans="1:1" x14ac:dyDescent="0.25">
      <c r="A11703" s="5"/>
    </row>
    <row r="11704" spans="1:1" x14ac:dyDescent="0.25">
      <c r="A11704" s="5"/>
    </row>
    <row r="11705" spans="1:1" x14ac:dyDescent="0.25">
      <c r="A11705" s="5"/>
    </row>
    <row r="11706" spans="1:1" x14ac:dyDescent="0.25">
      <c r="A11706" s="5"/>
    </row>
    <row r="11707" spans="1:1" x14ac:dyDescent="0.25">
      <c r="A11707" s="5"/>
    </row>
    <row r="11708" spans="1:1" x14ac:dyDescent="0.25">
      <c r="A11708" s="5"/>
    </row>
    <row r="11709" spans="1:1" x14ac:dyDescent="0.25">
      <c r="A11709" s="5"/>
    </row>
    <row r="11710" spans="1:1" x14ac:dyDescent="0.25">
      <c r="A11710" s="5"/>
    </row>
    <row r="11711" spans="1:1" x14ac:dyDescent="0.25">
      <c r="A11711" s="5"/>
    </row>
    <row r="11712" spans="1:1" x14ac:dyDescent="0.25">
      <c r="A11712" s="5"/>
    </row>
    <row r="11713" spans="1:1" x14ac:dyDescent="0.25">
      <c r="A11713" s="5"/>
    </row>
    <row r="11714" spans="1:1" x14ac:dyDescent="0.25">
      <c r="A11714" s="5"/>
    </row>
    <row r="11715" spans="1:1" x14ac:dyDescent="0.25">
      <c r="A11715" s="5"/>
    </row>
    <row r="11716" spans="1:1" x14ac:dyDescent="0.25">
      <c r="A11716" s="5"/>
    </row>
    <row r="11717" spans="1:1" x14ac:dyDescent="0.25">
      <c r="A11717" s="5"/>
    </row>
    <row r="11718" spans="1:1" x14ac:dyDescent="0.25">
      <c r="A11718" s="5"/>
    </row>
    <row r="11719" spans="1:1" x14ac:dyDescent="0.25">
      <c r="A11719" s="5"/>
    </row>
    <row r="11720" spans="1:1" x14ac:dyDescent="0.25">
      <c r="A11720" s="5"/>
    </row>
    <row r="11721" spans="1:1" x14ac:dyDescent="0.25">
      <c r="A11721" s="5"/>
    </row>
    <row r="11722" spans="1:1" x14ac:dyDescent="0.25">
      <c r="A11722" s="5"/>
    </row>
    <row r="11723" spans="1:1" x14ac:dyDescent="0.25">
      <c r="A11723" s="5"/>
    </row>
    <row r="11724" spans="1:1" x14ac:dyDescent="0.25">
      <c r="A11724" s="5"/>
    </row>
    <row r="11725" spans="1:1" x14ac:dyDescent="0.25">
      <c r="A11725" s="5"/>
    </row>
    <row r="11726" spans="1:1" x14ac:dyDescent="0.25">
      <c r="A11726" s="5"/>
    </row>
    <row r="11727" spans="1:1" x14ac:dyDescent="0.25">
      <c r="A11727" s="5"/>
    </row>
    <row r="11728" spans="1:1" x14ac:dyDescent="0.25">
      <c r="A11728" s="5"/>
    </row>
    <row r="11729" spans="1:1" x14ac:dyDescent="0.25">
      <c r="A11729" s="5"/>
    </row>
    <row r="11730" spans="1:1" x14ac:dyDescent="0.25">
      <c r="A11730" s="5"/>
    </row>
    <row r="11731" spans="1:1" x14ac:dyDescent="0.25">
      <c r="A11731" s="5"/>
    </row>
    <row r="11732" spans="1:1" x14ac:dyDescent="0.25">
      <c r="A11732" s="5"/>
    </row>
    <row r="11733" spans="1:1" x14ac:dyDescent="0.25">
      <c r="A11733" s="5"/>
    </row>
    <row r="11734" spans="1:1" x14ac:dyDescent="0.25">
      <c r="A11734" s="5"/>
    </row>
    <row r="11735" spans="1:1" x14ac:dyDescent="0.25">
      <c r="A11735" s="5"/>
    </row>
    <row r="11736" spans="1:1" x14ac:dyDescent="0.25">
      <c r="A11736" s="5"/>
    </row>
    <row r="11737" spans="1:1" x14ac:dyDescent="0.25">
      <c r="A11737" s="5"/>
    </row>
    <row r="11738" spans="1:1" x14ac:dyDescent="0.25">
      <c r="A11738" s="5"/>
    </row>
    <row r="11739" spans="1:1" x14ac:dyDescent="0.25">
      <c r="A11739" s="5"/>
    </row>
    <row r="11740" spans="1:1" x14ac:dyDescent="0.25">
      <c r="A11740" s="5"/>
    </row>
    <row r="11741" spans="1:1" x14ac:dyDescent="0.25">
      <c r="A11741" s="5"/>
    </row>
    <row r="11742" spans="1:1" x14ac:dyDescent="0.25">
      <c r="A11742" s="5"/>
    </row>
    <row r="11743" spans="1:1" x14ac:dyDescent="0.25">
      <c r="A11743" s="5"/>
    </row>
    <row r="11744" spans="1:1" x14ac:dyDescent="0.25">
      <c r="A11744" s="5"/>
    </row>
    <row r="11745" spans="1:1" x14ac:dyDescent="0.25">
      <c r="A11745" s="5"/>
    </row>
    <row r="11746" spans="1:1" x14ac:dyDescent="0.25">
      <c r="A11746" s="5"/>
    </row>
    <row r="11747" spans="1:1" x14ac:dyDescent="0.25">
      <c r="A11747" s="5"/>
    </row>
    <row r="11748" spans="1:1" x14ac:dyDescent="0.25">
      <c r="A11748" s="5"/>
    </row>
    <row r="11749" spans="1:1" x14ac:dyDescent="0.25">
      <c r="A11749" s="5"/>
    </row>
    <row r="11750" spans="1:1" x14ac:dyDescent="0.25">
      <c r="A11750" s="5"/>
    </row>
    <row r="11751" spans="1:1" x14ac:dyDescent="0.25">
      <c r="A11751" s="5"/>
    </row>
    <row r="11752" spans="1:1" x14ac:dyDescent="0.25">
      <c r="A11752" s="5"/>
    </row>
    <row r="11753" spans="1:1" x14ac:dyDescent="0.25">
      <c r="A11753" s="5"/>
    </row>
    <row r="11754" spans="1:1" x14ac:dyDescent="0.25">
      <c r="A11754" s="5"/>
    </row>
    <row r="11755" spans="1:1" x14ac:dyDescent="0.25">
      <c r="A11755" s="5"/>
    </row>
    <row r="11756" spans="1:1" x14ac:dyDescent="0.25">
      <c r="A11756" s="5"/>
    </row>
    <row r="11757" spans="1:1" x14ac:dyDescent="0.25">
      <c r="A11757" s="5"/>
    </row>
    <row r="11758" spans="1:1" x14ac:dyDescent="0.25">
      <c r="A11758" s="5"/>
    </row>
    <row r="11759" spans="1:1" x14ac:dyDescent="0.25">
      <c r="A11759" s="5"/>
    </row>
    <row r="11760" spans="1:1" x14ac:dyDescent="0.25">
      <c r="A11760" s="5"/>
    </row>
    <row r="11761" spans="1:1" x14ac:dyDescent="0.25">
      <c r="A11761" s="5"/>
    </row>
    <row r="11762" spans="1:1" x14ac:dyDescent="0.25">
      <c r="A11762" s="5"/>
    </row>
    <row r="11763" spans="1:1" x14ac:dyDescent="0.25">
      <c r="A11763" s="5"/>
    </row>
    <row r="11764" spans="1:1" x14ac:dyDescent="0.25">
      <c r="A11764" s="5"/>
    </row>
    <row r="11765" spans="1:1" x14ac:dyDescent="0.25">
      <c r="A11765" s="5"/>
    </row>
    <row r="11766" spans="1:1" x14ac:dyDescent="0.25">
      <c r="A11766" s="5"/>
    </row>
    <row r="11767" spans="1:1" x14ac:dyDescent="0.25">
      <c r="A11767" s="5"/>
    </row>
    <row r="11768" spans="1:1" x14ac:dyDescent="0.25">
      <c r="A11768" s="5"/>
    </row>
    <row r="11769" spans="1:1" x14ac:dyDescent="0.25">
      <c r="A11769" s="5"/>
    </row>
    <row r="11770" spans="1:1" x14ac:dyDescent="0.25">
      <c r="A11770" s="5"/>
    </row>
    <row r="11771" spans="1:1" x14ac:dyDescent="0.25">
      <c r="A11771" s="5"/>
    </row>
    <row r="11772" spans="1:1" x14ac:dyDescent="0.25">
      <c r="A11772" s="5"/>
    </row>
    <row r="11773" spans="1:1" x14ac:dyDescent="0.25">
      <c r="A11773" s="5"/>
    </row>
    <row r="11774" spans="1:1" x14ac:dyDescent="0.25">
      <c r="A11774" s="5"/>
    </row>
    <row r="11775" spans="1:1" x14ac:dyDescent="0.25">
      <c r="A11775" s="5"/>
    </row>
    <row r="11776" spans="1:1" x14ac:dyDescent="0.25">
      <c r="A11776" s="5"/>
    </row>
    <row r="11777" spans="1:1" x14ac:dyDescent="0.25">
      <c r="A11777" s="5"/>
    </row>
    <row r="11778" spans="1:1" x14ac:dyDescent="0.25">
      <c r="A11778" s="5"/>
    </row>
    <row r="11779" spans="1:1" x14ac:dyDescent="0.25">
      <c r="A11779" s="5"/>
    </row>
    <row r="11780" spans="1:1" x14ac:dyDescent="0.25">
      <c r="A11780" s="5"/>
    </row>
    <row r="11781" spans="1:1" x14ac:dyDescent="0.25">
      <c r="A11781" s="5"/>
    </row>
    <row r="11782" spans="1:1" x14ac:dyDescent="0.25">
      <c r="A11782" s="5"/>
    </row>
    <row r="11783" spans="1:1" x14ac:dyDescent="0.25">
      <c r="A11783" s="5"/>
    </row>
    <row r="11784" spans="1:1" x14ac:dyDescent="0.25">
      <c r="A11784" s="5"/>
    </row>
    <row r="11785" spans="1:1" x14ac:dyDescent="0.25">
      <c r="A11785" s="5"/>
    </row>
    <row r="11786" spans="1:1" x14ac:dyDescent="0.25">
      <c r="A11786" s="5"/>
    </row>
    <row r="11787" spans="1:1" x14ac:dyDescent="0.25">
      <c r="A11787" s="5"/>
    </row>
    <row r="11788" spans="1:1" x14ac:dyDescent="0.25">
      <c r="A11788" s="5"/>
    </row>
    <row r="11789" spans="1:1" x14ac:dyDescent="0.25">
      <c r="A11789" s="5"/>
    </row>
    <row r="11790" spans="1:1" x14ac:dyDescent="0.25">
      <c r="A11790" s="5"/>
    </row>
    <row r="11791" spans="1:1" x14ac:dyDescent="0.25">
      <c r="A11791" s="5"/>
    </row>
    <row r="11792" spans="1:1" x14ac:dyDescent="0.25">
      <c r="A11792" s="5"/>
    </row>
    <row r="11793" spans="1:1" x14ac:dyDescent="0.25">
      <c r="A11793" s="5"/>
    </row>
    <row r="11794" spans="1:1" x14ac:dyDescent="0.25">
      <c r="A11794" s="5"/>
    </row>
    <row r="11795" spans="1:1" x14ac:dyDescent="0.25">
      <c r="A11795" s="5"/>
    </row>
    <row r="11796" spans="1:1" x14ac:dyDescent="0.25">
      <c r="A11796" s="5"/>
    </row>
    <row r="11797" spans="1:1" x14ac:dyDescent="0.25">
      <c r="A11797" s="5"/>
    </row>
    <row r="11798" spans="1:1" x14ac:dyDescent="0.25">
      <c r="A11798" s="5"/>
    </row>
    <row r="11799" spans="1:1" x14ac:dyDescent="0.25">
      <c r="A11799" s="5"/>
    </row>
    <row r="11800" spans="1:1" x14ac:dyDescent="0.25">
      <c r="A11800" s="5"/>
    </row>
    <row r="11801" spans="1:1" x14ac:dyDescent="0.25">
      <c r="A11801" s="5"/>
    </row>
    <row r="11802" spans="1:1" x14ac:dyDescent="0.25">
      <c r="A11802" s="5"/>
    </row>
    <row r="11803" spans="1:1" x14ac:dyDescent="0.25">
      <c r="A11803" s="5"/>
    </row>
    <row r="11804" spans="1:1" x14ac:dyDescent="0.25">
      <c r="A11804" s="5"/>
    </row>
    <row r="11805" spans="1:1" x14ac:dyDescent="0.25">
      <c r="A11805" s="5"/>
    </row>
    <row r="11806" spans="1:1" x14ac:dyDescent="0.25">
      <c r="A11806" s="5"/>
    </row>
    <row r="11807" spans="1:1" x14ac:dyDescent="0.25">
      <c r="A11807" s="5"/>
    </row>
    <row r="11808" spans="1:1" x14ac:dyDescent="0.25">
      <c r="A11808" s="5"/>
    </row>
    <row r="11809" spans="1:1" x14ac:dyDescent="0.25">
      <c r="A11809" s="5"/>
    </row>
    <row r="11810" spans="1:1" x14ac:dyDescent="0.25">
      <c r="A11810" s="5"/>
    </row>
    <row r="11811" spans="1:1" x14ac:dyDescent="0.25">
      <c r="A11811" s="5"/>
    </row>
    <row r="11812" spans="1:1" x14ac:dyDescent="0.25">
      <c r="A11812" s="5"/>
    </row>
    <row r="11813" spans="1:1" x14ac:dyDescent="0.25">
      <c r="A11813" s="5"/>
    </row>
    <row r="11814" spans="1:1" x14ac:dyDescent="0.25">
      <c r="A11814" s="5"/>
    </row>
    <row r="11815" spans="1:1" x14ac:dyDescent="0.25">
      <c r="A11815" s="5"/>
    </row>
    <row r="11816" spans="1:1" x14ac:dyDescent="0.25">
      <c r="A11816" s="5"/>
    </row>
    <row r="11817" spans="1:1" x14ac:dyDescent="0.25">
      <c r="A11817" s="5"/>
    </row>
    <row r="11818" spans="1:1" x14ac:dyDescent="0.25">
      <c r="A11818" s="5"/>
    </row>
    <row r="11819" spans="1:1" x14ac:dyDescent="0.25">
      <c r="A11819" s="5"/>
    </row>
    <row r="11820" spans="1:1" x14ac:dyDescent="0.25">
      <c r="A11820" s="5"/>
    </row>
    <row r="11821" spans="1:1" x14ac:dyDescent="0.25">
      <c r="A11821" s="5"/>
    </row>
    <row r="11822" spans="1:1" x14ac:dyDescent="0.25">
      <c r="A11822" s="5"/>
    </row>
    <row r="11823" spans="1:1" x14ac:dyDescent="0.25">
      <c r="A11823" s="5"/>
    </row>
    <row r="11824" spans="1:1" x14ac:dyDescent="0.25">
      <c r="A11824" s="5"/>
    </row>
    <row r="11825" spans="1:1" x14ac:dyDescent="0.25">
      <c r="A11825" s="5"/>
    </row>
    <row r="11826" spans="1:1" x14ac:dyDescent="0.25">
      <c r="A11826" s="5"/>
    </row>
    <row r="11827" spans="1:1" x14ac:dyDescent="0.25">
      <c r="A11827" s="5"/>
    </row>
    <row r="11828" spans="1:1" x14ac:dyDescent="0.25">
      <c r="A11828" s="5"/>
    </row>
    <row r="11829" spans="1:1" x14ac:dyDescent="0.25">
      <c r="A11829" s="5"/>
    </row>
    <row r="11830" spans="1:1" x14ac:dyDescent="0.25">
      <c r="A11830" s="5"/>
    </row>
    <row r="11831" spans="1:1" x14ac:dyDescent="0.25">
      <c r="A11831" s="5"/>
    </row>
    <row r="11832" spans="1:1" x14ac:dyDescent="0.25">
      <c r="A11832" s="5"/>
    </row>
    <row r="11833" spans="1:1" x14ac:dyDescent="0.25">
      <c r="A11833" s="5"/>
    </row>
    <row r="11834" spans="1:1" x14ac:dyDescent="0.25">
      <c r="A11834" s="5"/>
    </row>
    <row r="11835" spans="1:1" x14ac:dyDescent="0.25">
      <c r="A11835" s="5"/>
    </row>
    <row r="11836" spans="1:1" x14ac:dyDescent="0.25">
      <c r="A11836" s="5"/>
    </row>
    <row r="11837" spans="1:1" x14ac:dyDescent="0.25">
      <c r="A11837" s="5"/>
    </row>
    <row r="11838" spans="1:1" x14ac:dyDescent="0.25">
      <c r="A11838" s="5"/>
    </row>
    <row r="11839" spans="1:1" x14ac:dyDescent="0.25">
      <c r="A11839" s="5"/>
    </row>
    <row r="11840" spans="1:1" x14ac:dyDescent="0.25">
      <c r="A11840" s="5"/>
    </row>
    <row r="11841" spans="1:1" x14ac:dyDescent="0.25">
      <c r="A11841" s="5"/>
    </row>
    <row r="11842" spans="1:1" x14ac:dyDescent="0.25">
      <c r="A11842" s="5"/>
    </row>
    <row r="11843" spans="1:1" x14ac:dyDescent="0.25">
      <c r="A11843" s="5"/>
    </row>
    <row r="11844" spans="1:1" x14ac:dyDescent="0.25">
      <c r="A11844" s="5"/>
    </row>
    <row r="11845" spans="1:1" x14ac:dyDescent="0.25">
      <c r="A11845" s="5"/>
    </row>
    <row r="11846" spans="1:1" x14ac:dyDescent="0.25">
      <c r="A11846" s="5"/>
    </row>
    <row r="11847" spans="1:1" x14ac:dyDescent="0.25">
      <c r="A11847" s="5"/>
    </row>
    <row r="11848" spans="1:1" x14ac:dyDescent="0.25">
      <c r="A11848" s="5"/>
    </row>
    <row r="11849" spans="1:1" x14ac:dyDescent="0.25">
      <c r="A11849" s="5"/>
    </row>
    <row r="11850" spans="1:1" x14ac:dyDescent="0.25">
      <c r="A11850" s="5"/>
    </row>
    <row r="11851" spans="1:1" x14ac:dyDescent="0.25">
      <c r="A11851" s="5"/>
    </row>
    <row r="11852" spans="1:1" x14ac:dyDescent="0.25">
      <c r="A11852" s="5"/>
    </row>
    <row r="11853" spans="1:1" x14ac:dyDescent="0.25">
      <c r="A11853" s="5"/>
    </row>
    <row r="11854" spans="1:1" x14ac:dyDescent="0.25">
      <c r="A11854" s="5"/>
    </row>
    <row r="11855" spans="1:1" x14ac:dyDescent="0.25">
      <c r="A11855" s="5"/>
    </row>
    <row r="11856" spans="1:1" x14ac:dyDescent="0.25">
      <c r="A11856" s="5"/>
    </row>
    <row r="11857" spans="1:1" x14ac:dyDescent="0.25">
      <c r="A11857" s="5"/>
    </row>
    <row r="11858" spans="1:1" x14ac:dyDescent="0.25">
      <c r="A11858" s="5"/>
    </row>
    <row r="11859" spans="1:1" x14ac:dyDescent="0.25">
      <c r="A11859" s="5"/>
    </row>
    <row r="11860" spans="1:1" x14ac:dyDescent="0.25">
      <c r="A11860" s="5"/>
    </row>
    <row r="11861" spans="1:1" x14ac:dyDescent="0.25">
      <c r="A11861" s="5"/>
    </row>
    <row r="11862" spans="1:1" x14ac:dyDescent="0.25">
      <c r="A11862" s="5"/>
    </row>
    <row r="11863" spans="1:1" x14ac:dyDescent="0.25">
      <c r="A11863" s="5"/>
    </row>
    <row r="11864" spans="1:1" x14ac:dyDescent="0.25">
      <c r="A11864" s="5"/>
    </row>
    <row r="11865" spans="1:1" x14ac:dyDescent="0.25">
      <c r="A11865" s="5"/>
    </row>
    <row r="11866" spans="1:1" x14ac:dyDescent="0.25">
      <c r="A11866" s="5"/>
    </row>
    <row r="11867" spans="1:1" x14ac:dyDescent="0.25">
      <c r="A11867" s="5"/>
    </row>
    <row r="11868" spans="1:1" x14ac:dyDescent="0.25">
      <c r="A11868" s="5"/>
    </row>
    <row r="11869" spans="1:1" x14ac:dyDescent="0.25">
      <c r="A11869" s="5"/>
    </row>
    <row r="11870" spans="1:1" x14ac:dyDescent="0.25">
      <c r="A11870" s="5"/>
    </row>
    <row r="11871" spans="1:1" x14ac:dyDescent="0.25">
      <c r="A11871" s="5"/>
    </row>
    <row r="11872" spans="1:1" x14ac:dyDescent="0.25">
      <c r="A11872" s="5"/>
    </row>
    <row r="11873" spans="1:1" x14ac:dyDescent="0.25">
      <c r="A11873" s="5"/>
    </row>
    <row r="11874" spans="1:1" x14ac:dyDescent="0.25">
      <c r="A11874" s="5"/>
    </row>
    <row r="11875" spans="1:1" x14ac:dyDescent="0.25">
      <c r="A11875" s="5"/>
    </row>
    <row r="11876" spans="1:1" x14ac:dyDescent="0.25">
      <c r="A11876" s="5"/>
    </row>
    <row r="11877" spans="1:1" x14ac:dyDescent="0.25">
      <c r="A11877" s="5"/>
    </row>
    <row r="11878" spans="1:1" x14ac:dyDescent="0.25">
      <c r="A11878" s="5"/>
    </row>
    <row r="11879" spans="1:1" x14ac:dyDescent="0.25">
      <c r="A11879" s="5"/>
    </row>
    <row r="11880" spans="1:1" x14ac:dyDescent="0.25">
      <c r="A11880" s="5"/>
    </row>
    <row r="11881" spans="1:1" x14ac:dyDescent="0.25">
      <c r="A11881" s="5"/>
    </row>
    <row r="11882" spans="1:1" x14ac:dyDescent="0.25">
      <c r="A11882" s="5"/>
    </row>
    <row r="11883" spans="1:1" x14ac:dyDescent="0.25">
      <c r="A11883" s="5"/>
    </row>
    <row r="11884" spans="1:1" x14ac:dyDescent="0.25">
      <c r="A11884" s="5"/>
    </row>
    <row r="11885" spans="1:1" x14ac:dyDescent="0.25">
      <c r="A11885" s="5"/>
    </row>
    <row r="11886" spans="1:1" x14ac:dyDescent="0.25">
      <c r="A11886" s="5"/>
    </row>
    <row r="11887" spans="1:1" x14ac:dyDescent="0.25">
      <c r="A11887" s="5"/>
    </row>
    <row r="11888" spans="1:1" x14ac:dyDescent="0.25">
      <c r="A11888" s="5"/>
    </row>
    <row r="11889" spans="1:1" x14ac:dyDescent="0.25">
      <c r="A11889" s="5"/>
    </row>
    <row r="11890" spans="1:1" x14ac:dyDescent="0.25">
      <c r="A11890" s="5"/>
    </row>
    <row r="11891" spans="1:1" x14ac:dyDescent="0.25">
      <c r="A11891" s="5"/>
    </row>
    <row r="11892" spans="1:1" x14ac:dyDescent="0.25">
      <c r="A11892" s="5"/>
    </row>
    <row r="11893" spans="1:1" x14ac:dyDescent="0.25">
      <c r="A11893" s="5"/>
    </row>
    <row r="11894" spans="1:1" x14ac:dyDescent="0.25">
      <c r="A11894" s="5"/>
    </row>
    <row r="11895" spans="1:1" x14ac:dyDescent="0.25">
      <c r="A11895" s="5"/>
    </row>
    <row r="11896" spans="1:1" x14ac:dyDescent="0.25">
      <c r="A11896" s="5"/>
    </row>
    <row r="11897" spans="1:1" x14ac:dyDescent="0.25">
      <c r="A11897" s="5"/>
    </row>
    <row r="11898" spans="1:1" x14ac:dyDescent="0.25">
      <c r="A11898" s="5"/>
    </row>
    <row r="11899" spans="1:1" x14ac:dyDescent="0.25">
      <c r="A11899" s="5"/>
    </row>
    <row r="11900" spans="1:1" x14ac:dyDescent="0.25">
      <c r="A11900" s="5"/>
    </row>
    <row r="11901" spans="1:1" x14ac:dyDescent="0.25">
      <c r="A11901" s="5"/>
    </row>
    <row r="11902" spans="1:1" x14ac:dyDescent="0.25">
      <c r="A11902" s="5"/>
    </row>
    <row r="11903" spans="1:1" x14ac:dyDescent="0.25">
      <c r="A11903" s="5"/>
    </row>
    <row r="11904" spans="1:1" x14ac:dyDescent="0.25">
      <c r="A11904" s="5"/>
    </row>
    <row r="11905" spans="1:1" x14ac:dyDescent="0.25">
      <c r="A11905" s="5"/>
    </row>
    <row r="11906" spans="1:1" x14ac:dyDescent="0.25">
      <c r="A11906" s="5"/>
    </row>
    <row r="11907" spans="1:1" x14ac:dyDescent="0.25">
      <c r="A11907" s="5"/>
    </row>
    <row r="11908" spans="1:1" x14ac:dyDescent="0.25">
      <c r="A11908" s="5"/>
    </row>
    <row r="11909" spans="1:1" x14ac:dyDescent="0.25">
      <c r="A11909" s="5"/>
    </row>
    <row r="11910" spans="1:1" x14ac:dyDescent="0.25">
      <c r="A11910" s="5"/>
    </row>
    <row r="11911" spans="1:1" x14ac:dyDescent="0.25">
      <c r="A11911" s="5"/>
    </row>
    <row r="11912" spans="1:1" x14ac:dyDescent="0.25">
      <c r="A11912" s="5"/>
    </row>
    <row r="11913" spans="1:1" x14ac:dyDescent="0.25">
      <c r="A11913" s="5"/>
    </row>
    <row r="11914" spans="1:1" x14ac:dyDescent="0.25">
      <c r="A11914" s="5"/>
    </row>
    <row r="11915" spans="1:1" x14ac:dyDescent="0.25">
      <c r="A11915" s="5"/>
    </row>
    <row r="11916" spans="1:1" x14ac:dyDescent="0.25">
      <c r="A11916" s="5"/>
    </row>
    <row r="11917" spans="1:1" x14ac:dyDescent="0.25">
      <c r="A11917" s="5"/>
    </row>
    <row r="11918" spans="1:1" x14ac:dyDescent="0.25">
      <c r="A11918" s="5"/>
    </row>
    <row r="11919" spans="1:1" x14ac:dyDescent="0.25">
      <c r="A11919" s="5"/>
    </row>
    <row r="11920" spans="1:1" x14ac:dyDescent="0.25">
      <c r="A11920" s="5"/>
    </row>
    <row r="11921" spans="1:1" x14ac:dyDescent="0.25">
      <c r="A11921" s="5"/>
    </row>
    <row r="11922" spans="1:1" x14ac:dyDescent="0.25">
      <c r="A11922" s="5"/>
    </row>
    <row r="11923" spans="1:1" x14ac:dyDescent="0.25">
      <c r="A11923" s="5"/>
    </row>
    <row r="11924" spans="1:1" x14ac:dyDescent="0.25">
      <c r="A11924" s="5"/>
    </row>
    <row r="11925" spans="1:1" x14ac:dyDescent="0.25">
      <c r="A11925" s="5"/>
    </row>
    <row r="11926" spans="1:1" x14ac:dyDescent="0.25">
      <c r="A11926" s="5"/>
    </row>
    <row r="11927" spans="1:1" x14ac:dyDescent="0.25">
      <c r="A11927" s="5"/>
    </row>
    <row r="11928" spans="1:1" x14ac:dyDescent="0.25">
      <c r="A11928" s="5"/>
    </row>
    <row r="11929" spans="1:1" x14ac:dyDescent="0.25">
      <c r="A11929" s="5"/>
    </row>
    <row r="11930" spans="1:1" x14ac:dyDescent="0.25">
      <c r="A11930" s="5"/>
    </row>
    <row r="11931" spans="1:1" x14ac:dyDescent="0.25">
      <c r="A11931" s="5"/>
    </row>
    <row r="11932" spans="1:1" x14ac:dyDescent="0.25">
      <c r="A11932" s="5"/>
    </row>
    <row r="11933" spans="1:1" x14ac:dyDescent="0.25">
      <c r="A11933" s="5"/>
    </row>
    <row r="11934" spans="1:1" x14ac:dyDescent="0.25">
      <c r="A11934" s="5"/>
    </row>
    <row r="11935" spans="1:1" x14ac:dyDescent="0.25">
      <c r="A11935" s="5"/>
    </row>
    <row r="11936" spans="1:1" x14ac:dyDescent="0.25">
      <c r="A11936" s="5"/>
    </row>
    <row r="11937" spans="1:1" x14ac:dyDescent="0.25">
      <c r="A11937" s="5"/>
    </row>
    <row r="11938" spans="1:1" x14ac:dyDescent="0.25">
      <c r="A11938" s="5"/>
    </row>
    <row r="11939" spans="1:1" x14ac:dyDescent="0.25">
      <c r="A11939" s="5"/>
    </row>
    <row r="11940" spans="1:1" x14ac:dyDescent="0.25">
      <c r="A11940" s="5"/>
    </row>
    <row r="11941" spans="1:1" x14ac:dyDescent="0.25">
      <c r="A11941" s="5"/>
    </row>
    <row r="11942" spans="1:1" x14ac:dyDescent="0.25">
      <c r="A11942" s="5"/>
    </row>
    <row r="11943" spans="1:1" x14ac:dyDescent="0.25">
      <c r="A11943" s="5"/>
    </row>
    <row r="11944" spans="1:1" x14ac:dyDescent="0.25">
      <c r="A11944" s="5"/>
    </row>
    <row r="11945" spans="1:1" x14ac:dyDescent="0.25">
      <c r="A11945" s="5"/>
    </row>
    <row r="11946" spans="1:1" x14ac:dyDescent="0.25">
      <c r="A11946" s="5"/>
    </row>
    <row r="11947" spans="1:1" x14ac:dyDescent="0.25">
      <c r="A11947" s="5"/>
    </row>
    <row r="11948" spans="1:1" x14ac:dyDescent="0.25">
      <c r="A11948" s="5"/>
    </row>
    <row r="11949" spans="1:1" x14ac:dyDescent="0.25">
      <c r="A11949" s="5"/>
    </row>
    <row r="11950" spans="1:1" x14ac:dyDescent="0.25">
      <c r="A11950" s="5"/>
    </row>
    <row r="11951" spans="1:1" x14ac:dyDescent="0.25">
      <c r="A11951" s="5"/>
    </row>
    <row r="11952" spans="1:1" x14ac:dyDescent="0.25">
      <c r="A11952" s="5"/>
    </row>
    <row r="11953" spans="1:1" x14ac:dyDescent="0.25">
      <c r="A11953" s="5"/>
    </row>
    <row r="11954" spans="1:1" x14ac:dyDescent="0.25">
      <c r="A11954" s="5"/>
    </row>
    <row r="11955" spans="1:1" x14ac:dyDescent="0.25">
      <c r="A11955" s="5"/>
    </row>
    <row r="11956" spans="1:1" x14ac:dyDescent="0.25">
      <c r="A11956" s="5"/>
    </row>
    <row r="11957" spans="1:1" x14ac:dyDescent="0.25">
      <c r="A11957" s="5"/>
    </row>
    <row r="11958" spans="1:1" x14ac:dyDescent="0.25">
      <c r="A11958" s="5"/>
    </row>
    <row r="11959" spans="1:1" x14ac:dyDescent="0.25">
      <c r="A11959" s="5"/>
    </row>
    <row r="11960" spans="1:1" x14ac:dyDescent="0.25">
      <c r="A11960" s="5"/>
    </row>
    <row r="11961" spans="1:1" x14ac:dyDescent="0.25">
      <c r="A11961" s="5"/>
    </row>
    <row r="11962" spans="1:1" x14ac:dyDescent="0.25">
      <c r="A11962" s="5"/>
    </row>
    <row r="11963" spans="1:1" x14ac:dyDescent="0.25">
      <c r="A11963" s="5"/>
    </row>
    <row r="11964" spans="1:1" x14ac:dyDescent="0.25">
      <c r="A11964" s="5"/>
    </row>
    <row r="11965" spans="1:1" x14ac:dyDescent="0.25">
      <c r="A11965" s="5"/>
    </row>
    <row r="11966" spans="1:1" x14ac:dyDescent="0.25">
      <c r="A11966" s="5"/>
    </row>
    <row r="11967" spans="1:1" x14ac:dyDescent="0.25">
      <c r="A11967" s="5"/>
    </row>
    <row r="11968" spans="1:1" x14ac:dyDescent="0.25">
      <c r="A11968" s="5"/>
    </row>
    <row r="11969" spans="1:1" x14ac:dyDescent="0.25">
      <c r="A11969" s="5"/>
    </row>
    <row r="11970" spans="1:1" x14ac:dyDescent="0.25">
      <c r="A11970" s="5"/>
    </row>
    <row r="11971" spans="1:1" x14ac:dyDescent="0.25">
      <c r="A11971" s="5"/>
    </row>
    <row r="11972" spans="1:1" x14ac:dyDescent="0.25">
      <c r="A11972" s="5"/>
    </row>
    <row r="11973" spans="1:1" x14ac:dyDescent="0.25">
      <c r="A11973" s="5"/>
    </row>
    <row r="11974" spans="1:1" x14ac:dyDescent="0.25">
      <c r="A11974" s="5"/>
    </row>
    <row r="11975" spans="1:1" x14ac:dyDescent="0.25">
      <c r="A11975" s="5"/>
    </row>
    <row r="11976" spans="1:1" x14ac:dyDescent="0.25">
      <c r="A11976" s="5"/>
    </row>
    <row r="11977" spans="1:1" x14ac:dyDescent="0.25">
      <c r="A11977" s="5"/>
    </row>
    <row r="11978" spans="1:1" x14ac:dyDescent="0.25">
      <c r="A11978" s="5"/>
    </row>
    <row r="11979" spans="1:1" x14ac:dyDescent="0.25">
      <c r="A11979" s="5"/>
    </row>
    <row r="11980" spans="1:1" x14ac:dyDescent="0.25">
      <c r="A11980" s="5"/>
    </row>
    <row r="11981" spans="1:1" x14ac:dyDescent="0.25">
      <c r="A11981" s="5"/>
    </row>
    <row r="11982" spans="1:1" x14ac:dyDescent="0.25">
      <c r="A11982" s="5"/>
    </row>
    <row r="11983" spans="1:1" x14ac:dyDescent="0.25">
      <c r="A11983" s="5"/>
    </row>
    <row r="11984" spans="1:1" x14ac:dyDescent="0.25">
      <c r="A11984" s="5"/>
    </row>
    <row r="11985" spans="1:1" x14ac:dyDescent="0.25">
      <c r="A11985" s="5"/>
    </row>
    <row r="11986" spans="1:1" x14ac:dyDescent="0.25">
      <c r="A11986" s="5"/>
    </row>
    <row r="11987" spans="1:1" x14ac:dyDescent="0.25">
      <c r="A11987" s="5"/>
    </row>
    <row r="11988" spans="1:1" x14ac:dyDescent="0.25">
      <c r="A11988" s="5"/>
    </row>
    <row r="11989" spans="1:1" x14ac:dyDescent="0.25">
      <c r="A11989" s="5"/>
    </row>
    <row r="11990" spans="1:1" x14ac:dyDescent="0.25">
      <c r="A11990" s="5"/>
    </row>
    <row r="11991" spans="1:1" x14ac:dyDescent="0.25">
      <c r="A11991" s="5"/>
    </row>
    <row r="11992" spans="1:1" x14ac:dyDescent="0.25">
      <c r="A11992" s="5"/>
    </row>
    <row r="11993" spans="1:1" x14ac:dyDescent="0.25">
      <c r="A11993" s="5"/>
    </row>
    <row r="11994" spans="1:1" x14ac:dyDescent="0.25">
      <c r="A11994" s="5"/>
    </row>
    <row r="11995" spans="1:1" x14ac:dyDescent="0.25">
      <c r="A11995" s="5"/>
    </row>
    <row r="11996" spans="1:1" x14ac:dyDescent="0.25">
      <c r="A11996" s="5"/>
    </row>
    <row r="11997" spans="1:1" x14ac:dyDescent="0.25">
      <c r="A11997" s="5"/>
    </row>
    <row r="11998" spans="1:1" x14ac:dyDescent="0.25">
      <c r="A11998" s="5"/>
    </row>
    <row r="11999" spans="1:1" x14ac:dyDescent="0.25">
      <c r="A11999" s="5"/>
    </row>
    <row r="12000" spans="1:1" x14ac:dyDescent="0.25">
      <c r="A12000" s="5"/>
    </row>
    <row r="12001" spans="1:1" x14ac:dyDescent="0.25">
      <c r="A12001" s="5"/>
    </row>
    <row r="12002" spans="1:1" x14ac:dyDescent="0.25">
      <c r="A12002" s="5"/>
    </row>
    <row r="12003" spans="1:1" x14ac:dyDescent="0.25">
      <c r="A12003" s="5"/>
    </row>
    <row r="12004" spans="1:1" x14ac:dyDescent="0.25">
      <c r="A12004" s="5"/>
    </row>
    <row r="12005" spans="1:1" x14ac:dyDescent="0.25">
      <c r="A12005" s="5"/>
    </row>
    <row r="12006" spans="1:1" x14ac:dyDescent="0.25">
      <c r="A12006" s="5"/>
    </row>
    <row r="12007" spans="1:1" x14ac:dyDescent="0.25">
      <c r="A12007" s="5"/>
    </row>
    <row r="12008" spans="1:1" x14ac:dyDescent="0.25">
      <c r="A12008" s="5"/>
    </row>
    <row r="12009" spans="1:1" x14ac:dyDescent="0.25">
      <c r="A12009" s="5"/>
    </row>
    <row r="12010" spans="1:1" x14ac:dyDescent="0.25">
      <c r="A12010" s="5"/>
    </row>
    <row r="12011" spans="1:1" x14ac:dyDescent="0.25">
      <c r="A12011" s="5"/>
    </row>
    <row r="12012" spans="1:1" x14ac:dyDescent="0.25">
      <c r="A12012" s="5"/>
    </row>
    <row r="12013" spans="1:1" x14ac:dyDescent="0.25">
      <c r="A12013" s="5"/>
    </row>
    <row r="12014" spans="1:1" x14ac:dyDescent="0.25">
      <c r="A12014" s="5"/>
    </row>
    <row r="12015" spans="1:1" x14ac:dyDescent="0.25">
      <c r="A12015" s="5"/>
    </row>
    <row r="12016" spans="1:1" x14ac:dyDescent="0.25">
      <c r="A12016" s="5"/>
    </row>
    <row r="12017" spans="1:1" x14ac:dyDescent="0.25">
      <c r="A12017" s="5"/>
    </row>
    <row r="12018" spans="1:1" x14ac:dyDescent="0.25">
      <c r="A12018" s="5"/>
    </row>
    <row r="12019" spans="1:1" x14ac:dyDescent="0.25">
      <c r="A12019" s="5"/>
    </row>
    <row r="12020" spans="1:1" x14ac:dyDescent="0.25">
      <c r="A12020" s="5"/>
    </row>
    <row r="12021" spans="1:1" x14ac:dyDescent="0.25">
      <c r="A12021" s="5"/>
    </row>
    <row r="12022" spans="1:1" x14ac:dyDescent="0.25">
      <c r="A12022" s="5"/>
    </row>
    <row r="12023" spans="1:1" x14ac:dyDescent="0.25">
      <c r="A12023" s="5"/>
    </row>
    <row r="12024" spans="1:1" x14ac:dyDescent="0.25">
      <c r="A12024" s="5"/>
    </row>
    <row r="12025" spans="1:1" x14ac:dyDescent="0.25">
      <c r="A12025" s="5"/>
    </row>
    <row r="12026" spans="1:1" x14ac:dyDescent="0.25">
      <c r="A12026" s="5"/>
    </row>
    <row r="12027" spans="1:1" x14ac:dyDescent="0.25">
      <c r="A12027" s="5"/>
    </row>
    <row r="12028" spans="1:1" x14ac:dyDescent="0.25">
      <c r="A12028" s="5"/>
    </row>
    <row r="12029" spans="1:1" x14ac:dyDescent="0.25">
      <c r="A12029" s="5"/>
    </row>
    <row r="12030" spans="1:1" x14ac:dyDescent="0.25">
      <c r="A12030" s="5"/>
    </row>
    <row r="12031" spans="1:1" x14ac:dyDescent="0.25">
      <c r="A12031" s="5"/>
    </row>
    <row r="12032" spans="1:1" x14ac:dyDescent="0.25">
      <c r="A12032" s="5"/>
    </row>
    <row r="12033" spans="1:1" x14ac:dyDescent="0.25">
      <c r="A12033" s="5"/>
    </row>
    <row r="12034" spans="1:1" x14ac:dyDescent="0.25">
      <c r="A12034" s="5"/>
    </row>
    <row r="12035" spans="1:1" x14ac:dyDescent="0.25">
      <c r="A12035" s="5"/>
    </row>
    <row r="12036" spans="1:1" x14ac:dyDescent="0.25">
      <c r="A12036" s="5"/>
    </row>
    <row r="12037" spans="1:1" x14ac:dyDescent="0.25">
      <c r="A12037" s="5"/>
    </row>
    <row r="12038" spans="1:1" x14ac:dyDescent="0.25">
      <c r="A12038" s="5"/>
    </row>
    <row r="12039" spans="1:1" x14ac:dyDescent="0.25">
      <c r="A12039" s="5"/>
    </row>
    <row r="12040" spans="1:1" x14ac:dyDescent="0.25">
      <c r="A12040" s="5"/>
    </row>
    <row r="12041" spans="1:1" x14ac:dyDescent="0.25">
      <c r="A12041" s="5"/>
    </row>
    <row r="12042" spans="1:1" x14ac:dyDescent="0.25">
      <c r="A12042" s="5"/>
    </row>
    <row r="12043" spans="1:1" x14ac:dyDescent="0.25">
      <c r="A12043" s="5"/>
    </row>
    <row r="12044" spans="1:1" x14ac:dyDescent="0.25">
      <c r="A12044" s="5"/>
    </row>
    <row r="12045" spans="1:1" x14ac:dyDescent="0.25">
      <c r="A12045" s="5"/>
    </row>
    <row r="12046" spans="1:1" x14ac:dyDescent="0.25">
      <c r="A12046" s="5"/>
    </row>
    <row r="12047" spans="1:1" x14ac:dyDescent="0.25">
      <c r="A12047" s="5"/>
    </row>
    <row r="12048" spans="1:1" x14ac:dyDescent="0.25">
      <c r="A12048" s="5"/>
    </row>
    <row r="12049" spans="1:1" x14ac:dyDescent="0.25">
      <c r="A12049" s="5"/>
    </row>
    <row r="12050" spans="1:1" x14ac:dyDescent="0.25">
      <c r="A12050" s="5"/>
    </row>
    <row r="12051" spans="1:1" x14ac:dyDescent="0.25">
      <c r="A12051" s="5"/>
    </row>
    <row r="12052" spans="1:1" x14ac:dyDescent="0.25">
      <c r="A12052" s="5"/>
    </row>
    <row r="12053" spans="1:1" x14ac:dyDescent="0.25">
      <c r="A12053" s="5"/>
    </row>
    <row r="12054" spans="1:1" x14ac:dyDescent="0.25">
      <c r="A12054" s="5"/>
    </row>
    <row r="12055" spans="1:1" x14ac:dyDescent="0.25">
      <c r="A12055" s="5"/>
    </row>
    <row r="12056" spans="1:1" x14ac:dyDescent="0.25">
      <c r="A12056" s="5"/>
    </row>
    <row r="12057" spans="1:1" x14ac:dyDescent="0.25">
      <c r="A12057" s="5"/>
    </row>
    <row r="12058" spans="1:1" x14ac:dyDescent="0.25">
      <c r="A12058" s="5"/>
    </row>
    <row r="12059" spans="1:1" x14ac:dyDescent="0.25">
      <c r="A12059" s="5"/>
    </row>
    <row r="12060" spans="1:1" x14ac:dyDescent="0.25">
      <c r="A12060" s="5"/>
    </row>
    <row r="12061" spans="1:1" x14ac:dyDescent="0.25">
      <c r="A12061" s="5"/>
    </row>
    <row r="12062" spans="1:1" x14ac:dyDescent="0.25">
      <c r="A12062" s="5"/>
    </row>
    <row r="12063" spans="1:1" x14ac:dyDescent="0.25">
      <c r="A12063" s="5"/>
    </row>
    <row r="12064" spans="1:1" x14ac:dyDescent="0.25">
      <c r="A12064" s="5"/>
    </row>
    <row r="12065" spans="1:1" x14ac:dyDescent="0.25">
      <c r="A12065" s="5"/>
    </row>
    <row r="12066" spans="1:1" x14ac:dyDescent="0.25">
      <c r="A12066" s="5"/>
    </row>
    <row r="12067" spans="1:1" x14ac:dyDescent="0.25">
      <c r="A12067" s="5"/>
    </row>
    <row r="12068" spans="1:1" x14ac:dyDescent="0.25">
      <c r="A12068" s="5"/>
    </row>
    <row r="12069" spans="1:1" x14ac:dyDescent="0.25">
      <c r="A12069" s="5"/>
    </row>
    <row r="12070" spans="1:1" x14ac:dyDescent="0.25">
      <c r="A12070" s="5"/>
    </row>
    <row r="12071" spans="1:1" x14ac:dyDescent="0.25">
      <c r="A12071" s="5"/>
    </row>
    <row r="12072" spans="1:1" x14ac:dyDescent="0.25">
      <c r="A12072" s="5"/>
    </row>
    <row r="12073" spans="1:1" x14ac:dyDescent="0.25">
      <c r="A12073" s="5"/>
    </row>
    <row r="12074" spans="1:1" x14ac:dyDescent="0.25">
      <c r="A12074" s="5"/>
    </row>
    <row r="12075" spans="1:1" x14ac:dyDescent="0.25">
      <c r="A12075" s="5"/>
    </row>
    <row r="12076" spans="1:1" x14ac:dyDescent="0.25">
      <c r="A12076" s="5"/>
    </row>
    <row r="12077" spans="1:1" x14ac:dyDescent="0.25">
      <c r="A12077" s="5"/>
    </row>
    <row r="12078" spans="1:1" x14ac:dyDescent="0.25">
      <c r="A12078" s="5"/>
    </row>
    <row r="12079" spans="1:1" x14ac:dyDescent="0.25">
      <c r="A12079" s="5"/>
    </row>
    <row r="12080" spans="1:1" x14ac:dyDescent="0.25">
      <c r="A12080" s="5"/>
    </row>
    <row r="12081" spans="1:1" x14ac:dyDescent="0.25">
      <c r="A12081" s="5"/>
    </row>
    <row r="12082" spans="1:1" x14ac:dyDescent="0.25">
      <c r="A12082" s="5"/>
    </row>
    <row r="12083" spans="1:1" x14ac:dyDescent="0.25">
      <c r="A12083" s="5"/>
    </row>
    <row r="12084" spans="1:1" x14ac:dyDescent="0.25">
      <c r="A12084" s="5"/>
    </row>
    <row r="12085" spans="1:1" x14ac:dyDescent="0.25">
      <c r="A12085" s="5"/>
    </row>
    <row r="12086" spans="1:1" x14ac:dyDescent="0.25">
      <c r="A12086" s="5"/>
    </row>
    <row r="12087" spans="1:1" x14ac:dyDescent="0.25">
      <c r="A12087" s="5"/>
    </row>
    <row r="12088" spans="1:1" x14ac:dyDescent="0.25">
      <c r="A12088" s="5"/>
    </row>
    <row r="12089" spans="1:1" x14ac:dyDescent="0.25">
      <c r="A12089" s="5"/>
    </row>
    <row r="12090" spans="1:1" x14ac:dyDescent="0.25">
      <c r="A12090" s="5"/>
    </row>
    <row r="12091" spans="1:1" x14ac:dyDescent="0.25">
      <c r="A12091" s="5"/>
    </row>
    <row r="12092" spans="1:1" x14ac:dyDescent="0.25">
      <c r="A12092" s="5"/>
    </row>
    <row r="12093" spans="1:1" x14ac:dyDescent="0.25">
      <c r="A12093" s="5"/>
    </row>
    <row r="12094" spans="1:1" x14ac:dyDescent="0.25">
      <c r="A12094" s="5"/>
    </row>
    <row r="12095" spans="1:1" x14ac:dyDescent="0.25">
      <c r="A12095" s="5"/>
    </row>
    <row r="12096" spans="1:1" x14ac:dyDescent="0.25">
      <c r="A12096" s="5"/>
    </row>
    <row r="12097" spans="1:1" x14ac:dyDescent="0.25">
      <c r="A12097" s="5"/>
    </row>
    <row r="12098" spans="1:1" x14ac:dyDescent="0.25">
      <c r="A12098" s="5"/>
    </row>
    <row r="12099" spans="1:1" x14ac:dyDescent="0.25">
      <c r="A12099" s="5"/>
    </row>
    <row r="12100" spans="1:1" x14ac:dyDescent="0.25">
      <c r="A12100" s="5"/>
    </row>
    <row r="12101" spans="1:1" x14ac:dyDescent="0.25">
      <c r="A12101" s="5"/>
    </row>
    <row r="12102" spans="1:1" x14ac:dyDescent="0.25">
      <c r="A12102" s="5"/>
    </row>
    <row r="12103" spans="1:1" x14ac:dyDescent="0.25">
      <c r="A12103" s="5"/>
    </row>
    <row r="12104" spans="1:1" x14ac:dyDescent="0.25">
      <c r="A12104" s="5"/>
    </row>
    <row r="12105" spans="1:1" x14ac:dyDescent="0.25">
      <c r="A12105" s="5"/>
    </row>
    <row r="12106" spans="1:1" x14ac:dyDescent="0.25">
      <c r="A12106" s="5"/>
    </row>
    <row r="12107" spans="1:1" x14ac:dyDescent="0.25">
      <c r="A12107" s="5"/>
    </row>
    <row r="12108" spans="1:1" x14ac:dyDescent="0.25">
      <c r="A12108" s="5"/>
    </row>
    <row r="12109" spans="1:1" x14ac:dyDescent="0.25">
      <c r="A12109" s="5"/>
    </row>
    <row r="12110" spans="1:1" x14ac:dyDescent="0.25">
      <c r="A12110" s="5"/>
    </row>
    <row r="12111" spans="1:1" x14ac:dyDescent="0.25">
      <c r="A12111" s="5"/>
    </row>
    <row r="12112" spans="1:1" x14ac:dyDescent="0.25">
      <c r="A12112" s="5"/>
    </row>
    <row r="12113" spans="1:1" x14ac:dyDescent="0.25">
      <c r="A12113" s="5"/>
    </row>
    <row r="12114" spans="1:1" x14ac:dyDescent="0.25">
      <c r="A12114" s="5"/>
    </row>
    <row r="12115" spans="1:1" x14ac:dyDescent="0.25">
      <c r="A12115" s="5"/>
    </row>
    <row r="12116" spans="1:1" x14ac:dyDescent="0.25">
      <c r="A12116" s="5"/>
    </row>
    <row r="12117" spans="1:1" x14ac:dyDescent="0.25">
      <c r="A12117" s="5"/>
    </row>
    <row r="12118" spans="1:1" x14ac:dyDescent="0.25">
      <c r="A12118" s="5"/>
    </row>
    <row r="12119" spans="1:1" x14ac:dyDescent="0.25">
      <c r="A12119" s="5"/>
    </row>
    <row r="12120" spans="1:1" x14ac:dyDescent="0.25">
      <c r="A12120" s="5"/>
    </row>
    <row r="12121" spans="1:1" x14ac:dyDescent="0.25">
      <c r="A12121" s="5"/>
    </row>
    <row r="12122" spans="1:1" x14ac:dyDescent="0.25">
      <c r="A12122" s="5"/>
    </row>
    <row r="12123" spans="1:1" x14ac:dyDescent="0.25">
      <c r="A12123" s="5"/>
    </row>
    <row r="12124" spans="1:1" x14ac:dyDescent="0.25">
      <c r="A12124" s="5"/>
    </row>
    <row r="12125" spans="1:1" x14ac:dyDescent="0.25">
      <c r="A12125" s="5"/>
    </row>
    <row r="12126" spans="1:1" x14ac:dyDescent="0.25">
      <c r="A12126" s="5"/>
    </row>
    <row r="12127" spans="1:1" x14ac:dyDescent="0.25">
      <c r="A12127" s="5"/>
    </row>
    <row r="12128" spans="1:1" x14ac:dyDescent="0.25">
      <c r="A12128" s="5"/>
    </row>
    <row r="12129" spans="1:1" x14ac:dyDescent="0.25">
      <c r="A12129" s="5"/>
    </row>
    <row r="12130" spans="1:1" x14ac:dyDescent="0.25">
      <c r="A12130" s="5"/>
    </row>
    <row r="12131" spans="1:1" x14ac:dyDescent="0.25">
      <c r="A12131" s="5"/>
    </row>
    <row r="12132" spans="1:1" x14ac:dyDescent="0.25">
      <c r="A12132" s="5"/>
    </row>
    <row r="12133" spans="1:1" x14ac:dyDescent="0.25">
      <c r="A12133" s="5"/>
    </row>
    <row r="12134" spans="1:1" x14ac:dyDescent="0.25">
      <c r="A12134" s="5"/>
    </row>
    <row r="12135" spans="1:1" x14ac:dyDescent="0.25">
      <c r="A12135" s="5"/>
    </row>
    <row r="12136" spans="1:1" x14ac:dyDescent="0.25">
      <c r="A12136" s="5"/>
    </row>
    <row r="12137" spans="1:1" x14ac:dyDescent="0.25">
      <c r="A12137" s="5"/>
    </row>
    <row r="12138" spans="1:1" x14ac:dyDescent="0.25">
      <c r="A12138" s="5"/>
    </row>
    <row r="12139" spans="1:1" x14ac:dyDescent="0.25">
      <c r="A12139" s="5"/>
    </row>
    <row r="12140" spans="1:1" x14ac:dyDescent="0.25">
      <c r="A12140" s="5"/>
    </row>
    <row r="12141" spans="1:1" x14ac:dyDescent="0.25">
      <c r="A12141" s="5"/>
    </row>
    <row r="12142" spans="1:1" x14ac:dyDescent="0.25">
      <c r="A12142" s="5"/>
    </row>
    <row r="12143" spans="1:1" x14ac:dyDescent="0.25">
      <c r="A12143" s="5"/>
    </row>
    <row r="12144" spans="1:1" x14ac:dyDescent="0.25">
      <c r="A12144" s="5"/>
    </row>
    <row r="12145" spans="1:1" x14ac:dyDescent="0.25">
      <c r="A12145" s="5"/>
    </row>
    <row r="12146" spans="1:1" x14ac:dyDescent="0.25">
      <c r="A12146" s="5"/>
    </row>
    <row r="12147" spans="1:1" x14ac:dyDescent="0.25">
      <c r="A12147" s="5"/>
    </row>
    <row r="12148" spans="1:1" x14ac:dyDescent="0.25">
      <c r="A12148" s="5"/>
    </row>
    <row r="12149" spans="1:1" x14ac:dyDescent="0.25">
      <c r="A12149" s="5"/>
    </row>
    <row r="12150" spans="1:1" x14ac:dyDescent="0.25">
      <c r="A12150" s="5"/>
    </row>
    <row r="12151" spans="1:1" x14ac:dyDescent="0.25">
      <c r="A12151" s="5"/>
    </row>
    <row r="12152" spans="1:1" x14ac:dyDescent="0.25">
      <c r="A12152" s="5"/>
    </row>
    <row r="12153" spans="1:1" x14ac:dyDescent="0.25">
      <c r="A12153" s="5"/>
    </row>
    <row r="12154" spans="1:1" x14ac:dyDescent="0.25">
      <c r="A12154" s="5"/>
    </row>
    <row r="12155" spans="1:1" x14ac:dyDescent="0.25">
      <c r="A12155" s="5"/>
    </row>
    <row r="12156" spans="1:1" x14ac:dyDescent="0.25">
      <c r="A12156" s="5"/>
    </row>
    <row r="12157" spans="1:1" x14ac:dyDescent="0.25">
      <c r="A12157" s="5"/>
    </row>
    <row r="12158" spans="1:1" x14ac:dyDescent="0.25">
      <c r="A12158" s="5"/>
    </row>
    <row r="12159" spans="1:1" x14ac:dyDescent="0.25">
      <c r="A12159" s="5"/>
    </row>
    <row r="12160" spans="1:1" x14ac:dyDescent="0.25">
      <c r="A12160" s="5"/>
    </row>
    <row r="12161" spans="1:1" x14ac:dyDescent="0.25">
      <c r="A12161" s="5"/>
    </row>
    <row r="12162" spans="1:1" x14ac:dyDescent="0.25">
      <c r="A12162" s="5"/>
    </row>
    <row r="12163" spans="1:1" x14ac:dyDescent="0.25">
      <c r="A12163" s="5"/>
    </row>
    <row r="12164" spans="1:1" x14ac:dyDescent="0.25">
      <c r="A12164" s="5"/>
    </row>
    <row r="12165" spans="1:1" x14ac:dyDescent="0.25">
      <c r="A12165" s="5"/>
    </row>
    <row r="12166" spans="1:1" x14ac:dyDescent="0.25">
      <c r="A12166" s="5"/>
    </row>
    <row r="12167" spans="1:1" x14ac:dyDescent="0.25">
      <c r="A12167" s="5"/>
    </row>
    <row r="12168" spans="1:1" x14ac:dyDescent="0.25">
      <c r="A12168" s="5"/>
    </row>
    <row r="12169" spans="1:1" x14ac:dyDescent="0.25">
      <c r="A12169" s="5"/>
    </row>
    <row r="12170" spans="1:1" x14ac:dyDescent="0.25">
      <c r="A12170" s="5"/>
    </row>
    <row r="12171" spans="1:1" x14ac:dyDescent="0.25">
      <c r="A12171" s="5"/>
    </row>
    <row r="12172" spans="1:1" x14ac:dyDescent="0.25">
      <c r="A12172" s="5"/>
    </row>
    <row r="12173" spans="1:1" x14ac:dyDescent="0.25">
      <c r="A12173" s="5"/>
    </row>
    <row r="12174" spans="1:1" x14ac:dyDescent="0.25">
      <c r="A12174" s="5"/>
    </row>
    <row r="12175" spans="1:1" x14ac:dyDescent="0.25">
      <c r="A12175" s="5"/>
    </row>
    <row r="12176" spans="1:1" x14ac:dyDescent="0.25">
      <c r="A12176" s="5"/>
    </row>
    <row r="12177" spans="1:1" x14ac:dyDescent="0.25">
      <c r="A12177" s="5"/>
    </row>
    <row r="12178" spans="1:1" x14ac:dyDescent="0.25">
      <c r="A12178" s="5"/>
    </row>
    <row r="12179" spans="1:1" x14ac:dyDescent="0.25">
      <c r="A12179" s="5"/>
    </row>
    <row r="12180" spans="1:1" x14ac:dyDescent="0.25">
      <c r="A12180" s="5"/>
    </row>
    <row r="12181" spans="1:1" x14ac:dyDescent="0.25">
      <c r="A12181" s="5"/>
    </row>
    <row r="12182" spans="1:1" x14ac:dyDescent="0.25">
      <c r="A12182" s="5"/>
    </row>
    <row r="12183" spans="1:1" x14ac:dyDescent="0.25">
      <c r="A12183" s="5"/>
    </row>
    <row r="12184" spans="1:1" x14ac:dyDescent="0.25">
      <c r="A12184" s="5"/>
    </row>
    <row r="12185" spans="1:1" x14ac:dyDescent="0.25">
      <c r="A12185" s="5"/>
    </row>
    <row r="12186" spans="1:1" x14ac:dyDescent="0.25">
      <c r="A12186" s="5"/>
    </row>
    <row r="12187" spans="1:1" x14ac:dyDescent="0.25">
      <c r="A12187" s="5"/>
    </row>
    <row r="12188" spans="1:1" x14ac:dyDescent="0.25">
      <c r="A12188" s="5"/>
    </row>
    <row r="12189" spans="1:1" x14ac:dyDescent="0.25">
      <c r="A12189" s="5"/>
    </row>
    <row r="12190" spans="1:1" x14ac:dyDescent="0.25">
      <c r="A12190" s="5"/>
    </row>
    <row r="12191" spans="1:1" x14ac:dyDescent="0.25">
      <c r="A12191" s="5"/>
    </row>
    <row r="12192" spans="1:1" x14ac:dyDescent="0.25">
      <c r="A12192" s="5"/>
    </row>
    <row r="12193" spans="1:1" x14ac:dyDescent="0.25">
      <c r="A12193" s="5"/>
    </row>
    <row r="12194" spans="1:1" x14ac:dyDescent="0.25">
      <c r="A12194" s="5"/>
    </row>
    <row r="12195" spans="1:1" x14ac:dyDescent="0.25">
      <c r="A12195" s="5"/>
    </row>
    <row r="12196" spans="1:1" x14ac:dyDescent="0.25">
      <c r="A12196" s="5"/>
    </row>
    <row r="12197" spans="1:1" x14ac:dyDescent="0.25">
      <c r="A12197" s="5"/>
    </row>
    <row r="12198" spans="1:1" x14ac:dyDescent="0.25">
      <c r="A12198" s="5"/>
    </row>
    <row r="12199" spans="1:1" x14ac:dyDescent="0.25">
      <c r="A12199" s="5"/>
    </row>
    <row r="12200" spans="1:1" x14ac:dyDescent="0.25">
      <c r="A12200" s="5"/>
    </row>
    <row r="12201" spans="1:1" x14ac:dyDescent="0.25">
      <c r="A12201" s="5"/>
    </row>
    <row r="12202" spans="1:1" x14ac:dyDescent="0.25">
      <c r="A12202" s="5"/>
    </row>
    <row r="12203" spans="1:1" x14ac:dyDescent="0.25">
      <c r="A12203" s="5"/>
    </row>
    <row r="12204" spans="1:1" x14ac:dyDescent="0.25">
      <c r="A12204" s="5"/>
    </row>
    <row r="12205" spans="1:1" x14ac:dyDescent="0.25">
      <c r="A12205" s="5"/>
    </row>
    <row r="12206" spans="1:1" x14ac:dyDescent="0.25">
      <c r="A12206" s="5"/>
    </row>
    <row r="12207" spans="1:1" x14ac:dyDescent="0.25">
      <c r="A12207" s="5"/>
    </row>
    <row r="12208" spans="1:1" x14ac:dyDescent="0.25">
      <c r="A12208" s="5"/>
    </row>
    <row r="12209" spans="1:1" x14ac:dyDescent="0.25">
      <c r="A12209" s="5"/>
    </row>
    <row r="12210" spans="1:1" x14ac:dyDescent="0.25">
      <c r="A12210" s="5"/>
    </row>
    <row r="12211" spans="1:1" x14ac:dyDescent="0.25">
      <c r="A12211" s="5"/>
    </row>
    <row r="12212" spans="1:1" x14ac:dyDescent="0.25">
      <c r="A12212" s="5"/>
    </row>
    <row r="12213" spans="1:1" x14ac:dyDescent="0.25">
      <c r="A12213" s="5"/>
    </row>
    <row r="12214" spans="1:1" x14ac:dyDescent="0.25">
      <c r="A12214" s="5"/>
    </row>
    <row r="12215" spans="1:1" x14ac:dyDescent="0.25">
      <c r="A12215" s="5"/>
    </row>
    <row r="12216" spans="1:1" x14ac:dyDescent="0.25">
      <c r="A12216" s="5"/>
    </row>
    <row r="12217" spans="1:1" x14ac:dyDescent="0.25">
      <c r="A12217" s="5"/>
    </row>
    <row r="12218" spans="1:1" x14ac:dyDescent="0.25">
      <c r="A12218" s="5"/>
    </row>
    <row r="12219" spans="1:1" x14ac:dyDescent="0.25">
      <c r="A12219" s="5"/>
    </row>
    <row r="12220" spans="1:1" x14ac:dyDescent="0.25">
      <c r="A12220" s="5"/>
    </row>
    <row r="12221" spans="1:1" x14ac:dyDescent="0.25">
      <c r="A12221" s="5"/>
    </row>
    <row r="12222" spans="1:1" x14ac:dyDescent="0.25">
      <c r="A12222" s="5"/>
    </row>
    <row r="12223" spans="1:1" x14ac:dyDescent="0.25">
      <c r="A12223" s="5"/>
    </row>
    <row r="12224" spans="1:1" x14ac:dyDescent="0.25">
      <c r="A12224" s="5"/>
    </row>
    <row r="12225" spans="1:1" x14ac:dyDescent="0.25">
      <c r="A12225" s="5"/>
    </row>
    <row r="12226" spans="1:1" x14ac:dyDescent="0.25">
      <c r="A12226" s="5"/>
    </row>
    <row r="12227" spans="1:1" x14ac:dyDescent="0.25">
      <c r="A12227" s="5"/>
    </row>
    <row r="12228" spans="1:1" x14ac:dyDescent="0.25">
      <c r="A12228" s="5"/>
    </row>
    <row r="12229" spans="1:1" x14ac:dyDescent="0.25">
      <c r="A12229" s="5"/>
    </row>
    <row r="12230" spans="1:1" x14ac:dyDescent="0.25">
      <c r="A12230" s="5"/>
    </row>
    <row r="12231" spans="1:1" x14ac:dyDescent="0.25">
      <c r="A12231" s="5"/>
    </row>
    <row r="12232" spans="1:1" x14ac:dyDescent="0.25">
      <c r="A12232" s="5"/>
    </row>
    <row r="12233" spans="1:1" x14ac:dyDescent="0.25">
      <c r="A12233" s="5"/>
    </row>
    <row r="12234" spans="1:1" x14ac:dyDescent="0.25">
      <c r="A12234" s="5"/>
    </row>
    <row r="12235" spans="1:1" x14ac:dyDescent="0.25">
      <c r="A12235" s="5"/>
    </row>
    <row r="12236" spans="1:1" x14ac:dyDescent="0.25">
      <c r="A12236" s="5"/>
    </row>
    <row r="12237" spans="1:1" x14ac:dyDescent="0.25">
      <c r="A12237" s="5"/>
    </row>
    <row r="12238" spans="1:1" x14ac:dyDescent="0.25">
      <c r="A12238" s="5"/>
    </row>
    <row r="12239" spans="1:1" x14ac:dyDescent="0.25">
      <c r="A12239" s="5"/>
    </row>
    <row r="12240" spans="1:1" x14ac:dyDescent="0.25">
      <c r="A12240" s="5"/>
    </row>
    <row r="12241" spans="1:1" x14ac:dyDescent="0.25">
      <c r="A12241" s="5"/>
    </row>
    <row r="12242" spans="1:1" x14ac:dyDescent="0.25">
      <c r="A12242" s="5"/>
    </row>
    <row r="12243" spans="1:1" x14ac:dyDescent="0.25">
      <c r="A12243" s="5"/>
    </row>
    <row r="12244" spans="1:1" x14ac:dyDescent="0.25">
      <c r="A12244" s="5"/>
    </row>
    <row r="12245" spans="1:1" x14ac:dyDescent="0.25">
      <c r="A12245" s="5"/>
    </row>
    <row r="12246" spans="1:1" x14ac:dyDescent="0.25">
      <c r="A12246" s="5"/>
    </row>
    <row r="12247" spans="1:1" x14ac:dyDescent="0.25">
      <c r="A12247" s="5"/>
    </row>
    <row r="12248" spans="1:1" x14ac:dyDescent="0.25">
      <c r="A12248" s="5"/>
    </row>
    <row r="12249" spans="1:1" x14ac:dyDescent="0.25">
      <c r="A12249" s="5"/>
    </row>
    <row r="12250" spans="1:1" x14ac:dyDescent="0.25">
      <c r="A12250" s="5"/>
    </row>
    <row r="12251" spans="1:1" x14ac:dyDescent="0.25">
      <c r="A12251" s="5"/>
    </row>
    <row r="12252" spans="1:1" x14ac:dyDescent="0.25">
      <c r="A12252" s="5"/>
    </row>
    <row r="12253" spans="1:1" x14ac:dyDescent="0.25">
      <c r="A12253" s="5"/>
    </row>
    <row r="12254" spans="1:1" x14ac:dyDescent="0.25">
      <c r="A12254" s="5"/>
    </row>
    <row r="12255" spans="1:1" x14ac:dyDescent="0.25">
      <c r="A12255" s="5"/>
    </row>
    <row r="12256" spans="1:1" x14ac:dyDescent="0.25">
      <c r="A12256" s="5"/>
    </row>
    <row r="12257" spans="1:1" x14ac:dyDescent="0.25">
      <c r="A12257" s="5"/>
    </row>
    <row r="12258" spans="1:1" x14ac:dyDescent="0.25">
      <c r="A12258" s="5"/>
    </row>
    <row r="12259" spans="1:1" x14ac:dyDescent="0.25">
      <c r="A12259" s="5"/>
    </row>
    <row r="12260" spans="1:1" x14ac:dyDescent="0.25">
      <c r="A12260" s="5"/>
    </row>
    <row r="12261" spans="1:1" x14ac:dyDescent="0.25">
      <c r="A12261" s="5"/>
    </row>
    <row r="12262" spans="1:1" x14ac:dyDescent="0.25">
      <c r="A12262" s="5"/>
    </row>
    <row r="12263" spans="1:1" x14ac:dyDescent="0.25">
      <c r="A12263" s="5"/>
    </row>
    <row r="12264" spans="1:1" x14ac:dyDescent="0.25">
      <c r="A12264" s="5"/>
    </row>
    <row r="12265" spans="1:1" x14ac:dyDescent="0.25">
      <c r="A12265" s="5"/>
    </row>
    <row r="12266" spans="1:1" x14ac:dyDescent="0.25">
      <c r="A12266" s="5"/>
    </row>
    <row r="12267" spans="1:1" x14ac:dyDescent="0.25">
      <c r="A12267" s="5"/>
    </row>
    <row r="12268" spans="1:1" x14ac:dyDescent="0.25">
      <c r="A12268" s="5"/>
    </row>
    <row r="12269" spans="1:1" x14ac:dyDescent="0.25">
      <c r="A12269" s="5"/>
    </row>
    <row r="12270" spans="1:1" x14ac:dyDescent="0.25">
      <c r="A12270" s="5"/>
    </row>
    <row r="12271" spans="1:1" x14ac:dyDescent="0.25">
      <c r="A12271" s="5"/>
    </row>
    <row r="12272" spans="1:1" x14ac:dyDescent="0.25">
      <c r="A12272" s="5"/>
    </row>
    <row r="12273" spans="1:1" x14ac:dyDescent="0.25">
      <c r="A12273" s="5"/>
    </row>
    <row r="12274" spans="1:1" x14ac:dyDescent="0.25">
      <c r="A12274" s="5"/>
    </row>
    <row r="12275" spans="1:1" x14ac:dyDescent="0.25">
      <c r="A12275" s="5"/>
    </row>
    <row r="12276" spans="1:1" x14ac:dyDescent="0.25">
      <c r="A12276" s="5"/>
    </row>
    <row r="12277" spans="1:1" x14ac:dyDescent="0.25">
      <c r="A12277" s="5"/>
    </row>
    <row r="12278" spans="1:1" x14ac:dyDescent="0.25">
      <c r="A12278" s="5"/>
    </row>
    <row r="12279" spans="1:1" x14ac:dyDescent="0.25">
      <c r="A12279" s="5"/>
    </row>
    <row r="12280" spans="1:1" x14ac:dyDescent="0.25">
      <c r="A12280" s="5"/>
    </row>
    <row r="12281" spans="1:1" x14ac:dyDescent="0.25">
      <c r="A12281" s="5"/>
    </row>
    <row r="12282" spans="1:1" x14ac:dyDescent="0.25">
      <c r="A12282" s="5"/>
    </row>
    <row r="12283" spans="1:1" x14ac:dyDescent="0.25">
      <c r="A12283" s="5"/>
    </row>
    <row r="12284" spans="1:1" x14ac:dyDescent="0.25">
      <c r="A12284" s="5"/>
    </row>
    <row r="12285" spans="1:1" x14ac:dyDescent="0.25">
      <c r="A12285" s="5"/>
    </row>
    <row r="12286" spans="1:1" x14ac:dyDescent="0.25">
      <c r="A12286" s="5"/>
    </row>
    <row r="12287" spans="1:1" x14ac:dyDescent="0.25">
      <c r="A12287" s="5"/>
    </row>
    <row r="12288" spans="1:1" x14ac:dyDescent="0.25">
      <c r="A12288" s="5"/>
    </row>
    <row r="12289" spans="1:1" x14ac:dyDescent="0.25">
      <c r="A12289" s="5"/>
    </row>
    <row r="12290" spans="1:1" x14ac:dyDescent="0.25">
      <c r="A12290" s="5"/>
    </row>
    <row r="12291" spans="1:1" x14ac:dyDescent="0.25">
      <c r="A12291" s="5"/>
    </row>
    <row r="12292" spans="1:1" x14ac:dyDescent="0.25">
      <c r="A12292" s="5"/>
    </row>
    <row r="12293" spans="1:1" x14ac:dyDescent="0.25">
      <c r="A12293" s="5"/>
    </row>
    <row r="12294" spans="1:1" x14ac:dyDescent="0.25">
      <c r="A12294" s="5"/>
    </row>
    <row r="12295" spans="1:1" x14ac:dyDescent="0.25">
      <c r="A12295" s="5"/>
    </row>
    <row r="12296" spans="1:1" x14ac:dyDescent="0.25">
      <c r="A12296" s="5"/>
    </row>
    <row r="12297" spans="1:1" x14ac:dyDescent="0.25">
      <c r="A12297" s="5"/>
    </row>
    <row r="12298" spans="1:1" x14ac:dyDescent="0.25">
      <c r="A12298" s="5"/>
    </row>
    <row r="12299" spans="1:1" x14ac:dyDescent="0.25">
      <c r="A12299" s="5"/>
    </row>
    <row r="12300" spans="1:1" x14ac:dyDescent="0.25">
      <c r="A12300" s="5"/>
    </row>
    <row r="12301" spans="1:1" x14ac:dyDescent="0.25">
      <c r="A12301" s="5"/>
    </row>
    <row r="12302" spans="1:1" x14ac:dyDescent="0.25">
      <c r="A12302" s="5"/>
    </row>
    <row r="12303" spans="1:1" x14ac:dyDescent="0.25">
      <c r="A12303" s="5"/>
    </row>
    <row r="12304" spans="1:1" x14ac:dyDescent="0.25">
      <c r="A12304" s="5"/>
    </row>
    <row r="12305" spans="1:1" x14ac:dyDescent="0.25">
      <c r="A12305" s="5"/>
    </row>
    <row r="12306" spans="1:1" x14ac:dyDescent="0.25">
      <c r="A12306" s="5"/>
    </row>
    <row r="12307" spans="1:1" x14ac:dyDescent="0.25">
      <c r="A12307" s="5"/>
    </row>
    <row r="12308" spans="1:1" x14ac:dyDescent="0.25">
      <c r="A12308" s="5"/>
    </row>
    <row r="12309" spans="1:1" x14ac:dyDescent="0.25">
      <c r="A12309" s="5"/>
    </row>
    <row r="12310" spans="1:1" x14ac:dyDescent="0.25">
      <c r="A12310" s="5"/>
    </row>
    <row r="12311" spans="1:1" x14ac:dyDescent="0.25">
      <c r="A12311" s="5"/>
    </row>
    <row r="12312" spans="1:1" x14ac:dyDescent="0.25">
      <c r="A12312" s="5"/>
    </row>
    <row r="12313" spans="1:1" x14ac:dyDescent="0.25">
      <c r="A12313" s="5"/>
    </row>
    <row r="12314" spans="1:1" x14ac:dyDescent="0.25">
      <c r="A12314" s="5"/>
    </row>
    <row r="12315" spans="1:1" x14ac:dyDescent="0.25">
      <c r="A12315" s="5"/>
    </row>
    <row r="12316" spans="1:1" x14ac:dyDescent="0.25">
      <c r="A12316" s="5"/>
    </row>
    <row r="12317" spans="1:1" x14ac:dyDescent="0.25">
      <c r="A12317" s="5"/>
    </row>
    <row r="12318" spans="1:1" x14ac:dyDescent="0.25">
      <c r="A12318" s="5"/>
    </row>
    <row r="12319" spans="1:1" x14ac:dyDescent="0.25">
      <c r="A12319" s="5"/>
    </row>
    <row r="12320" spans="1:1" x14ac:dyDescent="0.25">
      <c r="A12320" s="5"/>
    </row>
    <row r="12321" spans="1:1" x14ac:dyDescent="0.25">
      <c r="A12321" s="5"/>
    </row>
    <row r="12322" spans="1:1" x14ac:dyDescent="0.25">
      <c r="A12322" s="5"/>
    </row>
    <row r="12323" spans="1:1" x14ac:dyDescent="0.25">
      <c r="A12323" s="5"/>
    </row>
    <row r="12324" spans="1:1" x14ac:dyDescent="0.25">
      <c r="A12324" s="5"/>
    </row>
    <row r="12325" spans="1:1" x14ac:dyDescent="0.25">
      <c r="A12325" s="5"/>
    </row>
    <row r="12326" spans="1:1" x14ac:dyDescent="0.25">
      <c r="A12326" s="5"/>
    </row>
    <row r="12327" spans="1:1" x14ac:dyDescent="0.25">
      <c r="A12327" s="5"/>
    </row>
    <row r="12328" spans="1:1" x14ac:dyDescent="0.25">
      <c r="A12328" s="5"/>
    </row>
    <row r="12329" spans="1:1" x14ac:dyDescent="0.25">
      <c r="A12329" s="5"/>
    </row>
    <row r="12330" spans="1:1" x14ac:dyDescent="0.25">
      <c r="A12330" s="5"/>
    </row>
    <row r="12331" spans="1:1" x14ac:dyDescent="0.25">
      <c r="A12331" s="5"/>
    </row>
    <row r="12332" spans="1:1" x14ac:dyDescent="0.25">
      <c r="A12332" s="5"/>
    </row>
    <row r="12333" spans="1:1" x14ac:dyDescent="0.25">
      <c r="A12333" s="5"/>
    </row>
    <row r="12334" spans="1:1" x14ac:dyDescent="0.25">
      <c r="A12334" s="5"/>
    </row>
    <row r="12335" spans="1:1" x14ac:dyDescent="0.25">
      <c r="A12335" s="5"/>
    </row>
    <row r="12336" spans="1:1" x14ac:dyDescent="0.25">
      <c r="A12336" s="5"/>
    </row>
    <row r="12337" spans="1:1" x14ac:dyDescent="0.25">
      <c r="A12337" s="5"/>
    </row>
    <row r="12338" spans="1:1" x14ac:dyDescent="0.25">
      <c r="A12338" s="5"/>
    </row>
    <row r="12339" spans="1:1" x14ac:dyDescent="0.25">
      <c r="A12339" s="5"/>
    </row>
    <row r="12340" spans="1:1" x14ac:dyDescent="0.25">
      <c r="A12340" s="5"/>
    </row>
    <row r="12341" spans="1:1" x14ac:dyDescent="0.25">
      <c r="A12341" s="5"/>
    </row>
    <row r="12342" spans="1:1" x14ac:dyDescent="0.25">
      <c r="A12342" s="5"/>
    </row>
    <row r="12343" spans="1:1" x14ac:dyDescent="0.25">
      <c r="A12343" s="5"/>
    </row>
    <row r="12344" spans="1:1" x14ac:dyDescent="0.25">
      <c r="A12344" s="5"/>
    </row>
    <row r="12345" spans="1:1" x14ac:dyDescent="0.25">
      <c r="A12345" s="5"/>
    </row>
    <row r="12346" spans="1:1" x14ac:dyDescent="0.25">
      <c r="A12346" s="5"/>
    </row>
    <row r="12347" spans="1:1" x14ac:dyDescent="0.25">
      <c r="A12347" s="5"/>
    </row>
    <row r="12348" spans="1:1" x14ac:dyDescent="0.25">
      <c r="A12348" s="5"/>
    </row>
    <row r="12349" spans="1:1" x14ac:dyDescent="0.25">
      <c r="A12349" s="5"/>
    </row>
    <row r="12350" spans="1:1" x14ac:dyDescent="0.25">
      <c r="A12350" s="5"/>
    </row>
    <row r="12351" spans="1:1" x14ac:dyDescent="0.25">
      <c r="A12351" s="5"/>
    </row>
    <row r="12352" spans="1:1" x14ac:dyDescent="0.25">
      <c r="A12352" s="5"/>
    </row>
    <row r="12353" spans="1:1" x14ac:dyDescent="0.25">
      <c r="A12353" s="5"/>
    </row>
    <row r="12354" spans="1:1" x14ac:dyDescent="0.25">
      <c r="A12354" s="5"/>
    </row>
    <row r="12355" spans="1:1" x14ac:dyDescent="0.25">
      <c r="A12355" s="5"/>
    </row>
    <row r="12356" spans="1:1" x14ac:dyDescent="0.25">
      <c r="A12356" s="5"/>
    </row>
    <row r="12357" spans="1:1" x14ac:dyDescent="0.25">
      <c r="A12357" s="5"/>
    </row>
    <row r="12358" spans="1:1" x14ac:dyDescent="0.25">
      <c r="A12358" s="5"/>
    </row>
    <row r="12359" spans="1:1" x14ac:dyDescent="0.25">
      <c r="A12359" s="5"/>
    </row>
    <row r="12360" spans="1:1" x14ac:dyDescent="0.25">
      <c r="A12360" s="5"/>
    </row>
    <row r="12361" spans="1:1" x14ac:dyDescent="0.25">
      <c r="A12361" s="5"/>
    </row>
    <row r="12362" spans="1:1" x14ac:dyDescent="0.25">
      <c r="A12362" s="5"/>
    </row>
    <row r="12363" spans="1:1" x14ac:dyDescent="0.25">
      <c r="A12363" s="5"/>
    </row>
    <row r="12364" spans="1:1" x14ac:dyDescent="0.25">
      <c r="A12364" s="5"/>
    </row>
    <row r="12365" spans="1:1" x14ac:dyDescent="0.25">
      <c r="A12365" s="5"/>
    </row>
    <row r="12366" spans="1:1" x14ac:dyDescent="0.25">
      <c r="A12366" s="5"/>
    </row>
    <row r="12367" spans="1:1" x14ac:dyDescent="0.25">
      <c r="A12367" s="5"/>
    </row>
    <row r="12368" spans="1:1" x14ac:dyDescent="0.25">
      <c r="A12368" s="5"/>
    </row>
    <row r="12369" spans="1:1" x14ac:dyDescent="0.25">
      <c r="A12369" s="5"/>
    </row>
    <row r="12370" spans="1:1" x14ac:dyDescent="0.25">
      <c r="A12370" s="5"/>
    </row>
    <row r="12371" spans="1:1" x14ac:dyDescent="0.25">
      <c r="A12371" s="5"/>
    </row>
    <row r="12372" spans="1:1" x14ac:dyDescent="0.25">
      <c r="A12372" s="5"/>
    </row>
    <row r="12373" spans="1:1" x14ac:dyDescent="0.25">
      <c r="A12373" s="5"/>
    </row>
    <row r="12374" spans="1:1" x14ac:dyDescent="0.25">
      <c r="A12374" s="5"/>
    </row>
    <row r="12375" spans="1:1" x14ac:dyDescent="0.25">
      <c r="A12375" s="5"/>
    </row>
    <row r="12376" spans="1:1" x14ac:dyDescent="0.25">
      <c r="A12376" s="5"/>
    </row>
    <row r="12377" spans="1:1" x14ac:dyDescent="0.25">
      <c r="A12377" s="5"/>
    </row>
    <row r="12378" spans="1:1" x14ac:dyDescent="0.25">
      <c r="A12378" s="5"/>
    </row>
    <row r="12379" spans="1:1" x14ac:dyDescent="0.25">
      <c r="A12379" s="5"/>
    </row>
    <row r="12380" spans="1:1" x14ac:dyDescent="0.25">
      <c r="A12380" s="5"/>
    </row>
    <row r="12381" spans="1:1" x14ac:dyDescent="0.25">
      <c r="A12381" s="5"/>
    </row>
    <row r="12382" spans="1:1" x14ac:dyDescent="0.25">
      <c r="A12382" s="5"/>
    </row>
    <row r="12383" spans="1:1" x14ac:dyDescent="0.25">
      <c r="A12383" s="5"/>
    </row>
    <row r="12384" spans="1:1" x14ac:dyDescent="0.25">
      <c r="A12384" s="5"/>
    </row>
    <row r="12385" spans="1:1" x14ac:dyDescent="0.25">
      <c r="A12385" s="5"/>
    </row>
    <row r="12386" spans="1:1" x14ac:dyDescent="0.25">
      <c r="A12386" s="5"/>
    </row>
    <row r="12387" spans="1:1" x14ac:dyDescent="0.25">
      <c r="A12387" s="5"/>
    </row>
    <row r="12388" spans="1:1" x14ac:dyDescent="0.25">
      <c r="A12388" s="5"/>
    </row>
    <row r="12389" spans="1:1" x14ac:dyDescent="0.25">
      <c r="A12389" s="5"/>
    </row>
    <row r="12390" spans="1:1" x14ac:dyDescent="0.25">
      <c r="A12390" s="5"/>
    </row>
    <row r="12391" spans="1:1" x14ac:dyDescent="0.25">
      <c r="A12391" s="5"/>
    </row>
    <row r="12392" spans="1:1" x14ac:dyDescent="0.25">
      <c r="A12392" s="5"/>
    </row>
    <row r="12393" spans="1:1" x14ac:dyDescent="0.25">
      <c r="A12393" s="5"/>
    </row>
    <row r="12394" spans="1:1" x14ac:dyDescent="0.25">
      <c r="A12394" s="5"/>
    </row>
    <row r="12395" spans="1:1" x14ac:dyDescent="0.25">
      <c r="A12395" s="5"/>
    </row>
    <row r="12396" spans="1:1" x14ac:dyDescent="0.25">
      <c r="A12396" s="5"/>
    </row>
    <row r="12397" spans="1:1" x14ac:dyDescent="0.25">
      <c r="A12397" s="5"/>
    </row>
    <row r="12398" spans="1:1" x14ac:dyDescent="0.25">
      <c r="A12398" s="5"/>
    </row>
    <row r="12399" spans="1:1" x14ac:dyDescent="0.25">
      <c r="A12399" s="5"/>
    </row>
    <row r="12400" spans="1:1" x14ac:dyDescent="0.25">
      <c r="A12400" s="5"/>
    </row>
    <row r="12401" spans="1:1" x14ac:dyDescent="0.25">
      <c r="A12401" s="5"/>
    </row>
    <row r="12402" spans="1:1" x14ac:dyDescent="0.25">
      <c r="A12402" s="5"/>
    </row>
    <row r="12403" spans="1:1" x14ac:dyDescent="0.25">
      <c r="A12403" s="5"/>
    </row>
    <row r="12404" spans="1:1" x14ac:dyDescent="0.25">
      <c r="A12404" s="5"/>
    </row>
    <row r="12405" spans="1:1" x14ac:dyDescent="0.25">
      <c r="A12405" s="5"/>
    </row>
    <row r="12406" spans="1:1" x14ac:dyDescent="0.25">
      <c r="A12406" s="5"/>
    </row>
    <row r="12407" spans="1:1" x14ac:dyDescent="0.25">
      <c r="A12407" s="5"/>
    </row>
    <row r="12408" spans="1:1" x14ac:dyDescent="0.25">
      <c r="A12408" s="5"/>
    </row>
    <row r="12409" spans="1:1" x14ac:dyDescent="0.25">
      <c r="A12409" s="5"/>
    </row>
    <row r="12410" spans="1:1" x14ac:dyDescent="0.25">
      <c r="A12410" s="5"/>
    </row>
    <row r="12411" spans="1:1" x14ac:dyDescent="0.25">
      <c r="A12411" s="5"/>
    </row>
    <row r="12412" spans="1:1" x14ac:dyDescent="0.25">
      <c r="A12412" s="5"/>
    </row>
    <row r="12413" spans="1:1" x14ac:dyDescent="0.25">
      <c r="A12413" s="5"/>
    </row>
    <row r="12414" spans="1:1" x14ac:dyDescent="0.25">
      <c r="A12414" s="5"/>
    </row>
    <row r="12415" spans="1:1" x14ac:dyDescent="0.25">
      <c r="A12415" s="5"/>
    </row>
    <row r="12416" spans="1:1" x14ac:dyDescent="0.25">
      <c r="A12416" s="5"/>
    </row>
    <row r="12417" spans="1:1" x14ac:dyDescent="0.25">
      <c r="A12417" s="5"/>
    </row>
    <row r="12418" spans="1:1" x14ac:dyDescent="0.25">
      <c r="A12418" s="5"/>
    </row>
    <row r="12419" spans="1:1" x14ac:dyDescent="0.25">
      <c r="A12419" s="5"/>
    </row>
    <row r="12420" spans="1:1" x14ac:dyDescent="0.25">
      <c r="A12420" s="5"/>
    </row>
    <row r="12421" spans="1:1" x14ac:dyDescent="0.25">
      <c r="A12421" s="5"/>
    </row>
    <row r="12422" spans="1:1" x14ac:dyDescent="0.25">
      <c r="A12422" s="5"/>
    </row>
    <row r="12423" spans="1:1" x14ac:dyDescent="0.25">
      <c r="A12423" s="5"/>
    </row>
    <row r="12424" spans="1:1" x14ac:dyDescent="0.25">
      <c r="A12424" s="5"/>
    </row>
    <row r="12425" spans="1:1" x14ac:dyDescent="0.25">
      <c r="A12425" s="5"/>
    </row>
    <row r="12426" spans="1:1" x14ac:dyDescent="0.25">
      <c r="A12426" s="5"/>
    </row>
    <row r="12427" spans="1:1" x14ac:dyDescent="0.25">
      <c r="A12427" s="5"/>
    </row>
    <row r="12428" spans="1:1" x14ac:dyDescent="0.25">
      <c r="A12428" s="5"/>
    </row>
    <row r="12429" spans="1:1" x14ac:dyDescent="0.25">
      <c r="A12429" s="5"/>
    </row>
    <row r="12430" spans="1:1" x14ac:dyDescent="0.25">
      <c r="A12430" s="5"/>
    </row>
    <row r="12431" spans="1:1" x14ac:dyDescent="0.25">
      <c r="A12431" s="5"/>
    </row>
    <row r="12432" spans="1:1" x14ac:dyDescent="0.25">
      <c r="A12432" s="5"/>
    </row>
    <row r="12433" spans="1:1" x14ac:dyDescent="0.25">
      <c r="A12433" s="5"/>
    </row>
    <row r="12434" spans="1:1" x14ac:dyDescent="0.25">
      <c r="A12434" s="5"/>
    </row>
    <row r="12435" spans="1:1" x14ac:dyDescent="0.25">
      <c r="A12435" s="5"/>
    </row>
    <row r="12436" spans="1:1" x14ac:dyDescent="0.25">
      <c r="A12436" s="5"/>
    </row>
    <row r="12437" spans="1:1" x14ac:dyDescent="0.25">
      <c r="A12437" s="5"/>
    </row>
    <row r="12438" spans="1:1" x14ac:dyDescent="0.25">
      <c r="A12438" s="5"/>
    </row>
    <row r="12439" spans="1:1" x14ac:dyDescent="0.25">
      <c r="A12439" s="5"/>
    </row>
    <row r="12440" spans="1:1" x14ac:dyDescent="0.25">
      <c r="A12440" s="5"/>
    </row>
    <row r="12441" spans="1:1" x14ac:dyDescent="0.25">
      <c r="A12441" s="5"/>
    </row>
    <row r="12442" spans="1:1" x14ac:dyDescent="0.25">
      <c r="A12442" s="5"/>
    </row>
    <row r="12443" spans="1:1" x14ac:dyDescent="0.25">
      <c r="A12443" s="5"/>
    </row>
    <row r="12444" spans="1:1" x14ac:dyDescent="0.25">
      <c r="A12444" s="5"/>
    </row>
    <row r="12445" spans="1:1" x14ac:dyDescent="0.25">
      <c r="A12445" s="5"/>
    </row>
    <row r="12446" spans="1:1" x14ac:dyDescent="0.25">
      <c r="A12446" s="5"/>
    </row>
    <row r="12447" spans="1:1" x14ac:dyDescent="0.25">
      <c r="A12447" s="5"/>
    </row>
    <row r="12448" spans="1:1" x14ac:dyDescent="0.25">
      <c r="A12448" s="5"/>
    </row>
    <row r="12449" spans="1:1" x14ac:dyDescent="0.25">
      <c r="A12449" s="5"/>
    </row>
    <row r="12450" spans="1:1" x14ac:dyDescent="0.25">
      <c r="A12450" s="5"/>
    </row>
    <row r="12451" spans="1:1" x14ac:dyDescent="0.25">
      <c r="A12451" s="5"/>
    </row>
    <row r="12452" spans="1:1" x14ac:dyDescent="0.25">
      <c r="A12452" s="5"/>
    </row>
    <row r="12453" spans="1:1" x14ac:dyDescent="0.25">
      <c r="A12453" s="5"/>
    </row>
    <row r="12454" spans="1:1" x14ac:dyDescent="0.25">
      <c r="A12454" s="5"/>
    </row>
    <row r="12455" spans="1:1" x14ac:dyDescent="0.25">
      <c r="A12455" s="5"/>
    </row>
    <row r="12456" spans="1:1" x14ac:dyDescent="0.25">
      <c r="A12456" s="5"/>
    </row>
    <row r="12457" spans="1:1" x14ac:dyDescent="0.25">
      <c r="A12457" s="5"/>
    </row>
    <row r="12458" spans="1:1" x14ac:dyDescent="0.25">
      <c r="A12458" s="5"/>
    </row>
    <row r="12459" spans="1:1" x14ac:dyDescent="0.25">
      <c r="A12459" s="5"/>
    </row>
    <row r="12460" spans="1:1" x14ac:dyDescent="0.25">
      <c r="A12460" s="5"/>
    </row>
    <row r="12461" spans="1:1" x14ac:dyDescent="0.25">
      <c r="A12461" s="5"/>
    </row>
    <row r="12462" spans="1:1" x14ac:dyDescent="0.25">
      <c r="A12462" s="5"/>
    </row>
    <row r="12463" spans="1:1" x14ac:dyDescent="0.25">
      <c r="A12463" s="5"/>
    </row>
    <row r="12464" spans="1:1" x14ac:dyDescent="0.25">
      <c r="A12464" s="5"/>
    </row>
    <row r="12465" spans="1:1" x14ac:dyDescent="0.25">
      <c r="A12465" s="5"/>
    </row>
    <row r="12466" spans="1:1" x14ac:dyDescent="0.25">
      <c r="A12466" s="5"/>
    </row>
    <row r="12467" spans="1:1" x14ac:dyDescent="0.25">
      <c r="A12467" s="5"/>
    </row>
    <row r="12468" spans="1:1" x14ac:dyDescent="0.25">
      <c r="A12468" s="5"/>
    </row>
    <row r="12469" spans="1:1" x14ac:dyDescent="0.25">
      <c r="A12469" s="5"/>
    </row>
    <row r="12470" spans="1:1" x14ac:dyDescent="0.25">
      <c r="A12470" s="5"/>
    </row>
    <row r="12471" spans="1:1" x14ac:dyDescent="0.25">
      <c r="A12471" s="5"/>
    </row>
    <row r="12472" spans="1:1" x14ac:dyDescent="0.25">
      <c r="A12472" s="5"/>
    </row>
    <row r="12473" spans="1:1" x14ac:dyDescent="0.25">
      <c r="A12473" s="5"/>
    </row>
    <row r="12474" spans="1:1" x14ac:dyDescent="0.25">
      <c r="A12474" s="5"/>
    </row>
    <row r="12475" spans="1:1" x14ac:dyDescent="0.25">
      <c r="A12475" s="5"/>
    </row>
    <row r="12476" spans="1:1" x14ac:dyDescent="0.25">
      <c r="A12476" s="5"/>
    </row>
    <row r="12477" spans="1:1" x14ac:dyDescent="0.25">
      <c r="A12477" s="5"/>
    </row>
    <row r="12478" spans="1:1" x14ac:dyDescent="0.25">
      <c r="A12478" s="5"/>
    </row>
    <row r="12479" spans="1:1" x14ac:dyDescent="0.25">
      <c r="A12479" s="5"/>
    </row>
    <row r="12480" spans="1:1" x14ac:dyDescent="0.25">
      <c r="A12480" s="5"/>
    </row>
    <row r="12481" spans="1:1" x14ac:dyDescent="0.25">
      <c r="A12481" s="5"/>
    </row>
    <row r="12482" spans="1:1" x14ac:dyDescent="0.25">
      <c r="A12482" s="5"/>
    </row>
    <row r="12483" spans="1:1" x14ac:dyDescent="0.25">
      <c r="A12483" s="5"/>
    </row>
    <row r="12484" spans="1:1" x14ac:dyDescent="0.25">
      <c r="A12484" s="5"/>
    </row>
    <row r="12485" spans="1:1" x14ac:dyDescent="0.25">
      <c r="A12485" s="5"/>
    </row>
    <row r="12486" spans="1:1" x14ac:dyDescent="0.25">
      <c r="A12486" s="5"/>
    </row>
    <row r="12487" spans="1:1" x14ac:dyDescent="0.25">
      <c r="A12487" s="5"/>
    </row>
    <row r="12488" spans="1:1" x14ac:dyDescent="0.25">
      <c r="A12488" s="5"/>
    </row>
    <row r="12489" spans="1:1" x14ac:dyDescent="0.25">
      <c r="A12489" s="5"/>
    </row>
    <row r="12490" spans="1:1" x14ac:dyDescent="0.25">
      <c r="A12490" s="5"/>
    </row>
    <row r="12491" spans="1:1" x14ac:dyDescent="0.25">
      <c r="A12491" s="5"/>
    </row>
    <row r="12492" spans="1:1" x14ac:dyDescent="0.25">
      <c r="A12492" s="5"/>
    </row>
    <row r="12493" spans="1:1" x14ac:dyDescent="0.25">
      <c r="A12493" s="5"/>
    </row>
    <row r="12494" spans="1:1" x14ac:dyDescent="0.25">
      <c r="A12494" s="5"/>
    </row>
    <row r="12495" spans="1:1" x14ac:dyDescent="0.25">
      <c r="A12495" s="5"/>
    </row>
    <row r="12496" spans="1:1" x14ac:dyDescent="0.25">
      <c r="A12496" s="5"/>
    </row>
    <row r="12497" spans="1:1" x14ac:dyDescent="0.25">
      <c r="A12497" s="5"/>
    </row>
    <row r="12498" spans="1:1" x14ac:dyDescent="0.25">
      <c r="A12498" s="5"/>
    </row>
    <row r="12499" spans="1:1" x14ac:dyDescent="0.25">
      <c r="A12499" s="5"/>
    </row>
    <row r="12500" spans="1:1" x14ac:dyDescent="0.25">
      <c r="A12500" s="5"/>
    </row>
    <row r="12501" spans="1:1" x14ac:dyDescent="0.25">
      <c r="A12501" s="5"/>
    </row>
    <row r="12502" spans="1:1" x14ac:dyDescent="0.25">
      <c r="A12502" s="5"/>
    </row>
    <row r="12503" spans="1:1" x14ac:dyDescent="0.25">
      <c r="A12503" s="5"/>
    </row>
    <row r="12504" spans="1:1" x14ac:dyDescent="0.25">
      <c r="A12504" s="5"/>
    </row>
    <row r="12505" spans="1:1" x14ac:dyDescent="0.25">
      <c r="A12505" s="5"/>
    </row>
    <row r="12506" spans="1:1" x14ac:dyDescent="0.25">
      <c r="A12506" s="5"/>
    </row>
    <row r="12507" spans="1:1" x14ac:dyDescent="0.25">
      <c r="A12507" s="5"/>
    </row>
    <row r="12508" spans="1:1" x14ac:dyDescent="0.25">
      <c r="A12508" s="5"/>
    </row>
    <row r="12509" spans="1:1" x14ac:dyDescent="0.25">
      <c r="A12509" s="5"/>
    </row>
    <row r="12510" spans="1:1" x14ac:dyDescent="0.25">
      <c r="A12510" s="5"/>
    </row>
    <row r="12511" spans="1:1" x14ac:dyDescent="0.25">
      <c r="A12511" s="5"/>
    </row>
    <row r="12512" spans="1:1" x14ac:dyDescent="0.25">
      <c r="A12512" s="5"/>
    </row>
    <row r="12513" spans="1:1" x14ac:dyDescent="0.25">
      <c r="A12513" s="5"/>
    </row>
    <row r="12514" spans="1:1" x14ac:dyDescent="0.25">
      <c r="A12514" s="5"/>
    </row>
    <row r="12515" spans="1:1" x14ac:dyDescent="0.25">
      <c r="A12515" s="5"/>
    </row>
    <row r="12516" spans="1:1" x14ac:dyDescent="0.25">
      <c r="A12516" s="5"/>
    </row>
    <row r="12517" spans="1:1" x14ac:dyDescent="0.25">
      <c r="A12517" s="5"/>
    </row>
    <row r="12518" spans="1:1" x14ac:dyDescent="0.25">
      <c r="A12518" s="5"/>
    </row>
    <row r="12519" spans="1:1" x14ac:dyDescent="0.25">
      <c r="A12519" s="5"/>
    </row>
    <row r="12520" spans="1:1" x14ac:dyDescent="0.25">
      <c r="A12520" s="5"/>
    </row>
    <row r="12521" spans="1:1" x14ac:dyDescent="0.25">
      <c r="A12521" s="5"/>
    </row>
    <row r="12522" spans="1:1" x14ac:dyDescent="0.25">
      <c r="A12522" s="5"/>
    </row>
    <row r="12523" spans="1:1" x14ac:dyDescent="0.25">
      <c r="A12523" s="5"/>
    </row>
    <row r="12524" spans="1:1" x14ac:dyDescent="0.25">
      <c r="A12524" s="5"/>
    </row>
    <row r="12525" spans="1:1" x14ac:dyDescent="0.25">
      <c r="A12525" s="5"/>
    </row>
    <row r="12526" spans="1:1" x14ac:dyDescent="0.25">
      <c r="A12526" s="5"/>
    </row>
    <row r="12527" spans="1:1" x14ac:dyDescent="0.25">
      <c r="A12527" s="5"/>
    </row>
    <row r="12528" spans="1:1" x14ac:dyDescent="0.25">
      <c r="A12528" s="5"/>
    </row>
    <row r="12529" spans="1:1" x14ac:dyDescent="0.25">
      <c r="A12529" s="5"/>
    </row>
    <row r="12530" spans="1:1" x14ac:dyDescent="0.25">
      <c r="A12530" s="5"/>
    </row>
    <row r="12531" spans="1:1" x14ac:dyDescent="0.25">
      <c r="A12531" s="5"/>
    </row>
    <row r="12532" spans="1:1" x14ac:dyDescent="0.25">
      <c r="A12532" s="5"/>
    </row>
    <row r="12533" spans="1:1" x14ac:dyDescent="0.25">
      <c r="A12533" s="5"/>
    </row>
    <row r="12534" spans="1:1" x14ac:dyDescent="0.25">
      <c r="A12534" s="5"/>
    </row>
    <row r="12535" spans="1:1" x14ac:dyDescent="0.25">
      <c r="A12535" s="5"/>
    </row>
    <row r="12536" spans="1:1" x14ac:dyDescent="0.25">
      <c r="A12536" s="5"/>
    </row>
    <row r="12537" spans="1:1" x14ac:dyDescent="0.25">
      <c r="A12537" s="5"/>
    </row>
    <row r="12538" spans="1:1" x14ac:dyDescent="0.25">
      <c r="A12538" s="5"/>
    </row>
    <row r="12539" spans="1:1" x14ac:dyDescent="0.25">
      <c r="A12539" s="5"/>
    </row>
    <row r="12540" spans="1:1" x14ac:dyDescent="0.25">
      <c r="A12540" s="5"/>
    </row>
    <row r="12541" spans="1:1" x14ac:dyDescent="0.25">
      <c r="A12541" s="5"/>
    </row>
    <row r="12542" spans="1:1" x14ac:dyDescent="0.25">
      <c r="A12542" s="5"/>
    </row>
    <row r="12543" spans="1:1" x14ac:dyDescent="0.25">
      <c r="A12543" s="5"/>
    </row>
    <row r="12544" spans="1:1" x14ac:dyDescent="0.25">
      <c r="A12544" s="5"/>
    </row>
    <row r="12545" spans="1:1" x14ac:dyDescent="0.25">
      <c r="A12545" s="5"/>
    </row>
    <row r="12546" spans="1:1" x14ac:dyDescent="0.25">
      <c r="A12546" s="5"/>
    </row>
    <row r="12547" spans="1:1" x14ac:dyDescent="0.25">
      <c r="A12547" s="5"/>
    </row>
    <row r="12548" spans="1:1" x14ac:dyDescent="0.25">
      <c r="A12548" s="5"/>
    </row>
    <row r="12549" spans="1:1" x14ac:dyDescent="0.25">
      <c r="A12549" s="5"/>
    </row>
    <row r="12550" spans="1:1" x14ac:dyDescent="0.25">
      <c r="A12550" s="5"/>
    </row>
    <row r="12551" spans="1:1" x14ac:dyDescent="0.25">
      <c r="A12551" s="5"/>
    </row>
    <row r="12552" spans="1:1" x14ac:dyDescent="0.25">
      <c r="A12552" s="5"/>
    </row>
    <row r="12553" spans="1:1" x14ac:dyDescent="0.25">
      <c r="A12553" s="5"/>
    </row>
    <row r="12554" spans="1:1" x14ac:dyDescent="0.25">
      <c r="A12554" s="5"/>
    </row>
    <row r="12555" spans="1:1" x14ac:dyDescent="0.25">
      <c r="A12555" s="5"/>
    </row>
    <row r="12556" spans="1:1" x14ac:dyDescent="0.25">
      <c r="A12556" s="5"/>
    </row>
    <row r="12557" spans="1:1" x14ac:dyDescent="0.25">
      <c r="A12557" s="5"/>
    </row>
    <row r="12558" spans="1:1" x14ac:dyDescent="0.25">
      <c r="A12558" s="5"/>
    </row>
    <row r="12559" spans="1:1" x14ac:dyDescent="0.25">
      <c r="A12559" s="5"/>
    </row>
    <row r="12560" spans="1:1" x14ac:dyDescent="0.25">
      <c r="A12560" s="5"/>
    </row>
    <row r="12561" spans="1:1" x14ac:dyDescent="0.25">
      <c r="A12561" s="5"/>
    </row>
    <row r="12562" spans="1:1" x14ac:dyDescent="0.25">
      <c r="A12562" s="5"/>
    </row>
    <row r="12563" spans="1:1" x14ac:dyDescent="0.25">
      <c r="A12563" s="5"/>
    </row>
    <row r="12564" spans="1:1" x14ac:dyDescent="0.25">
      <c r="A12564" s="5"/>
    </row>
    <row r="12565" spans="1:1" x14ac:dyDescent="0.25">
      <c r="A12565" s="5"/>
    </row>
    <row r="12566" spans="1:1" x14ac:dyDescent="0.25">
      <c r="A12566" s="5"/>
    </row>
    <row r="12567" spans="1:1" x14ac:dyDescent="0.25">
      <c r="A12567" s="5"/>
    </row>
    <row r="12568" spans="1:1" x14ac:dyDescent="0.25">
      <c r="A12568" s="5"/>
    </row>
    <row r="12569" spans="1:1" x14ac:dyDescent="0.25">
      <c r="A12569" s="5"/>
    </row>
    <row r="12570" spans="1:1" x14ac:dyDescent="0.25">
      <c r="A12570" s="5"/>
    </row>
    <row r="12571" spans="1:1" x14ac:dyDescent="0.25">
      <c r="A12571" s="5"/>
    </row>
    <row r="12572" spans="1:1" x14ac:dyDescent="0.25">
      <c r="A12572" s="5"/>
    </row>
    <row r="12573" spans="1:1" x14ac:dyDescent="0.25">
      <c r="A12573" s="5"/>
    </row>
    <row r="12574" spans="1:1" x14ac:dyDescent="0.25">
      <c r="A12574" s="5"/>
    </row>
    <row r="12575" spans="1:1" x14ac:dyDescent="0.25">
      <c r="A12575" s="5"/>
    </row>
    <row r="12576" spans="1:1" x14ac:dyDescent="0.25">
      <c r="A12576" s="5"/>
    </row>
    <row r="12577" spans="1:1" x14ac:dyDescent="0.25">
      <c r="A12577" s="5"/>
    </row>
    <row r="12578" spans="1:1" x14ac:dyDescent="0.25">
      <c r="A12578" s="5"/>
    </row>
    <row r="12579" spans="1:1" x14ac:dyDescent="0.25">
      <c r="A12579" s="5"/>
    </row>
    <row r="12580" spans="1:1" x14ac:dyDescent="0.25">
      <c r="A12580" s="5"/>
    </row>
    <row r="12581" spans="1:1" x14ac:dyDescent="0.25">
      <c r="A12581" s="5"/>
    </row>
    <row r="12582" spans="1:1" x14ac:dyDescent="0.25">
      <c r="A12582" s="5"/>
    </row>
    <row r="12583" spans="1:1" x14ac:dyDescent="0.25">
      <c r="A12583" s="5"/>
    </row>
    <row r="12584" spans="1:1" x14ac:dyDescent="0.25">
      <c r="A12584" s="5"/>
    </row>
    <row r="12585" spans="1:1" x14ac:dyDescent="0.25">
      <c r="A12585" s="5"/>
    </row>
    <row r="12586" spans="1:1" x14ac:dyDescent="0.25">
      <c r="A12586" s="5"/>
    </row>
    <row r="12587" spans="1:1" x14ac:dyDescent="0.25">
      <c r="A12587" s="5"/>
    </row>
    <row r="12588" spans="1:1" x14ac:dyDescent="0.25">
      <c r="A12588" s="5"/>
    </row>
    <row r="12589" spans="1:1" x14ac:dyDescent="0.25">
      <c r="A12589" s="5"/>
    </row>
    <row r="12590" spans="1:1" x14ac:dyDescent="0.25">
      <c r="A12590" s="5"/>
    </row>
    <row r="12591" spans="1:1" x14ac:dyDescent="0.25">
      <c r="A12591" s="5"/>
    </row>
    <row r="12592" spans="1:1" x14ac:dyDescent="0.25">
      <c r="A12592" s="5"/>
    </row>
    <row r="12593" spans="1:1" x14ac:dyDescent="0.25">
      <c r="A12593" s="5"/>
    </row>
    <row r="12594" spans="1:1" x14ac:dyDescent="0.25">
      <c r="A12594" s="5"/>
    </row>
    <row r="12595" spans="1:1" x14ac:dyDescent="0.25">
      <c r="A12595" s="5"/>
    </row>
    <row r="12596" spans="1:1" x14ac:dyDescent="0.25">
      <c r="A12596" s="5"/>
    </row>
    <row r="12597" spans="1:1" x14ac:dyDescent="0.25">
      <c r="A12597" s="5"/>
    </row>
    <row r="12598" spans="1:1" x14ac:dyDescent="0.25">
      <c r="A12598" s="5"/>
    </row>
    <row r="12599" spans="1:1" x14ac:dyDescent="0.25">
      <c r="A12599" s="5"/>
    </row>
    <row r="12600" spans="1:1" x14ac:dyDescent="0.25">
      <c r="A12600" s="5"/>
    </row>
    <row r="12601" spans="1:1" x14ac:dyDescent="0.25">
      <c r="A12601" s="5"/>
    </row>
    <row r="12602" spans="1:1" x14ac:dyDescent="0.25">
      <c r="A12602" s="5"/>
    </row>
    <row r="12603" spans="1:1" x14ac:dyDescent="0.25">
      <c r="A12603" s="5"/>
    </row>
    <row r="12604" spans="1:1" x14ac:dyDescent="0.25">
      <c r="A12604" s="5"/>
    </row>
    <row r="12605" spans="1:1" x14ac:dyDescent="0.25">
      <c r="A12605" s="5"/>
    </row>
    <row r="12606" spans="1:1" x14ac:dyDescent="0.25">
      <c r="A12606" s="5"/>
    </row>
    <row r="12607" spans="1:1" x14ac:dyDescent="0.25">
      <c r="A12607" s="5"/>
    </row>
    <row r="12608" spans="1:1" x14ac:dyDescent="0.25">
      <c r="A12608" s="5"/>
    </row>
    <row r="12609" spans="1:1" x14ac:dyDescent="0.25">
      <c r="A12609" s="5"/>
    </row>
    <row r="12610" spans="1:1" x14ac:dyDescent="0.25">
      <c r="A12610" s="5"/>
    </row>
    <row r="12611" spans="1:1" x14ac:dyDescent="0.25">
      <c r="A12611" s="5"/>
    </row>
    <row r="12612" spans="1:1" x14ac:dyDescent="0.25">
      <c r="A12612" s="5"/>
    </row>
    <row r="12613" spans="1:1" x14ac:dyDescent="0.25">
      <c r="A12613" s="5"/>
    </row>
    <row r="12614" spans="1:1" x14ac:dyDescent="0.25">
      <c r="A12614" s="5"/>
    </row>
    <row r="12615" spans="1:1" x14ac:dyDescent="0.25">
      <c r="A12615" s="5"/>
    </row>
    <row r="12616" spans="1:1" x14ac:dyDescent="0.25">
      <c r="A12616" s="5"/>
    </row>
    <row r="12617" spans="1:1" x14ac:dyDescent="0.25">
      <c r="A12617" s="5"/>
    </row>
    <row r="12618" spans="1:1" x14ac:dyDescent="0.25">
      <c r="A12618" s="5"/>
    </row>
    <row r="12619" spans="1:1" x14ac:dyDescent="0.25">
      <c r="A12619" s="5"/>
    </row>
    <row r="12620" spans="1:1" x14ac:dyDescent="0.25">
      <c r="A12620" s="5"/>
    </row>
    <row r="12621" spans="1:1" x14ac:dyDescent="0.25">
      <c r="A12621" s="5"/>
    </row>
    <row r="12622" spans="1:1" x14ac:dyDescent="0.25">
      <c r="A12622" s="5"/>
    </row>
    <row r="12623" spans="1:1" x14ac:dyDescent="0.25">
      <c r="A12623" s="5"/>
    </row>
    <row r="12624" spans="1:1" x14ac:dyDescent="0.25">
      <c r="A12624" s="5"/>
    </row>
    <row r="12625" spans="1:1" x14ac:dyDescent="0.25">
      <c r="A12625" s="5"/>
    </row>
    <row r="12626" spans="1:1" x14ac:dyDescent="0.25">
      <c r="A12626" s="5"/>
    </row>
    <row r="12627" spans="1:1" x14ac:dyDescent="0.25">
      <c r="A12627" s="5"/>
    </row>
    <row r="12628" spans="1:1" x14ac:dyDescent="0.25">
      <c r="A12628" s="5"/>
    </row>
    <row r="12629" spans="1:1" x14ac:dyDescent="0.25">
      <c r="A12629" s="5"/>
    </row>
    <row r="12630" spans="1:1" x14ac:dyDescent="0.25">
      <c r="A12630" s="5"/>
    </row>
    <row r="12631" spans="1:1" x14ac:dyDescent="0.25">
      <c r="A12631" s="5"/>
    </row>
    <row r="12632" spans="1:1" x14ac:dyDescent="0.25">
      <c r="A12632" s="5"/>
    </row>
    <row r="12633" spans="1:1" x14ac:dyDescent="0.25">
      <c r="A12633" s="5"/>
    </row>
    <row r="12634" spans="1:1" x14ac:dyDescent="0.25">
      <c r="A12634" s="5"/>
    </row>
    <row r="12635" spans="1:1" x14ac:dyDescent="0.25">
      <c r="A12635" s="5"/>
    </row>
    <row r="12636" spans="1:1" x14ac:dyDescent="0.25">
      <c r="A12636" s="5"/>
    </row>
    <row r="12637" spans="1:1" x14ac:dyDescent="0.25">
      <c r="A12637" s="5"/>
    </row>
    <row r="12638" spans="1:1" x14ac:dyDescent="0.25">
      <c r="A12638" s="5"/>
    </row>
    <row r="12639" spans="1:1" x14ac:dyDescent="0.25">
      <c r="A12639" s="5"/>
    </row>
    <row r="12640" spans="1:1" x14ac:dyDescent="0.25">
      <c r="A12640" s="5"/>
    </row>
    <row r="12641" spans="1:1" x14ac:dyDescent="0.25">
      <c r="A12641" s="5"/>
    </row>
    <row r="12642" spans="1:1" x14ac:dyDescent="0.25">
      <c r="A12642" s="5"/>
    </row>
    <row r="12643" spans="1:1" x14ac:dyDescent="0.25">
      <c r="A12643" s="5"/>
    </row>
    <row r="12644" spans="1:1" x14ac:dyDescent="0.25">
      <c r="A12644" s="5"/>
    </row>
    <row r="12645" spans="1:1" x14ac:dyDescent="0.25">
      <c r="A12645" s="5"/>
    </row>
    <row r="12646" spans="1:1" x14ac:dyDescent="0.25">
      <c r="A12646" s="5"/>
    </row>
    <row r="12647" spans="1:1" x14ac:dyDescent="0.25">
      <c r="A12647" s="5"/>
    </row>
    <row r="12648" spans="1:1" x14ac:dyDescent="0.25">
      <c r="A12648" s="5"/>
    </row>
    <row r="12649" spans="1:1" x14ac:dyDescent="0.25">
      <c r="A12649" s="5"/>
    </row>
    <row r="12650" spans="1:1" x14ac:dyDescent="0.25">
      <c r="A12650" s="5"/>
    </row>
    <row r="12651" spans="1:1" x14ac:dyDescent="0.25">
      <c r="A12651" s="5"/>
    </row>
    <row r="12652" spans="1:1" x14ac:dyDescent="0.25">
      <c r="A12652" s="5"/>
    </row>
    <row r="12653" spans="1:1" x14ac:dyDescent="0.25">
      <c r="A12653" s="5"/>
    </row>
    <row r="12654" spans="1:1" x14ac:dyDescent="0.25">
      <c r="A12654" s="5"/>
    </row>
    <row r="12655" spans="1:1" x14ac:dyDescent="0.25">
      <c r="A12655" s="5"/>
    </row>
    <row r="12656" spans="1:1" x14ac:dyDescent="0.25">
      <c r="A12656" s="5"/>
    </row>
    <row r="12657" spans="1:1" x14ac:dyDescent="0.25">
      <c r="A12657" s="5"/>
    </row>
    <row r="12658" spans="1:1" x14ac:dyDescent="0.25">
      <c r="A12658" s="5"/>
    </row>
    <row r="12659" spans="1:1" x14ac:dyDescent="0.25">
      <c r="A12659" s="5"/>
    </row>
    <row r="12660" spans="1:1" x14ac:dyDescent="0.25">
      <c r="A12660" s="5"/>
    </row>
    <row r="12661" spans="1:1" x14ac:dyDescent="0.25">
      <c r="A12661" s="5"/>
    </row>
    <row r="12662" spans="1:1" x14ac:dyDescent="0.25">
      <c r="A12662" s="5"/>
    </row>
    <row r="12663" spans="1:1" x14ac:dyDescent="0.25">
      <c r="A12663" s="5"/>
    </row>
    <row r="12664" spans="1:1" x14ac:dyDescent="0.25">
      <c r="A12664" s="5"/>
    </row>
    <row r="12665" spans="1:1" x14ac:dyDescent="0.25">
      <c r="A12665" s="5"/>
    </row>
    <row r="12666" spans="1:1" x14ac:dyDescent="0.25">
      <c r="A12666" s="5"/>
    </row>
    <row r="12667" spans="1:1" x14ac:dyDescent="0.25">
      <c r="A12667" s="5"/>
    </row>
    <row r="12668" spans="1:1" x14ac:dyDescent="0.25">
      <c r="A12668" s="5"/>
    </row>
    <row r="12669" spans="1:1" x14ac:dyDescent="0.25">
      <c r="A12669" s="5"/>
    </row>
    <row r="12670" spans="1:1" x14ac:dyDescent="0.25">
      <c r="A12670" s="5"/>
    </row>
    <row r="12671" spans="1:1" x14ac:dyDescent="0.25">
      <c r="A12671" s="5"/>
    </row>
    <row r="12672" spans="1:1" x14ac:dyDescent="0.25">
      <c r="A12672" s="5"/>
    </row>
    <row r="12673" spans="1:1" x14ac:dyDescent="0.25">
      <c r="A12673" s="5"/>
    </row>
    <row r="12674" spans="1:1" x14ac:dyDescent="0.25">
      <c r="A12674" s="5"/>
    </row>
    <row r="12675" spans="1:1" x14ac:dyDescent="0.25">
      <c r="A12675" s="5"/>
    </row>
    <row r="12676" spans="1:1" x14ac:dyDescent="0.25">
      <c r="A12676" s="5"/>
    </row>
    <row r="12677" spans="1:1" x14ac:dyDescent="0.25">
      <c r="A12677" s="5"/>
    </row>
    <row r="12678" spans="1:1" x14ac:dyDescent="0.25">
      <c r="A12678" s="5"/>
    </row>
    <row r="12679" spans="1:1" x14ac:dyDescent="0.25">
      <c r="A12679" s="5"/>
    </row>
    <row r="12680" spans="1:1" x14ac:dyDescent="0.25">
      <c r="A12680" s="5"/>
    </row>
    <row r="12681" spans="1:1" x14ac:dyDescent="0.25">
      <c r="A12681" s="5"/>
    </row>
    <row r="12682" spans="1:1" x14ac:dyDescent="0.25">
      <c r="A12682" s="5"/>
    </row>
    <row r="12683" spans="1:1" x14ac:dyDescent="0.25">
      <c r="A12683" s="5"/>
    </row>
    <row r="12684" spans="1:1" x14ac:dyDescent="0.25">
      <c r="A12684" s="5"/>
    </row>
    <row r="12685" spans="1:1" x14ac:dyDescent="0.25">
      <c r="A12685" s="5"/>
    </row>
    <row r="12686" spans="1:1" x14ac:dyDescent="0.25">
      <c r="A12686" s="5"/>
    </row>
    <row r="12687" spans="1:1" x14ac:dyDescent="0.25">
      <c r="A12687" s="5"/>
    </row>
    <row r="12688" spans="1:1" x14ac:dyDescent="0.25">
      <c r="A12688" s="5"/>
    </row>
    <row r="12689" spans="1:1" x14ac:dyDescent="0.25">
      <c r="A12689" s="5"/>
    </row>
    <row r="12690" spans="1:1" x14ac:dyDescent="0.25">
      <c r="A12690" s="5"/>
    </row>
    <row r="12691" spans="1:1" x14ac:dyDescent="0.25">
      <c r="A12691" s="5"/>
    </row>
    <row r="12692" spans="1:1" x14ac:dyDescent="0.25">
      <c r="A12692" s="5"/>
    </row>
    <row r="12693" spans="1:1" x14ac:dyDescent="0.25">
      <c r="A12693" s="5"/>
    </row>
    <row r="12694" spans="1:1" x14ac:dyDescent="0.25">
      <c r="A12694" s="5"/>
    </row>
    <row r="12695" spans="1:1" x14ac:dyDescent="0.25">
      <c r="A12695" s="5"/>
    </row>
    <row r="12696" spans="1:1" x14ac:dyDescent="0.25">
      <c r="A12696" s="5"/>
    </row>
    <row r="12697" spans="1:1" x14ac:dyDescent="0.25">
      <c r="A12697" s="5"/>
    </row>
    <row r="12698" spans="1:1" x14ac:dyDescent="0.25">
      <c r="A12698" s="5"/>
    </row>
    <row r="12699" spans="1:1" x14ac:dyDescent="0.25">
      <c r="A12699" s="5"/>
    </row>
    <row r="12700" spans="1:1" x14ac:dyDescent="0.25">
      <c r="A12700" s="5"/>
    </row>
    <row r="12701" spans="1:1" x14ac:dyDescent="0.25">
      <c r="A12701" s="5"/>
    </row>
    <row r="12702" spans="1:1" x14ac:dyDescent="0.25">
      <c r="A12702" s="5"/>
    </row>
    <row r="12703" spans="1:1" x14ac:dyDescent="0.25">
      <c r="A12703" s="5"/>
    </row>
    <row r="12704" spans="1:1" x14ac:dyDescent="0.25">
      <c r="A12704" s="5"/>
    </row>
    <row r="12705" spans="1:1" x14ac:dyDescent="0.25">
      <c r="A12705" s="5"/>
    </row>
    <row r="12706" spans="1:1" x14ac:dyDescent="0.25">
      <c r="A12706" s="5"/>
    </row>
    <row r="12707" spans="1:1" x14ac:dyDescent="0.25">
      <c r="A12707" s="5"/>
    </row>
    <row r="12708" spans="1:1" x14ac:dyDescent="0.25">
      <c r="A12708" s="5"/>
    </row>
    <row r="12709" spans="1:1" x14ac:dyDescent="0.25">
      <c r="A12709" s="5"/>
    </row>
    <row r="12710" spans="1:1" x14ac:dyDescent="0.25">
      <c r="A12710" s="5"/>
    </row>
    <row r="12711" spans="1:1" x14ac:dyDescent="0.25">
      <c r="A12711" s="5"/>
    </row>
    <row r="12712" spans="1:1" x14ac:dyDescent="0.25">
      <c r="A12712" s="5"/>
    </row>
    <row r="12713" spans="1:1" x14ac:dyDescent="0.25">
      <c r="A12713" s="5"/>
    </row>
    <row r="12714" spans="1:1" x14ac:dyDescent="0.25">
      <c r="A12714" s="5"/>
    </row>
    <row r="12715" spans="1:1" x14ac:dyDescent="0.25">
      <c r="A12715" s="5"/>
    </row>
    <row r="12716" spans="1:1" x14ac:dyDescent="0.25">
      <c r="A12716" s="5"/>
    </row>
    <row r="12717" spans="1:1" x14ac:dyDescent="0.25">
      <c r="A12717" s="5"/>
    </row>
    <row r="12718" spans="1:1" x14ac:dyDescent="0.25">
      <c r="A12718" s="5"/>
    </row>
    <row r="12719" spans="1:1" x14ac:dyDescent="0.25">
      <c r="A12719" s="5"/>
    </row>
    <row r="12720" spans="1:1" x14ac:dyDescent="0.25">
      <c r="A12720" s="5"/>
    </row>
    <row r="12721" spans="1:1" x14ac:dyDescent="0.25">
      <c r="A12721" s="5"/>
    </row>
    <row r="12722" spans="1:1" x14ac:dyDescent="0.25">
      <c r="A12722" s="5"/>
    </row>
    <row r="12723" spans="1:1" x14ac:dyDescent="0.25">
      <c r="A12723" s="5"/>
    </row>
    <row r="12724" spans="1:1" x14ac:dyDescent="0.25">
      <c r="A12724" s="5"/>
    </row>
    <row r="12725" spans="1:1" x14ac:dyDescent="0.25">
      <c r="A12725" s="5"/>
    </row>
    <row r="12726" spans="1:1" x14ac:dyDescent="0.25">
      <c r="A12726" s="5"/>
    </row>
    <row r="12727" spans="1:1" x14ac:dyDescent="0.25">
      <c r="A12727" s="5"/>
    </row>
    <row r="12728" spans="1:1" x14ac:dyDescent="0.25">
      <c r="A12728" s="5"/>
    </row>
    <row r="12729" spans="1:1" x14ac:dyDescent="0.25">
      <c r="A12729" s="5"/>
    </row>
    <row r="12730" spans="1:1" x14ac:dyDescent="0.25">
      <c r="A12730" s="5"/>
    </row>
    <row r="12731" spans="1:1" x14ac:dyDescent="0.25">
      <c r="A12731" s="5"/>
    </row>
    <row r="12732" spans="1:1" x14ac:dyDescent="0.25">
      <c r="A12732" s="5"/>
    </row>
    <row r="12733" spans="1:1" x14ac:dyDescent="0.25">
      <c r="A12733" s="5"/>
    </row>
    <row r="12734" spans="1:1" x14ac:dyDescent="0.25">
      <c r="A12734" s="5"/>
    </row>
    <row r="12735" spans="1:1" x14ac:dyDescent="0.25">
      <c r="A12735" s="5"/>
    </row>
    <row r="12736" spans="1:1" x14ac:dyDescent="0.25">
      <c r="A12736" s="5"/>
    </row>
    <row r="12737" spans="1:1" x14ac:dyDescent="0.25">
      <c r="A12737" s="5"/>
    </row>
    <row r="12738" spans="1:1" x14ac:dyDescent="0.25">
      <c r="A12738" s="5"/>
    </row>
    <row r="12739" spans="1:1" x14ac:dyDescent="0.25">
      <c r="A12739" s="5"/>
    </row>
    <row r="12740" spans="1:1" x14ac:dyDescent="0.25">
      <c r="A12740" s="5"/>
    </row>
    <row r="12741" spans="1:1" x14ac:dyDescent="0.25">
      <c r="A12741" s="5"/>
    </row>
    <row r="12742" spans="1:1" x14ac:dyDescent="0.25">
      <c r="A12742" s="5"/>
    </row>
    <row r="12743" spans="1:1" x14ac:dyDescent="0.25">
      <c r="A12743" s="5"/>
    </row>
    <row r="12744" spans="1:1" x14ac:dyDescent="0.25">
      <c r="A12744" s="5"/>
    </row>
    <row r="12745" spans="1:1" x14ac:dyDescent="0.25">
      <c r="A12745" s="5"/>
    </row>
    <row r="12746" spans="1:1" x14ac:dyDescent="0.25">
      <c r="A12746" s="5"/>
    </row>
    <row r="12747" spans="1:1" x14ac:dyDescent="0.25">
      <c r="A12747" s="5"/>
    </row>
    <row r="12748" spans="1:1" x14ac:dyDescent="0.25">
      <c r="A12748" s="5"/>
    </row>
    <row r="12749" spans="1:1" x14ac:dyDescent="0.25">
      <c r="A12749" s="5"/>
    </row>
    <row r="12750" spans="1:1" x14ac:dyDescent="0.25">
      <c r="A12750" s="5"/>
    </row>
    <row r="12751" spans="1:1" x14ac:dyDescent="0.25">
      <c r="A12751" s="5"/>
    </row>
    <row r="12752" spans="1:1" x14ac:dyDescent="0.25">
      <c r="A12752" s="5"/>
    </row>
    <row r="12753" spans="1:1" x14ac:dyDescent="0.25">
      <c r="A12753" s="5"/>
    </row>
    <row r="12754" spans="1:1" x14ac:dyDescent="0.25">
      <c r="A12754" s="5"/>
    </row>
    <row r="12755" spans="1:1" x14ac:dyDescent="0.25">
      <c r="A12755" s="5"/>
    </row>
    <row r="12756" spans="1:1" x14ac:dyDescent="0.25">
      <c r="A12756" s="5"/>
    </row>
    <row r="12757" spans="1:1" x14ac:dyDescent="0.25">
      <c r="A12757" s="5"/>
    </row>
    <row r="12758" spans="1:1" x14ac:dyDescent="0.25">
      <c r="A12758" s="5"/>
    </row>
    <row r="12759" spans="1:1" x14ac:dyDescent="0.25">
      <c r="A12759" s="5"/>
    </row>
    <row r="12760" spans="1:1" x14ac:dyDescent="0.25">
      <c r="A12760" s="5"/>
    </row>
    <row r="12761" spans="1:1" x14ac:dyDescent="0.25">
      <c r="A12761" s="5"/>
    </row>
    <row r="12762" spans="1:1" x14ac:dyDescent="0.25">
      <c r="A12762" s="5"/>
    </row>
    <row r="12763" spans="1:1" x14ac:dyDescent="0.25">
      <c r="A12763" s="5"/>
    </row>
    <row r="12764" spans="1:1" x14ac:dyDescent="0.25">
      <c r="A12764" s="5"/>
    </row>
    <row r="12765" spans="1:1" x14ac:dyDescent="0.25">
      <c r="A12765" s="5"/>
    </row>
    <row r="12766" spans="1:1" x14ac:dyDescent="0.25">
      <c r="A12766" s="5"/>
    </row>
    <row r="12767" spans="1:1" x14ac:dyDescent="0.25">
      <c r="A12767" s="5"/>
    </row>
    <row r="12768" spans="1:1" x14ac:dyDescent="0.25">
      <c r="A12768" s="5"/>
    </row>
    <row r="12769" spans="1:1" x14ac:dyDescent="0.25">
      <c r="A12769" s="5"/>
    </row>
    <row r="12770" spans="1:1" x14ac:dyDescent="0.25">
      <c r="A12770" s="5"/>
    </row>
    <row r="12771" spans="1:1" x14ac:dyDescent="0.25">
      <c r="A12771" s="5"/>
    </row>
    <row r="12772" spans="1:1" x14ac:dyDescent="0.25">
      <c r="A12772" s="5"/>
    </row>
    <row r="12773" spans="1:1" x14ac:dyDescent="0.25">
      <c r="A12773" s="5"/>
    </row>
    <row r="12774" spans="1:1" x14ac:dyDescent="0.25">
      <c r="A12774" s="5"/>
    </row>
    <row r="12775" spans="1:1" x14ac:dyDescent="0.25">
      <c r="A12775" s="5"/>
    </row>
    <row r="12776" spans="1:1" x14ac:dyDescent="0.25">
      <c r="A12776" s="5"/>
    </row>
    <row r="12777" spans="1:1" x14ac:dyDescent="0.25">
      <c r="A12777" s="5"/>
    </row>
    <row r="12778" spans="1:1" x14ac:dyDescent="0.25">
      <c r="A12778" s="5"/>
    </row>
    <row r="12779" spans="1:1" x14ac:dyDescent="0.25">
      <c r="A12779" s="5"/>
    </row>
    <row r="12780" spans="1:1" x14ac:dyDescent="0.25">
      <c r="A12780" s="5"/>
    </row>
    <row r="12781" spans="1:1" x14ac:dyDescent="0.25">
      <c r="A12781" s="5"/>
    </row>
    <row r="12782" spans="1:1" x14ac:dyDescent="0.25">
      <c r="A12782" s="5"/>
    </row>
    <row r="12783" spans="1:1" x14ac:dyDescent="0.25">
      <c r="A12783" s="5"/>
    </row>
    <row r="12784" spans="1:1" x14ac:dyDescent="0.25">
      <c r="A12784" s="5"/>
    </row>
    <row r="12785" spans="1:1" x14ac:dyDescent="0.25">
      <c r="A12785" s="5"/>
    </row>
    <row r="12786" spans="1:1" x14ac:dyDescent="0.25">
      <c r="A12786" s="5"/>
    </row>
    <row r="12787" spans="1:1" x14ac:dyDescent="0.25">
      <c r="A12787" s="5"/>
    </row>
    <row r="12788" spans="1:1" x14ac:dyDescent="0.25">
      <c r="A12788" s="5"/>
    </row>
    <row r="12789" spans="1:1" x14ac:dyDescent="0.25">
      <c r="A12789" s="5"/>
    </row>
    <row r="12790" spans="1:1" x14ac:dyDescent="0.25">
      <c r="A12790" s="5"/>
    </row>
    <row r="12791" spans="1:1" x14ac:dyDescent="0.25">
      <c r="A12791" s="5"/>
    </row>
    <row r="12792" spans="1:1" x14ac:dyDescent="0.25">
      <c r="A12792" s="5"/>
    </row>
    <row r="12793" spans="1:1" x14ac:dyDescent="0.25">
      <c r="A12793" s="5"/>
    </row>
    <row r="12794" spans="1:1" x14ac:dyDescent="0.25">
      <c r="A12794" s="5"/>
    </row>
    <row r="12795" spans="1:1" x14ac:dyDescent="0.25">
      <c r="A12795" s="5"/>
    </row>
    <row r="12796" spans="1:1" x14ac:dyDescent="0.25">
      <c r="A12796" s="5"/>
    </row>
    <row r="12797" spans="1:1" x14ac:dyDescent="0.25">
      <c r="A12797" s="5"/>
    </row>
    <row r="12798" spans="1:1" x14ac:dyDescent="0.25">
      <c r="A12798" s="5"/>
    </row>
    <row r="12799" spans="1:1" x14ac:dyDescent="0.25">
      <c r="A12799" s="5"/>
    </row>
    <row r="12800" spans="1:1" x14ac:dyDescent="0.25">
      <c r="A12800" s="5"/>
    </row>
    <row r="12801" spans="1:1" x14ac:dyDescent="0.25">
      <c r="A12801" s="5"/>
    </row>
    <row r="12802" spans="1:1" x14ac:dyDescent="0.25">
      <c r="A12802" s="5"/>
    </row>
    <row r="12803" spans="1:1" x14ac:dyDescent="0.25">
      <c r="A12803" s="5"/>
    </row>
    <row r="12804" spans="1:1" x14ac:dyDescent="0.25">
      <c r="A12804" s="5"/>
    </row>
    <row r="12805" spans="1:1" x14ac:dyDescent="0.25">
      <c r="A12805" s="5"/>
    </row>
    <row r="12806" spans="1:1" x14ac:dyDescent="0.25">
      <c r="A12806" s="5"/>
    </row>
    <row r="12807" spans="1:1" x14ac:dyDescent="0.25">
      <c r="A12807" s="5"/>
    </row>
    <row r="12808" spans="1:1" x14ac:dyDescent="0.25">
      <c r="A12808" s="5"/>
    </row>
    <row r="12809" spans="1:1" x14ac:dyDescent="0.25">
      <c r="A12809" s="5"/>
    </row>
    <row r="12810" spans="1:1" x14ac:dyDescent="0.25">
      <c r="A12810" s="5"/>
    </row>
    <row r="12811" spans="1:1" x14ac:dyDescent="0.25">
      <c r="A12811" s="5"/>
    </row>
    <row r="12812" spans="1:1" x14ac:dyDescent="0.25">
      <c r="A12812" s="5"/>
    </row>
    <row r="12813" spans="1:1" x14ac:dyDescent="0.25">
      <c r="A12813" s="5"/>
    </row>
    <row r="12814" spans="1:1" x14ac:dyDescent="0.25">
      <c r="A12814" s="5"/>
    </row>
    <row r="12815" spans="1:1" x14ac:dyDescent="0.25">
      <c r="A12815" s="5"/>
    </row>
    <row r="12816" spans="1:1" x14ac:dyDescent="0.25">
      <c r="A12816" s="5"/>
    </row>
    <row r="12817" spans="1:1" x14ac:dyDescent="0.25">
      <c r="A12817" s="5"/>
    </row>
    <row r="12818" spans="1:1" x14ac:dyDescent="0.25">
      <c r="A12818" s="5"/>
    </row>
    <row r="12819" spans="1:1" x14ac:dyDescent="0.25">
      <c r="A12819" s="5"/>
    </row>
    <row r="12820" spans="1:1" x14ac:dyDescent="0.25">
      <c r="A12820" s="5"/>
    </row>
    <row r="12821" spans="1:1" x14ac:dyDescent="0.25">
      <c r="A12821" s="5"/>
    </row>
    <row r="12822" spans="1:1" x14ac:dyDescent="0.25">
      <c r="A12822" s="5"/>
    </row>
    <row r="12823" spans="1:1" x14ac:dyDescent="0.25">
      <c r="A12823" s="5"/>
    </row>
    <row r="12824" spans="1:1" x14ac:dyDescent="0.25">
      <c r="A12824" s="5"/>
    </row>
    <row r="12825" spans="1:1" x14ac:dyDescent="0.25">
      <c r="A12825" s="5"/>
    </row>
    <row r="12826" spans="1:1" x14ac:dyDescent="0.25">
      <c r="A12826" s="5"/>
    </row>
    <row r="12827" spans="1:1" x14ac:dyDescent="0.25">
      <c r="A12827" s="5"/>
    </row>
    <row r="12828" spans="1:1" x14ac:dyDescent="0.25">
      <c r="A12828" s="5"/>
    </row>
    <row r="12829" spans="1:1" x14ac:dyDescent="0.25">
      <c r="A12829" s="5"/>
    </row>
    <row r="12830" spans="1:1" x14ac:dyDescent="0.25">
      <c r="A12830" s="5"/>
    </row>
    <row r="12831" spans="1:1" x14ac:dyDescent="0.25">
      <c r="A12831" s="5"/>
    </row>
    <row r="12832" spans="1:1" x14ac:dyDescent="0.25">
      <c r="A12832" s="5"/>
    </row>
    <row r="12833" spans="1:1" x14ac:dyDescent="0.25">
      <c r="A12833" s="5"/>
    </row>
    <row r="12834" spans="1:1" x14ac:dyDescent="0.25">
      <c r="A12834" s="5"/>
    </row>
    <row r="12835" spans="1:1" x14ac:dyDescent="0.25">
      <c r="A12835" s="5"/>
    </row>
    <row r="12836" spans="1:1" x14ac:dyDescent="0.25">
      <c r="A12836" s="5"/>
    </row>
    <row r="12837" spans="1:1" x14ac:dyDescent="0.25">
      <c r="A12837" s="5"/>
    </row>
    <row r="12838" spans="1:1" x14ac:dyDescent="0.25">
      <c r="A12838" s="5"/>
    </row>
    <row r="12839" spans="1:1" x14ac:dyDescent="0.25">
      <c r="A12839" s="5"/>
    </row>
    <row r="12840" spans="1:1" x14ac:dyDescent="0.25">
      <c r="A12840" s="5"/>
    </row>
    <row r="12841" spans="1:1" x14ac:dyDescent="0.25">
      <c r="A12841" s="5"/>
    </row>
    <row r="12842" spans="1:1" x14ac:dyDescent="0.25">
      <c r="A12842" s="5"/>
    </row>
    <row r="12843" spans="1:1" x14ac:dyDescent="0.25">
      <c r="A12843" s="5"/>
    </row>
    <row r="12844" spans="1:1" x14ac:dyDescent="0.25">
      <c r="A12844" s="5"/>
    </row>
    <row r="12845" spans="1:1" x14ac:dyDescent="0.25">
      <c r="A12845" s="5"/>
    </row>
    <row r="12846" spans="1:1" x14ac:dyDescent="0.25">
      <c r="A12846" s="5"/>
    </row>
    <row r="12847" spans="1:1" x14ac:dyDescent="0.25">
      <c r="A12847" s="5"/>
    </row>
    <row r="12848" spans="1:1" x14ac:dyDescent="0.25">
      <c r="A12848" s="5"/>
    </row>
    <row r="12849" spans="1:1" x14ac:dyDescent="0.25">
      <c r="A12849" s="5"/>
    </row>
    <row r="12850" spans="1:1" x14ac:dyDescent="0.25">
      <c r="A12850" s="5"/>
    </row>
    <row r="12851" spans="1:1" x14ac:dyDescent="0.25">
      <c r="A12851" s="5"/>
    </row>
    <row r="12852" spans="1:1" x14ac:dyDescent="0.25">
      <c r="A12852" s="5"/>
    </row>
    <row r="12853" spans="1:1" x14ac:dyDescent="0.25">
      <c r="A12853" s="5"/>
    </row>
    <row r="12854" spans="1:1" x14ac:dyDescent="0.25">
      <c r="A12854" s="5"/>
    </row>
    <row r="12855" spans="1:1" x14ac:dyDescent="0.25">
      <c r="A12855" s="5"/>
    </row>
    <row r="12856" spans="1:1" x14ac:dyDescent="0.25">
      <c r="A12856" s="5"/>
    </row>
    <row r="12857" spans="1:1" x14ac:dyDescent="0.25">
      <c r="A12857" s="5"/>
    </row>
    <row r="12858" spans="1:1" x14ac:dyDescent="0.25">
      <c r="A12858" s="5"/>
    </row>
    <row r="12859" spans="1:1" x14ac:dyDescent="0.25">
      <c r="A12859" s="5"/>
    </row>
    <row r="12860" spans="1:1" x14ac:dyDescent="0.25">
      <c r="A12860" s="5"/>
    </row>
    <row r="12861" spans="1:1" x14ac:dyDescent="0.25">
      <c r="A12861" s="5"/>
    </row>
    <row r="12862" spans="1:1" x14ac:dyDescent="0.25">
      <c r="A12862" s="5"/>
    </row>
    <row r="12863" spans="1:1" x14ac:dyDescent="0.25">
      <c r="A12863" s="5"/>
    </row>
    <row r="12864" spans="1:1" x14ac:dyDescent="0.25">
      <c r="A12864" s="5"/>
    </row>
    <row r="12865" spans="1:1" x14ac:dyDescent="0.25">
      <c r="A12865" s="5"/>
    </row>
    <row r="12866" spans="1:1" x14ac:dyDescent="0.25">
      <c r="A12866" s="5"/>
    </row>
    <row r="12867" spans="1:1" x14ac:dyDescent="0.25">
      <c r="A12867" s="5"/>
    </row>
    <row r="12868" spans="1:1" x14ac:dyDescent="0.25">
      <c r="A12868" s="5"/>
    </row>
    <row r="12869" spans="1:1" x14ac:dyDescent="0.25">
      <c r="A12869" s="5"/>
    </row>
    <row r="12870" spans="1:1" x14ac:dyDescent="0.25">
      <c r="A12870" s="5"/>
    </row>
    <row r="12871" spans="1:1" x14ac:dyDescent="0.25">
      <c r="A12871" s="5"/>
    </row>
    <row r="12872" spans="1:1" x14ac:dyDescent="0.25">
      <c r="A12872" s="5"/>
    </row>
    <row r="12873" spans="1:1" x14ac:dyDescent="0.25">
      <c r="A12873" s="5"/>
    </row>
    <row r="12874" spans="1:1" x14ac:dyDescent="0.25">
      <c r="A12874" s="5"/>
    </row>
    <row r="12875" spans="1:1" x14ac:dyDescent="0.25">
      <c r="A12875" s="5"/>
    </row>
    <row r="12876" spans="1:1" x14ac:dyDescent="0.25">
      <c r="A12876" s="5"/>
    </row>
    <row r="12877" spans="1:1" x14ac:dyDescent="0.25">
      <c r="A12877" s="5"/>
    </row>
    <row r="12878" spans="1:1" x14ac:dyDescent="0.25">
      <c r="A12878" s="5"/>
    </row>
    <row r="12879" spans="1:1" x14ac:dyDescent="0.25">
      <c r="A12879" s="5"/>
    </row>
    <row r="12880" spans="1:1" x14ac:dyDescent="0.25">
      <c r="A12880" s="5"/>
    </row>
    <row r="12881" spans="1:1" x14ac:dyDescent="0.25">
      <c r="A12881" s="5"/>
    </row>
    <row r="12882" spans="1:1" x14ac:dyDescent="0.25">
      <c r="A12882" s="5"/>
    </row>
    <row r="12883" spans="1:1" x14ac:dyDescent="0.25">
      <c r="A12883" s="5"/>
    </row>
    <row r="12884" spans="1:1" x14ac:dyDescent="0.25">
      <c r="A12884" s="5"/>
    </row>
    <row r="12885" spans="1:1" x14ac:dyDescent="0.25">
      <c r="A12885" s="5"/>
    </row>
    <row r="12886" spans="1:1" x14ac:dyDescent="0.25">
      <c r="A12886" s="5"/>
    </row>
    <row r="12887" spans="1:1" x14ac:dyDescent="0.25">
      <c r="A12887" s="5"/>
    </row>
    <row r="12888" spans="1:1" x14ac:dyDescent="0.25">
      <c r="A12888" s="5"/>
    </row>
    <row r="12889" spans="1:1" x14ac:dyDescent="0.25">
      <c r="A12889" s="5"/>
    </row>
    <row r="12890" spans="1:1" x14ac:dyDescent="0.25">
      <c r="A12890" s="5"/>
    </row>
    <row r="12891" spans="1:1" x14ac:dyDescent="0.25">
      <c r="A12891" s="5"/>
    </row>
    <row r="12892" spans="1:1" x14ac:dyDescent="0.25">
      <c r="A12892" s="5"/>
    </row>
    <row r="12893" spans="1:1" x14ac:dyDescent="0.25">
      <c r="A12893" s="5"/>
    </row>
    <row r="12894" spans="1:1" x14ac:dyDescent="0.25">
      <c r="A12894" s="5"/>
    </row>
    <row r="12895" spans="1:1" x14ac:dyDescent="0.25">
      <c r="A12895" s="5"/>
    </row>
    <row r="12896" spans="1:1" x14ac:dyDescent="0.25">
      <c r="A12896" s="5"/>
    </row>
    <row r="12897" spans="1:1" x14ac:dyDescent="0.25">
      <c r="A12897" s="5"/>
    </row>
    <row r="12898" spans="1:1" x14ac:dyDescent="0.25">
      <c r="A12898" s="5"/>
    </row>
    <row r="12899" spans="1:1" x14ac:dyDescent="0.25">
      <c r="A12899" s="5"/>
    </row>
    <row r="12900" spans="1:1" x14ac:dyDescent="0.25">
      <c r="A12900" s="5"/>
    </row>
    <row r="12901" spans="1:1" x14ac:dyDescent="0.25">
      <c r="A12901" s="5"/>
    </row>
    <row r="12902" spans="1:1" x14ac:dyDescent="0.25">
      <c r="A12902" s="5"/>
    </row>
    <row r="12903" spans="1:1" x14ac:dyDescent="0.25">
      <c r="A12903" s="5"/>
    </row>
    <row r="12904" spans="1:1" x14ac:dyDescent="0.25">
      <c r="A12904" s="5"/>
    </row>
    <row r="12905" spans="1:1" x14ac:dyDescent="0.25">
      <c r="A12905" s="5"/>
    </row>
    <row r="12906" spans="1:1" x14ac:dyDescent="0.25">
      <c r="A12906" s="5"/>
    </row>
    <row r="12907" spans="1:1" x14ac:dyDescent="0.25">
      <c r="A12907" s="5"/>
    </row>
    <row r="12908" spans="1:1" x14ac:dyDescent="0.25">
      <c r="A12908" s="5"/>
    </row>
    <row r="12909" spans="1:1" x14ac:dyDescent="0.25">
      <c r="A12909" s="5"/>
    </row>
    <row r="12910" spans="1:1" x14ac:dyDescent="0.25">
      <c r="A12910" s="5"/>
    </row>
    <row r="12911" spans="1:1" x14ac:dyDescent="0.25">
      <c r="A12911" s="5"/>
    </row>
    <row r="12912" spans="1:1" x14ac:dyDescent="0.25">
      <c r="A12912" s="5"/>
    </row>
    <row r="12913" spans="1:1" x14ac:dyDescent="0.25">
      <c r="A12913" s="5"/>
    </row>
    <row r="12914" spans="1:1" x14ac:dyDescent="0.25">
      <c r="A12914" s="5"/>
    </row>
    <row r="12915" spans="1:1" x14ac:dyDescent="0.25">
      <c r="A12915" s="5"/>
    </row>
    <row r="12916" spans="1:1" x14ac:dyDescent="0.25">
      <c r="A12916" s="5"/>
    </row>
    <row r="12917" spans="1:1" x14ac:dyDescent="0.25">
      <c r="A12917" s="5"/>
    </row>
    <row r="12918" spans="1:1" x14ac:dyDescent="0.25">
      <c r="A12918" s="5"/>
    </row>
    <row r="12919" spans="1:1" x14ac:dyDescent="0.25">
      <c r="A12919" s="5"/>
    </row>
    <row r="12920" spans="1:1" x14ac:dyDescent="0.25">
      <c r="A12920" s="5"/>
    </row>
    <row r="12921" spans="1:1" x14ac:dyDescent="0.25">
      <c r="A12921" s="5"/>
    </row>
    <row r="12922" spans="1:1" x14ac:dyDescent="0.25">
      <c r="A12922" s="5"/>
    </row>
    <row r="12923" spans="1:1" x14ac:dyDescent="0.25">
      <c r="A12923" s="5"/>
    </row>
    <row r="12924" spans="1:1" x14ac:dyDescent="0.25">
      <c r="A12924" s="5"/>
    </row>
    <row r="12925" spans="1:1" x14ac:dyDescent="0.25">
      <c r="A12925" s="5"/>
    </row>
    <row r="12926" spans="1:1" x14ac:dyDescent="0.25">
      <c r="A12926" s="5"/>
    </row>
    <row r="12927" spans="1:1" x14ac:dyDescent="0.25">
      <c r="A12927" s="5"/>
    </row>
    <row r="12928" spans="1:1" x14ac:dyDescent="0.25">
      <c r="A12928" s="5"/>
    </row>
    <row r="12929" spans="1:1" x14ac:dyDescent="0.25">
      <c r="A12929" s="5"/>
    </row>
    <row r="12930" spans="1:1" x14ac:dyDescent="0.25">
      <c r="A12930" s="5"/>
    </row>
    <row r="12931" spans="1:1" x14ac:dyDescent="0.25">
      <c r="A12931" s="5"/>
    </row>
    <row r="12932" spans="1:1" x14ac:dyDescent="0.25">
      <c r="A12932" s="5"/>
    </row>
    <row r="12933" spans="1:1" x14ac:dyDescent="0.25">
      <c r="A12933" s="5"/>
    </row>
    <row r="12934" spans="1:1" x14ac:dyDescent="0.25">
      <c r="A12934" s="5"/>
    </row>
    <row r="12935" spans="1:1" x14ac:dyDescent="0.25">
      <c r="A12935" s="5"/>
    </row>
    <row r="12936" spans="1:1" x14ac:dyDescent="0.25">
      <c r="A12936" s="5"/>
    </row>
    <row r="12937" spans="1:1" x14ac:dyDescent="0.25">
      <c r="A12937" s="5"/>
    </row>
    <row r="12938" spans="1:1" x14ac:dyDescent="0.25">
      <c r="A12938" s="5"/>
    </row>
    <row r="12939" spans="1:1" x14ac:dyDescent="0.25">
      <c r="A12939" s="5"/>
    </row>
    <row r="12940" spans="1:1" x14ac:dyDescent="0.25">
      <c r="A12940" s="5"/>
    </row>
    <row r="12941" spans="1:1" x14ac:dyDescent="0.25">
      <c r="A12941" s="5"/>
    </row>
    <row r="12942" spans="1:1" x14ac:dyDescent="0.25">
      <c r="A12942" s="5"/>
    </row>
    <row r="12943" spans="1:1" x14ac:dyDescent="0.25">
      <c r="A12943" s="5"/>
    </row>
    <row r="12944" spans="1:1" x14ac:dyDescent="0.25">
      <c r="A12944" s="5"/>
    </row>
    <row r="12945" spans="1:1" x14ac:dyDescent="0.25">
      <c r="A12945" s="5"/>
    </row>
    <row r="12946" spans="1:1" x14ac:dyDescent="0.25">
      <c r="A12946" s="5"/>
    </row>
    <row r="12947" spans="1:1" x14ac:dyDescent="0.25">
      <c r="A12947" s="5"/>
    </row>
    <row r="12948" spans="1:1" x14ac:dyDescent="0.25">
      <c r="A12948" s="5"/>
    </row>
    <row r="12949" spans="1:1" x14ac:dyDescent="0.25">
      <c r="A12949" s="5"/>
    </row>
    <row r="12950" spans="1:1" x14ac:dyDescent="0.25">
      <c r="A12950" s="5"/>
    </row>
    <row r="12951" spans="1:1" x14ac:dyDescent="0.25">
      <c r="A12951" s="5"/>
    </row>
    <row r="12952" spans="1:1" x14ac:dyDescent="0.25">
      <c r="A12952" s="5"/>
    </row>
    <row r="12953" spans="1:1" x14ac:dyDescent="0.25">
      <c r="A12953" s="5"/>
    </row>
    <row r="12954" spans="1:1" x14ac:dyDescent="0.25">
      <c r="A12954" s="5"/>
    </row>
    <row r="12955" spans="1:1" x14ac:dyDescent="0.25">
      <c r="A12955" s="5"/>
    </row>
    <row r="12956" spans="1:1" x14ac:dyDescent="0.25">
      <c r="A12956" s="5"/>
    </row>
    <row r="12957" spans="1:1" x14ac:dyDescent="0.25">
      <c r="A12957" s="5"/>
    </row>
    <row r="12958" spans="1:1" x14ac:dyDescent="0.25">
      <c r="A12958" s="5"/>
    </row>
    <row r="12959" spans="1:1" x14ac:dyDescent="0.25">
      <c r="A12959" s="5"/>
    </row>
    <row r="12960" spans="1:1" x14ac:dyDescent="0.25">
      <c r="A12960" s="5"/>
    </row>
    <row r="12961" spans="1:1" x14ac:dyDescent="0.25">
      <c r="A12961" s="5"/>
    </row>
    <row r="12962" spans="1:1" x14ac:dyDescent="0.25">
      <c r="A12962" s="5"/>
    </row>
    <row r="12963" spans="1:1" x14ac:dyDescent="0.25">
      <c r="A12963" s="5"/>
    </row>
    <row r="12964" spans="1:1" x14ac:dyDescent="0.25">
      <c r="A12964" s="5"/>
    </row>
    <row r="12965" spans="1:1" x14ac:dyDescent="0.25">
      <c r="A12965" s="5"/>
    </row>
    <row r="12966" spans="1:1" x14ac:dyDescent="0.25">
      <c r="A12966" s="5"/>
    </row>
    <row r="12967" spans="1:1" x14ac:dyDescent="0.25">
      <c r="A12967" s="5"/>
    </row>
    <row r="12968" spans="1:1" x14ac:dyDescent="0.25">
      <c r="A12968" s="5"/>
    </row>
    <row r="12969" spans="1:1" x14ac:dyDescent="0.25">
      <c r="A12969" s="5"/>
    </row>
    <row r="12970" spans="1:1" x14ac:dyDescent="0.25">
      <c r="A12970" s="5"/>
    </row>
    <row r="12971" spans="1:1" x14ac:dyDescent="0.25">
      <c r="A12971" s="5"/>
    </row>
    <row r="12972" spans="1:1" x14ac:dyDescent="0.25">
      <c r="A12972" s="5"/>
    </row>
    <row r="12973" spans="1:1" x14ac:dyDescent="0.25">
      <c r="A12973" s="5"/>
    </row>
    <row r="12974" spans="1:1" x14ac:dyDescent="0.25">
      <c r="A12974" s="5"/>
    </row>
    <row r="12975" spans="1:1" x14ac:dyDescent="0.25">
      <c r="A12975" s="5"/>
    </row>
    <row r="12976" spans="1:1" x14ac:dyDescent="0.25">
      <c r="A12976" s="5"/>
    </row>
    <row r="12977" spans="1:1" x14ac:dyDescent="0.25">
      <c r="A12977" s="5"/>
    </row>
    <row r="12978" spans="1:1" x14ac:dyDescent="0.25">
      <c r="A12978" s="5"/>
    </row>
    <row r="12979" spans="1:1" x14ac:dyDescent="0.25">
      <c r="A12979" s="5"/>
    </row>
    <row r="12980" spans="1:1" x14ac:dyDescent="0.25">
      <c r="A12980" s="5"/>
    </row>
    <row r="12981" spans="1:1" x14ac:dyDescent="0.25">
      <c r="A12981" s="5"/>
    </row>
    <row r="12982" spans="1:1" x14ac:dyDescent="0.25">
      <c r="A12982" s="5"/>
    </row>
    <row r="12983" spans="1:1" x14ac:dyDescent="0.25">
      <c r="A12983" s="5"/>
    </row>
    <row r="12984" spans="1:1" x14ac:dyDescent="0.25">
      <c r="A12984" s="5"/>
    </row>
    <row r="12985" spans="1:1" x14ac:dyDescent="0.25">
      <c r="A12985" s="5"/>
    </row>
    <row r="12986" spans="1:1" x14ac:dyDescent="0.25">
      <c r="A12986" s="5"/>
    </row>
    <row r="12987" spans="1:1" x14ac:dyDescent="0.25">
      <c r="A12987" s="5"/>
    </row>
    <row r="12988" spans="1:1" x14ac:dyDescent="0.25">
      <c r="A12988" s="5"/>
    </row>
    <row r="12989" spans="1:1" x14ac:dyDescent="0.25">
      <c r="A12989" s="5"/>
    </row>
    <row r="12990" spans="1:1" x14ac:dyDescent="0.25">
      <c r="A12990" s="5"/>
    </row>
    <row r="12991" spans="1:1" x14ac:dyDescent="0.25">
      <c r="A12991" s="5"/>
    </row>
    <row r="12992" spans="1:1" x14ac:dyDescent="0.25">
      <c r="A12992" s="5"/>
    </row>
    <row r="12993" spans="1:1" x14ac:dyDescent="0.25">
      <c r="A12993" s="5"/>
    </row>
    <row r="12994" spans="1:1" x14ac:dyDescent="0.25">
      <c r="A12994" s="5"/>
    </row>
    <row r="12995" spans="1:1" x14ac:dyDescent="0.25">
      <c r="A12995" s="5"/>
    </row>
    <row r="12996" spans="1:1" x14ac:dyDescent="0.25">
      <c r="A12996" s="5"/>
    </row>
    <row r="12997" spans="1:1" x14ac:dyDescent="0.25">
      <c r="A12997" s="5"/>
    </row>
    <row r="12998" spans="1:1" x14ac:dyDescent="0.25">
      <c r="A12998" s="5"/>
    </row>
    <row r="12999" spans="1:1" x14ac:dyDescent="0.25">
      <c r="A12999" s="5"/>
    </row>
    <row r="13000" spans="1:1" x14ac:dyDescent="0.25">
      <c r="A13000" s="5"/>
    </row>
    <row r="13001" spans="1:1" x14ac:dyDescent="0.25">
      <c r="A13001" s="5"/>
    </row>
    <row r="13002" spans="1:1" x14ac:dyDescent="0.25">
      <c r="A13002" s="5"/>
    </row>
    <row r="13003" spans="1:1" x14ac:dyDescent="0.25">
      <c r="A13003" s="5"/>
    </row>
    <row r="13004" spans="1:1" x14ac:dyDescent="0.25">
      <c r="A13004" s="5"/>
    </row>
    <row r="13005" spans="1:1" x14ac:dyDescent="0.25">
      <c r="A13005" s="5"/>
    </row>
    <row r="13006" spans="1:1" x14ac:dyDescent="0.25">
      <c r="A13006" s="5"/>
    </row>
    <row r="13007" spans="1:1" x14ac:dyDescent="0.25">
      <c r="A13007" s="5"/>
    </row>
    <row r="13008" spans="1:1" x14ac:dyDescent="0.25">
      <c r="A13008" s="5"/>
    </row>
    <row r="13009" spans="1:1" x14ac:dyDescent="0.25">
      <c r="A13009" s="5"/>
    </row>
    <row r="13010" spans="1:1" x14ac:dyDescent="0.25">
      <c r="A13010" s="5"/>
    </row>
    <row r="13011" spans="1:1" x14ac:dyDescent="0.25">
      <c r="A13011" s="5"/>
    </row>
    <row r="13012" spans="1:1" x14ac:dyDescent="0.25">
      <c r="A13012" s="5"/>
    </row>
    <row r="13013" spans="1:1" x14ac:dyDescent="0.25">
      <c r="A13013" s="5"/>
    </row>
    <row r="13014" spans="1:1" x14ac:dyDescent="0.25">
      <c r="A13014" s="5"/>
    </row>
    <row r="13015" spans="1:1" x14ac:dyDescent="0.25">
      <c r="A13015" s="5"/>
    </row>
    <row r="13016" spans="1:1" x14ac:dyDescent="0.25">
      <c r="A13016" s="5"/>
    </row>
    <row r="13017" spans="1:1" x14ac:dyDescent="0.25">
      <c r="A13017" s="5"/>
    </row>
    <row r="13018" spans="1:1" x14ac:dyDescent="0.25">
      <c r="A13018" s="5"/>
    </row>
    <row r="13019" spans="1:1" x14ac:dyDescent="0.25">
      <c r="A13019" s="5"/>
    </row>
    <row r="13020" spans="1:1" x14ac:dyDescent="0.25">
      <c r="A13020" s="5"/>
    </row>
    <row r="13021" spans="1:1" x14ac:dyDescent="0.25">
      <c r="A13021" s="5"/>
    </row>
    <row r="13022" spans="1:1" x14ac:dyDescent="0.25">
      <c r="A13022" s="5"/>
    </row>
    <row r="13023" spans="1:1" x14ac:dyDescent="0.25">
      <c r="A13023" s="5"/>
    </row>
    <row r="13024" spans="1:1" x14ac:dyDescent="0.25">
      <c r="A13024" s="5"/>
    </row>
    <row r="13025" spans="1:1" x14ac:dyDescent="0.25">
      <c r="A13025" s="5"/>
    </row>
    <row r="13026" spans="1:1" x14ac:dyDescent="0.25">
      <c r="A13026" s="5"/>
    </row>
    <row r="13027" spans="1:1" x14ac:dyDescent="0.25">
      <c r="A13027" s="5"/>
    </row>
    <row r="13028" spans="1:1" x14ac:dyDescent="0.25">
      <c r="A13028" s="5"/>
    </row>
    <row r="13029" spans="1:1" x14ac:dyDescent="0.25">
      <c r="A13029" s="5"/>
    </row>
    <row r="13030" spans="1:1" x14ac:dyDescent="0.25">
      <c r="A13030" s="5"/>
    </row>
    <row r="13031" spans="1:1" x14ac:dyDescent="0.25">
      <c r="A13031" s="5"/>
    </row>
    <row r="13032" spans="1:1" x14ac:dyDescent="0.25">
      <c r="A13032" s="5"/>
    </row>
    <row r="13033" spans="1:1" x14ac:dyDescent="0.25">
      <c r="A13033" s="5"/>
    </row>
    <row r="13034" spans="1:1" x14ac:dyDescent="0.25">
      <c r="A13034" s="5"/>
    </row>
    <row r="13035" spans="1:1" x14ac:dyDescent="0.25">
      <c r="A13035" s="5"/>
    </row>
    <row r="13036" spans="1:1" x14ac:dyDescent="0.25">
      <c r="A13036" s="5"/>
    </row>
    <row r="13037" spans="1:1" x14ac:dyDescent="0.25">
      <c r="A13037" s="5"/>
    </row>
    <row r="13038" spans="1:1" x14ac:dyDescent="0.25">
      <c r="A13038" s="5"/>
    </row>
    <row r="13039" spans="1:1" x14ac:dyDescent="0.25">
      <c r="A13039" s="5"/>
    </row>
    <row r="13040" spans="1:1" x14ac:dyDescent="0.25">
      <c r="A13040" s="5"/>
    </row>
    <row r="13041" spans="1:1" x14ac:dyDescent="0.25">
      <c r="A13041" s="5"/>
    </row>
    <row r="13042" spans="1:1" x14ac:dyDescent="0.25">
      <c r="A13042" s="5"/>
    </row>
    <row r="13043" spans="1:1" x14ac:dyDescent="0.25">
      <c r="A13043" s="5"/>
    </row>
    <row r="13044" spans="1:1" x14ac:dyDescent="0.25">
      <c r="A13044" s="5"/>
    </row>
    <row r="13045" spans="1:1" x14ac:dyDescent="0.25">
      <c r="A13045" s="5"/>
    </row>
    <row r="13046" spans="1:1" x14ac:dyDescent="0.25">
      <c r="A13046" s="5"/>
    </row>
    <row r="13047" spans="1:1" x14ac:dyDescent="0.25">
      <c r="A13047" s="5"/>
    </row>
    <row r="13048" spans="1:1" x14ac:dyDescent="0.25">
      <c r="A13048" s="5"/>
    </row>
    <row r="13049" spans="1:1" x14ac:dyDescent="0.25">
      <c r="A13049" s="5"/>
    </row>
    <row r="13050" spans="1:1" x14ac:dyDescent="0.25">
      <c r="A13050" s="5"/>
    </row>
    <row r="13051" spans="1:1" x14ac:dyDescent="0.25">
      <c r="A13051" s="5"/>
    </row>
    <row r="13052" spans="1:1" x14ac:dyDescent="0.25">
      <c r="A13052" s="5"/>
    </row>
    <row r="13053" spans="1:1" x14ac:dyDescent="0.25">
      <c r="A13053" s="5"/>
    </row>
    <row r="13054" spans="1:1" x14ac:dyDescent="0.25">
      <c r="A13054" s="5"/>
    </row>
    <row r="13055" spans="1:1" x14ac:dyDescent="0.25">
      <c r="A13055" s="5"/>
    </row>
    <row r="13056" spans="1:1" x14ac:dyDescent="0.25">
      <c r="A13056" s="5"/>
    </row>
    <row r="13057" spans="1:1" x14ac:dyDescent="0.25">
      <c r="A13057" s="5"/>
    </row>
    <row r="13058" spans="1:1" x14ac:dyDescent="0.25">
      <c r="A13058" s="5"/>
    </row>
    <row r="13059" spans="1:1" x14ac:dyDescent="0.25">
      <c r="A13059" s="5"/>
    </row>
    <row r="13060" spans="1:1" x14ac:dyDescent="0.25">
      <c r="A13060" s="5"/>
    </row>
    <row r="13061" spans="1:1" x14ac:dyDescent="0.25">
      <c r="A13061" s="5"/>
    </row>
    <row r="13062" spans="1:1" x14ac:dyDescent="0.25">
      <c r="A13062" s="5"/>
    </row>
    <row r="13063" spans="1:1" x14ac:dyDescent="0.25">
      <c r="A13063" s="5"/>
    </row>
    <row r="13064" spans="1:1" x14ac:dyDescent="0.25">
      <c r="A13064" s="5"/>
    </row>
    <row r="13065" spans="1:1" x14ac:dyDescent="0.25">
      <c r="A13065" s="5"/>
    </row>
    <row r="13066" spans="1:1" x14ac:dyDescent="0.25">
      <c r="A13066" s="5"/>
    </row>
    <row r="13067" spans="1:1" x14ac:dyDescent="0.25">
      <c r="A13067" s="5"/>
    </row>
    <row r="13068" spans="1:1" x14ac:dyDescent="0.25">
      <c r="A13068" s="5"/>
    </row>
    <row r="13069" spans="1:1" x14ac:dyDescent="0.25">
      <c r="A13069" s="5"/>
    </row>
    <row r="13070" spans="1:1" x14ac:dyDescent="0.25">
      <c r="A13070" s="5"/>
    </row>
    <row r="13071" spans="1:1" x14ac:dyDescent="0.25">
      <c r="A13071" s="5"/>
    </row>
    <row r="13072" spans="1:1" x14ac:dyDescent="0.25">
      <c r="A13072" s="5"/>
    </row>
    <row r="13073" spans="1:1" x14ac:dyDescent="0.25">
      <c r="A13073" s="5"/>
    </row>
    <row r="13074" spans="1:1" x14ac:dyDescent="0.25">
      <c r="A13074" s="5"/>
    </row>
    <row r="13075" spans="1:1" x14ac:dyDescent="0.25">
      <c r="A13075" s="5"/>
    </row>
    <row r="13076" spans="1:1" x14ac:dyDescent="0.25">
      <c r="A13076" s="5"/>
    </row>
    <row r="13077" spans="1:1" x14ac:dyDescent="0.25">
      <c r="A13077" s="5"/>
    </row>
    <row r="13078" spans="1:1" x14ac:dyDescent="0.25">
      <c r="A13078" s="5"/>
    </row>
    <row r="13079" spans="1:1" x14ac:dyDescent="0.25">
      <c r="A13079" s="5"/>
    </row>
    <row r="13080" spans="1:1" x14ac:dyDescent="0.25">
      <c r="A13080" s="5"/>
    </row>
    <row r="13081" spans="1:1" x14ac:dyDescent="0.25">
      <c r="A13081" s="5"/>
    </row>
    <row r="13082" spans="1:1" x14ac:dyDescent="0.25">
      <c r="A13082" s="5"/>
    </row>
    <row r="13083" spans="1:1" x14ac:dyDescent="0.25">
      <c r="A13083" s="5"/>
    </row>
    <row r="13084" spans="1:1" x14ac:dyDescent="0.25">
      <c r="A13084" s="5"/>
    </row>
    <row r="13085" spans="1:1" x14ac:dyDescent="0.25">
      <c r="A13085" s="5"/>
    </row>
    <row r="13086" spans="1:1" x14ac:dyDescent="0.25">
      <c r="A13086" s="5"/>
    </row>
    <row r="13087" spans="1:1" x14ac:dyDescent="0.25">
      <c r="A13087" s="5"/>
    </row>
    <row r="13088" spans="1:1" x14ac:dyDescent="0.25">
      <c r="A13088" s="5"/>
    </row>
    <row r="13089" spans="1:1" x14ac:dyDescent="0.25">
      <c r="A13089" s="5"/>
    </row>
    <row r="13090" spans="1:1" x14ac:dyDescent="0.25">
      <c r="A13090" s="5"/>
    </row>
    <row r="13091" spans="1:1" x14ac:dyDescent="0.25">
      <c r="A13091" s="5"/>
    </row>
    <row r="13092" spans="1:1" x14ac:dyDescent="0.25">
      <c r="A13092" s="5"/>
    </row>
    <row r="13093" spans="1:1" x14ac:dyDescent="0.25">
      <c r="A13093" s="5"/>
    </row>
    <row r="13094" spans="1:1" x14ac:dyDescent="0.25">
      <c r="A13094" s="5"/>
    </row>
    <row r="13095" spans="1:1" x14ac:dyDescent="0.25">
      <c r="A13095" s="5"/>
    </row>
    <row r="13096" spans="1:1" x14ac:dyDescent="0.25">
      <c r="A13096" s="5"/>
    </row>
    <row r="13097" spans="1:1" x14ac:dyDescent="0.25">
      <c r="A13097" s="5"/>
    </row>
    <row r="13098" spans="1:1" x14ac:dyDescent="0.25">
      <c r="A13098" s="5"/>
    </row>
    <row r="13099" spans="1:1" x14ac:dyDescent="0.25">
      <c r="A13099" s="5"/>
    </row>
    <row r="13100" spans="1:1" x14ac:dyDescent="0.25">
      <c r="A13100" s="5"/>
    </row>
    <row r="13101" spans="1:1" x14ac:dyDescent="0.25">
      <c r="A13101" s="5"/>
    </row>
    <row r="13102" spans="1:1" x14ac:dyDescent="0.25">
      <c r="A13102" s="5"/>
    </row>
    <row r="13103" spans="1:1" x14ac:dyDescent="0.25">
      <c r="A13103" s="5"/>
    </row>
    <row r="13104" spans="1:1" x14ac:dyDescent="0.25">
      <c r="A13104" s="5"/>
    </row>
    <row r="13105" spans="1:1" x14ac:dyDescent="0.25">
      <c r="A13105" s="5"/>
    </row>
    <row r="13106" spans="1:1" x14ac:dyDescent="0.25">
      <c r="A13106" s="5"/>
    </row>
    <row r="13107" spans="1:1" x14ac:dyDescent="0.25">
      <c r="A13107" s="5"/>
    </row>
    <row r="13108" spans="1:1" x14ac:dyDescent="0.25">
      <c r="A13108" s="5"/>
    </row>
    <row r="13109" spans="1:1" x14ac:dyDescent="0.25">
      <c r="A13109" s="5"/>
    </row>
    <row r="13110" spans="1:1" x14ac:dyDescent="0.25">
      <c r="A13110" s="5"/>
    </row>
    <row r="13111" spans="1:1" x14ac:dyDescent="0.25">
      <c r="A13111" s="5"/>
    </row>
    <row r="13112" spans="1:1" x14ac:dyDescent="0.25">
      <c r="A13112" s="5"/>
    </row>
    <row r="13113" spans="1:1" x14ac:dyDescent="0.25">
      <c r="A13113" s="5"/>
    </row>
    <row r="13114" spans="1:1" x14ac:dyDescent="0.25">
      <c r="A13114" s="5"/>
    </row>
    <row r="13115" spans="1:1" x14ac:dyDescent="0.25">
      <c r="A13115" s="5"/>
    </row>
    <row r="13116" spans="1:1" x14ac:dyDescent="0.25">
      <c r="A13116" s="5"/>
    </row>
    <row r="13117" spans="1:1" x14ac:dyDescent="0.25">
      <c r="A13117" s="5"/>
    </row>
    <row r="13118" spans="1:1" x14ac:dyDescent="0.25">
      <c r="A13118" s="5"/>
    </row>
    <row r="13119" spans="1:1" x14ac:dyDescent="0.25">
      <c r="A13119" s="5"/>
    </row>
    <row r="13120" spans="1:1" x14ac:dyDescent="0.25">
      <c r="A13120" s="5"/>
    </row>
    <row r="13121" spans="1:1" x14ac:dyDescent="0.25">
      <c r="A13121" s="5"/>
    </row>
    <row r="13122" spans="1:1" x14ac:dyDescent="0.25">
      <c r="A13122" s="5"/>
    </row>
    <row r="13123" spans="1:1" x14ac:dyDescent="0.25">
      <c r="A13123" s="5"/>
    </row>
    <row r="13124" spans="1:1" x14ac:dyDescent="0.25">
      <c r="A13124" s="5"/>
    </row>
    <row r="13125" spans="1:1" x14ac:dyDescent="0.25">
      <c r="A13125" s="5"/>
    </row>
    <row r="13126" spans="1:1" x14ac:dyDescent="0.25">
      <c r="A13126" s="5"/>
    </row>
    <row r="13127" spans="1:1" x14ac:dyDescent="0.25">
      <c r="A13127" s="5"/>
    </row>
    <row r="13128" spans="1:1" x14ac:dyDescent="0.25">
      <c r="A13128" s="5"/>
    </row>
    <row r="13129" spans="1:1" x14ac:dyDescent="0.25">
      <c r="A13129" s="5"/>
    </row>
    <row r="13130" spans="1:1" x14ac:dyDescent="0.25">
      <c r="A13130" s="5"/>
    </row>
    <row r="13131" spans="1:1" x14ac:dyDescent="0.25">
      <c r="A13131" s="5"/>
    </row>
    <row r="13132" spans="1:1" x14ac:dyDescent="0.25">
      <c r="A13132" s="5"/>
    </row>
    <row r="13133" spans="1:1" x14ac:dyDescent="0.25">
      <c r="A13133" s="5"/>
    </row>
    <row r="13134" spans="1:1" x14ac:dyDescent="0.25">
      <c r="A13134" s="5"/>
    </row>
    <row r="13135" spans="1:1" x14ac:dyDescent="0.25">
      <c r="A13135" s="5"/>
    </row>
    <row r="13136" spans="1:1" x14ac:dyDescent="0.25">
      <c r="A13136" s="5"/>
    </row>
    <row r="13137" spans="1:1" x14ac:dyDescent="0.25">
      <c r="A13137" s="5"/>
    </row>
    <row r="13138" spans="1:1" x14ac:dyDescent="0.25">
      <c r="A13138" s="5"/>
    </row>
    <row r="13139" spans="1:1" x14ac:dyDescent="0.25">
      <c r="A13139" s="5"/>
    </row>
    <row r="13140" spans="1:1" x14ac:dyDescent="0.25">
      <c r="A13140" s="5"/>
    </row>
    <row r="13141" spans="1:1" x14ac:dyDescent="0.25">
      <c r="A13141" s="5"/>
    </row>
    <row r="13142" spans="1:1" x14ac:dyDescent="0.25">
      <c r="A13142" s="5"/>
    </row>
    <row r="13143" spans="1:1" x14ac:dyDescent="0.25">
      <c r="A13143" s="5"/>
    </row>
    <row r="13144" spans="1:1" x14ac:dyDescent="0.25">
      <c r="A13144" s="5"/>
    </row>
    <row r="13145" spans="1:1" x14ac:dyDescent="0.25">
      <c r="A13145" s="5"/>
    </row>
    <row r="13146" spans="1:1" x14ac:dyDescent="0.25">
      <c r="A13146" s="5"/>
    </row>
    <row r="13147" spans="1:1" x14ac:dyDescent="0.25">
      <c r="A13147" s="5"/>
    </row>
    <row r="13148" spans="1:1" x14ac:dyDescent="0.25">
      <c r="A13148" s="5"/>
    </row>
    <row r="13149" spans="1:1" x14ac:dyDescent="0.25">
      <c r="A13149" s="5"/>
    </row>
    <row r="13150" spans="1:1" x14ac:dyDescent="0.25">
      <c r="A13150" s="5"/>
    </row>
    <row r="13151" spans="1:1" x14ac:dyDescent="0.25">
      <c r="A13151" s="5"/>
    </row>
    <row r="13152" spans="1:1" x14ac:dyDescent="0.25">
      <c r="A13152" s="5"/>
    </row>
    <row r="13153" spans="1:1" x14ac:dyDescent="0.25">
      <c r="A13153" s="5"/>
    </row>
    <row r="13154" spans="1:1" x14ac:dyDescent="0.25">
      <c r="A13154" s="5"/>
    </row>
    <row r="13155" spans="1:1" x14ac:dyDescent="0.25">
      <c r="A13155" s="5"/>
    </row>
    <row r="13156" spans="1:1" x14ac:dyDescent="0.25">
      <c r="A13156" s="5"/>
    </row>
    <row r="13157" spans="1:1" x14ac:dyDescent="0.25">
      <c r="A13157" s="5"/>
    </row>
    <row r="13158" spans="1:1" x14ac:dyDescent="0.25">
      <c r="A13158" s="5"/>
    </row>
    <row r="13159" spans="1:1" x14ac:dyDescent="0.25">
      <c r="A13159" s="5"/>
    </row>
    <row r="13160" spans="1:1" x14ac:dyDescent="0.25">
      <c r="A13160" s="5"/>
    </row>
    <row r="13161" spans="1:1" x14ac:dyDescent="0.25">
      <c r="A13161" s="5"/>
    </row>
    <row r="13162" spans="1:1" x14ac:dyDescent="0.25">
      <c r="A13162" s="5"/>
    </row>
    <row r="13163" spans="1:1" x14ac:dyDescent="0.25">
      <c r="A13163" s="5"/>
    </row>
    <row r="13164" spans="1:1" x14ac:dyDescent="0.25">
      <c r="A13164" s="5"/>
    </row>
    <row r="13165" spans="1:1" x14ac:dyDescent="0.25">
      <c r="A13165" s="5"/>
    </row>
    <row r="13166" spans="1:1" x14ac:dyDescent="0.25">
      <c r="A13166" s="5"/>
    </row>
    <row r="13167" spans="1:1" x14ac:dyDescent="0.25">
      <c r="A13167" s="5"/>
    </row>
    <row r="13168" spans="1:1" x14ac:dyDescent="0.25">
      <c r="A13168" s="5"/>
    </row>
    <row r="13169" spans="1:1" x14ac:dyDescent="0.25">
      <c r="A13169" s="5"/>
    </row>
    <row r="13170" spans="1:1" x14ac:dyDescent="0.25">
      <c r="A13170" s="5"/>
    </row>
    <row r="13171" spans="1:1" x14ac:dyDescent="0.25">
      <c r="A13171" s="5"/>
    </row>
    <row r="13172" spans="1:1" x14ac:dyDescent="0.25">
      <c r="A13172" s="5"/>
    </row>
    <row r="13173" spans="1:1" x14ac:dyDescent="0.25">
      <c r="A13173" s="5"/>
    </row>
    <row r="13174" spans="1:1" x14ac:dyDescent="0.25">
      <c r="A13174" s="5"/>
    </row>
    <row r="13175" spans="1:1" x14ac:dyDescent="0.25">
      <c r="A13175" s="5"/>
    </row>
    <row r="13176" spans="1:1" x14ac:dyDescent="0.25">
      <c r="A13176" s="5"/>
    </row>
    <row r="13177" spans="1:1" x14ac:dyDescent="0.25">
      <c r="A13177" s="5"/>
    </row>
    <row r="13178" spans="1:1" x14ac:dyDescent="0.25">
      <c r="A13178" s="5"/>
    </row>
    <row r="13179" spans="1:1" x14ac:dyDescent="0.25">
      <c r="A13179" s="5"/>
    </row>
    <row r="13180" spans="1:1" x14ac:dyDescent="0.25">
      <c r="A13180" s="5"/>
    </row>
    <row r="13181" spans="1:1" x14ac:dyDescent="0.25">
      <c r="A13181" s="5"/>
    </row>
    <row r="13182" spans="1:1" x14ac:dyDescent="0.25">
      <c r="A13182" s="5"/>
    </row>
    <row r="13183" spans="1:1" x14ac:dyDescent="0.25">
      <c r="A13183" s="5"/>
    </row>
    <row r="13184" spans="1:1" x14ac:dyDescent="0.25">
      <c r="A13184" s="5"/>
    </row>
    <row r="13185" spans="1:1" x14ac:dyDescent="0.25">
      <c r="A13185" s="5"/>
    </row>
    <row r="13186" spans="1:1" x14ac:dyDescent="0.25">
      <c r="A13186" s="5"/>
    </row>
    <row r="13187" spans="1:1" x14ac:dyDescent="0.25">
      <c r="A13187" s="5"/>
    </row>
    <row r="13188" spans="1:1" x14ac:dyDescent="0.25">
      <c r="A13188" s="5"/>
    </row>
    <row r="13189" spans="1:1" x14ac:dyDescent="0.25">
      <c r="A13189" s="5"/>
    </row>
    <row r="13190" spans="1:1" x14ac:dyDescent="0.25">
      <c r="A13190" s="5"/>
    </row>
    <row r="13191" spans="1:1" x14ac:dyDescent="0.25">
      <c r="A13191" s="5"/>
    </row>
    <row r="13192" spans="1:1" x14ac:dyDescent="0.25">
      <c r="A13192" s="5"/>
    </row>
    <row r="13193" spans="1:1" x14ac:dyDescent="0.25">
      <c r="A13193" s="5"/>
    </row>
    <row r="13194" spans="1:1" x14ac:dyDescent="0.25">
      <c r="A13194" s="5"/>
    </row>
    <row r="13195" spans="1:1" x14ac:dyDescent="0.25">
      <c r="A13195" s="5"/>
    </row>
    <row r="13196" spans="1:1" x14ac:dyDescent="0.25">
      <c r="A13196" s="5"/>
    </row>
    <row r="13197" spans="1:1" x14ac:dyDescent="0.25">
      <c r="A13197" s="5"/>
    </row>
    <row r="13198" spans="1:1" x14ac:dyDescent="0.25">
      <c r="A13198" s="5"/>
    </row>
    <row r="13199" spans="1:1" x14ac:dyDescent="0.25">
      <c r="A13199" s="5"/>
    </row>
    <row r="13200" spans="1:1" x14ac:dyDescent="0.25">
      <c r="A13200" s="5"/>
    </row>
    <row r="13201" spans="1:1" x14ac:dyDescent="0.25">
      <c r="A13201" s="5"/>
    </row>
    <row r="13202" spans="1:1" x14ac:dyDescent="0.25">
      <c r="A13202" s="5"/>
    </row>
    <row r="13203" spans="1:1" x14ac:dyDescent="0.25">
      <c r="A13203" s="5"/>
    </row>
    <row r="13204" spans="1:1" x14ac:dyDescent="0.25">
      <c r="A13204" s="5"/>
    </row>
    <row r="13205" spans="1:1" x14ac:dyDescent="0.25">
      <c r="A13205" s="5"/>
    </row>
    <row r="13206" spans="1:1" x14ac:dyDescent="0.25">
      <c r="A13206" s="5"/>
    </row>
    <row r="13207" spans="1:1" x14ac:dyDescent="0.25">
      <c r="A13207" s="5"/>
    </row>
    <row r="13208" spans="1:1" x14ac:dyDescent="0.25">
      <c r="A13208" s="5"/>
    </row>
    <row r="13209" spans="1:1" x14ac:dyDescent="0.25">
      <c r="A13209" s="5"/>
    </row>
    <row r="13210" spans="1:1" x14ac:dyDescent="0.25">
      <c r="A13210" s="5"/>
    </row>
    <row r="13211" spans="1:1" x14ac:dyDescent="0.25">
      <c r="A13211" s="5"/>
    </row>
    <row r="13212" spans="1:1" x14ac:dyDescent="0.25">
      <c r="A13212" s="5"/>
    </row>
    <row r="13213" spans="1:1" x14ac:dyDescent="0.25">
      <c r="A13213" s="5"/>
    </row>
    <row r="13214" spans="1:1" x14ac:dyDescent="0.25">
      <c r="A13214" s="5"/>
    </row>
    <row r="13215" spans="1:1" x14ac:dyDescent="0.25">
      <c r="A13215" s="5"/>
    </row>
    <row r="13216" spans="1:1" x14ac:dyDescent="0.25">
      <c r="A13216" s="5"/>
    </row>
    <row r="13217" spans="1:1" x14ac:dyDescent="0.25">
      <c r="A13217" s="5"/>
    </row>
    <row r="13218" spans="1:1" x14ac:dyDescent="0.25">
      <c r="A13218" s="5"/>
    </row>
    <row r="13219" spans="1:1" x14ac:dyDescent="0.25">
      <c r="A13219" s="5"/>
    </row>
    <row r="13220" spans="1:1" x14ac:dyDescent="0.25">
      <c r="A13220" s="5"/>
    </row>
    <row r="13221" spans="1:1" x14ac:dyDescent="0.25">
      <c r="A13221" s="5"/>
    </row>
    <row r="13222" spans="1:1" x14ac:dyDescent="0.25">
      <c r="A13222" s="5"/>
    </row>
    <row r="13223" spans="1:1" x14ac:dyDescent="0.25">
      <c r="A13223" s="5"/>
    </row>
    <row r="13224" spans="1:1" x14ac:dyDescent="0.25">
      <c r="A13224" s="5"/>
    </row>
    <row r="13225" spans="1:1" x14ac:dyDescent="0.25">
      <c r="A13225" s="5"/>
    </row>
    <row r="13226" spans="1:1" x14ac:dyDescent="0.25">
      <c r="A13226" s="5"/>
    </row>
    <row r="13227" spans="1:1" x14ac:dyDescent="0.25">
      <c r="A13227" s="5"/>
    </row>
    <row r="13228" spans="1:1" x14ac:dyDescent="0.25">
      <c r="A13228" s="5"/>
    </row>
    <row r="13229" spans="1:1" x14ac:dyDescent="0.25">
      <c r="A13229" s="5"/>
    </row>
    <row r="13230" spans="1:1" x14ac:dyDescent="0.25">
      <c r="A13230" s="5"/>
    </row>
    <row r="13231" spans="1:1" x14ac:dyDescent="0.25">
      <c r="A13231" s="5"/>
    </row>
    <row r="13232" spans="1:1" x14ac:dyDescent="0.25">
      <c r="A13232" s="5"/>
    </row>
    <row r="13233" spans="1:1" x14ac:dyDescent="0.25">
      <c r="A13233" s="5"/>
    </row>
    <row r="13234" spans="1:1" x14ac:dyDescent="0.25">
      <c r="A13234" s="5"/>
    </row>
    <row r="13235" spans="1:1" x14ac:dyDescent="0.25">
      <c r="A13235" s="5"/>
    </row>
    <row r="13236" spans="1:1" x14ac:dyDescent="0.25">
      <c r="A13236" s="5"/>
    </row>
    <row r="13237" spans="1:1" x14ac:dyDescent="0.25">
      <c r="A13237" s="5"/>
    </row>
    <row r="13238" spans="1:1" x14ac:dyDescent="0.25">
      <c r="A13238" s="5"/>
    </row>
    <row r="13239" spans="1:1" x14ac:dyDescent="0.25">
      <c r="A13239" s="5"/>
    </row>
    <row r="13240" spans="1:1" x14ac:dyDescent="0.25">
      <c r="A13240" s="5"/>
    </row>
    <row r="13241" spans="1:1" x14ac:dyDescent="0.25">
      <c r="A13241" s="5"/>
    </row>
    <row r="13242" spans="1:1" x14ac:dyDescent="0.25">
      <c r="A13242" s="5"/>
    </row>
    <row r="13243" spans="1:1" x14ac:dyDescent="0.25">
      <c r="A13243" s="5"/>
    </row>
    <row r="13244" spans="1:1" x14ac:dyDescent="0.25">
      <c r="A13244" s="5"/>
    </row>
    <row r="13245" spans="1:1" x14ac:dyDescent="0.25">
      <c r="A13245" s="5"/>
    </row>
    <row r="13246" spans="1:1" x14ac:dyDescent="0.25">
      <c r="A13246" s="5"/>
    </row>
    <row r="13247" spans="1:1" x14ac:dyDescent="0.25">
      <c r="A13247" s="5"/>
    </row>
    <row r="13248" spans="1:1" x14ac:dyDescent="0.25">
      <c r="A13248" s="5"/>
    </row>
    <row r="13249" spans="1:1" x14ac:dyDescent="0.25">
      <c r="A13249" s="5"/>
    </row>
    <row r="13250" spans="1:1" x14ac:dyDescent="0.25">
      <c r="A13250" s="5"/>
    </row>
    <row r="13251" spans="1:1" x14ac:dyDescent="0.25">
      <c r="A13251" s="5"/>
    </row>
    <row r="13252" spans="1:1" x14ac:dyDescent="0.25">
      <c r="A13252" s="5"/>
    </row>
    <row r="13253" spans="1:1" x14ac:dyDescent="0.25">
      <c r="A13253" s="5"/>
    </row>
    <row r="13254" spans="1:1" x14ac:dyDescent="0.25">
      <c r="A13254" s="5"/>
    </row>
    <row r="13255" spans="1:1" x14ac:dyDescent="0.25">
      <c r="A13255" s="5"/>
    </row>
    <row r="13256" spans="1:1" x14ac:dyDescent="0.25">
      <c r="A13256" s="5"/>
    </row>
    <row r="13257" spans="1:1" x14ac:dyDescent="0.25">
      <c r="A13257" s="5"/>
    </row>
    <row r="13258" spans="1:1" x14ac:dyDescent="0.25">
      <c r="A13258" s="5"/>
    </row>
    <row r="13259" spans="1:1" x14ac:dyDescent="0.25">
      <c r="A13259" s="5"/>
    </row>
    <row r="13260" spans="1:1" x14ac:dyDescent="0.25">
      <c r="A13260" s="5"/>
    </row>
    <row r="13261" spans="1:1" x14ac:dyDescent="0.25">
      <c r="A13261" s="5"/>
    </row>
    <row r="13262" spans="1:1" x14ac:dyDescent="0.25">
      <c r="A13262" s="5"/>
    </row>
    <row r="13263" spans="1:1" x14ac:dyDescent="0.25">
      <c r="A13263" s="5"/>
    </row>
    <row r="13264" spans="1:1" x14ac:dyDescent="0.25">
      <c r="A13264" s="5"/>
    </row>
    <row r="13265" spans="1:1" x14ac:dyDescent="0.25">
      <c r="A13265" s="5"/>
    </row>
    <row r="13266" spans="1:1" x14ac:dyDescent="0.25">
      <c r="A13266" s="5"/>
    </row>
    <row r="13267" spans="1:1" x14ac:dyDescent="0.25">
      <c r="A13267" s="5"/>
    </row>
    <row r="13268" spans="1:1" x14ac:dyDescent="0.25">
      <c r="A13268" s="5"/>
    </row>
    <row r="13269" spans="1:1" x14ac:dyDescent="0.25">
      <c r="A13269" s="5"/>
    </row>
    <row r="13270" spans="1:1" x14ac:dyDescent="0.25">
      <c r="A13270" s="5"/>
    </row>
    <row r="13271" spans="1:1" x14ac:dyDescent="0.25">
      <c r="A13271" s="5"/>
    </row>
    <row r="13272" spans="1:1" x14ac:dyDescent="0.25">
      <c r="A13272" s="5"/>
    </row>
    <row r="13273" spans="1:1" x14ac:dyDescent="0.25">
      <c r="A13273" s="5"/>
    </row>
    <row r="13274" spans="1:1" x14ac:dyDescent="0.25">
      <c r="A13274" s="5"/>
    </row>
    <row r="13275" spans="1:1" x14ac:dyDescent="0.25">
      <c r="A13275" s="5"/>
    </row>
    <row r="13276" spans="1:1" x14ac:dyDescent="0.25">
      <c r="A13276" s="5"/>
    </row>
    <row r="13277" spans="1:1" x14ac:dyDescent="0.25">
      <c r="A13277" s="5"/>
    </row>
    <row r="13278" spans="1:1" x14ac:dyDescent="0.25">
      <c r="A13278" s="5"/>
    </row>
    <row r="13279" spans="1:1" x14ac:dyDescent="0.25">
      <c r="A13279" s="5"/>
    </row>
    <row r="13280" spans="1:1" x14ac:dyDescent="0.25">
      <c r="A13280" s="5"/>
    </row>
    <row r="13281" spans="1:1" x14ac:dyDescent="0.25">
      <c r="A13281" s="5"/>
    </row>
    <row r="13282" spans="1:1" x14ac:dyDescent="0.25">
      <c r="A13282" s="5"/>
    </row>
    <row r="13283" spans="1:1" x14ac:dyDescent="0.25">
      <c r="A13283" s="5"/>
    </row>
    <row r="13284" spans="1:1" x14ac:dyDescent="0.25">
      <c r="A13284" s="5"/>
    </row>
    <row r="13285" spans="1:1" x14ac:dyDescent="0.25">
      <c r="A13285" s="5"/>
    </row>
    <row r="13286" spans="1:1" x14ac:dyDescent="0.25">
      <c r="A13286" s="5"/>
    </row>
    <row r="13287" spans="1:1" x14ac:dyDescent="0.25">
      <c r="A13287" s="5"/>
    </row>
    <row r="13288" spans="1:1" x14ac:dyDescent="0.25">
      <c r="A13288" s="5"/>
    </row>
    <row r="13289" spans="1:1" x14ac:dyDescent="0.25">
      <c r="A13289" s="5"/>
    </row>
    <row r="13290" spans="1:1" x14ac:dyDescent="0.25">
      <c r="A13290" s="5"/>
    </row>
    <row r="13291" spans="1:1" x14ac:dyDescent="0.25">
      <c r="A13291" s="5"/>
    </row>
    <row r="13292" spans="1:1" x14ac:dyDescent="0.25">
      <c r="A13292" s="5"/>
    </row>
    <row r="13293" spans="1:1" x14ac:dyDescent="0.25">
      <c r="A13293" s="5"/>
    </row>
    <row r="13294" spans="1:1" x14ac:dyDescent="0.25">
      <c r="A13294" s="5"/>
    </row>
    <row r="13295" spans="1:1" x14ac:dyDescent="0.25">
      <c r="A13295" s="5"/>
    </row>
    <row r="13296" spans="1:1" x14ac:dyDescent="0.25">
      <c r="A13296" s="5"/>
    </row>
    <row r="13297" spans="1:1" x14ac:dyDescent="0.25">
      <c r="A13297" s="5"/>
    </row>
    <row r="13298" spans="1:1" x14ac:dyDescent="0.25">
      <c r="A13298" s="5"/>
    </row>
    <row r="13299" spans="1:1" x14ac:dyDescent="0.25">
      <c r="A13299" s="5"/>
    </row>
    <row r="13300" spans="1:1" x14ac:dyDescent="0.25">
      <c r="A13300" s="5"/>
    </row>
    <row r="13301" spans="1:1" x14ac:dyDescent="0.25">
      <c r="A13301" s="5"/>
    </row>
    <row r="13302" spans="1:1" x14ac:dyDescent="0.25">
      <c r="A13302" s="5"/>
    </row>
    <row r="13303" spans="1:1" x14ac:dyDescent="0.25">
      <c r="A13303" s="5"/>
    </row>
    <row r="13304" spans="1:1" x14ac:dyDescent="0.25">
      <c r="A13304" s="5"/>
    </row>
    <row r="13305" spans="1:1" x14ac:dyDescent="0.25">
      <c r="A13305" s="5"/>
    </row>
    <row r="13306" spans="1:1" x14ac:dyDescent="0.25">
      <c r="A13306" s="5"/>
    </row>
    <row r="13307" spans="1:1" x14ac:dyDescent="0.25">
      <c r="A13307" s="5"/>
    </row>
    <row r="13308" spans="1:1" x14ac:dyDescent="0.25">
      <c r="A13308" s="5"/>
    </row>
    <row r="13309" spans="1:1" x14ac:dyDescent="0.25">
      <c r="A13309" s="5"/>
    </row>
    <row r="13310" spans="1:1" x14ac:dyDescent="0.25">
      <c r="A13310" s="5"/>
    </row>
    <row r="13311" spans="1:1" x14ac:dyDescent="0.25">
      <c r="A13311" s="5"/>
    </row>
    <row r="13312" spans="1:1" x14ac:dyDescent="0.25">
      <c r="A13312" s="5"/>
    </row>
    <row r="13313" spans="1:1" x14ac:dyDescent="0.25">
      <c r="A13313" s="5"/>
    </row>
    <row r="13314" spans="1:1" x14ac:dyDescent="0.25">
      <c r="A13314" s="5"/>
    </row>
    <row r="13315" spans="1:1" x14ac:dyDescent="0.25">
      <c r="A13315" s="5"/>
    </row>
    <row r="13316" spans="1:1" x14ac:dyDescent="0.25">
      <c r="A13316" s="5"/>
    </row>
    <row r="13317" spans="1:1" x14ac:dyDescent="0.25">
      <c r="A13317" s="5"/>
    </row>
    <row r="13318" spans="1:1" x14ac:dyDescent="0.25">
      <c r="A13318" s="5"/>
    </row>
    <row r="13319" spans="1:1" x14ac:dyDescent="0.25">
      <c r="A13319" s="5"/>
    </row>
    <row r="13320" spans="1:1" x14ac:dyDescent="0.25">
      <c r="A13320" s="5"/>
    </row>
    <row r="13321" spans="1:1" x14ac:dyDescent="0.25">
      <c r="A13321" s="5"/>
    </row>
    <row r="13322" spans="1:1" x14ac:dyDescent="0.25">
      <c r="A13322" s="5"/>
    </row>
    <row r="13323" spans="1:1" x14ac:dyDescent="0.25">
      <c r="A13323" s="5"/>
    </row>
    <row r="13324" spans="1:1" x14ac:dyDescent="0.25">
      <c r="A13324" s="5"/>
    </row>
    <row r="13325" spans="1:1" x14ac:dyDescent="0.25">
      <c r="A13325" s="5"/>
    </row>
    <row r="13326" spans="1:1" x14ac:dyDescent="0.25">
      <c r="A13326" s="5"/>
    </row>
    <row r="13327" spans="1:1" x14ac:dyDescent="0.25">
      <c r="A13327" s="5"/>
    </row>
    <row r="13328" spans="1:1" x14ac:dyDescent="0.25">
      <c r="A13328" s="5"/>
    </row>
    <row r="13329" spans="1:1" x14ac:dyDescent="0.25">
      <c r="A13329" s="5"/>
    </row>
    <row r="13330" spans="1:1" x14ac:dyDescent="0.25">
      <c r="A13330" s="5"/>
    </row>
    <row r="13331" spans="1:1" x14ac:dyDescent="0.25">
      <c r="A13331" s="5"/>
    </row>
    <row r="13332" spans="1:1" x14ac:dyDescent="0.25">
      <c r="A13332" s="5"/>
    </row>
    <row r="13333" spans="1:1" x14ac:dyDescent="0.25">
      <c r="A13333" s="5"/>
    </row>
    <row r="13334" spans="1:1" x14ac:dyDescent="0.25">
      <c r="A13334" s="5"/>
    </row>
    <row r="13335" spans="1:1" x14ac:dyDescent="0.25">
      <c r="A13335" s="5"/>
    </row>
    <row r="13336" spans="1:1" x14ac:dyDescent="0.25">
      <c r="A13336" s="5"/>
    </row>
    <row r="13337" spans="1:1" x14ac:dyDescent="0.25">
      <c r="A13337" s="5"/>
    </row>
    <row r="13338" spans="1:1" x14ac:dyDescent="0.25">
      <c r="A13338" s="5"/>
    </row>
    <row r="13339" spans="1:1" x14ac:dyDescent="0.25">
      <c r="A13339" s="5"/>
    </row>
    <row r="13340" spans="1:1" x14ac:dyDescent="0.25">
      <c r="A13340" s="5"/>
    </row>
    <row r="13341" spans="1:1" x14ac:dyDescent="0.25">
      <c r="A13341" s="5"/>
    </row>
    <row r="13342" spans="1:1" x14ac:dyDescent="0.25">
      <c r="A13342" s="5"/>
    </row>
    <row r="13343" spans="1:1" x14ac:dyDescent="0.25">
      <c r="A13343" s="5"/>
    </row>
    <row r="13344" spans="1:1" x14ac:dyDescent="0.25">
      <c r="A13344" s="5"/>
    </row>
    <row r="13345" spans="1:1" x14ac:dyDescent="0.25">
      <c r="A13345" s="5"/>
    </row>
    <row r="13346" spans="1:1" x14ac:dyDescent="0.25">
      <c r="A13346" s="5"/>
    </row>
    <row r="13347" spans="1:1" x14ac:dyDescent="0.25">
      <c r="A13347" s="5"/>
    </row>
    <row r="13348" spans="1:1" x14ac:dyDescent="0.25">
      <c r="A13348" s="5"/>
    </row>
    <row r="13349" spans="1:1" x14ac:dyDescent="0.25">
      <c r="A13349" s="5"/>
    </row>
    <row r="13350" spans="1:1" x14ac:dyDescent="0.25">
      <c r="A13350" s="5"/>
    </row>
    <row r="13351" spans="1:1" x14ac:dyDescent="0.25">
      <c r="A13351" s="5"/>
    </row>
    <row r="13352" spans="1:1" x14ac:dyDescent="0.25">
      <c r="A13352" s="5"/>
    </row>
    <row r="13353" spans="1:1" x14ac:dyDescent="0.25">
      <c r="A13353" s="5"/>
    </row>
    <row r="13354" spans="1:1" x14ac:dyDescent="0.25">
      <c r="A13354" s="5"/>
    </row>
    <row r="13355" spans="1:1" x14ac:dyDescent="0.25">
      <c r="A13355" s="5"/>
    </row>
    <row r="13356" spans="1:1" x14ac:dyDescent="0.25">
      <c r="A13356" s="5"/>
    </row>
    <row r="13357" spans="1:1" x14ac:dyDescent="0.25">
      <c r="A13357" s="5"/>
    </row>
    <row r="13358" spans="1:1" x14ac:dyDescent="0.25">
      <c r="A13358" s="5"/>
    </row>
    <row r="13359" spans="1:1" x14ac:dyDescent="0.25">
      <c r="A13359" s="5"/>
    </row>
    <row r="13360" spans="1:1" x14ac:dyDescent="0.25">
      <c r="A13360" s="5"/>
    </row>
    <row r="13361" spans="1:1" x14ac:dyDescent="0.25">
      <c r="A13361" s="5"/>
    </row>
    <row r="13362" spans="1:1" x14ac:dyDescent="0.25">
      <c r="A13362" s="5"/>
    </row>
    <row r="13363" spans="1:1" x14ac:dyDescent="0.25">
      <c r="A13363" s="5"/>
    </row>
    <row r="13364" spans="1:1" x14ac:dyDescent="0.25">
      <c r="A13364" s="5"/>
    </row>
    <row r="13365" spans="1:1" x14ac:dyDescent="0.25">
      <c r="A13365" s="5"/>
    </row>
    <row r="13366" spans="1:1" x14ac:dyDescent="0.25">
      <c r="A13366" s="5"/>
    </row>
    <row r="13367" spans="1:1" x14ac:dyDescent="0.25">
      <c r="A13367" s="5"/>
    </row>
    <row r="13368" spans="1:1" x14ac:dyDescent="0.25">
      <c r="A13368" s="5"/>
    </row>
    <row r="13369" spans="1:1" x14ac:dyDescent="0.25">
      <c r="A13369" s="5"/>
    </row>
    <row r="13370" spans="1:1" x14ac:dyDescent="0.25">
      <c r="A13370" s="5"/>
    </row>
    <row r="13371" spans="1:1" x14ac:dyDescent="0.25">
      <c r="A13371" s="5"/>
    </row>
    <row r="13372" spans="1:1" x14ac:dyDescent="0.25">
      <c r="A13372" s="5"/>
    </row>
    <row r="13373" spans="1:1" x14ac:dyDescent="0.25">
      <c r="A13373" s="5"/>
    </row>
    <row r="13374" spans="1:1" x14ac:dyDescent="0.25">
      <c r="A13374" s="5"/>
    </row>
    <row r="13375" spans="1:1" x14ac:dyDescent="0.25">
      <c r="A13375" s="5"/>
    </row>
    <row r="13376" spans="1:1" x14ac:dyDescent="0.25">
      <c r="A13376" s="5"/>
    </row>
    <row r="13377" spans="1:1" x14ac:dyDescent="0.25">
      <c r="A13377" s="5"/>
    </row>
    <row r="13378" spans="1:1" x14ac:dyDescent="0.25">
      <c r="A13378" s="5"/>
    </row>
    <row r="13379" spans="1:1" x14ac:dyDescent="0.25">
      <c r="A13379" s="5"/>
    </row>
    <row r="13380" spans="1:1" x14ac:dyDescent="0.25">
      <c r="A13380" s="5"/>
    </row>
    <row r="13381" spans="1:1" x14ac:dyDescent="0.25">
      <c r="A13381" s="5"/>
    </row>
    <row r="13382" spans="1:1" x14ac:dyDescent="0.25">
      <c r="A13382" s="5"/>
    </row>
    <row r="13383" spans="1:1" x14ac:dyDescent="0.25">
      <c r="A13383" s="5"/>
    </row>
    <row r="13384" spans="1:1" x14ac:dyDescent="0.25">
      <c r="A13384" s="5"/>
    </row>
    <row r="13385" spans="1:1" x14ac:dyDescent="0.25">
      <c r="A13385" s="5"/>
    </row>
    <row r="13386" spans="1:1" x14ac:dyDescent="0.25">
      <c r="A13386" s="5"/>
    </row>
    <row r="13387" spans="1:1" x14ac:dyDescent="0.25">
      <c r="A13387" s="5"/>
    </row>
    <row r="13388" spans="1:1" x14ac:dyDescent="0.25">
      <c r="A13388" s="5"/>
    </row>
    <row r="13389" spans="1:1" x14ac:dyDescent="0.25">
      <c r="A13389" s="5"/>
    </row>
    <row r="13390" spans="1:1" x14ac:dyDescent="0.25">
      <c r="A13390" s="5"/>
    </row>
    <row r="13391" spans="1:1" x14ac:dyDescent="0.25">
      <c r="A13391" s="5"/>
    </row>
    <row r="13392" spans="1:1" x14ac:dyDescent="0.25">
      <c r="A13392" s="5"/>
    </row>
    <row r="13393" spans="1:1" x14ac:dyDescent="0.25">
      <c r="A13393" s="5"/>
    </row>
    <row r="13394" spans="1:1" x14ac:dyDescent="0.25">
      <c r="A13394" s="5"/>
    </row>
    <row r="13395" spans="1:1" x14ac:dyDescent="0.25">
      <c r="A13395" s="5"/>
    </row>
    <row r="13396" spans="1:1" x14ac:dyDescent="0.25">
      <c r="A13396" s="5"/>
    </row>
    <row r="13397" spans="1:1" x14ac:dyDescent="0.25">
      <c r="A13397" s="5"/>
    </row>
    <row r="13398" spans="1:1" x14ac:dyDescent="0.25">
      <c r="A13398" s="5"/>
    </row>
    <row r="13399" spans="1:1" x14ac:dyDescent="0.25">
      <c r="A13399" s="5"/>
    </row>
    <row r="13400" spans="1:1" x14ac:dyDescent="0.25">
      <c r="A13400" s="5"/>
    </row>
    <row r="13401" spans="1:1" x14ac:dyDescent="0.25">
      <c r="A13401" s="5"/>
    </row>
    <row r="13402" spans="1:1" x14ac:dyDescent="0.25">
      <c r="A13402" s="5"/>
    </row>
    <row r="13403" spans="1:1" x14ac:dyDescent="0.25">
      <c r="A13403" s="5"/>
    </row>
    <row r="13404" spans="1:1" x14ac:dyDescent="0.25">
      <c r="A13404" s="5"/>
    </row>
    <row r="13405" spans="1:1" x14ac:dyDescent="0.25">
      <c r="A13405" s="5"/>
    </row>
    <row r="13406" spans="1:1" x14ac:dyDescent="0.25">
      <c r="A13406" s="5"/>
    </row>
    <row r="13407" spans="1:1" x14ac:dyDescent="0.25">
      <c r="A13407" s="5"/>
    </row>
    <row r="13408" spans="1:1" x14ac:dyDescent="0.25">
      <c r="A13408" s="5"/>
    </row>
    <row r="13409" spans="1:1" x14ac:dyDescent="0.25">
      <c r="A13409" s="5"/>
    </row>
    <row r="13410" spans="1:1" x14ac:dyDescent="0.25">
      <c r="A13410" s="5"/>
    </row>
    <row r="13411" spans="1:1" x14ac:dyDescent="0.25">
      <c r="A13411" s="5"/>
    </row>
    <row r="13412" spans="1:1" x14ac:dyDescent="0.25">
      <c r="A13412" s="5"/>
    </row>
    <row r="13413" spans="1:1" x14ac:dyDescent="0.25">
      <c r="A13413" s="5"/>
    </row>
    <row r="13414" spans="1:1" x14ac:dyDescent="0.25">
      <c r="A13414" s="5"/>
    </row>
    <row r="13415" spans="1:1" x14ac:dyDescent="0.25">
      <c r="A13415" s="5"/>
    </row>
    <row r="13416" spans="1:1" x14ac:dyDescent="0.25">
      <c r="A13416" s="5"/>
    </row>
    <row r="13417" spans="1:1" x14ac:dyDescent="0.25">
      <c r="A13417" s="5"/>
    </row>
    <row r="13418" spans="1:1" x14ac:dyDescent="0.25">
      <c r="A13418" s="5"/>
    </row>
    <row r="13419" spans="1:1" x14ac:dyDescent="0.25">
      <c r="A13419" s="5"/>
    </row>
    <row r="13420" spans="1:1" x14ac:dyDescent="0.25">
      <c r="A13420" s="5"/>
    </row>
    <row r="13421" spans="1:1" x14ac:dyDescent="0.25">
      <c r="A13421" s="5"/>
    </row>
    <row r="13422" spans="1:1" x14ac:dyDescent="0.25">
      <c r="A13422" s="5"/>
    </row>
    <row r="13423" spans="1:1" x14ac:dyDescent="0.25">
      <c r="A13423" s="5"/>
    </row>
    <row r="13424" spans="1:1" x14ac:dyDescent="0.25">
      <c r="A13424" s="5"/>
    </row>
    <row r="13425" spans="1:1" x14ac:dyDescent="0.25">
      <c r="A13425" s="5"/>
    </row>
    <row r="13426" spans="1:1" x14ac:dyDescent="0.25">
      <c r="A13426" s="5"/>
    </row>
    <row r="13427" spans="1:1" x14ac:dyDescent="0.25">
      <c r="A13427" s="5"/>
    </row>
    <row r="13428" spans="1:1" x14ac:dyDescent="0.25">
      <c r="A13428" s="5"/>
    </row>
    <row r="13429" spans="1:1" x14ac:dyDescent="0.25">
      <c r="A13429" s="5"/>
    </row>
    <row r="13430" spans="1:1" x14ac:dyDescent="0.25">
      <c r="A13430" s="5"/>
    </row>
    <row r="13431" spans="1:1" x14ac:dyDescent="0.25">
      <c r="A13431" s="5"/>
    </row>
    <row r="13432" spans="1:1" x14ac:dyDescent="0.25">
      <c r="A13432" s="5"/>
    </row>
    <row r="13433" spans="1:1" x14ac:dyDescent="0.25">
      <c r="A13433" s="5"/>
    </row>
    <row r="13434" spans="1:1" x14ac:dyDescent="0.25">
      <c r="A13434" s="5"/>
    </row>
    <row r="13435" spans="1:1" x14ac:dyDescent="0.25">
      <c r="A13435" s="5"/>
    </row>
    <row r="13436" spans="1:1" x14ac:dyDescent="0.25">
      <c r="A13436" s="5"/>
    </row>
    <row r="13437" spans="1:1" x14ac:dyDescent="0.25">
      <c r="A13437" s="5"/>
    </row>
    <row r="13438" spans="1:1" x14ac:dyDescent="0.25">
      <c r="A13438" s="5"/>
    </row>
    <row r="13439" spans="1:1" x14ac:dyDescent="0.25">
      <c r="A13439" s="5"/>
    </row>
    <row r="13440" spans="1:1" x14ac:dyDescent="0.25">
      <c r="A13440" s="5"/>
    </row>
    <row r="13441" spans="1:1" x14ac:dyDescent="0.25">
      <c r="A13441" s="5"/>
    </row>
    <row r="13442" spans="1:1" x14ac:dyDescent="0.25">
      <c r="A13442" s="5"/>
    </row>
    <row r="13443" spans="1:1" x14ac:dyDescent="0.25">
      <c r="A13443" s="5"/>
    </row>
    <row r="13444" spans="1:1" x14ac:dyDescent="0.25">
      <c r="A13444" s="5"/>
    </row>
    <row r="13445" spans="1:1" x14ac:dyDescent="0.25">
      <c r="A13445" s="5"/>
    </row>
    <row r="13446" spans="1:1" x14ac:dyDescent="0.25">
      <c r="A13446" s="5"/>
    </row>
    <row r="13447" spans="1:1" x14ac:dyDescent="0.25">
      <c r="A13447" s="5"/>
    </row>
    <row r="13448" spans="1:1" x14ac:dyDescent="0.25">
      <c r="A13448" s="5"/>
    </row>
    <row r="13449" spans="1:1" x14ac:dyDescent="0.25">
      <c r="A13449" s="5"/>
    </row>
    <row r="13450" spans="1:1" x14ac:dyDescent="0.25">
      <c r="A13450" s="5"/>
    </row>
    <row r="13451" spans="1:1" x14ac:dyDescent="0.25">
      <c r="A13451" s="5"/>
    </row>
    <row r="13452" spans="1:1" x14ac:dyDescent="0.25">
      <c r="A13452" s="5"/>
    </row>
    <row r="13453" spans="1:1" x14ac:dyDescent="0.25">
      <c r="A13453" s="5"/>
    </row>
    <row r="13454" spans="1:1" x14ac:dyDescent="0.25">
      <c r="A13454" s="5"/>
    </row>
    <row r="13455" spans="1:1" x14ac:dyDescent="0.25">
      <c r="A13455" s="5"/>
    </row>
    <row r="13456" spans="1:1" x14ac:dyDescent="0.25">
      <c r="A13456" s="5"/>
    </row>
    <row r="13457" spans="1:1" x14ac:dyDescent="0.25">
      <c r="A13457" s="5"/>
    </row>
    <row r="13458" spans="1:1" x14ac:dyDescent="0.25">
      <c r="A13458" s="5"/>
    </row>
    <row r="13459" spans="1:1" x14ac:dyDescent="0.25">
      <c r="A13459" s="5"/>
    </row>
    <row r="13460" spans="1:1" x14ac:dyDescent="0.25">
      <c r="A13460" s="5"/>
    </row>
    <row r="13461" spans="1:1" x14ac:dyDescent="0.25">
      <c r="A13461" s="5"/>
    </row>
    <row r="13462" spans="1:1" x14ac:dyDescent="0.25">
      <c r="A13462" s="5"/>
    </row>
    <row r="13463" spans="1:1" x14ac:dyDescent="0.25">
      <c r="A13463" s="5"/>
    </row>
    <row r="13464" spans="1:1" x14ac:dyDescent="0.25">
      <c r="A13464" s="5"/>
    </row>
    <row r="13465" spans="1:1" x14ac:dyDescent="0.25">
      <c r="A13465" s="5"/>
    </row>
    <row r="13466" spans="1:1" x14ac:dyDescent="0.25">
      <c r="A13466" s="5"/>
    </row>
    <row r="13467" spans="1:1" x14ac:dyDescent="0.25">
      <c r="A13467" s="5"/>
    </row>
    <row r="13468" spans="1:1" x14ac:dyDescent="0.25">
      <c r="A13468" s="5"/>
    </row>
    <row r="13469" spans="1:1" x14ac:dyDescent="0.25">
      <c r="A13469" s="5"/>
    </row>
    <row r="13470" spans="1:1" x14ac:dyDescent="0.25">
      <c r="A13470" s="5"/>
    </row>
    <row r="13471" spans="1:1" x14ac:dyDescent="0.25">
      <c r="A13471" s="5"/>
    </row>
    <row r="13472" spans="1:1" x14ac:dyDescent="0.25">
      <c r="A13472" s="5"/>
    </row>
    <row r="13473" spans="1:1" x14ac:dyDescent="0.25">
      <c r="A13473" s="5"/>
    </row>
    <row r="13474" spans="1:1" x14ac:dyDescent="0.25">
      <c r="A13474" s="5"/>
    </row>
    <row r="13475" spans="1:1" x14ac:dyDescent="0.25">
      <c r="A13475" s="5"/>
    </row>
    <row r="13476" spans="1:1" x14ac:dyDescent="0.25">
      <c r="A13476" s="5"/>
    </row>
    <row r="13477" spans="1:1" x14ac:dyDescent="0.25">
      <c r="A13477" s="5"/>
    </row>
    <row r="13478" spans="1:1" x14ac:dyDescent="0.25">
      <c r="A13478" s="5"/>
    </row>
    <row r="13479" spans="1:1" x14ac:dyDescent="0.25">
      <c r="A13479" s="5"/>
    </row>
    <row r="13480" spans="1:1" x14ac:dyDescent="0.25">
      <c r="A13480" s="5"/>
    </row>
    <row r="13481" spans="1:1" x14ac:dyDescent="0.25">
      <c r="A13481" s="5"/>
    </row>
    <row r="13482" spans="1:1" x14ac:dyDescent="0.25">
      <c r="A13482" s="5"/>
    </row>
    <row r="13483" spans="1:1" x14ac:dyDescent="0.25">
      <c r="A13483" s="5"/>
    </row>
    <row r="13484" spans="1:1" x14ac:dyDescent="0.25">
      <c r="A13484" s="5"/>
    </row>
    <row r="13485" spans="1:1" x14ac:dyDescent="0.25">
      <c r="A13485" s="5"/>
    </row>
    <row r="13486" spans="1:1" x14ac:dyDescent="0.25">
      <c r="A13486" s="5"/>
    </row>
    <row r="13487" spans="1:1" x14ac:dyDescent="0.25">
      <c r="A13487" s="5"/>
    </row>
    <row r="13488" spans="1:1" x14ac:dyDescent="0.25">
      <c r="A13488" s="5"/>
    </row>
    <row r="13489" spans="1:1" x14ac:dyDescent="0.25">
      <c r="A13489" s="5"/>
    </row>
    <row r="13490" spans="1:1" x14ac:dyDescent="0.25">
      <c r="A13490" s="5"/>
    </row>
    <row r="13491" spans="1:1" x14ac:dyDescent="0.25">
      <c r="A13491" s="5"/>
    </row>
    <row r="13492" spans="1:1" x14ac:dyDescent="0.25">
      <c r="A13492" s="5"/>
    </row>
    <row r="13493" spans="1:1" x14ac:dyDescent="0.25">
      <c r="A13493" s="5"/>
    </row>
    <row r="13494" spans="1:1" x14ac:dyDescent="0.25">
      <c r="A13494" s="5"/>
    </row>
    <row r="13495" spans="1:1" x14ac:dyDescent="0.25">
      <c r="A13495" s="5"/>
    </row>
    <row r="13496" spans="1:1" x14ac:dyDescent="0.25">
      <c r="A13496" s="5"/>
    </row>
    <row r="13497" spans="1:1" x14ac:dyDescent="0.25">
      <c r="A13497" s="5"/>
    </row>
    <row r="13498" spans="1:1" x14ac:dyDescent="0.25">
      <c r="A13498" s="5"/>
    </row>
    <row r="13499" spans="1:1" x14ac:dyDescent="0.25">
      <c r="A13499" s="5"/>
    </row>
    <row r="13500" spans="1:1" x14ac:dyDescent="0.25">
      <c r="A13500" s="5"/>
    </row>
    <row r="13501" spans="1:1" x14ac:dyDescent="0.25">
      <c r="A13501" s="5"/>
    </row>
    <row r="13502" spans="1:1" x14ac:dyDescent="0.25">
      <c r="A13502" s="5"/>
    </row>
    <row r="13503" spans="1:1" x14ac:dyDescent="0.25">
      <c r="A13503" s="5"/>
    </row>
    <row r="13504" spans="1:1" x14ac:dyDescent="0.25">
      <c r="A13504" s="5"/>
    </row>
    <row r="13505" spans="1:1" x14ac:dyDescent="0.25">
      <c r="A13505" s="5"/>
    </row>
    <row r="13506" spans="1:1" x14ac:dyDescent="0.25">
      <c r="A13506" s="5"/>
    </row>
    <row r="13507" spans="1:1" x14ac:dyDescent="0.25">
      <c r="A13507" s="5"/>
    </row>
    <row r="13508" spans="1:1" x14ac:dyDescent="0.25">
      <c r="A13508" s="5"/>
    </row>
    <row r="13509" spans="1:1" x14ac:dyDescent="0.25">
      <c r="A13509" s="5"/>
    </row>
    <row r="13510" spans="1:1" x14ac:dyDescent="0.25">
      <c r="A13510" s="5"/>
    </row>
    <row r="13511" spans="1:1" x14ac:dyDescent="0.25">
      <c r="A13511" s="5"/>
    </row>
    <row r="13512" spans="1:1" x14ac:dyDescent="0.25">
      <c r="A13512" s="5"/>
    </row>
    <row r="13513" spans="1:1" x14ac:dyDescent="0.25">
      <c r="A13513" s="5"/>
    </row>
    <row r="13514" spans="1:1" x14ac:dyDescent="0.25">
      <c r="A13514" s="5"/>
    </row>
    <row r="13515" spans="1:1" x14ac:dyDescent="0.25">
      <c r="A13515" s="5"/>
    </row>
    <row r="13516" spans="1:1" x14ac:dyDescent="0.25">
      <c r="A13516" s="5"/>
    </row>
    <row r="13517" spans="1:1" x14ac:dyDescent="0.25">
      <c r="A13517" s="5"/>
    </row>
    <row r="13518" spans="1:1" x14ac:dyDescent="0.25">
      <c r="A13518" s="5"/>
    </row>
    <row r="13519" spans="1:1" x14ac:dyDescent="0.25">
      <c r="A13519" s="5"/>
    </row>
    <row r="13520" spans="1:1" x14ac:dyDescent="0.25">
      <c r="A13520" s="5"/>
    </row>
    <row r="13521" spans="1:1" x14ac:dyDescent="0.25">
      <c r="A13521" s="5"/>
    </row>
    <row r="13522" spans="1:1" x14ac:dyDescent="0.25">
      <c r="A13522" s="5"/>
    </row>
    <row r="13523" spans="1:1" x14ac:dyDescent="0.25">
      <c r="A13523" s="5"/>
    </row>
    <row r="13524" spans="1:1" x14ac:dyDescent="0.25">
      <c r="A13524" s="5"/>
    </row>
    <row r="13525" spans="1:1" x14ac:dyDescent="0.25">
      <c r="A13525" s="5"/>
    </row>
    <row r="13526" spans="1:1" x14ac:dyDescent="0.25">
      <c r="A13526" s="5"/>
    </row>
    <row r="13527" spans="1:1" x14ac:dyDescent="0.25">
      <c r="A13527" s="5"/>
    </row>
    <row r="13528" spans="1:1" x14ac:dyDescent="0.25">
      <c r="A13528" s="5"/>
    </row>
    <row r="13529" spans="1:1" x14ac:dyDescent="0.25">
      <c r="A13529" s="5"/>
    </row>
    <row r="13530" spans="1:1" x14ac:dyDescent="0.25">
      <c r="A13530" s="5"/>
    </row>
    <row r="13531" spans="1:1" x14ac:dyDescent="0.25">
      <c r="A13531" s="5"/>
    </row>
    <row r="13532" spans="1:1" x14ac:dyDescent="0.25">
      <c r="A13532" s="5"/>
    </row>
    <row r="13533" spans="1:1" x14ac:dyDescent="0.25">
      <c r="A13533" s="5"/>
    </row>
    <row r="13534" spans="1:1" x14ac:dyDescent="0.25">
      <c r="A13534" s="5"/>
    </row>
    <row r="13535" spans="1:1" x14ac:dyDescent="0.25">
      <c r="A13535" s="5"/>
    </row>
    <row r="13536" spans="1:1" x14ac:dyDescent="0.25">
      <c r="A13536" s="5"/>
    </row>
    <row r="13537" spans="1:1" x14ac:dyDescent="0.25">
      <c r="A13537" s="5"/>
    </row>
    <row r="13538" spans="1:1" x14ac:dyDescent="0.25">
      <c r="A13538" s="5"/>
    </row>
    <row r="13539" spans="1:1" x14ac:dyDescent="0.25">
      <c r="A13539" s="5"/>
    </row>
    <row r="13540" spans="1:1" x14ac:dyDescent="0.25">
      <c r="A13540" s="5"/>
    </row>
    <row r="13541" spans="1:1" x14ac:dyDescent="0.25">
      <c r="A13541" s="5"/>
    </row>
    <row r="13542" spans="1:1" x14ac:dyDescent="0.25">
      <c r="A13542" s="5"/>
    </row>
    <row r="13543" spans="1:1" x14ac:dyDescent="0.25">
      <c r="A13543" s="5"/>
    </row>
    <row r="13544" spans="1:1" x14ac:dyDescent="0.25">
      <c r="A13544" s="5"/>
    </row>
    <row r="13545" spans="1:1" x14ac:dyDescent="0.25">
      <c r="A13545" s="5"/>
    </row>
    <row r="13546" spans="1:1" x14ac:dyDescent="0.25">
      <c r="A13546" s="5"/>
    </row>
    <row r="13547" spans="1:1" x14ac:dyDescent="0.25">
      <c r="A13547" s="5"/>
    </row>
    <row r="13548" spans="1:1" x14ac:dyDescent="0.25">
      <c r="A13548" s="5"/>
    </row>
    <row r="13549" spans="1:1" x14ac:dyDescent="0.25">
      <c r="A13549" s="5"/>
    </row>
    <row r="13550" spans="1:1" x14ac:dyDescent="0.25">
      <c r="A13550" s="5"/>
    </row>
    <row r="13551" spans="1:1" x14ac:dyDescent="0.25">
      <c r="A13551" s="5"/>
    </row>
    <row r="13552" spans="1:1" x14ac:dyDescent="0.25">
      <c r="A13552" s="5"/>
    </row>
    <row r="13553" spans="1:1" x14ac:dyDescent="0.25">
      <c r="A13553" s="5"/>
    </row>
    <row r="13554" spans="1:1" x14ac:dyDescent="0.25">
      <c r="A13554" s="5"/>
    </row>
    <row r="13555" spans="1:1" x14ac:dyDescent="0.25">
      <c r="A13555" s="5"/>
    </row>
    <row r="13556" spans="1:1" x14ac:dyDescent="0.25">
      <c r="A13556" s="5"/>
    </row>
    <row r="13557" spans="1:1" x14ac:dyDescent="0.25">
      <c r="A13557" s="5"/>
    </row>
    <row r="13558" spans="1:1" x14ac:dyDescent="0.25">
      <c r="A13558" s="5"/>
    </row>
    <row r="13559" spans="1:1" x14ac:dyDescent="0.25">
      <c r="A13559" s="5"/>
    </row>
    <row r="13560" spans="1:1" x14ac:dyDescent="0.25">
      <c r="A13560" s="5"/>
    </row>
    <row r="13561" spans="1:1" x14ac:dyDescent="0.25">
      <c r="A13561" s="5"/>
    </row>
    <row r="13562" spans="1:1" x14ac:dyDescent="0.25">
      <c r="A13562" s="5"/>
    </row>
    <row r="13563" spans="1:1" x14ac:dyDescent="0.25">
      <c r="A13563" s="5"/>
    </row>
    <row r="13564" spans="1:1" x14ac:dyDescent="0.25">
      <c r="A13564" s="5"/>
    </row>
    <row r="13565" spans="1:1" x14ac:dyDescent="0.25">
      <c r="A13565" s="5"/>
    </row>
    <row r="13566" spans="1:1" x14ac:dyDescent="0.25">
      <c r="A13566" s="5"/>
    </row>
    <row r="13567" spans="1:1" x14ac:dyDescent="0.25">
      <c r="A13567" s="5"/>
    </row>
    <row r="13568" spans="1:1" x14ac:dyDescent="0.25">
      <c r="A13568" s="5"/>
    </row>
    <row r="13569" spans="1:1" x14ac:dyDescent="0.25">
      <c r="A13569" s="5"/>
    </row>
    <row r="13570" spans="1:1" x14ac:dyDescent="0.25">
      <c r="A13570" s="5"/>
    </row>
    <row r="13571" spans="1:1" x14ac:dyDescent="0.25">
      <c r="A13571" s="5"/>
    </row>
    <row r="13572" spans="1:1" x14ac:dyDescent="0.25">
      <c r="A13572" s="5"/>
    </row>
    <row r="13573" spans="1:1" x14ac:dyDescent="0.25">
      <c r="A13573" s="5"/>
    </row>
    <row r="13574" spans="1:1" x14ac:dyDescent="0.25">
      <c r="A13574" s="5"/>
    </row>
    <row r="13575" spans="1:1" x14ac:dyDescent="0.25">
      <c r="A13575" s="5"/>
    </row>
    <row r="13576" spans="1:1" x14ac:dyDescent="0.25">
      <c r="A13576" s="5"/>
    </row>
    <row r="13577" spans="1:1" x14ac:dyDescent="0.25">
      <c r="A13577" s="5"/>
    </row>
    <row r="13578" spans="1:1" x14ac:dyDescent="0.25">
      <c r="A13578" s="5"/>
    </row>
    <row r="13579" spans="1:1" x14ac:dyDescent="0.25">
      <c r="A13579" s="5"/>
    </row>
    <row r="13580" spans="1:1" x14ac:dyDescent="0.25">
      <c r="A13580" s="5"/>
    </row>
    <row r="13581" spans="1:1" x14ac:dyDescent="0.25">
      <c r="A13581" s="5"/>
    </row>
    <row r="13582" spans="1:1" x14ac:dyDescent="0.25">
      <c r="A13582" s="5"/>
    </row>
    <row r="13583" spans="1:1" x14ac:dyDescent="0.25">
      <c r="A13583" s="5"/>
    </row>
    <row r="13584" spans="1:1" x14ac:dyDescent="0.25">
      <c r="A13584" s="5"/>
    </row>
    <row r="13585" spans="1:1" x14ac:dyDescent="0.25">
      <c r="A13585" s="5"/>
    </row>
    <row r="13586" spans="1:1" x14ac:dyDescent="0.25">
      <c r="A13586" s="5"/>
    </row>
    <row r="13587" spans="1:1" x14ac:dyDescent="0.25">
      <c r="A13587" s="5"/>
    </row>
    <row r="13588" spans="1:1" x14ac:dyDescent="0.25">
      <c r="A13588" s="5"/>
    </row>
    <row r="13589" spans="1:1" x14ac:dyDescent="0.25">
      <c r="A13589" s="5"/>
    </row>
    <row r="13590" spans="1:1" x14ac:dyDescent="0.25">
      <c r="A13590" s="5"/>
    </row>
    <row r="13591" spans="1:1" x14ac:dyDescent="0.25">
      <c r="A13591" s="5"/>
    </row>
    <row r="13592" spans="1:1" x14ac:dyDescent="0.25">
      <c r="A13592" s="5"/>
    </row>
    <row r="13593" spans="1:1" x14ac:dyDescent="0.25">
      <c r="A13593" s="5"/>
    </row>
    <row r="13594" spans="1:1" x14ac:dyDescent="0.25">
      <c r="A13594" s="5"/>
    </row>
    <row r="13595" spans="1:1" x14ac:dyDescent="0.25">
      <c r="A13595" s="5"/>
    </row>
    <row r="13596" spans="1:1" x14ac:dyDescent="0.25">
      <c r="A13596" s="5"/>
    </row>
    <row r="13597" spans="1:1" x14ac:dyDescent="0.25">
      <c r="A13597" s="5"/>
    </row>
    <row r="13598" spans="1:1" x14ac:dyDescent="0.25">
      <c r="A13598" s="5"/>
    </row>
    <row r="13599" spans="1:1" x14ac:dyDescent="0.25">
      <c r="A13599" s="5"/>
    </row>
    <row r="13600" spans="1:1" x14ac:dyDescent="0.25">
      <c r="A13600" s="5"/>
    </row>
    <row r="13601" spans="1:1" x14ac:dyDescent="0.25">
      <c r="A13601" s="5"/>
    </row>
    <row r="13602" spans="1:1" x14ac:dyDescent="0.25">
      <c r="A13602" s="5"/>
    </row>
    <row r="13603" spans="1:1" x14ac:dyDescent="0.25">
      <c r="A13603" s="5"/>
    </row>
    <row r="13604" spans="1:1" x14ac:dyDescent="0.25">
      <c r="A13604" s="5"/>
    </row>
    <row r="13605" spans="1:1" x14ac:dyDescent="0.25">
      <c r="A13605" s="5"/>
    </row>
    <row r="13606" spans="1:1" x14ac:dyDescent="0.25">
      <c r="A13606" s="5"/>
    </row>
    <row r="13607" spans="1:1" x14ac:dyDescent="0.25">
      <c r="A13607" s="5"/>
    </row>
    <row r="13608" spans="1:1" x14ac:dyDescent="0.25">
      <c r="A13608" s="5"/>
    </row>
    <row r="13609" spans="1:1" x14ac:dyDescent="0.25">
      <c r="A13609" s="5"/>
    </row>
    <row r="13610" spans="1:1" x14ac:dyDescent="0.25">
      <c r="A13610" s="5"/>
    </row>
    <row r="13611" spans="1:1" x14ac:dyDescent="0.25">
      <c r="A13611" s="5"/>
    </row>
    <row r="13612" spans="1:1" x14ac:dyDescent="0.25">
      <c r="A13612" s="5"/>
    </row>
    <row r="13613" spans="1:1" x14ac:dyDescent="0.25">
      <c r="A13613" s="5"/>
    </row>
    <row r="13614" spans="1:1" x14ac:dyDescent="0.25">
      <c r="A13614" s="5"/>
    </row>
    <row r="13615" spans="1:1" x14ac:dyDescent="0.25">
      <c r="A13615" s="5"/>
    </row>
    <row r="13616" spans="1:1" x14ac:dyDescent="0.25">
      <c r="A13616" s="5"/>
    </row>
    <row r="13617" spans="1:1" x14ac:dyDescent="0.25">
      <c r="A13617" s="5"/>
    </row>
    <row r="13618" spans="1:1" x14ac:dyDescent="0.25">
      <c r="A13618" s="5"/>
    </row>
    <row r="13619" spans="1:1" x14ac:dyDescent="0.25">
      <c r="A13619" s="5"/>
    </row>
    <row r="13620" spans="1:1" x14ac:dyDescent="0.25">
      <c r="A13620" s="5"/>
    </row>
    <row r="13621" spans="1:1" x14ac:dyDescent="0.25">
      <c r="A13621" s="5"/>
    </row>
    <row r="13622" spans="1:1" x14ac:dyDescent="0.25">
      <c r="A13622" s="5"/>
    </row>
    <row r="13623" spans="1:1" x14ac:dyDescent="0.25">
      <c r="A13623" s="5"/>
    </row>
    <row r="13624" spans="1:1" x14ac:dyDescent="0.25">
      <c r="A13624" s="5"/>
    </row>
    <row r="13625" spans="1:1" x14ac:dyDescent="0.25">
      <c r="A13625" s="5"/>
    </row>
    <row r="13626" spans="1:1" x14ac:dyDescent="0.25">
      <c r="A13626" s="5"/>
    </row>
    <row r="13627" spans="1:1" x14ac:dyDescent="0.25">
      <c r="A13627" s="5"/>
    </row>
    <row r="13628" spans="1:1" x14ac:dyDescent="0.25">
      <c r="A13628" s="5"/>
    </row>
    <row r="13629" spans="1:1" x14ac:dyDescent="0.25">
      <c r="A13629" s="5"/>
    </row>
    <row r="13630" spans="1:1" x14ac:dyDescent="0.25">
      <c r="A13630" s="5"/>
    </row>
    <row r="13631" spans="1:1" x14ac:dyDescent="0.25">
      <c r="A13631" s="5"/>
    </row>
    <row r="13632" spans="1:1" x14ac:dyDescent="0.25">
      <c r="A13632" s="5"/>
    </row>
    <row r="13633" spans="1:1" x14ac:dyDescent="0.25">
      <c r="A13633" s="5"/>
    </row>
    <row r="13634" spans="1:1" x14ac:dyDescent="0.25">
      <c r="A13634" s="5"/>
    </row>
    <row r="13635" spans="1:1" x14ac:dyDescent="0.25">
      <c r="A13635" s="5"/>
    </row>
    <row r="13636" spans="1:1" x14ac:dyDescent="0.25">
      <c r="A13636" s="5"/>
    </row>
    <row r="13637" spans="1:1" x14ac:dyDescent="0.25">
      <c r="A13637" s="5"/>
    </row>
    <row r="13638" spans="1:1" x14ac:dyDescent="0.25">
      <c r="A13638" s="5"/>
    </row>
    <row r="13639" spans="1:1" x14ac:dyDescent="0.25">
      <c r="A13639" s="5"/>
    </row>
    <row r="13640" spans="1:1" x14ac:dyDescent="0.25">
      <c r="A13640" s="5"/>
    </row>
    <row r="13641" spans="1:1" x14ac:dyDescent="0.25">
      <c r="A13641" s="5"/>
    </row>
    <row r="13642" spans="1:1" x14ac:dyDescent="0.25">
      <c r="A13642" s="5"/>
    </row>
    <row r="13643" spans="1:1" x14ac:dyDescent="0.25">
      <c r="A13643" s="5"/>
    </row>
    <row r="13644" spans="1:1" x14ac:dyDescent="0.25">
      <c r="A13644" s="5"/>
    </row>
    <row r="13645" spans="1:1" x14ac:dyDescent="0.25">
      <c r="A13645" s="5"/>
    </row>
    <row r="13646" spans="1:1" x14ac:dyDescent="0.25">
      <c r="A13646" s="5"/>
    </row>
    <row r="13647" spans="1:1" x14ac:dyDescent="0.25">
      <c r="A13647" s="5"/>
    </row>
    <row r="13648" spans="1:1" x14ac:dyDescent="0.25">
      <c r="A13648" s="5"/>
    </row>
    <row r="13649" spans="1:1" x14ac:dyDescent="0.25">
      <c r="A13649" s="5"/>
    </row>
    <row r="13650" spans="1:1" x14ac:dyDescent="0.25">
      <c r="A13650" s="5"/>
    </row>
    <row r="13651" spans="1:1" x14ac:dyDescent="0.25">
      <c r="A13651" s="5"/>
    </row>
    <row r="13652" spans="1:1" x14ac:dyDescent="0.25">
      <c r="A13652" s="5"/>
    </row>
    <row r="13653" spans="1:1" x14ac:dyDescent="0.25">
      <c r="A13653" s="5"/>
    </row>
    <row r="13654" spans="1:1" x14ac:dyDescent="0.25">
      <c r="A13654" s="5"/>
    </row>
    <row r="13655" spans="1:1" x14ac:dyDescent="0.25">
      <c r="A13655" s="5"/>
    </row>
    <row r="13656" spans="1:1" x14ac:dyDescent="0.25">
      <c r="A13656" s="5"/>
    </row>
    <row r="13657" spans="1:1" x14ac:dyDescent="0.25">
      <c r="A13657" s="5"/>
    </row>
    <row r="13658" spans="1:1" x14ac:dyDescent="0.25">
      <c r="A13658" s="5"/>
    </row>
    <row r="13659" spans="1:1" x14ac:dyDescent="0.25">
      <c r="A13659" s="5"/>
    </row>
    <row r="13660" spans="1:1" x14ac:dyDescent="0.25">
      <c r="A13660" s="5"/>
    </row>
    <row r="13661" spans="1:1" x14ac:dyDescent="0.25">
      <c r="A13661" s="5"/>
    </row>
    <row r="13662" spans="1:1" x14ac:dyDescent="0.25">
      <c r="A13662" s="5"/>
    </row>
    <row r="13663" spans="1:1" x14ac:dyDescent="0.25">
      <c r="A13663" s="5"/>
    </row>
    <row r="13664" spans="1:1" x14ac:dyDescent="0.25">
      <c r="A13664" s="5"/>
    </row>
    <row r="13665" spans="1:1" x14ac:dyDescent="0.25">
      <c r="A13665" s="5"/>
    </row>
    <row r="13666" spans="1:1" x14ac:dyDescent="0.25">
      <c r="A13666" s="5"/>
    </row>
    <row r="13667" spans="1:1" x14ac:dyDescent="0.25">
      <c r="A13667" s="5"/>
    </row>
    <row r="13668" spans="1:1" x14ac:dyDescent="0.25">
      <c r="A13668" s="5"/>
    </row>
    <row r="13669" spans="1:1" x14ac:dyDescent="0.25">
      <c r="A13669" s="5"/>
    </row>
    <row r="13670" spans="1:1" x14ac:dyDescent="0.25">
      <c r="A13670" s="5"/>
    </row>
    <row r="13671" spans="1:1" x14ac:dyDescent="0.25">
      <c r="A13671" s="5"/>
    </row>
    <row r="13672" spans="1:1" x14ac:dyDescent="0.25">
      <c r="A13672" s="5"/>
    </row>
    <row r="13673" spans="1:1" x14ac:dyDescent="0.25">
      <c r="A13673" s="5"/>
    </row>
    <row r="13674" spans="1:1" x14ac:dyDescent="0.25">
      <c r="A13674" s="5"/>
    </row>
    <row r="13675" spans="1:1" x14ac:dyDescent="0.25">
      <c r="A13675" s="5"/>
    </row>
    <row r="13676" spans="1:1" x14ac:dyDescent="0.25">
      <c r="A13676" s="5"/>
    </row>
    <row r="13677" spans="1:1" x14ac:dyDescent="0.25">
      <c r="A13677" s="5"/>
    </row>
    <row r="13678" spans="1:1" x14ac:dyDescent="0.25">
      <c r="A13678" s="5"/>
    </row>
    <row r="13679" spans="1:1" x14ac:dyDescent="0.25">
      <c r="A13679" s="5"/>
    </row>
    <row r="13680" spans="1:1" x14ac:dyDescent="0.25">
      <c r="A13680" s="5"/>
    </row>
    <row r="13681" spans="1:1" x14ac:dyDescent="0.25">
      <c r="A13681" s="5"/>
    </row>
    <row r="13682" spans="1:1" x14ac:dyDescent="0.25">
      <c r="A13682" s="5"/>
    </row>
    <row r="13683" spans="1:1" x14ac:dyDescent="0.25">
      <c r="A13683" s="5"/>
    </row>
    <row r="13684" spans="1:1" x14ac:dyDescent="0.25">
      <c r="A13684" s="5"/>
    </row>
    <row r="13685" spans="1:1" x14ac:dyDescent="0.25">
      <c r="A13685" s="5"/>
    </row>
    <row r="13686" spans="1:1" x14ac:dyDescent="0.25">
      <c r="A13686" s="5"/>
    </row>
    <row r="13687" spans="1:1" x14ac:dyDescent="0.25">
      <c r="A13687" s="5"/>
    </row>
    <row r="13688" spans="1:1" x14ac:dyDescent="0.25">
      <c r="A13688" s="5"/>
    </row>
    <row r="13689" spans="1:1" x14ac:dyDescent="0.25">
      <c r="A13689" s="5"/>
    </row>
    <row r="13690" spans="1:1" x14ac:dyDescent="0.25">
      <c r="A13690" s="5"/>
    </row>
    <row r="13691" spans="1:1" x14ac:dyDescent="0.25">
      <c r="A13691" s="5"/>
    </row>
    <row r="13692" spans="1:1" x14ac:dyDescent="0.25">
      <c r="A13692" s="5"/>
    </row>
    <row r="13693" spans="1:1" x14ac:dyDescent="0.25">
      <c r="A13693" s="5"/>
    </row>
    <row r="13694" spans="1:1" x14ac:dyDescent="0.25">
      <c r="A13694" s="5"/>
    </row>
    <row r="13695" spans="1:1" x14ac:dyDescent="0.25">
      <c r="A13695" s="5"/>
    </row>
    <row r="13696" spans="1:1" x14ac:dyDescent="0.25">
      <c r="A13696" s="5"/>
    </row>
    <row r="13697" spans="1:1" x14ac:dyDescent="0.25">
      <c r="A13697" s="5"/>
    </row>
    <row r="13698" spans="1:1" x14ac:dyDescent="0.25">
      <c r="A13698" s="5"/>
    </row>
    <row r="13699" spans="1:1" x14ac:dyDescent="0.25">
      <c r="A13699" s="5"/>
    </row>
    <row r="13700" spans="1:1" x14ac:dyDescent="0.25">
      <c r="A13700" s="5"/>
    </row>
    <row r="13701" spans="1:1" x14ac:dyDescent="0.25">
      <c r="A13701" s="5"/>
    </row>
    <row r="13702" spans="1:1" x14ac:dyDescent="0.25">
      <c r="A13702" s="5"/>
    </row>
    <row r="13703" spans="1:1" x14ac:dyDescent="0.25">
      <c r="A13703" s="5"/>
    </row>
    <row r="13704" spans="1:1" x14ac:dyDescent="0.25">
      <c r="A13704" s="5"/>
    </row>
    <row r="13705" spans="1:1" x14ac:dyDescent="0.25">
      <c r="A13705" s="5"/>
    </row>
    <row r="13706" spans="1:1" x14ac:dyDescent="0.25">
      <c r="A13706" s="5"/>
    </row>
    <row r="13707" spans="1:1" x14ac:dyDescent="0.25">
      <c r="A13707" s="5"/>
    </row>
    <row r="13708" spans="1:1" x14ac:dyDescent="0.25">
      <c r="A13708" s="5"/>
    </row>
    <row r="13709" spans="1:1" x14ac:dyDescent="0.25">
      <c r="A13709" s="5"/>
    </row>
    <row r="13710" spans="1:1" x14ac:dyDescent="0.25">
      <c r="A13710" s="5"/>
    </row>
    <row r="13711" spans="1:1" x14ac:dyDescent="0.25">
      <c r="A13711" s="5"/>
    </row>
    <row r="13712" spans="1:1" x14ac:dyDescent="0.25">
      <c r="A13712" s="5"/>
    </row>
    <row r="13713" spans="1:1" x14ac:dyDescent="0.25">
      <c r="A13713" s="5"/>
    </row>
    <row r="13714" spans="1:1" x14ac:dyDescent="0.25">
      <c r="A13714" s="5"/>
    </row>
    <row r="13715" spans="1:1" x14ac:dyDescent="0.25">
      <c r="A13715" s="5"/>
    </row>
    <row r="13716" spans="1:1" x14ac:dyDescent="0.25">
      <c r="A13716" s="5"/>
    </row>
    <row r="13717" spans="1:1" x14ac:dyDescent="0.25">
      <c r="A13717" s="5"/>
    </row>
    <row r="13718" spans="1:1" x14ac:dyDescent="0.25">
      <c r="A13718" s="5"/>
    </row>
    <row r="13719" spans="1:1" x14ac:dyDescent="0.25">
      <c r="A13719" s="5"/>
    </row>
    <row r="13720" spans="1:1" x14ac:dyDescent="0.25">
      <c r="A13720" s="5"/>
    </row>
    <row r="13721" spans="1:1" x14ac:dyDescent="0.25">
      <c r="A13721" s="5"/>
    </row>
    <row r="13722" spans="1:1" x14ac:dyDescent="0.25">
      <c r="A13722" s="5"/>
    </row>
    <row r="13723" spans="1:1" x14ac:dyDescent="0.25">
      <c r="A13723" s="5"/>
    </row>
    <row r="13724" spans="1:1" x14ac:dyDescent="0.25">
      <c r="A13724" s="5"/>
    </row>
    <row r="13725" spans="1:1" x14ac:dyDescent="0.25">
      <c r="A13725" s="5"/>
    </row>
    <row r="13726" spans="1:1" x14ac:dyDescent="0.25">
      <c r="A13726" s="5"/>
    </row>
    <row r="13727" spans="1:1" x14ac:dyDescent="0.25">
      <c r="A13727" s="5"/>
    </row>
    <row r="13728" spans="1:1" x14ac:dyDescent="0.25">
      <c r="A13728" s="5"/>
    </row>
    <row r="13729" spans="1:1" x14ac:dyDescent="0.25">
      <c r="A13729" s="5"/>
    </row>
    <row r="13730" spans="1:1" x14ac:dyDescent="0.25">
      <c r="A13730" s="5"/>
    </row>
    <row r="13731" spans="1:1" x14ac:dyDescent="0.25">
      <c r="A13731" s="5"/>
    </row>
    <row r="13732" spans="1:1" x14ac:dyDescent="0.25">
      <c r="A13732" s="5"/>
    </row>
    <row r="13733" spans="1:1" x14ac:dyDescent="0.25">
      <c r="A13733" s="5"/>
    </row>
    <row r="13734" spans="1:1" x14ac:dyDescent="0.25">
      <c r="A13734" s="5"/>
    </row>
    <row r="13735" spans="1:1" x14ac:dyDescent="0.25">
      <c r="A13735" s="5"/>
    </row>
    <row r="13736" spans="1:1" x14ac:dyDescent="0.25">
      <c r="A13736" s="5"/>
    </row>
    <row r="13737" spans="1:1" x14ac:dyDescent="0.25">
      <c r="A13737" s="5"/>
    </row>
    <row r="13738" spans="1:1" x14ac:dyDescent="0.25">
      <c r="A13738" s="5"/>
    </row>
    <row r="13739" spans="1:1" x14ac:dyDescent="0.25">
      <c r="A13739" s="5"/>
    </row>
    <row r="13740" spans="1:1" x14ac:dyDescent="0.25">
      <c r="A13740" s="5"/>
    </row>
    <row r="13741" spans="1:1" x14ac:dyDescent="0.25">
      <c r="A13741" s="5"/>
    </row>
    <row r="13742" spans="1:1" x14ac:dyDescent="0.25">
      <c r="A13742" s="5"/>
    </row>
    <row r="13743" spans="1:1" x14ac:dyDescent="0.25">
      <c r="A13743" s="5"/>
    </row>
    <row r="13744" spans="1:1" x14ac:dyDescent="0.25">
      <c r="A13744" s="5"/>
    </row>
    <row r="13745" spans="1:1" x14ac:dyDescent="0.25">
      <c r="A13745" s="5"/>
    </row>
    <row r="13746" spans="1:1" x14ac:dyDescent="0.25">
      <c r="A13746" s="5"/>
    </row>
    <row r="13747" spans="1:1" x14ac:dyDescent="0.25">
      <c r="A13747" s="5"/>
    </row>
    <row r="13748" spans="1:1" x14ac:dyDescent="0.25">
      <c r="A13748" s="5"/>
    </row>
    <row r="13749" spans="1:1" x14ac:dyDescent="0.25">
      <c r="A13749" s="5"/>
    </row>
    <row r="13750" spans="1:1" x14ac:dyDescent="0.25">
      <c r="A13750" s="5"/>
    </row>
    <row r="13751" spans="1:1" x14ac:dyDescent="0.25">
      <c r="A13751" s="5"/>
    </row>
    <row r="13752" spans="1:1" x14ac:dyDescent="0.25">
      <c r="A13752" s="5"/>
    </row>
    <row r="13753" spans="1:1" x14ac:dyDescent="0.25">
      <c r="A13753" s="5"/>
    </row>
    <row r="13754" spans="1:1" x14ac:dyDescent="0.25">
      <c r="A13754" s="5"/>
    </row>
    <row r="13755" spans="1:1" x14ac:dyDescent="0.25">
      <c r="A13755" s="5"/>
    </row>
    <row r="13756" spans="1:1" x14ac:dyDescent="0.25">
      <c r="A13756" s="5"/>
    </row>
    <row r="13757" spans="1:1" x14ac:dyDescent="0.25">
      <c r="A13757" s="5"/>
    </row>
    <row r="13758" spans="1:1" x14ac:dyDescent="0.25">
      <c r="A13758" s="5"/>
    </row>
    <row r="13759" spans="1:1" x14ac:dyDescent="0.25">
      <c r="A13759" s="5"/>
    </row>
    <row r="13760" spans="1:1" x14ac:dyDescent="0.25">
      <c r="A13760" s="5"/>
    </row>
    <row r="13761" spans="1:1" x14ac:dyDescent="0.25">
      <c r="A13761" s="5"/>
    </row>
    <row r="13762" spans="1:1" x14ac:dyDescent="0.25">
      <c r="A13762" s="5"/>
    </row>
    <row r="13763" spans="1:1" x14ac:dyDescent="0.25">
      <c r="A13763" s="5"/>
    </row>
    <row r="13764" spans="1:1" x14ac:dyDescent="0.25">
      <c r="A13764" s="5"/>
    </row>
    <row r="13765" spans="1:1" x14ac:dyDescent="0.25">
      <c r="A13765" s="5"/>
    </row>
    <row r="13766" spans="1:1" x14ac:dyDescent="0.25">
      <c r="A13766" s="5"/>
    </row>
    <row r="13767" spans="1:1" x14ac:dyDescent="0.25">
      <c r="A13767" s="5"/>
    </row>
    <row r="13768" spans="1:1" x14ac:dyDescent="0.25">
      <c r="A13768" s="5"/>
    </row>
    <row r="13769" spans="1:1" x14ac:dyDescent="0.25">
      <c r="A13769" s="5"/>
    </row>
    <row r="13770" spans="1:1" x14ac:dyDescent="0.25">
      <c r="A13770" s="5"/>
    </row>
    <row r="13771" spans="1:1" x14ac:dyDescent="0.25">
      <c r="A13771" s="5"/>
    </row>
    <row r="13772" spans="1:1" x14ac:dyDescent="0.25">
      <c r="A13772" s="5"/>
    </row>
    <row r="13773" spans="1:1" x14ac:dyDescent="0.25">
      <c r="A13773" s="5"/>
    </row>
    <row r="13774" spans="1:1" x14ac:dyDescent="0.25">
      <c r="A13774" s="5"/>
    </row>
    <row r="13775" spans="1:1" x14ac:dyDescent="0.25">
      <c r="A13775" s="5"/>
    </row>
    <row r="13776" spans="1:1" x14ac:dyDescent="0.25">
      <c r="A13776" s="5"/>
    </row>
    <row r="13777" spans="1:1" x14ac:dyDescent="0.25">
      <c r="A13777" s="5"/>
    </row>
    <row r="13778" spans="1:1" x14ac:dyDescent="0.25">
      <c r="A13778" s="5"/>
    </row>
    <row r="13779" spans="1:1" x14ac:dyDescent="0.25">
      <c r="A13779" s="5"/>
    </row>
    <row r="13780" spans="1:1" x14ac:dyDescent="0.25">
      <c r="A13780" s="5"/>
    </row>
    <row r="13781" spans="1:1" x14ac:dyDescent="0.25">
      <c r="A13781" s="5"/>
    </row>
    <row r="13782" spans="1:1" x14ac:dyDescent="0.25">
      <c r="A13782" s="5"/>
    </row>
    <row r="13783" spans="1:1" x14ac:dyDescent="0.25">
      <c r="A13783" s="5"/>
    </row>
    <row r="13784" spans="1:1" x14ac:dyDescent="0.25">
      <c r="A13784" s="5"/>
    </row>
    <row r="13785" spans="1:1" x14ac:dyDescent="0.25">
      <c r="A13785" s="5"/>
    </row>
    <row r="13786" spans="1:1" x14ac:dyDescent="0.25">
      <c r="A13786" s="5"/>
    </row>
    <row r="13787" spans="1:1" x14ac:dyDescent="0.25">
      <c r="A13787" s="5"/>
    </row>
    <row r="13788" spans="1:1" x14ac:dyDescent="0.25">
      <c r="A13788" s="5"/>
    </row>
    <row r="13789" spans="1:1" x14ac:dyDescent="0.25">
      <c r="A13789" s="5"/>
    </row>
    <row r="13790" spans="1:1" x14ac:dyDescent="0.25">
      <c r="A13790" s="5"/>
    </row>
    <row r="13791" spans="1:1" x14ac:dyDescent="0.25">
      <c r="A13791" s="5"/>
    </row>
    <row r="13792" spans="1:1" x14ac:dyDescent="0.25">
      <c r="A13792" s="5"/>
    </row>
    <row r="13793" spans="1:1" x14ac:dyDescent="0.25">
      <c r="A13793" s="5"/>
    </row>
    <row r="13794" spans="1:1" x14ac:dyDescent="0.25">
      <c r="A13794" s="5"/>
    </row>
    <row r="13795" spans="1:1" x14ac:dyDescent="0.25">
      <c r="A13795" s="5"/>
    </row>
    <row r="13796" spans="1:1" x14ac:dyDescent="0.25">
      <c r="A13796" s="5"/>
    </row>
    <row r="13797" spans="1:1" x14ac:dyDescent="0.25">
      <c r="A13797" s="5"/>
    </row>
    <row r="13798" spans="1:1" x14ac:dyDescent="0.25">
      <c r="A13798" s="5"/>
    </row>
    <row r="13799" spans="1:1" x14ac:dyDescent="0.25">
      <c r="A13799" s="5"/>
    </row>
    <row r="13800" spans="1:1" x14ac:dyDescent="0.25">
      <c r="A13800" s="5"/>
    </row>
    <row r="13801" spans="1:1" x14ac:dyDescent="0.25">
      <c r="A13801" s="5"/>
    </row>
    <row r="13802" spans="1:1" x14ac:dyDescent="0.25">
      <c r="A13802" s="5"/>
    </row>
    <row r="13803" spans="1:1" x14ac:dyDescent="0.25">
      <c r="A13803" s="5"/>
    </row>
    <row r="13804" spans="1:1" x14ac:dyDescent="0.25">
      <c r="A13804" s="5"/>
    </row>
    <row r="13805" spans="1:1" x14ac:dyDescent="0.25">
      <c r="A13805" s="5"/>
    </row>
    <row r="13806" spans="1:1" x14ac:dyDescent="0.25">
      <c r="A13806" s="5"/>
    </row>
    <row r="13807" spans="1:1" x14ac:dyDescent="0.25">
      <c r="A13807" s="5"/>
    </row>
    <row r="13808" spans="1:1" x14ac:dyDescent="0.25">
      <c r="A13808" s="5"/>
    </row>
    <row r="13809" spans="1:1" x14ac:dyDescent="0.25">
      <c r="A13809" s="5"/>
    </row>
    <row r="13810" spans="1:1" x14ac:dyDescent="0.25">
      <c r="A13810" s="5"/>
    </row>
    <row r="13811" spans="1:1" x14ac:dyDescent="0.25">
      <c r="A13811" s="5"/>
    </row>
    <row r="13812" spans="1:1" x14ac:dyDescent="0.25">
      <c r="A13812" s="5"/>
    </row>
    <row r="13813" spans="1:1" x14ac:dyDescent="0.25">
      <c r="A13813" s="5"/>
    </row>
    <row r="13814" spans="1:1" x14ac:dyDescent="0.25">
      <c r="A13814" s="5"/>
    </row>
    <row r="13815" spans="1:1" x14ac:dyDescent="0.25">
      <c r="A13815" s="5"/>
    </row>
    <row r="13816" spans="1:1" x14ac:dyDescent="0.25">
      <c r="A13816" s="5"/>
    </row>
    <row r="13817" spans="1:1" x14ac:dyDescent="0.25">
      <c r="A13817" s="5"/>
    </row>
    <row r="13818" spans="1:1" x14ac:dyDescent="0.25">
      <c r="A13818" s="5"/>
    </row>
    <row r="13819" spans="1:1" x14ac:dyDescent="0.25">
      <c r="A13819" s="5"/>
    </row>
    <row r="13820" spans="1:1" x14ac:dyDescent="0.25">
      <c r="A13820" s="5"/>
    </row>
    <row r="13821" spans="1:1" x14ac:dyDescent="0.25">
      <c r="A13821" s="5"/>
    </row>
    <row r="13822" spans="1:1" x14ac:dyDescent="0.25">
      <c r="A13822" s="5"/>
    </row>
    <row r="13823" spans="1:1" x14ac:dyDescent="0.25">
      <c r="A13823" s="5"/>
    </row>
    <row r="13824" spans="1:1" x14ac:dyDescent="0.25">
      <c r="A13824" s="5"/>
    </row>
    <row r="13825" spans="1:1" x14ac:dyDescent="0.25">
      <c r="A13825" s="5"/>
    </row>
    <row r="13826" spans="1:1" x14ac:dyDescent="0.25">
      <c r="A13826" s="5"/>
    </row>
    <row r="13827" spans="1:1" x14ac:dyDescent="0.25">
      <c r="A13827" s="5"/>
    </row>
    <row r="13828" spans="1:1" x14ac:dyDescent="0.25">
      <c r="A13828" s="5"/>
    </row>
    <row r="13829" spans="1:1" x14ac:dyDescent="0.25">
      <c r="A13829" s="5"/>
    </row>
    <row r="13830" spans="1:1" x14ac:dyDescent="0.25">
      <c r="A13830" s="5"/>
    </row>
    <row r="13831" spans="1:1" x14ac:dyDescent="0.25">
      <c r="A13831" s="5"/>
    </row>
    <row r="13832" spans="1:1" x14ac:dyDescent="0.25">
      <c r="A13832" s="5"/>
    </row>
    <row r="13833" spans="1:1" x14ac:dyDescent="0.25">
      <c r="A13833" s="5"/>
    </row>
    <row r="13834" spans="1:1" x14ac:dyDescent="0.25">
      <c r="A13834" s="5"/>
    </row>
    <row r="13835" spans="1:1" x14ac:dyDescent="0.25">
      <c r="A13835" s="5"/>
    </row>
    <row r="13836" spans="1:1" x14ac:dyDescent="0.25">
      <c r="A13836" s="5"/>
    </row>
    <row r="13837" spans="1:1" x14ac:dyDescent="0.25">
      <c r="A13837" s="5"/>
    </row>
    <row r="13838" spans="1:1" x14ac:dyDescent="0.25">
      <c r="A13838" s="5"/>
    </row>
    <row r="13839" spans="1:1" x14ac:dyDescent="0.25">
      <c r="A13839" s="5"/>
    </row>
    <row r="13840" spans="1:1" x14ac:dyDescent="0.25">
      <c r="A13840" s="5"/>
    </row>
    <row r="13841" spans="1:1" x14ac:dyDescent="0.25">
      <c r="A13841" s="5"/>
    </row>
    <row r="13842" spans="1:1" x14ac:dyDescent="0.25">
      <c r="A13842" s="5"/>
    </row>
    <row r="13843" spans="1:1" x14ac:dyDescent="0.25">
      <c r="A13843" s="5"/>
    </row>
    <row r="13844" spans="1:1" x14ac:dyDescent="0.25">
      <c r="A13844" s="5"/>
    </row>
    <row r="13845" spans="1:1" x14ac:dyDescent="0.25">
      <c r="A13845" s="5"/>
    </row>
    <row r="13846" spans="1:1" x14ac:dyDescent="0.25">
      <c r="A13846" s="5"/>
    </row>
    <row r="13847" spans="1:1" x14ac:dyDescent="0.25">
      <c r="A13847" s="5"/>
    </row>
    <row r="13848" spans="1:1" x14ac:dyDescent="0.25">
      <c r="A13848" s="5"/>
    </row>
    <row r="13849" spans="1:1" x14ac:dyDescent="0.25">
      <c r="A13849" s="5"/>
    </row>
    <row r="13850" spans="1:1" x14ac:dyDescent="0.25">
      <c r="A13850" s="5"/>
    </row>
    <row r="13851" spans="1:1" x14ac:dyDescent="0.25">
      <c r="A13851" s="5"/>
    </row>
    <row r="13852" spans="1:1" x14ac:dyDescent="0.25">
      <c r="A13852" s="5"/>
    </row>
    <row r="13853" spans="1:1" x14ac:dyDescent="0.25">
      <c r="A13853" s="5"/>
    </row>
    <row r="13854" spans="1:1" x14ac:dyDescent="0.25">
      <c r="A13854" s="5"/>
    </row>
    <row r="13855" spans="1:1" x14ac:dyDescent="0.25">
      <c r="A13855" s="5"/>
    </row>
    <row r="13856" spans="1:1" x14ac:dyDescent="0.25">
      <c r="A13856" s="5"/>
    </row>
    <row r="13857" spans="1:1" x14ac:dyDescent="0.25">
      <c r="A13857" s="5"/>
    </row>
    <row r="13858" spans="1:1" x14ac:dyDescent="0.25">
      <c r="A13858" s="5"/>
    </row>
    <row r="13859" spans="1:1" x14ac:dyDescent="0.25">
      <c r="A13859" s="5"/>
    </row>
    <row r="13860" spans="1:1" x14ac:dyDescent="0.25">
      <c r="A13860" s="5"/>
    </row>
    <row r="13861" spans="1:1" x14ac:dyDescent="0.25">
      <c r="A13861" s="5"/>
    </row>
    <row r="13862" spans="1:1" x14ac:dyDescent="0.25">
      <c r="A13862" s="5"/>
    </row>
    <row r="13863" spans="1:1" x14ac:dyDescent="0.25">
      <c r="A13863" s="5"/>
    </row>
    <row r="13864" spans="1:1" x14ac:dyDescent="0.25">
      <c r="A13864" s="5"/>
    </row>
    <row r="13865" spans="1:1" x14ac:dyDescent="0.25">
      <c r="A13865" s="5"/>
    </row>
    <row r="13866" spans="1:1" x14ac:dyDescent="0.25">
      <c r="A13866" s="5"/>
    </row>
    <row r="13867" spans="1:1" x14ac:dyDescent="0.25">
      <c r="A13867" s="5"/>
    </row>
    <row r="13868" spans="1:1" x14ac:dyDescent="0.25">
      <c r="A13868" s="5"/>
    </row>
    <row r="13869" spans="1:1" x14ac:dyDescent="0.25">
      <c r="A13869" s="5"/>
    </row>
    <row r="13870" spans="1:1" x14ac:dyDescent="0.25">
      <c r="A13870" s="5"/>
    </row>
    <row r="13871" spans="1:1" x14ac:dyDescent="0.25">
      <c r="A13871" s="5"/>
    </row>
    <row r="13872" spans="1:1" x14ac:dyDescent="0.25">
      <c r="A13872" s="5"/>
    </row>
    <row r="13873" spans="1:1" x14ac:dyDescent="0.25">
      <c r="A13873" s="5"/>
    </row>
    <row r="13874" spans="1:1" x14ac:dyDescent="0.25">
      <c r="A13874" s="5"/>
    </row>
    <row r="13875" spans="1:1" x14ac:dyDescent="0.25">
      <c r="A13875" s="5"/>
    </row>
    <row r="13876" spans="1:1" x14ac:dyDescent="0.25">
      <c r="A13876" s="5"/>
    </row>
    <row r="13877" spans="1:1" x14ac:dyDescent="0.25">
      <c r="A13877" s="5"/>
    </row>
    <row r="13878" spans="1:1" x14ac:dyDescent="0.25">
      <c r="A13878" s="5"/>
    </row>
    <row r="13879" spans="1:1" x14ac:dyDescent="0.25">
      <c r="A13879" s="5"/>
    </row>
    <row r="13880" spans="1:1" x14ac:dyDescent="0.25">
      <c r="A13880" s="5"/>
    </row>
    <row r="13881" spans="1:1" x14ac:dyDescent="0.25">
      <c r="A13881" s="5"/>
    </row>
    <row r="13882" spans="1:1" x14ac:dyDescent="0.25">
      <c r="A13882" s="5"/>
    </row>
    <row r="13883" spans="1:1" x14ac:dyDescent="0.25">
      <c r="A13883" s="5"/>
    </row>
    <row r="13884" spans="1:1" x14ac:dyDescent="0.25">
      <c r="A13884" s="5"/>
    </row>
    <row r="13885" spans="1:1" x14ac:dyDescent="0.25">
      <c r="A13885" s="5"/>
    </row>
    <row r="13886" spans="1:1" x14ac:dyDescent="0.25">
      <c r="A13886" s="5"/>
    </row>
    <row r="13887" spans="1:1" x14ac:dyDescent="0.25">
      <c r="A13887" s="5"/>
    </row>
    <row r="13888" spans="1:1" x14ac:dyDescent="0.25">
      <c r="A13888" s="5"/>
    </row>
    <row r="13889" spans="1:1" x14ac:dyDescent="0.25">
      <c r="A13889" s="5"/>
    </row>
    <row r="13890" spans="1:1" x14ac:dyDescent="0.25">
      <c r="A13890" s="5"/>
    </row>
    <row r="13891" spans="1:1" x14ac:dyDescent="0.25">
      <c r="A13891" s="5"/>
    </row>
    <row r="13892" spans="1:1" x14ac:dyDescent="0.25">
      <c r="A13892" s="5"/>
    </row>
    <row r="13893" spans="1:1" x14ac:dyDescent="0.25">
      <c r="A13893" s="5"/>
    </row>
    <row r="13894" spans="1:1" x14ac:dyDescent="0.25">
      <c r="A13894" s="5"/>
    </row>
    <row r="13895" spans="1:1" x14ac:dyDescent="0.25">
      <c r="A13895" s="5"/>
    </row>
    <row r="13896" spans="1:1" x14ac:dyDescent="0.25">
      <c r="A13896" s="5"/>
    </row>
    <row r="13897" spans="1:1" x14ac:dyDescent="0.25">
      <c r="A13897" s="5"/>
    </row>
    <row r="13898" spans="1:1" x14ac:dyDescent="0.25">
      <c r="A13898" s="5"/>
    </row>
    <row r="13899" spans="1:1" x14ac:dyDescent="0.25">
      <c r="A13899" s="5"/>
    </row>
    <row r="13900" spans="1:1" x14ac:dyDescent="0.25">
      <c r="A13900" s="5"/>
    </row>
    <row r="13901" spans="1:1" x14ac:dyDescent="0.25">
      <c r="A13901" s="5"/>
    </row>
    <row r="13902" spans="1:1" x14ac:dyDescent="0.25">
      <c r="A13902" s="5"/>
    </row>
    <row r="13903" spans="1:1" x14ac:dyDescent="0.25">
      <c r="A13903" s="5"/>
    </row>
    <row r="13904" spans="1:1" x14ac:dyDescent="0.25">
      <c r="A13904" s="5"/>
    </row>
    <row r="13905" spans="1:1" x14ac:dyDescent="0.25">
      <c r="A13905" s="5"/>
    </row>
    <row r="13906" spans="1:1" x14ac:dyDescent="0.25">
      <c r="A13906" s="5"/>
    </row>
    <row r="13907" spans="1:1" x14ac:dyDescent="0.25">
      <c r="A13907" s="5"/>
    </row>
    <row r="13908" spans="1:1" x14ac:dyDescent="0.25">
      <c r="A13908" s="5"/>
    </row>
    <row r="13909" spans="1:1" x14ac:dyDescent="0.25">
      <c r="A13909" s="5"/>
    </row>
    <row r="13910" spans="1:1" x14ac:dyDescent="0.25">
      <c r="A13910" s="5"/>
    </row>
    <row r="13911" spans="1:1" x14ac:dyDescent="0.25">
      <c r="A13911" s="5"/>
    </row>
    <row r="13912" spans="1:1" x14ac:dyDescent="0.25">
      <c r="A13912" s="5"/>
    </row>
    <row r="13913" spans="1:1" x14ac:dyDescent="0.25">
      <c r="A13913" s="5"/>
    </row>
    <row r="13914" spans="1:1" x14ac:dyDescent="0.25">
      <c r="A13914" s="5"/>
    </row>
    <row r="13915" spans="1:1" x14ac:dyDescent="0.25">
      <c r="A13915" s="5"/>
    </row>
    <row r="13916" spans="1:1" x14ac:dyDescent="0.25">
      <c r="A13916" s="5"/>
    </row>
    <row r="13917" spans="1:1" x14ac:dyDescent="0.25">
      <c r="A13917" s="5"/>
    </row>
    <row r="13918" spans="1:1" x14ac:dyDescent="0.25">
      <c r="A13918" s="5"/>
    </row>
    <row r="13919" spans="1:1" x14ac:dyDescent="0.25">
      <c r="A13919" s="5"/>
    </row>
    <row r="13920" spans="1:1" x14ac:dyDescent="0.25">
      <c r="A13920" s="5"/>
    </row>
    <row r="13921" spans="1:1" x14ac:dyDescent="0.25">
      <c r="A13921" s="5"/>
    </row>
    <row r="13922" spans="1:1" x14ac:dyDescent="0.25">
      <c r="A13922" s="5"/>
    </row>
    <row r="13923" spans="1:1" x14ac:dyDescent="0.25">
      <c r="A13923" s="5"/>
    </row>
    <row r="13924" spans="1:1" x14ac:dyDescent="0.25">
      <c r="A13924" s="5"/>
    </row>
    <row r="13925" spans="1:1" x14ac:dyDescent="0.25">
      <c r="A13925" s="5"/>
    </row>
    <row r="13926" spans="1:1" x14ac:dyDescent="0.25">
      <c r="A13926" s="5"/>
    </row>
    <row r="13927" spans="1:1" x14ac:dyDescent="0.25">
      <c r="A13927" s="5"/>
    </row>
    <row r="13928" spans="1:1" x14ac:dyDescent="0.25">
      <c r="A13928" s="5"/>
    </row>
    <row r="13929" spans="1:1" x14ac:dyDescent="0.25">
      <c r="A13929" s="5"/>
    </row>
    <row r="13930" spans="1:1" x14ac:dyDescent="0.25">
      <c r="A13930" s="5"/>
    </row>
    <row r="13931" spans="1:1" x14ac:dyDescent="0.25">
      <c r="A13931" s="5"/>
    </row>
    <row r="13932" spans="1:1" x14ac:dyDescent="0.25">
      <c r="A13932" s="5"/>
    </row>
    <row r="13933" spans="1:1" x14ac:dyDescent="0.25">
      <c r="A13933" s="5"/>
    </row>
    <row r="13934" spans="1:1" x14ac:dyDescent="0.25">
      <c r="A13934" s="5"/>
    </row>
    <row r="13935" spans="1:1" x14ac:dyDescent="0.25">
      <c r="A13935" s="5"/>
    </row>
    <row r="13936" spans="1:1" x14ac:dyDescent="0.25">
      <c r="A13936" s="5"/>
    </row>
    <row r="13937" spans="1:1" x14ac:dyDescent="0.25">
      <c r="A13937" s="5"/>
    </row>
    <row r="13938" spans="1:1" x14ac:dyDescent="0.25">
      <c r="A13938" s="5"/>
    </row>
    <row r="13939" spans="1:1" x14ac:dyDescent="0.25">
      <c r="A13939" s="5"/>
    </row>
    <row r="13940" spans="1:1" x14ac:dyDescent="0.25">
      <c r="A13940" s="5"/>
    </row>
    <row r="13941" spans="1:1" x14ac:dyDescent="0.25">
      <c r="A13941" s="5"/>
    </row>
    <row r="13942" spans="1:1" x14ac:dyDescent="0.25">
      <c r="A13942" s="5"/>
    </row>
    <row r="13943" spans="1:1" x14ac:dyDescent="0.25">
      <c r="A13943" s="5"/>
    </row>
    <row r="13944" spans="1:1" x14ac:dyDescent="0.25">
      <c r="A13944" s="5"/>
    </row>
    <row r="13945" spans="1:1" x14ac:dyDescent="0.25">
      <c r="A13945" s="5"/>
    </row>
    <row r="13946" spans="1:1" x14ac:dyDescent="0.25">
      <c r="A13946" s="5"/>
    </row>
    <row r="13947" spans="1:1" x14ac:dyDescent="0.25">
      <c r="A13947" s="5"/>
    </row>
    <row r="13948" spans="1:1" x14ac:dyDescent="0.25">
      <c r="A13948" s="5"/>
    </row>
    <row r="13949" spans="1:1" x14ac:dyDescent="0.25">
      <c r="A13949" s="5"/>
    </row>
    <row r="13950" spans="1:1" x14ac:dyDescent="0.25">
      <c r="A13950" s="5"/>
    </row>
    <row r="13951" spans="1:1" x14ac:dyDescent="0.25">
      <c r="A13951" s="5"/>
    </row>
    <row r="13952" spans="1:1" x14ac:dyDescent="0.25">
      <c r="A13952" s="5"/>
    </row>
    <row r="13953" spans="1:1" x14ac:dyDescent="0.25">
      <c r="A13953" s="5"/>
    </row>
    <row r="13954" spans="1:1" x14ac:dyDescent="0.25">
      <c r="A13954" s="5"/>
    </row>
    <row r="13955" spans="1:1" x14ac:dyDescent="0.25">
      <c r="A13955" s="5"/>
    </row>
    <row r="13956" spans="1:1" x14ac:dyDescent="0.25">
      <c r="A13956" s="5"/>
    </row>
    <row r="13957" spans="1:1" x14ac:dyDescent="0.25">
      <c r="A13957" s="5"/>
    </row>
    <row r="13958" spans="1:1" x14ac:dyDescent="0.25">
      <c r="A13958" s="5"/>
    </row>
    <row r="13959" spans="1:1" x14ac:dyDescent="0.25">
      <c r="A13959" s="5"/>
    </row>
    <row r="13960" spans="1:1" x14ac:dyDescent="0.25">
      <c r="A13960" s="5"/>
    </row>
    <row r="13961" spans="1:1" x14ac:dyDescent="0.25">
      <c r="A13961" s="5"/>
    </row>
    <row r="13962" spans="1:1" x14ac:dyDescent="0.25">
      <c r="A13962" s="5"/>
    </row>
    <row r="13963" spans="1:1" x14ac:dyDescent="0.25">
      <c r="A13963" s="5"/>
    </row>
    <row r="13964" spans="1:1" x14ac:dyDescent="0.25">
      <c r="A13964" s="5"/>
    </row>
    <row r="13965" spans="1:1" x14ac:dyDescent="0.25">
      <c r="A13965" s="5"/>
    </row>
    <row r="13966" spans="1:1" x14ac:dyDescent="0.25">
      <c r="A13966" s="5"/>
    </row>
    <row r="13967" spans="1:1" x14ac:dyDescent="0.25">
      <c r="A13967" s="5"/>
    </row>
    <row r="13968" spans="1:1" x14ac:dyDescent="0.25">
      <c r="A13968" s="5"/>
    </row>
    <row r="13969" spans="1:1" x14ac:dyDescent="0.25">
      <c r="A13969" s="5"/>
    </row>
    <row r="13970" spans="1:1" x14ac:dyDescent="0.25">
      <c r="A13970" s="5"/>
    </row>
    <row r="13971" spans="1:1" x14ac:dyDescent="0.25">
      <c r="A13971" s="5"/>
    </row>
    <row r="13972" spans="1:1" x14ac:dyDescent="0.25">
      <c r="A13972" s="5"/>
    </row>
    <row r="13973" spans="1:1" x14ac:dyDescent="0.25">
      <c r="A13973" s="5"/>
    </row>
    <row r="13974" spans="1:1" x14ac:dyDescent="0.25">
      <c r="A13974" s="5"/>
    </row>
    <row r="13975" spans="1:1" x14ac:dyDescent="0.25">
      <c r="A13975" s="5"/>
    </row>
    <row r="13976" spans="1:1" x14ac:dyDescent="0.25">
      <c r="A13976" s="5"/>
    </row>
    <row r="13977" spans="1:1" x14ac:dyDescent="0.25">
      <c r="A13977" s="5"/>
    </row>
    <row r="13978" spans="1:1" x14ac:dyDescent="0.25">
      <c r="A13978" s="5"/>
    </row>
    <row r="13979" spans="1:1" x14ac:dyDescent="0.25">
      <c r="A13979" s="5"/>
    </row>
    <row r="13980" spans="1:1" x14ac:dyDescent="0.25">
      <c r="A13980" s="5"/>
    </row>
    <row r="13981" spans="1:1" x14ac:dyDescent="0.25">
      <c r="A13981" s="5"/>
    </row>
    <row r="13982" spans="1:1" x14ac:dyDescent="0.25">
      <c r="A13982" s="5"/>
    </row>
    <row r="13983" spans="1:1" x14ac:dyDescent="0.25">
      <c r="A13983" s="5"/>
    </row>
    <row r="13984" spans="1:1" x14ac:dyDescent="0.25">
      <c r="A13984" s="5"/>
    </row>
    <row r="13985" spans="1:1" x14ac:dyDescent="0.25">
      <c r="A13985" s="5"/>
    </row>
    <row r="13986" spans="1:1" x14ac:dyDescent="0.25">
      <c r="A13986" s="5"/>
    </row>
    <row r="13987" spans="1:1" x14ac:dyDescent="0.25">
      <c r="A13987" s="5"/>
    </row>
    <row r="13988" spans="1:1" x14ac:dyDescent="0.25">
      <c r="A13988" s="5"/>
    </row>
    <row r="13989" spans="1:1" x14ac:dyDescent="0.25">
      <c r="A13989" s="5"/>
    </row>
    <row r="13990" spans="1:1" x14ac:dyDescent="0.25">
      <c r="A13990" s="5"/>
    </row>
    <row r="13991" spans="1:1" x14ac:dyDescent="0.25">
      <c r="A13991" s="5"/>
    </row>
    <row r="13992" spans="1:1" x14ac:dyDescent="0.25">
      <c r="A13992" s="5"/>
    </row>
    <row r="13993" spans="1:1" x14ac:dyDescent="0.25">
      <c r="A13993" s="5"/>
    </row>
    <row r="13994" spans="1:1" x14ac:dyDescent="0.25">
      <c r="A13994" s="5"/>
    </row>
    <row r="13995" spans="1:1" x14ac:dyDescent="0.25">
      <c r="A13995" s="5"/>
    </row>
    <row r="13996" spans="1:1" x14ac:dyDescent="0.25">
      <c r="A13996" s="5"/>
    </row>
    <row r="13997" spans="1:1" x14ac:dyDescent="0.25">
      <c r="A13997" s="5"/>
    </row>
    <row r="13998" spans="1:1" x14ac:dyDescent="0.25">
      <c r="A13998" s="5"/>
    </row>
    <row r="13999" spans="1:1" x14ac:dyDescent="0.25">
      <c r="A13999" s="5"/>
    </row>
    <row r="14000" spans="1:1" x14ac:dyDescent="0.25">
      <c r="A14000" s="5"/>
    </row>
    <row r="14001" spans="1:1" x14ac:dyDescent="0.25">
      <c r="A14001" s="5"/>
    </row>
    <row r="14002" spans="1:1" x14ac:dyDescent="0.25">
      <c r="A14002" s="5"/>
    </row>
    <row r="14003" spans="1:1" x14ac:dyDescent="0.25">
      <c r="A14003" s="5"/>
    </row>
    <row r="14004" spans="1:1" x14ac:dyDescent="0.25">
      <c r="A14004" s="5"/>
    </row>
    <row r="14005" spans="1:1" x14ac:dyDescent="0.25">
      <c r="A14005" s="5"/>
    </row>
    <row r="14006" spans="1:1" x14ac:dyDescent="0.25">
      <c r="A14006" s="5"/>
    </row>
    <row r="14007" spans="1:1" x14ac:dyDescent="0.25">
      <c r="A14007" s="5"/>
    </row>
    <row r="14008" spans="1:1" x14ac:dyDescent="0.25">
      <c r="A14008" s="5"/>
    </row>
    <row r="14009" spans="1:1" x14ac:dyDescent="0.25">
      <c r="A14009" s="5"/>
    </row>
    <row r="14010" spans="1:1" x14ac:dyDescent="0.25">
      <c r="A14010" s="5"/>
    </row>
    <row r="14011" spans="1:1" x14ac:dyDescent="0.25">
      <c r="A14011" s="5"/>
    </row>
    <row r="14012" spans="1:1" x14ac:dyDescent="0.25">
      <c r="A14012" s="5"/>
    </row>
    <row r="14013" spans="1:1" x14ac:dyDescent="0.25">
      <c r="A14013" s="5"/>
    </row>
    <row r="14014" spans="1:1" x14ac:dyDescent="0.25">
      <c r="A14014" s="5"/>
    </row>
    <row r="14015" spans="1:1" x14ac:dyDescent="0.25">
      <c r="A14015" s="5"/>
    </row>
    <row r="14016" spans="1:1" x14ac:dyDescent="0.25">
      <c r="A14016" s="5"/>
    </row>
    <row r="14017" spans="1:1" x14ac:dyDescent="0.25">
      <c r="A14017" s="5"/>
    </row>
    <row r="14018" spans="1:1" x14ac:dyDescent="0.25">
      <c r="A14018" s="5"/>
    </row>
    <row r="14019" spans="1:1" x14ac:dyDescent="0.25">
      <c r="A14019" s="5"/>
    </row>
    <row r="14020" spans="1:1" x14ac:dyDescent="0.25">
      <c r="A14020" s="5"/>
    </row>
    <row r="14021" spans="1:1" x14ac:dyDescent="0.25">
      <c r="A14021" s="5"/>
    </row>
    <row r="14022" spans="1:1" x14ac:dyDescent="0.25">
      <c r="A14022" s="5"/>
    </row>
    <row r="14023" spans="1:1" x14ac:dyDescent="0.25">
      <c r="A14023" s="5"/>
    </row>
    <row r="14024" spans="1:1" x14ac:dyDescent="0.25">
      <c r="A14024" s="5"/>
    </row>
    <row r="14025" spans="1:1" x14ac:dyDescent="0.25">
      <c r="A14025" s="5"/>
    </row>
    <row r="14026" spans="1:1" x14ac:dyDescent="0.25">
      <c r="A14026" s="5"/>
    </row>
    <row r="14027" spans="1:1" x14ac:dyDescent="0.25">
      <c r="A14027" s="5"/>
    </row>
    <row r="14028" spans="1:1" x14ac:dyDescent="0.25">
      <c r="A14028" s="5"/>
    </row>
    <row r="14029" spans="1:1" x14ac:dyDescent="0.25">
      <c r="A14029" s="5"/>
    </row>
    <row r="14030" spans="1:1" x14ac:dyDescent="0.25">
      <c r="A14030" s="5"/>
    </row>
    <row r="14031" spans="1:1" x14ac:dyDescent="0.25">
      <c r="A14031" s="5"/>
    </row>
    <row r="14032" spans="1:1" x14ac:dyDescent="0.25">
      <c r="A14032" s="5"/>
    </row>
    <row r="14033" spans="1:1" x14ac:dyDescent="0.25">
      <c r="A14033" s="5"/>
    </row>
    <row r="14034" spans="1:1" x14ac:dyDescent="0.25">
      <c r="A14034" s="5"/>
    </row>
    <row r="14035" spans="1:1" x14ac:dyDescent="0.25">
      <c r="A14035" s="5"/>
    </row>
    <row r="14036" spans="1:1" x14ac:dyDescent="0.25">
      <c r="A14036" s="5"/>
    </row>
    <row r="14037" spans="1:1" x14ac:dyDescent="0.25">
      <c r="A14037" s="5"/>
    </row>
    <row r="14038" spans="1:1" x14ac:dyDescent="0.25">
      <c r="A14038" s="5"/>
    </row>
    <row r="14039" spans="1:1" x14ac:dyDescent="0.25">
      <c r="A14039" s="5"/>
    </row>
    <row r="14040" spans="1:1" x14ac:dyDescent="0.25">
      <c r="A14040" s="5"/>
    </row>
    <row r="14041" spans="1:1" x14ac:dyDescent="0.25">
      <c r="A14041" s="5"/>
    </row>
    <row r="14042" spans="1:1" x14ac:dyDescent="0.25">
      <c r="A14042" s="5"/>
    </row>
    <row r="14043" spans="1:1" x14ac:dyDescent="0.25">
      <c r="A14043" s="5"/>
    </row>
    <row r="14044" spans="1:1" x14ac:dyDescent="0.25">
      <c r="A14044" s="5"/>
    </row>
    <row r="14045" spans="1:1" x14ac:dyDescent="0.25">
      <c r="A14045" s="5"/>
    </row>
    <row r="14046" spans="1:1" x14ac:dyDescent="0.25">
      <c r="A14046" s="5"/>
    </row>
    <row r="14047" spans="1:1" x14ac:dyDescent="0.25">
      <c r="A14047" s="5"/>
    </row>
    <row r="14048" spans="1:1" x14ac:dyDescent="0.25">
      <c r="A14048" s="5"/>
    </row>
    <row r="14049" spans="1:1" x14ac:dyDescent="0.25">
      <c r="A14049" s="5"/>
    </row>
    <row r="14050" spans="1:1" x14ac:dyDescent="0.25">
      <c r="A14050" s="5"/>
    </row>
    <row r="14051" spans="1:1" x14ac:dyDescent="0.25">
      <c r="A14051" s="5"/>
    </row>
    <row r="14052" spans="1:1" x14ac:dyDescent="0.25">
      <c r="A14052" s="5"/>
    </row>
    <row r="14053" spans="1:1" x14ac:dyDescent="0.25">
      <c r="A14053" s="5"/>
    </row>
    <row r="14054" spans="1:1" x14ac:dyDescent="0.25">
      <c r="A14054" s="5"/>
    </row>
    <row r="14055" spans="1:1" x14ac:dyDescent="0.25">
      <c r="A14055" s="5"/>
    </row>
    <row r="14056" spans="1:1" x14ac:dyDescent="0.25">
      <c r="A14056" s="5"/>
    </row>
    <row r="14057" spans="1:1" x14ac:dyDescent="0.25">
      <c r="A14057" s="5"/>
    </row>
    <row r="14058" spans="1:1" x14ac:dyDescent="0.25">
      <c r="A14058" s="5"/>
    </row>
    <row r="14059" spans="1:1" x14ac:dyDescent="0.25">
      <c r="A14059" s="5"/>
    </row>
    <row r="14060" spans="1:1" x14ac:dyDescent="0.25">
      <c r="A14060" s="5"/>
    </row>
    <row r="14061" spans="1:1" x14ac:dyDescent="0.25">
      <c r="A14061" s="5"/>
    </row>
    <row r="14062" spans="1:1" x14ac:dyDescent="0.25">
      <c r="A14062" s="5"/>
    </row>
    <row r="14063" spans="1:1" x14ac:dyDescent="0.25">
      <c r="A14063" s="5"/>
    </row>
    <row r="14064" spans="1:1" x14ac:dyDescent="0.25">
      <c r="A14064" s="5"/>
    </row>
    <row r="14065" spans="1:1" x14ac:dyDescent="0.25">
      <c r="A14065" s="5"/>
    </row>
    <row r="14066" spans="1:1" x14ac:dyDescent="0.25">
      <c r="A14066" s="5"/>
    </row>
    <row r="14067" spans="1:1" x14ac:dyDescent="0.25">
      <c r="A14067" s="5"/>
    </row>
    <row r="14068" spans="1:1" x14ac:dyDescent="0.25">
      <c r="A14068" s="5"/>
    </row>
    <row r="14069" spans="1:1" x14ac:dyDescent="0.25">
      <c r="A14069" s="5"/>
    </row>
    <row r="14070" spans="1:1" x14ac:dyDescent="0.25">
      <c r="A14070" s="5"/>
    </row>
    <row r="14071" spans="1:1" x14ac:dyDescent="0.25">
      <c r="A14071" s="5"/>
    </row>
    <row r="14072" spans="1:1" x14ac:dyDescent="0.25">
      <c r="A14072" s="5"/>
    </row>
    <row r="14073" spans="1:1" x14ac:dyDescent="0.25">
      <c r="A14073" s="5"/>
    </row>
    <row r="14074" spans="1:1" x14ac:dyDescent="0.25">
      <c r="A14074" s="5"/>
    </row>
    <row r="14075" spans="1:1" x14ac:dyDescent="0.25">
      <c r="A14075" s="5"/>
    </row>
    <row r="14076" spans="1:1" x14ac:dyDescent="0.25">
      <c r="A14076" s="5"/>
    </row>
    <row r="14077" spans="1:1" x14ac:dyDescent="0.25">
      <c r="A14077" s="5"/>
    </row>
    <row r="14078" spans="1:1" x14ac:dyDescent="0.25">
      <c r="A14078" s="5"/>
    </row>
    <row r="14079" spans="1:1" x14ac:dyDescent="0.25">
      <c r="A14079" s="5"/>
    </row>
    <row r="14080" spans="1:1" x14ac:dyDescent="0.25">
      <c r="A14080" s="5"/>
    </row>
    <row r="14081" spans="1:1" x14ac:dyDescent="0.25">
      <c r="A14081" s="5"/>
    </row>
    <row r="14082" spans="1:1" x14ac:dyDescent="0.25">
      <c r="A14082" s="5"/>
    </row>
    <row r="14083" spans="1:1" x14ac:dyDescent="0.25">
      <c r="A14083" s="5"/>
    </row>
    <row r="14084" spans="1:1" x14ac:dyDescent="0.25">
      <c r="A14084" s="5"/>
    </row>
    <row r="14085" spans="1:1" x14ac:dyDescent="0.25">
      <c r="A14085" s="5"/>
    </row>
    <row r="14086" spans="1:1" x14ac:dyDescent="0.25">
      <c r="A14086" s="5"/>
    </row>
    <row r="14087" spans="1:1" x14ac:dyDescent="0.25">
      <c r="A14087" s="5"/>
    </row>
    <row r="14088" spans="1:1" x14ac:dyDescent="0.25">
      <c r="A14088" s="5"/>
    </row>
    <row r="14089" spans="1:1" x14ac:dyDescent="0.25">
      <c r="A14089" s="5"/>
    </row>
    <row r="14090" spans="1:1" x14ac:dyDescent="0.25">
      <c r="A14090" s="5"/>
    </row>
    <row r="14091" spans="1:1" x14ac:dyDescent="0.25">
      <c r="A14091" s="5"/>
    </row>
    <row r="14092" spans="1:1" x14ac:dyDescent="0.25">
      <c r="A14092" s="5"/>
    </row>
    <row r="14093" spans="1:1" x14ac:dyDescent="0.25">
      <c r="A14093" s="5"/>
    </row>
    <row r="14094" spans="1:1" x14ac:dyDescent="0.25">
      <c r="A14094" s="5"/>
    </row>
    <row r="14095" spans="1:1" x14ac:dyDescent="0.25">
      <c r="A14095" s="5"/>
    </row>
    <row r="14096" spans="1:1" x14ac:dyDescent="0.25">
      <c r="A14096" s="5"/>
    </row>
    <row r="14097" spans="1:1" x14ac:dyDescent="0.25">
      <c r="A14097" s="5"/>
    </row>
    <row r="14098" spans="1:1" x14ac:dyDescent="0.25">
      <c r="A14098" s="5"/>
    </row>
    <row r="14099" spans="1:1" x14ac:dyDescent="0.25">
      <c r="A14099" s="5"/>
    </row>
    <row r="14100" spans="1:1" x14ac:dyDescent="0.25">
      <c r="A14100" s="5"/>
    </row>
    <row r="14101" spans="1:1" x14ac:dyDescent="0.25">
      <c r="A14101" s="5"/>
    </row>
    <row r="14102" spans="1:1" x14ac:dyDescent="0.25">
      <c r="A14102" s="5"/>
    </row>
    <row r="14103" spans="1:1" x14ac:dyDescent="0.25">
      <c r="A14103" s="5"/>
    </row>
    <row r="14104" spans="1:1" x14ac:dyDescent="0.25">
      <c r="A14104" s="5"/>
    </row>
    <row r="14105" spans="1:1" x14ac:dyDescent="0.25">
      <c r="A14105" s="5"/>
    </row>
    <row r="14106" spans="1:1" x14ac:dyDescent="0.25">
      <c r="A14106" s="5"/>
    </row>
    <row r="14107" spans="1:1" x14ac:dyDescent="0.25">
      <c r="A14107" s="5"/>
    </row>
    <row r="14108" spans="1:1" x14ac:dyDescent="0.25">
      <c r="A14108" s="5"/>
    </row>
    <row r="14109" spans="1:1" x14ac:dyDescent="0.25">
      <c r="A14109" s="5"/>
    </row>
    <row r="14110" spans="1:1" x14ac:dyDescent="0.25">
      <c r="A14110" s="5"/>
    </row>
    <row r="14111" spans="1:1" x14ac:dyDescent="0.25">
      <c r="A14111" s="5"/>
    </row>
    <row r="14112" spans="1:1" x14ac:dyDescent="0.25">
      <c r="A14112" s="5"/>
    </row>
    <row r="14113" spans="1:1" x14ac:dyDescent="0.25">
      <c r="A14113" s="5"/>
    </row>
    <row r="14114" spans="1:1" x14ac:dyDescent="0.25">
      <c r="A14114" s="5"/>
    </row>
    <row r="14115" spans="1:1" x14ac:dyDescent="0.25">
      <c r="A14115" s="5"/>
    </row>
    <row r="14116" spans="1:1" x14ac:dyDescent="0.25">
      <c r="A14116" s="5"/>
    </row>
    <row r="14117" spans="1:1" x14ac:dyDescent="0.25">
      <c r="A14117" s="5"/>
    </row>
    <row r="14118" spans="1:1" x14ac:dyDescent="0.25">
      <c r="A14118" s="5"/>
    </row>
    <row r="14119" spans="1:1" x14ac:dyDescent="0.25">
      <c r="A14119" s="5"/>
    </row>
    <row r="14120" spans="1:1" x14ac:dyDescent="0.25">
      <c r="A14120" s="5"/>
    </row>
    <row r="14121" spans="1:1" x14ac:dyDescent="0.25">
      <c r="A14121" s="5"/>
    </row>
    <row r="14122" spans="1:1" x14ac:dyDescent="0.25">
      <c r="A14122" s="5"/>
    </row>
    <row r="14123" spans="1:1" x14ac:dyDescent="0.25">
      <c r="A14123" s="5"/>
    </row>
    <row r="14124" spans="1:1" x14ac:dyDescent="0.25">
      <c r="A14124" s="5"/>
    </row>
    <row r="14125" spans="1:1" x14ac:dyDescent="0.25">
      <c r="A14125" s="5"/>
    </row>
    <row r="14126" spans="1:1" x14ac:dyDescent="0.25">
      <c r="A14126" s="5"/>
    </row>
    <row r="14127" spans="1:1" x14ac:dyDescent="0.25">
      <c r="A14127" s="5"/>
    </row>
    <row r="14128" spans="1:1" x14ac:dyDescent="0.25">
      <c r="A14128" s="5"/>
    </row>
    <row r="14129" spans="1:1" x14ac:dyDescent="0.25">
      <c r="A14129" s="5"/>
    </row>
    <row r="14130" spans="1:1" x14ac:dyDescent="0.25">
      <c r="A14130" s="5"/>
    </row>
    <row r="14131" spans="1:1" x14ac:dyDescent="0.25">
      <c r="A14131" s="5"/>
    </row>
    <row r="14132" spans="1:1" x14ac:dyDescent="0.25">
      <c r="A14132" s="5"/>
    </row>
    <row r="14133" spans="1:1" x14ac:dyDescent="0.25">
      <c r="A14133" s="5"/>
    </row>
    <row r="14134" spans="1:1" x14ac:dyDescent="0.25">
      <c r="A14134" s="5"/>
    </row>
    <row r="14135" spans="1:1" x14ac:dyDescent="0.25">
      <c r="A14135" s="5"/>
    </row>
    <row r="14136" spans="1:1" x14ac:dyDescent="0.25">
      <c r="A14136" s="5"/>
    </row>
    <row r="14137" spans="1:1" x14ac:dyDescent="0.25">
      <c r="A14137" s="5"/>
    </row>
    <row r="14138" spans="1:1" x14ac:dyDescent="0.25">
      <c r="A14138" s="5"/>
    </row>
    <row r="14139" spans="1:1" x14ac:dyDescent="0.25">
      <c r="A14139" s="5"/>
    </row>
    <row r="14140" spans="1:1" x14ac:dyDescent="0.25">
      <c r="A14140" s="5"/>
    </row>
    <row r="14141" spans="1:1" x14ac:dyDescent="0.25">
      <c r="A14141" s="5"/>
    </row>
    <row r="14142" spans="1:1" x14ac:dyDescent="0.25">
      <c r="A14142" s="5"/>
    </row>
    <row r="14143" spans="1:1" x14ac:dyDescent="0.25">
      <c r="A14143" s="5"/>
    </row>
    <row r="14144" spans="1:1" x14ac:dyDescent="0.25">
      <c r="A14144" s="5"/>
    </row>
    <row r="14145" spans="1:1" x14ac:dyDescent="0.25">
      <c r="A14145" s="5"/>
    </row>
    <row r="14146" spans="1:1" x14ac:dyDescent="0.25">
      <c r="A14146" s="5"/>
    </row>
    <row r="14147" spans="1:1" x14ac:dyDescent="0.25">
      <c r="A14147" s="5"/>
    </row>
    <row r="14148" spans="1:1" x14ac:dyDescent="0.25">
      <c r="A14148" s="5"/>
    </row>
    <row r="14149" spans="1:1" x14ac:dyDescent="0.25">
      <c r="A14149" s="5"/>
    </row>
    <row r="14150" spans="1:1" x14ac:dyDescent="0.25">
      <c r="A14150" s="5"/>
    </row>
    <row r="14151" spans="1:1" x14ac:dyDescent="0.25">
      <c r="A14151" s="5"/>
    </row>
    <row r="14152" spans="1:1" x14ac:dyDescent="0.25">
      <c r="A14152" s="5"/>
    </row>
    <row r="14153" spans="1:1" x14ac:dyDescent="0.25">
      <c r="A14153" s="5"/>
    </row>
    <row r="14154" spans="1:1" x14ac:dyDescent="0.25">
      <c r="A14154" s="5"/>
    </row>
    <row r="14155" spans="1:1" x14ac:dyDescent="0.25">
      <c r="A14155" s="5"/>
    </row>
    <row r="14156" spans="1:1" x14ac:dyDescent="0.25">
      <c r="A14156" s="5"/>
    </row>
    <row r="14157" spans="1:1" x14ac:dyDescent="0.25">
      <c r="A14157" s="5"/>
    </row>
    <row r="14158" spans="1:1" x14ac:dyDescent="0.25">
      <c r="A14158" s="5"/>
    </row>
    <row r="14159" spans="1:1" x14ac:dyDescent="0.25">
      <c r="A14159" s="5"/>
    </row>
    <row r="14160" spans="1:1" x14ac:dyDescent="0.25">
      <c r="A14160" s="5"/>
    </row>
    <row r="14161" spans="1:1" x14ac:dyDescent="0.25">
      <c r="A14161" s="5"/>
    </row>
    <row r="14162" spans="1:1" x14ac:dyDescent="0.25">
      <c r="A14162" s="5"/>
    </row>
    <row r="14163" spans="1:1" x14ac:dyDescent="0.25">
      <c r="A14163" s="5"/>
    </row>
    <row r="14164" spans="1:1" x14ac:dyDescent="0.25">
      <c r="A14164" s="5"/>
    </row>
    <row r="14165" spans="1:1" x14ac:dyDescent="0.25">
      <c r="A14165" s="5"/>
    </row>
    <row r="14166" spans="1:1" x14ac:dyDescent="0.25">
      <c r="A14166" s="5"/>
    </row>
    <row r="14167" spans="1:1" x14ac:dyDescent="0.25">
      <c r="A14167" s="5"/>
    </row>
    <row r="14168" spans="1:1" x14ac:dyDescent="0.25">
      <c r="A14168" s="5"/>
    </row>
    <row r="14169" spans="1:1" x14ac:dyDescent="0.25">
      <c r="A14169" s="5"/>
    </row>
    <row r="14170" spans="1:1" x14ac:dyDescent="0.25">
      <c r="A14170" s="5"/>
    </row>
    <row r="14171" spans="1:1" x14ac:dyDescent="0.25">
      <c r="A14171" s="5"/>
    </row>
    <row r="14172" spans="1:1" x14ac:dyDescent="0.25">
      <c r="A14172" s="5"/>
    </row>
    <row r="14173" spans="1:1" x14ac:dyDescent="0.25">
      <c r="A14173" s="5"/>
    </row>
    <row r="14174" spans="1:1" x14ac:dyDescent="0.25">
      <c r="A14174" s="5"/>
    </row>
    <row r="14175" spans="1:1" x14ac:dyDescent="0.25">
      <c r="A14175" s="5"/>
    </row>
    <row r="14176" spans="1:1" x14ac:dyDescent="0.25">
      <c r="A14176" s="5"/>
    </row>
    <row r="14177" spans="1:1" x14ac:dyDescent="0.25">
      <c r="A14177" s="5"/>
    </row>
    <row r="14178" spans="1:1" x14ac:dyDescent="0.25">
      <c r="A14178" s="5"/>
    </row>
    <row r="14179" spans="1:1" x14ac:dyDescent="0.25">
      <c r="A14179" s="5"/>
    </row>
    <row r="14180" spans="1:1" x14ac:dyDescent="0.25">
      <c r="A14180" s="5"/>
    </row>
    <row r="14181" spans="1:1" x14ac:dyDescent="0.25">
      <c r="A14181" s="5"/>
    </row>
    <row r="14182" spans="1:1" x14ac:dyDescent="0.25">
      <c r="A14182" s="5"/>
    </row>
    <row r="14183" spans="1:1" x14ac:dyDescent="0.25">
      <c r="A14183" s="5"/>
    </row>
    <row r="14184" spans="1:1" x14ac:dyDescent="0.25">
      <c r="A14184" s="5"/>
    </row>
    <row r="14185" spans="1:1" x14ac:dyDescent="0.25">
      <c r="A14185" s="5"/>
    </row>
    <row r="14186" spans="1:1" x14ac:dyDescent="0.25">
      <c r="A14186" s="5"/>
    </row>
    <row r="14187" spans="1:1" x14ac:dyDescent="0.25">
      <c r="A14187" s="5"/>
    </row>
    <row r="14188" spans="1:1" x14ac:dyDescent="0.25">
      <c r="A14188" s="5"/>
    </row>
    <row r="14189" spans="1:1" x14ac:dyDescent="0.25">
      <c r="A14189" s="5"/>
    </row>
    <row r="14190" spans="1:1" x14ac:dyDescent="0.25">
      <c r="A14190" s="5"/>
    </row>
    <row r="14191" spans="1:1" x14ac:dyDescent="0.25">
      <c r="A14191" s="5"/>
    </row>
    <row r="14192" spans="1:1" x14ac:dyDescent="0.25">
      <c r="A14192" s="5"/>
    </row>
    <row r="14193" spans="1:1" x14ac:dyDescent="0.25">
      <c r="A14193" s="5"/>
    </row>
    <row r="14194" spans="1:1" x14ac:dyDescent="0.25">
      <c r="A14194" s="5"/>
    </row>
    <row r="14195" spans="1:1" x14ac:dyDescent="0.25">
      <c r="A14195" s="5"/>
    </row>
    <row r="14196" spans="1:1" x14ac:dyDescent="0.25">
      <c r="A14196" s="5"/>
    </row>
    <row r="14197" spans="1:1" x14ac:dyDescent="0.25">
      <c r="A14197" s="5"/>
    </row>
    <row r="14198" spans="1:1" x14ac:dyDescent="0.25">
      <c r="A14198" s="5"/>
    </row>
    <row r="14199" spans="1:1" x14ac:dyDescent="0.25">
      <c r="A14199" s="5"/>
    </row>
    <row r="14200" spans="1:1" x14ac:dyDescent="0.25">
      <c r="A14200" s="5"/>
    </row>
    <row r="14201" spans="1:1" x14ac:dyDescent="0.25">
      <c r="A14201" s="5"/>
    </row>
    <row r="14202" spans="1:1" x14ac:dyDescent="0.25">
      <c r="A14202" s="5"/>
    </row>
    <row r="14203" spans="1:1" x14ac:dyDescent="0.25">
      <c r="A14203" s="5"/>
    </row>
    <row r="14204" spans="1:1" x14ac:dyDescent="0.25">
      <c r="A14204" s="5"/>
    </row>
    <row r="14205" spans="1:1" x14ac:dyDescent="0.25">
      <c r="A14205" s="5"/>
    </row>
    <row r="14206" spans="1:1" x14ac:dyDescent="0.25">
      <c r="A14206" s="5"/>
    </row>
    <row r="14207" spans="1:1" x14ac:dyDescent="0.25">
      <c r="A14207" s="5"/>
    </row>
    <row r="14208" spans="1:1" x14ac:dyDescent="0.25">
      <c r="A14208" s="5"/>
    </row>
    <row r="14209" spans="1:1" x14ac:dyDescent="0.25">
      <c r="A14209" s="5"/>
    </row>
    <row r="14210" spans="1:1" x14ac:dyDescent="0.25">
      <c r="A14210" s="5"/>
    </row>
    <row r="14211" spans="1:1" x14ac:dyDescent="0.25">
      <c r="A14211" s="5"/>
    </row>
    <row r="14212" spans="1:1" x14ac:dyDescent="0.25">
      <c r="A14212" s="5"/>
    </row>
    <row r="14213" spans="1:1" x14ac:dyDescent="0.25">
      <c r="A14213" s="5"/>
    </row>
    <row r="14214" spans="1:1" x14ac:dyDescent="0.25">
      <c r="A14214" s="5"/>
    </row>
    <row r="14215" spans="1:1" x14ac:dyDescent="0.25">
      <c r="A14215" s="5"/>
    </row>
    <row r="14216" spans="1:1" x14ac:dyDescent="0.25">
      <c r="A14216" s="5"/>
    </row>
    <row r="14217" spans="1:1" x14ac:dyDescent="0.25">
      <c r="A14217" s="5"/>
    </row>
    <row r="14218" spans="1:1" x14ac:dyDescent="0.25">
      <c r="A14218" s="5"/>
    </row>
    <row r="14219" spans="1:1" x14ac:dyDescent="0.25">
      <c r="A14219" s="5"/>
    </row>
    <row r="14220" spans="1:1" x14ac:dyDescent="0.25">
      <c r="A14220" s="5"/>
    </row>
    <row r="14221" spans="1:1" x14ac:dyDescent="0.25">
      <c r="A14221" s="5"/>
    </row>
    <row r="14222" spans="1:1" x14ac:dyDescent="0.25">
      <c r="A14222" s="5"/>
    </row>
    <row r="14223" spans="1:1" x14ac:dyDescent="0.25">
      <c r="A14223" s="5"/>
    </row>
    <row r="14224" spans="1:1" x14ac:dyDescent="0.25">
      <c r="A14224" s="5"/>
    </row>
    <row r="14225" spans="1:1" x14ac:dyDescent="0.25">
      <c r="A14225" s="5"/>
    </row>
    <row r="14226" spans="1:1" x14ac:dyDescent="0.25">
      <c r="A14226" s="5"/>
    </row>
    <row r="14227" spans="1:1" x14ac:dyDescent="0.25">
      <c r="A14227" s="5"/>
    </row>
    <row r="14228" spans="1:1" x14ac:dyDescent="0.25">
      <c r="A14228" s="5"/>
    </row>
    <row r="14229" spans="1:1" x14ac:dyDescent="0.25">
      <c r="A14229" s="5"/>
    </row>
    <row r="14230" spans="1:1" x14ac:dyDescent="0.25">
      <c r="A14230" s="5"/>
    </row>
    <row r="14231" spans="1:1" x14ac:dyDescent="0.25">
      <c r="A14231" s="5"/>
    </row>
    <row r="14232" spans="1:1" x14ac:dyDescent="0.25">
      <c r="A14232" s="5"/>
    </row>
    <row r="14233" spans="1:1" x14ac:dyDescent="0.25">
      <c r="A14233" s="5"/>
    </row>
    <row r="14234" spans="1:1" x14ac:dyDescent="0.25">
      <c r="A14234" s="5"/>
    </row>
    <row r="14235" spans="1:1" x14ac:dyDescent="0.25">
      <c r="A14235" s="5"/>
    </row>
    <row r="14236" spans="1:1" x14ac:dyDescent="0.25">
      <c r="A14236" s="5"/>
    </row>
    <row r="14237" spans="1:1" x14ac:dyDescent="0.25">
      <c r="A14237" s="5"/>
    </row>
    <row r="14238" spans="1:1" x14ac:dyDescent="0.25">
      <c r="A14238" s="5"/>
    </row>
    <row r="14239" spans="1:1" x14ac:dyDescent="0.25">
      <c r="A14239" s="5"/>
    </row>
    <row r="14240" spans="1:1" x14ac:dyDescent="0.25">
      <c r="A14240" s="5"/>
    </row>
    <row r="14241" spans="1:1" x14ac:dyDescent="0.25">
      <c r="A14241" s="5"/>
    </row>
    <row r="14242" spans="1:1" x14ac:dyDescent="0.25">
      <c r="A14242" s="5"/>
    </row>
    <row r="14243" spans="1:1" x14ac:dyDescent="0.25">
      <c r="A14243" s="5"/>
    </row>
    <row r="14244" spans="1:1" x14ac:dyDescent="0.25">
      <c r="A14244" s="5"/>
    </row>
    <row r="14245" spans="1:1" x14ac:dyDescent="0.25">
      <c r="A14245" s="5"/>
    </row>
    <row r="14246" spans="1:1" x14ac:dyDescent="0.25">
      <c r="A14246" s="5"/>
    </row>
    <row r="14247" spans="1:1" x14ac:dyDescent="0.25">
      <c r="A14247" s="5"/>
    </row>
    <row r="14248" spans="1:1" x14ac:dyDescent="0.25">
      <c r="A14248" s="5"/>
    </row>
    <row r="14249" spans="1:1" x14ac:dyDescent="0.25">
      <c r="A14249" s="5"/>
    </row>
    <row r="14250" spans="1:1" x14ac:dyDescent="0.25">
      <c r="A14250" s="5"/>
    </row>
    <row r="14251" spans="1:1" x14ac:dyDescent="0.25">
      <c r="A14251" s="5"/>
    </row>
    <row r="14252" spans="1:1" x14ac:dyDescent="0.25">
      <c r="A14252" s="5"/>
    </row>
    <row r="14253" spans="1:1" x14ac:dyDescent="0.25">
      <c r="A14253" s="5"/>
    </row>
    <row r="14254" spans="1:1" x14ac:dyDescent="0.25">
      <c r="A14254" s="5"/>
    </row>
    <row r="14255" spans="1:1" x14ac:dyDescent="0.25">
      <c r="A14255" s="5"/>
    </row>
    <row r="14256" spans="1:1" x14ac:dyDescent="0.25">
      <c r="A14256" s="5"/>
    </row>
    <row r="14257" spans="1:1" x14ac:dyDescent="0.25">
      <c r="A14257" s="5"/>
    </row>
    <row r="14258" spans="1:1" x14ac:dyDescent="0.25">
      <c r="A14258" s="5"/>
    </row>
    <row r="14259" spans="1:1" x14ac:dyDescent="0.25">
      <c r="A14259" s="5"/>
    </row>
    <row r="14260" spans="1:1" x14ac:dyDescent="0.25">
      <c r="A14260" s="5"/>
    </row>
    <row r="14261" spans="1:1" x14ac:dyDescent="0.25">
      <c r="A14261" s="5"/>
    </row>
    <row r="14262" spans="1:1" x14ac:dyDescent="0.25">
      <c r="A14262" s="5"/>
    </row>
    <row r="14263" spans="1:1" x14ac:dyDescent="0.25">
      <c r="A14263" s="5"/>
    </row>
    <row r="14264" spans="1:1" x14ac:dyDescent="0.25">
      <c r="A14264" s="5"/>
    </row>
    <row r="14265" spans="1:1" x14ac:dyDescent="0.25">
      <c r="A14265" s="5"/>
    </row>
    <row r="14266" spans="1:1" x14ac:dyDescent="0.25">
      <c r="A14266" s="5"/>
    </row>
    <row r="14267" spans="1:1" x14ac:dyDescent="0.25">
      <c r="A14267" s="5"/>
    </row>
    <row r="14268" spans="1:1" x14ac:dyDescent="0.25">
      <c r="A14268" s="5"/>
    </row>
    <row r="14269" spans="1:1" x14ac:dyDescent="0.25">
      <c r="A14269" s="5"/>
    </row>
    <row r="14270" spans="1:1" x14ac:dyDescent="0.25">
      <c r="A14270" s="5"/>
    </row>
    <row r="14271" spans="1:1" x14ac:dyDescent="0.25">
      <c r="A14271" s="5"/>
    </row>
    <row r="14272" spans="1:1" x14ac:dyDescent="0.25">
      <c r="A14272" s="5"/>
    </row>
    <row r="14273" spans="1:1" x14ac:dyDescent="0.25">
      <c r="A14273" s="5"/>
    </row>
    <row r="14274" spans="1:1" x14ac:dyDescent="0.25">
      <c r="A14274" s="5"/>
    </row>
    <row r="14275" spans="1:1" x14ac:dyDescent="0.25">
      <c r="A14275" s="5"/>
    </row>
    <row r="14276" spans="1:1" x14ac:dyDescent="0.25">
      <c r="A14276" s="5"/>
    </row>
    <row r="14277" spans="1:1" x14ac:dyDescent="0.25">
      <c r="A14277" s="5"/>
    </row>
    <row r="14278" spans="1:1" x14ac:dyDescent="0.25">
      <c r="A14278" s="5"/>
    </row>
    <row r="14279" spans="1:1" x14ac:dyDescent="0.25">
      <c r="A14279" s="5"/>
    </row>
    <row r="14280" spans="1:1" x14ac:dyDescent="0.25">
      <c r="A14280" s="5"/>
    </row>
    <row r="14281" spans="1:1" x14ac:dyDescent="0.25">
      <c r="A14281" s="5"/>
    </row>
    <row r="14282" spans="1:1" x14ac:dyDescent="0.25">
      <c r="A14282" s="5"/>
    </row>
    <row r="14283" spans="1:1" x14ac:dyDescent="0.25">
      <c r="A14283" s="5"/>
    </row>
    <row r="14284" spans="1:1" x14ac:dyDescent="0.25">
      <c r="A14284" s="5"/>
    </row>
    <row r="14285" spans="1:1" x14ac:dyDescent="0.25">
      <c r="A14285" s="5"/>
    </row>
    <row r="14286" spans="1:1" x14ac:dyDescent="0.25">
      <c r="A14286" s="5"/>
    </row>
    <row r="14287" spans="1:1" x14ac:dyDescent="0.25">
      <c r="A14287" s="5"/>
    </row>
    <row r="14288" spans="1:1" x14ac:dyDescent="0.25">
      <c r="A14288" s="5"/>
    </row>
    <row r="14289" spans="1:1" x14ac:dyDescent="0.25">
      <c r="A14289" s="5"/>
    </row>
    <row r="14290" spans="1:1" x14ac:dyDescent="0.25">
      <c r="A14290" s="5"/>
    </row>
    <row r="14291" spans="1:1" x14ac:dyDescent="0.25">
      <c r="A14291" s="5"/>
    </row>
    <row r="14292" spans="1:1" x14ac:dyDescent="0.25">
      <c r="A14292" s="5"/>
    </row>
    <row r="14293" spans="1:1" x14ac:dyDescent="0.25">
      <c r="A14293" s="5"/>
    </row>
    <row r="14294" spans="1:1" x14ac:dyDescent="0.25">
      <c r="A14294" s="5"/>
    </row>
    <row r="14295" spans="1:1" x14ac:dyDescent="0.25">
      <c r="A14295" s="5"/>
    </row>
    <row r="14296" spans="1:1" x14ac:dyDescent="0.25">
      <c r="A14296" s="5"/>
    </row>
    <row r="14297" spans="1:1" x14ac:dyDescent="0.25">
      <c r="A14297" s="5"/>
    </row>
    <row r="14298" spans="1:1" x14ac:dyDescent="0.25">
      <c r="A14298" s="5"/>
    </row>
    <row r="14299" spans="1:1" x14ac:dyDescent="0.25">
      <c r="A14299" s="5"/>
    </row>
    <row r="14300" spans="1:1" x14ac:dyDescent="0.25">
      <c r="A14300" s="5"/>
    </row>
    <row r="14301" spans="1:1" x14ac:dyDescent="0.25">
      <c r="A14301" s="5"/>
    </row>
    <row r="14302" spans="1:1" x14ac:dyDescent="0.25">
      <c r="A14302" s="5"/>
    </row>
    <row r="14303" spans="1:1" x14ac:dyDescent="0.25">
      <c r="A14303" s="5"/>
    </row>
    <row r="14304" spans="1:1" x14ac:dyDescent="0.25">
      <c r="A14304" s="5"/>
    </row>
    <row r="14305" spans="1:1" x14ac:dyDescent="0.25">
      <c r="A14305" s="5"/>
    </row>
    <row r="14306" spans="1:1" x14ac:dyDescent="0.25">
      <c r="A14306" s="5"/>
    </row>
    <row r="14307" spans="1:1" x14ac:dyDescent="0.25">
      <c r="A14307" s="5"/>
    </row>
    <row r="14308" spans="1:1" x14ac:dyDescent="0.25">
      <c r="A14308" s="5"/>
    </row>
    <row r="14309" spans="1:1" x14ac:dyDescent="0.25">
      <c r="A14309" s="5"/>
    </row>
    <row r="14310" spans="1:1" x14ac:dyDescent="0.25">
      <c r="A14310" s="5"/>
    </row>
    <row r="14311" spans="1:1" x14ac:dyDescent="0.25">
      <c r="A14311" s="5"/>
    </row>
    <row r="14312" spans="1:1" x14ac:dyDescent="0.25">
      <c r="A14312" s="5"/>
    </row>
    <row r="14313" spans="1:1" x14ac:dyDescent="0.25">
      <c r="A14313" s="5"/>
    </row>
    <row r="14314" spans="1:1" x14ac:dyDescent="0.25">
      <c r="A14314" s="5"/>
    </row>
    <row r="14315" spans="1:1" x14ac:dyDescent="0.25">
      <c r="A14315" s="5"/>
    </row>
    <row r="14316" spans="1:1" x14ac:dyDescent="0.25">
      <c r="A14316" s="5"/>
    </row>
    <row r="14317" spans="1:1" x14ac:dyDescent="0.25">
      <c r="A14317" s="5"/>
    </row>
    <row r="14318" spans="1:1" x14ac:dyDescent="0.25">
      <c r="A14318" s="5"/>
    </row>
    <row r="14319" spans="1:1" x14ac:dyDescent="0.25">
      <c r="A14319" s="5"/>
    </row>
    <row r="14320" spans="1:1" x14ac:dyDescent="0.25">
      <c r="A14320" s="5"/>
    </row>
    <row r="14321" spans="1:1" x14ac:dyDescent="0.25">
      <c r="A14321" s="5"/>
    </row>
    <row r="14322" spans="1:1" x14ac:dyDescent="0.25">
      <c r="A14322" s="5"/>
    </row>
    <row r="14323" spans="1:1" x14ac:dyDescent="0.25">
      <c r="A14323" s="5"/>
    </row>
    <row r="14324" spans="1:1" x14ac:dyDescent="0.25">
      <c r="A14324" s="5"/>
    </row>
    <row r="14325" spans="1:1" x14ac:dyDescent="0.25">
      <c r="A14325" s="5"/>
    </row>
    <row r="14326" spans="1:1" x14ac:dyDescent="0.25">
      <c r="A14326" s="5"/>
    </row>
    <row r="14327" spans="1:1" x14ac:dyDescent="0.25">
      <c r="A14327" s="5"/>
    </row>
    <row r="14328" spans="1:1" x14ac:dyDescent="0.25">
      <c r="A14328" s="5"/>
    </row>
    <row r="14329" spans="1:1" x14ac:dyDescent="0.25">
      <c r="A14329" s="5"/>
    </row>
    <row r="14330" spans="1:1" x14ac:dyDescent="0.25">
      <c r="A14330" s="5"/>
    </row>
    <row r="14331" spans="1:1" x14ac:dyDescent="0.25">
      <c r="A14331" s="5"/>
    </row>
    <row r="14332" spans="1:1" x14ac:dyDescent="0.25">
      <c r="A14332" s="5"/>
    </row>
    <row r="14333" spans="1:1" x14ac:dyDescent="0.25">
      <c r="A14333" s="5"/>
    </row>
    <row r="14334" spans="1:1" x14ac:dyDescent="0.25">
      <c r="A14334" s="5"/>
    </row>
    <row r="14335" spans="1:1" x14ac:dyDescent="0.25">
      <c r="A14335" s="5"/>
    </row>
    <row r="14336" spans="1:1" x14ac:dyDescent="0.25">
      <c r="A14336" s="5"/>
    </row>
    <row r="14337" spans="1:1" x14ac:dyDescent="0.25">
      <c r="A14337" s="5"/>
    </row>
    <row r="14338" spans="1:1" x14ac:dyDescent="0.25">
      <c r="A14338" s="5"/>
    </row>
    <row r="14339" spans="1:1" x14ac:dyDescent="0.25">
      <c r="A14339" s="5"/>
    </row>
    <row r="14340" spans="1:1" x14ac:dyDescent="0.25">
      <c r="A14340" s="5"/>
    </row>
    <row r="14341" spans="1:1" x14ac:dyDescent="0.25">
      <c r="A14341" s="5"/>
    </row>
    <row r="14342" spans="1:1" x14ac:dyDescent="0.25">
      <c r="A14342" s="5"/>
    </row>
    <row r="14343" spans="1:1" x14ac:dyDescent="0.25">
      <c r="A14343" s="5"/>
    </row>
    <row r="14344" spans="1:1" x14ac:dyDescent="0.25">
      <c r="A14344" s="5"/>
    </row>
    <row r="14345" spans="1:1" x14ac:dyDescent="0.25">
      <c r="A14345" s="5"/>
    </row>
    <row r="14346" spans="1:1" x14ac:dyDescent="0.25">
      <c r="A14346" s="5"/>
    </row>
    <row r="14347" spans="1:1" x14ac:dyDescent="0.25">
      <c r="A14347" s="5"/>
    </row>
    <row r="14348" spans="1:1" x14ac:dyDescent="0.25">
      <c r="A14348" s="5"/>
    </row>
    <row r="14349" spans="1:1" x14ac:dyDescent="0.25">
      <c r="A14349" s="5"/>
    </row>
    <row r="14350" spans="1:1" x14ac:dyDescent="0.25">
      <c r="A14350" s="5"/>
    </row>
    <row r="14351" spans="1:1" x14ac:dyDescent="0.25">
      <c r="A14351" s="5"/>
    </row>
    <row r="14352" spans="1:1" x14ac:dyDescent="0.25">
      <c r="A14352" s="5"/>
    </row>
    <row r="14353" spans="1:1" x14ac:dyDescent="0.25">
      <c r="A14353" s="5"/>
    </row>
    <row r="14354" spans="1:1" x14ac:dyDescent="0.25">
      <c r="A14354" s="5"/>
    </row>
    <row r="14355" spans="1:1" x14ac:dyDescent="0.25">
      <c r="A14355" s="5"/>
    </row>
    <row r="14356" spans="1:1" x14ac:dyDescent="0.25">
      <c r="A14356" s="5"/>
    </row>
    <row r="14357" spans="1:1" x14ac:dyDescent="0.25">
      <c r="A14357" s="5"/>
    </row>
    <row r="14358" spans="1:1" x14ac:dyDescent="0.25">
      <c r="A14358" s="5"/>
    </row>
    <row r="14359" spans="1:1" x14ac:dyDescent="0.25">
      <c r="A14359" s="5"/>
    </row>
    <row r="14360" spans="1:1" x14ac:dyDescent="0.25">
      <c r="A14360" s="5"/>
    </row>
    <row r="14361" spans="1:1" x14ac:dyDescent="0.25">
      <c r="A14361" s="5"/>
    </row>
    <row r="14362" spans="1:1" x14ac:dyDescent="0.25">
      <c r="A14362" s="5"/>
    </row>
    <row r="14363" spans="1:1" x14ac:dyDescent="0.25">
      <c r="A14363" s="5"/>
    </row>
    <row r="14364" spans="1:1" x14ac:dyDescent="0.25">
      <c r="A14364" s="5"/>
    </row>
    <row r="14365" spans="1:1" x14ac:dyDescent="0.25">
      <c r="A14365" s="5"/>
    </row>
    <row r="14366" spans="1:1" x14ac:dyDescent="0.25">
      <c r="A14366" s="5"/>
    </row>
    <row r="14367" spans="1:1" x14ac:dyDescent="0.25">
      <c r="A14367" s="5"/>
    </row>
    <row r="14368" spans="1:1" x14ac:dyDescent="0.25">
      <c r="A14368" s="5"/>
    </row>
    <row r="14369" spans="1:1" x14ac:dyDescent="0.25">
      <c r="A14369" s="5"/>
    </row>
    <row r="14370" spans="1:1" x14ac:dyDescent="0.25">
      <c r="A14370" s="5"/>
    </row>
    <row r="14371" spans="1:1" x14ac:dyDescent="0.25">
      <c r="A14371" s="5"/>
    </row>
    <row r="14372" spans="1:1" x14ac:dyDescent="0.25">
      <c r="A14372" s="5"/>
    </row>
    <row r="14373" spans="1:1" x14ac:dyDescent="0.25">
      <c r="A14373" s="5"/>
    </row>
    <row r="14374" spans="1:1" x14ac:dyDescent="0.25">
      <c r="A14374" s="5"/>
    </row>
    <row r="14375" spans="1:1" x14ac:dyDescent="0.25">
      <c r="A14375" s="5"/>
    </row>
    <row r="14376" spans="1:1" x14ac:dyDescent="0.25">
      <c r="A14376" s="5"/>
    </row>
    <row r="14377" spans="1:1" x14ac:dyDescent="0.25">
      <c r="A14377" s="5"/>
    </row>
    <row r="14378" spans="1:1" x14ac:dyDescent="0.25">
      <c r="A14378" s="5"/>
    </row>
    <row r="14379" spans="1:1" x14ac:dyDescent="0.25">
      <c r="A14379" s="5"/>
    </row>
    <row r="14380" spans="1:1" x14ac:dyDescent="0.25">
      <c r="A14380" s="5"/>
    </row>
    <row r="14381" spans="1:1" x14ac:dyDescent="0.25">
      <c r="A14381" s="5"/>
    </row>
    <row r="14382" spans="1:1" x14ac:dyDescent="0.25">
      <c r="A14382" s="5"/>
    </row>
    <row r="14383" spans="1:1" x14ac:dyDescent="0.25">
      <c r="A14383" s="5"/>
    </row>
    <row r="14384" spans="1:1" x14ac:dyDescent="0.25">
      <c r="A14384" s="5"/>
    </row>
    <row r="14385" spans="1:1" x14ac:dyDescent="0.25">
      <c r="A14385" s="5"/>
    </row>
    <row r="14386" spans="1:1" x14ac:dyDescent="0.25">
      <c r="A14386" s="5"/>
    </row>
    <row r="14387" spans="1:1" x14ac:dyDescent="0.25">
      <c r="A14387" s="5"/>
    </row>
    <row r="14388" spans="1:1" x14ac:dyDescent="0.25">
      <c r="A14388" s="5"/>
    </row>
    <row r="14389" spans="1:1" x14ac:dyDescent="0.25">
      <c r="A14389" s="5"/>
    </row>
    <row r="14390" spans="1:1" x14ac:dyDescent="0.25">
      <c r="A14390" s="5"/>
    </row>
    <row r="14391" spans="1:1" x14ac:dyDescent="0.25">
      <c r="A14391" s="5"/>
    </row>
    <row r="14392" spans="1:1" x14ac:dyDescent="0.25">
      <c r="A14392" s="5"/>
    </row>
    <row r="14393" spans="1:1" x14ac:dyDescent="0.25">
      <c r="A14393" s="5"/>
    </row>
    <row r="14394" spans="1:1" x14ac:dyDescent="0.25">
      <c r="A14394" s="5"/>
    </row>
    <row r="14395" spans="1:1" x14ac:dyDescent="0.25">
      <c r="A14395" s="5"/>
    </row>
    <row r="14396" spans="1:1" x14ac:dyDescent="0.25">
      <c r="A14396" s="5"/>
    </row>
    <row r="14397" spans="1:1" x14ac:dyDescent="0.25">
      <c r="A14397" s="5"/>
    </row>
    <row r="14398" spans="1:1" x14ac:dyDescent="0.25">
      <c r="A14398" s="5"/>
    </row>
    <row r="14399" spans="1:1" x14ac:dyDescent="0.25">
      <c r="A14399" s="5"/>
    </row>
    <row r="14400" spans="1:1" x14ac:dyDescent="0.25">
      <c r="A14400" s="5"/>
    </row>
    <row r="14401" spans="1:1" x14ac:dyDescent="0.25">
      <c r="A14401" s="5"/>
    </row>
    <row r="14402" spans="1:1" x14ac:dyDescent="0.25">
      <c r="A14402" s="5"/>
    </row>
    <row r="14403" spans="1:1" x14ac:dyDescent="0.25">
      <c r="A14403" s="5"/>
    </row>
    <row r="14404" spans="1:1" x14ac:dyDescent="0.25">
      <c r="A14404" s="5"/>
    </row>
    <row r="14405" spans="1:1" x14ac:dyDescent="0.25">
      <c r="A14405" s="5"/>
    </row>
    <row r="14406" spans="1:1" x14ac:dyDescent="0.25">
      <c r="A14406" s="5"/>
    </row>
    <row r="14407" spans="1:1" x14ac:dyDescent="0.25">
      <c r="A14407" s="5"/>
    </row>
    <row r="14408" spans="1:1" x14ac:dyDescent="0.25">
      <c r="A14408" s="5"/>
    </row>
    <row r="14409" spans="1:1" x14ac:dyDescent="0.25">
      <c r="A14409" s="5"/>
    </row>
    <row r="14410" spans="1:1" x14ac:dyDescent="0.25">
      <c r="A14410" s="5"/>
    </row>
    <row r="14411" spans="1:1" x14ac:dyDescent="0.25">
      <c r="A14411" s="5"/>
    </row>
    <row r="14412" spans="1:1" x14ac:dyDescent="0.25">
      <c r="A14412" s="5"/>
    </row>
    <row r="14413" spans="1:1" x14ac:dyDescent="0.25">
      <c r="A14413" s="5"/>
    </row>
    <row r="14414" spans="1:1" x14ac:dyDescent="0.25">
      <c r="A14414" s="5"/>
    </row>
    <row r="14415" spans="1:1" x14ac:dyDescent="0.25">
      <c r="A14415" s="5"/>
    </row>
    <row r="14416" spans="1:1" x14ac:dyDescent="0.25">
      <c r="A14416" s="5"/>
    </row>
    <row r="14417" spans="1:1" x14ac:dyDescent="0.25">
      <c r="A14417" s="5"/>
    </row>
    <row r="14418" spans="1:1" x14ac:dyDescent="0.25">
      <c r="A14418" s="5"/>
    </row>
    <row r="14419" spans="1:1" x14ac:dyDescent="0.25">
      <c r="A14419" s="5"/>
    </row>
    <row r="14420" spans="1:1" x14ac:dyDescent="0.25">
      <c r="A14420" s="5"/>
    </row>
    <row r="14421" spans="1:1" x14ac:dyDescent="0.25">
      <c r="A14421" s="5"/>
    </row>
    <row r="14422" spans="1:1" x14ac:dyDescent="0.25">
      <c r="A14422" s="5"/>
    </row>
    <row r="14423" spans="1:1" x14ac:dyDescent="0.25">
      <c r="A14423" s="5"/>
    </row>
    <row r="14424" spans="1:1" x14ac:dyDescent="0.25">
      <c r="A14424" s="5"/>
    </row>
    <row r="14425" spans="1:1" x14ac:dyDescent="0.25">
      <c r="A14425" s="5"/>
    </row>
    <row r="14426" spans="1:1" x14ac:dyDescent="0.25">
      <c r="A14426" s="5"/>
    </row>
    <row r="14427" spans="1:1" x14ac:dyDescent="0.25">
      <c r="A14427" s="5"/>
    </row>
    <row r="14428" spans="1:1" x14ac:dyDescent="0.25">
      <c r="A14428" s="5"/>
    </row>
    <row r="14429" spans="1:1" x14ac:dyDescent="0.25">
      <c r="A14429" s="5"/>
    </row>
    <row r="14430" spans="1:1" x14ac:dyDescent="0.25">
      <c r="A14430" s="5"/>
    </row>
    <row r="14431" spans="1:1" x14ac:dyDescent="0.25">
      <c r="A14431" s="5"/>
    </row>
    <row r="14432" spans="1:1" x14ac:dyDescent="0.25">
      <c r="A14432" s="5"/>
    </row>
    <row r="14433" spans="1:1" x14ac:dyDescent="0.25">
      <c r="A14433" s="5"/>
    </row>
    <row r="14434" spans="1:1" x14ac:dyDescent="0.25">
      <c r="A14434" s="5"/>
    </row>
    <row r="14435" spans="1:1" x14ac:dyDescent="0.25">
      <c r="A14435" s="5"/>
    </row>
    <row r="14436" spans="1:1" x14ac:dyDescent="0.25">
      <c r="A14436" s="5"/>
    </row>
    <row r="14437" spans="1:1" x14ac:dyDescent="0.25">
      <c r="A14437" s="5"/>
    </row>
    <row r="14438" spans="1:1" x14ac:dyDescent="0.25">
      <c r="A14438" s="5"/>
    </row>
    <row r="14439" spans="1:1" x14ac:dyDescent="0.25">
      <c r="A14439" s="5"/>
    </row>
    <row r="14440" spans="1:1" x14ac:dyDescent="0.25">
      <c r="A14440" s="5"/>
    </row>
    <row r="14441" spans="1:1" x14ac:dyDescent="0.25">
      <c r="A14441" s="5"/>
    </row>
    <row r="14442" spans="1:1" x14ac:dyDescent="0.25">
      <c r="A14442" s="5"/>
    </row>
    <row r="14443" spans="1:1" x14ac:dyDescent="0.25">
      <c r="A14443" s="5"/>
    </row>
    <row r="14444" spans="1:1" x14ac:dyDescent="0.25">
      <c r="A14444" s="5"/>
    </row>
    <row r="14445" spans="1:1" x14ac:dyDescent="0.25">
      <c r="A14445" s="5"/>
    </row>
    <row r="14446" spans="1:1" x14ac:dyDescent="0.25">
      <c r="A14446" s="5"/>
    </row>
    <row r="14447" spans="1:1" x14ac:dyDescent="0.25">
      <c r="A14447" s="5"/>
    </row>
    <row r="14448" spans="1:1" x14ac:dyDescent="0.25">
      <c r="A14448" s="5"/>
    </row>
    <row r="14449" spans="1:1" x14ac:dyDescent="0.25">
      <c r="A14449" s="5"/>
    </row>
    <row r="14450" spans="1:1" x14ac:dyDescent="0.25">
      <c r="A14450" s="5"/>
    </row>
    <row r="14451" spans="1:1" x14ac:dyDescent="0.25">
      <c r="A14451" s="5"/>
    </row>
    <row r="14452" spans="1:1" x14ac:dyDescent="0.25">
      <c r="A14452" s="5"/>
    </row>
    <row r="14453" spans="1:1" x14ac:dyDescent="0.25">
      <c r="A14453" s="5"/>
    </row>
    <row r="14454" spans="1:1" x14ac:dyDescent="0.25">
      <c r="A14454" s="5"/>
    </row>
    <row r="14455" spans="1:1" x14ac:dyDescent="0.25">
      <c r="A14455" s="5"/>
    </row>
    <row r="14456" spans="1:1" x14ac:dyDescent="0.25">
      <c r="A14456" s="5"/>
    </row>
    <row r="14457" spans="1:1" x14ac:dyDescent="0.25">
      <c r="A14457" s="5"/>
    </row>
    <row r="14458" spans="1:1" x14ac:dyDescent="0.25">
      <c r="A14458" s="5"/>
    </row>
    <row r="14459" spans="1:1" x14ac:dyDescent="0.25">
      <c r="A14459" s="5"/>
    </row>
    <row r="14460" spans="1:1" x14ac:dyDescent="0.25">
      <c r="A14460" s="5"/>
    </row>
    <row r="14461" spans="1:1" x14ac:dyDescent="0.25">
      <c r="A14461" s="5"/>
    </row>
    <row r="14462" spans="1:1" x14ac:dyDescent="0.25">
      <c r="A14462" s="5"/>
    </row>
    <row r="14463" spans="1:1" x14ac:dyDescent="0.25">
      <c r="A14463" s="5"/>
    </row>
    <row r="14464" spans="1:1" x14ac:dyDescent="0.25">
      <c r="A14464" s="5"/>
    </row>
    <row r="14465" spans="1:1" x14ac:dyDescent="0.25">
      <c r="A14465" s="5"/>
    </row>
    <row r="14466" spans="1:1" x14ac:dyDescent="0.25">
      <c r="A14466" s="5"/>
    </row>
    <row r="14467" spans="1:1" x14ac:dyDescent="0.25">
      <c r="A14467" s="5"/>
    </row>
    <row r="14468" spans="1:1" x14ac:dyDescent="0.25">
      <c r="A14468" s="5"/>
    </row>
    <row r="14469" spans="1:1" x14ac:dyDescent="0.25">
      <c r="A14469" s="5"/>
    </row>
    <row r="14470" spans="1:1" x14ac:dyDescent="0.25">
      <c r="A14470" s="5"/>
    </row>
    <row r="14471" spans="1:1" x14ac:dyDescent="0.25">
      <c r="A14471" s="5"/>
    </row>
    <row r="14472" spans="1:1" x14ac:dyDescent="0.25">
      <c r="A14472" s="5"/>
    </row>
    <row r="14473" spans="1:1" x14ac:dyDescent="0.25">
      <c r="A14473" s="5"/>
    </row>
    <row r="14474" spans="1:1" x14ac:dyDescent="0.25">
      <c r="A14474" s="5"/>
    </row>
    <row r="14475" spans="1:1" x14ac:dyDescent="0.25">
      <c r="A14475" s="5"/>
    </row>
    <row r="14476" spans="1:1" x14ac:dyDescent="0.25">
      <c r="A14476" s="5"/>
    </row>
    <row r="14477" spans="1:1" x14ac:dyDescent="0.25">
      <c r="A14477" s="5"/>
    </row>
    <row r="14478" spans="1:1" x14ac:dyDescent="0.25">
      <c r="A14478" s="5"/>
    </row>
    <row r="14479" spans="1:1" x14ac:dyDescent="0.25">
      <c r="A14479" s="5"/>
    </row>
    <row r="14480" spans="1:1" x14ac:dyDescent="0.25">
      <c r="A14480" s="5"/>
    </row>
    <row r="14481" spans="1:1" x14ac:dyDescent="0.25">
      <c r="A14481" s="5"/>
    </row>
    <row r="14482" spans="1:1" x14ac:dyDescent="0.25">
      <c r="A14482" s="5"/>
    </row>
    <row r="14483" spans="1:1" x14ac:dyDescent="0.25">
      <c r="A14483" s="5"/>
    </row>
    <row r="14484" spans="1:1" x14ac:dyDescent="0.25">
      <c r="A14484" s="5"/>
    </row>
    <row r="14485" spans="1:1" x14ac:dyDescent="0.25">
      <c r="A14485" s="5"/>
    </row>
    <row r="14486" spans="1:1" x14ac:dyDescent="0.25">
      <c r="A14486" s="5"/>
    </row>
    <row r="14487" spans="1:1" x14ac:dyDescent="0.25">
      <c r="A14487" s="5"/>
    </row>
    <row r="14488" spans="1:1" x14ac:dyDescent="0.25">
      <c r="A14488" s="5"/>
    </row>
    <row r="14489" spans="1:1" x14ac:dyDescent="0.25">
      <c r="A14489" s="5"/>
    </row>
    <row r="14490" spans="1:1" x14ac:dyDescent="0.25">
      <c r="A14490" s="5"/>
    </row>
    <row r="14491" spans="1:1" x14ac:dyDescent="0.25">
      <c r="A14491" s="5"/>
    </row>
    <row r="14492" spans="1:1" x14ac:dyDescent="0.25">
      <c r="A14492" s="5"/>
    </row>
    <row r="14493" spans="1:1" x14ac:dyDescent="0.25">
      <c r="A14493" s="5"/>
    </row>
    <row r="14494" spans="1:1" x14ac:dyDescent="0.25">
      <c r="A14494" s="5"/>
    </row>
    <row r="14495" spans="1:1" x14ac:dyDescent="0.25">
      <c r="A14495" s="5"/>
    </row>
    <row r="14496" spans="1:1" x14ac:dyDescent="0.25">
      <c r="A14496" s="5"/>
    </row>
    <row r="14497" spans="1:1" x14ac:dyDescent="0.25">
      <c r="A14497" s="5"/>
    </row>
    <row r="14498" spans="1:1" x14ac:dyDescent="0.25">
      <c r="A14498" s="5"/>
    </row>
    <row r="14499" spans="1:1" x14ac:dyDescent="0.25">
      <c r="A14499" s="5"/>
    </row>
    <row r="14500" spans="1:1" x14ac:dyDescent="0.25">
      <c r="A14500" s="5"/>
    </row>
    <row r="14501" spans="1:1" x14ac:dyDescent="0.25">
      <c r="A14501" s="5"/>
    </row>
    <row r="14502" spans="1:1" x14ac:dyDescent="0.25">
      <c r="A14502" s="5"/>
    </row>
    <row r="14503" spans="1:1" x14ac:dyDescent="0.25">
      <c r="A14503" s="5"/>
    </row>
    <row r="14504" spans="1:1" x14ac:dyDescent="0.25">
      <c r="A14504" s="5"/>
    </row>
    <row r="14505" spans="1:1" x14ac:dyDescent="0.25">
      <c r="A14505" s="5"/>
    </row>
    <row r="14506" spans="1:1" x14ac:dyDescent="0.25">
      <c r="A14506" s="5"/>
    </row>
    <row r="14507" spans="1:1" x14ac:dyDescent="0.25">
      <c r="A14507" s="5"/>
    </row>
    <row r="14508" spans="1:1" x14ac:dyDescent="0.25">
      <c r="A14508" s="5"/>
    </row>
    <row r="14509" spans="1:1" x14ac:dyDescent="0.25">
      <c r="A14509" s="5"/>
    </row>
    <row r="14510" spans="1:1" x14ac:dyDescent="0.25">
      <c r="A14510" s="5"/>
    </row>
    <row r="14511" spans="1:1" x14ac:dyDescent="0.25">
      <c r="A14511" s="5"/>
    </row>
    <row r="14512" spans="1:1" x14ac:dyDescent="0.25">
      <c r="A14512" s="5"/>
    </row>
    <row r="14513" spans="1:1" x14ac:dyDescent="0.25">
      <c r="A14513" s="5"/>
    </row>
    <row r="14514" spans="1:1" x14ac:dyDescent="0.25">
      <c r="A14514" s="5"/>
    </row>
    <row r="14515" spans="1:1" x14ac:dyDescent="0.25">
      <c r="A14515" s="5"/>
    </row>
    <row r="14516" spans="1:1" x14ac:dyDescent="0.25">
      <c r="A14516" s="5"/>
    </row>
    <row r="14517" spans="1:1" x14ac:dyDescent="0.25">
      <c r="A14517" s="5"/>
    </row>
    <row r="14518" spans="1:1" x14ac:dyDescent="0.25">
      <c r="A14518" s="5"/>
    </row>
    <row r="14519" spans="1:1" x14ac:dyDescent="0.25">
      <c r="A14519" s="5"/>
    </row>
    <row r="14520" spans="1:1" x14ac:dyDescent="0.25">
      <c r="A14520" s="5"/>
    </row>
    <row r="14521" spans="1:1" x14ac:dyDescent="0.25">
      <c r="A14521" s="5"/>
    </row>
    <row r="14522" spans="1:1" x14ac:dyDescent="0.25">
      <c r="A14522" s="5"/>
    </row>
    <row r="14523" spans="1:1" x14ac:dyDescent="0.25">
      <c r="A14523" s="5"/>
    </row>
    <row r="14524" spans="1:1" x14ac:dyDescent="0.25">
      <c r="A14524" s="5"/>
    </row>
    <row r="14525" spans="1:1" x14ac:dyDescent="0.25">
      <c r="A14525" s="5"/>
    </row>
    <row r="14526" spans="1:1" x14ac:dyDescent="0.25">
      <c r="A14526" s="5"/>
    </row>
    <row r="14527" spans="1:1" x14ac:dyDescent="0.25">
      <c r="A14527" s="5"/>
    </row>
    <row r="14528" spans="1:1" x14ac:dyDescent="0.25">
      <c r="A14528" s="5"/>
    </row>
    <row r="14529" spans="1:1" x14ac:dyDescent="0.25">
      <c r="A14529" s="5"/>
    </row>
    <row r="14530" spans="1:1" x14ac:dyDescent="0.25">
      <c r="A14530" s="5"/>
    </row>
    <row r="14531" spans="1:1" x14ac:dyDescent="0.25">
      <c r="A14531" s="5"/>
    </row>
    <row r="14532" spans="1:1" x14ac:dyDescent="0.25">
      <c r="A14532" s="5"/>
    </row>
    <row r="14533" spans="1:1" x14ac:dyDescent="0.25">
      <c r="A14533" s="5"/>
    </row>
    <row r="14534" spans="1:1" x14ac:dyDescent="0.25">
      <c r="A14534" s="5"/>
    </row>
    <row r="14535" spans="1:1" x14ac:dyDescent="0.25">
      <c r="A14535" s="5"/>
    </row>
    <row r="14536" spans="1:1" x14ac:dyDescent="0.25">
      <c r="A14536" s="5"/>
    </row>
    <row r="14537" spans="1:1" x14ac:dyDescent="0.25">
      <c r="A14537" s="5"/>
    </row>
    <row r="14538" spans="1:1" x14ac:dyDescent="0.25">
      <c r="A14538" s="5"/>
    </row>
    <row r="14539" spans="1:1" x14ac:dyDescent="0.25">
      <c r="A14539" s="5"/>
    </row>
    <row r="14540" spans="1:1" x14ac:dyDescent="0.25">
      <c r="A14540" s="5"/>
    </row>
    <row r="14541" spans="1:1" x14ac:dyDescent="0.25">
      <c r="A14541" s="5"/>
    </row>
    <row r="14542" spans="1:1" x14ac:dyDescent="0.25">
      <c r="A14542" s="5"/>
    </row>
    <row r="14543" spans="1:1" x14ac:dyDescent="0.25">
      <c r="A14543" s="5"/>
    </row>
    <row r="14544" spans="1:1" x14ac:dyDescent="0.25">
      <c r="A14544" s="5"/>
    </row>
    <row r="14545" spans="1:1" x14ac:dyDescent="0.25">
      <c r="A14545" s="5"/>
    </row>
    <row r="14546" spans="1:1" x14ac:dyDescent="0.25">
      <c r="A14546" s="5"/>
    </row>
    <row r="14547" spans="1:1" x14ac:dyDescent="0.25">
      <c r="A14547" s="5"/>
    </row>
    <row r="14548" spans="1:1" x14ac:dyDescent="0.25">
      <c r="A14548" s="5"/>
    </row>
    <row r="14549" spans="1:1" x14ac:dyDescent="0.25">
      <c r="A14549" s="5"/>
    </row>
    <row r="14550" spans="1:1" x14ac:dyDescent="0.25">
      <c r="A14550" s="5"/>
    </row>
    <row r="14551" spans="1:1" x14ac:dyDescent="0.25">
      <c r="A14551" s="5"/>
    </row>
    <row r="14552" spans="1:1" x14ac:dyDescent="0.25">
      <c r="A14552" s="5"/>
    </row>
    <row r="14553" spans="1:1" x14ac:dyDescent="0.25">
      <c r="A14553" s="5"/>
    </row>
    <row r="14554" spans="1:1" x14ac:dyDescent="0.25">
      <c r="A14554" s="5"/>
    </row>
    <row r="14555" spans="1:1" x14ac:dyDescent="0.25">
      <c r="A14555" s="5"/>
    </row>
    <row r="14556" spans="1:1" x14ac:dyDescent="0.25">
      <c r="A14556" s="5"/>
    </row>
    <row r="14557" spans="1:1" x14ac:dyDescent="0.25">
      <c r="A14557" s="5"/>
    </row>
    <row r="14558" spans="1:1" x14ac:dyDescent="0.25">
      <c r="A14558" s="5"/>
    </row>
    <row r="14559" spans="1:1" x14ac:dyDescent="0.25">
      <c r="A14559" s="5"/>
    </row>
    <row r="14560" spans="1:1" x14ac:dyDescent="0.25">
      <c r="A14560" s="5"/>
    </row>
    <row r="14561" spans="1:1" x14ac:dyDescent="0.25">
      <c r="A14561" s="5"/>
    </row>
    <row r="14562" spans="1:1" x14ac:dyDescent="0.25">
      <c r="A14562" s="5"/>
    </row>
    <row r="14563" spans="1:1" x14ac:dyDescent="0.25">
      <c r="A14563" s="5"/>
    </row>
    <row r="14564" spans="1:1" x14ac:dyDescent="0.25">
      <c r="A14564" s="5"/>
    </row>
    <row r="14565" spans="1:1" x14ac:dyDescent="0.25">
      <c r="A14565" s="5"/>
    </row>
    <row r="14566" spans="1:1" x14ac:dyDescent="0.25">
      <c r="A14566" s="5"/>
    </row>
    <row r="14567" spans="1:1" x14ac:dyDescent="0.25">
      <c r="A14567" s="5"/>
    </row>
    <row r="14568" spans="1:1" x14ac:dyDescent="0.25">
      <c r="A14568" s="5"/>
    </row>
    <row r="14569" spans="1:1" x14ac:dyDescent="0.25">
      <c r="A14569" s="5"/>
    </row>
    <row r="14570" spans="1:1" x14ac:dyDescent="0.25">
      <c r="A14570" s="5"/>
    </row>
    <row r="14571" spans="1:1" x14ac:dyDescent="0.25">
      <c r="A14571" s="5"/>
    </row>
    <row r="14572" spans="1:1" x14ac:dyDescent="0.25">
      <c r="A14572" s="5"/>
    </row>
    <row r="14573" spans="1:1" x14ac:dyDescent="0.25">
      <c r="A14573" s="5"/>
    </row>
    <row r="14574" spans="1:1" x14ac:dyDescent="0.25">
      <c r="A14574" s="5"/>
    </row>
    <row r="14575" spans="1:1" x14ac:dyDescent="0.25">
      <c r="A14575" s="5"/>
    </row>
    <row r="14576" spans="1:1" x14ac:dyDescent="0.25">
      <c r="A14576" s="5"/>
    </row>
    <row r="14577" spans="1:1" x14ac:dyDescent="0.25">
      <c r="A14577" s="5"/>
    </row>
    <row r="14578" spans="1:1" x14ac:dyDescent="0.25">
      <c r="A14578" s="5"/>
    </row>
    <row r="14579" spans="1:1" x14ac:dyDescent="0.25">
      <c r="A14579" s="5"/>
    </row>
    <row r="14580" spans="1:1" x14ac:dyDescent="0.25">
      <c r="A14580" s="5"/>
    </row>
    <row r="14581" spans="1:1" x14ac:dyDescent="0.25">
      <c r="A14581" s="5"/>
    </row>
    <row r="14582" spans="1:1" x14ac:dyDescent="0.25">
      <c r="A14582" s="5"/>
    </row>
    <row r="14583" spans="1:1" x14ac:dyDescent="0.25">
      <c r="A14583" s="5"/>
    </row>
    <row r="14584" spans="1:1" x14ac:dyDescent="0.25">
      <c r="A14584" s="5"/>
    </row>
    <row r="14585" spans="1:1" x14ac:dyDescent="0.25">
      <c r="A14585" s="5"/>
    </row>
    <row r="14586" spans="1:1" x14ac:dyDescent="0.25">
      <c r="A14586" s="5"/>
    </row>
    <row r="14587" spans="1:1" x14ac:dyDescent="0.25">
      <c r="A14587" s="5"/>
    </row>
    <row r="14588" spans="1:1" x14ac:dyDescent="0.25">
      <c r="A14588" s="5"/>
    </row>
    <row r="14589" spans="1:1" x14ac:dyDescent="0.25">
      <c r="A14589" s="5"/>
    </row>
    <row r="14590" spans="1:1" x14ac:dyDescent="0.25">
      <c r="A14590" s="5"/>
    </row>
    <row r="14591" spans="1:1" x14ac:dyDescent="0.25">
      <c r="A14591" s="5"/>
    </row>
    <row r="14592" spans="1:1" x14ac:dyDescent="0.25">
      <c r="A14592" s="5"/>
    </row>
    <row r="14593" spans="1:1" x14ac:dyDescent="0.25">
      <c r="A14593" s="5"/>
    </row>
    <row r="14594" spans="1:1" x14ac:dyDescent="0.25">
      <c r="A14594" s="5"/>
    </row>
    <row r="14595" spans="1:1" x14ac:dyDescent="0.25">
      <c r="A14595" s="5"/>
    </row>
    <row r="14596" spans="1:1" x14ac:dyDescent="0.25">
      <c r="A14596" s="5"/>
    </row>
    <row r="14597" spans="1:1" x14ac:dyDescent="0.25">
      <c r="A14597" s="5"/>
    </row>
    <row r="14598" spans="1:1" x14ac:dyDescent="0.25">
      <c r="A14598" s="5"/>
    </row>
    <row r="14599" spans="1:1" x14ac:dyDescent="0.25">
      <c r="A14599" s="5"/>
    </row>
    <row r="14600" spans="1:1" x14ac:dyDescent="0.25">
      <c r="A14600" s="5"/>
    </row>
    <row r="14601" spans="1:1" x14ac:dyDescent="0.25">
      <c r="A14601" s="5"/>
    </row>
    <row r="14602" spans="1:1" x14ac:dyDescent="0.25">
      <c r="A14602" s="5"/>
    </row>
    <row r="14603" spans="1:1" x14ac:dyDescent="0.25">
      <c r="A14603" s="5"/>
    </row>
    <row r="14604" spans="1:1" x14ac:dyDescent="0.25">
      <c r="A14604" s="5"/>
    </row>
    <row r="14605" spans="1:1" x14ac:dyDescent="0.25">
      <c r="A14605" s="5"/>
    </row>
    <row r="14606" spans="1:1" x14ac:dyDescent="0.25">
      <c r="A14606" s="5"/>
    </row>
    <row r="14607" spans="1:1" x14ac:dyDescent="0.25">
      <c r="A14607" s="5"/>
    </row>
    <row r="14608" spans="1:1" x14ac:dyDescent="0.25">
      <c r="A14608" s="5"/>
    </row>
    <row r="14609" spans="1:1" x14ac:dyDescent="0.25">
      <c r="A14609" s="5"/>
    </row>
    <row r="14610" spans="1:1" x14ac:dyDescent="0.25">
      <c r="A14610" s="5"/>
    </row>
    <row r="14611" spans="1:1" x14ac:dyDescent="0.25">
      <c r="A14611" s="5"/>
    </row>
    <row r="14612" spans="1:1" x14ac:dyDescent="0.25">
      <c r="A14612" s="5"/>
    </row>
    <row r="14613" spans="1:1" x14ac:dyDescent="0.25">
      <c r="A14613" s="5"/>
    </row>
    <row r="14614" spans="1:1" x14ac:dyDescent="0.25">
      <c r="A14614" s="5"/>
    </row>
    <row r="14615" spans="1:1" x14ac:dyDescent="0.25">
      <c r="A14615" s="5"/>
    </row>
    <row r="14616" spans="1:1" x14ac:dyDescent="0.25">
      <c r="A14616" s="5"/>
    </row>
    <row r="14617" spans="1:1" x14ac:dyDescent="0.25">
      <c r="A14617" s="5"/>
    </row>
    <row r="14618" spans="1:1" x14ac:dyDescent="0.25">
      <c r="A14618" s="5"/>
    </row>
    <row r="14619" spans="1:1" x14ac:dyDescent="0.25">
      <c r="A14619" s="5"/>
    </row>
    <row r="14620" spans="1:1" x14ac:dyDescent="0.25">
      <c r="A14620" s="5"/>
    </row>
    <row r="14621" spans="1:1" x14ac:dyDescent="0.25">
      <c r="A14621" s="5"/>
    </row>
    <row r="14622" spans="1:1" x14ac:dyDescent="0.25">
      <c r="A14622" s="5"/>
    </row>
    <row r="14623" spans="1:1" x14ac:dyDescent="0.25">
      <c r="A14623" s="5"/>
    </row>
    <row r="14624" spans="1:1" x14ac:dyDescent="0.25">
      <c r="A14624" s="5"/>
    </row>
    <row r="14625" spans="1:1" x14ac:dyDescent="0.25">
      <c r="A14625" s="5"/>
    </row>
    <row r="14626" spans="1:1" x14ac:dyDescent="0.25">
      <c r="A14626" s="5"/>
    </row>
    <row r="14627" spans="1:1" x14ac:dyDescent="0.25">
      <c r="A14627" s="5"/>
    </row>
    <row r="14628" spans="1:1" x14ac:dyDescent="0.25">
      <c r="A14628" s="5"/>
    </row>
    <row r="14629" spans="1:1" x14ac:dyDescent="0.25">
      <c r="A14629" s="5"/>
    </row>
    <row r="14630" spans="1:1" x14ac:dyDescent="0.25">
      <c r="A14630" s="5"/>
    </row>
    <row r="14631" spans="1:1" x14ac:dyDescent="0.25">
      <c r="A14631" s="5"/>
    </row>
    <row r="14632" spans="1:1" x14ac:dyDescent="0.25">
      <c r="A14632" s="5"/>
    </row>
    <row r="14633" spans="1:1" x14ac:dyDescent="0.25">
      <c r="A14633" s="5"/>
    </row>
    <row r="14634" spans="1:1" x14ac:dyDescent="0.25">
      <c r="A14634" s="5"/>
    </row>
    <row r="14635" spans="1:1" x14ac:dyDescent="0.25">
      <c r="A14635" s="5"/>
    </row>
    <row r="14636" spans="1:1" x14ac:dyDescent="0.25">
      <c r="A14636" s="5"/>
    </row>
    <row r="14637" spans="1:1" x14ac:dyDescent="0.25">
      <c r="A14637" s="5"/>
    </row>
    <row r="14638" spans="1:1" x14ac:dyDescent="0.25">
      <c r="A14638" s="5"/>
    </row>
    <row r="14639" spans="1:1" x14ac:dyDescent="0.25">
      <c r="A14639" s="5"/>
    </row>
    <row r="14640" spans="1:1" x14ac:dyDescent="0.25">
      <c r="A14640" s="5"/>
    </row>
    <row r="14641" spans="1:1" x14ac:dyDescent="0.25">
      <c r="A14641" s="5"/>
    </row>
    <row r="14642" spans="1:1" x14ac:dyDescent="0.25">
      <c r="A14642" s="5"/>
    </row>
    <row r="14643" spans="1:1" x14ac:dyDescent="0.25">
      <c r="A14643" s="5"/>
    </row>
    <row r="14644" spans="1:1" x14ac:dyDescent="0.25">
      <c r="A14644" s="5"/>
    </row>
    <row r="14645" spans="1:1" x14ac:dyDescent="0.25">
      <c r="A14645" s="5"/>
    </row>
    <row r="14646" spans="1:1" x14ac:dyDescent="0.25">
      <c r="A14646" s="5"/>
    </row>
    <row r="14647" spans="1:1" x14ac:dyDescent="0.25">
      <c r="A14647" s="5"/>
    </row>
    <row r="14648" spans="1:1" x14ac:dyDescent="0.25">
      <c r="A14648" s="5"/>
    </row>
    <row r="14649" spans="1:1" x14ac:dyDescent="0.25">
      <c r="A14649" s="5"/>
    </row>
    <row r="14650" spans="1:1" x14ac:dyDescent="0.25">
      <c r="A14650" s="5"/>
    </row>
    <row r="14651" spans="1:1" x14ac:dyDescent="0.25">
      <c r="A14651" s="5"/>
    </row>
    <row r="14652" spans="1:1" x14ac:dyDescent="0.25">
      <c r="A14652" s="5"/>
    </row>
    <row r="14653" spans="1:1" x14ac:dyDescent="0.25">
      <c r="A14653" s="5"/>
    </row>
    <row r="14654" spans="1:1" x14ac:dyDescent="0.25">
      <c r="A14654" s="5"/>
    </row>
    <row r="14655" spans="1:1" x14ac:dyDescent="0.25">
      <c r="A14655" s="5"/>
    </row>
    <row r="14656" spans="1:1" x14ac:dyDescent="0.25">
      <c r="A14656" s="5"/>
    </row>
    <row r="14657" spans="1:1" x14ac:dyDescent="0.25">
      <c r="A14657" s="5"/>
    </row>
    <row r="14658" spans="1:1" x14ac:dyDescent="0.25">
      <c r="A14658" s="5"/>
    </row>
    <row r="14659" spans="1:1" x14ac:dyDescent="0.25">
      <c r="A14659" s="5"/>
    </row>
    <row r="14660" spans="1:1" x14ac:dyDescent="0.25">
      <c r="A14660" s="5"/>
    </row>
    <row r="14661" spans="1:1" x14ac:dyDescent="0.25">
      <c r="A14661" s="5"/>
    </row>
    <row r="14662" spans="1:1" x14ac:dyDescent="0.25">
      <c r="A14662" s="5"/>
    </row>
    <row r="14663" spans="1:1" x14ac:dyDescent="0.25">
      <c r="A14663" s="5"/>
    </row>
    <row r="14664" spans="1:1" x14ac:dyDescent="0.25">
      <c r="A14664" s="5"/>
    </row>
    <row r="14665" spans="1:1" x14ac:dyDescent="0.25">
      <c r="A14665" s="5"/>
    </row>
    <row r="14666" spans="1:1" x14ac:dyDescent="0.25">
      <c r="A14666" s="5"/>
    </row>
    <row r="14667" spans="1:1" x14ac:dyDescent="0.25">
      <c r="A14667" s="5"/>
    </row>
    <row r="14668" spans="1:1" x14ac:dyDescent="0.25">
      <c r="A14668" s="5"/>
    </row>
    <row r="14669" spans="1:1" x14ac:dyDescent="0.25">
      <c r="A14669" s="5"/>
    </row>
    <row r="14670" spans="1:1" x14ac:dyDescent="0.25">
      <c r="A14670" s="5"/>
    </row>
    <row r="14671" spans="1:1" x14ac:dyDescent="0.25">
      <c r="A14671" s="5"/>
    </row>
    <row r="14672" spans="1:1" x14ac:dyDescent="0.25">
      <c r="A14672" s="5"/>
    </row>
    <row r="14673" spans="1:1" x14ac:dyDescent="0.25">
      <c r="A14673" s="5"/>
    </row>
    <row r="14674" spans="1:1" x14ac:dyDescent="0.25">
      <c r="A14674" s="5"/>
    </row>
    <row r="14675" spans="1:1" x14ac:dyDescent="0.25">
      <c r="A14675" s="5"/>
    </row>
    <row r="14676" spans="1:1" x14ac:dyDescent="0.25">
      <c r="A14676" s="5"/>
    </row>
    <row r="14677" spans="1:1" x14ac:dyDescent="0.25">
      <c r="A14677" s="5"/>
    </row>
    <row r="14678" spans="1:1" x14ac:dyDescent="0.25">
      <c r="A14678" s="5"/>
    </row>
    <row r="14679" spans="1:1" x14ac:dyDescent="0.25">
      <c r="A14679" s="5"/>
    </row>
    <row r="14680" spans="1:1" x14ac:dyDescent="0.25">
      <c r="A14680" s="5"/>
    </row>
    <row r="14681" spans="1:1" x14ac:dyDescent="0.25">
      <c r="A14681" s="5"/>
    </row>
    <row r="14682" spans="1:1" x14ac:dyDescent="0.25">
      <c r="A14682" s="5"/>
    </row>
    <row r="14683" spans="1:1" x14ac:dyDescent="0.25">
      <c r="A14683" s="5"/>
    </row>
    <row r="14684" spans="1:1" x14ac:dyDescent="0.25">
      <c r="A14684" s="5"/>
    </row>
    <row r="14685" spans="1:1" x14ac:dyDescent="0.25">
      <c r="A14685" s="5"/>
    </row>
    <row r="14686" spans="1:1" x14ac:dyDescent="0.25">
      <c r="A14686" s="5"/>
    </row>
    <row r="14687" spans="1:1" x14ac:dyDescent="0.25">
      <c r="A14687" s="5"/>
    </row>
    <row r="14688" spans="1:1" x14ac:dyDescent="0.25">
      <c r="A14688" s="5"/>
    </row>
    <row r="14689" spans="1:1" x14ac:dyDescent="0.25">
      <c r="A14689" s="5"/>
    </row>
    <row r="14690" spans="1:1" x14ac:dyDescent="0.25">
      <c r="A14690" s="5"/>
    </row>
    <row r="14691" spans="1:1" x14ac:dyDescent="0.25">
      <c r="A14691" s="5"/>
    </row>
    <row r="14692" spans="1:1" x14ac:dyDescent="0.25">
      <c r="A14692" s="5"/>
    </row>
    <row r="14693" spans="1:1" x14ac:dyDescent="0.25">
      <c r="A14693" s="5"/>
    </row>
    <row r="14694" spans="1:1" x14ac:dyDescent="0.25">
      <c r="A14694" s="5"/>
    </row>
    <row r="14695" spans="1:1" x14ac:dyDescent="0.25">
      <c r="A14695" s="5"/>
    </row>
    <row r="14696" spans="1:1" x14ac:dyDescent="0.25">
      <c r="A14696" s="5"/>
    </row>
    <row r="14697" spans="1:1" x14ac:dyDescent="0.25">
      <c r="A14697" s="5"/>
    </row>
    <row r="14698" spans="1:1" x14ac:dyDescent="0.25">
      <c r="A14698" s="5"/>
    </row>
    <row r="14699" spans="1:1" x14ac:dyDescent="0.25">
      <c r="A14699" s="5"/>
    </row>
    <row r="14700" spans="1:1" x14ac:dyDescent="0.25">
      <c r="A14700" s="5"/>
    </row>
    <row r="14701" spans="1:1" x14ac:dyDescent="0.25">
      <c r="A14701" s="5"/>
    </row>
    <row r="14702" spans="1:1" x14ac:dyDescent="0.25">
      <c r="A14702" s="5"/>
    </row>
    <row r="14703" spans="1:1" x14ac:dyDescent="0.25">
      <c r="A14703" s="5"/>
    </row>
    <row r="14704" spans="1:1" x14ac:dyDescent="0.25">
      <c r="A14704" s="5"/>
    </row>
    <row r="14705" spans="1:1" x14ac:dyDescent="0.25">
      <c r="A14705" s="5"/>
    </row>
    <row r="14706" spans="1:1" x14ac:dyDescent="0.25">
      <c r="A14706" s="5"/>
    </row>
    <row r="14707" spans="1:1" x14ac:dyDescent="0.25">
      <c r="A14707" s="5"/>
    </row>
    <row r="14708" spans="1:1" x14ac:dyDescent="0.25">
      <c r="A14708" s="5"/>
    </row>
    <row r="14709" spans="1:1" x14ac:dyDescent="0.25">
      <c r="A14709" s="5"/>
    </row>
    <row r="14710" spans="1:1" x14ac:dyDescent="0.25">
      <c r="A14710" s="5"/>
    </row>
    <row r="14711" spans="1:1" x14ac:dyDescent="0.25">
      <c r="A14711" s="5"/>
    </row>
    <row r="14712" spans="1:1" x14ac:dyDescent="0.25">
      <c r="A14712" s="5"/>
    </row>
    <row r="14713" spans="1:1" x14ac:dyDescent="0.25">
      <c r="A14713" s="5"/>
    </row>
    <row r="14714" spans="1:1" x14ac:dyDescent="0.25">
      <c r="A14714" s="5"/>
    </row>
    <row r="14715" spans="1:1" x14ac:dyDescent="0.25">
      <c r="A14715" s="5"/>
    </row>
    <row r="14716" spans="1:1" x14ac:dyDescent="0.25">
      <c r="A14716" s="5"/>
    </row>
    <row r="14717" spans="1:1" x14ac:dyDescent="0.25">
      <c r="A14717" s="5"/>
    </row>
    <row r="14718" spans="1:1" x14ac:dyDescent="0.25">
      <c r="A14718" s="5"/>
    </row>
    <row r="14719" spans="1:1" x14ac:dyDescent="0.25">
      <c r="A14719" s="5"/>
    </row>
    <row r="14720" spans="1:1" x14ac:dyDescent="0.25">
      <c r="A14720" s="5"/>
    </row>
    <row r="14721" spans="1:1" x14ac:dyDescent="0.25">
      <c r="A14721" s="5"/>
    </row>
    <row r="14722" spans="1:1" x14ac:dyDescent="0.25">
      <c r="A14722" s="5"/>
    </row>
    <row r="14723" spans="1:1" x14ac:dyDescent="0.25">
      <c r="A14723" s="5"/>
    </row>
    <row r="14724" spans="1:1" x14ac:dyDescent="0.25">
      <c r="A14724" s="5"/>
    </row>
    <row r="14725" spans="1:1" x14ac:dyDescent="0.25">
      <c r="A14725" s="5"/>
    </row>
    <row r="14726" spans="1:1" x14ac:dyDescent="0.25">
      <c r="A14726" s="5"/>
    </row>
    <row r="14727" spans="1:1" x14ac:dyDescent="0.25">
      <c r="A14727" s="5"/>
    </row>
    <row r="14728" spans="1:1" x14ac:dyDescent="0.25">
      <c r="A14728" s="5"/>
    </row>
    <row r="14729" spans="1:1" x14ac:dyDescent="0.25">
      <c r="A14729" s="5"/>
    </row>
    <row r="14730" spans="1:1" x14ac:dyDescent="0.25">
      <c r="A14730" s="5"/>
    </row>
    <row r="14731" spans="1:1" x14ac:dyDescent="0.25">
      <c r="A14731" s="5"/>
    </row>
    <row r="14732" spans="1:1" x14ac:dyDescent="0.25">
      <c r="A14732" s="5"/>
    </row>
    <row r="14733" spans="1:1" x14ac:dyDescent="0.25">
      <c r="A14733" s="5"/>
    </row>
    <row r="14734" spans="1:1" x14ac:dyDescent="0.25">
      <c r="A14734" s="5"/>
    </row>
    <row r="14735" spans="1:1" x14ac:dyDescent="0.25">
      <c r="A14735" s="5"/>
    </row>
    <row r="14736" spans="1:1" x14ac:dyDescent="0.25">
      <c r="A14736" s="5"/>
    </row>
    <row r="14737" spans="1:1" x14ac:dyDescent="0.25">
      <c r="A14737" s="5"/>
    </row>
    <row r="14738" spans="1:1" x14ac:dyDescent="0.25">
      <c r="A14738" s="5"/>
    </row>
    <row r="14739" spans="1:1" x14ac:dyDescent="0.25">
      <c r="A14739" s="5"/>
    </row>
    <row r="14740" spans="1:1" x14ac:dyDescent="0.25">
      <c r="A14740" s="5"/>
    </row>
    <row r="14741" spans="1:1" x14ac:dyDescent="0.25">
      <c r="A14741" s="5"/>
    </row>
    <row r="14742" spans="1:1" x14ac:dyDescent="0.25">
      <c r="A14742" s="5"/>
    </row>
    <row r="14743" spans="1:1" x14ac:dyDescent="0.25">
      <c r="A14743" s="5"/>
    </row>
    <row r="14744" spans="1:1" x14ac:dyDescent="0.25">
      <c r="A14744" s="5"/>
    </row>
    <row r="14745" spans="1:1" x14ac:dyDescent="0.25">
      <c r="A14745" s="5"/>
    </row>
    <row r="14746" spans="1:1" x14ac:dyDescent="0.25">
      <c r="A14746" s="5"/>
    </row>
    <row r="14747" spans="1:1" x14ac:dyDescent="0.25">
      <c r="A14747" s="5"/>
    </row>
    <row r="14748" spans="1:1" x14ac:dyDescent="0.25">
      <c r="A14748" s="5"/>
    </row>
    <row r="14749" spans="1:1" x14ac:dyDescent="0.25">
      <c r="A14749" s="5"/>
    </row>
    <row r="14750" spans="1:1" x14ac:dyDescent="0.25">
      <c r="A14750" s="5"/>
    </row>
    <row r="14751" spans="1:1" x14ac:dyDescent="0.25">
      <c r="A14751" s="5"/>
    </row>
    <row r="14752" spans="1:1" x14ac:dyDescent="0.25">
      <c r="A14752" s="5"/>
    </row>
    <row r="14753" spans="1:1" x14ac:dyDescent="0.25">
      <c r="A14753" s="5"/>
    </row>
    <row r="14754" spans="1:1" x14ac:dyDescent="0.25">
      <c r="A14754" s="5"/>
    </row>
    <row r="14755" spans="1:1" x14ac:dyDescent="0.25">
      <c r="A14755" s="5"/>
    </row>
    <row r="14756" spans="1:1" x14ac:dyDescent="0.25">
      <c r="A14756" s="5"/>
    </row>
    <row r="14757" spans="1:1" x14ac:dyDescent="0.25">
      <c r="A14757" s="5"/>
    </row>
    <row r="14758" spans="1:1" x14ac:dyDescent="0.25">
      <c r="A14758" s="5"/>
    </row>
    <row r="14759" spans="1:1" x14ac:dyDescent="0.25">
      <c r="A14759" s="5"/>
    </row>
    <row r="14760" spans="1:1" x14ac:dyDescent="0.25">
      <c r="A14760" s="5"/>
    </row>
    <row r="14761" spans="1:1" x14ac:dyDescent="0.25">
      <c r="A14761" s="5"/>
    </row>
    <row r="14762" spans="1:1" x14ac:dyDescent="0.25">
      <c r="A14762" s="5"/>
    </row>
    <row r="14763" spans="1:1" x14ac:dyDescent="0.25">
      <c r="A14763" s="5"/>
    </row>
    <row r="14764" spans="1:1" x14ac:dyDescent="0.25">
      <c r="A14764" s="5"/>
    </row>
    <row r="14765" spans="1:1" x14ac:dyDescent="0.25">
      <c r="A14765" s="5"/>
    </row>
    <row r="14766" spans="1:1" x14ac:dyDescent="0.25">
      <c r="A14766" s="5"/>
    </row>
    <row r="14767" spans="1:1" x14ac:dyDescent="0.25">
      <c r="A14767" s="5"/>
    </row>
    <row r="14768" spans="1:1" x14ac:dyDescent="0.25">
      <c r="A14768" s="5"/>
    </row>
    <row r="14769" spans="1:1" x14ac:dyDescent="0.25">
      <c r="A14769" s="5"/>
    </row>
    <row r="14770" spans="1:1" x14ac:dyDescent="0.25">
      <c r="A14770" s="5"/>
    </row>
    <row r="14771" spans="1:1" x14ac:dyDescent="0.25">
      <c r="A14771" s="5"/>
    </row>
    <row r="14772" spans="1:1" x14ac:dyDescent="0.25">
      <c r="A14772" s="5"/>
    </row>
    <row r="14773" spans="1:1" x14ac:dyDescent="0.25">
      <c r="A14773" s="5"/>
    </row>
    <row r="14774" spans="1:1" x14ac:dyDescent="0.25">
      <c r="A14774" s="5"/>
    </row>
    <row r="14775" spans="1:1" x14ac:dyDescent="0.25">
      <c r="A14775" s="5"/>
    </row>
    <row r="14776" spans="1:1" x14ac:dyDescent="0.25">
      <c r="A14776" s="5"/>
    </row>
    <row r="14777" spans="1:1" x14ac:dyDescent="0.25">
      <c r="A14777" s="5"/>
    </row>
    <row r="14778" spans="1:1" x14ac:dyDescent="0.25">
      <c r="A14778" s="5"/>
    </row>
    <row r="14779" spans="1:1" x14ac:dyDescent="0.25">
      <c r="A14779" s="5"/>
    </row>
    <row r="14780" spans="1:1" x14ac:dyDescent="0.25">
      <c r="A14780" s="5"/>
    </row>
    <row r="14781" spans="1:1" x14ac:dyDescent="0.25">
      <c r="A14781" s="5"/>
    </row>
    <row r="14782" spans="1:1" x14ac:dyDescent="0.25">
      <c r="A14782" s="5"/>
    </row>
    <row r="14783" spans="1:1" x14ac:dyDescent="0.25">
      <c r="A14783" s="5"/>
    </row>
    <row r="14784" spans="1:1" x14ac:dyDescent="0.25">
      <c r="A14784" s="5"/>
    </row>
    <row r="14785" spans="1:1" x14ac:dyDescent="0.25">
      <c r="A14785" s="5"/>
    </row>
    <row r="14786" spans="1:1" x14ac:dyDescent="0.25">
      <c r="A14786" s="5"/>
    </row>
    <row r="14787" spans="1:1" x14ac:dyDescent="0.25">
      <c r="A14787" s="5"/>
    </row>
    <row r="14788" spans="1:1" x14ac:dyDescent="0.25">
      <c r="A14788" s="5"/>
    </row>
    <row r="14789" spans="1:1" x14ac:dyDescent="0.25">
      <c r="A14789" s="5"/>
    </row>
    <row r="14790" spans="1:1" x14ac:dyDescent="0.25">
      <c r="A14790" s="5"/>
    </row>
    <row r="14791" spans="1:1" x14ac:dyDescent="0.25">
      <c r="A14791" s="5"/>
    </row>
    <row r="14792" spans="1:1" x14ac:dyDescent="0.25">
      <c r="A14792" s="5"/>
    </row>
    <row r="14793" spans="1:1" x14ac:dyDescent="0.25">
      <c r="A14793" s="5"/>
    </row>
    <row r="14794" spans="1:1" x14ac:dyDescent="0.25">
      <c r="A14794" s="5"/>
    </row>
    <row r="14795" spans="1:1" x14ac:dyDescent="0.25">
      <c r="A14795" s="5"/>
    </row>
    <row r="14796" spans="1:1" x14ac:dyDescent="0.25">
      <c r="A14796" s="5"/>
    </row>
    <row r="14797" spans="1:1" x14ac:dyDescent="0.25">
      <c r="A14797" s="5"/>
    </row>
    <row r="14798" spans="1:1" x14ac:dyDescent="0.25">
      <c r="A14798" s="5"/>
    </row>
    <row r="14799" spans="1:1" x14ac:dyDescent="0.25">
      <c r="A14799" s="5"/>
    </row>
    <row r="14800" spans="1:1" x14ac:dyDescent="0.25">
      <c r="A14800" s="5"/>
    </row>
    <row r="14801" spans="1:1" x14ac:dyDescent="0.25">
      <c r="A14801" s="5"/>
    </row>
    <row r="14802" spans="1:1" x14ac:dyDescent="0.25">
      <c r="A14802" s="5"/>
    </row>
    <row r="14803" spans="1:1" x14ac:dyDescent="0.25">
      <c r="A14803" s="5"/>
    </row>
    <row r="14804" spans="1:1" x14ac:dyDescent="0.25">
      <c r="A14804" s="5"/>
    </row>
    <row r="14805" spans="1:1" x14ac:dyDescent="0.25">
      <c r="A14805" s="5"/>
    </row>
    <row r="14806" spans="1:1" x14ac:dyDescent="0.25">
      <c r="A14806" s="5"/>
    </row>
    <row r="14807" spans="1:1" x14ac:dyDescent="0.25">
      <c r="A14807" s="5"/>
    </row>
    <row r="14808" spans="1:1" x14ac:dyDescent="0.25">
      <c r="A14808" s="5"/>
    </row>
    <row r="14809" spans="1:1" x14ac:dyDescent="0.25">
      <c r="A14809" s="5"/>
    </row>
    <row r="14810" spans="1:1" x14ac:dyDescent="0.25">
      <c r="A14810" s="5"/>
    </row>
    <row r="14811" spans="1:1" x14ac:dyDescent="0.25">
      <c r="A14811" s="5"/>
    </row>
    <row r="14812" spans="1:1" x14ac:dyDescent="0.25">
      <c r="A14812" s="5"/>
    </row>
    <row r="14813" spans="1:1" x14ac:dyDescent="0.25">
      <c r="A14813" s="5"/>
    </row>
    <row r="14814" spans="1:1" x14ac:dyDescent="0.25">
      <c r="A14814" s="5"/>
    </row>
    <row r="14815" spans="1:1" x14ac:dyDescent="0.25">
      <c r="A14815" s="5"/>
    </row>
    <row r="14816" spans="1:1" x14ac:dyDescent="0.25">
      <c r="A14816" s="5"/>
    </row>
    <row r="14817" spans="1:1" x14ac:dyDescent="0.25">
      <c r="A14817" s="5"/>
    </row>
    <row r="14818" spans="1:1" x14ac:dyDescent="0.25">
      <c r="A14818" s="5"/>
    </row>
    <row r="14819" spans="1:1" x14ac:dyDescent="0.25">
      <c r="A14819" s="5"/>
    </row>
    <row r="14820" spans="1:1" x14ac:dyDescent="0.25">
      <c r="A14820" s="5"/>
    </row>
    <row r="14821" spans="1:1" x14ac:dyDescent="0.25">
      <c r="A14821" s="5"/>
    </row>
    <row r="14822" spans="1:1" x14ac:dyDescent="0.25">
      <c r="A14822" s="5"/>
    </row>
    <row r="14823" spans="1:1" x14ac:dyDescent="0.25">
      <c r="A14823" s="5"/>
    </row>
    <row r="14824" spans="1:1" x14ac:dyDescent="0.25">
      <c r="A14824" s="5"/>
    </row>
    <row r="14825" spans="1:1" x14ac:dyDescent="0.25">
      <c r="A14825" s="5"/>
    </row>
    <row r="14826" spans="1:1" x14ac:dyDescent="0.25">
      <c r="A14826" s="5"/>
    </row>
    <row r="14827" spans="1:1" x14ac:dyDescent="0.25">
      <c r="A14827" s="5"/>
    </row>
    <row r="14828" spans="1:1" x14ac:dyDescent="0.25">
      <c r="A14828" s="5"/>
    </row>
    <row r="14829" spans="1:1" x14ac:dyDescent="0.25">
      <c r="A14829" s="5"/>
    </row>
    <row r="14830" spans="1:1" x14ac:dyDescent="0.25">
      <c r="A14830" s="5"/>
    </row>
    <row r="14831" spans="1:1" x14ac:dyDescent="0.25">
      <c r="A14831" s="5"/>
    </row>
    <row r="14832" spans="1:1" x14ac:dyDescent="0.25">
      <c r="A14832" s="5"/>
    </row>
    <row r="14833" spans="1:1" x14ac:dyDescent="0.25">
      <c r="A14833" s="5"/>
    </row>
    <row r="14834" spans="1:1" x14ac:dyDescent="0.25">
      <c r="A14834" s="5"/>
    </row>
    <row r="14835" spans="1:1" x14ac:dyDescent="0.25">
      <c r="A14835" s="5"/>
    </row>
    <row r="14836" spans="1:1" x14ac:dyDescent="0.25">
      <c r="A14836" s="5"/>
    </row>
    <row r="14837" spans="1:1" x14ac:dyDescent="0.25">
      <c r="A14837" s="5"/>
    </row>
    <row r="14838" spans="1:1" x14ac:dyDescent="0.25">
      <c r="A14838" s="5"/>
    </row>
    <row r="14839" spans="1:1" x14ac:dyDescent="0.25">
      <c r="A14839" s="5"/>
    </row>
    <row r="14840" spans="1:1" x14ac:dyDescent="0.25">
      <c r="A14840" s="5"/>
    </row>
    <row r="14841" spans="1:1" x14ac:dyDescent="0.25">
      <c r="A14841" s="5"/>
    </row>
    <row r="14842" spans="1:1" x14ac:dyDescent="0.25">
      <c r="A14842" s="5"/>
    </row>
    <row r="14843" spans="1:1" x14ac:dyDescent="0.25">
      <c r="A14843" s="5"/>
    </row>
    <row r="14844" spans="1:1" x14ac:dyDescent="0.25">
      <c r="A14844" s="5"/>
    </row>
    <row r="14845" spans="1:1" x14ac:dyDescent="0.25">
      <c r="A14845" s="5"/>
    </row>
    <row r="14846" spans="1:1" x14ac:dyDescent="0.25">
      <c r="A14846" s="5"/>
    </row>
    <row r="14847" spans="1:1" x14ac:dyDescent="0.25">
      <c r="A14847" s="5"/>
    </row>
    <row r="14848" spans="1:1" x14ac:dyDescent="0.25">
      <c r="A14848" s="5"/>
    </row>
    <row r="14849" spans="1:1" x14ac:dyDescent="0.25">
      <c r="A14849" s="5"/>
    </row>
    <row r="14850" spans="1:1" x14ac:dyDescent="0.25">
      <c r="A14850" s="5"/>
    </row>
    <row r="14851" spans="1:1" x14ac:dyDescent="0.25">
      <c r="A14851" s="5"/>
    </row>
    <row r="14852" spans="1:1" x14ac:dyDescent="0.25">
      <c r="A14852" s="5"/>
    </row>
    <row r="14853" spans="1:1" x14ac:dyDescent="0.25">
      <c r="A14853" s="5"/>
    </row>
    <row r="14854" spans="1:1" x14ac:dyDescent="0.25">
      <c r="A14854" s="5"/>
    </row>
    <row r="14855" spans="1:1" x14ac:dyDescent="0.25">
      <c r="A14855" s="5"/>
    </row>
    <row r="14856" spans="1:1" x14ac:dyDescent="0.25">
      <c r="A14856" s="5"/>
    </row>
    <row r="14857" spans="1:1" x14ac:dyDescent="0.25">
      <c r="A14857" s="5"/>
    </row>
    <row r="14858" spans="1:1" x14ac:dyDescent="0.25">
      <c r="A14858" s="5"/>
    </row>
    <row r="14859" spans="1:1" x14ac:dyDescent="0.25">
      <c r="A14859" s="5"/>
    </row>
    <row r="14860" spans="1:1" x14ac:dyDescent="0.25">
      <c r="A14860" s="5"/>
    </row>
    <row r="14861" spans="1:1" x14ac:dyDescent="0.25">
      <c r="A14861" s="5"/>
    </row>
    <row r="14862" spans="1:1" x14ac:dyDescent="0.25">
      <c r="A14862" s="5"/>
    </row>
    <row r="14863" spans="1:1" x14ac:dyDescent="0.25">
      <c r="A14863" s="5"/>
    </row>
    <row r="14864" spans="1:1" x14ac:dyDescent="0.25">
      <c r="A14864" s="5"/>
    </row>
    <row r="14865" spans="1:1" x14ac:dyDescent="0.25">
      <c r="A14865" s="5"/>
    </row>
    <row r="14866" spans="1:1" x14ac:dyDescent="0.25">
      <c r="A14866" s="5"/>
    </row>
    <row r="14867" spans="1:1" x14ac:dyDescent="0.25">
      <c r="A14867" s="5"/>
    </row>
    <row r="14868" spans="1:1" x14ac:dyDescent="0.25">
      <c r="A14868" s="5"/>
    </row>
    <row r="14869" spans="1:1" x14ac:dyDescent="0.25">
      <c r="A14869" s="5"/>
    </row>
    <row r="14870" spans="1:1" x14ac:dyDescent="0.25">
      <c r="A14870" s="5"/>
    </row>
    <row r="14871" spans="1:1" x14ac:dyDescent="0.25">
      <c r="A14871" s="5"/>
    </row>
    <row r="14872" spans="1:1" x14ac:dyDescent="0.25">
      <c r="A14872" s="5"/>
    </row>
    <row r="14873" spans="1:1" x14ac:dyDescent="0.25">
      <c r="A14873" s="5"/>
    </row>
    <row r="14874" spans="1:1" x14ac:dyDescent="0.25">
      <c r="A14874" s="5"/>
    </row>
    <row r="14875" spans="1:1" x14ac:dyDescent="0.25">
      <c r="A14875" s="5"/>
    </row>
    <row r="14876" spans="1:1" x14ac:dyDescent="0.25">
      <c r="A14876" s="5"/>
    </row>
    <row r="14877" spans="1:1" x14ac:dyDescent="0.25">
      <c r="A14877" s="5"/>
    </row>
    <row r="14878" spans="1:1" x14ac:dyDescent="0.25">
      <c r="A14878" s="5"/>
    </row>
    <row r="14879" spans="1:1" x14ac:dyDescent="0.25">
      <c r="A14879" s="5"/>
    </row>
    <row r="14880" spans="1:1" x14ac:dyDescent="0.25">
      <c r="A14880" s="5"/>
    </row>
    <row r="14881" spans="1:1" x14ac:dyDescent="0.25">
      <c r="A14881" s="5"/>
    </row>
    <row r="14882" spans="1:1" x14ac:dyDescent="0.25">
      <c r="A14882" s="5"/>
    </row>
    <row r="14883" spans="1:1" x14ac:dyDescent="0.25">
      <c r="A14883" s="5"/>
    </row>
    <row r="14884" spans="1:1" x14ac:dyDescent="0.25">
      <c r="A14884" s="5"/>
    </row>
    <row r="14885" spans="1:1" x14ac:dyDescent="0.25">
      <c r="A14885" s="5"/>
    </row>
    <row r="14886" spans="1:1" x14ac:dyDescent="0.25">
      <c r="A14886" s="5"/>
    </row>
    <row r="14887" spans="1:1" x14ac:dyDescent="0.25">
      <c r="A14887" s="5"/>
    </row>
    <row r="14888" spans="1:1" x14ac:dyDescent="0.25">
      <c r="A14888" s="5"/>
    </row>
    <row r="14889" spans="1:1" x14ac:dyDescent="0.25">
      <c r="A14889" s="5"/>
    </row>
    <row r="14890" spans="1:1" x14ac:dyDescent="0.25">
      <c r="A14890" s="5"/>
    </row>
    <row r="14891" spans="1:1" x14ac:dyDescent="0.25">
      <c r="A14891" s="5"/>
    </row>
    <row r="14892" spans="1:1" x14ac:dyDescent="0.25">
      <c r="A14892" s="5"/>
    </row>
    <row r="14893" spans="1:1" x14ac:dyDescent="0.25">
      <c r="A14893" s="5"/>
    </row>
    <row r="14894" spans="1:1" x14ac:dyDescent="0.25">
      <c r="A14894" s="5"/>
    </row>
    <row r="14895" spans="1:1" x14ac:dyDescent="0.25">
      <c r="A14895" s="5"/>
    </row>
    <row r="14896" spans="1:1" x14ac:dyDescent="0.25">
      <c r="A14896" s="5"/>
    </row>
    <row r="14897" spans="1:1" x14ac:dyDescent="0.25">
      <c r="A14897" s="5"/>
    </row>
    <row r="14898" spans="1:1" x14ac:dyDescent="0.25">
      <c r="A14898" s="5"/>
    </row>
    <row r="14899" spans="1:1" x14ac:dyDescent="0.25">
      <c r="A14899" s="5"/>
    </row>
    <row r="14900" spans="1:1" x14ac:dyDescent="0.25">
      <c r="A14900" s="5"/>
    </row>
    <row r="14901" spans="1:1" x14ac:dyDescent="0.25">
      <c r="A14901" s="5"/>
    </row>
    <row r="14902" spans="1:1" x14ac:dyDescent="0.25">
      <c r="A14902" s="5"/>
    </row>
    <row r="14903" spans="1:1" x14ac:dyDescent="0.25">
      <c r="A14903" s="5"/>
    </row>
    <row r="14904" spans="1:1" x14ac:dyDescent="0.25">
      <c r="A14904" s="5"/>
    </row>
    <row r="14905" spans="1:1" x14ac:dyDescent="0.25">
      <c r="A14905" s="5"/>
    </row>
    <row r="14906" spans="1:1" x14ac:dyDescent="0.25">
      <c r="A14906" s="5"/>
    </row>
    <row r="14907" spans="1:1" x14ac:dyDescent="0.25">
      <c r="A14907" s="5"/>
    </row>
    <row r="14908" spans="1:1" x14ac:dyDescent="0.25">
      <c r="A14908" s="5"/>
    </row>
    <row r="14909" spans="1:1" x14ac:dyDescent="0.25">
      <c r="A14909" s="5"/>
    </row>
    <row r="14910" spans="1:1" x14ac:dyDescent="0.25">
      <c r="A14910" s="5"/>
    </row>
    <row r="14911" spans="1:1" x14ac:dyDescent="0.25">
      <c r="A14911" s="5"/>
    </row>
    <row r="14912" spans="1:1" x14ac:dyDescent="0.25">
      <c r="A14912" s="5"/>
    </row>
    <row r="14913" spans="1:1" x14ac:dyDescent="0.25">
      <c r="A14913" s="5"/>
    </row>
    <row r="14914" spans="1:1" x14ac:dyDescent="0.25">
      <c r="A14914" s="5"/>
    </row>
    <row r="14915" spans="1:1" x14ac:dyDescent="0.25">
      <c r="A14915" s="5"/>
    </row>
    <row r="14916" spans="1:1" x14ac:dyDescent="0.25">
      <c r="A14916" s="5"/>
    </row>
    <row r="14917" spans="1:1" x14ac:dyDescent="0.25">
      <c r="A14917" s="5"/>
    </row>
    <row r="14918" spans="1:1" x14ac:dyDescent="0.25">
      <c r="A14918" s="5"/>
    </row>
    <row r="14919" spans="1:1" x14ac:dyDescent="0.25">
      <c r="A14919" s="5"/>
    </row>
    <row r="14920" spans="1:1" x14ac:dyDescent="0.25">
      <c r="A14920" s="5"/>
    </row>
    <row r="14921" spans="1:1" x14ac:dyDescent="0.25">
      <c r="A14921" s="5"/>
    </row>
    <row r="14922" spans="1:1" x14ac:dyDescent="0.25">
      <c r="A14922" s="5"/>
    </row>
    <row r="14923" spans="1:1" x14ac:dyDescent="0.25">
      <c r="A14923" s="5"/>
    </row>
    <row r="14924" spans="1:1" x14ac:dyDescent="0.25">
      <c r="A14924" s="5"/>
    </row>
    <row r="14925" spans="1:1" x14ac:dyDescent="0.25">
      <c r="A14925" s="5"/>
    </row>
    <row r="14926" spans="1:1" x14ac:dyDescent="0.25">
      <c r="A14926" s="5"/>
    </row>
    <row r="14927" spans="1:1" x14ac:dyDescent="0.25">
      <c r="A14927" s="5"/>
    </row>
    <row r="14928" spans="1:1" x14ac:dyDescent="0.25">
      <c r="A14928" s="5"/>
    </row>
    <row r="14929" spans="1:1" x14ac:dyDescent="0.25">
      <c r="A14929" s="5"/>
    </row>
    <row r="14930" spans="1:1" x14ac:dyDescent="0.25">
      <c r="A14930" s="5"/>
    </row>
    <row r="14931" spans="1:1" x14ac:dyDescent="0.25">
      <c r="A14931" s="5"/>
    </row>
    <row r="14932" spans="1:1" x14ac:dyDescent="0.25">
      <c r="A14932" s="5"/>
    </row>
    <row r="14933" spans="1:1" x14ac:dyDescent="0.25">
      <c r="A14933" s="5"/>
    </row>
    <row r="14934" spans="1:1" x14ac:dyDescent="0.25">
      <c r="A14934" s="5"/>
    </row>
    <row r="14935" spans="1:1" x14ac:dyDescent="0.25">
      <c r="A14935" s="5"/>
    </row>
    <row r="14936" spans="1:1" x14ac:dyDescent="0.25">
      <c r="A14936" s="5"/>
    </row>
    <row r="14937" spans="1:1" x14ac:dyDescent="0.25">
      <c r="A14937" s="5"/>
    </row>
    <row r="14938" spans="1:1" x14ac:dyDescent="0.25">
      <c r="A14938" s="5"/>
    </row>
    <row r="14939" spans="1:1" x14ac:dyDescent="0.25">
      <c r="A14939" s="5"/>
    </row>
    <row r="14940" spans="1:1" x14ac:dyDescent="0.25">
      <c r="A14940" s="5"/>
    </row>
    <row r="14941" spans="1:1" x14ac:dyDescent="0.25">
      <c r="A14941" s="5"/>
    </row>
    <row r="14942" spans="1:1" x14ac:dyDescent="0.25">
      <c r="A14942" s="5"/>
    </row>
    <row r="14943" spans="1:1" x14ac:dyDescent="0.25">
      <c r="A14943" s="5"/>
    </row>
    <row r="14944" spans="1:1" x14ac:dyDescent="0.25">
      <c r="A14944" s="5"/>
    </row>
    <row r="14945" spans="1:1" x14ac:dyDescent="0.25">
      <c r="A14945" s="5"/>
    </row>
    <row r="14946" spans="1:1" x14ac:dyDescent="0.25">
      <c r="A14946" s="5"/>
    </row>
    <row r="14947" spans="1:1" x14ac:dyDescent="0.25">
      <c r="A14947" s="5"/>
    </row>
    <row r="14948" spans="1:1" x14ac:dyDescent="0.25">
      <c r="A14948" s="5"/>
    </row>
    <row r="14949" spans="1:1" x14ac:dyDescent="0.25">
      <c r="A14949" s="5"/>
    </row>
    <row r="14950" spans="1:1" x14ac:dyDescent="0.25">
      <c r="A14950" s="5"/>
    </row>
    <row r="14951" spans="1:1" x14ac:dyDescent="0.25">
      <c r="A14951" s="5"/>
    </row>
    <row r="14952" spans="1:1" x14ac:dyDescent="0.25">
      <c r="A14952" s="5"/>
    </row>
    <row r="14953" spans="1:1" x14ac:dyDescent="0.25">
      <c r="A14953" s="5"/>
    </row>
    <row r="14954" spans="1:1" x14ac:dyDescent="0.25">
      <c r="A14954" s="5"/>
    </row>
    <row r="14955" spans="1:1" x14ac:dyDescent="0.25">
      <c r="A14955" s="5"/>
    </row>
    <row r="14956" spans="1:1" x14ac:dyDescent="0.25">
      <c r="A14956" s="5"/>
    </row>
    <row r="14957" spans="1:1" x14ac:dyDescent="0.25">
      <c r="A14957" s="5"/>
    </row>
    <row r="14958" spans="1:1" x14ac:dyDescent="0.25">
      <c r="A14958" s="5"/>
    </row>
    <row r="14959" spans="1:1" x14ac:dyDescent="0.25">
      <c r="A14959" s="5"/>
    </row>
    <row r="14960" spans="1:1" x14ac:dyDescent="0.25">
      <c r="A14960" s="5"/>
    </row>
    <row r="14961" spans="1:1" x14ac:dyDescent="0.25">
      <c r="A14961" s="5"/>
    </row>
    <row r="14962" spans="1:1" x14ac:dyDescent="0.25">
      <c r="A14962" s="5"/>
    </row>
    <row r="14963" spans="1:1" x14ac:dyDescent="0.25">
      <c r="A14963" s="5"/>
    </row>
    <row r="14964" spans="1:1" x14ac:dyDescent="0.25">
      <c r="A14964" s="5"/>
    </row>
    <row r="14965" spans="1:1" x14ac:dyDescent="0.25">
      <c r="A14965" s="5"/>
    </row>
    <row r="14966" spans="1:1" x14ac:dyDescent="0.25">
      <c r="A14966" s="5"/>
    </row>
    <row r="14967" spans="1:1" x14ac:dyDescent="0.25">
      <c r="A14967" s="5"/>
    </row>
    <row r="14968" spans="1:1" x14ac:dyDescent="0.25">
      <c r="A14968" s="5"/>
    </row>
    <row r="14969" spans="1:1" x14ac:dyDescent="0.25">
      <c r="A14969" s="5"/>
    </row>
    <row r="14970" spans="1:1" x14ac:dyDescent="0.25">
      <c r="A14970" s="5"/>
    </row>
    <row r="14971" spans="1:1" x14ac:dyDescent="0.25">
      <c r="A14971" s="5"/>
    </row>
    <row r="14972" spans="1:1" x14ac:dyDescent="0.25">
      <c r="A14972" s="5"/>
    </row>
    <row r="14973" spans="1:1" x14ac:dyDescent="0.25">
      <c r="A14973" s="5"/>
    </row>
    <row r="14974" spans="1:1" x14ac:dyDescent="0.25">
      <c r="A14974" s="5"/>
    </row>
    <row r="14975" spans="1:1" x14ac:dyDescent="0.25">
      <c r="A14975" s="5"/>
    </row>
    <row r="14976" spans="1:1" x14ac:dyDescent="0.25">
      <c r="A14976" s="5"/>
    </row>
    <row r="14977" spans="1:1" x14ac:dyDescent="0.25">
      <c r="A14977" s="5"/>
    </row>
    <row r="14978" spans="1:1" x14ac:dyDescent="0.25">
      <c r="A14978" s="5"/>
    </row>
    <row r="14979" spans="1:1" x14ac:dyDescent="0.25">
      <c r="A14979" s="5"/>
    </row>
    <row r="14980" spans="1:1" x14ac:dyDescent="0.25">
      <c r="A14980" s="5"/>
    </row>
    <row r="14981" spans="1:1" x14ac:dyDescent="0.25">
      <c r="A14981" s="5"/>
    </row>
    <row r="14982" spans="1:1" x14ac:dyDescent="0.25">
      <c r="A14982" s="5"/>
    </row>
    <row r="14983" spans="1:1" x14ac:dyDescent="0.25">
      <c r="A14983" s="5"/>
    </row>
    <row r="14984" spans="1:1" x14ac:dyDescent="0.25">
      <c r="A14984" s="5"/>
    </row>
    <row r="14985" spans="1:1" x14ac:dyDescent="0.25">
      <c r="A14985" s="5"/>
    </row>
    <row r="14986" spans="1:1" x14ac:dyDescent="0.25">
      <c r="A14986" s="5"/>
    </row>
    <row r="14987" spans="1:1" x14ac:dyDescent="0.25">
      <c r="A14987" s="5"/>
    </row>
    <row r="14988" spans="1:1" x14ac:dyDescent="0.25">
      <c r="A14988" s="5"/>
    </row>
    <row r="14989" spans="1:1" x14ac:dyDescent="0.25">
      <c r="A14989" s="5"/>
    </row>
    <row r="14990" spans="1:1" x14ac:dyDescent="0.25">
      <c r="A14990" s="5"/>
    </row>
    <row r="14991" spans="1:1" x14ac:dyDescent="0.25">
      <c r="A14991" s="5"/>
    </row>
    <row r="14992" spans="1:1" x14ac:dyDescent="0.25">
      <c r="A14992" s="5"/>
    </row>
    <row r="14993" spans="1:1" x14ac:dyDescent="0.25">
      <c r="A14993" s="5"/>
    </row>
    <row r="14994" spans="1:1" x14ac:dyDescent="0.25">
      <c r="A14994" s="5"/>
    </row>
    <row r="14995" spans="1:1" x14ac:dyDescent="0.25">
      <c r="A14995" s="5"/>
    </row>
    <row r="14996" spans="1:1" x14ac:dyDescent="0.25">
      <c r="A14996" s="5"/>
    </row>
    <row r="14997" spans="1:1" x14ac:dyDescent="0.25">
      <c r="A14997" s="5"/>
    </row>
    <row r="14998" spans="1:1" x14ac:dyDescent="0.25">
      <c r="A14998" s="5"/>
    </row>
    <row r="14999" spans="1:1" x14ac:dyDescent="0.25">
      <c r="A14999" s="5"/>
    </row>
    <row r="15000" spans="1:1" x14ac:dyDescent="0.25">
      <c r="A15000" s="5"/>
    </row>
    <row r="15001" spans="1:1" x14ac:dyDescent="0.25">
      <c r="A15001" s="5"/>
    </row>
    <row r="15002" spans="1:1" x14ac:dyDescent="0.25">
      <c r="A15002" s="5"/>
    </row>
    <row r="15003" spans="1:1" x14ac:dyDescent="0.25">
      <c r="A15003" s="5"/>
    </row>
    <row r="15004" spans="1:1" x14ac:dyDescent="0.25">
      <c r="A15004" s="5"/>
    </row>
    <row r="15005" spans="1:1" x14ac:dyDescent="0.25">
      <c r="A15005" s="5"/>
    </row>
    <row r="15006" spans="1:1" x14ac:dyDescent="0.25">
      <c r="A15006" s="5"/>
    </row>
    <row r="15007" spans="1:1" x14ac:dyDescent="0.25">
      <c r="A15007" s="5"/>
    </row>
    <row r="15008" spans="1:1" x14ac:dyDescent="0.25">
      <c r="A15008" s="5"/>
    </row>
    <row r="15009" spans="1:1" x14ac:dyDescent="0.25">
      <c r="A15009" s="5"/>
    </row>
    <row r="15010" spans="1:1" x14ac:dyDescent="0.25">
      <c r="A15010" s="5"/>
    </row>
    <row r="15011" spans="1:1" x14ac:dyDescent="0.25">
      <c r="A15011" s="5"/>
    </row>
    <row r="15012" spans="1:1" x14ac:dyDescent="0.25">
      <c r="A15012" s="5"/>
    </row>
    <row r="15013" spans="1:1" x14ac:dyDescent="0.25">
      <c r="A15013" s="5"/>
    </row>
    <row r="15014" spans="1:1" x14ac:dyDescent="0.25">
      <c r="A15014" s="5"/>
    </row>
    <row r="15015" spans="1:1" x14ac:dyDescent="0.25">
      <c r="A15015" s="5"/>
    </row>
    <row r="15016" spans="1:1" x14ac:dyDescent="0.25">
      <c r="A15016" s="5"/>
    </row>
    <row r="15017" spans="1:1" x14ac:dyDescent="0.25">
      <c r="A15017" s="5"/>
    </row>
    <row r="15018" spans="1:1" x14ac:dyDescent="0.25">
      <c r="A15018" s="5"/>
    </row>
    <row r="15019" spans="1:1" x14ac:dyDescent="0.25">
      <c r="A15019" s="5"/>
    </row>
    <row r="15020" spans="1:1" x14ac:dyDescent="0.25">
      <c r="A15020" s="5"/>
    </row>
    <row r="15021" spans="1:1" x14ac:dyDescent="0.25">
      <c r="A15021" s="5"/>
    </row>
    <row r="15022" spans="1:1" x14ac:dyDescent="0.25">
      <c r="A15022" s="5"/>
    </row>
    <row r="15023" spans="1:1" x14ac:dyDescent="0.25">
      <c r="A15023" s="5"/>
    </row>
    <row r="15024" spans="1:1" x14ac:dyDescent="0.25">
      <c r="A15024" s="5"/>
    </row>
    <row r="15025" spans="1:1" x14ac:dyDescent="0.25">
      <c r="A15025" s="5"/>
    </row>
    <row r="15026" spans="1:1" x14ac:dyDescent="0.25">
      <c r="A15026" s="5"/>
    </row>
    <row r="15027" spans="1:1" x14ac:dyDescent="0.25">
      <c r="A15027" s="5"/>
    </row>
    <row r="15028" spans="1:1" x14ac:dyDescent="0.25">
      <c r="A15028" s="5"/>
    </row>
    <row r="15029" spans="1:1" x14ac:dyDescent="0.25">
      <c r="A15029" s="5"/>
    </row>
    <row r="15030" spans="1:1" x14ac:dyDescent="0.25">
      <c r="A15030" s="5"/>
    </row>
    <row r="15031" spans="1:1" x14ac:dyDescent="0.25">
      <c r="A15031" s="5"/>
    </row>
    <row r="15032" spans="1:1" x14ac:dyDescent="0.25">
      <c r="A15032" s="5"/>
    </row>
    <row r="15033" spans="1:1" x14ac:dyDescent="0.25">
      <c r="A15033" s="5"/>
    </row>
    <row r="15034" spans="1:1" x14ac:dyDescent="0.25">
      <c r="A15034" s="5"/>
    </row>
    <row r="15035" spans="1:1" x14ac:dyDescent="0.25">
      <c r="A15035" s="5"/>
    </row>
    <row r="15036" spans="1:1" x14ac:dyDescent="0.25">
      <c r="A15036" s="5"/>
    </row>
    <row r="15037" spans="1:1" x14ac:dyDescent="0.25">
      <c r="A15037" s="5"/>
    </row>
    <row r="15038" spans="1:1" x14ac:dyDescent="0.25">
      <c r="A15038" s="5"/>
    </row>
    <row r="15039" spans="1:1" x14ac:dyDescent="0.25">
      <c r="A15039" s="5"/>
    </row>
    <row r="15040" spans="1:1" x14ac:dyDescent="0.25">
      <c r="A15040" s="5"/>
    </row>
    <row r="15041" spans="1:1" x14ac:dyDescent="0.25">
      <c r="A15041" s="5"/>
    </row>
    <row r="15042" spans="1:1" x14ac:dyDescent="0.25">
      <c r="A15042" s="5"/>
    </row>
    <row r="15043" spans="1:1" x14ac:dyDescent="0.25">
      <c r="A15043" s="5"/>
    </row>
    <row r="15044" spans="1:1" x14ac:dyDescent="0.25">
      <c r="A15044" s="5"/>
    </row>
    <row r="15045" spans="1:1" x14ac:dyDescent="0.25">
      <c r="A15045" s="5"/>
    </row>
    <row r="15046" spans="1:1" x14ac:dyDescent="0.25">
      <c r="A15046" s="5"/>
    </row>
    <row r="15047" spans="1:1" x14ac:dyDescent="0.25">
      <c r="A15047" s="5"/>
    </row>
    <row r="15048" spans="1:1" x14ac:dyDescent="0.25">
      <c r="A15048" s="5"/>
    </row>
    <row r="15049" spans="1:1" x14ac:dyDescent="0.25">
      <c r="A15049" s="5"/>
    </row>
    <row r="15050" spans="1:1" x14ac:dyDescent="0.25">
      <c r="A15050" s="5"/>
    </row>
    <row r="15051" spans="1:1" x14ac:dyDescent="0.25">
      <c r="A15051" s="5"/>
    </row>
    <row r="15052" spans="1:1" x14ac:dyDescent="0.25">
      <c r="A15052" s="5"/>
    </row>
    <row r="15053" spans="1:1" x14ac:dyDescent="0.25">
      <c r="A15053" s="5"/>
    </row>
    <row r="15054" spans="1:1" x14ac:dyDescent="0.25">
      <c r="A15054" s="5"/>
    </row>
    <row r="15055" spans="1:1" x14ac:dyDescent="0.25">
      <c r="A15055" s="5"/>
    </row>
    <row r="15056" spans="1:1" x14ac:dyDescent="0.25">
      <c r="A15056" s="5"/>
    </row>
    <row r="15057" spans="1:1" x14ac:dyDescent="0.25">
      <c r="A15057" s="5"/>
    </row>
    <row r="15058" spans="1:1" x14ac:dyDescent="0.25">
      <c r="A15058" s="5"/>
    </row>
    <row r="15059" spans="1:1" x14ac:dyDescent="0.25">
      <c r="A15059" s="5"/>
    </row>
    <row r="15060" spans="1:1" x14ac:dyDescent="0.25">
      <c r="A15060" s="5"/>
    </row>
    <row r="15061" spans="1:1" x14ac:dyDescent="0.25">
      <c r="A15061" s="5"/>
    </row>
    <row r="15062" spans="1:1" x14ac:dyDescent="0.25">
      <c r="A15062" s="5"/>
    </row>
    <row r="15063" spans="1:1" x14ac:dyDescent="0.25">
      <c r="A15063" s="5"/>
    </row>
    <row r="15064" spans="1:1" x14ac:dyDescent="0.25">
      <c r="A15064" s="5"/>
    </row>
    <row r="15065" spans="1:1" x14ac:dyDescent="0.25">
      <c r="A15065" s="5"/>
    </row>
    <row r="15066" spans="1:1" x14ac:dyDescent="0.25">
      <c r="A15066" s="5"/>
    </row>
    <row r="15067" spans="1:1" x14ac:dyDescent="0.25">
      <c r="A15067" s="5"/>
    </row>
    <row r="15068" spans="1:1" x14ac:dyDescent="0.25">
      <c r="A15068" s="5"/>
    </row>
    <row r="15069" spans="1:1" x14ac:dyDescent="0.25">
      <c r="A15069" s="5"/>
    </row>
    <row r="15070" spans="1:1" x14ac:dyDescent="0.25">
      <c r="A15070" s="5"/>
    </row>
    <row r="15071" spans="1:1" x14ac:dyDescent="0.25">
      <c r="A15071" s="5"/>
    </row>
    <row r="15072" spans="1:1" x14ac:dyDescent="0.25">
      <c r="A15072" s="5"/>
    </row>
    <row r="15073" spans="1:1" x14ac:dyDescent="0.25">
      <c r="A15073" s="5"/>
    </row>
    <row r="15074" spans="1:1" x14ac:dyDescent="0.25">
      <c r="A15074" s="5"/>
    </row>
    <row r="15075" spans="1:1" x14ac:dyDescent="0.25">
      <c r="A15075" s="5"/>
    </row>
    <row r="15076" spans="1:1" x14ac:dyDescent="0.25">
      <c r="A15076" s="5"/>
    </row>
    <row r="15077" spans="1:1" x14ac:dyDescent="0.25">
      <c r="A15077" s="5"/>
    </row>
    <row r="15078" spans="1:1" x14ac:dyDescent="0.25">
      <c r="A15078" s="5"/>
    </row>
    <row r="15079" spans="1:1" x14ac:dyDescent="0.25">
      <c r="A15079" s="5"/>
    </row>
    <row r="15080" spans="1:1" x14ac:dyDescent="0.25">
      <c r="A15080" s="5"/>
    </row>
    <row r="15081" spans="1:1" x14ac:dyDescent="0.25">
      <c r="A15081" s="5"/>
    </row>
    <row r="15082" spans="1:1" x14ac:dyDescent="0.25">
      <c r="A15082" s="5"/>
    </row>
    <row r="15083" spans="1:1" x14ac:dyDescent="0.25">
      <c r="A15083" s="5"/>
    </row>
    <row r="15084" spans="1:1" x14ac:dyDescent="0.25">
      <c r="A15084" s="5"/>
    </row>
    <row r="15085" spans="1:1" x14ac:dyDescent="0.25">
      <c r="A15085" s="5"/>
    </row>
    <row r="15086" spans="1:1" x14ac:dyDescent="0.25">
      <c r="A15086" s="5"/>
    </row>
    <row r="15087" spans="1:1" x14ac:dyDescent="0.25">
      <c r="A15087" s="5"/>
    </row>
    <row r="15088" spans="1:1" x14ac:dyDescent="0.25">
      <c r="A15088" s="5"/>
    </row>
    <row r="15089" spans="1:1" x14ac:dyDescent="0.25">
      <c r="A15089" s="5"/>
    </row>
    <row r="15090" spans="1:1" x14ac:dyDescent="0.25">
      <c r="A15090" s="5"/>
    </row>
    <row r="15091" spans="1:1" x14ac:dyDescent="0.25">
      <c r="A15091" s="5"/>
    </row>
    <row r="15092" spans="1:1" x14ac:dyDescent="0.25">
      <c r="A15092" s="5"/>
    </row>
    <row r="15093" spans="1:1" x14ac:dyDescent="0.25">
      <c r="A15093" s="5"/>
    </row>
    <row r="15094" spans="1:1" x14ac:dyDescent="0.25">
      <c r="A15094" s="5"/>
    </row>
    <row r="15095" spans="1:1" x14ac:dyDescent="0.25">
      <c r="A15095" s="5"/>
    </row>
    <row r="15096" spans="1:1" x14ac:dyDescent="0.25">
      <c r="A15096" s="5"/>
    </row>
    <row r="15097" spans="1:1" x14ac:dyDescent="0.25">
      <c r="A15097" s="5"/>
    </row>
    <row r="15098" spans="1:1" x14ac:dyDescent="0.25">
      <c r="A15098" s="5"/>
    </row>
    <row r="15099" spans="1:1" x14ac:dyDescent="0.25">
      <c r="A15099" s="5"/>
    </row>
    <row r="15100" spans="1:1" x14ac:dyDescent="0.25">
      <c r="A15100" s="5"/>
    </row>
    <row r="15101" spans="1:1" x14ac:dyDescent="0.25">
      <c r="A15101" s="5"/>
    </row>
    <row r="15102" spans="1:1" x14ac:dyDescent="0.25">
      <c r="A15102" s="5"/>
    </row>
    <row r="15103" spans="1:1" x14ac:dyDescent="0.25">
      <c r="A15103" s="5"/>
    </row>
    <row r="15104" spans="1:1" x14ac:dyDescent="0.25">
      <c r="A15104" s="5"/>
    </row>
    <row r="15105" spans="1:1" x14ac:dyDescent="0.25">
      <c r="A15105" s="5"/>
    </row>
    <row r="15106" spans="1:1" x14ac:dyDescent="0.25">
      <c r="A15106" s="5"/>
    </row>
    <row r="15107" spans="1:1" x14ac:dyDescent="0.25">
      <c r="A15107" s="5"/>
    </row>
    <row r="15108" spans="1:1" x14ac:dyDescent="0.25">
      <c r="A15108" s="5"/>
    </row>
    <row r="15109" spans="1:1" x14ac:dyDescent="0.25">
      <c r="A15109" s="5"/>
    </row>
    <row r="15110" spans="1:1" x14ac:dyDescent="0.25">
      <c r="A15110" s="5"/>
    </row>
    <row r="15111" spans="1:1" x14ac:dyDescent="0.25">
      <c r="A15111" s="5"/>
    </row>
    <row r="15112" spans="1:1" x14ac:dyDescent="0.25">
      <c r="A15112" s="5"/>
    </row>
    <row r="15113" spans="1:1" x14ac:dyDescent="0.25">
      <c r="A15113" s="5"/>
    </row>
    <row r="15114" spans="1:1" x14ac:dyDescent="0.25">
      <c r="A15114" s="5"/>
    </row>
    <row r="15115" spans="1:1" x14ac:dyDescent="0.25">
      <c r="A15115" s="5"/>
    </row>
    <row r="15116" spans="1:1" x14ac:dyDescent="0.25">
      <c r="A15116" s="5"/>
    </row>
    <row r="15117" spans="1:1" x14ac:dyDescent="0.25">
      <c r="A15117" s="5"/>
    </row>
    <row r="15118" spans="1:1" x14ac:dyDescent="0.25">
      <c r="A15118" s="5"/>
    </row>
    <row r="15119" spans="1:1" x14ac:dyDescent="0.25">
      <c r="A15119" s="5"/>
    </row>
    <row r="15120" spans="1:1" x14ac:dyDescent="0.25">
      <c r="A15120" s="5"/>
    </row>
    <row r="15121" spans="1:1" x14ac:dyDescent="0.25">
      <c r="A15121" s="5"/>
    </row>
    <row r="15122" spans="1:1" x14ac:dyDescent="0.25">
      <c r="A15122" s="5"/>
    </row>
    <row r="15123" spans="1:1" x14ac:dyDescent="0.25">
      <c r="A15123" s="5"/>
    </row>
    <row r="15124" spans="1:1" x14ac:dyDescent="0.25">
      <c r="A15124" s="5"/>
    </row>
    <row r="15125" spans="1:1" x14ac:dyDescent="0.25">
      <c r="A15125" s="5"/>
    </row>
    <row r="15126" spans="1:1" x14ac:dyDescent="0.25">
      <c r="A15126" s="5"/>
    </row>
    <row r="15127" spans="1:1" x14ac:dyDescent="0.25">
      <c r="A15127" s="5"/>
    </row>
    <row r="15128" spans="1:1" x14ac:dyDescent="0.25">
      <c r="A15128" s="5"/>
    </row>
    <row r="15129" spans="1:1" x14ac:dyDescent="0.25">
      <c r="A15129" s="5"/>
    </row>
    <row r="15130" spans="1:1" x14ac:dyDescent="0.25">
      <c r="A15130" s="5"/>
    </row>
    <row r="15131" spans="1:1" x14ac:dyDescent="0.25">
      <c r="A15131" s="5"/>
    </row>
    <row r="15132" spans="1:1" x14ac:dyDescent="0.25">
      <c r="A15132" s="5"/>
    </row>
    <row r="15133" spans="1:1" x14ac:dyDescent="0.25">
      <c r="A15133" s="5"/>
    </row>
    <row r="15134" spans="1:1" x14ac:dyDescent="0.25">
      <c r="A15134" s="5"/>
    </row>
    <row r="15135" spans="1:1" x14ac:dyDescent="0.25">
      <c r="A15135" s="5"/>
    </row>
    <row r="15136" spans="1:1" x14ac:dyDescent="0.25">
      <c r="A15136" s="5"/>
    </row>
    <row r="15137" spans="1:1" x14ac:dyDescent="0.25">
      <c r="A15137" s="5"/>
    </row>
    <row r="15138" spans="1:1" x14ac:dyDescent="0.25">
      <c r="A15138" s="5"/>
    </row>
    <row r="15139" spans="1:1" x14ac:dyDescent="0.25">
      <c r="A15139" s="5"/>
    </row>
    <row r="15140" spans="1:1" x14ac:dyDescent="0.25">
      <c r="A15140" s="5"/>
    </row>
    <row r="15141" spans="1:1" x14ac:dyDescent="0.25">
      <c r="A15141" s="5"/>
    </row>
    <row r="15142" spans="1:1" x14ac:dyDescent="0.25">
      <c r="A15142" s="5"/>
    </row>
    <row r="15143" spans="1:1" x14ac:dyDescent="0.25">
      <c r="A15143" s="5"/>
    </row>
    <row r="15144" spans="1:1" x14ac:dyDescent="0.25">
      <c r="A15144" s="5"/>
    </row>
    <row r="15145" spans="1:1" x14ac:dyDescent="0.25">
      <c r="A15145" s="5"/>
    </row>
    <row r="15146" spans="1:1" x14ac:dyDescent="0.25">
      <c r="A15146" s="5"/>
    </row>
    <row r="15147" spans="1:1" x14ac:dyDescent="0.25">
      <c r="A15147" s="5"/>
    </row>
    <row r="15148" spans="1:1" x14ac:dyDescent="0.25">
      <c r="A15148" s="5"/>
    </row>
    <row r="15149" spans="1:1" x14ac:dyDescent="0.25">
      <c r="A15149" s="5"/>
    </row>
    <row r="15150" spans="1:1" x14ac:dyDescent="0.25">
      <c r="A15150" s="5"/>
    </row>
    <row r="15151" spans="1:1" x14ac:dyDescent="0.25">
      <c r="A15151" s="5"/>
    </row>
    <row r="15152" spans="1:1" x14ac:dyDescent="0.25">
      <c r="A15152" s="5"/>
    </row>
    <row r="15153" spans="1:1" x14ac:dyDescent="0.25">
      <c r="A15153" s="5"/>
    </row>
    <row r="15154" spans="1:1" x14ac:dyDescent="0.25">
      <c r="A15154" s="5"/>
    </row>
    <row r="15155" spans="1:1" x14ac:dyDescent="0.25">
      <c r="A15155" s="5"/>
    </row>
    <row r="15156" spans="1:1" x14ac:dyDescent="0.25">
      <c r="A15156" s="5"/>
    </row>
    <row r="15157" spans="1:1" x14ac:dyDescent="0.25">
      <c r="A15157" s="5"/>
    </row>
    <row r="15158" spans="1:1" x14ac:dyDescent="0.25">
      <c r="A15158" s="5"/>
    </row>
    <row r="15159" spans="1:1" x14ac:dyDescent="0.25">
      <c r="A15159" s="5"/>
    </row>
    <row r="15160" spans="1:1" x14ac:dyDescent="0.25">
      <c r="A15160" s="5"/>
    </row>
    <row r="15161" spans="1:1" x14ac:dyDescent="0.25">
      <c r="A15161" s="5"/>
    </row>
    <row r="15162" spans="1:1" x14ac:dyDescent="0.25">
      <c r="A15162" s="5"/>
    </row>
    <row r="15163" spans="1:1" x14ac:dyDescent="0.25">
      <c r="A15163" s="5"/>
    </row>
    <row r="15164" spans="1:1" x14ac:dyDescent="0.25">
      <c r="A15164" s="5"/>
    </row>
    <row r="15165" spans="1:1" x14ac:dyDescent="0.25">
      <c r="A15165" s="5"/>
    </row>
    <row r="15166" spans="1:1" x14ac:dyDescent="0.25">
      <c r="A15166" s="5"/>
    </row>
    <row r="15167" spans="1:1" x14ac:dyDescent="0.25">
      <c r="A15167" s="5"/>
    </row>
    <row r="15168" spans="1:1" x14ac:dyDescent="0.25">
      <c r="A15168" s="5"/>
    </row>
    <row r="15169" spans="1:1" x14ac:dyDescent="0.25">
      <c r="A15169" s="5"/>
    </row>
    <row r="15170" spans="1:1" x14ac:dyDescent="0.25">
      <c r="A15170" s="5"/>
    </row>
    <row r="15171" spans="1:1" x14ac:dyDescent="0.25">
      <c r="A15171" s="5"/>
    </row>
    <row r="15172" spans="1:1" x14ac:dyDescent="0.25">
      <c r="A15172" s="5"/>
    </row>
    <row r="15173" spans="1:1" x14ac:dyDescent="0.25">
      <c r="A15173" s="5"/>
    </row>
    <row r="15174" spans="1:1" x14ac:dyDescent="0.25">
      <c r="A15174" s="5"/>
    </row>
    <row r="15175" spans="1:1" x14ac:dyDescent="0.25">
      <c r="A15175" s="5"/>
    </row>
    <row r="15176" spans="1:1" x14ac:dyDescent="0.25">
      <c r="A15176" s="5"/>
    </row>
    <row r="15177" spans="1:1" x14ac:dyDescent="0.25">
      <c r="A15177" s="5"/>
    </row>
    <row r="15178" spans="1:1" x14ac:dyDescent="0.25">
      <c r="A15178" s="5"/>
    </row>
    <row r="15179" spans="1:1" x14ac:dyDescent="0.25">
      <c r="A15179" s="5"/>
    </row>
    <row r="15180" spans="1:1" x14ac:dyDescent="0.25">
      <c r="A15180" s="5"/>
    </row>
    <row r="15181" spans="1:1" x14ac:dyDescent="0.25">
      <c r="A15181" s="5"/>
    </row>
    <row r="15182" spans="1:1" x14ac:dyDescent="0.25">
      <c r="A15182" s="5"/>
    </row>
    <row r="15183" spans="1:1" x14ac:dyDescent="0.25">
      <c r="A15183" s="5"/>
    </row>
    <row r="15184" spans="1:1" x14ac:dyDescent="0.25">
      <c r="A15184" s="5"/>
    </row>
    <row r="15185" spans="1:1" x14ac:dyDescent="0.25">
      <c r="A15185" s="5"/>
    </row>
    <row r="15186" spans="1:1" x14ac:dyDescent="0.25">
      <c r="A15186" s="5"/>
    </row>
    <row r="15187" spans="1:1" x14ac:dyDescent="0.25">
      <c r="A15187" s="5"/>
    </row>
    <row r="15188" spans="1:1" x14ac:dyDescent="0.25">
      <c r="A15188" s="5"/>
    </row>
    <row r="15189" spans="1:1" x14ac:dyDescent="0.25">
      <c r="A15189" s="5"/>
    </row>
    <row r="15190" spans="1:1" x14ac:dyDescent="0.25">
      <c r="A15190" s="5"/>
    </row>
    <row r="15191" spans="1:1" x14ac:dyDescent="0.25">
      <c r="A15191" s="5"/>
    </row>
    <row r="15192" spans="1:1" x14ac:dyDescent="0.25">
      <c r="A15192" s="5"/>
    </row>
    <row r="15193" spans="1:1" x14ac:dyDescent="0.25">
      <c r="A15193" s="5"/>
    </row>
    <row r="15194" spans="1:1" x14ac:dyDescent="0.25">
      <c r="A15194" s="5"/>
    </row>
    <row r="15195" spans="1:1" x14ac:dyDescent="0.25">
      <c r="A15195" s="5"/>
    </row>
    <row r="15196" spans="1:1" x14ac:dyDescent="0.25">
      <c r="A15196" s="5"/>
    </row>
    <row r="15197" spans="1:1" x14ac:dyDescent="0.25">
      <c r="A15197" s="5"/>
    </row>
    <row r="15198" spans="1:1" x14ac:dyDescent="0.25">
      <c r="A15198" s="5"/>
    </row>
    <row r="15199" spans="1:1" x14ac:dyDescent="0.25">
      <c r="A15199" s="5"/>
    </row>
    <row r="15200" spans="1:1" x14ac:dyDescent="0.25">
      <c r="A15200" s="5"/>
    </row>
    <row r="15201" spans="1:1" x14ac:dyDescent="0.25">
      <c r="A15201" s="5"/>
    </row>
    <row r="15202" spans="1:1" x14ac:dyDescent="0.25">
      <c r="A15202" s="5"/>
    </row>
    <row r="15203" spans="1:1" x14ac:dyDescent="0.25">
      <c r="A15203" s="5"/>
    </row>
    <row r="15204" spans="1:1" x14ac:dyDescent="0.25">
      <c r="A15204" s="5"/>
    </row>
    <row r="15205" spans="1:1" x14ac:dyDescent="0.25">
      <c r="A15205" s="5"/>
    </row>
    <row r="15206" spans="1:1" x14ac:dyDescent="0.25">
      <c r="A15206" s="5"/>
    </row>
    <row r="15207" spans="1:1" x14ac:dyDescent="0.25">
      <c r="A15207" s="5"/>
    </row>
    <row r="15208" spans="1:1" x14ac:dyDescent="0.25">
      <c r="A15208" s="5"/>
    </row>
    <row r="15209" spans="1:1" x14ac:dyDescent="0.25">
      <c r="A15209" s="5"/>
    </row>
    <row r="15210" spans="1:1" x14ac:dyDescent="0.25">
      <c r="A15210" s="5"/>
    </row>
    <row r="15211" spans="1:1" x14ac:dyDescent="0.25">
      <c r="A15211" s="5"/>
    </row>
    <row r="15212" spans="1:1" x14ac:dyDescent="0.25">
      <c r="A15212" s="5"/>
    </row>
    <row r="15213" spans="1:1" x14ac:dyDescent="0.25">
      <c r="A15213" s="5"/>
    </row>
    <row r="15214" spans="1:1" x14ac:dyDescent="0.25">
      <c r="A15214" s="5"/>
    </row>
    <row r="15215" spans="1:1" x14ac:dyDescent="0.25">
      <c r="A15215" s="5"/>
    </row>
    <row r="15216" spans="1:1" x14ac:dyDescent="0.25">
      <c r="A15216" s="5"/>
    </row>
    <row r="15217" spans="1:1" x14ac:dyDescent="0.25">
      <c r="A15217" s="5"/>
    </row>
    <row r="15218" spans="1:1" x14ac:dyDescent="0.25">
      <c r="A15218" s="5"/>
    </row>
    <row r="15219" spans="1:1" x14ac:dyDescent="0.25">
      <c r="A15219" s="5"/>
    </row>
    <row r="15220" spans="1:1" x14ac:dyDescent="0.25">
      <c r="A15220" s="5"/>
    </row>
    <row r="15221" spans="1:1" x14ac:dyDescent="0.25">
      <c r="A15221" s="5"/>
    </row>
    <row r="15222" spans="1:1" x14ac:dyDescent="0.25">
      <c r="A15222" s="5"/>
    </row>
    <row r="15223" spans="1:1" x14ac:dyDescent="0.25">
      <c r="A15223" s="5"/>
    </row>
    <row r="15224" spans="1:1" x14ac:dyDescent="0.25">
      <c r="A15224" s="5"/>
    </row>
    <row r="15225" spans="1:1" x14ac:dyDescent="0.25">
      <c r="A15225" s="5"/>
    </row>
    <row r="15226" spans="1:1" x14ac:dyDescent="0.25">
      <c r="A15226" s="5"/>
    </row>
    <row r="15227" spans="1:1" x14ac:dyDescent="0.25">
      <c r="A15227" s="5"/>
    </row>
    <row r="15228" spans="1:1" x14ac:dyDescent="0.25">
      <c r="A15228" s="5"/>
    </row>
    <row r="15229" spans="1:1" x14ac:dyDescent="0.25">
      <c r="A15229" s="5"/>
    </row>
    <row r="15230" spans="1:1" x14ac:dyDescent="0.25">
      <c r="A15230" s="5"/>
    </row>
    <row r="15231" spans="1:1" x14ac:dyDescent="0.25">
      <c r="A15231" s="5"/>
    </row>
    <row r="15232" spans="1:1" x14ac:dyDescent="0.25">
      <c r="A15232" s="5"/>
    </row>
    <row r="15233" spans="1:1" x14ac:dyDescent="0.25">
      <c r="A15233" s="5"/>
    </row>
    <row r="15234" spans="1:1" x14ac:dyDescent="0.25">
      <c r="A15234" s="5"/>
    </row>
    <row r="15235" spans="1:1" x14ac:dyDescent="0.25">
      <c r="A15235" s="5"/>
    </row>
    <row r="15236" spans="1:1" x14ac:dyDescent="0.25">
      <c r="A15236" s="5"/>
    </row>
    <row r="15237" spans="1:1" x14ac:dyDescent="0.25">
      <c r="A15237" s="5"/>
    </row>
    <row r="15238" spans="1:1" x14ac:dyDescent="0.25">
      <c r="A15238" s="5"/>
    </row>
    <row r="15239" spans="1:1" x14ac:dyDescent="0.25">
      <c r="A15239" s="5"/>
    </row>
    <row r="15240" spans="1:1" x14ac:dyDescent="0.25">
      <c r="A15240" s="5"/>
    </row>
    <row r="15241" spans="1:1" x14ac:dyDescent="0.25">
      <c r="A15241" s="5"/>
    </row>
    <row r="15242" spans="1:1" x14ac:dyDescent="0.25">
      <c r="A15242" s="5"/>
    </row>
    <row r="15243" spans="1:1" x14ac:dyDescent="0.25">
      <c r="A15243" s="5"/>
    </row>
    <row r="15244" spans="1:1" x14ac:dyDescent="0.25">
      <c r="A15244" s="5"/>
    </row>
    <row r="15245" spans="1:1" x14ac:dyDescent="0.25">
      <c r="A15245" s="5"/>
    </row>
    <row r="15246" spans="1:1" x14ac:dyDescent="0.25">
      <c r="A15246" s="5"/>
    </row>
    <row r="15247" spans="1:1" x14ac:dyDescent="0.25">
      <c r="A15247" s="5"/>
    </row>
    <row r="15248" spans="1:1" x14ac:dyDescent="0.25">
      <c r="A15248" s="5"/>
    </row>
    <row r="15249" spans="1:1" x14ac:dyDescent="0.25">
      <c r="A15249" s="5"/>
    </row>
    <row r="15250" spans="1:1" x14ac:dyDescent="0.25">
      <c r="A15250" s="5"/>
    </row>
    <row r="15251" spans="1:1" x14ac:dyDescent="0.25">
      <c r="A15251" s="5"/>
    </row>
    <row r="15252" spans="1:1" x14ac:dyDescent="0.25">
      <c r="A15252" s="5"/>
    </row>
    <row r="15253" spans="1:1" x14ac:dyDescent="0.25">
      <c r="A15253" s="5"/>
    </row>
    <row r="15254" spans="1:1" x14ac:dyDescent="0.25">
      <c r="A15254" s="5"/>
    </row>
    <row r="15255" spans="1:1" x14ac:dyDescent="0.25">
      <c r="A15255" s="5"/>
    </row>
    <row r="15256" spans="1:1" x14ac:dyDescent="0.25">
      <c r="A15256" s="5"/>
    </row>
    <row r="15257" spans="1:1" x14ac:dyDescent="0.25">
      <c r="A15257" s="5"/>
    </row>
    <row r="15258" spans="1:1" x14ac:dyDescent="0.25">
      <c r="A15258" s="5"/>
    </row>
    <row r="15259" spans="1:1" x14ac:dyDescent="0.25">
      <c r="A15259" s="5"/>
    </row>
    <row r="15260" spans="1:1" x14ac:dyDescent="0.25">
      <c r="A15260" s="5"/>
    </row>
    <row r="15261" spans="1:1" x14ac:dyDescent="0.25">
      <c r="A15261" s="5"/>
    </row>
    <row r="15262" spans="1:1" x14ac:dyDescent="0.25">
      <c r="A15262" s="5"/>
    </row>
    <row r="15263" spans="1:1" x14ac:dyDescent="0.25">
      <c r="A15263" s="5"/>
    </row>
    <row r="15264" spans="1:1" x14ac:dyDescent="0.25">
      <c r="A15264" s="5"/>
    </row>
    <row r="15265" spans="1:1" x14ac:dyDescent="0.25">
      <c r="A15265" s="5"/>
    </row>
    <row r="15266" spans="1:1" x14ac:dyDescent="0.25">
      <c r="A15266" s="5"/>
    </row>
    <row r="15267" spans="1:1" x14ac:dyDescent="0.25">
      <c r="A15267" s="5"/>
    </row>
    <row r="15268" spans="1:1" x14ac:dyDescent="0.25">
      <c r="A15268" s="5"/>
    </row>
    <row r="15269" spans="1:1" x14ac:dyDescent="0.25">
      <c r="A15269" s="5"/>
    </row>
    <row r="15270" spans="1:1" x14ac:dyDescent="0.25">
      <c r="A15270" s="5"/>
    </row>
    <row r="15271" spans="1:1" x14ac:dyDescent="0.25">
      <c r="A15271" s="5"/>
    </row>
    <row r="15272" spans="1:1" x14ac:dyDescent="0.25">
      <c r="A15272" s="5"/>
    </row>
    <row r="15273" spans="1:1" x14ac:dyDescent="0.25">
      <c r="A15273" s="5"/>
    </row>
    <row r="15274" spans="1:1" x14ac:dyDescent="0.25">
      <c r="A15274" s="5"/>
    </row>
    <row r="15275" spans="1:1" x14ac:dyDescent="0.25">
      <c r="A15275" s="5"/>
    </row>
    <row r="15276" spans="1:1" x14ac:dyDescent="0.25">
      <c r="A15276" s="5"/>
    </row>
    <row r="15277" spans="1:1" x14ac:dyDescent="0.25">
      <c r="A15277" s="5"/>
    </row>
    <row r="15278" spans="1:1" x14ac:dyDescent="0.25">
      <c r="A15278" s="5"/>
    </row>
    <row r="15279" spans="1:1" x14ac:dyDescent="0.25">
      <c r="A15279" s="5"/>
    </row>
    <row r="15280" spans="1:1" x14ac:dyDescent="0.25">
      <c r="A15280" s="5"/>
    </row>
    <row r="15281" spans="1:1" x14ac:dyDescent="0.25">
      <c r="A15281" s="5"/>
    </row>
    <row r="15282" spans="1:1" x14ac:dyDescent="0.25">
      <c r="A15282" s="5"/>
    </row>
    <row r="15283" spans="1:1" x14ac:dyDescent="0.25">
      <c r="A15283" s="5"/>
    </row>
    <row r="15284" spans="1:1" x14ac:dyDescent="0.25">
      <c r="A15284" s="5"/>
    </row>
    <row r="15285" spans="1:1" x14ac:dyDescent="0.25">
      <c r="A15285" s="5"/>
    </row>
    <row r="15286" spans="1:1" x14ac:dyDescent="0.25">
      <c r="A15286" s="5"/>
    </row>
    <row r="15287" spans="1:1" x14ac:dyDescent="0.25">
      <c r="A15287" s="5"/>
    </row>
    <row r="15288" spans="1:1" x14ac:dyDescent="0.25">
      <c r="A15288" s="5"/>
    </row>
    <row r="15289" spans="1:1" x14ac:dyDescent="0.25">
      <c r="A15289" s="5"/>
    </row>
    <row r="15290" spans="1:1" x14ac:dyDescent="0.25">
      <c r="A15290" s="5"/>
    </row>
    <row r="15291" spans="1:1" x14ac:dyDescent="0.25">
      <c r="A15291" s="5"/>
    </row>
    <row r="15292" spans="1:1" x14ac:dyDescent="0.25">
      <c r="A15292" s="5"/>
    </row>
    <row r="15293" spans="1:1" x14ac:dyDescent="0.25">
      <c r="A15293" s="5"/>
    </row>
    <row r="15294" spans="1:1" x14ac:dyDescent="0.25">
      <c r="A15294" s="5"/>
    </row>
    <row r="15295" spans="1:1" x14ac:dyDescent="0.25">
      <c r="A15295" s="5"/>
    </row>
    <row r="15296" spans="1:1" x14ac:dyDescent="0.25">
      <c r="A15296" s="5"/>
    </row>
    <row r="15297" spans="1:1" x14ac:dyDescent="0.25">
      <c r="A15297" s="5"/>
    </row>
    <row r="15298" spans="1:1" x14ac:dyDescent="0.25">
      <c r="A15298" s="5"/>
    </row>
    <row r="15299" spans="1:1" x14ac:dyDescent="0.25">
      <c r="A15299" s="5"/>
    </row>
    <row r="15300" spans="1:1" x14ac:dyDescent="0.25">
      <c r="A15300" s="5"/>
    </row>
    <row r="15301" spans="1:1" x14ac:dyDescent="0.25">
      <c r="A15301" s="5"/>
    </row>
    <row r="15302" spans="1:1" x14ac:dyDescent="0.25">
      <c r="A15302" s="5"/>
    </row>
    <row r="15303" spans="1:1" x14ac:dyDescent="0.25">
      <c r="A15303" s="5"/>
    </row>
    <row r="15304" spans="1:1" x14ac:dyDescent="0.25">
      <c r="A15304" s="5"/>
    </row>
    <row r="15305" spans="1:1" x14ac:dyDescent="0.25">
      <c r="A15305" s="5"/>
    </row>
    <row r="15306" spans="1:1" x14ac:dyDescent="0.25">
      <c r="A15306" s="5"/>
    </row>
    <row r="15307" spans="1:1" x14ac:dyDescent="0.25">
      <c r="A15307" s="5"/>
    </row>
    <row r="15308" spans="1:1" x14ac:dyDescent="0.25">
      <c r="A15308" s="5"/>
    </row>
    <row r="15309" spans="1:1" x14ac:dyDescent="0.25">
      <c r="A15309" s="5"/>
    </row>
    <row r="15310" spans="1:1" x14ac:dyDescent="0.25">
      <c r="A15310" s="5"/>
    </row>
    <row r="15311" spans="1:1" x14ac:dyDescent="0.25">
      <c r="A15311" s="5"/>
    </row>
    <row r="15312" spans="1:1" x14ac:dyDescent="0.25">
      <c r="A15312" s="5"/>
    </row>
    <row r="15313" spans="1:1" x14ac:dyDescent="0.25">
      <c r="A15313" s="5"/>
    </row>
    <row r="15314" spans="1:1" x14ac:dyDescent="0.25">
      <c r="A15314" s="5"/>
    </row>
    <row r="15315" spans="1:1" x14ac:dyDescent="0.25">
      <c r="A15315" s="5"/>
    </row>
    <row r="15316" spans="1:1" x14ac:dyDescent="0.25">
      <c r="A15316" s="5"/>
    </row>
    <row r="15317" spans="1:1" x14ac:dyDescent="0.25">
      <c r="A15317" s="5"/>
    </row>
    <row r="15318" spans="1:1" x14ac:dyDescent="0.25">
      <c r="A15318" s="5"/>
    </row>
    <row r="15319" spans="1:1" x14ac:dyDescent="0.25">
      <c r="A15319" s="5"/>
    </row>
    <row r="15320" spans="1:1" x14ac:dyDescent="0.25">
      <c r="A15320" s="5"/>
    </row>
    <row r="15321" spans="1:1" x14ac:dyDescent="0.25">
      <c r="A15321" s="5"/>
    </row>
    <row r="15322" spans="1:1" x14ac:dyDescent="0.25">
      <c r="A15322" s="5"/>
    </row>
    <row r="15323" spans="1:1" x14ac:dyDescent="0.25">
      <c r="A15323" s="5"/>
    </row>
    <row r="15324" spans="1:1" x14ac:dyDescent="0.25">
      <c r="A15324" s="5"/>
    </row>
    <row r="15325" spans="1:1" x14ac:dyDescent="0.25">
      <c r="A15325" s="5"/>
    </row>
    <row r="15326" spans="1:1" x14ac:dyDescent="0.25">
      <c r="A15326" s="5"/>
    </row>
    <row r="15327" spans="1:1" x14ac:dyDescent="0.25">
      <c r="A15327" s="5"/>
    </row>
    <row r="15328" spans="1:1" x14ac:dyDescent="0.25">
      <c r="A15328" s="5"/>
    </row>
    <row r="15329" spans="1:1" x14ac:dyDescent="0.25">
      <c r="A15329" s="5"/>
    </row>
    <row r="15330" spans="1:1" x14ac:dyDescent="0.25">
      <c r="A15330" s="5"/>
    </row>
    <row r="15331" spans="1:1" x14ac:dyDescent="0.25">
      <c r="A15331" s="5"/>
    </row>
    <row r="15332" spans="1:1" x14ac:dyDescent="0.25">
      <c r="A15332" s="5"/>
    </row>
    <row r="15333" spans="1:1" x14ac:dyDescent="0.25">
      <c r="A15333" s="5"/>
    </row>
    <row r="15334" spans="1:1" x14ac:dyDescent="0.25">
      <c r="A15334" s="5"/>
    </row>
    <row r="15335" spans="1:1" x14ac:dyDescent="0.25">
      <c r="A15335" s="5"/>
    </row>
    <row r="15336" spans="1:1" x14ac:dyDescent="0.25">
      <c r="A15336" s="5"/>
    </row>
    <row r="15337" spans="1:1" x14ac:dyDescent="0.25">
      <c r="A15337" s="5"/>
    </row>
    <row r="15338" spans="1:1" x14ac:dyDescent="0.25">
      <c r="A15338" s="5"/>
    </row>
    <row r="15339" spans="1:1" x14ac:dyDescent="0.25">
      <c r="A15339" s="5"/>
    </row>
    <row r="15340" spans="1:1" x14ac:dyDescent="0.25">
      <c r="A15340" s="5"/>
    </row>
    <row r="15341" spans="1:1" x14ac:dyDescent="0.25">
      <c r="A15341" s="5"/>
    </row>
    <row r="15342" spans="1:1" x14ac:dyDescent="0.25">
      <c r="A15342" s="5"/>
    </row>
    <row r="15343" spans="1:1" x14ac:dyDescent="0.25">
      <c r="A15343" s="5"/>
    </row>
    <row r="15344" spans="1:1" x14ac:dyDescent="0.25">
      <c r="A15344" s="5"/>
    </row>
    <row r="15345" spans="1:1" x14ac:dyDescent="0.25">
      <c r="A15345" s="5"/>
    </row>
    <row r="15346" spans="1:1" x14ac:dyDescent="0.25">
      <c r="A15346" s="5"/>
    </row>
    <row r="15347" spans="1:1" x14ac:dyDescent="0.25">
      <c r="A15347" s="5"/>
    </row>
    <row r="15348" spans="1:1" x14ac:dyDescent="0.25">
      <c r="A15348" s="5"/>
    </row>
    <row r="15349" spans="1:1" x14ac:dyDescent="0.25">
      <c r="A15349" s="5"/>
    </row>
    <row r="15350" spans="1:1" x14ac:dyDescent="0.25">
      <c r="A15350" s="5"/>
    </row>
    <row r="15351" spans="1:1" x14ac:dyDescent="0.25">
      <c r="A15351" s="5"/>
    </row>
    <row r="15352" spans="1:1" x14ac:dyDescent="0.25">
      <c r="A15352" s="5"/>
    </row>
    <row r="15353" spans="1:1" x14ac:dyDescent="0.25">
      <c r="A15353" s="5"/>
    </row>
    <row r="15354" spans="1:1" x14ac:dyDescent="0.25">
      <c r="A15354" s="5"/>
    </row>
    <row r="15355" spans="1:1" x14ac:dyDescent="0.25">
      <c r="A15355" s="5"/>
    </row>
    <row r="15356" spans="1:1" x14ac:dyDescent="0.25">
      <c r="A15356" s="5"/>
    </row>
    <row r="15357" spans="1:1" x14ac:dyDescent="0.25">
      <c r="A15357" s="5"/>
    </row>
    <row r="15358" spans="1:1" x14ac:dyDescent="0.25">
      <c r="A15358" s="5"/>
    </row>
    <row r="15359" spans="1:1" x14ac:dyDescent="0.25">
      <c r="A15359" s="5"/>
    </row>
    <row r="15360" spans="1:1" x14ac:dyDescent="0.25">
      <c r="A15360" s="5"/>
    </row>
    <row r="15361" spans="1:1" x14ac:dyDescent="0.25">
      <c r="A15361" s="5"/>
    </row>
    <row r="15362" spans="1:1" x14ac:dyDescent="0.25">
      <c r="A15362" s="5"/>
    </row>
    <row r="15363" spans="1:1" x14ac:dyDescent="0.25">
      <c r="A15363" s="5"/>
    </row>
    <row r="15364" spans="1:1" x14ac:dyDescent="0.25">
      <c r="A15364" s="5"/>
    </row>
    <row r="15365" spans="1:1" x14ac:dyDescent="0.25">
      <c r="A15365" s="5"/>
    </row>
    <row r="15366" spans="1:1" x14ac:dyDescent="0.25">
      <c r="A15366" s="5"/>
    </row>
    <row r="15367" spans="1:1" x14ac:dyDescent="0.25">
      <c r="A15367" s="5"/>
    </row>
    <row r="15368" spans="1:1" x14ac:dyDescent="0.25">
      <c r="A15368" s="5"/>
    </row>
    <row r="15369" spans="1:1" x14ac:dyDescent="0.25">
      <c r="A15369" s="5"/>
    </row>
    <row r="15370" spans="1:1" x14ac:dyDescent="0.25">
      <c r="A15370" s="5"/>
    </row>
    <row r="15371" spans="1:1" x14ac:dyDescent="0.25">
      <c r="A15371" s="5"/>
    </row>
    <row r="15372" spans="1:1" x14ac:dyDescent="0.25">
      <c r="A15372" s="5"/>
    </row>
    <row r="15373" spans="1:1" x14ac:dyDescent="0.25">
      <c r="A15373" s="5"/>
    </row>
    <row r="15374" spans="1:1" x14ac:dyDescent="0.25">
      <c r="A15374" s="5"/>
    </row>
    <row r="15375" spans="1:1" x14ac:dyDescent="0.25">
      <c r="A15375" s="5"/>
    </row>
    <row r="15376" spans="1:1" x14ac:dyDescent="0.25">
      <c r="A15376" s="5"/>
    </row>
    <row r="15377" spans="1:1" x14ac:dyDescent="0.25">
      <c r="A15377" s="5"/>
    </row>
    <row r="15378" spans="1:1" x14ac:dyDescent="0.25">
      <c r="A15378" s="5"/>
    </row>
    <row r="15379" spans="1:1" x14ac:dyDescent="0.25">
      <c r="A15379" s="5"/>
    </row>
    <row r="15380" spans="1:1" x14ac:dyDescent="0.25">
      <c r="A15380" s="5"/>
    </row>
    <row r="15381" spans="1:1" x14ac:dyDescent="0.25">
      <c r="A15381" s="5"/>
    </row>
    <row r="15382" spans="1:1" x14ac:dyDescent="0.25">
      <c r="A15382" s="5"/>
    </row>
    <row r="15383" spans="1:1" x14ac:dyDescent="0.25">
      <c r="A15383" s="5"/>
    </row>
    <row r="15384" spans="1:1" x14ac:dyDescent="0.25">
      <c r="A15384" s="5"/>
    </row>
    <row r="15385" spans="1:1" x14ac:dyDescent="0.25">
      <c r="A15385" s="5"/>
    </row>
    <row r="15386" spans="1:1" x14ac:dyDescent="0.25">
      <c r="A15386" s="5"/>
    </row>
    <row r="15387" spans="1:1" x14ac:dyDescent="0.25">
      <c r="A15387" s="5"/>
    </row>
    <row r="15388" spans="1:1" x14ac:dyDescent="0.25">
      <c r="A15388" s="5"/>
    </row>
    <row r="15389" spans="1:1" x14ac:dyDescent="0.25">
      <c r="A15389" s="5"/>
    </row>
    <row r="15390" spans="1:1" x14ac:dyDescent="0.25">
      <c r="A15390" s="5"/>
    </row>
    <row r="15391" spans="1:1" x14ac:dyDescent="0.25">
      <c r="A15391" s="5"/>
    </row>
    <row r="15392" spans="1:1" x14ac:dyDescent="0.25">
      <c r="A15392" s="5"/>
    </row>
    <row r="15393" spans="1:1" x14ac:dyDescent="0.25">
      <c r="A15393" s="5"/>
    </row>
    <row r="15394" spans="1:1" x14ac:dyDescent="0.25">
      <c r="A15394" s="5"/>
    </row>
    <row r="15395" spans="1:1" x14ac:dyDescent="0.25">
      <c r="A15395" s="5"/>
    </row>
    <row r="15396" spans="1:1" x14ac:dyDescent="0.25">
      <c r="A15396" s="5"/>
    </row>
    <row r="15397" spans="1:1" x14ac:dyDescent="0.25">
      <c r="A15397" s="5"/>
    </row>
    <row r="15398" spans="1:1" x14ac:dyDescent="0.25">
      <c r="A15398" s="5"/>
    </row>
    <row r="15399" spans="1:1" x14ac:dyDescent="0.25">
      <c r="A15399" s="5"/>
    </row>
    <row r="15400" spans="1:1" x14ac:dyDescent="0.25">
      <c r="A15400" s="5"/>
    </row>
    <row r="15401" spans="1:1" x14ac:dyDescent="0.25">
      <c r="A15401" s="5"/>
    </row>
    <row r="15402" spans="1:1" x14ac:dyDescent="0.25">
      <c r="A15402" s="5"/>
    </row>
    <row r="15403" spans="1:1" x14ac:dyDescent="0.25">
      <c r="A15403" s="5"/>
    </row>
    <row r="15404" spans="1:1" x14ac:dyDescent="0.25">
      <c r="A15404" s="5"/>
    </row>
    <row r="15405" spans="1:1" x14ac:dyDescent="0.25">
      <c r="A15405" s="5"/>
    </row>
    <row r="15406" spans="1:1" x14ac:dyDescent="0.25">
      <c r="A15406" s="5"/>
    </row>
    <row r="15407" spans="1:1" x14ac:dyDescent="0.25">
      <c r="A15407" s="5"/>
    </row>
    <row r="15408" spans="1:1" x14ac:dyDescent="0.25">
      <c r="A15408" s="5"/>
    </row>
    <row r="15409" spans="1:1" x14ac:dyDescent="0.25">
      <c r="A15409" s="5"/>
    </row>
    <row r="15410" spans="1:1" x14ac:dyDescent="0.25">
      <c r="A15410" s="5"/>
    </row>
    <row r="15411" spans="1:1" x14ac:dyDescent="0.25">
      <c r="A15411" s="5"/>
    </row>
    <row r="15412" spans="1:1" x14ac:dyDescent="0.25">
      <c r="A15412" s="5"/>
    </row>
    <row r="15413" spans="1:1" x14ac:dyDescent="0.25">
      <c r="A15413" s="5"/>
    </row>
    <row r="15414" spans="1:1" x14ac:dyDescent="0.25">
      <c r="A15414" s="5"/>
    </row>
    <row r="15415" spans="1:1" x14ac:dyDescent="0.25">
      <c r="A15415" s="5"/>
    </row>
    <row r="15416" spans="1:1" x14ac:dyDescent="0.25">
      <c r="A15416" s="5"/>
    </row>
    <row r="15417" spans="1:1" x14ac:dyDescent="0.25">
      <c r="A15417" s="5"/>
    </row>
    <row r="15418" spans="1:1" x14ac:dyDescent="0.25">
      <c r="A15418" s="5"/>
    </row>
    <row r="15419" spans="1:1" x14ac:dyDescent="0.25">
      <c r="A15419" s="5"/>
    </row>
    <row r="15420" spans="1:1" x14ac:dyDescent="0.25">
      <c r="A15420" s="5"/>
    </row>
    <row r="15421" spans="1:1" x14ac:dyDescent="0.25">
      <c r="A15421" s="5"/>
    </row>
    <row r="15422" spans="1:1" x14ac:dyDescent="0.25">
      <c r="A15422" s="5"/>
    </row>
    <row r="15423" spans="1:1" x14ac:dyDescent="0.25">
      <c r="A15423" s="5"/>
    </row>
    <row r="15424" spans="1:1" x14ac:dyDescent="0.25">
      <c r="A15424" s="5"/>
    </row>
    <row r="15425" spans="1:1" x14ac:dyDescent="0.25">
      <c r="A15425" s="5"/>
    </row>
    <row r="15426" spans="1:1" x14ac:dyDescent="0.25">
      <c r="A15426" s="5"/>
    </row>
    <row r="15427" spans="1:1" x14ac:dyDescent="0.25">
      <c r="A15427" s="5"/>
    </row>
    <row r="15428" spans="1:1" x14ac:dyDescent="0.25">
      <c r="A15428" s="5"/>
    </row>
    <row r="15429" spans="1:1" x14ac:dyDescent="0.25">
      <c r="A15429" s="5"/>
    </row>
    <row r="15430" spans="1:1" x14ac:dyDescent="0.25">
      <c r="A15430" s="5"/>
    </row>
    <row r="15431" spans="1:1" x14ac:dyDescent="0.25">
      <c r="A15431" s="5"/>
    </row>
    <row r="15432" spans="1:1" x14ac:dyDescent="0.25">
      <c r="A15432" s="5"/>
    </row>
    <row r="15433" spans="1:1" x14ac:dyDescent="0.25">
      <c r="A15433" s="5"/>
    </row>
    <row r="15434" spans="1:1" x14ac:dyDescent="0.25">
      <c r="A15434" s="5"/>
    </row>
    <row r="15435" spans="1:1" x14ac:dyDescent="0.25">
      <c r="A15435" s="5"/>
    </row>
    <row r="15436" spans="1:1" x14ac:dyDescent="0.25">
      <c r="A15436" s="5"/>
    </row>
    <row r="15437" spans="1:1" x14ac:dyDescent="0.25">
      <c r="A15437" s="5"/>
    </row>
    <row r="15438" spans="1:1" x14ac:dyDescent="0.25">
      <c r="A15438" s="5"/>
    </row>
    <row r="15439" spans="1:1" x14ac:dyDescent="0.25">
      <c r="A15439" s="5"/>
    </row>
    <row r="15440" spans="1:1" x14ac:dyDescent="0.25">
      <c r="A15440" s="5"/>
    </row>
    <row r="15441" spans="1:1" x14ac:dyDescent="0.25">
      <c r="A15441" s="5"/>
    </row>
    <row r="15442" spans="1:1" x14ac:dyDescent="0.25">
      <c r="A15442" s="5"/>
    </row>
    <row r="15443" spans="1:1" x14ac:dyDescent="0.25">
      <c r="A15443" s="5"/>
    </row>
    <row r="15444" spans="1:1" x14ac:dyDescent="0.25">
      <c r="A15444" s="5"/>
    </row>
    <row r="15445" spans="1:1" x14ac:dyDescent="0.25">
      <c r="A15445" s="5"/>
    </row>
    <row r="15446" spans="1:1" x14ac:dyDescent="0.25">
      <c r="A15446" s="5"/>
    </row>
    <row r="15447" spans="1:1" x14ac:dyDescent="0.25">
      <c r="A15447" s="5"/>
    </row>
    <row r="15448" spans="1:1" x14ac:dyDescent="0.25">
      <c r="A15448" s="5"/>
    </row>
    <row r="15449" spans="1:1" x14ac:dyDescent="0.25">
      <c r="A15449" s="5"/>
    </row>
    <row r="15450" spans="1:1" x14ac:dyDescent="0.25">
      <c r="A15450" s="5"/>
    </row>
    <row r="15451" spans="1:1" x14ac:dyDescent="0.25">
      <c r="A15451" s="5"/>
    </row>
    <row r="15452" spans="1:1" x14ac:dyDescent="0.25">
      <c r="A15452" s="5"/>
    </row>
    <row r="15453" spans="1:1" x14ac:dyDescent="0.25">
      <c r="A15453" s="5"/>
    </row>
    <row r="15454" spans="1:1" x14ac:dyDescent="0.25">
      <c r="A15454" s="5"/>
    </row>
    <row r="15455" spans="1:1" x14ac:dyDescent="0.25">
      <c r="A15455" s="5"/>
    </row>
    <row r="15456" spans="1:1" x14ac:dyDescent="0.25">
      <c r="A15456" s="5"/>
    </row>
    <row r="15457" spans="1:1" x14ac:dyDescent="0.25">
      <c r="A15457" s="5"/>
    </row>
    <row r="15458" spans="1:1" x14ac:dyDescent="0.25">
      <c r="A15458" s="5"/>
    </row>
    <row r="15459" spans="1:1" x14ac:dyDescent="0.25">
      <c r="A15459" s="5"/>
    </row>
    <row r="15460" spans="1:1" x14ac:dyDescent="0.25">
      <c r="A15460" s="5"/>
    </row>
    <row r="15461" spans="1:1" x14ac:dyDescent="0.25">
      <c r="A15461" s="5"/>
    </row>
    <row r="15462" spans="1:1" x14ac:dyDescent="0.25">
      <c r="A15462" s="5"/>
    </row>
    <row r="15463" spans="1:1" x14ac:dyDescent="0.25">
      <c r="A15463" s="5"/>
    </row>
    <row r="15464" spans="1:1" x14ac:dyDescent="0.25">
      <c r="A15464" s="5"/>
    </row>
    <row r="15465" spans="1:1" x14ac:dyDescent="0.25">
      <c r="A15465" s="5"/>
    </row>
    <row r="15466" spans="1:1" x14ac:dyDescent="0.25">
      <c r="A15466" s="5"/>
    </row>
    <row r="15467" spans="1:1" x14ac:dyDescent="0.25">
      <c r="A15467" s="5"/>
    </row>
    <row r="15468" spans="1:1" x14ac:dyDescent="0.25">
      <c r="A15468" s="5"/>
    </row>
    <row r="15469" spans="1:1" x14ac:dyDescent="0.25">
      <c r="A15469" s="5"/>
    </row>
    <row r="15470" spans="1:1" x14ac:dyDescent="0.25">
      <c r="A15470" s="5"/>
    </row>
    <row r="15471" spans="1:1" x14ac:dyDescent="0.25">
      <c r="A15471" s="5"/>
    </row>
    <row r="15472" spans="1:1" x14ac:dyDescent="0.25">
      <c r="A15472" s="5"/>
    </row>
    <row r="15473" spans="1:1" x14ac:dyDescent="0.25">
      <c r="A15473" s="5"/>
    </row>
    <row r="15474" spans="1:1" x14ac:dyDescent="0.25">
      <c r="A15474" s="5"/>
    </row>
    <row r="15475" spans="1:1" x14ac:dyDescent="0.25">
      <c r="A15475" s="5"/>
    </row>
    <row r="15476" spans="1:1" x14ac:dyDescent="0.25">
      <c r="A15476" s="5"/>
    </row>
    <row r="15477" spans="1:1" x14ac:dyDescent="0.25">
      <c r="A15477" s="5"/>
    </row>
    <row r="15478" spans="1:1" x14ac:dyDescent="0.25">
      <c r="A15478" s="5"/>
    </row>
    <row r="15479" spans="1:1" x14ac:dyDescent="0.25">
      <c r="A15479" s="5"/>
    </row>
    <row r="15480" spans="1:1" x14ac:dyDescent="0.25">
      <c r="A15480" s="5"/>
    </row>
    <row r="15481" spans="1:1" x14ac:dyDescent="0.25">
      <c r="A15481" s="5"/>
    </row>
    <row r="15482" spans="1:1" x14ac:dyDescent="0.25">
      <c r="A15482" s="5"/>
    </row>
    <row r="15483" spans="1:1" x14ac:dyDescent="0.25">
      <c r="A15483" s="5"/>
    </row>
    <row r="15484" spans="1:1" x14ac:dyDescent="0.25">
      <c r="A15484" s="5"/>
    </row>
    <row r="15485" spans="1:1" x14ac:dyDescent="0.25">
      <c r="A15485" s="5"/>
    </row>
    <row r="15486" spans="1:1" x14ac:dyDescent="0.25">
      <c r="A15486" s="5"/>
    </row>
    <row r="15487" spans="1:1" x14ac:dyDescent="0.25">
      <c r="A15487" s="5"/>
    </row>
    <row r="15488" spans="1:1" x14ac:dyDescent="0.25">
      <c r="A15488" s="5"/>
    </row>
    <row r="15489" spans="1:1" x14ac:dyDescent="0.25">
      <c r="A15489" s="5"/>
    </row>
    <row r="15490" spans="1:1" x14ac:dyDescent="0.25">
      <c r="A15490" s="5"/>
    </row>
    <row r="15491" spans="1:1" x14ac:dyDescent="0.25">
      <c r="A15491" s="5"/>
    </row>
    <row r="15492" spans="1:1" x14ac:dyDescent="0.25">
      <c r="A15492" s="5"/>
    </row>
    <row r="15493" spans="1:1" x14ac:dyDescent="0.25">
      <c r="A15493" s="5"/>
    </row>
    <row r="15494" spans="1:1" x14ac:dyDescent="0.25">
      <c r="A15494" s="5"/>
    </row>
    <row r="15495" spans="1:1" x14ac:dyDescent="0.25">
      <c r="A15495" s="5"/>
    </row>
    <row r="15496" spans="1:1" x14ac:dyDescent="0.25">
      <c r="A15496" s="5"/>
    </row>
    <row r="15497" spans="1:1" x14ac:dyDescent="0.25">
      <c r="A15497" s="5"/>
    </row>
    <row r="15498" spans="1:1" x14ac:dyDescent="0.25">
      <c r="A15498" s="5"/>
    </row>
    <row r="15499" spans="1:1" x14ac:dyDescent="0.25">
      <c r="A15499" s="5"/>
    </row>
    <row r="15500" spans="1:1" x14ac:dyDescent="0.25">
      <c r="A15500" s="5"/>
    </row>
    <row r="15501" spans="1:1" x14ac:dyDescent="0.25">
      <c r="A15501" s="5"/>
    </row>
    <row r="15502" spans="1:1" x14ac:dyDescent="0.25">
      <c r="A15502" s="5"/>
    </row>
    <row r="15503" spans="1:1" x14ac:dyDescent="0.25">
      <c r="A15503" s="5"/>
    </row>
    <row r="15504" spans="1:1" x14ac:dyDescent="0.25">
      <c r="A15504" s="5"/>
    </row>
    <row r="15505" spans="1:1" x14ac:dyDescent="0.25">
      <c r="A15505" s="5"/>
    </row>
    <row r="15506" spans="1:1" x14ac:dyDescent="0.25">
      <c r="A15506" s="5"/>
    </row>
    <row r="15507" spans="1:1" x14ac:dyDescent="0.25">
      <c r="A15507" s="5"/>
    </row>
    <row r="15508" spans="1:1" x14ac:dyDescent="0.25">
      <c r="A15508" s="5"/>
    </row>
    <row r="15509" spans="1:1" x14ac:dyDescent="0.25">
      <c r="A15509" s="5"/>
    </row>
    <row r="15510" spans="1:1" x14ac:dyDescent="0.25">
      <c r="A15510" s="5"/>
    </row>
    <row r="15511" spans="1:1" x14ac:dyDescent="0.25">
      <c r="A15511" s="5"/>
    </row>
    <row r="15512" spans="1:1" x14ac:dyDescent="0.25">
      <c r="A15512" s="5"/>
    </row>
    <row r="15513" spans="1:1" x14ac:dyDescent="0.25">
      <c r="A15513" s="5"/>
    </row>
    <row r="15514" spans="1:1" x14ac:dyDescent="0.25">
      <c r="A15514" s="5"/>
    </row>
    <row r="15515" spans="1:1" x14ac:dyDescent="0.25">
      <c r="A15515" s="5"/>
    </row>
    <row r="15516" spans="1:1" x14ac:dyDescent="0.25">
      <c r="A15516" s="5"/>
    </row>
    <row r="15517" spans="1:1" x14ac:dyDescent="0.25">
      <c r="A15517" s="5"/>
    </row>
    <row r="15518" spans="1:1" x14ac:dyDescent="0.25">
      <c r="A15518" s="5"/>
    </row>
    <row r="15519" spans="1:1" x14ac:dyDescent="0.25">
      <c r="A15519" s="5"/>
    </row>
    <row r="15520" spans="1:1" x14ac:dyDescent="0.25">
      <c r="A15520" s="5"/>
    </row>
    <row r="15521" spans="1:1" x14ac:dyDescent="0.25">
      <c r="A15521" s="5"/>
    </row>
    <row r="15522" spans="1:1" x14ac:dyDescent="0.25">
      <c r="A15522" s="5"/>
    </row>
    <row r="15523" spans="1:1" x14ac:dyDescent="0.25">
      <c r="A15523" s="5"/>
    </row>
    <row r="15524" spans="1:1" x14ac:dyDescent="0.25">
      <c r="A15524" s="5"/>
    </row>
    <row r="15525" spans="1:1" x14ac:dyDescent="0.25">
      <c r="A15525" s="5"/>
    </row>
    <row r="15526" spans="1:1" x14ac:dyDescent="0.25">
      <c r="A15526" s="5"/>
    </row>
    <row r="15527" spans="1:1" x14ac:dyDescent="0.25">
      <c r="A15527" s="5"/>
    </row>
    <row r="15528" spans="1:1" x14ac:dyDescent="0.25">
      <c r="A15528" s="5"/>
    </row>
    <row r="15529" spans="1:1" x14ac:dyDescent="0.25">
      <c r="A15529" s="5"/>
    </row>
    <row r="15530" spans="1:1" x14ac:dyDescent="0.25">
      <c r="A15530" s="5"/>
    </row>
    <row r="15531" spans="1:1" x14ac:dyDescent="0.25">
      <c r="A15531" s="5"/>
    </row>
    <row r="15532" spans="1:1" x14ac:dyDescent="0.25">
      <c r="A15532" s="5"/>
    </row>
    <row r="15533" spans="1:1" x14ac:dyDescent="0.25">
      <c r="A15533" s="5"/>
    </row>
    <row r="15534" spans="1:1" x14ac:dyDescent="0.25">
      <c r="A15534" s="5"/>
    </row>
    <row r="15535" spans="1:1" x14ac:dyDescent="0.25">
      <c r="A15535" s="5"/>
    </row>
    <row r="15536" spans="1:1" x14ac:dyDescent="0.25">
      <c r="A15536" s="5"/>
    </row>
    <row r="15537" spans="1:1" x14ac:dyDescent="0.25">
      <c r="A15537" s="5"/>
    </row>
    <row r="15538" spans="1:1" x14ac:dyDescent="0.25">
      <c r="A15538" s="5"/>
    </row>
    <row r="15539" spans="1:1" x14ac:dyDescent="0.25">
      <c r="A15539" s="5"/>
    </row>
    <row r="15540" spans="1:1" x14ac:dyDescent="0.25">
      <c r="A15540" s="5"/>
    </row>
    <row r="15541" spans="1:1" x14ac:dyDescent="0.25">
      <c r="A15541" s="5"/>
    </row>
    <row r="15542" spans="1:1" x14ac:dyDescent="0.25">
      <c r="A15542" s="5"/>
    </row>
    <row r="15543" spans="1:1" x14ac:dyDescent="0.25">
      <c r="A15543" s="5"/>
    </row>
    <row r="15544" spans="1:1" x14ac:dyDescent="0.25">
      <c r="A15544" s="5"/>
    </row>
    <row r="15545" spans="1:1" x14ac:dyDescent="0.25">
      <c r="A15545" s="5"/>
    </row>
    <row r="15546" spans="1:1" x14ac:dyDescent="0.25">
      <c r="A15546" s="5"/>
    </row>
    <row r="15547" spans="1:1" x14ac:dyDescent="0.25">
      <c r="A15547" s="5"/>
    </row>
    <row r="15548" spans="1:1" x14ac:dyDescent="0.25">
      <c r="A15548" s="5"/>
    </row>
    <row r="15549" spans="1:1" x14ac:dyDescent="0.25">
      <c r="A15549" s="5"/>
    </row>
    <row r="15550" spans="1:1" x14ac:dyDescent="0.25">
      <c r="A15550" s="5"/>
    </row>
    <row r="15551" spans="1:1" x14ac:dyDescent="0.25">
      <c r="A15551" s="5"/>
    </row>
    <row r="15552" spans="1:1" x14ac:dyDescent="0.25">
      <c r="A15552" s="5"/>
    </row>
    <row r="15553" spans="1:1" x14ac:dyDescent="0.25">
      <c r="A15553" s="5"/>
    </row>
    <row r="15554" spans="1:1" x14ac:dyDescent="0.25">
      <c r="A15554" s="5"/>
    </row>
    <row r="15555" spans="1:1" x14ac:dyDescent="0.25">
      <c r="A15555" s="5"/>
    </row>
    <row r="15556" spans="1:1" x14ac:dyDescent="0.25">
      <c r="A15556" s="5"/>
    </row>
    <row r="15557" spans="1:1" x14ac:dyDescent="0.25">
      <c r="A15557" s="5"/>
    </row>
    <row r="15558" spans="1:1" x14ac:dyDescent="0.25">
      <c r="A15558" s="5"/>
    </row>
    <row r="15559" spans="1:1" x14ac:dyDescent="0.25">
      <c r="A15559" s="5"/>
    </row>
    <row r="15560" spans="1:1" x14ac:dyDescent="0.25">
      <c r="A15560" s="5"/>
    </row>
    <row r="15561" spans="1:1" x14ac:dyDescent="0.25">
      <c r="A15561" s="5"/>
    </row>
    <row r="15562" spans="1:1" x14ac:dyDescent="0.25">
      <c r="A15562" s="5"/>
    </row>
    <row r="15563" spans="1:1" x14ac:dyDescent="0.25">
      <c r="A15563" s="5"/>
    </row>
    <row r="15564" spans="1:1" x14ac:dyDescent="0.25">
      <c r="A15564" s="5"/>
    </row>
    <row r="15565" spans="1:1" x14ac:dyDescent="0.25">
      <c r="A15565" s="5"/>
    </row>
    <row r="15566" spans="1:1" x14ac:dyDescent="0.25">
      <c r="A15566" s="5"/>
    </row>
    <row r="15567" spans="1:1" x14ac:dyDescent="0.25">
      <c r="A15567" s="5"/>
    </row>
    <row r="15568" spans="1:1" x14ac:dyDescent="0.25">
      <c r="A15568" s="5"/>
    </row>
    <row r="15569" spans="1:1" x14ac:dyDescent="0.25">
      <c r="A15569" s="5"/>
    </row>
    <row r="15570" spans="1:1" x14ac:dyDescent="0.25">
      <c r="A15570" s="5"/>
    </row>
    <row r="15571" spans="1:1" x14ac:dyDescent="0.25">
      <c r="A15571" s="5"/>
    </row>
    <row r="15572" spans="1:1" x14ac:dyDescent="0.25">
      <c r="A15572" s="5"/>
    </row>
    <row r="15573" spans="1:1" x14ac:dyDescent="0.25">
      <c r="A15573" s="5"/>
    </row>
    <row r="15574" spans="1:1" x14ac:dyDescent="0.25">
      <c r="A15574" s="5"/>
    </row>
    <row r="15575" spans="1:1" x14ac:dyDescent="0.25">
      <c r="A15575" s="5"/>
    </row>
    <row r="15576" spans="1:1" x14ac:dyDescent="0.25">
      <c r="A15576" s="5"/>
    </row>
    <row r="15577" spans="1:1" x14ac:dyDescent="0.25">
      <c r="A15577" s="5"/>
    </row>
    <row r="15578" spans="1:1" x14ac:dyDescent="0.25">
      <c r="A15578" s="5"/>
    </row>
    <row r="15579" spans="1:1" x14ac:dyDescent="0.25">
      <c r="A15579" s="5"/>
    </row>
    <row r="15580" spans="1:1" x14ac:dyDescent="0.25">
      <c r="A15580" s="5"/>
    </row>
    <row r="15581" spans="1:1" x14ac:dyDescent="0.25">
      <c r="A15581" s="5"/>
    </row>
    <row r="15582" spans="1:1" x14ac:dyDescent="0.25">
      <c r="A15582" s="5"/>
    </row>
    <row r="15583" spans="1:1" x14ac:dyDescent="0.25">
      <c r="A15583" s="5"/>
    </row>
    <row r="15584" spans="1:1" x14ac:dyDescent="0.25">
      <c r="A15584" s="5"/>
    </row>
    <row r="15585" spans="1:1" x14ac:dyDescent="0.25">
      <c r="A15585" s="5"/>
    </row>
    <row r="15586" spans="1:1" x14ac:dyDescent="0.25">
      <c r="A15586" s="5"/>
    </row>
    <row r="15587" spans="1:1" x14ac:dyDescent="0.25">
      <c r="A15587" s="5"/>
    </row>
    <row r="15588" spans="1:1" x14ac:dyDescent="0.25">
      <c r="A15588" s="5"/>
    </row>
    <row r="15589" spans="1:1" x14ac:dyDescent="0.25">
      <c r="A15589" s="5"/>
    </row>
    <row r="15590" spans="1:1" x14ac:dyDescent="0.25">
      <c r="A15590" s="5"/>
    </row>
    <row r="15591" spans="1:1" x14ac:dyDescent="0.25">
      <c r="A15591" s="5"/>
    </row>
    <row r="15592" spans="1:1" x14ac:dyDescent="0.25">
      <c r="A15592" s="5"/>
    </row>
    <row r="15593" spans="1:1" x14ac:dyDescent="0.25">
      <c r="A15593" s="5"/>
    </row>
    <row r="15594" spans="1:1" x14ac:dyDescent="0.25">
      <c r="A15594" s="5"/>
    </row>
    <row r="15595" spans="1:1" x14ac:dyDescent="0.25">
      <c r="A15595" s="5"/>
    </row>
    <row r="15596" spans="1:1" x14ac:dyDescent="0.25">
      <c r="A15596" s="5"/>
    </row>
    <row r="15597" spans="1:1" x14ac:dyDescent="0.25">
      <c r="A15597" s="5"/>
    </row>
    <row r="15598" spans="1:1" x14ac:dyDescent="0.25">
      <c r="A15598" s="5"/>
    </row>
    <row r="15599" spans="1:1" x14ac:dyDescent="0.25">
      <c r="A15599" s="5"/>
    </row>
    <row r="15600" spans="1:1" x14ac:dyDescent="0.25">
      <c r="A15600" s="5"/>
    </row>
    <row r="15601" spans="1:1" x14ac:dyDescent="0.25">
      <c r="A15601" s="5"/>
    </row>
    <row r="15602" spans="1:1" x14ac:dyDescent="0.25">
      <c r="A15602" s="5"/>
    </row>
    <row r="15603" spans="1:1" x14ac:dyDescent="0.25">
      <c r="A15603" s="5"/>
    </row>
    <row r="15604" spans="1:1" x14ac:dyDescent="0.25">
      <c r="A15604" s="5"/>
    </row>
    <row r="15605" spans="1:1" x14ac:dyDescent="0.25">
      <c r="A15605" s="5"/>
    </row>
    <row r="15606" spans="1:1" x14ac:dyDescent="0.25">
      <c r="A15606" s="5"/>
    </row>
    <row r="15607" spans="1:1" x14ac:dyDescent="0.25">
      <c r="A15607" s="5"/>
    </row>
    <row r="15608" spans="1:1" x14ac:dyDescent="0.25">
      <c r="A15608" s="5"/>
    </row>
    <row r="15609" spans="1:1" x14ac:dyDescent="0.25">
      <c r="A15609" s="5"/>
    </row>
    <row r="15610" spans="1:1" x14ac:dyDescent="0.25">
      <c r="A15610" s="5"/>
    </row>
    <row r="15611" spans="1:1" x14ac:dyDescent="0.25">
      <c r="A15611" s="5"/>
    </row>
    <row r="15612" spans="1:1" x14ac:dyDescent="0.25">
      <c r="A15612" s="5"/>
    </row>
    <row r="15613" spans="1:1" x14ac:dyDescent="0.25">
      <c r="A15613" s="5"/>
    </row>
    <row r="15614" spans="1:1" x14ac:dyDescent="0.25">
      <c r="A15614" s="5"/>
    </row>
    <row r="15615" spans="1:1" x14ac:dyDescent="0.25">
      <c r="A15615" s="5"/>
    </row>
    <row r="15616" spans="1:1" x14ac:dyDescent="0.25">
      <c r="A15616" s="5"/>
    </row>
    <row r="15617" spans="1:1" x14ac:dyDescent="0.25">
      <c r="A15617" s="5"/>
    </row>
    <row r="15618" spans="1:1" x14ac:dyDescent="0.25">
      <c r="A15618" s="5"/>
    </row>
    <row r="15619" spans="1:1" x14ac:dyDescent="0.25">
      <c r="A15619" s="5"/>
    </row>
    <row r="15620" spans="1:1" x14ac:dyDescent="0.25">
      <c r="A15620" s="5"/>
    </row>
    <row r="15621" spans="1:1" x14ac:dyDescent="0.25">
      <c r="A15621" s="5"/>
    </row>
    <row r="15622" spans="1:1" x14ac:dyDescent="0.25">
      <c r="A15622" s="5"/>
    </row>
    <row r="15623" spans="1:1" x14ac:dyDescent="0.25">
      <c r="A15623" s="5"/>
    </row>
    <row r="15624" spans="1:1" x14ac:dyDescent="0.25">
      <c r="A15624" s="5"/>
    </row>
    <row r="15625" spans="1:1" x14ac:dyDescent="0.25">
      <c r="A15625" s="5"/>
    </row>
    <row r="15626" spans="1:1" x14ac:dyDescent="0.25">
      <c r="A15626" s="5"/>
    </row>
    <row r="15627" spans="1:1" x14ac:dyDescent="0.25">
      <c r="A15627" s="5"/>
    </row>
    <row r="15628" spans="1:1" x14ac:dyDescent="0.25">
      <c r="A15628" s="5"/>
    </row>
    <row r="15629" spans="1:1" x14ac:dyDescent="0.25">
      <c r="A15629" s="5"/>
    </row>
    <row r="15630" spans="1:1" x14ac:dyDescent="0.25">
      <c r="A15630" s="5"/>
    </row>
    <row r="15631" spans="1:1" x14ac:dyDescent="0.25">
      <c r="A15631" s="5"/>
    </row>
    <row r="15632" spans="1:1" x14ac:dyDescent="0.25">
      <c r="A15632" s="5"/>
    </row>
    <row r="15633" spans="1:1" x14ac:dyDescent="0.25">
      <c r="A15633" s="5"/>
    </row>
    <row r="15634" spans="1:1" x14ac:dyDescent="0.25">
      <c r="A15634" s="5"/>
    </row>
    <row r="15635" spans="1:1" x14ac:dyDescent="0.25">
      <c r="A15635" s="5"/>
    </row>
    <row r="15636" spans="1:1" x14ac:dyDescent="0.25">
      <c r="A15636" s="5"/>
    </row>
    <row r="15637" spans="1:1" x14ac:dyDescent="0.25">
      <c r="A15637" s="5"/>
    </row>
    <row r="15638" spans="1:1" x14ac:dyDescent="0.25">
      <c r="A15638" s="5"/>
    </row>
    <row r="15639" spans="1:1" x14ac:dyDescent="0.25">
      <c r="A15639" s="5"/>
    </row>
    <row r="15640" spans="1:1" x14ac:dyDescent="0.25">
      <c r="A15640" s="5"/>
    </row>
    <row r="15641" spans="1:1" x14ac:dyDescent="0.25">
      <c r="A15641" s="5"/>
    </row>
    <row r="15642" spans="1:1" x14ac:dyDescent="0.25">
      <c r="A15642" s="5"/>
    </row>
    <row r="15643" spans="1:1" x14ac:dyDescent="0.25">
      <c r="A15643" s="5"/>
    </row>
    <row r="15644" spans="1:1" x14ac:dyDescent="0.25">
      <c r="A15644" s="5"/>
    </row>
    <row r="15645" spans="1:1" x14ac:dyDescent="0.25">
      <c r="A15645" s="5"/>
    </row>
    <row r="15646" spans="1:1" x14ac:dyDescent="0.25">
      <c r="A15646" s="5"/>
    </row>
    <row r="15647" spans="1:1" x14ac:dyDescent="0.25">
      <c r="A15647" s="5"/>
    </row>
    <row r="15648" spans="1:1" x14ac:dyDescent="0.25">
      <c r="A15648" s="5"/>
    </row>
    <row r="15649" spans="1:1" x14ac:dyDescent="0.25">
      <c r="A15649" s="5"/>
    </row>
    <row r="15650" spans="1:1" x14ac:dyDescent="0.25">
      <c r="A15650" s="5"/>
    </row>
    <row r="15651" spans="1:1" x14ac:dyDescent="0.25">
      <c r="A15651" s="5"/>
    </row>
    <row r="15652" spans="1:1" x14ac:dyDescent="0.25">
      <c r="A15652" s="5"/>
    </row>
    <row r="15653" spans="1:1" x14ac:dyDescent="0.25">
      <c r="A15653" s="5"/>
    </row>
    <row r="15654" spans="1:1" x14ac:dyDescent="0.25">
      <c r="A15654" s="5"/>
    </row>
    <row r="15655" spans="1:1" x14ac:dyDescent="0.25">
      <c r="A15655" s="5"/>
    </row>
    <row r="15656" spans="1:1" x14ac:dyDescent="0.25">
      <c r="A15656" s="5"/>
    </row>
    <row r="15657" spans="1:1" x14ac:dyDescent="0.25">
      <c r="A15657" s="5"/>
    </row>
    <row r="15658" spans="1:1" x14ac:dyDescent="0.25">
      <c r="A15658" s="5"/>
    </row>
    <row r="15659" spans="1:1" x14ac:dyDescent="0.25">
      <c r="A15659" s="5"/>
    </row>
    <row r="15660" spans="1:1" x14ac:dyDescent="0.25">
      <c r="A15660" s="5"/>
    </row>
    <row r="15661" spans="1:1" x14ac:dyDescent="0.25">
      <c r="A15661" s="5"/>
    </row>
    <row r="15662" spans="1:1" x14ac:dyDescent="0.25">
      <c r="A15662" s="5"/>
    </row>
    <row r="15663" spans="1:1" x14ac:dyDescent="0.25">
      <c r="A15663" s="5"/>
    </row>
    <row r="15664" spans="1:1" x14ac:dyDescent="0.25">
      <c r="A15664" s="5"/>
    </row>
    <row r="15665" spans="1:1" x14ac:dyDescent="0.25">
      <c r="A15665" s="5"/>
    </row>
    <row r="15666" spans="1:1" x14ac:dyDescent="0.25">
      <c r="A15666" s="5"/>
    </row>
    <row r="15667" spans="1:1" x14ac:dyDescent="0.25">
      <c r="A15667" s="5"/>
    </row>
    <row r="15668" spans="1:1" x14ac:dyDescent="0.25">
      <c r="A15668" s="5"/>
    </row>
    <row r="15669" spans="1:1" x14ac:dyDescent="0.25">
      <c r="A15669" s="5"/>
    </row>
    <row r="15670" spans="1:1" x14ac:dyDescent="0.25">
      <c r="A15670" s="5"/>
    </row>
    <row r="15671" spans="1:1" x14ac:dyDescent="0.25">
      <c r="A15671" s="5"/>
    </row>
    <row r="15672" spans="1:1" x14ac:dyDescent="0.25">
      <c r="A15672" s="5"/>
    </row>
    <row r="15673" spans="1:1" x14ac:dyDescent="0.25">
      <c r="A15673" s="5"/>
    </row>
    <row r="15674" spans="1:1" x14ac:dyDescent="0.25">
      <c r="A15674" s="5"/>
    </row>
    <row r="15675" spans="1:1" x14ac:dyDescent="0.25">
      <c r="A15675" s="5"/>
    </row>
    <row r="15676" spans="1:1" x14ac:dyDescent="0.25">
      <c r="A15676" s="5"/>
    </row>
    <row r="15677" spans="1:1" x14ac:dyDescent="0.25">
      <c r="A15677" s="5"/>
    </row>
    <row r="15678" spans="1:1" x14ac:dyDescent="0.25">
      <c r="A15678" s="5"/>
    </row>
    <row r="15679" spans="1:1" x14ac:dyDescent="0.25">
      <c r="A15679" s="5"/>
    </row>
    <row r="15680" spans="1:1" x14ac:dyDescent="0.25">
      <c r="A15680" s="5"/>
    </row>
    <row r="15681" spans="1:1" x14ac:dyDescent="0.25">
      <c r="A15681" s="5"/>
    </row>
    <row r="15682" spans="1:1" x14ac:dyDescent="0.25">
      <c r="A15682" s="5"/>
    </row>
    <row r="15683" spans="1:1" x14ac:dyDescent="0.25">
      <c r="A15683" s="5"/>
    </row>
    <row r="15684" spans="1:1" x14ac:dyDescent="0.25">
      <c r="A15684" s="5"/>
    </row>
    <row r="15685" spans="1:1" x14ac:dyDescent="0.25">
      <c r="A15685" s="5"/>
    </row>
    <row r="15686" spans="1:1" x14ac:dyDescent="0.25">
      <c r="A15686" s="5"/>
    </row>
    <row r="15687" spans="1:1" x14ac:dyDescent="0.25">
      <c r="A15687" s="5"/>
    </row>
    <row r="15688" spans="1:1" x14ac:dyDescent="0.25">
      <c r="A15688" s="5"/>
    </row>
    <row r="15689" spans="1:1" x14ac:dyDescent="0.25">
      <c r="A15689" s="5"/>
    </row>
    <row r="15690" spans="1:1" x14ac:dyDescent="0.25">
      <c r="A15690" s="5"/>
    </row>
    <row r="15691" spans="1:1" x14ac:dyDescent="0.25">
      <c r="A15691" s="5"/>
    </row>
    <row r="15692" spans="1:1" x14ac:dyDescent="0.25">
      <c r="A15692" s="5"/>
    </row>
    <row r="15693" spans="1:1" x14ac:dyDescent="0.25">
      <c r="A15693" s="5"/>
    </row>
    <row r="15694" spans="1:1" x14ac:dyDescent="0.25">
      <c r="A15694" s="5"/>
    </row>
    <row r="15695" spans="1:1" x14ac:dyDescent="0.25">
      <c r="A15695" s="5"/>
    </row>
    <row r="15696" spans="1:1" x14ac:dyDescent="0.25">
      <c r="A15696" s="5"/>
    </row>
    <row r="15697" spans="1:1" x14ac:dyDescent="0.25">
      <c r="A15697" s="5"/>
    </row>
    <row r="15698" spans="1:1" x14ac:dyDescent="0.25">
      <c r="A15698" s="5"/>
    </row>
    <row r="15699" spans="1:1" x14ac:dyDescent="0.25">
      <c r="A15699" s="5"/>
    </row>
    <row r="15700" spans="1:1" x14ac:dyDescent="0.25">
      <c r="A15700" s="5"/>
    </row>
    <row r="15701" spans="1:1" x14ac:dyDescent="0.25">
      <c r="A15701" s="5"/>
    </row>
    <row r="15702" spans="1:1" x14ac:dyDescent="0.25">
      <c r="A15702" s="5"/>
    </row>
    <row r="15703" spans="1:1" x14ac:dyDescent="0.25">
      <c r="A15703" s="5"/>
    </row>
    <row r="15704" spans="1:1" x14ac:dyDescent="0.25">
      <c r="A15704" s="5"/>
    </row>
    <row r="15705" spans="1:1" x14ac:dyDescent="0.25">
      <c r="A15705" s="5"/>
    </row>
    <row r="15706" spans="1:1" x14ac:dyDescent="0.25">
      <c r="A15706" s="5"/>
    </row>
    <row r="15707" spans="1:1" x14ac:dyDescent="0.25">
      <c r="A15707" s="5"/>
    </row>
    <row r="15708" spans="1:1" x14ac:dyDescent="0.25">
      <c r="A15708" s="5"/>
    </row>
    <row r="15709" spans="1:1" x14ac:dyDescent="0.25">
      <c r="A15709" s="5"/>
    </row>
    <row r="15710" spans="1:1" x14ac:dyDescent="0.25">
      <c r="A15710" s="5"/>
    </row>
    <row r="15711" spans="1:1" x14ac:dyDescent="0.25">
      <c r="A15711" s="5"/>
    </row>
    <row r="15712" spans="1:1" x14ac:dyDescent="0.25">
      <c r="A15712" s="5"/>
    </row>
    <row r="15713" spans="1:1" x14ac:dyDescent="0.25">
      <c r="A15713" s="5"/>
    </row>
    <row r="15714" spans="1:1" x14ac:dyDescent="0.25">
      <c r="A15714" s="5"/>
    </row>
    <row r="15715" spans="1:1" x14ac:dyDescent="0.25">
      <c r="A15715" s="5"/>
    </row>
    <row r="15716" spans="1:1" x14ac:dyDescent="0.25">
      <c r="A15716" s="5"/>
    </row>
    <row r="15717" spans="1:1" x14ac:dyDescent="0.25">
      <c r="A15717" s="5"/>
    </row>
    <row r="15718" spans="1:1" x14ac:dyDescent="0.25">
      <c r="A15718" s="5"/>
    </row>
    <row r="15719" spans="1:1" x14ac:dyDescent="0.25">
      <c r="A15719" s="5"/>
    </row>
    <row r="15720" spans="1:1" x14ac:dyDescent="0.25">
      <c r="A15720" s="5"/>
    </row>
    <row r="15721" spans="1:1" x14ac:dyDescent="0.25">
      <c r="A15721" s="5"/>
    </row>
    <row r="15722" spans="1:1" x14ac:dyDescent="0.25">
      <c r="A15722" s="5"/>
    </row>
    <row r="15723" spans="1:1" x14ac:dyDescent="0.25">
      <c r="A15723" s="5"/>
    </row>
    <row r="15724" spans="1:1" x14ac:dyDescent="0.25">
      <c r="A15724" s="5"/>
    </row>
    <row r="15725" spans="1:1" x14ac:dyDescent="0.25">
      <c r="A15725" s="5"/>
    </row>
    <row r="15726" spans="1:1" x14ac:dyDescent="0.25">
      <c r="A15726" s="5"/>
    </row>
    <row r="15727" spans="1:1" x14ac:dyDescent="0.25">
      <c r="A15727" s="5"/>
    </row>
    <row r="15728" spans="1:1" x14ac:dyDescent="0.25">
      <c r="A15728" s="5"/>
    </row>
    <row r="15729" spans="1:1" x14ac:dyDescent="0.25">
      <c r="A15729" s="5"/>
    </row>
    <row r="15730" spans="1:1" x14ac:dyDescent="0.25">
      <c r="A15730" s="5"/>
    </row>
    <row r="15731" spans="1:1" x14ac:dyDescent="0.25">
      <c r="A15731" s="5"/>
    </row>
    <row r="15732" spans="1:1" x14ac:dyDescent="0.25">
      <c r="A15732" s="5"/>
    </row>
    <row r="15733" spans="1:1" x14ac:dyDescent="0.25">
      <c r="A15733" s="5"/>
    </row>
    <row r="15734" spans="1:1" x14ac:dyDescent="0.25">
      <c r="A15734" s="5"/>
    </row>
    <row r="15735" spans="1:1" x14ac:dyDescent="0.25">
      <c r="A15735" s="5"/>
    </row>
    <row r="15736" spans="1:1" x14ac:dyDescent="0.25">
      <c r="A15736" s="5"/>
    </row>
    <row r="15737" spans="1:1" x14ac:dyDescent="0.25">
      <c r="A15737" s="5"/>
    </row>
    <row r="15738" spans="1:1" x14ac:dyDescent="0.25">
      <c r="A15738" s="5"/>
    </row>
    <row r="15739" spans="1:1" x14ac:dyDescent="0.25">
      <c r="A15739" s="5"/>
    </row>
    <row r="15740" spans="1:1" x14ac:dyDescent="0.25">
      <c r="A15740" s="5"/>
    </row>
    <row r="15741" spans="1:1" x14ac:dyDescent="0.25">
      <c r="A15741" s="5"/>
    </row>
    <row r="15742" spans="1:1" x14ac:dyDescent="0.25">
      <c r="A15742" s="5"/>
    </row>
    <row r="15743" spans="1:1" x14ac:dyDescent="0.25">
      <c r="A15743" s="5"/>
    </row>
    <row r="15744" spans="1:1" x14ac:dyDescent="0.25">
      <c r="A15744" s="5"/>
    </row>
    <row r="15745" spans="1:1" x14ac:dyDescent="0.25">
      <c r="A15745" s="5"/>
    </row>
    <row r="15746" spans="1:1" x14ac:dyDescent="0.25">
      <c r="A15746" s="5"/>
    </row>
    <row r="15747" spans="1:1" x14ac:dyDescent="0.25">
      <c r="A15747" s="5"/>
    </row>
    <row r="15748" spans="1:1" x14ac:dyDescent="0.25">
      <c r="A15748" s="5"/>
    </row>
    <row r="15749" spans="1:1" x14ac:dyDescent="0.25">
      <c r="A15749" s="5"/>
    </row>
    <row r="15750" spans="1:1" x14ac:dyDescent="0.25">
      <c r="A15750" s="5"/>
    </row>
    <row r="15751" spans="1:1" x14ac:dyDescent="0.25">
      <c r="A15751" s="5"/>
    </row>
    <row r="15752" spans="1:1" x14ac:dyDescent="0.25">
      <c r="A15752" s="5"/>
    </row>
    <row r="15753" spans="1:1" x14ac:dyDescent="0.25">
      <c r="A15753" s="5"/>
    </row>
    <row r="15754" spans="1:1" x14ac:dyDescent="0.25">
      <c r="A15754" s="5"/>
    </row>
    <row r="15755" spans="1:1" x14ac:dyDescent="0.25">
      <c r="A15755" s="5"/>
    </row>
    <row r="15756" spans="1:1" x14ac:dyDescent="0.25">
      <c r="A15756" s="5"/>
    </row>
    <row r="15757" spans="1:1" x14ac:dyDescent="0.25">
      <c r="A15757" s="5"/>
    </row>
    <row r="15758" spans="1:1" x14ac:dyDescent="0.25">
      <c r="A15758" s="5"/>
    </row>
    <row r="15759" spans="1:1" x14ac:dyDescent="0.25">
      <c r="A15759" s="5"/>
    </row>
    <row r="15760" spans="1:1" x14ac:dyDescent="0.25">
      <c r="A15760" s="5"/>
    </row>
    <row r="15761" spans="1:1" x14ac:dyDescent="0.25">
      <c r="A15761" s="5"/>
    </row>
    <row r="15762" spans="1:1" x14ac:dyDescent="0.25">
      <c r="A15762" s="5"/>
    </row>
    <row r="15763" spans="1:1" x14ac:dyDescent="0.25">
      <c r="A15763" s="5"/>
    </row>
    <row r="15764" spans="1:1" x14ac:dyDescent="0.25">
      <c r="A15764" s="5"/>
    </row>
    <row r="15765" spans="1:1" x14ac:dyDescent="0.25">
      <c r="A15765" s="5"/>
    </row>
    <row r="15766" spans="1:1" x14ac:dyDescent="0.25">
      <c r="A15766" s="5"/>
    </row>
    <row r="15767" spans="1:1" x14ac:dyDescent="0.25">
      <c r="A15767" s="5"/>
    </row>
    <row r="15768" spans="1:1" x14ac:dyDescent="0.25">
      <c r="A15768" s="5"/>
    </row>
    <row r="15769" spans="1:1" x14ac:dyDescent="0.25">
      <c r="A15769" s="5"/>
    </row>
    <row r="15770" spans="1:1" x14ac:dyDescent="0.25">
      <c r="A15770" s="5"/>
    </row>
    <row r="15771" spans="1:1" x14ac:dyDescent="0.25">
      <c r="A15771" s="5"/>
    </row>
    <row r="15772" spans="1:1" x14ac:dyDescent="0.25">
      <c r="A15772" s="5"/>
    </row>
    <row r="15773" spans="1:1" x14ac:dyDescent="0.25">
      <c r="A15773" s="5"/>
    </row>
    <row r="15774" spans="1:1" x14ac:dyDescent="0.25">
      <c r="A15774" s="5"/>
    </row>
    <row r="15775" spans="1:1" x14ac:dyDescent="0.25">
      <c r="A15775" s="5"/>
    </row>
    <row r="15776" spans="1:1" x14ac:dyDescent="0.25">
      <c r="A15776" s="5"/>
    </row>
    <row r="15777" spans="1:1" x14ac:dyDescent="0.25">
      <c r="A15777" s="5"/>
    </row>
    <row r="15778" spans="1:1" x14ac:dyDescent="0.25">
      <c r="A15778" s="5"/>
    </row>
    <row r="15779" spans="1:1" x14ac:dyDescent="0.25">
      <c r="A15779" s="5"/>
    </row>
    <row r="15780" spans="1:1" x14ac:dyDescent="0.25">
      <c r="A15780" s="5"/>
    </row>
    <row r="15781" spans="1:1" x14ac:dyDescent="0.25">
      <c r="A15781" s="5"/>
    </row>
    <row r="15782" spans="1:1" x14ac:dyDescent="0.25">
      <c r="A15782" s="5"/>
    </row>
    <row r="15783" spans="1:1" x14ac:dyDescent="0.25">
      <c r="A15783" s="5"/>
    </row>
    <row r="15784" spans="1:1" x14ac:dyDescent="0.25">
      <c r="A15784" s="5"/>
    </row>
    <row r="15785" spans="1:1" x14ac:dyDescent="0.25">
      <c r="A15785" s="5"/>
    </row>
    <row r="15786" spans="1:1" x14ac:dyDescent="0.25">
      <c r="A15786" s="5"/>
    </row>
    <row r="15787" spans="1:1" x14ac:dyDescent="0.25">
      <c r="A15787" s="5"/>
    </row>
    <row r="15788" spans="1:1" x14ac:dyDescent="0.25">
      <c r="A15788" s="5"/>
    </row>
    <row r="15789" spans="1:1" x14ac:dyDescent="0.25">
      <c r="A15789" s="5"/>
    </row>
    <row r="15790" spans="1:1" x14ac:dyDescent="0.25">
      <c r="A15790" s="5"/>
    </row>
    <row r="15791" spans="1:1" x14ac:dyDescent="0.25">
      <c r="A15791" s="5"/>
    </row>
    <row r="15792" spans="1:1" x14ac:dyDescent="0.25">
      <c r="A15792" s="5"/>
    </row>
    <row r="15793" spans="1:1" x14ac:dyDescent="0.25">
      <c r="A15793" s="5"/>
    </row>
    <row r="15794" spans="1:1" x14ac:dyDescent="0.25">
      <c r="A15794" s="5"/>
    </row>
    <row r="15795" spans="1:1" x14ac:dyDescent="0.25">
      <c r="A15795" s="5"/>
    </row>
    <row r="15796" spans="1:1" x14ac:dyDescent="0.25">
      <c r="A15796" s="5"/>
    </row>
    <row r="15797" spans="1:1" x14ac:dyDescent="0.25">
      <c r="A15797" s="5"/>
    </row>
    <row r="15798" spans="1:1" x14ac:dyDescent="0.25">
      <c r="A15798" s="5"/>
    </row>
    <row r="15799" spans="1:1" x14ac:dyDescent="0.25">
      <c r="A15799" s="5"/>
    </row>
    <row r="15800" spans="1:1" x14ac:dyDescent="0.25">
      <c r="A15800" s="5"/>
    </row>
    <row r="15801" spans="1:1" x14ac:dyDescent="0.25">
      <c r="A15801" s="5"/>
    </row>
    <row r="15802" spans="1:1" x14ac:dyDescent="0.25">
      <c r="A15802" s="5"/>
    </row>
    <row r="15803" spans="1:1" x14ac:dyDescent="0.25">
      <c r="A15803" s="5"/>
    </row>
    <row r="15804" spans="1:1" x14ac:dyDescent="0.25">
      <c r="A15804" s="5"/>
    </row>
    <row r="15805" spans="1:1" x14ac:dyDescent="0.25">
      <c r="A15805" s="5"/>
    </row>
    <row r="15806" spans="1:1" x14ac:dyDescent="0.25">
      <c r="A15806" s="5"/>
    </row>
    <row r="15807" spans="1:1" x14ac:dyDescent="0.25">
      <c r="A15807" s="5"/>
    </row>
    <row r="15808" spans="1:1" x14ac:dyDescent="0.25">
      <c r="A15808" s="5"/>
    </row>
    <row r="15809" spans="1:1" x14ac:dyDescent="0.25">
      <c r="A15809" s="5"/>
    </row>
    <row r="15810" spans="1:1" x14ac:dyDescent="0.25">
      <c r="A15810" s="5"/>
    </row>
    <row r="15811" spans="1:1" x14ac:dyDescent="0.25">
      <c r="A15811" s="5"/>
    </row>
    <row r="15812" spans="1:1" x14ac:dyDescent="0.25">
      <c r="A15812" s="5"/>
    </row>
    <row r="15813" spans="1:1" x14ac:dyDescent="0.25">
      <c r="A15813" s="5"/>
    </row>
    <row r="15814" spans="1:1" x14ac:dyDescent="0.25">
      <c r="A15814" s="5"/>
    </row>
    <row r="15815" spans="1:1" x14ac:dyDescent="0.25">
      <c r="A15815" s="5"/>
    </row>
    <row r="15816" spans="1:1" x14ac:dyDescent="0.25">
      <c r="A15816" s="5"/>
    </row>
    <row r="15817" spans="1:1" x14ac:dyDescent="0.25">
      <c r="A15817" s="5"/>
    </row>
    <row r="15818" spans="1:1" x14ac:dyDescent="0.25">
      <c r="A15818" s="5"/>
    </row>
    <row r="15819" spans="1:1" x14ac:dyDescent="0.25">
      <c r="A15819" s="5"/>
    </row>
    <row r="15820" spans="1:1" x14ac:dyDescent="0.25">
      <c r="A15820" s="5"/>
    </row>
    <row r="15821" spans="1:1" x14ac:dyDescent="0.25">
      <c r="A15821" s="5"/>
    </row>
    <row r="15822" spans="1:1" x14ac:dyDescent="0.25">
      <c r="A15822" s="5"/>
    </row>
    <row r="15823" spans="1:1" x14ac:dyDescent="0.25">
      <c r="A15823" s="5"/>
    </row>
    <row r="15824" spans="1:1" x14ac:dyDescent="0.25">
      <c r="A15824" s="5"/>
    </row>
    <row r="15825" spans="1:1" x14ac:dyDescent="0.25">
      <c r="A15825" s="5"/>
    </row>
    <row r="15826" spans="1:1" x14ac:dyDescent="0.25">
      <c r="A15826" s="5"/>
    </row>
    <row r="15827" spans="1:1" x14ac:dyDescent="0.25">
      <c r="A15827" s="5"/>
    </row>
    <row r="15828" spans="1:1" x14ac:dyDescent="0.25">
      <c r="A15828" s="5"/>
    </row>
    <row r="15829" spans="1:1" x14ac:dyDescent="0.25">
      <c r="A15829" s="5"/>
    </row>
    <row r="15830" spans="1:1" x14ac:dyDescent="0.25">
      <c r="A15830" s="5"/>
    </row>
    <row r="15831" spans="1:1" x14ac:dyDescent="0.25">
      <c r="A15831" s="5"/>
    </row>
    <row r="15832" spans="1:1" x14ac:dyDescent="0.25">
      <c r="A15832" s="5"/>
    </row>
    <row r="15833" spans="1:1" x14ac:dyDescent="0.25">
      <c r="A15833" s="5"/>
    </row>
    <row r="15834" spans="1:1" x14ac:dyDescent="0.25">
      <c r="A15834" s="5"/>
    </row>
    <row r="15835" spans="1:1" x14ac:dyDescent="0.25">
      <c r="A15835" s="5"/>
    </row>
    <row r="15836" spans="1:1" x14ac:dyDescent="0.25">
      <c r="A15836" s="5"/>
    </row>
    <row r="15837" spans="1:1" x14ac:dyDescent="0.25">
      <c r="A15837" s="5"/>
    </row>
    <row r="15838" spans="1:1" x14ac:dyDescent="0.25">
      <c r="A15838" s="5"/>
    </row>
    <row r="15839" spans="1:1" x14ac:dyDescent="0.25">
      <c r="A15839" s="5"/>
    </row>
    <row r="15840" spans="1:1" x14ac:dyDescent="0.25">
      <c r="A15840" s="5"/>
    </row>
    <row r="15841" spans="1:1" x14ac:dyDescent="0.25">
      <c r="A15841" s="5"/>
    </row>
    <row r="15842" spans="1:1" x14ac:dyDescent="0.25">
      <c r="A15842" s="5"/>
    </row>
    <row r="15843" spans="1:1" x14ac:dyDescent="0.25">
      <c r="A15843" s="5"/>
    </row>
    <row r="15844" spans="1:1" x14ac:dyDescent="0.25">
      <c r="A15844" s="5"/>
    </row>
    <row r="15845" spans="1:1" x14ac:dyDescent="0.25">
      <c r="A15845" s="5"/>
    </row>
    <row r="15846" spans="1:1" x14ac:dyDescent="0.25">
      <c r="A15846" s="5"/>
    </row>
    <row r="15847" spans="1:1" x14ac:dyDescent="0.25">
      <c r="A15847" s="5"/>
    </row>
    <row r="15848" spans="1:1" x14ac:dyDescent="0.25">
      <c r="A15848" s="5"/>
    </row>
    <row r="15849" spans="1:1" x14ac:dyDescent="0.25">
      <c r="A15849" s="5"/>
    </row>
    <row r="15850" spans="1:1" x14ac:dyDescent="0.25">
      <c r="A15850" s="5"/>
    </row>
    <row r="15851" spans="1:1" x14ac:dyDescent="0.25">
      <c r="A15851" s="5"/>
    </row>
    <row r="15852" spans="1:1" x14ac:dyDescent="0.25">
      <c r="A15852" s="5"/>
    </row>
    <row r="15853" spans="1:1" x14ac:dyDescent="0.25">
      <c r="A15853" s="5"/>
    </row>
    <row r="15854" spans="1:1" x14ac:dyDescent="0.25">
      <c r="A15854" s="5"/>
    </row>
    <row r="15855" spans="1:1" x14ac:dyDescent="0.25">
      <c r="A15855" s="5"/>
    </row>
    <row r="15856" spans="1:1" x14ac:dyDescent="0.25">
      <c r="A15856" s="5"/>
    </row>
    <row r="15857" spans="1:1" x14ac:dyDescent="0.25">
      <c r="A15857" s="5"/>
    </row>
    <row r="15858" spans="1:1" x14ac:dyDescent="0.25">
      <c r="A15858" s="5"/>
    </row>
    <row r="15859" spans="1:1" x14ac:dyDescent="0.25">
      <c r="A15859" s="5"/>
    </row>
    <row r="15860" spans="1:1" x14ac:dyDescent="0.25">
      <c r="A15860" s="5"/>
    </row>
    <row r="15861" spans="1:1" x14ac:dyDescent="0.25">
      <c r="A15861" s="5"/>
    </row>
    <row r="15862" spans="1:1" x14ac:dyDescent="0.25">
      <c r="A15862" s="5"/>
    </row>
    <row r="15863" spans="1:1" x14ac:dyDescent="0.25">
      <c r="A15863" s="5"/>
    </row>
    <row r="15864" spans="1:1" x14ac:dyDescent="0.25">
      <c r="A15864" s="5"/>
    </row>
    <row r="15865" spans="1:1" x14ac:dyDescent="0.25">
      <c r="A15865" s="5"/>
    </row>
    <row r="15866" spans="1:1" x14ac:dyDescent="0.25">
      <c r="A15866" s="5"/>
    </row>
    <row r="15867" spans="1:1" x14ac:dyDescent="0.25">
      <c r="A15867" s="5"/>
    </row>
    <row r="15868" spans="1:1" x14ac:dyDescent="0.25">
      <c r="A15868" s="5"/>
    </row>
    <row r="15869" spans="1:1" x14ac:dyDescent="0.25">
      <c r="A15869" s="5"/>
    </row>
    <row r="15870" spans="1:1" x14ac:dyDescent="0.25">
      <c r="A15870" s="5"/>
    </row>
    <row r="15871" spans="1:1" x14ac:dyDescent="0.25">
      <c r="A15871" s="5"/>
    </row>
    <row r="15872" spans="1:1" x14ac:dyDescent="0.25">
      <c r="A15872" s="5"/>
    </row>
    <row r="15873" spans="1:1" x14ac:dyDescent="0.25">
      <c r="A15873" s="5"/>
    </row>
    <row r="15874" spans="1:1" x14ac:dyDescent="0.25">
      <c r="A15874" s="5"/>
    </row>
    <row r="15875" spans="1:1" x14ac:dyDescent="0.25">
      <c r="A15875" s="5"/>
    </row>
    <row r="15876" spans="1:1" x14ac:dyDescent="0.25">
      <c r="A15876" s="5"/>
    </row>
    <row r="15877" spans="1:1" x14ac:dyDescent="0.25">
      <c r="A15877" s="5"/>
    </row>
    <row r="15878" spans="1:1" x14ac:dyDescent="0.25">
      <c r="A15878" s="5"/>
    </row>
    <row r="15879" spans="1:1" x14ac:dyDescent="0.25">
      <c r="A15879" s="5"/>
    </row>
    <row r="15880" spans="1:1" x14ac:dyDescent="0.25">
      <c r="A15880" s="5"/>
    </row>
    <row r="15881" spans="1:1" x14ac:dyDescent="0.25">
      <c r="A15881" s="5"/>
    </row>
    <row r="15882" spans="1:1" x14ac:dyDescent="0.25">
      <c r="A15882" s="5"/>
    </row>
    <row r="15883" spans="1:1" x14ac:dyDescent="0.25">
      <c r="A15883" s="5"/>
    </row>
    <row r="15884" spans="1:1" x14ac:dyDescent="0.25">
      <c r="A15884" s="5"/>
    </row>
    <row r="15885" spans="1:1" x14ac:dyDescent="0.25">
      <c r="A15885" s="5"/>
    </row>
    <row r="15886" spans="1:1" x14ac:dyDescent="0.25">
      <c r="A15886" s="5"/>
    </row>
    <row r="15887" spans="1:1" x14ac:dyDescent="0.25">
      <c r="A15887" s="5"/>
    </row>
    <row r="15888" spans="1:1" x14ac:dyDescent="0.25">
      <c r="A15888" s="5"/>
    </row>
    <row r="15889" spans="1:1" x14ac:dyDescent="0.25">
      <c r="A15889" s="5"/>
    </row>
    <row r="15890" spans="1:1" x14ac:dyDescent="0.25">
      <c r="A15890" s="5"/>
    </row>
    <row r="15891" spans="1:1" x14ac:dyDescent="0.25">
      <c r="A15891" s="5"/>
    </row>
    <row r="15892" spans="1:1" x14ac:dyDescent="0.25">
      <c r="A15892" s="5"/>
    </row>
    <row r="15893" spans="1:1" x14ac:dyDescent="0.25">
      <c r="A15893" s="5"/>
    </row>
    <row r="15894" spans="1:1" x14ac:dyDescent="0.25">
      <c r="A15894" s="5"/>
    </row>
    <row r="15895" spans="1:1" x14ac:dyDescent="0.25">
      <c r="A15895" s="5"/>
    </row>
    <row r="15896" spans="1:1" x14ac:dyDescent="0.25">
      <c r="A15896" s="5"/>
    </row>
    <row r="15897" spans="1:1" x14ac:dyDescent="0.25">
      <c r="A15897" s="5"/>
    </row>
    <row r="15898" spans="1:1" x14ac:dyDescent="0.25">
      <c r="A15898" s="5"/>
    </row>
    <row r="15899" spans="1:1" x14ac:dyDescent="0.25">
      <c r="A15899" s="5"/>
    </row>
    <row r="15900" spans="1:1" x14ac:dyDescent="0.25">
      <c r="A15900" s="5"/>
    </row>
    <row r="15901" spans="1:1" x14ac:dyDescent="0.25">
      <c r="A15901" s="5"/>
    </row>
    <row r="15902" spans="1:1" x14ac:dyDescent="0.25">
      <c r="A15902" s="5"/>
    </row>
    <row r="15903" spans="1:1" x14ac:dyDescent="0.25">
      <c r="A15903" s="5"/>
    </row>
    <row r="15904" spans="1:1" x14ac:dyDescent="0.25">
      <c r="A15904" s="5"/>
    </row>
    <row r="15905" spans="1:1" x14ac:dyDescent="0.25">
      <c r="A15905" s="5"/>
    </row>
    <row r="15906" spans="1:1" x14ac:dyDescent="0.25">
      <c r="A15906" s="5"/>
    </row>
    <row r="15907" spans="1:1" x14ac:dyDescent="0.25">
      <c r="A15907" s="5"/>
    </row>
    <row r="15908" spans="1:1" x14ac:dyDescent="0.25">
      <c r="A15908" s="5"/>
    </row>
    <row r="15909" spans="1:1" x14ac:dyDescent="0.25">
      <c r="A15909" s="5"/>
    </row>
    <row r="15910" spans="1:1" x14ac:dyDescent="0.25">
      <c r="A15910" s="5"/>
    </row>
    <row r="15911" spans="1:1" x14ac:dyDescent="0.25">
      <c r="A15911" s="5"/>
    </row>
    <row r="15912" spans="1:1" x14ac:dyDescent="0.25">
      <c r="A15912" s="5"/>
    </row>
    <row r="15913" spans="1:1" x14ac:dyDescent="0.25">
      <c r="A15913" s="5"/>
    </row>
    <row r="15914" spans="1:1" x14ac:dyDescent="0.25">
      <c r="A15914" s="5"/>
    </row>
    <row r="15915" spans="1:1" x14ac:dyDescent="0.25">
      <c r="A15915" s="5"/>
    </row>
    <row r="15916" spans="1:1" x14ac:dyDescent="0.25">
      <c r="A15916" s="5"/>
    </row>
    <row r="15917" spans="1:1" x14ac:dyDescent="0.25">
      <c r="A15917" s="5"/>
    </row>
    <row r="15918" spans="1:1" x14ac:dyDescent="0.25">
      <c r="A15918" s="5"/>
    </row>
    <row r="15919" spans="1:1" x14ac:dyDescent="0.25">
      <c r="A15919" s="5"/>
    </row>
    <row r="15920" spans="1:1" x14ac:dyDescent="0.25">
      <c r="A15920" s="5"/>
    </row>
    <row r="15921" spans="1:1" x14ac:dyDescent="0.25">
      <c r="A15921" s="5"/>
    </row>
    <row r="15922" spans="1:1" x14ac:dyDescent="0.25">
      <c r="A15922" s="5"/>
    </row>
    <row r="15923" spans="1:1" x14ac:dyDescent="0.25">
      <c r="A15923" s="5"/>
    </row>
    <row r="15924" spans="1:1" x14ac:dyDescent="0.25">
      <c r="A15924" s="5"/>
    </row>
    <row r="15925" spans="1:1" x14ac:dyDescent="0.25">
      <c r="A15925" s="5"/>
    </row>
    <row r="15926" spans="1:1" x14ac:dyDescent="0.25">
      <c r="A15926" s="5"/>
    </row>
    <row r="15927" spans="1:1" x14ac:dyDescent="0.25">
      <c r="A15927" s="5"/>
    </row>
    <row r="15928" spans="1:1" x14ac:dyDescent="0.25">
      <c r="A15928" s="5"/>
    </row>
    <row r="15929" spans="1:1" x14ac:dyDescent="0.25">
      <c r="A15929" s="5"/>
    </row>
    <row r="15930" spans="1:1" x14ac:dyDescent="0.25">
      <c r="A15930" s="5"/>
    </row>
    <row r="15931" spans="1:1" x14ac:dyDescent="0.25">
      <c r="A15931" s="5"/>
    </row>
    <row r="15932" spans="1:1" x14ac:dyDescent="0.25">
      <c r="A15932" s="5"/>
    </row>
    <row r="15933" spans="1:1" x14ac:dyDescent="0.25">
      <c r="A15933" s="5"/>
    </row>
    <row r="15934" spans="1:1" x14ac:dyDescent="0.25">
      <c r="A15934" s="5"/>
    </row>
    <row r="15935" spans="1:1" x14ac:dyDescent="0.25">
      <c r="A15935" s="5"/>
    </row>
    <row r="15936" spans="1:1" x14ac:dyDescent="0.25">
      <c r="A15936" s="5"/>
    </row>
    <row r="15937" spans="1:1" x14ac:dyDescent="0.25">
      <c r="A15937" s="5"/>
    </row>
    <row r="15938" spans="1:1" x14ac:dyDescent="0.25">
      <c r="A15938" s="5"/>
    </row>
    <row r="15939" spans="1:1" x14ac:dyDescent="0.25">
      <c r="A15939" s="5"/>
    </row>
    <row r="15940" spans="1:1" x14ac:dyDescent="0.25">
      <c r="A15940" s="5"/>
    </row>
    <row r="15941" spans="1:1" x14ac:dyDescent="0.25">
      <c r="A15941" s="5"/>
    </row>
    <row r="15942" spans="1:1" x14ac:dyDescent="0.25">
      <c r="A15942" s="5"/>
    </row>
    <row r="15943" spans="1:1" x14ac:dyDescent="0.25">
      <c r="A15943" s="5"/>
    </row>
    <row r="15944" spans="1:1" x14ac:dyDescent="0.25">
      <c r="A15944" s="5"/>
    </row>
    <row r="15945" spans="1:1" x14ac:dyDescent="0.25">
      <c r="A15945" s="5"/>
    </row>
    <row r="15946" spans="1:1" x14ac:dyDescent="0.25">
      <c r="A15946" s="5"/>
    </row>
    <row r="15947" spans="1:1" x14ac:dyDescent="0.25">
      <c r="A15947" s="5"/>
    </row>
    <row r="15948" spans="1:1" x14ac:dyDescent="0.25">
      <c r="A15948" s="5"/>
    </row>
    <row r="15949" spans="1:1" x14ac:dyDescent="0.25">
      <c r="A15949" s="5"/>
    </row>
    <row r="15950" spans="1:1" x14ac:dyDescent="0.25">
      <c r="A15950" s="5"/>
    </row>
    <row r="15951" spans="1:1" x14ac:dyDescent="0.25">
      <c r="A15951" s="5"/>
    </row>
    <row r="15952" spans="1:1" x14ac:dyDescent="0.25">
      <c r="A15952" s="5"/>
    </row>
    <row r="15953" spans="1:1" x14ac:dyDescent="0.25">
      <c r="A15953" s="5"/>
    </row>
    <row r="15954" spans="1:1" x14ac:dyDescent="0.25">
      <c r="A15954" s="5"/>
    </row>
    <row r="15955" spans="1:1" x14ac:dyDescent="0.25">
      <c r="A15955" s="5"/>
    </row>
    <row r="15956" spans="1:1" x14ac:dyDescent="0.25">
      <c r="A15956" s="5"/>
    </row>
    <row r="15957" spans="1:1" x14ac:dyDescent="0.25">
      <c r="A15957" s="5"/>
    </row>
    <row r="15958" spans="1:1" x14ac:dyDescent="0.25">
      <c r="A15958" s="5"/>
    </row>
    <row r="15959" spans="1:1" x14ac:dyDescent="0.25">
      <c r="A15959" s="5"/>
    </row>
    <row r="15960" spans="1:1" x14ac:dyDescent="0.25">
      <c r="A15960" s="5"/>
    </row>
    <row r="15961" spans="1:1" x14ac:dyDescent="0.25">
      <c r="A15961" s="5"/>
    </row>
    <row r="15962" spans="1:1" x14ac:dyDescent="0.25">
      <c r="A15962" s="5"/>
    </row>
    <row r="15963" spans="1:1" x14ac:dyDescent="0.25">
      <c r="A15963" s="5"/>
    </row>
    <row r="15964" spans="1:1" x14ac:dyDescent="0.25">
      <c r="A15964" s="5"/>
    </row>
    <row r="15965" spans="1:1" x14ac:dyDescent="0.25">
      <c r="A15965" s="5"/>
    </row>
    <row r="15966" spans="1:1" x14ac:dyDescent="0.25">
      <c r="A15966" s="5"/>
    </row>
    <row r="15967" spans="1:1" x14ac:dyDescent="0.25">
      <c r="A15967" s="5"/>
    </row>
    <row r="15968" spans="1:1" x14ac:dyDescent="0.25">
      <c r="A15968" s="5"/>
    </row>
    <row r="15969" spans="1:1" x14ac:dyDescent="0.25">
      <c r="A15969" s="5"/>
    </row>
    <row r="15970" spans="1:1" x14ac:dyDescent="0.25">
      <c r="A15970" s="5"/>
    </row>
    <row r="15971" spans="1:1" x14ac:dyDescent="0.25">
      <c r="A15971" s="5"/>
    </row>
    <row r="15972" spans="1:1" x14ac:dyDescent="0.25">
      <c r="A15972" s="5"/>
    </row>
    <row r="15973" spans="1:1" x14ac:dyDescent="0.25">
      <c r="A15973" s="5"/>
    </row>
    <row r="15974" spans="1:1" x14ac:dyDescent="0.25">
      <c r="A15974" s="5"/>
    </row>
    <row r="15975" spans="1:1" x14ac:dyDescent="0.25">
      <c r="A15975" s="5"/>
    </row>
    <row r="15976" spans="1:1" x14ac:dyDescent="0.25">
      <c r="A15976" s="5"/>
    </row>
    <row r="15977" spans="1:1" x14ac:dyDescent="0.25">
      <c r="A15977" s="5"/>
    </row>
    <row r="15978" spans="1:1" x14ac:dyDescent="0.25">
      <c r="A15978" s="5"/>
    </row>
    <row r="15979" spans="1:1" x14ac:dyDescent="0.25">
      <c r="A15979" s="5"/>
    </row>
    <row r="15980" spans="1:1" x14ac:dyDescent="0.25">
      <c r="A15980" s="5"/>
    </row>
    <row r="15981" spans="1:1" x14ac:dyDescent="0.25">
      <c r="A15981" s="5"/>
    </row>
    <row r="15982" spans="1:1" x14ac:dyDescent="0.25">
      <c r="A15982" s="5"/>
    </row>
    <row r="15983" spans="1:1" x14ac:dyDescent="0.25">
      <c r="A15983" s="5"/>
    </row>
    <row r="15984" spans="1:1" x14ac:dyDescent="0.25">
      <c r="A15984" s="5"/>
    </row>
    <row r="15985" spans="1:1" x14ac:dyDescent="0.25">
      <c r="A15985" s="5"/>
    </row>
    <row r="15986" spans="1:1" x14ac:dyDescent="0.25">
      <c r="A15986" s="5"/>
    </row>
    <row r="15987" spans="1:1" x14ac:dyDescent="0.25">
      <c r="A15987" s="5"/>
    </row>
    <row r="15988" spans="1:1" x14ac:dyDescent="0.25">
      <c r="A15988" s="5"/>
    </row>
    <row r="15989" spans="1:1" x14ac:dyDescent="0.25">
      <c r="A15989" s="5"/>
    </row>
    <row r="15990" spans="1:1" x14ac:dyDescent="0.25">
      <c r="A15990" s="5"/>
    </row>
    <row r="15991" spans="1:1" x14ac:dyDescent="0.25">
      <c r="A15991" s="5"/>
    </row>
    <row r="15992" spans="1:1" x14ac:dyDescent="0.25">
      <c r="A15992" s="5"/>
    </row>
    <row r="15993" spans="1:1" x14ac:dyDescent="0.25">
      <c r="A15993" s="5"/>
    </row>
    <row r="15994" spans="1:1" x14ac:dyDescent="0.25">
      <c r="A15994" s="5"/>
    </row>
    <row r="15995" spans="1:1" x14ac:dyDescent="0.25">
      <c r="A15995" s="5"/>
    </row>
    <row r="15996" spans="1:1" x14ac:dyDescent="0.25">
      <c r="A15996" s="5"/>
    </row>
    <row r="15997" spans="1:1" x14ac:dyDescent="0.25">
      <c r="A15997" s="5"/>
    </row>
    <row r="15998" spans="1:1" x14ac:dyDescent="0.25">
      <c r="A15998" s="5"/>
    </row>
    <row r="15999" spans="1:1" x14ac:dyDescent="0.25">
      <c r="A15999" s="5"/>
    </row>
    <row r="16000" spans="1:1" x14ac:dyDescent="0.25">
      <c r="A16000" s="5"/>
    </row>
    <row r="16001" spans="1:1" x14ac:dyDescent="0.25">
      <c r="A16001" s="5"/>
    </row>
    <row r="16002" spans="1:1" x14ac:dyDescent="0.25">
      <c r="A16002" s="5"/>
    </row>
    <row r="16003" spans="1:1" x14ac:dyDescent="0.25">
      <c r="A16003" s="5"/>
    </row>
    <row r="16004" spans="1:1" x14ac:dyDescent="0.25">
      <c r="A16004" s="5"/>
    </row>
    <row r="16005" spans="1:1" x14ac:dyDescent="0.25">
      <c r="A16005" s="5"/>
    </row>
    <row r="16006" spans="1:1" x14ac:dyDescent="0.25">
      <c r="A16006" s="5"/>
    </row>
    <row r="16007" spans="1:1" x14ac:dyDescent="0.25">
      <c r="A16007" s="5"/>
    </row>
    <row r="16008" spans="1:1" x14ac:dyDescent="0.25">
      <c r="A16008" s="5"/>
    </row>
    <row r="16009" spans="1:1" x14ac:dyDescent="0.25">
      <c r="A16009" s="5"/>
    </row>
    <row r="16010" spans="1:1" x14ac:dyDescent="0.25">
      <c r="A16010" s="5"/>
    </row>
    <row r="16011" spans="1:1" x14ac:dyDescent="0.25">
      <c r="A16011" s="5"/>
    </row>
    <row r="16012" spans="1:1" x14ac:dyDescent="0.25">
      <c r="A16012" s="5"/>
    </row>
    <row r="16013" spans="1:1" x14ac:dyDescent="0.25">
      <c r="A16013" s="5"/>
    </row>
    <row r="16014" spans="1:1" x14ac:dyDescent="0.25">
      <c r="A16014" s="5"/>
    </row>
    <row r="16015" spans="1:1" x14ac:dyDescent="0.25">
      <c r="A16015" s="5"/>
    </row>
    <row r="16016" spans="1:1" x14ac:dyDescent="0.25">
      <c r="A16016" s="5"/>
    </row>
    <row r="16017" spans="1:1" x14ac:dyDescent="0.25">
      <c r="A16017" s="5"/>
    </row>
    <row r="16018" spans="1:1" x14ac:dyDescent="0.25">
      <c r="A16018" s="5"/>
    </row>
    <row r="16019" spans="1:1" x14ac:dyDescent="0.25">
      <c r="A16019" s="5"/>
    </row>
    <row r="16020" spans="1:1" x14ac:dyDescent="0.25">
      <c r="A16020" s="5"/>
    </row>
    <row r="16021" spans="1:1" x14ac:dyDescent="0.25">
      <c r="A16021" s="5"/>
    </row>
    <row r="16022" spans="1:1" x14ac:dyDescent="0.25">
      <c r="A16022" s="5"/>
    </row>
    <row r="16023" spans="1:1" x14ac:dyDescent="0.25">
      <c r="A16023" s="5"/>
    </row>
    <row r="16024" spans="1:1" x14ac:dyDescent="0.25">
      <c r="A16024" s="5"/>
    </row>
    <row r="16025" spans="1:1" x14ac:dyDescent="0.25">
      <c r="A16025" s="5"/>
    </row>
    <row r="16026" spans="1:1" x14ac:dyDescent="0.25">
      <c r="A16026" s="5"/>
    </row>
    <row r="16027" spans="1:1" x14ac:dyDescent="0.25">
      <c r="A16027" s="5"/>
    </row>
    <row r="16028" spans="1:1" x14ac:dyDescent="0.25">
      <c r="A16028" s="5"/>
    </row>
    <row r="16029" spans="1:1" x14ac:dyDescent="0.25">
      <c r="A16029" s="5"/>
    </row>
    <row r="16030" spans="1:1" x14ac:dyDescent="0.25">
      <c r="A16030" s="5"/>
    </row>
    <row r="16031" spans="1:1" x14ac:dyDescent="0.25">
      <c r="A16031" s="5"/>
    </row>
    <row r="16032" spans="1:1" x14ac:dyDescent="0.25">
      <c r="A16032" s="5"/>
    </row>
    <row r="16033" spans="1:1" x14ac:dyDescent="0.25">
      <c r="A16033" s="5"/>
    </row>
    <row r="16034" spans="1:1" x14ac:dyDescent="0.25">
      <c r="A16034" s="5"/>
    </row>
    <row r="16035" spans="1:1" x14ac:dyDescent="0.25">
      <c r="A16035" s="5"/>
    </row>
    <row r="16036" spans="1:1" x14ac:dyDescent="0.25">
      <c r="A16036" s="5"/>
    </row>
    <row r="16037" spans="1:1" x14ac:dyDescent="0.25">
      <c r="A16037" s="5"/>
    </row>
    <row r="16038" spans="1:1" x14ac:dyDescent="0.25">
      <c r="A16038" s="5"/>
    </row>
    <row r="16039" spans="1:1" x14ac:dyDescent="0.25">
      <c r="A16039" s="5"/>
    </row>
    <row r="16040" spans="1:1" x14ac:dyDescent="0.25">
      <c r="A16040" s="5"/>
    </row>
    <row r="16041" spans="1:1" x14ac:dyDescent="0.25">
      <c r="A16041" s="5"/>
    </row>
    <row r="16042" spans="1:1" x14ac:dyDescent="0.25">
      <c r="A16042" s="5"/>
    </row>
    <row r="16043" spans="1:1" x14ac:dyDescent="0.25">
      <c r="A16043" s="5"/>
    </row>
    <row r="16044" spans="1:1" x14ac:dyDescent="0.25">
      <c r="A16044" s="5"/>
    </row>
    <row r="16045" spans="1:1" x14ac:dyDescent="0.25">
      <c r="A16045" s="5"/>
    </row>
    <row r="16046" spans="1:1" x14ac:dyDescent="0.25">
      <c r="A16046" s="5"/>
    </row>
    <row r="16047" spans="1:1" x14ac:dyDescent="0.25">
      <c r="A16047" s="5"/>
    </row>
    <row r="16048" spans="1:1" x14ac:dyDescent="0.25">
      <c r="A16048" s="5"/>
    </row>
    <row r="16049" spans="1:1" x14ac:dyDescent="0.25">
      <c r="A16049" s="5"/>
    </row>
    <row r="16050" spans="1:1" x14ac:dyDescent="0.25">
      <c r="A16050" s="5"/>
    </row>
    <row r="16051" spans="1:1" x14ac:dyDescent="0.25">
      <c r="A16051" s="5"/>
    </row>
    <row r="16052" spans="1:1" x14ac:dyDescent="0.25">
      <c r="A16052" s="5"/>
    </row>
    <row r="16053" spans="1:1" x14ac:dyDescent="0.25">
      <c r="A16053" s="5"/>
    </row>
    <row r="16054" spans="1:1" x14ac:dyDescent="0.25">
      <c r="A16054" s="5"/>
    </row>
    <row r="16055" spans="1:1" x14ac:dyDescent="0.25">
      <c r="A16055" s="5"/>
    </row>
    <row r="16056" spans="1:1" x14ac:dyDescent="0.25">
      <c r="A16056" s="5"/>
    </row>
    <row r="16057" spans="1:1" x14ac:dyDescent="0.25">
      <c r="A16057" s="5"/>
    </row>
    <row r="16058" spans="1:1" x14ac:dyDescent="0.25">
      <c r="A16058" s="5"/>
    </row>
    <row r="16059" spans="1:1" x14ac:dyDescent="0.25">
      <c r="A16059" s="5"/>
    </row>
    <row r="16060" spans="1:1" x14ac:dyDescent="0.25">
      <c r="A16060" s="5"/>
    </row>
    <row r="16061" spans="1:1" x14ac:dyDescent="0.25">
      <c r="A16061" s="5"/>
    </row>
    <row r="16062" spans="1:1" x14ac:dyDescent="0.25">
      <c r="A16062" s="5"/>
    </row>
    <row r="16063" spans="1:1" x14ac:dyDescent="0.25">
      <c r="A16063" s="5"/>
    </row>
    <row r="16064" spans="1:1" x14ac:dyDescent="0.25">
      <c r="A16064" s="5"/>
    </row>
    <row r="16065" spans="1:1" x14ac:dyDescent="0.25">
      <c r="A16065" s="5"/>
    </row>
    <row r="16066" spans="1:1" x14ac:dyDescent="0.25">
      <c r="A16066" s="5"/>
    </row>
    <row r="16067" spans="1:1" x14ac:dyDescent="0.25">
      <c r="A16067" s="5"/>
    </row>
    <row r="16068" spans="1:1" x14ac:dyDescent="0.25">
      <c r="A16068" s="5"/>
    </row>
    <row r="16069" spans="1:1" x14ac:dyDescent="0.25">
      <c r="A16069" s="5"/>
    </row>
    <row r="16070" spans="1:1" x14ac:dyDescent="0.25">
      <c r="A16070" s="5"/>
    </row>
    <row r="16071" spans="1:1" x14ac:dyDescent="0.25">
      <c r="A16071" s="5"/>
    </row>
    <row r="16072" spans="1:1" x14ac:dyDescent="0.25">
      <c r="A16072" s="5"/>
    </row>
    <row r="16073" spans="1:1" x14ac:dyDescent="0.25">
      <c r="A16073" s="5"/>
    </row>
    <row r="16074" spans="1:1" x14ac:dyDescent="0.25">
      <c r="A16074" s="5"/>
    </row>
    <row r="16075" spans="1:1" x14ac:dyDescent="0.25">
      <c r="A16075" s="5"/>
    </row>
    <row r="16076" spans="1:1" x14ac:dyDescent="0.25">
      <c r="A16076" s="5"/>
    </row>
    <row r="16077" spans="1:1" x14ac:dyDescent="0.25">
      <c r="A16077" s="5"/>
    </row>
    <row r="16078" spans="1:1" x14ac:dyDescent="0.25">
      <c r="A16078" s="5"/>
    </row>
    <row r="16079" spans="1:1" x14ac:dyDescent="0.25">
      <c r="A16079" s="5"/>
    </row>
    <row r="16080" spans="1:1" x14ac:dyDescent="0.25">
      <c r="A16080" s="5"/>
    </row>
    <row r="16081" spans="1:1" x14ac:dyDescent="0.25">
      <c r="A16081" s="5"/>
    </row>
    <row r="16082" spans="1:1" x14ac:dyDescent="0.25">
      <c r="A16082" s="5"/>
    </row>
    <row r="16083" spans="1:1" x14ac:dyDescent="0.25">
      <c r="A16083" s="5"/>
    </row>
    <row r="16084" spans="1:1" x14ac:dyDescent="0.25">
      <c r="A16084" s="5"/>
    </row>
    <row r="16085" spans="1:1" x14ac:dyDescent="0.25">
      <c r="A16085" s="5"/>
    </row>
    <row r="16086" spans="1:1" x14ac:dyDescent="0.25">
      <c r="A16086" s="5"/>
    </row>
    <row r="16087" spans="1:1" x14ac:dyDescent="0.25">
      <c r="A16087" s="5"/>
    </row>
    <row r="16088" spans="1:1" x14ac:dyDescent="0.25">
      <c r="A16088" s="5"/>
    </row>
    <row r="16089" spans="1:1" x14ac:dyDescent="0.25">
      <c r="A16089" s="5"/>
    </row>
    <row r="16090" spans="1:1" x14ac:dyDescent="0.25">
      <c r="A16090" s="5"/>
    </row>
    <row r="16091" spans="1:1" x14ac:dyDescent="0.25">
      <c r="A16091" s="5"/>
    </row>
    <row r="16092" spans="1:1" x14ac:dyDescent="0.25">
      <c r="A16092" s="5"/>
    </row>
    <row r="16093" spans="1:1" x14ac:dyDescent="0.25">
      <c r="A16093" s="5"/>
    </row>
    <row r="16094" spans="1:1" x14ac:dyDescent="0.25">
      <c r="A16094" s="5"/>
    </row>
    <row r="16095" spans="1:1" x14ac:dyDescent="0.25">
      <c r="A16095" s="5"/>
    </row>
    <row r="16096" spans="1:1" x14ac:dyDescent="0.25">
      <c r="A16096" s="5"/>
    </row>
    <row r="16097" spans="1:1" x14ac:dyDescent="0.25">
      <c r="A16097" s="5"/>
    </row>
    <row r="16098" spans="1:1" x14ac:dyDescent="0.25">
      <c r="A16098" s="5"/>
    </row>
    <row r="16099" spans="1:1" x14ac:dyDescent="0.25">
      <c r="A16099" s="5"/>
    </row>
    <row r="16100" spans="1:1" x14ac:dyDescent="0.25">
      <c r="A16100" s="5"/>
    </row>
    <row r="16101" spans="1:1" x14ac:dyDescent="0.25">
      <c r="A16101" s="5"/>
    </row>
    <row r="16102" spans="1:1" x14ac:dyDescent="0.25">
      <c r="A16102" s="5"/>
    </row>
    <row r="16103" spans="1:1" x14ac:dyDescent="0.25">
      <c r="A16103" s="5"/>
    </row>
    <row r="16104" spans="1:1" x14ac:dyDescent="0.25">
      <c r="A16104" s="5"/>
    </row>
    <row r="16105" spans="1:1" x14ac:dyDescent="0.25">
      <c r="A16105" s="5"/>
    </row>
    <row r="16106" spans="1:1" x14ac:dyDescent="0.25">
      <c r="A16106" s="5"/>
    </row>
    <row r="16107" spans="1:1" x14ac:dyDescent="0.25">
      <c r="A16107" s="5"/>
    </row>
    <row r="16108" spans="1:1" x14ac:dyDescent="0.25">
      <c r="A16108" s="5"/>
    </row>
    <row r="16109" spans="1:1" x14ac:dyDescent="0.25">
      <c r="A16109" s="5"/>
    </row>
    <row r="16110" spans="1:1" x14ac:dyDescent="0.25">
      <c r="A16110" s="5"/>
    </row>
    <row r="16111" spans="1:1" x14ac:dyDescent="0.25">
      <c r="A16111" s="5"/>
    </row>
    <row r="16112" spans="1:1" x14ac:dyDescent="0.25">
      <c r="A16112" s="5"/>
    </row>
    <row r="16113" spans="1:1" x14ac:dyDescent="0.25">
      <c r="A16113" s="5"/>
    </row>
    <row r="16114" spans="1:1" x14ac:dyDescent="0.25">
      <c r="A16114" s="5"/>
    </row>
    <row r="16115" spans="1:1" x14ac:dyDescent="0.25">
      <c r="A16115" s="5"/>
    </row>
    <row r="16116" spans="1:1" x14ac:dyDescent="0.25">
      <c r="A16116" s="5"/>
    </row>
    <row r="16117" spans="1:1" x14ac:dyDescent="0.25">
      <c r="A16117" s="5"/>
    </row>
    <row r="16118" spans="1:1" x14ac:dyDescent="0.25">
      <c r="A16118" s="5"/>
    </row>
    <row r="16119" spans="1:1" x14ac:dyDescent="0.25">
      <c r="A16119" s="5"/>
    </row>
    <row r="16120" spans="1:1" x14ac:dyDescent="0.25">
      <c r="A16120" s="5"/>
    </row>
    <row r="16121" spans="1:1" x14ac:dyDescent="0.25">
      <c r="A16121" s="5"/>
    </row>
    <row r="16122" spans="1:1" x14ac:dyDescent="0.25">
      <c r="A16122" s="5"/>
    </row>
    <row r="16123" spans="1:1" x14ac:dyDescent="0.25">
      <c r="A16123" s="5"/>
    </row>
    <row r="16124" spans="1:1" x14ac:dyDescent="0.25">
      <c r="A16124" s="5"/>
    </row>
    <row r="16125" spans="1:1" x14ac:dyDescent="0.25">
      <c r="A16125" s="5"/>
    </row>
    <row r="16126" spans="1:1" x14ac:dyDescent="0.25">
      <c r="A16126" s="5"/>
    </row>
    <row r="16127" spans="1:1" x14ac:dyDescent="0.25">
      <c r="A16127" s="5"/>
    </row>
    <row r="16128" spans="1:1" x14ac:dyDescent="0.25">
      <c r="A16128" s="5"/>
    </row>
    <row r="16129" spans="1:1" x14ac:dyDescent="0.25">
      <c r="A16129" s="5"/>
    </row>
    <row r="16130" spans="1:1" x14ac:dyDescent="0.25">
      <c r="A16130" s="5"/>
    </row>
    <row r="16131" spans="1:1" x14ac:dyDescent="0.25">
      <c r="A16131" s="5"/>
    </row>
    <row r="16132" spans="1:1" x14ac:dyDescent="0.25">
      <c r="A16132" s="5"/>
    </row>
    <row r="16133" spans="1:1" x14ac:dyDescent="0.25">
      <c r="A16133" s="5"/>
    </row>
    <row r="16134" spans="1:1" x14ac:dyDescent="0.25">
      <c r="A16134" s="5"/>
    </row>
    <row r="16135" spans="1:1" x14ac:dyDescent="0.25">
      <c r="A16135" s="5"/>
    </row>
    <row r="16136" spans="1:1" x14ac:dyDescent="0.25">
      <c r="A16136" s="5"/>
    </row>
    <row r="16137" spans="1:1" x14ac:dyDescent="0.25">
      <c r="A16137" s="5"/>
    </row>
    <row r="16138" spans="1:1" x14ac:dyDescent="0.25">
      <c r="A16138" s="5"/>
    </row>
    <row r="16139" spans="1:1" x14ac:dyDescent="0.25">
      <c r="A16139" s="5"/>
    </row>
    <row r="16140" spans="1:1" x14ac:dyDescent="0.25">
      <c r="A16140" s="5"/>
    </row>
    <row r="16141" spans="1:1" x14ac:dyDescent="0.25">
      <c r="A16141" s="5"/>
    </row>
    <row r="16142" spans="1:1" x14ac:dyDescent="0.25">
      <c r="A16142" s="5"/>
    </row>
    <row r="16143" spans="1:1" x14ac:dyDescent="0.25">
      <c r="A16143" s="5"/>
    </row>
    <row r="16144" spans="1:1" x14ac:dyDescent="0.25">
      <c r="A16144" s="5"/>
    </row>
    <row r="16145" spans="1:1" x14ac:dyDescent="0.25">
      <c r="A16145" s="5"/>
    </row>
    <row r="16146" spans="1:1" x14ac:dyDescent="0.25">
      <c r="A16146" s="5"/>
    </row>
    <row r="16147" spans="1:1" x14ac:dyDescent="0.25">
      <c r="A16147" s="5"/>
    </row>
    <row r="16148" spans="1:1" x14ac:dyDescent="0.25">
      <c r="A16148" s="5"/>
    </row>
    <row r="16149" spans="1:1" x14ac:dyDescent="0.25">
      <c r="A16149" s="5"/>
    </row>
    <row r="16150" spans="1:1" x14ac:dyDescent="0.25">
      <c r="A16150" s="5"/>
    </row>
    <row r="16151" spans="1:1" x14ac:dyDescent="0.25">
      <c r="A16151" s="5"/>
    </row>
    <row r="16152" spans="1:1" x14ac:dyDescent="0.25">
      <c r="A16152" s="5"/>
    </row>
    <row r="16153" spans="1:1" x14ac:dyDescent="0.25">
      <c r="A16153" s="5"/>
    </row>
    <row r="16154" spans="1:1" x14ac:dyDescent="0.25">
      <c r="A16154" s="5"/>
    </row>
    <row r="16155" spans="1:1" x14ac:dyDescent="0.25">
      <c r="A16155" s="5"/>
    </row>
    <row r="16156" spans="1:1" x14ac:dyDescent="0.25">
      <c r="A16156" s="5"/>
    </row>
    <row r="16157" spans="1:1" x14ac:dyDescent="0.25">
      <c r="A16157" s="5"/>
    </row>
    <row r="16158" spans="1:1" x14ac:dyDescent="0.25">
      <c r="A16158" s="5"/>
    </row>
    <row r="16159" spans="1:1" x14ac:dyDescent="0.25">
      <c r="A16159" s="5"/>
    </row>
    <row r="16160" spans="1:1" x14ac:dyDescent="0.25">
      <c r="A16160" s="5"/>
    </row>
    <row r="16161" spans="1:1" x14ac:dyDescent="0.25">
      <c r="A16161" s="5"/>
    </row>
    <row r="16162" spans="1:1" x14ac:dyDescent="0.25">
      <c r="A16162" s="5"/>
    </row>
    <row r="16163" spans="1:1" x14ac:dyDescent="0.25">
      <c r="A16163" s="5"/>
    </row>
    <row r="16164" spans="1:1" x14ac:dyDescent="0.25">
      <c r="A16164" s="5"/>
    </row>
    <row r="16165" spans="1:1" x14ac:dyDescent="0.25">
      <c r="A16165" s="5"/>
    </row>
    <row r="16166" spans="1:1" x14ac:dyDescent="0.25">
      <c r="A16166" s="5"/>
    </row>
    <row r="16167" spans="1:1" x14ac:dyDescent="0.25">
      <c r="A16167" s="5"/>
    </row>
    <row r="16168" spans="1:1" x14ac:dyDescent="0.25">
      <c r="A16168" s="5"/>
    </row>
    <row r="16169" spans="1:1" x14ac:dyDescent="0.25">
      <c r="A16169" s="5"/>
    </row>
    <row r="16170" spans="1:1" x14ac:dyDescent="0.25">
      <c r="A16170" s="5"/>
    </row>
    <row r="16171" spans="1:1" x14ac:dyDescent="0.25">
      <c r="A16171" s="5"/>
    </row>
    <row r="16172" spans="1:1" x14ac:dyDescent="0.25">
      <c r="A16172" s="5"/>
    </row>
    <row r="16173" spans="1:1" x14ac:dyDescent="0.25">
      <c r="A16173" s="5"/>
    </row>
    <row r="16174" spans="1:1" x14ac:dyDescent="0.25">
      <c r="A16174" s="5"/>
    </row>
    <row r="16175" spans="1:1" x14ac:dyDescent="0.25">
      <c r="A16175" s="5"/>
    </row>
    <row r="16176" spans="1:1" x14ac:dyDescent="0.25">
      <c r="A16176" s="5"/>
    </row>
    <row r="16177" spans="1:1" x14ac:dyDescent="0.25">
      <c r="A16177" s="5"/>
    </row>
    <row r="16178" spans="1:1" x14ac:dyDescent="0.25">
      <c r="A16178" s="5"/>
    </row>
    <row r="16179" spans="1:1" x14ac:dyDescent="0.25">
      <c r="A16179" s="5"/>
    </row>
    <row r="16180" spans="1:1" x14ac:dyDescent="0.25">
      <c r="A16180" s="5"/>
    </row>
    <row r="16181" spans="1:1" x14ac:dyDescent="0.25">
      <c r="A16181" s="5"/>
    </row>
    <row r="16182" spans="1:1" x14ac:dyDescent="0.25">
      <c r="A16182" s="5"/>
    </row>
    <row r="16183" spans="1:1" x14ac:dyDescent="0.25">
      <c r="A16183" s="5"/>
    </row>
    <row r="16184" spans="1:1" x14ac:dyDescent="0.25">
      <c r="A16184" s="5"/>
    </row>
    <row r="16185" spans="1:1" x14ac:dyDescent="0.25">
      <c r="A16185" s="5"/>
    </row>
    <row r="16186" spans="1:1" x14ac:dyDescent="0.25">
      <c r="A16186" s="5"/>
    </row>
    <row r="16187" spans="1:1" x14ac:dyDescent="0.25">
      <c r="A16187" s="5"/>
    </row>
    <row r="16188" spans="1:1" x14ac:dyDescent="0.25">
      <c r="A16188" s="5"/>
    </row>
    <row r="16189" spans="1:1" x14ac:dyDescent="0.25">
      <c r="A16189" s="5"/>
    </row>
    <row r="16190" spans="1:1" x14ac:dyDescent="0.25">
      <c r="A16190" s="5"/>
    </row>
    <row r="16191" spans="1:1" x14ac:dyDescent="0.25">
      <c r="A16191" s="5"/>
    </row>
    <row r="16192" spans="1:1" x14ac:dyDescent="0.25">
      <c r="A16192" s="5"/>
    </row>
    <row r="16193" spans="1:1" x14ac:dyDescent="0.25">
      <c r="A16193" s="5"/>
    </row>
    <row r="16194" spans="1:1" x14ac:dyDescent="0.25">
      <c r="A16194" s="5"/>
    </row>
    <row r="16195" spans="1:1" x14ac:dyDescent="0.25">
      <c r="A16195" s="5"/>
    </row>
    <row r="16196" spans="1:1" x14ac:dyDescent="0.25">
      <c r="A16196" s="5"/>
    </row>
    <row r="16197" spans="1:1" x14ac:dyDescent="0.25">
      <c r="A16197" s="5"/>
    </row>
    <row r="16198" spans="1:1" x14ac:dyDescent="0.25">
      <c r="A16198" s="5"/>
    </row>
    <row r="16199" spans="1:1" x14ac:dyDescent="0.25">
      <c r="A16199" s="5"/>
    </row>
    <row r="16200" spans="1:1" x14ac:dyDescent="0.25">
      <c r="A16200" s="5"/>
    </row>
    <row r="16201" spans="1:1" x14ac:dyDescent="0.25">
      <c r="A16201" s="5"/>
    </row>
    <row r="16202" spans="1:1" x14ac:dyDescent="0.25">
      <c r="A16202" s="5"/>
    </row>
    <row r="16203" spans="1:1" x14ac:dyDescent="0.25">
      <c r="A16203" s="5"/>
    </row>
    <row r="16204" spans="1:1" x14ac:dyDescent="0.25">
      <c r="A16204" s="5"/>
    </row>
    <row r="16205" spans="1:1" x14ac:dyDescent="0.25">
      <c r="A16205" s="5"/>
    </row>
    <row r="16206" spans="1:1" x14ac:dyDescent="0.25">
      <c r="A16206" s="5"/>
    </row>
    <row r="16207" spans="1:1" x14ac:dyDescent="0.25">
      <c r="A16207" s="5"/>
    </row>
    <row r="16208" spans="1:1" x14ac:dyDescent="0.25">
      <c r="A16208" s="5"/>
    </row>
    <row r="16209" spans="1:1" x14ac:dyDescent="0.25">
      <c r="A16209" s="5"/>
    </row>
    <row r="16210" spans="1:1" x14ac:dyDescent="0.25">
      <c r="A16210" s="5"/>
    </row>
    <row r="16211" spans="1:1" x14ac:dyDescent="0.25">
      <c r="A16211" s="5"/>
    </row>
    <row r="16212" spans="1:1" x14ac:dyDescent="0.25">
      <c r="A16212" s="5"/>
    </row>
    <row r="16213" spans="1:1" x14ac:dyDescent="0.25">
      <c r="A16213" s="5"/>
    </row>
    <row r="16214" spans="1:1" x14ac:dyDescent="0.25">
      <c r="A16214" s="5"/>
    </row>
    <row r="16215" spans="1:1" x14ac:dyDescent="0.25">
      <c r="A16215" s="5"/>
    </row>
    <row r="16216" spans="1:1" x14ac:dyDescent="0.25">
      <c r="A16216" s="5"/>
    </row>
    <row r="16217" spans="1:1" x14ac:dyDescent="0.25">
      <c r="A16217" s="5"/>
    </row>
    <row r="16218" spans="1:1" x14ac:dyDescent="0.25">
      <c r="A16218" s="5"/>
    </row>
    <row r="16219" spans="1:1" x14ac:dyDescent="0.25">
      <c r="A16219" s="5"/>
    </row>
    <row r="16220" spans="1:1" x14ac:dyDescent="0.25">
      <c r="A16220" s="5"/>
    </row>
    <row r="16221" spans="1:1" x14ac:dyDescent="0.25">
      <c r="A16221" s="5"/>
    </row>
    <row r="16222" spans="1:1" x14ac:dyDescent="0.25">
      <c r="A16222" s="5"/>
    </row>
    <row r="16223" spans="1:1" x14ac:dyDescent="0.25">
      <c r="A16223" s="5"/>
    </row>
    <row r="16224" spans="1:1" x14ac:dyDescent="0.25">
      <c r="A16224" s="5"/>
    </row>
    <row r="16225" spans="1:1" x14ac:dyDescent="0.25">
      <c r="A16225" s="5"/>
    </row>
    <row r="16226" spans="1:1" x14ac:dyDescent="0.25">
      <c r="A16226" s="5"/>
    </row>
    <row r="16227" spans="1:1" x14ac:dyDescent="0.25">
      <c r="A16227" s="5"/>
    </row>
    <row r="16228" spans="1:1" x14ac:dyDescent="0.25">
      <c r="A16228" s="5"/>
    </row>
    <row r="16229" spans="1:1" x14ac:dyDescent="0.25">
      <c r="A16229" s="5"/>
    </row>
    <row r="16230" spans="1:1" x14ac:dyDescent="0.25">
      <c r="A16230" s="5"/>
    </row>
    <row r="16231" spans="1:1" x14ac:dyDescent="0.25">
      <c r="A16231" s="5"/>
    </row>
    <row r="16232" spans="1:1" x14ac:dyDescent="0.25">
      <c r="A16232" s="5"/>
    </row>
    <row r="16233" spans="1:1" x14ac:dyDescent="0.25">
      <c r="A16233" s="5"/>
    </row>
    <row r="16234" spans="1:1" x14ac:dyDescent="0.25">
      <c r="A16234" s="5"/>
    </row>
    <row r="16235" spans="1:1" x14ac:dyDescent="0.25">
      <c r="A16235" s="5"/>
    </row>
    <row r="16236" spans="1:1" x14ac:dyDescent="0.25">
      <c r="A16236" s="5"/>
    </row>
    <row r="16237" spans="1:1" x14ac:dyDescent="0.25">
      <c r="A16237" s="5"/>
    </row>
    <row r="16238" spans="1:1" x14ac:dyDescent="0.25">
      <c r="A16238" s="5"/>
    </row>
    <row r="16239" spans="1:1" x14ac:dyDescent="0.25">
      <c r="A16239" s="5"/>
    </row>
    <row r="16240" spans="1:1" x14ac:dyDescent="0.25">
      <c r="A16240" s="5"/>
    </row>
    <row r="16241" spans="1:1" x14ac:dyDescent="0.25">
      <c r="A16241" s="5"/>
    </row>
    <row r="16242" spans="1:1" x14ac:dyDescent="0.25">
      <c r="A16242" s="5"/>
    </row>
    <row r="16243" spans="1:1" x14ac:dyDescent="0.25">
      <c r="A16243" s="5"/>
    </row>
    <row r="16244" spans="1:1" x14ac:dyDescent="0.25">
      <c r="A16244" s="5"/>
    </row>
    <row r="16245" spans="1:1" x14ac:dyDescent="0.25">
      <c r="A16245" s="5"/>
    </row>
    <row r="16246" spans="1:1" x14ac:dyDescent="0.25">
      <c r="A16246" s="5"/>
    </row>
    <row r="16247" spans="1:1" x14ac:dyDescent="0.25">
      <c r="A16247" s="5"/>
    </row>
    <row r="16248" spans="1:1" x14ac:dyDescent="0.25">
      <c r="A16248" s="5"/>
    </row>
    <row r="16249" spans="1:1" x14ac:dyDescent="0.25">
      <c r="A16249" s="5"/>
    </row>
    <row r="16250" spans="1:1" x14ac:dyDescent="0.25">
      <c r="A16250" s="5"/>
    </row>
    <row r="16251" spans="1:1" x14ac:dyDescent="0.25">
      <c r="A16251" s="5"/>
    </row>
    <row r="16252" spans="1:1" x14ac:dyDescent="0.25">
      <c r="A16252" s="5"/>
    </row>
    <row r="16253" spans="1:1" x14ac:dyDescent="0.25">
      <c r="A16253" s="5"/>
    </row>
    <row r="16254" spans="1:1" x14ac:dyDescent="0.25">
      <c r="A16254" s="5"/>
    </row>
    <row r="16255" spans="1:1" x14ac:dyDescent="0.25">
      <c r="A16255" s="5"/>
    </row>
    <row r="16256" spans="1:1" x14ac:dyDescent="0.25">
      <c r="A16256" s="5"/>
    </row>
    <row r="16257" spans="1:1" x14ac:dyDescent="0.25">
      <c r="A16257" s="5"/>
    </row>
    <row r="16258" spans="1:1" x14ac:dyDescent="0.25">
      <c r="A16258" s="5"/>
    </row>
    <row r="16259" spans="1:1" x14ac:dyDescent="0.25">
      <c r="A16259" s="5"/>
    </row>
    <row r="16260" spans="1:1" x14ac:dyDescent="0.25">
      <c r="A16260" s="5"/>
    </row>
    <row r="16261" spans="1:1" x14ac:dyDescent="0.25">
      <c r="A16261" s="5"/>
    </row>
    <row r="16262" spans="1:1" x14ac:dyDescent="0.25">
      <c r="A16262" s="5"/>
    </row>
    <row r="16263" spans="1:1" x14ac:dyDescent="0.25">
      <c r="A16263" s="5"/>
    </row>
    <row r="16264" spans="1:1" x14ac:dyDescent="0.25">
      <c r="A16264" s="5"/>
    </row>
    <row r="16265" spans="1:1" x14ac:dyDescent="0.25">
      <c r="A16265" s="5"/>
    </row>
    <row r="16266" spans="1:1" x14ac:dyDescent="0.25">
      <c r="A16266" s="5"/>
    </row>
    <row r="16267" spans="1:1" x14ac:dyDescent="0.25">
      <c r="A16267" s="5"/>
    </row>
    <row r="16268" spans="1:1" x14ac:dyDescent="0.25">
      <c r="A16268" s="5"/>
    </row>
    <row r="16269" spans="1:1" x14ac:dyDescent="0.25">
      <c r="A16269" s="5"/>
    </row>
    <row r="16270" spans="1:1" x14ac:dyDescent="0.25">
      <c r="A16270" s="5"/>
    </row>
    <row r="16271" spans="1:1" x14ac:dyDescent="0.25">
      <c r="A16271" s="5"/>
    </row>
    <row r="16272" spans="1:1" x14ac:dyDescent="0.25">
      <c r="A16272" s="5"/>
    </row>
    <row r="16273" spans="1:1" x14ac:dyDescent="0.25">
      <c r="A16273" s="5"/>
    </row>
    <row r="16274" spans="1:1" x14ac:dyDescent="0.25">
      <c r="A16274" s="5"/>
    </row>
    <row r="16275" spans="1:1" x14ac:dyDescent="0.25">
      <c r="A16275" s="5"/>
    </row>
    <row r="16276" spans="1:1" x14ac:dyDescent="0.25">
      <c r="A16276" s="5"/>
    </row>
    <row r="16277" spans="1:1" x14ac:dyDescent="0.25">
      <c r="A16277" s="5"/>
    </row>
    <row r="16278" spans="1:1" x14ac:dyDescent="0.25">
      <c r="A16278" s="5"/>
    </row>
    <row r="16279" spans="1:1" x14ac:dyDescent="0.25">
      <c r="A16279" s="5"/>
    </row>
    <row r="16280" spans="1:1" x14ac:dyDescent="0.25">
      <c r="A16280" s="5"/>
    </row>
    <row r="16281" spans="1:1" x14ac:dyDescent="0.25">
      <c r="A16281" s="5"/>
    </row>
    <row r="16282" spans="1:1" x14ac:dyDescent="0.25">
      <c r="A16282" s="5"/>
    </row>
    <row r="16283" spans="1:1" x14ac:dyDescent="0.25">
      <c r="A16283" s="5"/>
    </row>
    <row r="16284" spans="1:1" x14ac:dyDescent="0.25">
      <c r="A16284" s="5"/>
    </row>
    <row r="16285" spans="1:1" x14ac:dyDescent="0.25">
      <c r="A16285" s="5"/>
    </row>
    <row r="16286" spans="1:1" x14ac:dyDescent="0.25">
      <c r="A16286" s="5"/>
    </row>
    <row r="16287" spans="1:1" x14ac:dyDescent="0.25">
      <c r="A16287" s="5"/>
    </row>
    <row r="16288" spans="1:1" x14ac:dyDescent="0.25">
      <c r="A16288" s="5"/>
    </row>
    <row r="16289" spans="1:1" x14ac:dyDescent="0.25">
      <c r="A16289" s="5"/>
    </row>
    <row r="16290" spans="1:1" x14ac:dyDescent="0.25">
      <c r="A16290" s="5"/>
    </row>
    <row r="16291" spans="1:1" x14ac:dyDescent="0.25">
      <c r="A16291" s="5"/>
    </row>
    <row r="16292" spans="1:1" x14ac:dyDescent="0.25">
      <c r="A16292" s="5"/>
    </row>
    <row r="16293" spans="1:1" x14ac:dyDescent="0.25">
      <c r="A16293" s="5"/>
    </row>
    <row r="16294" spans="1:1" x14ac:dyDescent="0.25">
      <c r="A16294" s="5"/>
    </row>
    <row r="16295" spans="1:1" x14ac:dyDescent="0.25">
      <c r="A16295" s="5"/>
    </row>
    <row r="16296" spans="1:1" x14ac:dyDescent="0.25">
      <c r="A16296" s="5"/>
    </row>
    <row r="16297" spans="1:1" x14ac:dyDescent="0.25">
      <c r="A16297" s="5"/>
    </row>
    <row r="16298" spans="1:1" x14ac:dyDescent="0.25">
      <c r="A16298" s="5"/>
    </row>
    <row r="16299" spans="1:1" x14ac:dyDescent="0.25">
      <c r="A16299" s="5"/>
    </row>
    <row r="16300" spans="1:1" x14ac:dyDescent="0.25">
      <c r="A16300" s="5"/>
    </row>
    <row r="16301" spans="1:1" x14ac:dyDescent="0.25">
      <c r="A16301" s="5"/>
    </row>
    <row r="16302" spans="1:1" x14ac:dyDescent="0.25">
      <c r="A16302" s="5"/>
    </row>
    <row r="16303" spans="1:1" x14ac:dyDescent="0.25">
      <c r="A16303" s="5"/>
    </row>
    <row r="16304" spans="1:1" x14ac:dyDescent="0.25">
      <c r="A16304" s="5"/>
    </row>
    <row r="16305" spans="1:1" x14ac:dyDescent="0.25">
      <c r="A16305" s="5"/>
    </row>
    <row r="16306" spans="1:1" x14ac:dyDescent="0.25">
      <c r="A16306" s="5"/>
    </row>
    <row r="16307" spans="1:1" x14ac:dyDescent="0.25">
      <c r="A16307" s="5"/>
    </row>
    <row r="16308" spans="1:1" x14ac:dyDescent="0.25">
      <c r="A16308" s="5"/>
    </row>
    <row r="16309" spans="1:1" x14ac:dyDescent="0.25">
      <c r="A16309" s="5"/>
    </row>
    <row r="16310" spans="1:1" x14ac:dyDescent="0.25">
      <c r="A16310" s="5"/>
    </row>
    <row r="16311" spans="1:1" x14ac:dyDescent="0.25">
      <c r="A16311" s="5"/>
    </row>
    <row r="16312" spans="1:1" x14ac:dyDescent="0.25">
      <c r="A16312" s="5"/>
    </row>
    <row r="16313" spans="1:1" x14ac:dyDescent="0.25">
      <c r="A16313" s="5"/>
    </row>
    <row r="16314" spans="1:1" x14ac:dyDescent="0.25">
      <c r="A16314" s="5"/>
    </row>
    <row r="16315" spans="1:1" x14ac:dyDescent="0.25">
      <c r="A16315" s="5"/>
    </row>
    <row r="16316" spans="1:1" x14ac:dyDescent="0.25">
      <c r="A16316" s="5"/>
    </row>
    <row r="16317" spans="1:1" x14ac:dyDescent="0.25">
      <c r="A16317" s="5"/>
    </row>
    <row r="16318" spans="1:1" x14ac:dyDescent="0.25">
      <c r="A16318" s="5"/>
    </row>
    <row r="16319" spans="1:1" x14ac:dyDescent="0.25">
      <c r="A16319" s="5"/>
    </row>
    <row r="16320" spans="1:1" x14ac:dyDescent="0.25">
      <c r="A16320" s="5"/>
    </row>
    <row r="16321" spans="1:1" x14ac:dyDescent="0.25">
      <c r="A16321" s="5"/>
    </row>
    <row r="16322" spans="1:1" x14ac:dyDescent="0.25">
      <c r="A16322" s="5"/>
    </row>
    <row r="16323" spans="1:1" x14ac:dyDescent="0.25">
      <c r="A16323" s="5"/>
    </row>
    <row r="16324" spans="1:1" x14ac:dyDescent="0.25">
      <c r="A16324" s="5"/>
    </row>
    <row r="16325" spans="1:1" x14ac:dyDescent="0.25">
      <c r="A16325" s="5"/>
    </row>
    <row r="16326" spans="1:1" x14ac:dyDescent="0.25">
      <c r="A16326" s="5"/>
    </row>
    <row r="16327" spans="1:1" x14ac:dyDescent="0.25">
      <c r="A16327" s="5"/>
    </row>
    <row r="16328" spans="1:1" x14ac:dyDescent="0.25">
      <c r="A16328" s="5"/>
    </row>
    <row r="16329" spans="1:1" x14ac:dyDescent="0.25">
      <c r="A16329" s="5"/>
    </row>
    <row r="16330" spans="1:1" x14ac:dyDescent="0.25">
      <c r="A16330" s="5"/>
    </row>
    <row r="16331" spans="1:1" x14ac:dyDescent="0.25">
      <c r="A16331" s="5"/>
    </row>
    <row r="16332" spans="1:1" x14ac:dyDescent="0.25">
      <c r="A16332" s="5"/>
    </row>
    <row r="16333" spans="1:1" x14ac:dyDescent="0.25">
      <c r="A16333" s="5"/>
    </row>
    <row r="16334" spans="1:1" x14ac:dyDescent="0.25">
      <c r="A16334" s="5"/>
    </row>
    <row r="16335" spans="1:1" x14ac:dyDescent="0.25">
      <c r="A16335" s="5"/>
    </row>
    <row r="16336" spans="1:1" x14ac:dyDescent="0.25">
      <c r="A16336" s="5"/>
    </row>
    <row r="16337" spans="1:1" x14ac:dyDescent="0.25">
      <c r="A16337" s="5"/>
    </row>
    <row r="16338" spans="1:1" x14ac:dyDescent="0.25">
      <c r="A16338" s="5"/>
    </row>
    <row r="16339" spans="1:1" x14ac:dyDescent="0.25">
      <c r="A16339" s="5"/>
    </row>
    <row r="16340" spans="1:1" x14ac:dyDescent="0.25">
      <c r="A16340" s="5"/>
    </row>
    <row r="16341" spans="1:1" x14ac:dyDescent="0.25">
      <c r="A16341" s="5"/>
    </row>
    <row r="16342" spans="1:1" x14ac:dyDescent="0.25">
      <c r="A16342" s="5"/>
    </row>
    <row r="16343" spans="1:1" x14ac:dyDescent="0.25">
      <c r="A16343" s="5"/>
    </row>
    <row r="16344" spans="1:1" x14ac:dyDescent="0.25">
      <c r="A16344" s="5"/>
    </row>
    <row r="16345" spans="1:1" x14ac:dyDescent="0.25">
      <c r="A16345" s="5"/>
    </row>
    <row r="16346" spans="1:1" x14ac:dyDescent="0.25">
      <c r="A16346" s="5"/>
    </row>
    <row r="16347" spans="1:1" x14ac:dyDescent="0.25">
      <c r="A16347" s="5"/>
    </row>
    <row r="16348" spans="1:1" x14ac:dyDescent="0.25">
      <c r="A16348" s="5"/>
    </row>
    <row r="16349" spans="1:1" x14ac:dyDescent="0.25">
      <c r="A16349" s="5"/>
    </row>
    <row r="16350" spans="1:1" x14ac:dyDescent="0.25">
      <c r="A16350" s="5"/>
    </row>
    <row r="16351" spans="1:1" x14ac:dyDescent="0.25">
      <c r="A16351" s="5"/>
    </row>
    <row r="16352" spans="1:1" x14ac:dyDescent="0.25">
      <c r="A16352" s="5"/>
    </row>
    <row r="16353" spans="1:1" x14ac:dyDescent="0.25">
      <c r="A16353" s="5"/>
    </row>
    <row r="16354" spans="1:1" x14ac:dyDescent="0.25">
      <c r="A16354" s="5"/>
    </row>
    <row r="16355" spans="1:1" x14ac:dyDescent="0.25">
      <c r="A16355" s="5"/>
    </row>
    <row r="16356" spans="1:1" x14ac:dyDescent="0.25">
      <c r="A16356" s="5"/>
    </row>
    <row r="16357" spans="1:1" x14ac:dyDescent="0.25">
      <c r="A16357" s="5"/>
    </row>
    <row r="16358" spans="1:1" x14ac:dyDescent="0.25">
      <c r="A16358" s="5"/>
    </row>
    <row r="16359" spans="1:1" x14ac:dyDescent="0.25">
      <c r="A16359" s="5"/>
    </row>
    <row r="16360" spans="1:1" x14ac:dyDescent="0.25">
      <c r="A16360" s="5"/>
    </row>
    <row r="16361" spans="1:1" x14ac:dyDescent="0.25">
      <c r="A16361" s="5"/>
    </row>
    <row r="16362" spans="1:1" x14ac:dyDescent="0.25">
      <c r="A16362" s="5"/>
    </row>
    <row r="16363" spans="1:1" x14ac:dyDescent="0.25">
      <c r="A16363" s="5"/>
    </row>
    <row r="16364" spans="1:1" x14ac:dyDescent="0.25">
      <c r="A16364" s="5"/>
    </row>
    <row r="16365" spans="1:1" x14ac:dyDescent="0.25">
      <c r="A16365" s="5"/>
    </row>
    <row r="16366" spans="1:1" x14ac:dyDescent="0.25">
      <c r="A16366" s="5"/>
    </row>
    <row r="16367" spans="1:1" x14ac:dyDescent="0.25">
      <c r="A16367" s="5"/>
    </row>
    <row r="16368" spans="1:1" x14ac:dyDescent="0.25">
      <c r="A16368" s="5"/>
    </row>
    <row r="16369" spans="1:1" x14ac:dyDescent="0.25">
      <c r="A16369" s="5"/>
    </row>
    <row r="16370" spans="1:1" x14ac:dyDescent="0.25">
      <c r="A16370" s="5"/>
    </row>
  </sheetData>
  <sheetProtection algorithmName="SHA-512" hashValue="48ZYdKLV2ihyzoeiSNPG6C6WZDAKTSxQ+Uy9tTjqMRtPlUqPyqNGULyo1u7n9m6nfXXo8EeV+UrdkldHnFCKrA==" saltValue="sFI0ohcjj7P3lIMOwdUXpA=="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STANDARDS - FEMALE SOLO BICYCLE</oddHeader>
    <oddFooter>&amp;L&amp;F&amp;CPage &amp;P of &amp;N&amp;R&amp;D</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914C8-4B02-4E11-9659-CB1FF94AC8B9}">
  <sheetPr codeName="Sheet24">
    <pageSetUpPr fitToPage="1"/>
  </sheetPr>
  <dimension ref="A1:T16370"/>
  <sheetViews>
    <sheetView zoomScale="75" zoomScaleNormal="75" workbookViewId="0"/>
  </sheetViews>
  <sheetFormatPr defaultRowHeight="15" x14ac:dyDescent="0.25"/>
  <cols>
    <col min="1" max="1" width="4.5703125" style="3" customWidth="1"/>
    <col min="2" max="9" width="8.5703125" customWidth="1"/>
    <col min="10" max="11" width="4.5703125" customWidth="1"/>
    <col min="12" max="19" width="8.5703125" customWidth="1"/>
  </cols>
  <sheetData>
    <row r="1" spans="1:19" s="11" customFormat="1" x14ac:dyDescent="0.25">
      <c r="A1" s="9" t="s">
        <v>1</v>
      </c>
      <c r="B1" s="10" t="s">
        <v>13</v>
      </c>
      <c r="C1" s="10" t="s">
        <v>14</v>
      </c>
      <c r="D1" s="10" t="s">
        <v>15</v>
      </c>
      <c r="E1" s="10" t="s">
        <v>16</v>
      </c>
      <c r="F1" s="10" t="s">
        <v>17</v>
      </c>
      <c r="G1" s="10" t="s">
        <v>18</v>
      </c>
      <c r="H1" s="10" t="s">
        <v>19</v>
      </c>
      <c r="I1" s="10" t="s">
        <v>20</v>
      </c>
      <c r="J1" s="12"/>
      <c r="K1" s="9" t="s">
        <v>1</v>
      </c>
      <c r="L1" s="10" t="s">
        <v>13</v>
      </c>
      <c r="M1" s="10" t="s">
        <v>14</v>
      </c>
      <c r="N1" s="10" t="s">
        <v>15</v>
      </c>
      <c r="O1" s="10" t="s">
        <v>16</v>
      </c>
      <c r="P1" s="10" t="s">
        <v>17</v>
      </c>
      <c r="Q1" s="10" t="s">
        <v>18</v>
      </c>
      <c r="R1" s="10" t="s">
        <v>19</v>
      </c>
      <c r="S1" s="10" t="s">
        <v>20</v>
      </c>
    </row>
    <row r="2" spans="1:19" x14ac:dyDescent="0.25">
      <c r="A2" s="4">
        <f>'All Solo Standards'!A33</f>
        <v>40</v>
      </c>
      <c r="B2" s="3" t="str">
        <f>'All Solo Standards'!R33</f>
        <v>28:01</v>
      </c>
      <c r="C2" s="3" t="str">
        <f>'All Solo Standards'!S33</f>
        <v>42:11</v>
      </c>
      <c r="D2" s="3" t="str">
        <f>'All Solo Standards'!T33</f>
        <v>1:10:47</v>
      </c>
      <c r="E2" s="3" t="str">
        <f>'All Solo Standards'!U33</f>
        <v>1:25:14</v>
      </c>
      <c r="F2" s="3" t="str">
        <f>'All Solo Standards'!V33</f>
        <v>2:24:03</v>
      </c>
      <c r="G2" s="3" t="str">
        <f>'All Solo Standards'!W33</f>
        <v>4:58:37</v>
      </c>
      <c r="H2" s="46" t="str">
        <f>'All Solo Standards'!X33</f>
        <v>201.18</v>
      </c>
      <c r="I2" s="46" t="str">
        <f>'All Solo Standards'!Y33</f>
        <v>339.91</v>
      </c>
      <c r="K2" s="59">
        <f>'All Solo Standards'!A61</f>
        <v>68</v>
      </c>
      <c r="L2" s="3" t="str">
        <f>'All Solo Standards'!R61</f>
        <v>31:26</v>
      </c>
      <c r="M2" s="3" t="str">
        <f>'All Solo Standards'!S61</f>
        <v>47:22</v>
      </c>
      <c r="N2" s="3" t="str">
        <f>'All Solo Standards'!T61</f>
        <v>1:19:38</v>
      </c>
      <c r="O2" s="3" t="str">
        <f>'All Solo Standards'!U61</f>
        <v>1:35:59</v>
      </c>
      <c r="P2" s="3" t="str">
        <f>'All Solo Standards'!V61</f>
        <v>2:42:53</v>
      </c>
      <c r="Q2" s="3" t="str">
        <f>'All Solo Standards'!W61</f>
        <v>5:41:26</v>
      </c>
      <c r="R2" s="47" t="str">
        <f>'All Solo Standards'!X61</f>
        <v>156.71</v>
      </c>
      <c r="S2" s="47" t="str">
        <f>'All Solo Standards'!Y61</f>
        <v>252.44</v>
      </c>
    </row>
    <row r="3" spans="1:19" x14ac:dyDescent="0.25">
      <c r="A3" s="4">
        <f>'All Solo Standards'!A34</f>
        <v>41</v>
      </c>
      <c r="B3" s="3" t="str">
        <f>'All Solo Standards'!R34</f>
        <v>28:04</v>
      </c>
      <c r="C3" s="3" t="str">
        <f>'All Solo Standards'!S34</f>
        <v>42:14</v>
      </c>
      <c r="D3" s="3" t="str">
        <f>'All Solo Standards'!T34</f>
        <v>1:10:53</v>
      </c>
      <c r="E3" s="3" t="str">
        <f>'All Solo Standards'!U34</f>
        <v>1:25:22</v>
      </c>
      <c r="F3" s="3" t="str">
        <f>'All Solo Standards'!V34</f>
        <v>2:24:17</v>
      </c>
      <c r="G3" s="3" t="str">
        <f>'All Solo Standards'!W34</f>
        <v>4:59:09</v>
      </c>
      <c r="H3" s="46" t="str">
        <f>'All Solo Standards'!X34</f>
        <v>200.54</v>
      </c>
      <c r="I3" s="46" t="str">
        <f>'All Solo Standards'!Y34</f>
        <v>338.63</v>
      </c>
      <c r="K3" s="59">
        <f>'All Solo Standards'!A62</f>
        <v>69</v>
      </c>
      <c r="L3" s="45" t="str">
        <f>'All Solo Standards'!R62</f>
        <v>31:39</v>
      </c>
      <c r="M3" s="45" t="str">
        <f>'All Solo Standards'!S62</f>
        <v>47:42</v>
      </c>
      <c r="N3" s="45" t="str">
        <f>'All Solo Standards'!T62</f>
        <v>1:20:12</v>
      </c>
      <c r="O3" s="45" t="str">
        <f>'All Solo Standards'!U62</f>
        <v>1:36:40</v>
      </c>
      <c r="P3" s="45" t="str">
        <f>'All Solo Standards'!V62</f>
        <v>2:44:06</v>
      </c>
      <c r="Q3" s="45" t="str">
        <f>'All Solo Standards'!W62</f>
        <v>5:44:15</v>
      </c>
      <c r="R3" s="49" t="str">
        <f>'All Solo Standards'!X62</f>
        <v>154.31</v>
      </c>
      <c r="S3" s="49" t="str">
        <f>'All Solo Standards'!Y62</f>
        <v>247.80</v>
      </c>
    </row>
    <row r="4" spans="1:19" x14ac:dyDescent="0.25">
      <c r="A4" s="4">
        <f>'All Solo Standards'!A35</f>
        <v>42</v>
      </c>
      <c r="B4" s="3" t="str">
        <f>'All Solo Standards'!R35</f>
        <v>28:07</v>
      </c>
      <c r="C4" s="3" t="str">
        <f>'All Solo Standards'!S35</f>
        <v>42:19</v>
      </c>
      <c r="D4" s="3" t="str">
        <f>'All Solo Standards'!T35</f>
        <v>1:11:01</v>
      </c>
      <c r="E4" s="3" t="str">
        <f>'All Solo Standards'!U35</f>
        <v>1:25:31</v>
      </c>
      <c r="F4" s="3" t="str">
        <f>'All Solo Standards'!V35</f>
        <v>2:24:33</v>
      </c>
      <c r="G4" s="3" t="str">
        <f>'All Solo Standards'!W35</f>
        <v>4:59:44</v>
      </c>
      <c r="H4" s="46" t="str">
        <f>'All Solo Standards'!X35</f>
        <v>199.80</v>
      </c>
      <c r="I4" s="46" t="str">
        <f>'All Solo Standards'!Y35</f>
        <v>337.16</v>
      </c>
      <c r="K4" s="59">
        <f>'All Solo Standards'!A63</f>
        <v>70</v>
      </c>
      <c r="L4" s="3" t="str">
        <f>'All Solo Standards'!R63</f>
        <v>31:53</v>
      </c>
      <c r="M4" s="3" t="str">
        <f>'All Solo Standards'!S63</f>
        <v>48:02</v>
      </c>
      <c r="N4" s="3" t="str">
        <f>'All Solo Standards'!T63</f>
        <v>1:20:47</v>
      </c>
      <c r="O4" s="3" t="str">
        <f>'All Solo Standards'!U63</f>
        <v>1:37:23</v>
      </c>
      <c r="P4" s="3" t="str">
        <f>'All Solo Standards'!V63</f>
        <v>2:45:21</v>
      </c>
      <c r="Q4" s="3" t="str">
        <f>'All Solo Standards'!W63</f>
        <v>5:47:11</v>
      </c>
      <c r="R4" s="47" t="str">
        <f>'All Solo Standards'!X63</f>
        <v>151.87</v>
      </c>
      <c r="S4" s="47" t="str">
        <f>'All Solo Standards'!Y63</f>
        <v>243.06</v>
      </c>
    </row>
    <row r="5" spans="1:19" x14ac:dyDescent="0.25">
      <c r="A5" s="4">
        <f>'All Solo Standards'!A36</f>
        <v>43</v>
      </c>
      <c r="B5" s="3" t="str">
        <f>'All Solo Standards'!R36</f>
        <v>28:10</v>
      </c>
      <c r="C5" s="3" t="str">
        <f>'All Solo Standards'!S36</f>
        <v>42:24</v>
      </c>
      <c r="D5" s="3" t="str">
        <f>'All Solo Standards'!T36</f>
        <v>1:11:10</v>
      </c>
      <c r="E5" s="3" t="str">
        <f>'All Solo Standards'!U36</f>
        <v>1:25:41</v>
      </c>
      <c r="F5" s="3" t="str">
        <f>'All Solo Standards'!V36</f>
        <v>2:24:51</v>
      </c>
      <c r="G5" s="3" t="str">
        <f>'All Solo Standards'!W36</f>
        <v>5:00:25</v>
      </c>
      <c r="H5" s="46" t="str">
        <f>'All Solo Standards'!X36</f>
        <v>198.97</v>
      </c>
      <c r="I5" s="46" t="str">
        <f>'All Solo Standards'!Y36</f>
        <v>335.51</v>
      </c>
      <c r="K5" s="59">
        <f>'All Solo Standards'!A64</f>
        <v>71</v>
      </c>
      <c r="L5" s="3" t="str">
        <f>'All Solo Standards'!R64</f>
        <v>32:07</v>
      </c>
      <c r="M5" s="3" t="str">
        <f>'All Solo Standards'!S64</f>
        <v>48:23</v>
      </c>
      <c r="N5" s="3" t="str">
        <f>'All Solo Standards'!T64</f>
        <v>1:21:24</v>
      </c>
      <c r="O5" s="3" t="str">
        <f>'All Solo Standards'!U64</f>
        <v>1:38:08</v>
      </c>
      <c r="P5" s="3" t="str">
        <f>'All Solo Standards'!V64</f>
        <v>2:46:40</v>
      </c>
      <c r="Q5" s="3" t="str">
        <f>'All Solo Standards'!W64</f>
        <v>5:50:15</v>
      </c>
      <c r="R5" s="47" t="str">
        <f>'All Solo Standards'!X64</f>
        <v>149.37</v>
      </c>
      <c r="S5" s="47" t="str">
        <f>'All Solo Standards'!Y64</f>
        <v>238.24</v>
      </c>
    </row>
    <row r="6" spans="1:19" x14ac:dyDescent="0.25">
      <c r="A6" s="4">
        <f>'All Solo Standards'!A37</f>
        <v>44</v>
      </c>
      <c r="B6" s="3" t="str">
        <f>'All Solo Standards'!R37</f>
        <v>28:14</v>
      </c>
      <c r="C6" s="3" t="str">
        <f>'All Solo Standards'!S37</f>
        <v>42:30</v>
      </c>
      <c r="D6" s="3" t="str">
        <f>'All Solo Standards'!T37</f>
        <v>1:11:19</v>
      </c>
      <c r="E6" s="3" t="str">
        <f>'All Solo Standards'!U37</f>
        <v>1:25:53</v>
      </c>
      <c r="F6" s="3" t="str">
        <f>'All Solo Standards'!V37</f>
        <v>2:25:11</v>
      </c>
      <c r="G6" s="3" t="str">
        <f>'All Solo Standards'!W37</f>
        <v>5:01:09</v>
      </c>
      <c r="H6" s="46" t="str">
        <f>'All Solo Standards'!X37</f>
        <v>198.06</v>
      </c>
      <c r="I6" s="46" t="str">
        <f>'All Solo Standards'!Y37</f>
        <v>333.70</v>
      </c>
      <c r="K6" s="59">
        <f>'All Solo Standards'!A65</f>
        <v>72</v>
      </c>
      <c r="L6" s="3" t="str">
        <f>'All Solo Standards'!R65</f>
        <v>32:21</v>
      </c>
      <c r="M6" s="3" t="str">
        <f>'All Solo Standards'!S65</f>
        <v>48:46</v>
      </c>
      <c r="N6" s="3" t="str">
        <f>'All Solo Standards'!T65</f>
        <v>1:22:02</v>
      </c>
      <c r="O6" s="3" t="str">
        <f>'All Solo Standards'!U65</f>
        <v>1:38:54</v>
      </c>
      <c r="P6" s="3" t="str">
        <f>'All Solo Standards'!V65</f>
        <v>2:48:02</v>
      </c>
      <c r="Q6" s="3" t="str">
        <f>'All Solo Standards'!W65</f>
        <v>5:53:28</v>
      </c>
      <c r="R6" s="47" t="str">
        <f>'All Solo Standards'!X65</f>
        <v>146.83</v>
      </c>
      <c r="S6" s="47" t="str">
        <f>'All Solo Standards'!Y65</f>
        <v>233.34</v>
      </c>
    </row>
    <row r="7" spans="1:19" x14ac:dyDescent="0.25">
      <c r="A7" s="4">
        <f>'All Solo Standards'!A38</f>
        <v>45</v>
      </c>
      <c r="B7" s="3" t="str">
        <f>'All Solo Standards'!R38</f>
        <v>28:18</v>
      </c>
      <c r="C7" s="3" t="str">
        <f>'All Solo Standards'!S38</f>
        <v>42:36</v>
      </c>
      <c r="D7" s="3" t="str">
        <f>'All Solo Standards'!T38</f>
        <v>1:11:29</v>
      </c>
      <c r="E7" s="3" t="str">
        <f>'All Solo Standards'!U38</f>
        <v>1:26:06</v>
      </c>
      <c r="F7" s="3" t="str">
        <f>'All Solo Standards'!V38</f>
        <v>2:25:33</v>
      </c>
      <c r="G7" s="3" t="str">
        <f>'All Solo Standards'!W38</f>
        <v>5:01:58</v>
      </c>
      <c r="H7" s="46" t="str">
        <f>'All Solo Standards'!X38</f>
        <v>197.06</v>
      </c>
      <c r="I7" s="46" t="str">
        <f>'All Solo Standards'!Y38</f>
        <v>331.72</v>
      </c>
      <c r="K7" s="59">
        <f>'All Solo Standards'!A66</f>
        <v>73</v>
      </c>
      <c r="L7" s="3" t="str">
        <f>'All Solo Standards'!R66</f>
        <v>32:36</v>
      </c>
      <c r="M7" s="3" t="str">
        <f>'All Solo Standards'!S66</f>
        <v>49:09</v>
      </c>
      <c r="N7" s="3" t="str">
        <f>'All Solo Standards'!T66</f>
        <v>1:22:41</v>
      </c>
      <c r="O7" s="3" t="str">
        <f>'All Solo Standards'!U66</f>
        <v>1:39:42</v>
      </c>
      <c r="P7" s="3" t="str">
        <f>'All Solo Standards'!V66</f>
        <v>2:49:28</v>
      </c>
      <c r="Q7" s="3" t="str">
        <f>'All Solo Standards'!W66</f>
        <v>5:56:49</v>
      </c>
      <c r="R7" s="47" t="str">
        <f>'All Solo Standards'!X66</f>
        <v>144.24</v>
      </c>
      <c r="S7" s="47" t="str">
        <f>'All Solo Standards'!Y66</f>
        <v>228.35</v>
      </c>
    </row>
    <row r="8" spans="1:19" x14ac:dyDescent="0.25">
      <c r="A8" s="4">
        <f>'All Solo Standards'!A39</f>
        <v>46</v>
      </c>
      <c r="B8" s="3" t="str">
        <f>'All Solo Standards'!R39</f>
        <v>28:22</v>
      </c>
      <c r="C8" s="3" t="str">
        <f>'All Solo Standards'!S39</f>
        <v>42:42</v>
      </c>
      <c r="D8" s="3" t="str">
        <f>'All Solo Standards'!T39</f>
        <v>1:11:41</v>
      </c>
      <c r="E8" s="3" t="str">
        <f>'All Solo Standards'!U39</f>
        <v>1:26:19</v>
      </c>
      <c r="F8" s="3" t="str">
        <f>'All Solo Standards'!V39</f>
        <v>2:25:57</v>
      </c>
      <c r="G8" s="3" t="str">
        <f>'All Solo Standards'!W39</f>
        <v>5:02:51</v>
      </c>
      <c r="H8" s="46" t="str">
        <f>'All Solo Standards'!X39</f>
        <v>195.99</v>
      </c>
      <c r="I8" s="46" t="str">
        <f>'All Solo Standards'!Y39</f>
        <v>329.59</v>
      </c>
      <c r="K8" s="59">
        <f>'All Solo Standards'!A67</f>
        <v>74</v>
      </c>
      <c r="L8" s="3" t="str">
        <f>'All Solo Standards'!R67</f>
        <v>32:52</v>
      </c>
      <c r="M8" s="3" t="str">
        <f>'All Solo Standards'!S67</f>
        <v>49:33</v>
      </c>
      <c r="N8" s="3" t="str">
        <f>'All Solo Standards'!T67</f>
        <v>1:23:23</v>
      </c>
      <c r="O8" s="3" t="str">
        <f>'All Solo Standards'!U67</f>
        <v>1:40:33</v>
      </c>
      <c r="P8" s="3" t="str">
        <f>'All Solo Standards'!V67</f>
        <v>2:50:57</v>
      </c>
      <c r="Q8" s="3" t="str">
        <f>'All Solo Standards'!W67</f>
        <v>6:00:20</v>
      </c>
      <c r="R8" s="47" t="str">
        <f>'All Solo Standards'!X67</f>
        <v>141.60</v>
      </c>
      <c r="S8" s="47" t="str">
        <f>'All Solo Standards'!Y67</f>
        <v>223.27</v>
      </c>
    </row>
    <row r="9" spans="1:19" x14ac:dyDescent="0.25">
      <c r="A9" s="4">
        <f>'All Solo Standards'!A40</f>
        <v>47</v>
      </c>
      <c r="B9" s="3" t="str">
        <f>'All Solo Standards'!R40</f>
        <v>28:27</v>
      </c>
      <c r="C9" s="3" t="str">
        <f>'All Solo Standards'!S40</f>
        <v>42:49</v>
      </c>
      <c r="D9" s="3" t="str">
        <f>'All Solo Standards'!T40</f>
        <v>1:11:53</v>
      </c>
      <c r="E9" s="3" t="str">
        <f>'All Solo Standards'!U40</f>
        <v>1:26:34</v>
      </c>
      <c r="F9" s="3" t="str">
        <f>'All Solo Standards'!V40</f>
        <v>2:26:23</v>
      </c>
      <c r="G9" s="3" t="str">
        <f>'All Solo Standards'!W40</f>
        <v>5:03:49</v>
      </c>
      <c r="H9" s="46" t="str">
        <f>'All Solo Standards'!X40</f>
        <v>194.84</v>
      </c>
      <c r="I9" s="46" t="str">
        <f>'All Solo Standards'!Y40</f>
        <v>327.32</v>
      </c>
      <c r="K9" s="59">
        <f>'All Solo Standards'!A68</f>
        <v>75</v>
      </c>
      <c r="L9" s="3" t="str">
        <f>'All Solo Standards'!R68</f>
        <v>33:09</v>
      </c>
      <c r="M9" s="3" t="str">
        <f>'All Solo Standards'!S68</f>
        <v>49:57</v>
      </c>
      <c r="N9" s="3" t="str">
        <f>'All Solo Standards'!T68</f>
        <v>1:24:05</v>
      </c>
      <c r="O9" s="3" t="str">
        <f>'All Solo Standards'!U68</f>
        <v>1:41:25</v>
      </c>
      <c r="P9" s="3" t="str">
        <f>'All Solo Standards'!V68</f>
        <v>2:52:30</v>
      </c>
      <c r="Q9" s="3" t="str">
        <f>'All Solo Standards'!W68</f>
        <v>6:04:01</v>
      </c>
      <c r="R9" s="47" t="str">
        <f>'All Solo Standards'!X68</f>
        <v>138.91</v>
      </c>
      <c r="S9" s="47" t="str">
        <f>'All Solo Standards'!Y68</f>
        <v>218.11</v>
      </c>
    </row>
    <row r="10" spans="1:19" x14ac:dyDescent="0.25">
      <c r="A10" s="4">
        <f>'All Solo Standards'!A41</f>
        <v>48</v>
      </c>
      <c r="B10" s="3" t="str">
        <f>'All Solo Standards'!R41</f>
        <v>28:32</v>
      </c>
      <c r="C10" s="3" t="str">
        <f>'All Solo Standards'!S41</f>
        <v>42:57</v>
      </c>
      <c r="D10" s="3" t="str">
        <f>'All Solo Standards'!T41</f>
        <v>1:12:06</v>
      </c>
      <c r="E10" s="3" t="str">
        <f>'All Solo Standards'!U41</f>
        <v>1:26:50</v>
      </c>
      <c r="F10" s="3" t="str">
        <f>'All Solo Standards'!V41</f>
        <v>2:26:50</v>
      </c>
      <c r="G10" s="3" t="str">
        <f>'All Solo Standards'!W41</f>
        <v>5:04:51</v>
      </c>
      <c r="H10" s="46" t="str">
        <f>'All Solo Standards'!X41</f>
        <v>193.62</v>
      </c>
      <c r="I10" s="46" t="str">
        <f>'All Solo Standards'!Y41</f>
        <v>324.90</v>
      </c>
      <c r="K10" s="59">
        <f>'All Solo Standards'!A69</f>
        <v>76</v>
      </c>
      <c r="L10" s="3" t="str">
        <f>'All Solo Standards'!R69</f>
        <v>33:26</v>
      </c>
      <c r="M10" s="3" t="str">
        <f>'All Solo Standards'!S69</f>
        <v>50:23</v>
      </c>
      <c r="N10" s="3" t="str">
        <f>'All Solo Standards'!T69</f>
        <v>1:24:50</v>
      </c>
      <c r="O10" s="3" t="str">
        <f>'All Solo Standards'!U69</f>
        <v>1:42:19</v>
      </c>
      <c r="P10" s="3" t="str">
        <f>'All Solo Standards'!V69</f>
        <v>2:54:07</v>
      </c>
      <c r="Q10" s="3" t="str">
        <f>'All Solo Standards'!W69</f>
        <v>6:07:52</v>
      </c>
      <c r="R10" s="47" t="str">
        <f>'All Solo Standards'!X69</f>
        <v>136.17</v>
      </c>
      <c r="S10" s="47" t="str">
        <f>'All Solo Standards'!Y69</f>
        <v>212.86</v>
      </c>
    </row>
    <row r="11" spans="1:19" x14ac:dyDescent="0.25">
      <c r="A11" s="4">
        <f>'All Solo Standards'!A42</f>
        <v>49</v>
      </c>
      <c r="B11" s="45" t="str">
        <f>'All Solo Standards'!R42</f>
        <v>28:37</v>
      </c>
      <c r="C11" s="45" t="str">
        <f>'All Solo Standards'!S42</f>
        <v>43:05</v>
      </c>
      <c r="D11" s="45" t="str">
        <f>'All Solo Standards'!T42</f>
        <v>1:12:20</v>
      </c>
      <c r="E11" s="45" t="str">
        <f>'All Solo Standards'!U42</f>
        <v>1:27:07</v>
      </c>
      <c r="F11" s="45" t="str">
        <f>'All Solo Standards'!V42</f>
        <v>2:27:19</v>
      </c>
      <c r="G11" s="45" t="str">
        <f>'All Solo Standards'!W42</f>
        <v>5:05:56</v>
      </c>
      <c r="H11" s="48" t="str">
        <f>'All Solo Standards'!X42</f>
        <v>192.33</v>
      </c>
      <c r="I11" s="48" t="str">
        <f>'All Solo Standards'!Y42</f>
        <v>322.35</v>
      </c>
      <c r="K11" s="59">
        <f>'All Solo Standards'!A70</f>
        <v>77</v>
      </c>
      <c r="L11" s="3" t="str">
        <f>'All Solo Standards'!R70</f>
        <v>33:43</v>
      </c>
      <c r="M11" s="3" t="str">
        <f>'All Solo Standards'!S70</f>
        <v>50:51</v>
      </c>
      <c r="N11" s="3" t="str">
        <f>'All Solo Standards'!T70</f>
        <v>1:25:37</v>
      </c>
      <c r="O11" s="3" t="str">
        <f>'All Solo Standards'!U70</f>
        <v>1:43:16</v>
      </c>
      <c r="P11" s="3" t="str">
        <f>'All Solo Standards'!V70</f>
        <v>2:55:48</v>
      </c>
      <c r="Q11" s="3" t="str">
        <f>'All Solo Standards'!W70</f>
        <v>6:11:55</v>
      </c>
      <c r="R11" s="47" t="str">
        <f>'All Solo Standards'!X70</f>
        <v>133.38</v>
      </c>
      <c r="S11" s="47" t="str">
        <f>'All Solo Standards'!Y70</f>
        <v>207.52</v>
      </c>
    </row>
    <row r="12" spans="1:19" x14ac:dyDescent="0.25">
      <c r="A12" s="4">
        <f>'All Solo Standards'!A43</f>
        <v>50</v>
      </c>
      <c r="B12" s="3" t="str">
        <f>'All Solo Standards'!R43</f>
        <v>28:43</v>
      </c>
      <c r="C12" s="3" t="str">
        <f>'All Solo Standards'!S43</f>
        <v>43:14</v>
      </c>
      <c r="D12" s="3" t="str">
        <f>'All Solo Standards'!T43</f>
        <v>1:12:35</v>
      </c>
      <c r="E12" s="3" t="str">
        <f>'All Solo Standards'!U43</f>
        <v>1:27:25</v>
      </c>
      <c r="F12" s="3" t="str">
        <f>'All Solo Standards'!V43</f>
        <v>2:27:51</v>
      </c>
      <c r="G12" s="3" t="str">
        <f>'All Solo Standards'!W43</f>
        <v>5:07:07</v>
      </c>
      <c r="H12" s="46" t="str">
        <f>'All Solo Standards'!X43</f>
        <v>190.98</v>
      </c>
      <c r="I12" s="46" t="str">
        <f>'All Solo Standards'!Y43</f>
        <v>319.66</v>
      </c>
      <c r="K12" s="59">
        <f>'All Solo Standards'!A71</f>
        <v>78</v>
      </c>
      <c r="L12" s="3" t="str">
        <f>'All Solo Standards'!R71</f>
        <v>34:02</v>
      </c>
      <c r="M12" s="3" t="str">
        <f>'All Solo Standards'!S71</f>
        <v>51:19</v>
      </c>
      <c r="N12" s="3" t="str">
        <f>'All Solo Standards'!T71</f>
        <v>1:26:25</v>
      </c>
      <c r="O12" s="3" t="str">
        <f>'All Solo Standards'!U71</f>
        <v>1:44:16</v>
      </c>
      <c r="P12" s="3" t="str">
        <f>'All Solo Standards'!V71</f>
        <v>2:57:34</v>
      </c>
      <c r="Q12" s="3" t="str">
        <f>'All Solo Standards'!W71</f>
        <v>6:16:10</v>
      </c>
      <c r="R12" s="47" t="str">
        <f>'All Solo Standards'!X71</f>
        <v>130.54</v>
      </c>
      <c r="S12" s="47" t="str">
        <f>'All Solo Standards'!Y71</f>
        <v>202.10</v>
      </c>
    </row>
    <row r="13" spans="1:19" x14ac:dyDescent="0.25">
      <c r="A13" s="4">
        <f>'All Solo Standards'!A44</f>
        <v>51</v>
      </c>
      <c r="B13" s="3" t="str">
        <f>'All Solo Standards'!R44</f>
        <v>28:49</v>
      </c>
      <c r="C13" s="3" t="str">
        <f>'All Solo Standards'!S44</f>
        <v>43:23</v>
      </c>
      <c r="D13" s="3" t="str">
        <f>'All Solo Standards'!T44</f>
        <v>1:12:50</v>
      </c>
      <c r="E13" s="3" t="str">
        <f>'All Solo Standards'!U44</f>
        <v>1:27:44</v>
      </c>
      <c r="F13" s="3" t="str">
        <f>'All Solo Standards'!V44</f>
        <v>2:28:24</v>
      </c>
      <c r="G13" s="3" t="str">
        <f>'All Solo Standards'!W44</f>
        <v>5:08:21</v>
      </c>
      <c r="H13" s="46" t="str">
        <f>'All Solo Standards'!X44</f>
        <v>189.55</v>
      </c>
      <c r="I13" s="46" t="str">
        <f>'All Solo Standards'!Y44</f>
        <v>316.85</v>
      </c>
      <c r="K13" s="59">
        <f>'All Solo Standards'!A72</f>
        <v>79</v>
      </c>
      <c r="L13" s="45" t="str">
        <f>'All Solo Standards'!R72</f>
        <v>34:21</v>
      </c>
      <c r="M13" s="45" t="str">
        <f>'All Solo Standards'!S72</f>
        <v>51:48</v>
      </c>
      <c r="N13" s="45" t="str">
        <f>'All Solo Standards'!T72</f>
        <v>1:27:16</v>
      </c>
      <c r="O13" s="45" t="str">
        <f>'All Solo Standards'!U72</f>
        <v>1:45:18</v>
      </c>
      <c r="P13" s="45" t="str">
        <f>'All Solo Standards'!V72</f>
        <v>2:59:25</v>
      </c>
      <c r="Q13" s="45" t="str">
        <f>'All Solo Standards'!W72</f>
        <v>6:20:38</v>
      </c>
      <c r="R13" s="49" t="str">
        <f>'All Solo Standards'!X72</f>
        <v>127.65</v>
      </c>
      <c r="S13" s="49" t="str">
        <f>'All Solo Standards'!Y72</f>
        <v>196.60</v>
      </c>
    </row>
    <row r="14" spans="1:19" x14ac:dyDescent="0.25">
      <c r="A14" s="4">
        <f>'All Solo Standards'!A45</f>
        <v>52</v>
      </c>
      <c r="B14" s="3" t="str">
        <f>'All Solo Standards'!R45</f>
        <v>28:56</v>
      </c>
      <c r="C14" s="3" t="str">
        <f>'All Solo Standards'!S45</f>
        <v>43:33</v>
      </c>
      <c r="D14" s="3" t="str">
        <f>'All Solo Standards'!T45</f>
        <v>1:13:07</v>
      </c>
      <c r="E14" s="3" t="str">
        <f>'All Solo Standards'!U45</f>
        <v>1:28:04</v>
      </c>
      <c r="F14" s="3" t="str">
        <f>'All Solo Standards'!V45</f>
        <v>2:28:59</v>
      </c>
      <c r="G14" s="3" t="str">
        <f>'All Solo Standards'!W45</f>
        <v>5:09:39</v>
      </c>
      <c r="H14" s="46" t="str">
        <f>'All Solo Standards'!X45</f>
        <v>188.07</v>
      </c>
      <c r="I14" s="46" t="str">
        <f>'All Solo Standards'!Y45</f>
        <v>313.91</v>
      </c>
      <c r="K14" s="59">
        <f>'All Solo Standards'!A73</f>
        <v>80</v>
      </c>
      <c r="L14" s="3" t="str">
        <f>'All Solo Standards'!R73</f>
        <v>34:41</v>
      </c>
      <c r="M14" s="3" t="str">
        <f>'All Solo Standards'!S73</f>
        <v>52:19</v>
      </c>
      <c r="N14" s="3" t="str">
        <f>'All Solo Standards'!T73</f>
        <v>1:28:09</v>
      </c>
      <c r="O14" s="3" t="str">
        <f>'All Solo Standards'!U73</f>
        <v>1:46:22</v>
      </c>
      <c r="P14" s="3" t="str">
        <f>'All Solo Standards'!V73</f>
        <v>3:01:22</v>
      </c>
      <c r="Q14" s="3" t="str">
        <f>'All Solo Standards'!W73</f>
        <v>6:25:21</v>
      </c>
      <c r="R14" s="47" t="str">
        <f>'All Solo Standards'!X73</f>
        <v>124.70</v>
      </c>
      <c r="S14" s="47" t="str">
        <f>'All Solo Standards'!Y73</f>
        <v>191.01</v>
      </c>
    </row>
    <row r="15" spans="1:19" x14ac:dyDescent="0.25">
      <c r="A15" s="4">
        <f>'All Solo Standards'!A46</f>
        <v>53</v>
      </c>
      <c r="B15" s="3" t="str">
        <f>'All Solo Standards'!R46</f>
        <v>29:02</v>
      </c>
      <c r="C15" s="3" t="str">
        <f>'All Solo Standards'!S46</f>
        <v>43:43</v>
      </c>
      <c r="D15" s="3" t="str">
        <f>'All Solo Standards'!T46</f>
        <v>1:13:24</v>
      </c>
      <c r="E15" s="3" t="str">
        <f>'All Solo Standards'!U46</f>
        <v>1:28:25</v>
      </c>
      <c r="F15" s="3" t="str">
        <f>'All Solo Standards'!V46</f>
        <v>2:29:35</v>
      </c>
      <c r="G15" s="3" t="str">
        <f>'All Solo Standards'!W46</f>
        <v>5:11:02</v>
      </c>
      <c r="H15" s="46" t="str">
        <f>'All Solo Standards'!X46</f>
        <v>186.52</v>
      </c>
      <c r="I15" s="46" t="str">
        <f>'All Solo Standards'!Y46</f>
        <v>310.85</v>
      </c>
      <c r="K15" s="59">
        <f>'All Solo Standards'!A74</f>
        <v>81</v>
      </c>
      <c r="L15" s="3" t="str">
        <f>'All Solo Standards'!R74</f>
        <v>35:02</v>
      </c>
      <c r="M15" s="3" t="str">
        <f>'All Solo Standards'!S74</f>
        <v>52:51</v>
      </c>
      <c r="N15" s="3" t="str">
        <f>'All Solo Standards'!T74</f>
        <v>1:29:05</v>
      </c>
      <c r="O15" s="3" t="str">
        <f>'All Solo Standards'!U74</f>
        <v>1:47:30</v>
      </c>
      <c r="P15" s="3" t="str">
        <f>'All Solo Standards'!V74</f>
        <v>3:03:23</v>
      </c>
      <c r="Q15" s="3" t="str">
        <f>'All Solo Standards'!W74</f>
        <v>6:30:18</v>
      </c>
      <c r="R15" s="47" t="str">
        <f>'All Solo Standards'!X74</f>
        <v>121.70</v>
      </c>
      <c r="S15" s="47" t="str">
        <f>'All Solo Standards'!Y74</f>
        <v>185.33</v>
      </c>
    </row>
    <row r="16" spans="1:19" x14ac:dyDescent="0.25">
      <c r="A16" s="4">
        <f>'All Solo Standards'!A47</f>
        <v>54</v>
      </c>
      <c r="B16" s="3" t="str">
        <f>'All Solo Standards'!R47</f>
        <v>29:09</v>
      </c>
      <c r="C16" s="3" t="str">
        <f>'All Solo Standards'!S47</f>
        <v>43:54</v>
      </c>
      <c r="D16" s="3" t="str">
        <f>'All Solo Standards'!T47</f>
        <v>1:13:42</v>
      </c>
      <c r="E16" s="3" t="str">
        <f>'All Solo Standards'!U47</f>
        <v>1:28:47</v>
      </c>
      <c r="F16" s="3" t="str">
        <f>'All Solo Standards'!V47</f>
        <v>2:30:14</v>
      </c>
      <c r="G16" s="3" t="str">
        <f>'All Solo Standards'!W47</f>
        <v>5:12:29</v>
      </c>
      <c r="H16" s="46" t="str">
        <f>'All Solo Standards'!X47</f>
        <v>184.91</v>
      </c>
      <c r="I16" s="46" t="str">
        <f>'All Solo Standards'!Y47</f>
        <v>307.68</v>
      </c>
      <c r="K16" s="59">
        <f>'All Solo Standards'!A75</f>
        <v>82</v>
      </c>
      <c r="L16" s="3" t="str">
        <f>'All Solo Standards'!R75</f>
        <v>35:24</v>
      </c>
      <c r="M16" s="3" t="str">
        <f>'All Solo Standards'!S75</f>
        <v>53:25</v>
      </c>
      <c r="N16" s="3" t="str">
        <f>'All Solo Standards'!T75</f>
        <v>1:30:03</v>
      </c>
      <c r="O16" s="3" t="str">
        <f>'All Solo Standards'!U75</f>
        <v>1:48:41</v>
      </c>
      <c r="P16" s="3" t="str">
        <f>'All Solo Standards'!V75</f>
        <v>3:05:31</v>
      </c>
      <c r="Q16" s="3" t="str">
        <f>'All Solo Standards'!W75</f>
        <v>6:35:32</v>
      </c>
      <c r="R16" s="47" t="str">
        <f>'All Solo Standards'!X75</f>
        <v>118.65</v>
      </c>
      <c r="S16" s="47" t="str">
        <f>'All Solo Standards'!Y75</f>
        <v>179.56</v>
      </c>
    </row>
    <row r="17" spans="1:20" x14ac:dyDescent="0.25">
      <c r="A17" s="4">
        <f>'All Solo Standards'!A48</f>
        <v>55</v>
      </c>
      <c r="B17" s="3" t="str">
        <f>'All Solo Standards'!R48</f>
        <v>29:17</v>
      </c>
      <c r="C17" s="3" t="str">
        <f>'All Solo Standards'!S48</f>
        <v>44:05</v>
      </c>
      <c r="D17" s="3" t="str">
        <f>'All Solo Standards'!T48</f>
        <v>1:14:01</v>
      </c>
      <c r="E17" s="3" t="str">
        <f>'All Solo Standards'!U48</f>
        <v>1:29:10</v>
      </c>
      <c r="F17" s="3" t="str">
        <f>'All Solo Standards'!V48</f>
        <v>2:30:54</v>
      </c>
      <c r="G17" s="3" t="str">
        <f>'All Solo Standards'!W48</f>
        <v>5:14:00</v>
      </c>
      <c r="H17" s="46" t="str">
        <f>'All Solo Standards'!X48</f>
        <v>183.25</v>
      </c>
      <c r="I17" s="46" t="str">
        <f>'All Solo Standards'!Y48</f>
        <v>304.39</v>
      </c>
      <c r="K17" s="59">
        <f>'All Solo Standards'!A76</f>
        <v>83</v>
      </c>
      <c r="L17" s="3" t="str">
        <f>'All Solo Standards'!R76</f>
        <v>35:47</v>
      </c>
      <c r="M17" s="3" t="str">
        <f>'All Solo Standards'!S76</f>
        <v>54:00</v>
      </c>
      <c r="N17" s="3" t="str">
        <f>'All Solo Standards'!T76</f>
        <v>1:31:04</v>
      </c>
      <c r="O17" s="3" t="str">
        <f>'All Solo Standards'!U76</f>
        <v>1:49:56</v>
      </c>
      <c r="P17" s="3" t="str">
        <f>'All Solo Standards'!V76</f>
        <v>3:07:46</v>
      </c>
      <c r="Q17" s="3" t="str">
        <f>'All Solo Standards'!W76</f>
        <v>6:41:05</v>
      </c>
      <c r="R17" s="47" t="str">
        <f>'All Solo Standards'!X76</f>
        <v>115.54</v>
      </c>
      <c r="S17" s="47" t="str">
        <f>'All Solo Standards'!Y76</f>
        <v>173.71</v>
      </c>
    </row>
    <row r="18" spans="1:20" x14ac:dyDescent="0.25">
      <c r="A18" s="4">
        <f>'All Solo Standards'!A49</f>
        <v>56</v>
      </c>
      <c r="B18" s="3" t="str">
        <f>'All Solo Standards'!R49</f>
        <v>29:24</v>
      </c>
      <c r="C18" s="3" t="str">
        <f>'All Solo Standards'!S49</f>
        <v>44:17</v>
      </c>
      <c r="D18" s="3" t="str">
        <f>'All Solo Standards'!T49</f>
        <v>1:14:21</v>
      </c>
      <c r="E18" s="3" t="str">
        <f>'All Solo Standards'!U49</f>
        <v>1:29:34</v>
      </c>
      <c r="F18" s="3" t="str">
        <f>'All Solo Standards'!V49</f>
        <v>2:31:37</v>
      </c>
      <c r="G18" s="3" t="str">
        <f>'All Solo Standards'!W49</f>
        <v>5:15:36</v>
      </c>
      <c r="H18" s="46" t="str">
        <f>'All Solo Standards'!X49</f>
        <v>181.52</v>
      </c>
      <c r="I18" s="46" t="str">
        <f>'All Solo Standards'!Y49</f>
        <v>300.99</v>
      </c>
      <c r="K18" s="59">
        <f>'All Solo Standards'!A77</f>
        <v>84</v>
      </c>
      <c r="L18" s="3" t="str">
        <f>'All Solo Standards'!R77</f>
        <v>36:11</v>
      </c>
      <c r="M18" s="3" t="str">
        <f>'All Solo Standards'!S77</f>
        <v>54:37</v>
      </c>
      <c r="N18" s="3" t="str">
        <f>'All Solo Standards'!T77</f>
        <v>1:32:07</v>
      </c>
      <c r="O18" s="3" t="str">
        <f>'All Solo Standards'!U77</f>
        <v>1:51:14</v>
      </c>
      <c r="P18" s="3" t="str">
        <f>'All Solo Standards'!V77</f>
        <v>3:10:07</v>
      </c>
      <c r="Q18" s="3" t="str">
        <f>'All Solo Standards'!W77</f>
        <v>6:46:56</v>
      </c>
      <c r="R18" s="47" t="str">
        <f>'All Solo Standards'!X77</f>
        <v>112.37</v>
      </c>
      <c r="S18" s="47" t="str">
        <f>'All Solo Standards'!Y77</f>
        <v>167.77</v>
      </c>
    </row>
    <row r="19" spans="1:20" x14ac:dyDescent="0.25">
      <c r="A19" s="4">
        <f>'All Solo Standards'!A50</f>
        <v>57</v>
      </c>
      <c r="B19" s="3" t="str">
        <f>'All Solo Standards'!R50</f>
        <v>29:32</v>
      </c>
      <c r="C19" s="3" t="str">
        <f>'All Solo Standards'!S50</f>
        <v>44:29</v>
      </c>
      <c r="D19" s="3" t="str">
        <f>'All Solo Standards'!T50</f>
        <v>1:14:42</v>
      </c>
      <c r="E19" s="3" t="str">
        <f>'All Solo Standards'!U50</f>
        <v>1:30:00</v>
      </c>
      <c r="F19" s="3" t="str">
        <f>'All Solo Standards'!V50</f>
        <v>2:32:21</v>
      </c>
      <c r="G19" s="3" t="str">
        <f>'All Solo Standards'!W50</f>
        <v>5:17:16</v>
      </c>
      <c r="H19" s="46" t="str">
        <f>'All Solo Standards'!X50</f>
        <v>179.74</v>
      </c>
      <c r="I19" s="46" t="str">
        <f>'All Solo Standards'!Y50</f>
        <v>297.49</v>
      </c>
      <c r="K19" s="59">
        <f>'All Solo Standards'!A78</f>
        <v>85</v>
      </c>
      <c r="L19" s="3" t="str">
        <f>'All Solo Standards'!R78</f>
        <v>36:37</v>
      </c>
      <c r="M19" s="3" t="str">
        <f>'All Solo Standards'!S78</f>
        <v>55:15</v>
      </c>
      <c r="N19" s="3" t="str">
        <f>'All Solo Standards'!T78</f>
        <v>1:33:14</v>
      </c>
      <c r="O19" s="3" t="str">
        <f>'All Solo Standards'!U78</f>
        <v>1:52:36</v>
      </c>
      <c r="P19" s="3" t="str">
        <f>'All Solo Standards'!V78</f>
        <v>3:12:35</v>
      </c>
      <c r="Q19" s="3" t="str">
        <f>'All Solo Standards'!W78</f>
        <v>6:53:10</v>
      </c>
      <c r="R19" s="47" t="str">
        <f>'All Solo Standards'!X78</f>
        <v>109.15</v>
      </c>
      <c r="S19" s="47" t="str">
        <f>'All Solo Standards'!Y78</f>
        <v>161.73</v>
      </c>
    </row>
    <row r="20" spans="1:20" x14ac:dyDescent="0.25">
      <c r="A20" s="4">
        <f>'All Solo Standards'!A51</f>
        <v>58</v>
      </c>
      <c r="B20" s="3" t="str">
        <f>'All Solo Standards'!R51</f>
        <v>29:41</v>
      </c>
      <c r="C20" s="3" t="str">
        <f>'All Solo Standards'!S51</f>
        <v>44:42</v>
      </c>
      <c r="D20" s="3" t="str">
        <f>'All Solo Standards'!T51</f>
        <v>1:15:04</v>
      </c>
      <c r="E20" s="3" t="str">
        <f>'All Solo Standards'!U51</f>
        <v>1:30:26</v>
      </c>
      <c r="F20" s="3" t="str">
        <f>'All Solo Standards'!V51</f>
        <v>2:33:07</v>
      </c>
      <c r="G20" s="3" t="str">
        <f>'All Solo Standards'!W51</f>
        <v>5:19:01</v>
      </c>
      <c r="H20" s="46" t="str">
        <f>'All Solo Standards'!X51</f>
        <v>177.91</v>
      </c>
      <c r="I20" s="46" t="str">
        <f>'All Solo Standards'!Y51</f>
        <v>293.88</v>
      </c>
      <c r="K20" s="59">
        <f>'All Solo Standards'!A79</f>
        <v>86</v>
      </c>
      <c r="L20" s="3" t="str">
        <f>'All Solo Standards'!R79</f>
        <v>37:03</v>
      </c>
      <c r="M20" s="3" t="str">
        <f>'All Solo Standards'!S79</f>
        <v>55:56</v>
      </c>
      <c r="N20" s="3" t="str">
        <f>'All Solo Standards'!T79</f>
        <v>1:34:25</v>
      </c>
      <c r="O20" s="3" t="str">
        <f>'All Solo Standards'!U79</f>
        <v>1:54:02</v>
      </c>
      <c r="P20" s="3" t="str">
        <f>'All Solo Standards'!V79</f>
        <v>3:15:12</v>
      </c>
      <c r="Q20" s="3" t="str">
        <f>'All Solo Standards'!W79</f>
        <v>6:59:46</v>
      </c>
      <c r="R20" s="47" t="str">
        <f>'All Solo Standards'!X79</f>
        <v>105.87</v>
      </c>
      <c r="S20" s="47" t="str">
        <f>'All Solo Standards'!Y79</f>
        <v>155.61</v>
      </c>
    </row>
    <row r="21" spans="1:20" x14ac:dyDescent="0.25">
      <c r="A21" s="4">
        <f>'All Solo Standards'!A52</f>
        <v>59</v>
      </c>
      <c r="B21" s="45" t="str">
        <f>'All Solo Standards'!R52</f>
        <v>29:50</v>
      </c>
      <c r="C21" s="45" t="str">
        <f>'All Solo Standards'!S52</f>
        <v>44:55</v>
      </c>
      <c r="D21" s="45" t="str">
        <f>'All Solo Standards'!T52</f>
        <v>1:15:27</v>
      </c>
      <c r="E21" s="45" t="str">
        <f>'All Solo Standards'!U52</f>
        <v>1:30:54</v>
      </c>
      <c r="F21" s="45" t="str">
        <f>'All Solo Standards'!V52</f>
        <v>2:33:56</v>
      </c>
      <c r="G21" s="45" t="str">
        <f>'All Solo Standards'!W52</f>
        <v>5:20:51</v>
      </c>
      <c r="H21" s="48" t="str">
        <f>'All Solo Standards'!X52</f>
        <v>176.02</v>
      </c>
      <c r="I21" s="48" t="str">
        <f>'All Solo Standards'!Y52</f>
        <v>290.17</v>
      </c>
      <c r="K21" s="59">
        <f>'All Solo Standards'!A80</f>
        <v>87</v>
      </c>
      <c r="L21" s="3" t="str">
        <f>'All Solo Standards'!R80</f>
        <v>37:31</v>
      </c>
      <c r="M21" s="3" t="str">
        <f>'All Solo Standards'!S80</f>
        <v>56:38</v>
      </c>
      <c r="N21" s="3" t="str">
        <f>'All Solo Standards'!T80</f>
        <v>1:35:39</v>
      </c>
      <c r="O21" s="3" t="str">
        <f>'All Solo Standards'!U80</f>
        <v>1:55:33</v>
      </c>
      <c r="P21" s="3" t="str">
        <f>'All Solo Standards'!V80</f>
        <v>3:17:58</v>
      </c>
      <c r="Q21" s="3" t="str">
        <f>'All Solo Standards'!W80</f>
        <v>7:06:49</v>
      </c>
      <c r="R21" s="47" t="str">
        <f>'All Solo Standards'!X80</f>
        <v>102.52</v>
      </c>
      <c r="S21" s="47" t="str">
        <f>'All Solo Standards'!Y80</f>
        <v>149.40</v>
      </c>
    </row>
    <row r="22" spans="1:20" x14ac:dyDescent="0.25">
      <c r="A22" s="4">
        <f>'All Solo Standards'!A53</f>
        <v>60</v>
      </c>
      <c r="B22" s="3" t="str">
        <f>'All Solo Standards'!R53</f>
        <v>29:59</v>
      </c>
      <c r="C22" s="3" t="str">
        <f>'All Solo Standards'!S53</f>
        <v>45:09</v>
      </c>
      <c r="D22" s="3" t="str">
        <f>'All Solo Standards'!T53</f>
        <v>1:15:50</v>
      </c>
      <c r="E22" s="3" t="str">
        <f>'All Solo Standards'!U53</f>
        <v>1:31:22</v>
      </c>
      <c r="F22" s="3" t="str">
        <f>'All Solo Standards'!V53</f>
        <v>2:34:46</v>
      </c>
      <c r="G22" s="3" t="str">
        <f>'All Solo Standards'!W53</f>
        <v>5:22:46</v>
      </c>
      <c r="H22" s="46" t="str">
        <f>'All Solo Standards'!X53</f>
        <v>174.08</v>
      </c>
      <c r="I22" s="46" t="str">
        <f>'All Solo Standards'!Y53</f>
        <v>286.35</v>
      </c>
      <c r="K22" s="59">
        <f>'All Solo Standards'!A81</f>
        <v>88</v>
      </c>
      <c r="L22" s="3" t="str">
        <f>'All Solo Standards'!R81</f>
        <v>38:00</v>
      </c>
      <c r="M22" s="3" t="str">
        <f>'All Solo Standards'!S81</f>
        <v>57:23</v>
      </c>
      <c r="N22" s="3" t="str">
        <f>'All Solo Standards'!T81</f>
        <v>1:36:57</v>
      </c>
      <c r="O22" s="3" t="str">
        <f>'All Solo Standards'!U81</f>
        <v>1:57:09</v>
      </c>
      <c r="P22" s="3" t="str">
        <f>'All Solo Standards'!V81</f>
        <v>3:20:54</v>
      </c>
      <c r="Q22" s="3" t="str">
        <f>'All Solo Standards'!W81</f>
        <v>7:14:21</v>
      </c>
      <c r="R22" s="47" t="str">
        <f>'All Solo Standards'!X81</f>
        <v>99.12</v>
      </c>
      <c r="S22" s="47" t="str">
        <f>'All Solo Standards'!Y81</f>
        <v>143.09</v>
      </c>
    </row>
    <row r="23" spans="1:20" x14ac:dyDescent="0.25">
      <c r="A23" s="4">
        <f>'All Solo Standards'!A54</f>
        <v>61</v>
      </c>
      <c r="B23" s="3" t="str">
        <f>'All Solo Standards'!R54</f>
        <v>30:08</v>
      </c>
      <c r="C23" s="3" t="str">
        <f>'All Solo Standards'!S54</f>
        <v>45:23</v>
      </c>
      <c r="D23" s="3" t="str">
        <f>'All Solo Standards'!T54</f>
        <v>1:16:15</v>
      </c>
      <c r="E23" s="3" t="str">
        <f>'All Solo Standards'!U54</f>
        <v>1:31:52</v>
      </c>
      <c r="F23" s="3" t="str">
        <f>'All Solo Standards'!V54</f>
        <v>2:35:39</v>
      </c>
      <c r="G23" s="3" t="str">
        <f>'All Solo Standards'!W54</f>
        <v>5:24:46</v>
      </c>
      <c r="H23" s="46" t="str">
        <f>'All Solo Standards'!X54</f>
        <v>172.08</v>
      </c>
      <c r="I23" s="46" t="str">
        <f>'All Solo Standards'!Y54</f>
        <v>282.44</v>
      </c>
      <c r="K23" s="59">
        <f>'All Solo Standards'!A82</f>
        <v>89</v>
      </c>
      <c r="L23" s="45" t="str">
        <f>'All Solo Standards'!R82</f>
        <v>38:31</v>
      </c>
      <c r="M23" s="45" t="str">
        <f>'All Solo Standards'!S82</f>
        <v>58:11</v>
      </c>
      <c r="N23" s="45" t="str">
        <f>'All Solo Standards'!T82</f>
        <v>1:38:20</v>
      </c>
      <c r="O23" s="45" t="str">
        <f>'All Solo Standards'!U82</f>
        <v>1:58:51</v>
      </c>
      <c r="P23" s="45" t="str">
        <f>'All Solo Standards'!V82</f>
        <v>3:24:00</v>
      </c>
      <c r="Q23" s="45" t="str">
        <f>'All Solo Standards'!W82</f>
        <v>7:22:25</v>
      </c>
      <c r="R23" s="49" t="str">
        <f>'All Solo Standards'!X82</f>
        <v>95.65</v>
      </c>
      <c r="S23" s="49" t="str">
        <f>'All Solo Standards'!Y82</f>
        <v>136.68</v>
      </c>
    </row>
    <row r="24" spans="1:20" x14ac:dyDescent="0.25">
      <c r="A24" s="4">
        <f>'All Solo Standards'!A55</f>
        <v>62</v>
      </c>
      <c r="B24" s="3" t="str">
        <f>'All Solo Standards'!R55</f>
        <v>30:18</v>
      </c>
      <c r="C24" s="3" t="str">
        <f>'All Solo Standards'!S55</f>
        <v>45:38</v>
      </c>
      <c r="D24" s="3" t="str">
        <f>'All Solo Standards'!T55</f>
        <v>1:16:41</v>
      </c>
      <c r="E24" s="3" t="str">
        <f>'All Solo Standards'!U55</f>
        <v>1:32:24</v>
      </c>
      <c r="F24" s="3" t="str">
        <f>'All Solo Standards'!V55</f>
        <v>2:36:34</v>
      </c>
      <c r="G24" s="3" t="str">
        <f>'All Solo Standards'!W55</f>
        <v>5:26:51</v>
      </c>
      <c r="H24" s="46" t="str">
        <f>'All Solo Standards'!X55</f>
        <v>170.04</v>
      </c>
      <c r="I24" s="46" t="str">
        <f>'All Solo Standards'!Y55</f>
        <v>278.44</v>
      </c>
      <c r="K24" s="59">
        <f>'All Solo Standards'!A83</f>
        <v>90</v>
      </c>
      <c r="L24" s="3" t="str">
        <f>'All Solo Standards'!R83</f>
        <v>39:04</v>
      </c>
      <c r="M24" s="3" t="str">
        <f>'All Solo Standards'!S83</f>
        <v>59:01</v>
      </c>
      <c r="N24" s="3" t="str">
        <f>'All Solo Standards'!T83</f>
        <v>1:39:47</v>
      </c>
      <c r="O24" s="3" t="str">
        <f>'All Solo Standards'!U83</f>
        <v>2:00:38</v>
      </c>
      <c r="P24" s="3" t="str">
        <f>'All Solo Standards'!V83</f>
        <v>3:27:17</v>
      </c>
      <c r="Q24" s="3" t="str">
        <f>'All Solo Standards'!W83</f>
        <v>7:31:04</v>
      </c>
      <c r="R24" s="47" t="str">
        <f>'All Solo Standards'!X83</f>
        <v>92.11</v>
      </c>
      <c r="S24" s="47" t="str">
        <f>'All Solo Standards'!Y83</f>
        <v>130.18</v>
      </c>
    </row>
    <row r="25" spans="1:20" x14ac:dyDescent="0.25">
      <c r="A25" s="4">
        <f>'All Solo Standards'!A56</f>
        <v>63</v>
      </c>
      <c r="B25" s="3" t="str">
        <f>'All Solo Standards'!R56</f>
        <v>30:28</v>
      </c>
      <c r="C25" s="3" t="str">
        <f>'All Solo Standards'!S56</f>
        <v>45:54</v>
      </c>
      <c r="D25" s="3" t="str">
        <f>'All Solo Standards'!T56</f>
        <v>1:17:08</v>
      </c>
      <c r="E25" s="3" t="str">
        <f>'All Solo Standards'!U56</f>
        <v>1:32:56</v>
      </c>
      <c r="F25" s="3" t="str">
        <f>'All Solo Standards'!V56</f>
        <v>2:37:31</v>
      </c>
      <c r="G25" s="3" t="str">
        <f>'All Solo Standards'!W56</f>
        <v>5:29:02</v>
      </c>
      <c r="H25" s="46" t="str">
        <f>'All Solo Standards'!X56</f>
        <v>167.94</v>
      </c>
      <c r="I25" s="46" t="str">
        <f>'All Solo Standards'!Y56</f>
        <v>274.33</v>
      </c>
      <c r="K25" s="59">
        <f>'All Solo Standards'!A84</f>
        <v>91</v>
      </c>
      <c r="L25" s="3" t="str">
        <f>'All Solo Standards'!R84</f>
        <v>39:38</v>
      </c>
      <c r="M25" s="3" t="str">
        <f>'All Solo Standards'!S84</f>
        <v>59:54</v>
      </c>
      <c r="N25" s="3" t="str">
        <f>'All Solo Standards'!T84</f>
        <v>1:41:20</v>
      </c>
      <c r="O25" s="3" t="str">
        <f>'All Solo Standards'!U84</f>
        <v>2:02:32</v>
      </c>
      <c r="P25" s="3" t="str">
        <f>'All Solo Standards'!V84</f>
        <v>3:30:47</v>
      </c>
      <c r="Q25" s="3" t="str">
        <f>'All Solo Standards'!W84</f>
        <v>7:40:24</v>
      </c>
      <c r="R25" s="47" t="str">
        <f>'All Solo Standards'!X84</f>
        <v>88.51</v>
      </c>
      <c r="S25" s="47" t="str">
        <f>'All Solo Standards'!Y84</f>
        <v>123.58</v>
      </c>
    </row>
    <row r="26" spans="1:20" x14ac:dyDescent="0.25">
      <c r="A26" s="4">
        <f>'All Solo Standards'!A57</f>
        <v>64</v>
      </c>
      <c r="B26" s="3" t="str">
        <f>'All Solo Standards'!R57</f>
        <v>30:39</v>
      </c>
      <c r="C26" s="3" t="str">
        <f>'All Solo Standards'!S57</f>
        <v>46:10</v>
      </c>
      <c r="D26" s="3" t="str">
        <f>'All Solo Standards'!T57</f>
        <v>1:17:35</v>
      </c>
      <c r="E26" s="3" t="str">
        <f>'All Solo Standards'!U57</f>
        <v>1:33:30</v>
      </c>
      <c r="F26" s="3" t="str">
        <f>'All Solo Standards'!V57</f>
        <v>2:38:30</v>
      </c>
      <c r="G26" s="3" t="str">
        <f>'All Solo Standards'!W57</f>
        <v>5:31:18</v>
      </c>
      <c r="H26" s="46" t="str">
        <f>'All Solo Standards'!X57</f>
        <v>165.79</v>
      </c>
      <c r="I26" s="46" t="str">
        <f>'All Solo Standards'!Y57</f>
        <v>270.14</v>
      </c>
      <c r="K26" s="59">
        <f>'All Solo Standards'!A85</f>
        <v>92</v>
      </c>
      <c r="L26" s="3" t="str">
        <f>'All Solo Standards'!R85</f>
        <v>40:15</v>
      </c>
      <c r="M26" s="3" t="str">
        <f>'All Solo Standards'!S85</f>
        <v>1:00:50</v>
      </c>
      <c r="N26" s="3" t="str">
        <f>'All Solo Standards'!T85</f>
        <v>1:42:58</v>
      </c>
      <c r="O26" s="3" t="str">
        <f>'All Solo Standards'!U85</f>
        <v>2:04:33</v>
      </c>
      <c r="P26" s="3" t="str">
        <f>'All Solo Standards'!V85</f>
        <v>3:34:32</v>
      </c>
      <c r="Q26" s="3" t="str">
        <f>'All Solo Standards'!W85</f>
        <v>7:50:29</v>
      </c>
      <c r="R26" s="47" t="str">
        <f>'All Solo Standards'!X85</f>
        <v>84.83</v>
      </c>
      <c r="S26" s="47" t="str">
        <f>'All Solo Standards'!Y85</f>
        <v>116.88</v>
      </c>
    </row>
    <row r="27" spans="1:20" x14ac:dyDescent="0.25">
      <c r="A27" s="4">
        <f>'All Solo Standards'!A58</f>
        <v>65</v>
      </c>
      <c r="B27" s="3" t="str">
        <f>'All Solo Standards'!R58</f>
        <v>30:50</v>
      </c>
      <c r="C27" s="3" t="str">
        <f>'All Solo Standards'!S58</f>
        <v>46:27</v>
      </c>
      <c r="D27" s="3" t="str">
        <f>'All Solo Standards'!T58</f>
        <v>1:18:04</v>
      </c>
      <c r="E27" s="3" t="str">
        <f>'All Solo Standards'!U58</f>
        <v>1:34:05</v>
      </c>
      <c r="F27" s="3" t="str">
        <f>'All Solo Standards'!V58</f>
        <v>2:39:32</v>
      </c>
      <c r="G27" s="3" t="str">
        <f>'All Solo Standards'!W58</f>
        <v>5:33:41</v>
      </c>
      <c r="H27" s="46" t="str">
        <f>'All Solo Standards'!X58</f>
        <v>163.59</v>
      </c>
      <c r="I27" s="46" t="str">
        <f>'All Solo Standards'!Y58</f>
        <v>265.85</v>
      </c>
      <c r="K27" s="59">
        <f>'All Solo Standards'!A86</f>
        <v>93</v>
      </c>
      <c r="L27" s="3" t="str">
        <f>'All Solo Standards'!R86</f>
        <v>40:53</v>
      </c>
      <c r="M27" s="3" t="str">
        <f>'All Solo Standards'!S86</f>
        <v>1:01:49</v>
      </c>
      <c r="N27" s="3" t="str">
        <f>'All Solo Standards'!T86</f>
        <v>1:44:43</v>
      </c>
      <c r="O27" s="3" t="str">
        <f>'All Solo Standards'!U86</f>
        <v>2:06:42</v>
      </c>
      <c r="P27" s="3" t="str">
        <f>'All Solo Standards'!V86</f>
        <v>3:38:32</v>
      </c>
      <c r="Q27" s="3" t="str">
        <f>'All Solo Standards'!W86</f>
        <v>8:01:27</v>
      </c>
      <c r="R27" s="47" t="str">
        <f>'All Solo Standards'!X86</f>
        <v>81.08</v>
      </c>
      <c r="S27" s="47" t="str">
        <f>'All Solo Standards'!Y86</f>
        <v>110.08</v>
      </c>
    </row>
    <row r="28" spans="1:20" x14ac:dyDescent="0.25">
      <c r="A28" s="4">
        <f>'All Solo Standards'!A59</f>
        <v>66</v>
      </c>
      <c r="B28" s="3" t="str">
        <f>'All Solo Standards'!R59</f>
        <v>31:02</v>
      </c>
      <c r="C28" s="3" t="str">
        <f>'All Solo Standards'!S59</f>
        <v>46:45</v>
      </c>
      <c r="D28" s="3" t="str">
        <f>'All Solo Standards'!T59</f>
        <v>1:18:34</v>
      </c>
      <c r="E28" s="3" t="str">
        <f>'All Solo Standards'!U59</f>
        <v>1:34:42</v>
      </c>
      <c r="F28" s="3" t="str">
        <f>'All Solo Standards'!V59</f>
        <v>2:40:36</v>
      </c>
      <c r="G28" s="3" t="str">
        <f>'All Solo Standards'!W59</f>
        <v>5:36:09</v>
      </c>
      <c r="H28" s="46" t="str">
        <f>'All Solo Standards'!X59</f>
        <v>161.35</v>
      </c>
      <c r="I28" s="46" t="str">
        <f>'All Solo Standards'!Y59</f>
        <v>261.47</v>
      </c>
      <c r="K28" s="59">
        <f>'All Solo Standards'!A87</f>
        <v>94</v>
      </c>
      <c r="L28" s="3" t="str">
        <f>'All Solo Standards'!R87</f>
        <v>41:35</v>
      </c>
      <c r="M28" s="3" t="str">
        <f>'All Solo Standards'!S87</f>
        <v>1:02:53</v>
      </c>
      <c r="N28" s="3" t="str">
        <f>'All Solo Standards'!T87</f>
        <v>1:46:34</v>
      </c>
      <c r="O28" s="3" t="str">
        <f>'All Solo Standards'!U87</f>
        <v>2:09:00</v>
      </c>
      <c r="P28" s="3" t="str">
        <f>'All Solo Standards'!V87</f>
        <v>3:42:50</v>
      </c>
      <c r="Q28" s="3" t="str">
        <f>'All Solo Standards'!W87</f>
        <v>8:13:24</v>
      </c>
      <c r="R28" s="47" t="str">
        <f>'All Solo Standards'!X87</f>
        <v>77.25</v>
      </c>
      <c r="S28" s="47" t="str">
        <f>'All Solo Standards'!Y87</f>
        <v>103.18</v>
      </c>
    </row>
    <row r="29" spans="1:20" x14ac:dyDescent="0.25">
      <c r="A29" s="4">
        <f>'All Solo Standards'!A60</f>
        <v>67</v>
      </c>
      <c r="B29" s="3" t="str">
        <f>'All Solo Standards'!R60</f>
        <v>31:14</v>
      </c>
      <c r="C29" s="3" t="str">
        <f>'All Solo Standards'!S60</f>
        <v>47:03</v>
      </c>
      <c r="D29" s="3" t="str">
        <f>'All Solo Standards'!T60</f>
        <v>1:19:06</v>
      </c>
      <c r="E29" s="3" t="str">
        <f>'All Solo Standards'!U60</f>
        <v>1:35:20</v>
      </c>
      <c r="F29" s="3" t="str">
        <f>'All Solo Standards'!V60</f>
        <v>2:41:43</v>
      </c>
      <c r="G29" s="3" t="str">
        <f>'All Solo Standards'!W60</f>
        <v>5:38:44</v>
      </c>
      <c r="H29" s="46" t="str">
        <f>'All Solo Standards'!X60</f>
        <v>159.05</v>
      </c>
      <c r="I29" s="46" t="str">
        <f>'All Solo Standards'!Y60</f>
        <v>257.00</v>
      </c>
      <c r="K29" s="59">
        <f>'All Solo Standards'!A88</f>
        <v>95</v>
      </c>
      <c r="L29" s="3" t="str">
        <f>'All Solo Standards'!R88</f>
        <v>42:18</v>
      </c>
      <c r="M29" s="3" t="str">
        <f>'All Solo Standards'!S88</f>
        <v>1:04:00</v>
      </c>
      <c r="N29" s="3" t="str">
        <f>'All Solo Standards'!T88</f>
        <v>1:48:34</v>
      </c>
      <c r="O29" s="3" t="str">
        <f>'All Solo Standards'!U88</f>
        <v>2:11:27</v>
      </c>
      <c r="P29" s="3" t="str">
        <f>'All Solo Standards'!V88</f>
        <v>3:47:28</v>
      </c>
      <c r="Q29" s="3" t="str">
        <f>'All Solo Standards'!W88</f>
        <v>8:26:30</v>
      </c>
      <c r="R29" s="47" t="str">
        <f>'All Solo Standards'!X88</f>
        <v>73.35</v>
      </c>
      <c r="S29" s="47" t="str">
        <f>'All Solo Standards'!Y88</f>
        <v>96.16</v>
      </c>
      <c r="T29" s="35">
        <f>Revision</f>
        <v>2024</v>
      </c>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row r="73" spans="1:1" x14ac:dyDescent="0.25">
      <c r="A73" s="5"/>
    </row>
    <row r="74" spans="1:1" x14ac:dyDescent="0.25">
      <c r="A74" s="5"/>
    </row>
    <row r="75" spans="1:1" x14ac:dyDescent="0.25">
      <c r="A75" s="5"/>
    </row>
    <row r="76" spans="1:1" x14ac:dyDescent="0.25">
      <c r="A76" s="5"/>
    </row>
    <row r="77" spans="1:1" x14ac:dyDescent="0.25">
      <c r="A77" s="5"/>
    </row>
    <row r="78" spans="1:1" x14ac:dyDescent="0.25">
      <c r="A78" s="5"/>
    </row>
    <row r="79" spans="1:1" x14ac:dyDescent="0.25">
      <c r="A79" s="5"/>
    </row>
    <row r="80" spans="1:1" x14ac:dyDescent="0.25">
      <c r="A80" s="5"/>
    </row>
    <row r="81" spans="1:1" x14ac:dyDescent="0.25">
      <c r="A81" s="5"/>
    </row>
    <row r="82" spans="1:1" x14ac:dyDescent="0.25">
      <c r="A82" s="5"/>
    </row>
    <row r="83" spans="1:1" x14ac:dyDescent="0.25">
      <c r="A83" s="5"/>
    </row>
    <row r="84" spans="1:1" x14ac:dyDescent="0.25">
      <c r="A84" s="5"/>
    </row>
    <row r="85" spans="1:1" x14ac:dyDescent="0.25">
      <c r="A85" s="5"/>
    </row>
    <row r="86" spans="1:1" x14ac:dyDescent="0.25">
      <c r="A86" s="5"/>
    </row>
    <row r="87" spans="1:1" x14ac:dyDescent="0.25">
      <c r="A87" s="5"/>
    </row>
    <row r="88" spans="1:1" x14ac:dyDescent="0.25">
      <c r="A88" s="5"/>
    </row>
    <row r="89" spans="1:1" x14ac:dyDescent="0.25">
      <c r="A89" s="5"/>
    </row>
    <row r="90" spans="1:1" x14ac:dyDescent="0.25">
      <c r="A90" s="5"/>
    </row>
    <row r="91" spans="1:1" x14ac:dyDescent="0.25">
      <c r="A91" s="5"/>
    </row>
    <row r="92" spans="1:1" x14ac:dyDescent="0.25">
      <c r="A92" s="5"/>
    </row>
    <row r="93" spans="1:1" x14ac:dyDescent="0.25">
      <c r="A93" s="5"/>
    </row>
    <row r="94" spans="1:1" x14ac:dyDescent="0.25">
      <c r="A94" s="5"/>
    </row>
    <row r="95" spans="1:1" x14ac:dyDescent="0.25">
      <c r="A95" s="5"/>
    </row>
    <row r="96" spans="1:1" x14ac:dyDescent="0.25">
      <c r="A96" s="5"/>
    </row>
    <row r="97" spans="1:1" x14ac:dyDescent="0.25">
      <c r="A97" s="5"/>
    </row>
    <row r="98" spans="1:1" x14ac:dyDescent="0.25">
      <c r="A98" s="5"/>
    </row>
    <row r="99" spans="1:1" x14ac:dyDescent="0.25">
      <c r="A99" s="5"/>
    </row>
    <row r="100" spans="1:1" x14ac:dyDescent="0.25">
      <c r="A100" s="5"/>
    </row>
    <row r="101" spans="1:1" x14ac:dyDescent="0.25">
      <c r="A101" s="5"/>
    </row>
    <row r="102" spans="1:1" x14ac:dyDescent="0.25">
      <c r="A102" s="5"/>
    </row>
    <row r="103" spans="1:1" x14ac:dyDescent="0.25">
      <c r="A103" s="5"/>
    </row>
    <row r="104" spans="1:1" x14ac:dyDescent="0.25">
      <c r="A104" s="5"/>
    </row>
    <row r="105" spans="1:1" x14ac:dyDescent="0.25">
      <c r="A105" s="5"/>
    </row>
    <row r="106" spans="1:1" x14ac:dyDescent="0.25">
      <c r="A106" s="5"/>
    </row>
    <row r="107" spans="1:1" x14ac:dyDescent="0.25">
      <c r="A107" s="5"/>
    </row>
    <row r="108" spans="1:1" x14ac:dyDescent="0.25">
      <c r="A108" s="5"/>
    </row>
    <row r="109" spans="1:1" x14ac:dyDescent="0.25">
      <c r="A109" s="5"/>
    </row>
    <row r="110" spans="1:1" x14ac:dyDescent="0.25">
      <c r="A110" s="5"/>
    </row>
    <row r="111" spans="1:1" x14ac:dyDescent="0.25">
      <c r="A111" s="5"/>
    </row>
    <row r="112" spans="1:1" x14ac:dyDescent="0.25">
      <c r="A112" s="5"/>
    </row>
    <row r="113" spans="1:1" x14ac:dyDescent="0.25">
      <c r="A113" s="5"/>
    </row>
    <row r="114" spans="1:1" x14ac:dyDescent="0.25">
      <c r="A114" s="5"/>
    </row>
    <row r="115" spans="1:1" x14ac:dyDescent="0.25">
      <c r="A115" s="5"/>
    </row>
    <row r="116" spans="1:1" x14ac:dyDescent="0.25">
      <c r="A116" s="5"/>
    </row>
    <row r="117" spans="1:1" x14ac:dyDescent="0.25">
      <c r="A117" s="5"/>
    </row>
    <row r="118" spans="1:1" x14ac:dyDescent="0.25">
      <c r="A118" s="5"/>
    </row>
    <row r="119" spans="1:1" x14ac:dyDescent="0.25">
      <c r="A119" s="5"/>
    </row>
    <row r="120" spans="1:1" x14ac:dyDescent="0.25">
      <c r="A120" s="5"/>
    </row>
    <row r="121" spans="1:1" x14ac:dyDescent="0.25">
      <c r="A121" s="5"/>
    </row>
    <row r="122" spans="1:1" x14ac:dyDescent="0.25">
      <c r="A122" s="5"/>
    </row>
    <row r="123" spans="1:1" x14ac:dyDescent="0.25">
      <c r="A123" s="5"/>
    </row>
    <row r="124" spans="1:1" x14ac:dyDescent="0.25">
      <c r="A124" s="5"/>
    </row>
    <row r="125" spans="1:1" x14ac:dyDescent="0.25">
      <c r="A125" s="5"/>
    </row>
    <row r="126" spans="1:1" x14ac:dyDescent="0.25">
      <c r="A126" s="5"/>
    </row>
    <row r="127" spans="1:1" x14ac:dyDescent="0.25">
      <c r="A127" s="5"/>
    </row>
    <row r="128" spans="1:1" x14ac:dyDescent="0.25">
      <c r="A128" s="5"/>
    </row>
    <row r="129" spans="1:1" x14ac:dyDescent="0.25">
      <c r="A129" s="5"/>
    </row>
    <row r="130" spans="1:1" x14ac:dyDescent="0.25">
      <c r="A130" s="5"/>
    </row>
    <row r="131" spans="1:1" x14ac:dyDescent="0.25">
      <c r="A131" s="5"/>
    </row>
    <row r="132" spans="1:1" x14ac:dyDescent="0.25">
      <c r="A132" s="5"/>
    </row>
    <row r="133" spans="1:1" x14ac:dyDescent="0.25">
      <c r="A133" s="5"/>
    </row>
    <row r="134" spans="1:1" x14ac:dyDescent="0.25">
      <c r="A134" s="5"/>
    </row>
    <row r="135" spans="1:1" x14ac:dyDescent="0.25">
      <c r="A135" s="5"/>
    </row>
    <row r="136" spans="1:1" x14ac:dyDescent="0.25">
      <c r="A136" s="5"/>
    </row>
    <row r="137" spans="1:1" x14ac:dyDescent="0.25">
      <c r="A137" s="5"/>
    </row>
    <row r="138" spans="1:1" x14ac:dyDescent="0.25">
      <c r="A138" s="5"/>
    </row>
    <row r="139" spans="1:1" x14ac:dyDescent="0.25">
      <c r="A139" s="5"/>
    </row>
    <row r="140" spans="1:1" x14ac:dyDescent="0.25">
      <c r="A140" s="5"/>
    </row>
    <row r="141" spans="1:1" x14ac:dyDescent="0.25">
      <c r="A141" s="5"/>
    </row>
    <row r="142" spans="1:1" x14ac:dyDescent="0.25">
      <c r="A142" s="5"/>
    </row>
    <row r="143" spans="1:1" x14ac:dyDescent="0.25">
      <c r="A143" s="5"/>
    </row>
    <row r="144" spans="1:1" x14ac:dyDescent="0.25">
      <c r="A144" s="5"/>
    </row>
    <row r="145" spans="1:1" x14ac:dyDescent="0.25">
      <c r="A145" s="5"/>
    </row>
    <row r="146" spans="1:1" x14ac:dyDescent="0.25">
      <c r="A146" s="5"/>
    </row>
    <row r="147" spans="1:1" x14ac:dyDescent="0.25">
      <c r="A147" s="5"/>
    </row>
    <row r="148" spans="1:1" x14ac:dyDescent="0.25">
      <c r="A148" s="5"/>
    </row>
    <row r="149" spans="1:1" x14ac:dyDescent="0.25">
      <c r="A149" s="5"/>
    </row>
    <row r="150" spans="1:1" x14ac:dyDescent="0.25">
      <c r="A150" s="5"/>
    </row>
    <row r="151" spans="1:1" x14ac:dyDescent="0.25">
      <c r="A151" s="5"/>
    </row>
    <row r="152" spans="1:1" x14ac:dyDescent="0.25">
      <c r="A152" s="5"/>
    </row>
    <row r="153" spans="1:1" x14ac:dyDescent="0.25">
      <c r="A153" s="5"/>
    </row>
    <row r="154" spans="1:1" x14ac:dyDescent="0.25">
      <c r="A154" s="5"/>
    </row>
    <row r="155" spans="1:1" x14ac:dyDescent="0.25">
      <c r="A155" s="5"/>
    </row>
    <row r="156" spans="1:1" x14ac:dyDescent="0.25">
      <c r="A156" s="5"/>
    </row>
    <row r="157" spans="1:1" x14ac:dyDescent="0.25">
      <c r="A157" s="5"/>
    </row>
    <row r="158" spans="1:1" x14ac:dyDescent="0.25">
      <c r="A158" s="5"/>
    </row>
    <row r="159" spans="1:1" x14ac:dyDescent="0.25">
      <c r="A159" s="5"/>
    </row>
    <row r="160" spans="1:1" x14ac:dyDescent="0.25">
      <c r="A160" s="5"/>
    </row>
    <row r="161" spans="1:1" x14ac:dyDescent="0.25">
      <c r="A161" s="5"/>
    </row>
    <row r="162" spans="1:1" x14ac:dyDescent="0.25">
      <c r="A162" s="5"/>
    </row>
    <row r="163" spans="1:1" x14ac:dyDescent="0.25">
      <c r="A163" s="5"/>
    </row>
    <row r="164" spans="1:1" x14ac:dyDescent="0.25">
      <c r="A164" s="5"/>
    </row>
    <row r="165" spans="1:1" x14ac:dyDescent="0.25">
      <c r="A165" s="5"/>
    </row>
    <row r="166" spans="1:1" x14ac:dyDescent="0.25">
      <c r="A166" s="5"/>
    </row>
    <row r="167" spans="1:1" x14ac:dyDescent="0.25">
      <c r="A167" s="5"/>
    </row>
    <row r="168" spans="1:1" x14ac:dyDescent="0.25">
      <c r="A168" s="5"/>
    </row>
    <row r="169" spans="1:1" x14ac:dyDescent="0.25">
      <c r="A169" s="5"/>
    </row>
    <row r="170" spans="1:1" x14ac:dyDescent="0.25">
      <c r="A170" s="5"/>
    </row>
    <row r="171" spans="1:1" x14ac:dyDescent="0.25">
      <c r="A171" s="5"/>
    </row>
    <row r="172" spans="1:1" x14ac:dyDescent="0.25">
      <c r="A172" s="5"/>
    </row>
    <row r="173" spans="1:1" x14ac:dyDescent="0.25">
      <c r="A173" s="5"/>
    </row>
    <row r="174" spans="1:1" x14ac:dyDescent="0.25">
      <c r="A174" s="5"/>
    </row>
    <row r="175" spans="1:1" x14ac:dyDescent="0.25">
      <c r="A175" s="5"/>
    </row>
    <row r="176" spans="1:1" x14ac:dyDescent="0.25">
      <c r="A176" s="5"/>
    </row>
    <row r="177" spans="1:1" x14ac:dyDescent="0.25">
      <c r="A177" s="5"/>
    </row>
    <row r="178" spans="1:1" x14ac:dyDescent="0.25">
      <c r="A178" s="5"/>
    </row>
    <row r="179" spans="1:1" x14ac:dyDescent="0.25">
      <c r="A179" s="5"/>
    </row>
    <row r="180" spans="1:1" x14ac:dyDescent="0.25">
      <c r="A180" s="5"/>
    </row>
    <row r="181" spans="1:1" x14ac:dyDescent="0.25">
      <c r="A181" s="5"/>
    </row>
    <row r="182" spans="1:1" x14ac:dyDescent="0.25">
      <c r="A182" s="5"/>
    </row>
    <row r="183" spans="1:1" x14ac:dyDescent="0.25">
      <c r="A183" s="5"/>
    </row>
    <row r="184" spans="1:1" x14ac:dyDescent="0.25">
      <c r="A184" s="5"/>
    </row>
    <row r="185" spans="1:1" x14ac:dyDescent="0.25">
      <c r="A185" s="5"/>
    </row>
    <row r="186" spans="1:1" x14ac:dyDescent="0.25">
      <c r="A186" s="5"/>
    </row>
    <row r="187" spans="1:1" x14ac:dyDescent="0.25">
      <c r="A187" s="5"/>
    </row>
    <row r="188" spans="1:1" x14ac:dyDescent="0.25">
      <c r="A188" s="5"/>
    </row>
    <row r="189" spans="1:1" x14ac:dyDescent="0.25">
      <c r="A189" s="5"/>
    </row>
    <row r="190" spans="1:1" x14ac:dyDescent="0.25">
      <c r="A190" s="5"/>
    </row>
    <row r="191" spans="1:1" x14ac:dyDescent="0.25">
      <c r="A191" s="5"/>
    </row>
    <row r="192" spans="1:1" x14ac:dyDescent="0.25">
      <c r="A192" s="5"/>
    </row>
    <row r="193" spans="1:1" x14ac:dyDescent="0.25">
      <c r="A193" s="5"/>
    </row>
    <row r="194" spans="1:1" x14ac:dyDescent="0.25">
      <c r="A194" s="5"/>
    </row>
    <row r="195" spans="1:1" x14ac:dyDescent="0.25">
      <c r="A195" s="5"/>
    </row>
    <row r="196" spans="1:1" x14ac:dyDescent="0.25">
      <c r="A196" s="5"/>
    </row>
    <row r="197" spans="1:1" x14ac:dyDescent="0.25">
      <c r="A197" s="5"/>
    </row>
    <row r="198" spans="1:1" x14ac:dyDescent="0.25">
      <c r="A198" s="5"/>
    </row>
    <row r="199" spans="1:1" x14ac:dyDescent="0.25">
      <c r="A199" s="5"/>
    </row>
    <row r="200" spans="1:1" x14ac:dyDescent="0.25">
      <c r="A200" s="5"/>
    </row>
    <row r="201" spans="1:1" x14ac:dyDescent="0.25">
      <c r="A201" s="5"/>
    </row>
    <row r="202" spans="1:1" x14ac:dyDescent="0.25">
      <c r="A202" s="5"/>
    </row>
    <row r="203" spans="1:1" x14ac:dyDescent="0.25">
      <c r="A203" s="5"/>
    </row>
    <row r="204" spans="1:1" x14ac:dyDescent="0.25">
      <c r="A204" s="5"/>
    </row>
    <row r="205" spans="1:1" x14ac:dyDescent="0.25">
      <c r="A205" s="5"/>
    </row>
    <row r="206" spans="1:1" x14ac:dyDescent="0.25">
      <c r="A206" s="5"/>
    </row>
    <row r="207" spans="1:1" x14ac:dyDescent="0.25">
      <c r="A207" s="5"/>
    </row>
    <row r="208" spans="1:1" x14ac:dyDescent="0.25">
      <c r="A208" s="5"/>
    </row>
    <row r="209" spans="1:1" x14ac:dyDescent="0.25">
      <c r="A209" s="5"/>
    </row>
    <row r="210" spans="1:1" x14ac:dyDescent="0.25">
      <c r="A210" s="5"/>
    </row>
    <row r="211" spans="1:1" x14ac:dyDescent="0.25">
      <c r="A211" s="5"/>
    </row>
    <row r="212" spans="1:1" x14ac:dyDescent="0.25">
      <c r="A212" s="5"/>
    </row>
    <row r="213" spans="1:1" x14ac:dyDescent="0.25">
      <c r="A213" s="5"/>
    </row>
    <row r="214" spans="1:1" x14ac:dyDescent="0.25">
      <c r="A214" s="5"/>
    </row>
    <row r="215" spans="1:1" x14ac:dyDescent="0.25">
      <c r="A215" s="5"/>
    </row>
    <row r="216" spans="1:1" x14ac:dyDescent="0.25">
      <c r="A216" s="5"/>
    </row>
    <row r="217" spans="1:1" x14ac:dyDescent="0.25">
      <c r="A217" s="5"/>
    </row>
    <row r="218" spans="1:1" x14ac:dyDescent="0.25">
      <c r="A218" s="5"/>
    </row>
    <row r="219" spans="1:1" x14ac:dyDescent="0.25">
      <c r="A219" s="5"/>
    </row>
    <row r="220" spans="1:1" x14ac:dyDescent="0.25">
      <c r="A220" s="5"/>
    </row>
    <row r="221" spans="1:1" x14ac:dyDescent="0.25">
      <c r="A221" s="5"/>
    </row>
    <row r="222" spans="1:1" x14ac:dyDescent="0.25">
      <c r="A222" s="5"/>
    </row>
    <row r="223" spans="1:1" x14ac:dyDescent="0.25">
      <c r="A223" s="5"/>
    </row>
    <row r="224" spans="1:1" x14ac:dyDescent="0.25">
      <c r="A224" s="5"/>
    </row>
    <row r="225" spans="1:1" x14ac:dyDescent="0.25">
      <c r="A225" s="5"/>
    </row>
    <row r="226" spans="1:1" x14ac:dyDescent="0.25">
      <c r="A226" s="5"/>
    </row>
    <row r="227" spans="1:1" x14ac:dyDescent="0.25">
      <c r="A227" s="5"/>
    </row>
    <row r="228" spans="1:1" x14ac:dyDescent="0.25">
      <c r="A228" s="5"/>
    </row>
    <row r="229" spans="1:1" x14ac:dyDescent="0.25">
      <c r="A229" s="5"/>
    </row>
    <row r="230" spans="1:1" x14ac:dyDescent="0.25">
      <c r="A230" s="5"/>
    </row>
    <row r="231" spans="1:1" x14ac:dyDescent="0.25">
      <c r="A231" s="5"/>
    </row>
    <row r="232" spans="1:1" x14ac:dyDescent="0.25">
      <c r="A232" s="5"/>
    </row>
    <row r="233" spans="1:1" x14ac:dyDescent="0.25">
      <c r="A233" s="5"/>
    </row>
    <row r="234" spans="1:1" x14ac:dyDescent="0.25">
      <c r="A234" s="5"/>
    </row>
    <row r="235" spans="1:1" x14ac:dyDescent="0.25">
      <c r="A235" s="5"/>
    </row>
    <row r="236" spans="1:1" x14ac:dyDescent="0.25">
      <c r="A236" s="5"/>
    </row>
    <row r="237" spans="1:1" x14ac:dyDescent="0.25">
      <c r="A237" s="5"/>
    </row>
    <row r="238" spans="1:1" x14ac:dyDescent="0.25">
      <c r="A238" s="5"/>
    </row>
    <row r="239" spans="1:1" x14ac:dyDescent="0.25">
      <c r="A239" s="5"/>
    </row>
    <row r="240" spans="1:1" x14ac:dyDescent="0.25">
      <c r="A240" s="5"/>
    </row>
    <row r="241" spans="1:1" x14ac:dyDescent="0.25">
      <c r="A241" s="5"/>
    </row>
    <row r="242" spans="1:1" x14ac:dyDescent="0.25">
      <c r="A242" s="5"/>
    </row>
    <row r="243" spans="1:1" x14ac:dyDescent="0.25">
      <c r="A243" s="5"/>
    </row>
    <row r="244" spans="1:1" x14ac:dyDescent="0.25">
      <c r="A244" s="5"/>
    </row>
    <row r="245" spans="1:1" x14ac:dyDescent="0.25">
      <c r="A245" s="5"/>
    </row>
    <row r="246" spans="1:1" x14ac:dyDescent="0.25">
      <c r="A246" s="5"/>
    </row>
    <row r="247" spans="1:1" x14ac:dyDescent="0.25">
      <c r="A247" s="5"/>
    </row>
    <row r="248" spans="1:1" x14ac:dyDescent="0.25">
      <c r="A248" s="5"/>
    </row>
    <row r="249" spans="1:1" x14ac:dyDescent="0.25">
      <c r="A249" s="5"/>
    </row>
    <row r="250" spans="1:1" x14ac:dyDescent="0.25">
      <c r="A250" s="5"/>
    </row>
    <row r="251" spans="1:1" x14ac:dyDescent="0.25">
      <c r="A251" s="5"/>
    </row>
    <row r="252" spans="1:1" x14ac:dyDescent="0.25">
      <c r="A252" s="5"/>
    </row>
    <row r="253" spans="1:1" x14ac:dyDescent="0.25">
      <c r="A253" s="5"/>
    </row>
    <row r="254" spans="1:1" x14ac:dyDescent="0.25">
      <c r="A254" s="5"/>
    </row>
    <row r="255" spans="1:1" x14ac:dyDescent="0.25">
      <c r="A255" s="5"/>
    </row>
    <row r="256" spans="1:1" x14ac:dyDescent="0.25">
      <c r="A256" s="5"/>
    </row>
    <row r="257" spans="1:1" x14ac:dyDescent="0.25">
      <c r="A257" s="5"/>
    </row>
    <row r="258" spans="1:1" x14ac:dyDescent="0.25">
      <c r="A258" s="5"/>
    </row>
    <row r="259" spans="1:1" x14ac:dyDescent="0.25">
      <c r="A259" s="5"/>
    </row>
    <row r="260" spans="1:1" x14ac:dyDescent="0.25">
      <c r="A260" s="5"/>
    </row>
    <row r="261" spans="1:1" x14ac:dyDescent="0.25">
      <c r="A261" s="5"/>
    </row>
    <row r="262" spans="1:1" x14ac:dyDescent="0.25">
      <c r="A262" s="5"/>
    </row>
    <row r="263" spans="1:1" x14ac:dyDescent="0.25">
      <c r="A263" s="5"/>
    </row>
    <row r="264" spans="1:1" x14ac:dyDescent="0.25">
      <c r="A264" s="5"/>
    </row>
    <row r="265" spans="1:1" x14ac:dyDescent="0.25">
      <c r="A265" s="5"/>
    </row>
    <row r="266" spans="1:1" x14ac:dyDescent="0.25">
      <c r="A266" s="5"/>
    </row>
    <row r="267" spans="1:1" x14ac:dyDescent="0.25">
      <c r="A267" s="5"/>
    </row>
    <row r="268" spans="1:1" x14ac:dyDescent="0.25">
      <c r="A268" s="5"/>
    </row>
    <row r="269" spans="1:1" x14ac:dyDescent="0.25">
      <c r="A269" s="5"/>
    </row>
    <row r="270" spans="1:1" x14ac:dyDescent="0.25">
      <c r="A270" s="5"/>
    </row>
    <row r="271" spans="1:1" x14ac:dyDescent="0.25">
      <c r="A271" s="5"/>
    </row>
    <row r="272" spans="1:1" x14ac:dyDescent="0.25">
      <c r="A272" s="5"/>
    </row>
    <row r="273" spans="1:1" x14ac:dyDescent="0.25">
      <c r="A273" s="5"/>
    </row>
    <row r="274" spans="1:1" x14ac:dyDescent="0.25">
      <c r="A274" s="5"/>
    </row>
    <row r="275" spans="1:1" x14ac:dyDescent="0.25">
      <c r="A275" s="5"/>
    </row>
    <row r="276" spans="1:1" x14ac:dyDescent="0.25">
      <c r="A276" s="5"/>
    </row>
    <row r="277" spans="1:1" x14ac:dyDescent="0.25">
      <c r="A277" s="5"/>
    </row>
    <row r="278" spans="1:1" x14ac:dyDescent="0.25">
      <c r="A278" s="5"/>
    </row>
    <row r="279" spans="1:1" x14ac:dyDescent="0.25">
      <c r="A279" s="5"/>
    </row>
    <row r="280" spans="1:1" x14ac:dyDescent="0.25">
      <c r="A280" s="5"/>
    </row>
    <row r="281" spans="1:1" x14ac:dyDescent="0.25">
      <c r="A281" s="5"/>
    </row>
    <row r="282" spans="1:1" x14ac:dyDescent="0.25">
      <c r="A282" s="5"/>
    </row>
    <row r="283" spans="1:1" x14ac:dyDescent="0.25">
      <c r="A283" s="5"/>
    </row>
    <row r="284" spans="1:1" x14ac:dyDescent="0.25">
      <c r="A284" s="5"/>
    </row>
    <row r="285" spans="1:1" x14ac:dyDescent="0.25">
      <c r="A285" s="5"/>
    </row>
    <row r="286" spans="1:1" x14ac:dyDescent="0.25">
      <c r="A286" s="5"/>
    </row>
    <row r="287" spans="1:1" x14ac:dyDescent="0.25">
      <c r="A287" s="5"/>
    </row>
    <row r="288" spans="1:1" x14ac:dyDescent="0.25">
      <c r="A288" s="5"/>
    </row>
    <row r="289" spans="1:1" x14ac:dyDescent="0.25">
      <c r="A289" s="5"/>
    </row>
    <row r="290" spans="1:1" x14ac:dyDescent="0.25">
      <c r="A290" s="5"/>
    </row>
    <row r="291" spans="1:1" x14ac:dyDescent="0.25">
      <c r="A291" s="5"/>
    </row>
    <row r="292" spans="1:1" x14ac:dyDescent="0.25">
      <c r="A292" s="5"/>
    </row>
    <row r="293" spans="1:1" x14ac:dyDescent="0.25">
      <c r="A293" s="5"/>
    </row>
    <row r="294" spans="1:1" x14ac:dyDescent="0.25">
      <c r="A294" s="5"/>
    </row>
    <row r="295" spans="1:1" x14ac:dyDescent="0.25">
      <c r="A295" s="5"/>
    </row>
    <row r="296" spans="1:1" x14ac:dyDescent="0.25">
      <c r="A296" s="5"/>
    </row>
    <row r="297" spans="1:1" x14ac:dyDescent="0.25">
      <c r="A297" s="5"/>
    </row>
    <row r="298" spans="1:1" x14ac:dyDescent="0.25">
      <c r="A298" s="5"/>
    </row>
    <row r="299" spans="1:1" x14ac:dyDescent="0.25">
      <c r="A299" s="5"/>
    </row>
    <row r="300" spans="1:1" x14ac:dyDescent="0.25">
      <c r="A300" s="5"/>
    </row>
    <row r="301" spans="1:1" x14ac:dyDescent="0.25">
      <c r="A301" s="5"/>
    </row>
    <row r="302" spans="1:1" x14ac:dyDescent="0.25">
      <c r="A302" s="5"/>
    </row>
    <row r="303" spans="1:1" x14ac:dyDescent="0.25">
      <c r="A303" s="5"/>
    </row>
    <row r="304" spans="1:1" x14ac:dyDescent="0.25">
      <c r="A304" s="5"/>
    </row>
    <row r="305" spans="1:1" x14ac:dyDescent="0.25">
      <c r="A305" s="5"/>
    </row>
    <row r="306" spans="1:1" x14ac:dyDescent="0.25">
      <c r="A306" s="5"/>
    </row>
    <row r="307" spans="1:1" x14ac:dyDescent="0.25">
      <c r="A307" s="5"/>
    </row>
    <row r="308" spans="1:1" x14ac:dyDescent="0.25">
      <c r="A308" s="5"/>
    </row>
    <row r="309" spans="1:1" x14ac:dyDescent="0.25">
      <c r="A309" s="5"/>
    </row>
    <row r="310" spans="1:1" x14ac:dyDescent="0.25">
      <c r="A310" s="5"/>
    </row>
    <row r="311" spans="1:1" x14ac:dyDescent="0.25">
      <c r="A311" s="5"/>
    </row>
    <row r="312" spans="1:1" x14ac:dyDescent="0.25">
      <c r="A312" s="5"/>
    </row>
    <row r="313" spans="1:1" x14ac:dyDescent="0.25">
      <c r="A313" s="5"/>
    </row>
    <row r="314" spans="1:1" x14ac:dyDescent="0.25">
      <c r="A314" s="5"/>
    </row>
    <row r="315" spans="1:1" x14ac:dyDescent="0.25">
      <c r="A315" s="5"/>
    </row>
    <row r="316" spans="1:1" x14ac:dyDescent="0.25">
      <c r="A316" s="5"/>
    </row>
    <row r="317" spans="1:1" x14ac:dyDescent="0.25">
      <c r="A317" s="5"/>
    </row>
    <row r="318" spans="1:1" x14ac:dyDescent="0.25">
      <c r="A318" s="5"/>
    </row>
    <row r="319" spans="1:1" x14ac:dyDescent="0.25">
      <c r="A319" s="5"/>
    </row>
    <row r="320" spans="1:1" x14ac:dyDescent="0.25">
      <c r="A320" s="5"/>
    </row>
    <row r="321" spans="1:1" x14ac:dyDescent="0.25">
      <c r="A321" s="5"/>
    </row>
    <row r="322" spans="1:1" x14ac:dyDescent="0.25">
      <c r="A322" s="5"/>
    </row>
    <row r="323" spans="1:1" x14ac:dyDescent="0.25">
      <c r="A323" s="5"/>
    </row>
    <row r="324" spans="1:1" x14ac:dyDescent="0.25">
      <c r="A324" s="5"/>
    </row>
    <row r="325" spans="1:1" x14ac:dyDescent="0.25">
      <c r="A325" s="5"/>
    </row>
    <row r="326" spans="1:1" x14ac:dyDescent="0.25">
      <c r="A326" s="5"/>
    </row>
    <row r="327" spans="1:1" x14ac:dyDescent="0.25">
      <c r="A327" s="5"/>
    </row>
    <row r="328" spans="1:1" x14ac:dyDescent="0.25">
      <c r="A328" s="5"/>
    </row>
    <row r="329" spans="1:1" x14ac:dyDescent="0.25">
      <c r="A329" s="5"/>
    </row>
    <row r="330" spans="1:1" x14ac:dyDescent="0.25">
      <c r="A330" s="5"/>
    </row>
    <row r="331" spans="1:1" x14ac:dyDescent="0.25">
      <c r="A331" s="5"/>
    </row>
    <row r="332" spans="1:1" x14ac:dyDescent="0.25">
      <c r="A332" s="5"/>
    </row>
    <row r="333" spans="1:1" x14ac:dyDescent="0.25">
      <c r="A333" s="5"/>
    </row>
    <row r="334" spans="1:1" x14ac:dyDescent="0.25">
      <c r="A334" s="5"/>
    </row>
    <row r="335" spans="1:1" x14ac:dyDescent="0.25">
      <c r="A335" s="5"/>
    </row>
    <row r="336" spans="1:1" x14ac:dyDescent="0.25">
      <c r="A336" s="5"/>
    </row>
    <row r="337" spans="1:1" x14ac:dyDescent="0.25">
      <c r="A337" s="5"/>
    </row>
    <row r="338" spans="1:1" x14ac:dyDescent="0.25">
      <c r="A338" s="5"/>
    </row>
    <row r="339" spans="1:1" x14ac:dyDescent="0.25">
      <c r="A339" s="5"/>
    </row>
    <row r="340" spans="1:1" x14ac:dyDescent="0.25">
      <c r="A340" s="5"/>
    </row>
    <row r="341" spans="1:1" x14ac:dyDescent="0.25">
      <c r="A341" s="5"/>
    </row>
    <row r="342" spans="1:1" x14ac:dyDescent="0.25">
      <c r="A342" s="5"/>
    </row>
    <row r="343" spans="1:1" x14ac:dyDescent="0.25">
      <c r="A343" s="5"/>
    </row>
    <row r="344" spans="1:1" x14ac:dyDescent="0.25">
      <c r="A344" s="5"/>
    </row>
    <row r="345" spans="1:1" x14ac:dyDescent="0.25">
      <c r="A345" s="5"/>
    </row>
    <row r="346" spans="1:1" x14ac:dyDescent="0.25">
      <c r="A346" s="5"/>
    </row>
    <row r="347" spans="1:1" x14ac:dyDescent="0.25">
      <c r="A347" s="5"/>
    </row>
    <row r="348" spans="1:1" x14ac:dyDescent="0.25">
      <c r="A348" s="5"/>
    </row>
    <row r="349" spans="1:1" x14ac:dyDescent="0.25">
      <c r="A349" s="5"/>
    </row>
    <row r="350" spans="1:1" x14ac:dyDescent="0.25">
      <c r="A350" s="5"/>
    </row>
    <row r="351" spans="1:1" x14ac:dyDescent="0.25">
      <c r="A351" s="5"/>
    </row>
    <row r="352" spans="1:1" x14ac:dyDescent="0.25">
      <c r="A352" s="5"/>
    </row>
    <row r="353" spans="1:1" x14ac:dyDescent="0.25">
      <c r="A353" s="5"/>
    </row>
    <row r="354" spans="1:1" x14ac:dyDescent="0.25">
      <c r="A354" s="5"/>
    </row>
    <row r="355" spans="1:1" x14ac:dyDescent="0.25">
      <c r="A355" s="5"/>
    </row>
    <row r="356" spans="1:1" x14ac:dyDescent="0.25">
      <c r="A356" s="5"/>
    </row>
    <row r="357" spans="1:1" x14ac:dyDescent="0.25">
      <c r="A357" s="5"/>
    </row>
    <row r="358" spans="1:1" x14ac:dyDescent="0.25">
      <c r="A358" s="5"/>
    </row>
    <row r="359" spans="1:1" x14ac:dyDescent="0.25">
      <c r="A359" s="5"/>
    </row>
    <row r="360" spans="1:1" x14ac:dyDescent="0.25">
      <c r="A360" s="5"/>
    </row>
    <row r="361" spans="1:1" x14ac:dyDescent="0.25">
      <c r="A361" s="5"/>
    </row>
    <row r="362" spans="1:1" x14ac:dyDescent="0.25">
      <c r="A362" s="5"/>
    </row>
    <row r="363" spans="1:1" x14ac:dyDescent="0.25">
      <c r="A363" s="5"/>
    </row>
    <row r="364" spans="1:1" x14ac:dyDescent="0.25">
      <c r="A364" s="5"/>
    </row>
    <row r="365" spans="1:1" x14ac:dyDescent="0.25">
      <c r="A365" s="5"/>
    </row>
    <row r="366" spans="1:1" x14ac:dyDescent="0.25">
      <c r="A366" s="5"/>
    </row>
    <row r="367" spans="1:1" x14ac:dyDescent="0.25">
      <c r="A367" s="5"/>
    </row>
    <row r="368" spans="1:1" x14ac:dyDescent="0.25">
      <c r="A368" s="5"/>
    </row>
    <row r="369" spans="1:1" x14ac:dyDescent="0.25">
      <c r="A369" s="5"/>
    </row>
    <row r="370" spans="1:1" x14ac:dyDescent="0.25">
      <c r="A370" s="5"/>
    </row>
    <row r="371" spans="1:1" x14ac:dyDescent="0.25">
      <c r="A371" s="5"/>
    </row>
    <row r="372" spans="1:1" x14ac:dyDescent="0.25">
      <c r="A372" s="5"/>
    </row>
    <row r="373" spans="1:1" x14ac:dyDescent="0.25">
      <c r="A373" s="5"/>
    </row>
    <row r="374" spans="1:1" x14ac:dyDescent="0.25">
      <c r="A374" s="5"/>
    </row>
    <row r="375" spans="1:1" x14ac:dyDescent="0.25">
      <c r="A375" s="5"/>
    </row>
    <row r="376" spans="1:1" x14ac:dyDescent="0.25">
      <c r="A376" s="5"/>
    </row>
    <row r="377" spans="1:1" x14ac:dyDescent="0.25">
      <c r="A377" s="5"/>
    </row>
    <row r="378" spans="1:1" x14ac:dyDescent="0.25">
      <c r="A378" s="5"/>
    </row>
    <row r="379" spans="1:1" x14ac:dyDescent="0.25">
      <c r="A379" s="5"/>
    </row>
    <row r="380" spans="1:1" x14ac:dyDescent="0.25">
      <c r="A380" s="5"/>
    </row>
    <row r="381" spans="1:1" x14ac:dyDescent="0.25">
      <c r="A381" s="5"/>
    </row>
    <row r="382" spans="1:1" x14ac:dyDescent="0.25">
      <c r="A382" s="5"/>
    </row>
    <row r="383" spans="1:1" x14ac:dyDescent="0.25">
      <c r="A383" s="5"/>
    </row>
    <row r="384" spans="1:1" x14ac:dyDescent="0.25">
      <c r="A384" s="5"/>
    </row>
    <row r="385" spans="1:1" x14ac:dyDescent="0.25">
      <c r="A385" s="5"/>
    </row>
    <row r="386" spans="1:1" x14ac:dyDescent="0.25">
      <c r="A386" s="5"/>
    </row>
    <row r="387" spans="1:1" x14ac:dyDescent="0.25">
      <c r="A387" s="5"/>
    </row>
    <row r="388" spans="1:1" x14ac:dyDescent="0.25">
      <c r="A388" s="5"/>
    </row>
    <row r="389" spans="1:1" x14ac:dyDescent="0.25">
      <c r="A389" s="5"/>
    </row>
    <row r="390" spans="1:1" x14ac:dyDescent="0.25">
      <c r="A390" s="5"/>
    </row>
    <row r="391" spans="1:1" x14ac:dyDescent="0.25">
      <c r="A391" s="5"/>
    </row>
    <row r="392" spans="1:1" x14ac:dyDescent="0.25">
      <c r="A392" s="5"/>
    </row>
    <row r="393" spans="1:1" x14ac:dyDescent="0.25">
      <c r="A393" s="5"/>
    </row>
    <row r="394" spans="1:1" x14ac:dyDescent="0.25">
      <c r="A394" s="5"/>
    </row>
    <row r="395" spans="1:1" x14ac:dyDescent="0.25">
      <c r="A395" s="5"/>
    </row>
    <row r="396" spans="1:1" x14ac:dyDescent="0.25">
      <c r="A396" s="5"/>
    </row>
    <row r="397" spans="1:1" x14ac:dyDescent="0.25">
      <c r="A397" s="5"/>
    </row>
    <row r="398" spans="1:1" x14ac:dyDescent="0.25">
      <c r="A398" s="5"/>
    </row>
    <row r="399" spans="1:1" x14ac:dyDescent="0.25">
      <c r="A399" s="5"/>
    </row>
    <row r="400" spans="1:1" x14ac:dyDescent="0.25">
      <c r="A400" s="5"/>
    </row>
    <row r="401" spans="1:1" x14ac:dyDescent="0.25">
      <c r="A401" s="5"/>
    </row>
    <row r="402" spans="1:1" x14ac:dyDescent="0.25">
      <c r="A402" s="5"/>
    </row>
    <row r="403" spans="1:1" x14ac:dyDescent="0.25">
      <c r="A403" s="5"/>
    </row>
    <row r="404" spans="1:1" x14ac:dyDescent="0.25">
      <c r="A404" s="5"/>
    </row>
    <row r="405" spans="1:1" x14ac:dyDescent="0.25">
      <c r="A405" s="5"/>
    </row>
    <row r="406" spans="1:1" x14ac:dyDescent="0.25">
      <c r="A406" s="5"/>
    </row>
    <row r="407" spans="1:1" x14ac:dyDescent="0.25">
      <c r="A407" s="5"/>
    </row>
    <row r="408" spans="1:1" x14ac:dyDescent="0.25">
      <c r="A408" s="5"/>
    </row>
    <row r="409" spans="1:1" x14ac:dyDescent="0.25">
      <c r="A409" s="5"/>
    </row>
    <row r="410" spans="1:1" x14ac:dyDescent="0.25">
      <c r="A410" s="5"/>
    </row>
    <row r="411" spans="1:1" x14ac:dyDescent="0.25">
      <c r="A411" s="5"/>
    </row>
    <row r="412" spans="1:1" x14ac:dyDescent="0.25">
      <c r="A412" s="5"/>
    </row>
    <row r="413" spans="1:1" x14ac:dyDescent="0.25">
      <c r="A413" s="5"/>
    </row>
    <row r="414" spans="1:1" x14ac:dyDescent="0.25">
      <c r="A414" s="5"/>
    </row>
    <row r="415" spans="1:1" x14ac:dyDescent="0.25">
      <c r="A415" s="5"/>
    </row>
    <row r="416" spans="1:1" x14ac:dyDescent="0.25">
      <c r="A416" s="5"/>
    </row>
    <row r="417" spans="1:1" x14ac:dyDescent="0.25">
      <c r="A417" s="5"/>
    </row>
    <row r="418" spans="1:1" x14ac:dyDescent="0.25">
      <c r="A418" s="5"/>
    </row>
    <row r="419" spans="1:1" x14ac:dyDescent="0.25">
      <c r="A419" s="5"/>
    </row>
    <row r="420" spans="1:1" x14ac:dyDescent="0.25">
      <c r="A420" s="5"/>
    </row>
    <row r="421" spans="1:1" x14ac:dyDescent="0.25">
      <c r="A421" s="5"/>
    </row>
    <row r="422" spans="1:1" x14ac:dyDescent="0.25">
      <c r="A422" s="5"/>
    </row>
    <row r="423" spans="1:1" x14ac:dyDescent="0.25">
      <c r="A423" s="5"/>
    </row>
    <row r="424" spans="1:1" x14ac:dyDescent="0.25">
      <c r="A424" s="5"/>
    </row>
    <row r="425" spans="1:1" x14ac:dyDescent="0.25">
      <c r="A425" s="5"/>
    </row>
    <row r="426" spans="1:1" x14ac:dyDescent="0.25">
      <c r="A426" s="5"/>
    </row>
    <row r="427" spans="1:1" x14ac:dyDescent="0.25">
      <c r="A427" s="5"/>
    </row>
    <row r="428" spans="1:1" x14ac:dyDescent="0.25">
      <c r="A428" s="5"/>
    </row>
    <row r="429" spans="1:1" x14ac:dyDescent="0.25">
      <c r="A429" s="5"/>
    </row>
    <row r="430" spans="1:1" x14ac:dyDescent="0.25">
      <c r="A430" s="5"/>
    </row>
    <row r="431" spans="1:1" x14ac:dyDescent="0.25">
      <c r="A431" s="5"/>
    </row>
    <row r="432" spans="1:1" x14ac:dyDescent="0.25">
      <c r="A432" s="5"/>
    </row>
    <row r="433" spans="1:1" x14ac:dyDescent="0.25">
      <c r="A433" s="5"/>
    </row>
    <row r="434" spans="1:1" x14ac:dyDescent="0.25">
      <c r="A434" s="5"/>
    </row>
    <row r="435" spans="1:1" x14ac:dyDescent="0.25">
      <c r="A435" s="5"/>
    </row>
    <row r="436" spans="1:1" x14ac:dyDescent="0.25">
      <c r="A436" s="5"/>
    </row>
    <row r="437" spans="1:1" x14ac:dyDescent="0.25">
      <c r="A437" s="5"/>
    </row>
    <row r="438" spans="1:1" x14ac:dyDescent="0.25">
      <c r="A438" s="5"/>
    </row>
    <row r="439" spans="1:1" x14ac:dyDescent="0.25">
      <c r="A439" s="5"/>
    </row>
    <row r="440" spans="1:1" x14ac:dyDescent="0.25">
      <c r="A440" s="5"/>
    </row>
    <row r="441" spans="1:1" x14ac:dyDescent="0.25">
      <c r="A441" s="5"/>
    </row>
    <row r="442" spans="1:1" x14ac:dyDescent="0.25">
      <c r="A442" s="5"/>
    </row>
    <row r="443" spans="1:1" x14ac:dyDescent="0.25">
      <c r="A443" s="5"/>
    </row>
    <row r="444" spans="1:1" x14ac:dyDescent="0.25">
      <c r="A444" s="5"/>
    </row>
    <row r="445" spans="1:1" x14ac:dyDescent="0.25">
      <c r="A445" s="5"/>
    </row>
    <row r="446" spans="1:1" x14ac:dyDescent="0.25">
      <c r="A446" s="5"/>
    </row>
    <row r="447" spans="1:1" x14ac:dyDescent="0.25">
      <c r="A447" s="5"/>
    </row>
    <row r="448" spans="1:1" x14ac:dyDescent="0.25">
      <c r="A448" s="5"/>
    </row>
    <row r="449" spans="1:1" x14ac:dyDescent="0.25">
      <c r="A449" s="5"/>
    </row>
    <row r="450" spans="1:1" x14ac:dyDescent="0.25">
      <c r="A450" s="5"/>
    </row>
    <row r="451" spans="1:1" x14ac:dyDescent="0.25">
      <c r="A451" s="5"/>
    </row>
    <row r="452" spans="1:1" x14ac:dyDescent="0.25">
      <c r="A452" s="5"/>
    </row>
    <row r="453" spans="1:1" x14ac:dyDescent="0.25">
      <c r="A453" s="5"/>
    </row>
    <row r="454" spans="1:1" x14ac:dyDescent="0.25">
      <c r="A454" s="5"/>
    </row>
    <row r="455" spans="1:1" x14ac:dyDescent="0.25">
      <c r="A455" s="5"/>
    </row>
    <row r="456" spans="1:1" x14ac:dyDescent="0.25">
      <c r="A456" s="5"/>
    </row>
    <row r="457" spans="1:1" x14ac:dyDescent="0.25">
      <c r="A457" s="5"/>
    </row>
    <row r="458" spans="1:1" x14ac:dyDescent="0.25">
      <c r="A458" s="5"/>
    </row>
    <row r="459" spans="1:1" x14ac:dyDescent="0.25">
      <c r="A459" s="5"/>
    </row>
    <row r="460" spans="1:1" x14ac:dyDescent="0.25">
      <c r="A460" s="5"/>
    </row>
    <row r="461" spans="1:1" x14ac:dyDescent="0.25">
      <c r="A461" s="5"/>
    </row>
    <row r="462" spans="1:1" x14ac:dyDescent="0.25">
      <c r="A462" s="5"/>
    </row>
    <row r="463" spans="1:1" x14ac:dyDescent="0.25">
      <c r="A463" s="5"/>
    </row>
    <row r="464" spans="1:1" x14ac:dyDescent="0.25">
      <c r="A464" s="5"/>
    </row>
    <row r="465" spans="1:1" x14ac:dyDescent="0.25">
      <c r="A465" s="5"/>
    </row>
    <row r="466" spans="1:1" x14ac:dyDescent="0.25">
      <c r="A466" s="5"/>
    </row>
    <row r="467" spans="1:1" x14ac:dyDescent="0.25">
      <c r="A467" s="5"/>
    </row>
    <row r="468" spans="1:1" x14ac:dyDescent="0.25">
      <c r="A468" s="5"/>
    </row>
    <row r="469" spans="1:1" x14ac:dyDescent="0.25">
      <c r="A469" s="5"/>
    </row>
    <row r="470" spans="1:1" x14ac:dyDescent="0.25">
      <c r="A470" s="5"/>
    </row>
    <row r="471" spans="1:1" x14ac:dyDescent="0.25">
      <c r="A471" s="5"/>
    </row>
    <row r="472" spans="1:1" x14ac:dyDescent="0.25">
      <c r="A472" s="5"/>
    </row>
    <row r="473" spans="1:1" x14ac:dyDescent="0.25">
      <c r="A473" s="5"/>
    </row>
    <row r="474" spans="1:1" x14ac:dyDescent="0.25">
      <c r="A474" s="5"/>
    </row>
    <row r="475" spans="1:1" x14ac:dyDescent="0.25">
      <c r="A475" s="5"/>
    </row>
    <row r="476" spans="1:1" x14ac:dyDescent="0.25">
      <c r="A476" s="5"/>
    </row>
    <row r="477" spans="1:1" x14ac:dyDescent="0.25">
      <c r="A477" s="5"/>
    </row>
    <row r="478" spans="1:1" x14ac:dyDescent="0.25">
      <c r="A478" s="5"/>
    </row>
    <row r="479" spans="1:1" x14ac:dyDescent="0.25">
      <c r="A479" s="5"/>
    </row>
    <row r="480" spans="1:1" x14ac:dyDescent="0.25">
      <c r="A480" s="5"/>
    </row>
    <row r="481" spans="1:1" x14ac:dyDescent="0.25">
      <c r="A481" s="5"/>
    </row>
    <row r="482" spans="1:1" x14ac:dyDescent="0.25">
      <c r="A482" s="5"/>
    </row>
    <row r="483" spans="1:1" x14ac:dyDescent="0.25">
      <c r="A483" s="5"/>
    </row>
    <row r="484" spans="1:1" x14ac:dyDescent="0.25">
      <c r="A484" s="5"/>
    </row>
    <row r="485" spans="1:1" x14ac:dyDescent="0.25">
      <c r="A485" s="5"/>
    </row>
    <row r="486" spans="1:1" x14ac:dyDescent="0.25">
      <c r="A486" s="5"/>
    </row>
    <row r="487" spans="1:1" x14ac:dyDescent="0.25">
      <c r="A487" s="5"/>
    </row>
    <row r="488" spans="1:1" x14ac:dyDescent="0.25">
      <c r="A488" s="5"/>
    </row>
    <row r="489" spans="1:1" x14ac:dyDescent="0.25">
      <c r="A489" s="5"/>
    </row>
    <row r="490" spans="1:1" x14ac:dyDescent="0.25">
      <c r="A490" s="5"/>
    </row>
    <row r="491" spans="1:1" x14ac:dyDescent="0.25">
      <c r="A491" s="5"/>
    </row>
    <row r="492" spans="1:1" x14ac:dyDescent="0.25">
      <c r="A492" s="5"/>
    </row>
    <row r="493" spans="1:1" x14ac:dyDescent="0.25">
      <c r="A493" s="5"/>
    </row>
    <row r="494" spans="1:1" x14ac:dyDescent="0.25">
      <c r="A494" s="5"/>
    </row>
    <row r="495" spans="1:1" x14ac:dyDescent="0.25">
      <c r="A495" s="5"/>
    </row>
    <row r="496" spans="1:1" x14ac:dyDescent="0.25">
      <c r="A496" s="5"/>
    </row>
    <row r="497" spans="1:1" x14ac:dyDescent="0.25">
      <c r="A497" s="5"/>
    </row>
    <row r="498" spans="1:1" x14ac:dyDescent="0.25">
      <c r="A498" s="5"/>
    </row>
    <row r="499" spans="1:1" x14ac:dyDescent="0.25">
      <c r="A499" s="5"/>
    </row>
    <row r="500" spans="1:1" x14ac:dyDescent="0.25">
      <c r="A500" s="5"/>
    </row>
    <row r="501" spans="1:1" x14ac:dyDescent="0.25">
      <c r="A501" s="5"/>
    </row>
    <row r="502" spans="1:1" x14ac:dyDescent="0.25">
      <c r="A502" s="5"/>
    </row>
    <row r="503" spans="1:1" x14ac:dyDescent="0.25">
      <c r="A503" s="5"/>
    </row>
    <row r="504" spans="1:1" x14ac:dyDescent="0.25">
      <c r="A504" s="5"/>
    </row>
    <row r="505" spans="1:1" x14ac:dyDescent="0.25">
      <c r="A505" s="5"/>
    </row>
    <row r="506" spans="1:1" x14ac:dyDescent="0.25">
      <c r="A506" s="5"/>
    </row>
    <row r="507" spans="1:1" x14ac:dyDescent="0.25">
      <c r="A507" s="5"/>
    </row>
    <row r="508" spans="1:1" x14ac:dyDescent="0.25">
      <c r="A508" s="5"/>
    </row>
    <row r="509" spans="1:1" x14ac:dyDescent="0.25">
      <c r="A509" s="5"/>
    </row>
    <row r="510" spans="1:1" x14ac:dyDescent="0.25">
      <c r="A510" s="5"/>
    </row>
    <row r="511" spans="1:1" x14ac:dyDescent="0.25">
      <c r="A511" s="5"/>
    </row>
    <row r="512" spans="1:1" x14ac:dyDescent="0.25">
      <c r="A512" s="5"/>
    </row>
    <row r="513" spans="1:1" x14ac:dyDescent="0.25">
      <c r="A513" s="5"/>
    </row>
    <row r="514" spans="1:1" x14ac:dyDescent="0.25">
      <c r="A514" s="5"/>
    </row>
    <row r="515" spans="1:1" x14ac:dyDescent="0.25">
      <c r="A515" s="5"/>
    </row>
    <row r="516" spans="1:1" x14ac:dyDescent="0.25">
      <c r="A516" s="5"/>
    </row>
    <row r="517" spans="1:1" x14ac:dyDescent="0.25">
      <c r="A517" s="5"/>
    </row>
    <row r="518" spans="1:1" x14ac:dyDescent="0.25">
      <c r="A518" s="5"/>
    </row>
    <row r="519" spans="1:1" x14ac:dyDescent="0.25">
      <c r="A519" s="5"/>
    </row>
    <row r="520" spans="1:1" x14ac:dyDescent="0.25">
      <c r="A520" s="5"/>
    </row>
    <row r="521" spans="1:1" x14ac:dyDescent="0.25">
      <c r="A521" s="5"/>
    </row>
    <row r="522" spans="1:1" x14ac:dyDescent="0.25">
      <c r="A522" s="5"/>
    </row>
    <row r="523" spans="1:1" x14ac:dyDescent="0.25">
      <c r="A523" s="5"/>
    </row>
    <row r="524" spans="1:1" x14ac:dyDescent="0.25">
      <c r="A524" s="5"/>
    </row>
    <row r="525" spans="1:1" x14ac:dyDescent="0.25">
      <c r="A525" s="5"/>
    </row>
    <row r="526" spans="1:1" x14ac:dyDescent="0.25">
      <c r="A526" s="5"/>
    </row>
    <row r="527" spans="1:1" x14ac:dyDescent="0.25">
      <c r="A527" s="5"/>
    </row>
    <row r="528" spans="1:1" x14ac:dyDescent="0.25">
      <c r="A528" s="5"/>
    </row>
    <row r="529" spans="1:1" x14ac:dyDescent="0.25">
      <c r="A529" s="5"/>
    </row>
    <row r="530" spans="1:1" x14ac:dyDescent="0.25">
      <c r="A530" s="5"/>
    </row>
    <row r="531" spans="1:1" x14ac:dyDescent="0.25">
      <c r="A531" s="5"/>
    </row>
    <row r="532" spans="1:1" x14ac:dyDescent="0.25">
      <c r="A532" s="5"/>
    </row>
    <row r="533" spans="1:1" x14ac:dyDescent="0.25">
      <c r="A533" s="5"/>
    </row>
    <row r="534" spans="1:1" x14ac:dyDescent="0.25">
      <c r="A534" s="5"/>
    </row>
    <row r="535" spans="1:1" x14ac:dyDescent="0.25">
      <c r="A535" s="5"/>
    </row>
    <row r="536" spans="1:1" x14ac:dyDescent="0.25">
      <c r="A536" s="5"/>
    </row>
    <row r="537" spans="1:1" x14ac:dyDescent="0.25">
      <c r="A537" s="5"/>
    </row>
    <row r="538" spans="1:1" x14ac:dyDescent="0.25">
      <c r="A538" s="5"/>
    </row>
    <row r="539" spans="1:1" x14ac:dyDescent="0.25">
      <c r="A539" s="5"/>
    </row>
    <row r="540" spans="1:1" x14ac:dyDescent="0.25">
      <c r="A540" s="5"/>
    </row>
    <row r="541" spans="1:1" x14ac:dyDescent="0.25">
      <c r="A541" s="5"/>
    </row>
    <row r="542" spans="1:1" x14ac:dyDescent="0.25">
      <c r="A542" s="5"/>
    </row>
    <row r="543" spans="1:1" x14ac:dyDescent="0.25">
      <c r="A543" s="5"/>
    </row>
    <row r="544" spans="1:1" x14ac:dyDescent="0.25">
      <c r="A544" s="5"/>
    </row>
    <row r="545" spans="1:1" x14ac:dyDescent="0.25">
      <c r="A545" s="5"/>
    </row>
    <row r="546" spans="1:1" x14ac:dyDescent="0.25">
      <c r="A546" s="5"/>
    </row>
    <row r="547" spans="1:1" x14ac:dyDescent="0.25">
      <c r="A547" s="5"/>
    </row>
    <row r="548" spans="1:1" x14ac:dyDescent="0.25">
      <c r="A548" s="5"/>
    </row>
    <row r="549" spans="1:1" x14ac:dyDescent="0.25">
      <c r="A549" s="5"/>
    </row>
    <row r="550" spans="1:1" x14ac:dyDescent="0.25">
      <c r="A550" s="5"/>
    </row>
    <row r="551" spans="1:1" x14ac:dyDescent="0.25">
      <c r="A551" s="5"/>
    </row>
    <row r="552" spans="1:1" x14ac:dyDescent="0.25">
      <c r="A552" s="5"/>
    </row>
    <row r="553" spans="1:1" x14ac:dyDescent="0.25">
      <c r="A553" s="5"/>
    </row>
    <row r="554" spans="1:1" x14ac:dyDescent="0.25">
      <c r="A554" s="5"/>
    </row>
    <row r="555" spans="1:1" x14ac:dyDescent="0.25">
      <c r="A555" s="5"/>
    </row>
    <row r="556" spans="1:1" x14ac:dyDescent="0.25">
      <c r="A556" s="5"/>
    </row>
    <row r="557" spans="1:1" x14ac:dyDescent="0.25">
      <c r="A557" s="5"/>
    </row>
    <row r="558" spans="1:1" x14ac:dyDescent="0.25">
      <c r="A558" s="5"/>
    </row>
    <row r="559" spans="1:1" x14ac:dyDescent="0.25">
      <c r="A559" s="5"/>
    </row>
    <row r="560" spans="1:1" x14ac:dyDescent="0.25">
      <c r="A560" s="5"/>
    </row>
    <row r="561" spans="1:1" x14ac:dyDescent="0.25">
      <c r="A561" s="5"/>
    </row>
    <row r="562" spans="1:1" x14ac:dyDescent="0.25">
      <c r="A562" s="5"/>
    </row>
    <row r="563" spans="1:1" x14ac:dyDescent="0.25">
      <c r="A563" s="5"/>
    </row>
    <row r="564" spans="1:1" x14ac:dyDescent="0.25">
      <c r="A564" s="5"/>
    </row>
    <row r="565" spans="1:1" x14ac:dyDescent="0.25">
      <c r="A565" s="5"/>
    </row>
    <row r="566" spans="1:1" x14ac:dyDescent="0.25">
      <c r="A566" s="5"/>
    </row>
    <row r="567" spans="1:1" x14ac:dyDescent="0.25">
      <c r="A567" s="5"/>
    </row>
    <row r="568" spans="1:1" x14ac:dyDescent="0.25">
      <c r="A568" s="5"/>
    </row>
    <row r="569" spans="1:1" x14ac:dyDescent="0.25">
      <c r="A569" s="5"/>
    </row>
    <row r="570" spans="1:1" x14ac:dyDescent="0.25">
      <c r="A570" s="5"/>
    </row>
    <row r="571" spans="1:1" x14ac:dyDescent="0.25">
      <c r="A571" s="5"/>
    </row>
    <row r="572" spans="1:1" x14ac:dyDescent="0.25">
      <c r="A572" s="5"/>
    </row>
    <row r="573" spans="1:1" x14ac:dyDescent="0.25">
      <c r="A573" s="5"/>
    </row>
    <row r="574" spans="1:1" x14ac:dyDescent="0.25">
      <c r="A574" s="5"/>
    </row>
    <row r="575" spans="1:1" x14ac:dyDescent="0.25">
      <c r="A575" s="5"/>
    </row>
    <row r="576" spans="1:1" x14ac:dyDescent="0.25">
      <c r="A576" s="5"/>
    </row>
    <row r="577" spans="1:1" x14ac:dyDescent="0.25">
      <c r="A577" s="5"/>
    </row>
    <row r="578" spans="1:1" x14ac:dyDescent="0.25">
      <c r="A578" s="5"/>
    </row>
    <row r="579" spans="1:1" x14ac:dyDescent="0.25">
      <c r="A579" s="5"/>
    </row>
    <row r="580" spans="1:1" x14ac:dyDescent="0.25">
      <c r="A580" s="5"/>
    </row>
    <row r="581" spans="1:1" x14ac:dyDescent="0.25">
      <c r="A581" s="5"/>
    </row>
    <row r="582" spans="1:1" x14ac:dyDescent="0.25">
      <c r="A582" s="5"/>
    </row>
    <row r="583" spans="1:1" x14ac:dyDescent="0.25">
      <c r="A583" s="5"/>
    </row>
    <row r="584" spans="1:1" x14ac:dyDescent="0.25">
      <c r="A584" s="5"/>
    </row>
    <row r="585" spans="1:1" x14ac:dyDescent="0.25">
      <c r="A585" s="5"/>
    </row>
    <row r="586" spans="1:1" x14ac:dyDescent="0.25">
      <c r="A586" s="5"/>
    </row>
    <row r="587" spans="1:1" x14ac:dyDescent="0.25">
      <c r="A587" s="5"/>
    </row>
    <row r="588" spans="1:1" x14ac:dyDescent="0.25">
      <c r="A588" s="5"/>
    </row>
    <row r="589" spans="1:1" x14ac:dyDescent="0.25">
      <c r="A589" s="5"/>
    </row>
    <row r="590" spans="1:1" x14ac:dyDescent="0.25">
      <c r="A590" s="5"/>
    </row>
    <row r="591" spans="1:1" x14ac:dyDescent="0.25">
      <c r="A591" s="5"/>
    </row>
    <row r="592" spans="1:1" x14ac:dyDescent="0.25">
      <c r="A592" s="5"/>
    </row>
    <row r="593" spans="1:1" x14ac:dyDescent="0.25">
      <c r="A593" s="5"/>
    </row>
    <row r="594" spans="1:1" x14ac:dyDescent="0.25">
      <c r="A594" s="5"/>
    </row>
    <row r="595" spans="1:1" x14ac:dyDescent="0.25">
      <c r="A595" s="5"/>
    </row>
    <row r="596" spans="1:1" x14ac:dyDescent="0.25">
      <c r="A596" s="5"/>
    </row>
    <row r="597" spans="1:1" x14ac:dyDescent="0.25">
      <c r="A597" s="5"/>
    </row>
    <row r="598" spans="1:1" x14ac:dyDescent="0.25">
      <c r="A598" s="5"/>
    </row>
    <row r="599" spans="1:1" x14ac:dyDescent="0.25">
      <c r="A599" s="5"/>
    </row>
    <row r="600" spans="1:1" x14ac:dyDescent="0.25">
      <c r="A600" s="5"/>
    </row>
    <row r="601" spans="1:1" x14ac:dyDescent="0.25">
      <c r="A601" s="5"/>
    </row>
    <row r="602" spans="1:1" x14ac:dyDescent="0.25">
      <c r="A602" s="5"/>
    </row>
    <row r="603" spans="1:1" x14ac:dyDescent="0.25">
      <c r="A603" s="5"/>
    </row>
    <row r="604" spans="1:1" x14ac:dyDescent="0.25">
      <c r="A604" s="5"/>
    </row>
    <row r="605" spans="1:1" x14ac:dyDescent="0.25">
      <c r="A605" s="5"/>
    </row>
    <row r="606" spans="1:1" x14ac:dyDescent="0.25">
      <c r="A606" s="5"/>
    </row>
    <row r="607" spans="1:1" x14ac:dyDescent="0.25">
      <c r="A607" s="5"/>
    </row>
    <row r="608" spans="1:1" x14ac:dyDescent="0.25">
      <c r="A608" s="5"/>
    </row>
    <row r="609" spans="1:1" x14ac:dyDescent="0.25">
      <c r="A609" s="5"/>
    </row>
    <row r="610" spans="1:1" x14ac:dyDescent="0.25">
      <c r="A610" s="5"/>
    </row>
    <row r="611" spans="1:1" x14ac:dyDescent="0.25">
      <c r="A611" s="5"/>
    </row>
    <row r="612" spans="1:1" x14ac:dyDescent="0.25">
      <c r="A612" s="5"/>
    </row>
    <row r="613" spans="1:1" x14ac:dyDescent="0.25">
      <c r="A613" s="5"/>
    </row>
    <row r="614" spans="1:1" x14ac:dyDescent="0.25">
      <c r="A614" s="5"/>
    </row>
    <row r="615" spans="1:1" x14ac:dyDescent="0.25">
      <c r="A615" s="5"/>
    </row>
    <row r="616" spans="1:1" x14ac:dyDescent="0.25">
      <c r="A616" s="5"/>
    </row>
    <row r="617" spans="1:1" x14ac:dyDescent="0.25">
      <c r="A617" s="5"/>
    </row>
    <row r="618" spans="1:1" x14ac:dyDescent="0.25">
      <c r="A618" s="5"/>
    </row>
    <row r="619" spans="1:1" x14ac:dyDescent="0.25">
      <c r="A619" s="5"/>
    </row>
    <row r="620" spans="1:1" x14ac:dyDescent="0.25">
      <c r="A620" s="5"/>
    </row>
    <row r="621" spans="1:1" x14ac:dyDescent="0.25">
      <c r="A621" s="5"/>
    </row>
    <row r="622" spans="1:1" x14ac:dyDescent="0.25">
      <c r="A622" s="5"/>
    </row>
    <row r="623" spans="1:1" x14ac:dyDescent="0.25">
      <c r="A623" s="5"/>
    </row>
    <row r="624" spans="1:1" x14ac:dyDescent="0.25">
      <c r="A624" s="5"/>
    </row>
    <row r="625" spans="1:1" x14ac:dyDescent="0.25">
      <c r="A625" s="5"/>
    </row>
    <row r="626" spans="1:1" x14ac:dyDescent="0.25">
      <c r="A626" s="5"/>
    </row>
    <row r="627" spans="1:1" x14ac:dyDescent="0.25">
      <c r="A627" s="5"/>
    </row>
    <row r="628" spans="1:1" x14ac:dyDescent="0.25">
      <c r="A628" s="5"/>
    </row>
    <row r="629" spans="1:1" x14ac:dyDescent="0.25">
      <c r="A629" s="5"/>
    </row>
    <row r="630" spans="1:1" x14ac:dyDescent="0.25">
      <c r="A630" s="5"/>
    </row>
    <row r="631" spans="1:1" x14ac:dyDescent="0.25">
      <c r="A631" s="5"/>
    </row>
    <row r="632" spans="1:1" x14ac:dyDescent="0.25">
      <c r="A632" s="5"/>
    </row>
    <row r="633" spans="1:1" x14ac:dyDescent="0.25">
      <c r="A633" s="5"/>
    </row>
    <row r="634" spans="1:1" x14ac:dyDescent="0.25">
      <c r="A634" s="5"/>
    </row>
    <row r="635" spans="1:1" x14ac:dyDescent="0.25">
      <c r="A635" s="5"/>
    </row>
    <row r="636" spans="1:1" x14ac:dyDescent="0.25">
      <c r="A636" s="5"/>
    </row>
    <row r="637" spans="1:1" x14ac:dyDescent="0.25">
      <c r="A637" s="5"/>
    </row>
    <row r="638" spans="1:1" x14ac:dyDescent="0.25">
      <c r="A638" s="5"/>
    </row>
    <row r="639" spans="1:1" x14ac:dyDescent="0.25">
      <c r="A639" s="5"/>
    </row>
    <row r="640" spans="1:1" x14ac:dyDescent="0.25">
      <c r="A640" s="5"/>
    </row>
    <row r="641" spans="1:1" x14ac:dyDescent="0.25">
      <c r="A641" s="5"/>
    </row>
    <row r="642" spans="1:1" x14ac:dyDescent="0.25">
      <c r="A642" s="5"/>
    </row>
    <row r="643" spans="1:1" x14ac:dyDescent="0.25">
      <c r="A643" s="5"/>
    </row>
    <row r="644" spans="1:1" x14ac:dyDescent="0.25">
      <c r="A644" s="5"/>
    </row>
    <row r="645" spans="1:1" x14ac:dyDescent="0.25">
      <c r="A645" s="5"/>
    </row>
    <row r="646" spans="1:1" x14ac:dyDescent="0.25">
      <c r="A646" s="5"/>
    </row>
    <row r="647" spans="1:1" x14ac:dyDescent="0.25">
      <c r="A647" s="5"/>
    </row>
    <row r="648" spans="1:1" x14ac:dyDescent="0.25">
      <c r="A648" s="5"/>
    </row>
    <row r="649" spans="1:1" x14ac:dyDescent="0.25">
      <c r="A649" s="5"/>
    </row>
    <row r="650" spans="1:1" x14ac:dyDescent="0.25">
      <c r="A650" s="5"/>
    </row>
    <row r="651" spans="1:1" x14ac:dyDescent="0.25">
      <c r="A651" s="5"/>
    </row>
    <row r="652" spans="1:1" x14ac:dyDescent="0.25">
      <c r="A652" s="5"/>
    </row>
    <row r="653" spans="1:1" x14ac:dyDescent="0.25">
      <c r="A653" s="5"/>
    </row>
    <row r="654" spans="1:1" x14ac:dyDescent="0.25">
      <c r="A654" s="5"/>
    </row>
    <row r="655" spans="1:1" x14ac:dyDescent="0.25">
      <c r="A655" s="5"/>
    </row>
    <row r="656" spans="1:1" x14ac:dyDescent="0.25">
      <c r="A656" s="5"/>
    </row>
    <row r="657" spans="1:1" x14ac:dyDescent="0.25">
      <c r="A657" s="5"/>
    </row>
    <row r="658" spans="1:1" x14ac:dyDescent="0.25">
      <c r="A658" s="5"/>
    </row>
    <row r="659" spans="1:1" x14ac:dyDescent="0.25">
      <c r="A659" s="5"/>
    </row>
    <row r="660" spans="1:1" x14ac:dyDescent="0.25">
      <c r="A660" s="5"/>
    </row>
    <row r="661" spans="1:1" x14ac:dyDescent="0.25">
      <c r="A661" s="5"/>
    </row>
    <row r="662" spans="1:1" x14ac:dyDescent="0.25">
      <c r="A662" s="5"/>
    </row>
    <row r="663" spans="1:1" x14ac:dyDescent="0.25">
      <c r="A663" s="5"/>
    </row>
    <row r="664" spans="1:1" x14ac:dyDescent="0.25">
      <c r="A664" s="5"/>
    </row>
    <row r="665" spans="1:1" x14ac:dyDescent="0.25">
      <c r="A665" s="5"/>
    </row>
    <row r="666" spans="1:1" x14ac:dyDescent="0.25">
      <c r="A666" s="5"/>
    </row>
    <row r="667" spans="1:1" x14ac:dyDescent="0.25">
      <c r="A667" s="5"/>
    </row>
    <row r="668" spans="1:1" x14ac:dyDescent="0.25">
      <c r="A668" s="5"/>
    </row>
    <row r="669" spans="1:1" x14ac:dyDescent="0.25">
      <c r="A669" s="5"/>
    </row>
    <row r="670" spans="1:1" x14ac:dyDescent="0.25">
      <c r="A670" s="5"/>
    </row>
    <row r="671" spans="1:1" x14ac:dyDescent="0.25">
      <c r="A671" s="5"/>
    </row>
    <row r="672" spans="1:1" x14ac:dyDescent="0.25">
      <c r="A672" s="5"/>
    </row>
    <row r="673" spans="1:1" x14ac:dyDescent="0.25">
      <c r="A673" s="5"/>
    </row>
    <row r="674" spans="1:1" x14ac:dyDescent="0.25">
      <c r="A674" s="5"/>
    </row>
    <row r="675" spans="1:1" x14ac:dyDescent="0.25">
      <c r="A675" s="5"/>
    </row>
    <row r="676" spans="1:1" x14ac:dyDescent="0.25">
      <c r="A676" s="5"/>
    </row>
    <row r="677" spans="1:1" x14ac:dyDescent="0.25">
      <c r="A677" s="5"/>
    </row>
    <row r="678" spans="1:1" x14ac:dyDescent="0.25">
      <c r="A678" s="5"/>
    </row>
    <row r="679" spans="1:1" x14ac:dyDescent="0.25">
      <c r="A679" s="5"/>
    </row>
    <row r="680" spans="1:1" x14ac:dyDescent="0.25">
      <c r="A680" s="5"/>
    </row>
    <row r="681" spans="1:1" x14ac:dyDescent="0.25">
      <c r="A681" s="5"/>
    </row>
    <row r="682" spans="1:1" x14ac:dyDescent="0.25">
      <c r="A682" s="5"/>
    </row>
    <row r="683" spans="1:1" x14ac:dyDescent="0.25">
      <c r="A683" s="5"/>
    </row>
    <row r="684" spans="1:1" x14ac:dyDescent="0.25">
      <c r="A684" s="5"/>
    </row>
    <row r="685" spans="1:1" x14ac:dyDescent="0.25">
      <c r="A685" s="5"/>
    </row>
    <row r="686" spans="1:1" x14ac:dyDescent="0.25">
      <c r="A686" s="5"/>
    </row>
    <row r="687" spans="1:1" x14ac:dyDescent="0.25">
      <c r="A687" s="5"/>
    </row>
    <row r="688" spans="1:1" x14ac:dyDescent="0.25">
      <c r="A688" s="5"/>
    </row>
    <row r="689" spans="1:1" x14ac:dyDescent="0.25">
      <c r="A689" s="5"/>
    </row>
    <row r="690" spans="1:1" x14ac:dyDescent="0.25">
      <c r="A690" s="5"/>
    </row>
    <row r="691" spans="1:1" x14ac:dyDescent="0.25">
      <c r="A691" s="5"/>
    </row>
    <row r="692" spans="1:1" x14ac:dyDescent="0.25">
      <c r="A692" s="5"/>
    </row>
    <row r="693" spans="1:1" x14ac:dyDescent="0.25">
      <c r="A693" s="5"/>
    </row>
    <row r="694" spans="1:1" x14ac:dyDescent="0.25">
      <c r="A694" s="5"/>
    </row>
    <row r="695" spans="1:1" x14ac:dyDescent="0.25">
      <c r="A695" s="5"/>
    </row>
    <row r="696" spans="1:1" x14ac:dyDescent="0.25">
      <c r="A696" s="5"/>
    </row>
    <row r="697" spans="1:1" x14ac:dyDescent="0.25">
      <c r="A697" s="5"/>
    </row>
    <row r="698" spans="1:1" x14ac:dyDescent="0.25">
      <c r="A698" s="5"/>
    </row>
    <row r="699" spans="1:1" x14ac:dyDescent="0.25">
      <c r="A699" s="5"/>
    </row>
    <row r="700" spans="1:1" x14ac:dyDescent="0.25">
      <c r="A700" s="5"/>
    </row>
    <row r="701" spans="1:1" x14ac:dyDescent="0.25">
      <c r="A701" s="5"/>
    </row>
    <row r="702" spans="1:1" x14ac:dyDescent="0.25">
      <c r="A702" s="5"/>
    </row>
    <row r="703" spans="1:1" x14ac:dyDescent="0.25">
      <c r="A703" s="5"/>
    </row>
    <row r="704" spans="1:1" x14ac:dyDescent="0.25">
      <c r="A704" s="5"/>
    </row>
    <row r="705" spans="1:1" x14ac:dyDescent="0.25">
      <c r="A705" s="5"/>
    </row>
    <row r="706" spans="1:1" x14ac:dyDescent="0.25">
      <c r="A706" s="5"/>
    </row>
    <row r="707" spans="1:1" x14ac:dyDescent="0.25">
      <c r="A707" s="5"/>
    </row>
    <row r="708" spans="1:1" x14ac:dyDescent="0.25">
      <c r="A708" s="5"/>
    </row>
    <row r="709" spans="1:1" x14ac:dyDescent="0.25">
      <c r="A709" s="5"/>
    </row>
    <row r="710" spans="1:1" x14ac:dyDescent="0.25">
      <c r="A710" s="5"/>
    </row>
    <row r="711" spans="1:1" x14ac:dyDescent="0.25">
      <c r="A711" s="5"/>
    </row>
    <row r="712" spans="1:1" x14ac:dyDescent="0.25">
      <c r="A712" s="5"/>
    </row>
    <row r="713" spans="1:1" x14ac:dyDescent="0.25">
      <c r="A713" s="5"/>
    </row>
    <row r="714" spans="1:1" x14ac:dyDescent="0.25">
      <c r="A714" s="5"/>
    </row>
    <row r="715" spans="1:1" x14ac:dyDescent="0.25">
      <c r="A715" s="5"/>
    </row>
    <row r="716" spans="1:1" x14ac:dyDescent="0.25">
      <c r="A716" s="5"/>
    </row>
    <row r="717" spans="1:1" x14ac:dyDescent="0.25">
      <c r="A717" s="5"/>
    </row>
    <row r="718" spans="1:1" x14ac:dyDescent="0.25">
      <c r="A718" s="5"/>
    </row>
    <row r="719" spans="1:1" x14ac:dyDescent="0.25">
      <c r="A719" s="5"/>
    </row>
    <row r="720" spans="1:1" x14ac:dyDescent="0.25">
      <c r="A720" s="5"/>
    </row>
    <row r="721" spans="1:1" x14ac:dyDescent="0.25">
      <c r="A721" s="5"/>
    </row>
    <row r="722" spans="1:1" x14ac:dyDescent="0.25">
      <c r="A722" s="5"/>
    </row>
    <row r="723" spans="1:1" x14ac:dyDescent="0.25">
      <c r="A723" s="5"/>
    </row>
    <row r="724" spans="1:1" x14ac:dyDescent="0.25">
      <c r="A724" s="5"/>
    </row>
    <row r="725" spans="1:1" x14ac:dyDescent="0.25">
      <c r="A725" s="5"/>
    </row>
    <row r="726" spans="1:1" x14ac:dyDescent="0.25">
      <c r="A726" s="5"/>
    </row>
    <row r="727" spans="1:1" x14ac:dyDescent="0.25">
      <c r="A727" s="5"/>
    </row>
    <row r="728" spans="1:1" x14ac:dyDescent="0.25">
      <c r="A728" s="5"/>
    </row>
    <row r="729" spans="1:1" x14ac:dyDescent="0.25">
      <c r="A729" s="5"/>
    </row>
    <row r="730" spans="1:1" x14ac:dyDescent="0.25">
      <c r="A730" s="5"/>
    </row>
    <row r="731" spans="1:1" x14ac:dyDescent="0.25">
      <c r="A731" s="5"/>
    </row>
    <row r="732" spans="1:1" x14ac:dyDescent="0.25">
      <c r="A732" s="5"/>
    </row>
    <row r="733" spans="1:1" x14ac:dyDescent="0.25">
      <c r="A733" s="5"/>
    </row>
    <row r="734" spans="1:1" x14ac:dyDescent="0.25">
      <c r="A734" s="5"/>
    </row>
    <row r="735" spans="1:1" x14ac:dyDescent="0.25">
      <c r="A735" s="5"/>
    </row>
    <row r="736" spans="1:1" x14ac:dyDescent="0.25">
      <c r="A736" s="5"/>
    </row>
    <row r="737" spans="1:1" x14ac:dyDescent="0.25">
      <c r="A737" s="5"/>
    </row>
    <row r="738" spans="1:1" x14ac:dyDescent="0.25">
      <c r="A738" s="5"/>
    </row>
    <row r="739" spans="1:1" x14ac:dyDescent="0.25">
      <c r="A739" s="5"/>
    </row>
    <row r="740" spans="1:1" x14ac:dyDescent="0.25">
      <c r="A740" s="5"/>
    </row>
    <row r="741" spans="1:1" x14ac:dyDescent="0.25">
      <c r="A741" s="5"/>
    </row>
    <row r="742" spans="1:1" x14ac:dyDescent="0.25">
      <c r="A742" s="5"/>
    </row>
    <row r="743" spans="1:1" x14ac:dyDescent="0.25">
      <c r="A743" s="5"/>
    </row>
    <row r="744" spans="1:1" x14ac:dyDescent="0.25">
      <c r="A744" s="5"/>
    </row>
    <row r="745" spans="1:1" x14ac:dyDescent="0.25">
      <c r="A745" s="5"/>
    </row>
    <row r="746" spans="1:1" x14ac:dyDescent="0.25">
      <c r="A746" s="5"/>
    </row>
    <row r="747" spans="1:1" x14ac:dyDescent="0.25">
      <c r="A747" s="5"/>
    </row>
    <row r="748" spans="1:1" x14ac:dyDescent="0.25">
      <c r="A748" s="5"/>
    </row>
    <row r="749" spans="1:1" x14ac:dyDescent="0.25">
      <c r="A749" s="5"/>
    </row>
    <row r="750" spans="1:1" x14ac:dyDescent="0.25">
      <c r="A750" s="5"/>
    </row>
    <row r="751" spans="1:1" x14ac:dyDescent="0.25">
      <c r="A751" s="5"/>
    </row>
    <row r="752" spans="1:1" x14ac:dyDescent="0.25">
      <c r="A752" s="5"/>
    </row>
    <row r="753" spans="1:1" x14ac:dyDescent="0.25">
      <c r="A753" s="5"/>
    </row>
    <row r="754" spans="1:1" x14ac:dyDescent="0.25">
      <c r="A754" s="5"/>
    </row>
    <row r="755" spans="1:1" x14ac:dyDescent="0.25">
      <c r="A755" s="5"/>
    </row>
    <row r="756" spans="1:1" x14ac:dyDescent="0.25">
      <c r="A756" s="5"/>
    </row>
    <row r="757" spans="1:1" x14ac:dyDescent="0.25">
      <c r="A757" s="5"/>
    </row>
    <row r="758" spans="1:1" x14ac:dyDescent="0.25">
      <c r="A758" s="5"/>
    </row>
    <row r="759" spans="1:1" x14ac:dyDescent="0.25">
      <c r="A759" s="5"/>
    </row>
    <row r="760" spans="1:1" x14ac:dyDescent="0.25">
      <c r="A760" s="5"/>
    </row>
    <row r="761" spans="1:1" x14ac:dyDescent="0.25">
      <c r="A761" s="5"/>
    </row>
    <row r="762" spans="1:1" x14ac:dyDescent="0.25">
      <c r="A762" s="5"/>
    </row>
    <row r="763" spans="1:1" x14ac:dyDescent="0.25">
      <c r="A763" s="5"/>
    </row>
    <row r="764" spans="1:1" x14ac:dyDescent="0.25">
      <c r="A764" s="5"/>
    </row>
    <row r="765" spans="1:1" x14ac:dyDescent="0.25">
      <c r="A765" s="5"/>
    </row>
    <row r="766" spans="1:1" x14ac:dyDescent="0.25">
      <c r="A766" s="5"/>
    </row>
    <row r="767" spans="1:1" x14ac:dyDescent="0.25">
      <c r="A767" s="5"/>
    </row>
    <row r="768" spans="1:1" x14ac:dyDescent="0.25">
      <c r="A768" s="5"/>
    </row>
    <row r="769" spans="1:1" x14ac:dyDescent="0.25">
      <c r="A769" s="5"/>
    </row>
    <row r="770" spans="1:1" x14ac:dyDescent="0.25">
      <c r="A770" s="5"/>
    </row>
    <row r="771" spans="1:1" x14ac:dyDescent="0.25">
      <c r="A771" s="5"/>
    </row>
    <row r="772" spans="1:1" x14ac:dyDescent="0.25">
      <c r="A772" s="5"/>
    </row>
    <row r="773" spans="1:1" x14ac:dyDescent="0.25">
      <c r="A773" s="5"/>
    </row>
    <row r="774" spans="1:1" x14ac:dyDescent="0.25">
      <c r="A774" s="5"/>
    </row>
    <row r="775" spans="1:1" x14ac:dyDescent="0.25">
      <c r="A775" s="5"/>
    </row>
    <row r="776" spans="1:1" x14ac:dyDescent="0.25">
      <c r="A776" s="5"/>
    </row>
    <row r="777" spans="1:1" x14ac:dyDescent="0.25">
      <c r="A777" s="5"/>
    </row>
    <row r="778" spans="1:1" x14ac:dyDescent="0.25">
      <c r="A778" s="5"/>
    </row>
    <row r="779" spans="1:1" x14ac:dyDescent="0.25">
      <c r="A779" s="5"/>
    </row>
    <row r="780" spans="1:1" x14ac:dyDescent="0.25">
      <c r="A780" s="5"/>
    </row>
    <row r="781" spans="1:1" x14ac:dyDescent="0.25">
      <c r="A781" s="5"/>
    </row>
    <row r="782" spans="1:1" x14ac:dyDescent="0.25">
      <c r="A782" s="5"/>
    </row>
    <row r="783" spans="1:1" x14ac:dyDescent="0.25">
      <c r="A783" s="5"/>
    </row>
    <row r="784" spans="1:1" x14ac:dyDescent="0.25">
      <c r="A784" s="5"/>
    </row>
    <row r="785" spans="1:1" x14ac:dyDescent="0.25">
      <c r="A785" s="5"/>
    </row>
    <row r="786" spans="1:1" x14ac:dyDescent="0.25">
      <c r="A786" s="5"/>
    </row>
    <row r="787" spans="1:1" x14ac:dyDescent="0.25">
      <c r="A787" s="5"/>
    </row>
    <row r="788" spans="1:1" x14ac:dyDescent="0.25">
      <c r="A788" s="5"/>
    </row>
    <row r="789" spans="1:1" x14ac:dyDescent="0.25">
      <c r="A789" s="5"/>
    </row>
    <row r="790" spans="1:1" x14ac:dyDescent="0.25">
      <c r="A790" s="5"/>
    </row>
    <row r="791" spans="1:1" x14ac:dyDescent="0.25">
      <c r="A791" s="5"/>
    </row>
    <row r="792" spans="1:1" x14ac:dyDescent="0.25">
      <c r="A792" s="5"/>
    </row>
    <row r="793" spans="1:1" x14ac:dyDescent="0.25">
      <c r="A793" s="5"/>
    </row>
    <row r="794" spans="1:1" x14ac:dyDescent="0.25">
      <c r="A794" s="5"/>
    </row>
    <row r="795" spans="1:1" x14ac:dyDescent="0.25">
      <c r="A795" s="5"/>
    </row>
    <row r="796" spans="1:1" x14ac:dyDescent="0.25">
      <c r="A796" s="5"/>
    </row>
    <row r="797" spans="1:1" x14ac:dyDescent="0.25">
      <c r="A797" s="5"/>
    </row>
    <row r="798" spans="1:1" x14ac:dyDescent="0.25">
      <c r="A798" s="5"/>
    </row>
    <row r="799" spans="1:1" x14ac:dyDescent="0.25">
      <c r="A799" s="5"/>
    </row>
    <row r="800" spans="1:1" x14ac:dyDescent="0.25">
      <c r="A800" s="5"/>
    </row>
    <row r="801" spans="1:1" x14ac:dyDescent="0.25">
      <c r="A801" s="5"/>
    </row>
    <row r="802" spans="1:1" x14ac:dyDescent="0.25">
      <c r="A802" s="5"/>
    </row>
    <row r="803" spans="1:1" x14ac:dyDescent="0.25">
      <c r="A803" s="5"/>
    </row>
    <row r="804" spans="1:1" x14ac:dyDescent="0.25">
      <c r="A804" s="5"/>
    </row>
    <row r="805" spans="1:1" x14ac:dyDescent="0.25">
      <c r="A805" s="5"/>
    </row>
    <row r="806" spans="1:1" x14ac:dyDescent="0.25">
      <c r="A806" s="5"/>
    </row>
    <row r="807" spans="1:1" x14ac:dyDescent="0.25">
      <c r="A807" s="5"/>
    </row>
    <row r="808" spans="1:1" x14ac:dyDescent="0.25">
      <c r="A808" s="5"/>
    </row>
    <row r="809" spans="1:1" x14ac:dyDescent="0.25">
      <c r="A809" s="5"/>
    </row>
    <row r="810" spans="1:1" x14ac:dyDescent="0.25">
      <c r="A810" s="5"/>
    </row>
    <row r="811" spans="1:1" x14ac:dyDescent="0.25">
      <c r="A811" s="5"/>
    </row>
    <row r="812" spans="1:1" x14ac:dyDescent="0.25">
      <c r="A812" s="5"/>
    </row>
    <row r="813" spans="1:1" x14ac:dyDescent="0.25">
      <c r="A813" s="5"/>
    </row>
    <row r="814" spans="1:1" x14ac:dyDescent="0.25">
      <c r="A814" s="5"/>
    </row>
    <row r="815" spans="1:1" x14ac:dyDescent="0.25">
      <c r="A815" s="5"/>
    </row>
    <row r="816" spans="1:1" x14ac:dyDescent="0.25">
      <c r="A816" s="5"/>
    </row>
    <row r="817" spans="1:1" x14ac:dyDescent="0.25">
      <c r="A817" s="5"/>
    </row>
    <row r="818" spans="1:1" x14ac:dyDescent="0.25">
      <c r="A818" s="5"/>
    </row>
    <row r="819" spans="1:1" x14ac:dyDescent="0.25">
      <c r="A819" s="5"/>
    </row>
    <row r="820" spans="1:1" x14ac:dyDescent="0.25">
      <c r="A820" s="5"/>
    </row>
    <row r="821" spans="1:1" x14ac:dyDescent="0.25">
      <c r="A821" s="5"/>
    </row>
    <row r="822" spans="1:1" x14ac:dyDescent="0.25">
      <c r="A822" s="5"/>
    </row>
    <row r="823" spans="1:1" x14ac:dyDescent="0.25">
      <c r="A823" s="5"/>
    </row>
    <row r="824" spans="1:1" x14ac:dyDescent="0.25">
      <c r="A824" s="5"/>
    </row>
    <row r="825" spans="1:1" x14ac:dyDescent="0.25">
      <c r="A825" s="5"/>
    </row>
    <row r="826" spans="1:1" x14ac:dyDescent="0.25">
      <c r="A826" s="5"/>
    </row>
    <row r="827" spans="1:1" x14ac:dyDescent="0.25">
      <c r="A827" s="5"/>
    </row>
    <row r="828" spans="1:1" x14ac:dyDescent="0.25">
      <c r="A828" s="5"/>
    </row>
    <row r="829" spans="1:1" x14ac:dyDescent="0.25">
      <c r="A829" s="5"/>
    </row>
    <row r="830" spans="1:1" x14ac:dyDescent="0.25">
      <c r="A830" s="5"/>
    </row>
    <row r="831" spans="1:1" x14ac:dyDescent="0.25">
      <c r="A831" s="5"/>
    </row>
    <row r="832" spans="1:1" x14ac:dyDescent="0.25">
      <c r="A832" s="5"/>
    </row>
    <row r="833" spans="1:1" x14ac:dyDescent="0.25">
      <c r="A833" s="5"/>
    </row>
    <row r="834" spans="1:1" x14ac:dyDescent="0.25">
      <c r="A834" s="5"/>
    </row>
    <row r="835" spans="1:1" x14ac:dyDescent="0.25">
      <c r="A835" s="5"/>
    </row>
    <row r="836" spans="1:1" x14ac:dyDescent="0.25">
      <c r="A836" s="5"/>
    </row>
    <row r="837" spans="1:1" x14ac:dyDescent="0.25">
      <c r="A837" s="5"/>
    </row>
    <row r="838" spans="1:1" x14ac:dyDescent="0.25">
      <c r="A838" s="5"/>
    </row>
    <row r="839" spans="1:1" x14ac:dyDescent="0.25">
      <c r="A839" s="5"/>
    </row>
    <row r="840" spans="1:1" x14ac:dyDescent="0.25">
      <c r="A840" s="5"/>
    </row>
    <row r="841" spans="1:1" x14ac:dyDescent="0.25">
      <c r="A841" s="5"/>
    </row>
    <row r="842" spans="1:1" x14ac:dyDescent="0.25">
      <c r="A842" s="5"/>
    </row>
    <row r="843" spans="1:1" x14ac:dyDescent="0.25">
      <c r="A843" s="5"/>
    </row>
    <row r="844" spans="1:1" x14ac:dyDescent="0.25">
      <c r="A844" s="5"/>
    </row>
    <row r="845" spans="1:1" x14ac:dyDescent="0.25">
      <c r="A845" s="5"/>
    </row>
    <row r="846" spans="1:1" x14ac:dyDescent="0.25">
      <c r="A846" s="5"/>
    </row>
    <row r="847" spans="1:1" x14ac:dyDescent="0.25">
      <c r="A847" s="5"/>
    </row>
    <row r="848" spans="1:1" x14ac:dyDescent="0.25">
      <c r="A848" s="5"/>
    </row>
    <row r="849" spans="1:1" x14ac:dyDescent="0.25">
      <c r="A849" s="5"/>
    </row>
    <row r="850" spans="1:1" x14ac:dyDescent="0.25">
      <c r="A850" s="5"/>
    </row>
    <row r="851" spans="1:1" x14ac:dyDescent="0.25">
      <c r="A851" s="5"/>
    </row>
    <row r="852" spans="1:1" x14ac:dyDescent="0.25">
      <c r="A852" s="5"/>
    </row>
    <row r="853" spans="1:1" x14ac:dyDescent="0.25">
      <c r="A853" s="5"/>
    </row>
    <row r="854" spans="1:1" x14ac:dyDescent="0.25">
      <c r="A854" s="5"/>
    </row>
    <row r="855" spans="1:1" x14ac:dyDescent="0.25">
      <c r="A855" s="5"/>
    </row>
    <row r="856" spans="1:1" x14ac:dyDescent="0.25">
      <c r="A856" s="5"/>
    </row>
    <row r="857" spans="1:1" x14ac:dyDescent="0.25">
      <c r="A857" s="5"/>
    </row>
    <row r="858" spans="1:1" x14ac:dyDescent="0.25">
      <c r="A858" s="5"/>
    </row>
    <row r="859" spans="1:1" x14ac:dyDescent="0.25">
      <c r="A859" s="5"/>
    </row>
    <row r="860" spans="1:1" x14ac:dyDescent="0.25">
      <c r="A860" s="5"/>
    </row>
    <row r="861" spans="1:1" x14ac:dyDescent="0.25">
      <c r="A861" s="5"/>
    </row>
    <row r="862" spans="1:1" x14ac:dyDescent="0.25">
      <c r="A862" s="5"/>
    </row>
    <row r="863" spans="1:1" x14ac:dyDescent="0.25">
      <c r="A863" s="5"/>
    </row>
    <row r="864" spans="1:1" x14ac:dyDescent="0.25">
      <c r="A864" s="5"/>
    </row>
    <row r="865" spans="1:1" x14ac:dyDescent="0.25">
      <c r="A865" s="5"/>
    </row>
    <row r="866" spans="1:1" x14ac:dyDescent="0.25">
      <c r="A866" s="5"/>
    </row>
    <row r="867" spans="1:1" x14ac:dyDescent="0.25">
      <c r="A867" s="5"/>
    </row>
    <row r="868" spans="1:1" x14ac:dyDescent="0.25">
      <c r="A868" s="5"/>
    </row>
    <row r="869" spans="1:1" x14ac:dyDescent="0.25">
      <c r="A869" s="5"/>
    </row>
    <row r="870" spans="1:1" x14ac:dyDescent="0.25">
      <c r="A870" s="5"/>
    </row>
    <row r="871" spans="1:1" x14ac:dyDescent="0.25">
      <c r="A871" s="5"/>
    </row>
    <row r="872" spans="1:1" x14ac:dyDescent="0.25">
      <c r="A872" s="5"/>
    </row>
    <row r="873" spans="1:1" x14ac:dyDescent="0.25">
      <c r="A873" s="5"/>
    </row>
    <row r="874" spans="1:1" x14ac:dyDescent="0.25">
      <c r="A874" s="5"/>
    </row>
    <row r="875" spans="1:1" x14ac:dyDescent="0.25">
      <c r="A875" s="5"/>
    </row>
    <row r="876" spans="1:1" x14ac:dyDescent="0.25">
      <c r="A876" s="5"/>
    </row>
    <row r="877" spans="1:1" x14ac:dyDescent="0.25">
      <c r="A877" s="5"/>
    </row>
    <row r="878" spans="1:1" x14ac:dyDescent="0.25">
      <c r="A878" s="5"/>
    </row>
    <row r="879" spans="1:1" x14ac:dyDescent="0.25">
      <c r="A879" s="5"/>
    </row>
    <row r="880" spans="1:1" x14ac:dyDescent="0.25">
      <c r="A880" s="5"/>
    </row>
    <row r="881" spans="1:1" x14ac:dyDescent="0.25">
      <c r="A881" s="5"/>
    </row>
    <row r="882" spans="1:1" x14ac:dyDescent="0.25">
      <c r="A882" s="5"/>
    </row>
    <row r="883" spans="1:1" x14ac:dyDescent="0.25">
      <c r="A883" s="5"/>
    </row>
    <row r="884" spans="1:1" x14ac:dyDescent="0.25">
      <c r="A884" s="5"/>
    </row>
    <row r="885" spans="1:1" x14ac:dyDescent="0.25">
      <c r="A885" s="5"/>
    </row>
    <row r="886" spans="1:1" x14ac:dyDescent="0.25">
      <c r="A886" s="5"/>
    </row>
    <row r="887" spans="1:1" x14ac:dyDescent="0.25">
      <c r="A887" s="5"/>
    </row>
    <row r="888" spans="1:1" x14ac:dyDescent="0.25">
      <c r="A888" s="5"/>
    </row>
    <row r="889" spans="1:1" x14ac:dyDescent="0.25">
      <c r="A889" s="5"/>
    </row>
    <row r="890" spans="1:1" x14ac:dyDescent="0.25">
      <c r="A890" s="5"/>
    </row>
    <row r="891" spans="1:1" x14ac:dyDescent="0.25">
      <c r="A891" s="5"/>
    </row>
    <row r="892" spans="1:1" x14ac:dyDescent="0.25">
      <c r="A892" s="5"/>
    </row>
    <row r="893" spans="1:1" x14ac:dyDescent="0.25">
      <c r="A893" s="5"/>
    </row>
    <row r="894" spans="1:1" x14ac:dyDescent="0.25">
      <c r="A894" s="5"/>
    </row>
    <row r="895" spans="1:1" x14ac:dyDescent="0.25">
      <c r="A895" s="5"/>
    </row>
    <row r="896" spans="1:1" x14ac:dyDescent="0.25">
      <c r="A896" s="5"/>
    </row>
    <row r="897" spans="1:1" x14ac:dyDescent="0.25">
      <c r="A897" s="5"/>
    </row>
    <row r="898" spans="1:1" x14ac:dyDescent="0.25">
      <c r="A898" s="5"/>
    </row>
    <row r="899" spans="1:1" x14ac:dyDescent="0.25">
      <c r="A899" s="5"/>
    </row>
    <row r="900" spans="1:1" x14ac:dyDescent="0.25">
      <c r="A900" s="5"/>
    </row>
    <row r="901" spans="1:1" x14ac:dyDescent="0.25">
      <c r="A901" s="5"/>
    </row>
    <row r="902" spans="1:1" x14ac:dyDescent="0.25">
      <c r="A902" s="5"/>
    </row>
    <row r="903" spans="1:1" x14ac:dyDescent="0.25">
      <c r="A903" s="5"/>
    </row>
    <row r="904" spans="1:1" x14ac:dyDescent="0.25">
      <c r="A904" s="5"/>
    </row>
    <row r="905" spans="1:1" x14ac:dyDescent="0.25">
      <c r="A905" s="5"/>
    </row>
    <row r="906" spans="1:1" x14ac:dyDescent="0.25">
      <c r="A906" s="5"/>
    </row>
    <row r="907" spans="1:1" x14ac:dyDescent="0.25">
      <c r="A907" s="5"/>
    </row>
    <row r="908" spans="1:1" x14ac:dyDescent="0.25">
      <c r="A908" s="5"/>
    </row>
    <row r="909" spans="1:1" x14ac:dyDescent="0.25">
      <c r="A909" s="5"/>
    </row>
    <row r="910" spans="1:1" x14ac:dyDescent="0.25">
      <c r="A910" s="5"/>
    </row>
    <row r="911" spans="1:1" x14ac:dyDescent="0.25">
      <c r="A911" s="5"/>
    </row>
    <row r="912" spans="1:1" x14ac:dyDescent="0.25">
      <c r="A912" s="5"/>
    </row>
    <row r="913" spans="1:1" x14ac:dyDescent="0.25">
      <c r="A913" s="5"/>
    </row>
    <row r="914" spans="1:1" x14ac:dyDescent="0.25">
      <c r="A914" s="5"/>
    </row>
    <row r="915" spans="1:1" x14ac:dyDescent="0.25">
      <c r="A915" s="5"/>
    </row>
    <row r="916" spans="1:1" x14ac:dyDescent="0.25">
      <c r="A916" s="5"/>
    </row>
    <row r="917" spans="1:1" x14ac:dyDescent="0.25">
      <c r="A917" s="5"/>
    </row>
    <row r="918" spans="1:1" x14ac:dyDescent="0.25">
      <c r="A918" s="5"/>
    </row>
    <row r="919" spans="1:1" x14ac:dyDescent="0.25">
      <c r="A919" s="5"/>
    </row>
    <row r="920" spans="1:1" x14ac:dyDescent="0.25">
      <c r="A920" s="5"/>
    </row>
    <row r="921" spans="1:1" x14ac:dyDescent="0.25">
      <c r="A921" s="5"/>
    </row>
    <row r="922" spans="1:1" x14ac:dyDescent="0.25">
      <c r="A922" s="5"/>
    </row>
    <row r="923" spans="1:1" x14ac:dyDescent="0.25">
      <c r="A923" s="5"/>
    </row>
    <row r="924" spans="1:1" x14ac:dyDescent="0.25">
      <c r="A924" s="5"/>
    </row>
    <row r="925" spans="1:1" x14ac:dyDescent="0.25">
      <c r="A925" s="5"/>
    </row>
    <row r="926" spans="1:1" x14ac:dyDescent="0.25">
      <c r="A926" s="5"/>
    </row>
    <row r="927" spans="1:1" x14ac:dyDescent="0.25">
      <c r="A927" s="5"/>
    </row>
    <row r="928" spans="1:1" x14ac:dyDescent="0.25">
      <c r="A928" s="5"/>
    </row>
    <row r="929" spans="1:1" x14ac:dyDescent="0.25">
      <c r="A929" s="5"/>
    </row>
    <row r="930" spans="1:1" x14ac:dyDescent="0.25">
      <c r="A930" s="5"/>
    </row>
    <row r="931" spans="1:1" x14ac:dyDescent="0.25">
      <c r="A931" s="5"/>
    </row>
    <row r="932" spans="1:1" x14ac:dyDescent="0.25">
      <c r="A932" s="5"/>
    </row>
    <row r="933" spans="1:1" x14ac:dyDescent="0.25">
      <c r="A933" s="5"/>
    </row>
    <row r="934" spans="1:1" x14ac:dyDescent="0.25">
      <c r="A934" s="5"/>
    </row>
    <row r="935" spans="1:1" x14ac:dyDescent="0.25">
      <c r="A935" s="5"/>
    </row>
    <row r="936" spans="1:1" x14ac:dyDescent="0.25">
      <c r="A936" s="5"/>
    </row>
    <row r="937" spans="1:1" x14ac:dyDescent="0.25">
      <c r="A937" s="5"/>
    </row>
    <row r="938" spans="1:1" x14ac:dyDescent="0.25">
      <c r="A938" s="5"/>
    </row>
    <row r="939" spans="1:1" x14ac:dyDescent="0.25">
      <c r="A939" s="5"/>
    </row>
    <row r="940" spans="1:1" x14ac:dyDescent="0.25">
      <c r="A940" s="5"/>
    </row>
    <row r="941" spans="1:1" x14ac:dyDescent="0.25">
      <c r="A941" s="5"/>
    </row>
    <row r="942" spans="1:1" x14ac:dyDescent="0.25">
      <c r="A942" s="5"/>
    </row>
    <row r="943" spans="1:1" x14ac:dyDescent="0.25">
      <c r="A943" s="5"/>
    </row>
    <row r="944" spans="1:1" x14ac:dyDescent="0.25">
      <c r="A944" s="5"/>
    </row>
    <row r="945" spans="1:1" x14ac:dyDescent="0.25">
      <c r="A945" s="5"/>
    </row>
    <row r="946" spans="1:1" x14ac:dyDescent="0.25">
      <c r="A946" s="5"/>
    </row>
    <row r="947" spans="1:1" x14ac:dyDescent="0.25">
      <c r="A947" s="5"/>
    </row>
    <row r="948" spans="1:1" x14ac:dyDescent="0.25">
      <c r="A948" s="5"/>
    </row>
    <row r="949" spans="1:1" x14ac:dyDescent="0.25">
      <c r="A949" s="5"/>
    </row>
    <row r="950" spans="1:1" x14ac:dyDescent="0.25">
      <c r="A950" s="5"/>
    </row>
    <row r="951" spans="1:1" x14ac:dyDescent="0.25">
      <c r="A951" s="5"/>
    </row>
    <row r="952" spans="1:1" x14ac:dyDescent="0.25">
      <c r="A952" s="5"/>
    </row>
    <row r="953" spans="1:1" x14ac:dyDescent="0.25">
      <c r="A953" s="5"/>
    </row>
    <row r="954" spans="1:1" x14ac:dyDescent="0.25">
      <c r="A954" s="5"/>
    </row>
    <row r="955" spans="1:1" x14ac:dyDescent="0.25">
      <c r="A955" s="5"/>
    </row>
    <row r="956" spans="1:1" x14ac:dyDescent="0.25">
      <c r="A956" s="5"/>
    </row>
    <row r="957" spans="1:1" x14ac:dyDescent="0.25">
      <c r="A957" s="5"/>
    </row>
    <row r="958" spans="1:1" x14ac:dyDescent="0.25">
      <c r="A958" s="5"/>
    </row>
    <row r="959" spans="1:1" x14ac:dyDescent="0.25">
      <c r="A959" s="5"/>
    </row>
    <row r="960" spans="1:1" x14ac:dyDescent="0.25">
      <c r="A960" s="5"/>
    </row>
    <row r="961" spans="1:1" x14ac:dyDescent="0.25">
      <c r="A961" s="5"/>
    </row>
    <row r="962" spans="1:1" x14ac:dyDescent="0.25">
      <c r="A962" s="5"/>
    </row>
    <row r="963" spans="1:1" x14ac:dyDescent="0.25">
      <c r="A963" s="5"/>
    </row>
    <row r="964" spans="1:1" x14ac:dyDescent="0.25">
      <c r="A964" s="5"/>
    </row>
    <row r="965" spans="1:1" x14ac:dyDescent="0.25">
      <c r="A965" s="5"/>
    </row>
    <row r="966" spans="1:1" x14ac:dyDescent="0.25">
      <c r="A966" s="5"/>
    </row>
    <row r="967" spans="1:1" x14ac:dyDescent="0.25">
      <c r="A967" s="5"/>
    </row>
    <row r="968" spans="1:1" x14ac:dyDescent="0.25">
      <c r="A968" s="5"/>
    </row>
    <row r="969" spans="1:1" x14ac:dyDescent="0.25">
      <c r="A969" s="5"/>
    </row>
    <row r="970" spans="1:1" x14ac:dyDescent="0.25">
      <c r="A970" s="5"/>
    </row>
    <row r="971" spans="1:1" x14ac:dyDescent="0.25">
      <c r="A971" s="5"/>
    </row>
    <row r="972" spans="1:1" x14ac:dyDescent="0.25">
      <c r="A972" s="5"/>
    </row>
    <row r="973" spans="1:1" x14ac:dyDescent="0.25">
      <c r="A973" s="5"/>
    </row>
    <row r="974" spans="1:1" x14ac:dyDescent="0.25">
      <c r="A974" s="5"/>
    </row>
    <row r="975" spans="1:1" x14ac:dyDescent="0.25">
      <c r="A975" s="5"/>
    </row>
    <row r="976" spans="1:1" x14ac:dyDescent="0.25">
      <c r="A976" s="5"/>
    </row>
    <row r="977" spans="1:1" x14ac:dyDescent="0.25">
      <c r="A977" s="5"/>
    </row>
    <row r="978" spans="1:1" x14ac:dyDescent="0.25">
      <c r="A978" s="5"/>
    </row>
    <row r="979" spans="1:1" x14ac:dyDescent="0.25">
      <c r="A979" s="5"/>
    </row>
    <row r="980" spans="1:1" x14ac:dyDescent="0.25">
      <c r="A980" s="5"/>
    </row>
    <row r="981" spans="1:1" x14ac:dyDescent="0.25">
      <c r="A981" s="5"/>
    </row>
    <row r="982" spans="1:1" x14ac:dyDescent="0.25">
      <c r="A982" s="5"/>
    </row>
    <row r="983" spans="1:1" x14ac:dyDescent="0.25">
      <c r="A983" s="5"/>
    </row>
    <row r="984" spans="1:1" x14ac:dyDescent="0.25">
      <c r="A984" s="5"/>
    </row>
    <row r="985" spans="1:1" x14ac:dyDescent="0.25">
      <c r="A985" s="5"/>
    </row>
    <row r="986" spans="1:1" x14ac:dyDescent="0.25">
      <c r="A986" s="5"/>
    </row>
    <row r="987" spans="1:1" x14ac:dyDescent="0.25">
      <c r="A987" s="5"/>
    </row>
    <row r="988" spans="1:1" x14ac:dyDescent="0.25">
      <c r="A988" s="5"/>
    </row>
    <row r="989" spans="1:1" x14ac:dyDescent="0.25">
      <c r="A989" s="5"/>
    </row>
    <row r="990" spans="1:1" x14ac:dyDescent="0.25">
      <c r="A990" s="5"/>
    </row>
    <row r="991" spans="1:1" x14ac:dyDescent="0.25">
      <c r="A991" s="5"/>
    </row>
    <row r="992" spans="1:1" x14ac:dyDescent="0.25">
      <c r="A992" s="5"/>
    </row>
    <row r="993" spans="1:1" x14ac:dyDescent="0.25">
      <c r="A993" s="5"/>
    </row>
    <row r="994" spans="1:1" x14ac:dyDescent="0.25">
      <c r="A994" s="5"/>
    </row>
    <row r="995" spans="1:1" x14ac:dyDescent="0.25">
      <c r="A995" s="5"/>
    </row>
    <row r="996" spans="1:1" x14ac:dyDescent="0.25">
      <c r="A996" s="5"/>
    </row>
    <row r="997" spans="1:1" x14ac:dyDescent="0.25">
      <c r="A997" s="5"/>
    </row>
    <row r="998" spans="1:1" x14ac:dyDescent="0.25">
      <c r="A998" s="5"/>
    </row>
    <row r="999" spans="1:1" x14ac:dyDescent="0.25">
      <c r="A999" s="5"/>
    </row>
    <row r="1000" spans="1:1" x14ac:dyDescent="0.25">
      <c r="A1000" s="5"/>
    </row>
    <row r="1001" spans="1:1" x14ac:dyDescent="0.25">
      <c r="A1001" s="5"/>
    </row>
    <row r="1002" spans="1:1" x14ac:dyDescent="0.25">
      <c r="A1002" s="5"/>
    </row>
    <row r="1003" spans="1:1" x14ac:dyDescent="0.25">
      <c r="A1003" s="5"/>
    </row>
    <row r="1004" spans="1:1" x14ac:dyDescent="0.25">
      <c r="A1004" s="5"/>
    </row>
    <row r="1005" spans="1:1" x14ac:dyDescent="0.25">
      <c r="A1005" s="5"/>
    </row>
    <row r="1006" spans="1:1" x14ac:dyDescent="0.25">
      <c r="A1006" s="5"/>
    </row>
    <row r="1007" spans="1:1" x14ac:dyDescent="0.25">
      <c r="A1007" s="5"/>
    </row>
    <row r="1008" spans="1:1" x14ac:dyDescent="0.25">
      <c r="A1008" s="5"/>
    </row>
    <row r="1009" spans="1:1" x14ac:dyDescent="0.25">
      <c r="A1009" s="5"/>
    </row>
    <row r="1010" spans="1:1" x14ac:dyDescent="0.25">
      <c r="A1010" s="5"/>
    </row>
    <row r="1011" spans="1:1" x14ac:dyDescent="0.25">
      <c r="A1011" s="5"/>
    </row>
    <row r="1012" spans="1:1" x14ac:dyDescent="0.25">
      <c r="A1012" s="5"/>
    </row>
    <row r="1013" spans="1:1" x14ac:dyDescent="0.25">
      <c r="A1013" s="5"/>
    </row>
    <row r="1014" spans="1:1" x14ac:dyDescent="0.25">
      <c r="A1014" s="5"/>
    </row>
    <row r="1015" spans="1:1" x14ac:dyDescent="0.25">
      <c r="A1015" s="5"/>
    </row>
    <row r="1016" spans="1:1" x14ac:dyDescent="0.25">
      <c r="A1016" s="5"/>
    </row>
    <row r="1017" spans="1:1" x14ac:dyDescent="0.25">
      <c r="A1017" s="5"/>
    </row>
    <row r="1018" spans="1:1" x14ac:dyDescent="0.25">
      <c r="A1018" s="5"/>
    </row>
    <row r="1019" spans="1:1" x14ac:dyDescent="0.25">
      <c r="A1019" s="5"/>
    </row>
    <row r="1020" spans="1:1" x14ac:dyDescent="0.25">
      <c r="A1020" s="5"/>
    </row>
    <row r="1021" spans="1:1" x14ac:dyDescent="0.25">
      <c r="A1021" s="5"/>
    </row>
    <row r="1022" spans="1:1" x14ac:dyDescent="0.25">
      <c r="A1022" s="5"/>
    </row>
    <row r="1023" spans="1:1" x14ac:dyDescent="0.25">
      <c r="A1023" s="5"/>
    </row>
    <row r="1024" spans="1:1" x14ac:dyDescent="0.25">
      <c r="A1024" s="5"/>
    </row>
    <row r="1025" spans="1:1" x14ac:dyDescent="0.25">
      <c r="A1025" s="5"/>
    </row>
    <row r="1026" spans="1:1" x14ac:dyDescent="0.25">
      <c r="A1026" s="5"/>
    </row>
    <row r="1027" spans="1:1" x14ac:dyDescent="0.25">
      <c r="A1027" s="5"/>
    </row>
    <row r="1028" spans="1:1" x14ac:dyDescent="0.25">
      <c r="A1028" s="5"/>
    </row>
    <row r="1029" spans="1:1" x14ac:dyDescent="0.25">
      <c r="A1029" s="5"/>
    </row>
    <row r="1030" spans="1:1" x14ac:dyDescent="0.25">
      <c r="A1030" s="5"/>
    </row>
    <row r="1031" spans="1:1" x14ac:dyDescent="0.25">
      <c r="A1031" s="5"/>
    </row>
    <row r="1032" spans="1:1" x14ac:dyDescent="0.25">
      <c r="A1032" s="5"/>
    </row>
    <row r="1033" spans="1:1" x14ac:dyDescent="0.25">
      <c r="A1033" s="5"/>
    </row>
    <row r="1034" spans="1:1" x14ac:dyDescent="0.25">
      <c r="A1034" s="5"/>
    </row>
    <row r="1035" spans="1:1" x14ac:dyDescent="0.25">
      <c r="A1035" s="5"/>
    </row>
    <row r="1036" spans="1:1" x14ac:dyDescent="0.25">
      <c r="A1036" s="5"/>
    </row>
    <row r="1037" spans="1:1" x14ac:dyDescent="0.25">
      <c r="A1037" s="5"/>
    </row>
    <row r="1038" spans="1:1" x14ac:dyDescent="0.25">
      <c r="A1038" s="5"/>
    </row>
    <row r="1039" spans="1:1" x14ac:dyDescent="0.25">
      <c r="A1039" s="5"/>
    </row>
    <row r="1040" spans="1:1" x14ac:dyDescent="0.25">
      <c r="A1040" s="5"/>
    </row>
    <row r="1041" spans="1:1" x14ac:dyDescent="0.25">
      <c r="A1041" s="5"/>
    </row>
    <row r="1042" spans="1:1" x14ac:dyDescent="0.25">
      <c r="A1042" s="5"/>
    </row>
    <row r="1043" spans="1:1" x14ac:dyDescent="0.25">
      <c r="A1043" s="5"/>
    </row>
    <row r="1044" spans="1:1" x14ac:dyDescent="0.25">
      <c r="A1044" s="5"/>
    </row>
    <row r="1045" spans="1:1" x14ac:dyDescent="0.25">
      <c r="A1045" s="5"/>
    </row>
    <row r="1046" spans="1:1" x14ac:dyDescent="0.25">
      <c r="A1046" s="5"/>
    </row>
    <row r="1047" spans="1:1" x14ac:dyDescent="0.25">
      <c r="A1047" s="5"/>
    </row>
    <row r="1048" spans="1:1" x14ac:dyDescent="0.25">
      <c r="A1048" s="5"/>
    </row>
    <row r="1049" spans="1:1" x14ac:dyDescent="0.25">
      <c r="A1049" s="5"/>
    </row>
    <row r="1050" spans="1:1" x14ac:dyDescent="0.25">
      <c r="A1050" s="5"/>
    </row>
    <row r="1051" spans="1:1" x14ac:dyDescent="0.25">
      <c r="A1051" s="5"/>
    </row>
    <row r="1052" spans="1:1" x14ac:dyDescent="0.25">
      <c r="A1052" s="5"/>
    </row>
    <row r="1053" spans="1:1" x14ac:dyDescent="0.25">
      <c r="A1053" s="5"/>
    </row>
    <row r="1054" spans="1:1" x14ac:dyDescent="0.25">
      <c r="A1054" s="5"/>
    </row>
    <row r="1055" spans="1:1" x14ac:dyDescent="0.25">
      <c r="A1055" s="5"/>
    </row>
    <row r="1056" spans="1:1" x14ac:dyDescent="0.25">
      <c r="A1056" s="5"/>
    </row>
    <row r="1057" spans="1:1" x14ac:dyDescent="0.25">
      <c r="A1057" s="5"/>
    </row>
    <row r="1058" spans="1:1" x14ac:dyDescent="0.25">
      <c r="A1058" s="5"/>
    </row>
    <row r="1059" spans="1:1" x14ac:dyDescent="0.25">
      <c r="A1059" s="5"/>
    </row>
    <row r="1060" spans="1:1" x14ac:dyDescent="0.25">
      <c r="A1060" s="5"/>
    </row>
    <row r="1061" spans="1:1" x14ac:dyDescent="0.25">
      <c r="A1061" s="5"/>
    </row>
    <row r="1062" spans="1:1" x14ac:dyDescent="0.25">
      <c r="A1062" s="5"/>
    </row>
    <row r="1063" spans="1:1" x14ac:dyDescent="0.25">
      <c r="A1063" s="5"/>
    </row>
    <row r="1064" spans="1:1" x14ac:dyDescent="0.25">
      <c r="A1064" s="5"/>
    </row>
    <row r="1065" spans="1:1" x14ac:dyDescent="0.25">
      <c r="A1065" s="5"/>
    </row>
    <row r="1066" spans="1:1" x14ac:dyDescent="0.25">
      <c r="A1066" s="5"/>
    </row>
    <row r="1067" spans="1:1" x14ac:dyDescent="0.25">
      <c r="A1067" s="5"/>
    </row>
    <row r="1068" spans="1:1" x14ac:dyDescent="0.25">
      <c r="A1068" s="5"/>
    </row>
    <row r="1069" spans="1:1" x14ac:dyDescent="0.25">
      <c r="A1069" s="5"/>
    </row>
    <row r="1070" spans="1:1" x14ac:dyDescent="0.25">
      <c r="A1070" s="5"/>
    </row>
    <row r="1071" spans="1:1" x14ac:dyDescent="0.25">
      <c r="A1071" s="5"/>
    </row>
    <row r="1072" spans="1:1" x14ac:dyDescent="0.25">
      <c r="A1072" s="5"/>
    </row>
    <row r="1073" spans="1:1" x14ac:dyDescent="0.25">
      <c r="A1073" s="5"/>
    </row>
    <row r="1074" spans="1:1" x14ac:dyDescent="0.25">
      <c r="A1074" s="5"/>
    </row>
    <row r="1075" spans="1:1" x14ac:dyDescent="0.25">
      <c r="A1075" s="5"/>
    </row>
    <row r="1076" spans="1:1" x14ac:dyDescent="0.25">
      <c r="A1076" s="5"/>
    </row>
    <row r="1077" spans="1:1" x14ac:dyDescent="0.25">
      <c r="A1077" s="5"/>
    </row>
    <row r="1078" spans="1:1" x14ac:dyDescent="0.25">
      <c r="A1078" s="5"/>
    </row>
    <row r="1079" spans="1:1" x14ac:dyDescent="0.25">
      <c r="A1079" s="5"/>
    </row>
    <row r="1080" spans="1:1" x14ac:dyDescent="0.25">
      <c r="A1080" s="5"/>
    </row>
    <row r="1081" spans="1:1" x14ac:dyDescent="0.25">
      <c r="A1081" s="5"/>
    </row>
    <row r="1082" spans="1:1" x14ac:dyDescent="0.25">
      <c r="A1082" s="5"/>
    </row>
    <row r="1083" spans="1:1" x14ac:dyDescent="0.25">
      <c r="A1083" s="5"/>
    </row>
    <row r="1084" spans="1:1" x14ac:dyDescent="0.25">
      <c r="A1084" s="5"/>
    </row>
    <row r="1085" spans="1:1" x14ac:dyDescent="0.25">
      <c r="A1085" s="5"/>
    </row>
    <row r="1086" spans="1:1" x14ac:dyDescent="0.25">
      <c r="A1086" s="5"/>
    </row>
    <row r="1087" spans="1:1" x14ac:dyDescent="0.25">
      <c r="A1087" s="5"/>
    </row>
    <row r="1088" spans="1:1" x14ac:dyDescent="0.25">
      <c r="A1088" s="5"/>
    </row>
    <row r="1089" spans="1:1" x14ac:dyDescent="0.25">
      <c r="A1089" s="5"/>
    </row>
    <row r="1090" spans="1:1" x14ac:dyDescent="0.25">
      <c r="A1090" s="5"/>
    </row>
    <row r="1091" spans="1:1" x14ac:dyDescent="0.25">
      <c r="A1091" s="5"/>
    </row>
    <row r="1092" spans="1:1" x14ac:dyDescent="0.25">
      <c r="A1092" s="5"/>
    </row>
    <row r="1093" spans="1:1" x14ac:dyDescent="0.25">
      <c r="A1093" s="5"/>
    </row>
    <row r="1094" spans="1:1" x14ac:dyDescent="0.25">
      <c r="A1094" s="5"/>
    </row>
    <row r="1095" spans="1:1" x14ac:dyDescent="0.25">
      <c r="A1095" s="5"/>
    </row>
    <row r="1096" spans="1:1" x14ac:dyDescent="0.25">
      <c r="A1096" s="5"/>
    </row>
    <row r="1097" spans="1:1" x14ac:dyDescent="0.25">
      <c r="A1097" s="5"/>
    </row>
    <row r="1098" spans="1:1" x14ac:dyDescent="0.25">
      <c r="A1098" s="5"/>
    </row>
    <row r="1099" spans="1:1" x14ac:dyDescent="0.25">
      <c r="A1099" s="5"/>
    </row>
    <row r="1100" spans="1:1" x14ac:dyDescent="0.25">
      <c r="A1100" s="5"/>
    </row>
    <row r="1101" spans="1:1" x14ac:dyDescent="0.25">
      <c r="A1101" s="5"/>
    </row>
    <row r="1102" spans="1:1" x14ac:dyDescent="0.25">
      <c r="A1102" s="5"/>
    </row>
    <row r="1103" spans="1:1" x14ac:dyDescent="0.25">
      <c r="A1103" s="5"/>
    </row>
    <row r="1104" spans="1:1" x14ac:dyDescent="0.25">
      <c r="A1104" s="5"/>
    </row>
    <row r="1105" spans="1:1" x14ac:dyDescent="0.25">
      <c r="A1105" s="5"/>
    </row>
    <row r="1106" spans="1:1" x14ac:dyDescent="0.25">
      <c r="A1106" s="5"/>
    </row>
    <row r="1107" spans="1:1" x14ac:dyDescent="0.25">
      <c r="A1107" s="5"/>
    </row>
    <row r="1108" spans="1:1" x14ac:dyDescent="0.25">
      <c r="A1108" s="5"/>
    </row>
    <row r="1109" spans="1:1" x14ac:dyDescent="0.25">
      <c r="A1109" s="5"/>
    </row>
    <row r="1110" spans="1:1" x14ac:dyDescent="0.25">
      <c r="A1110" s="5"/>
    </row>
    <row r="1111" spans="1:1" x14ac:dyDescent="0.25">
      <c r="A1111" s="5"/>
    </row>
    <row r="1112" spans="1:1" x14ac:dyDescent="0.25">
      <c r="A1112" s="5"/>
    </row>
    <row r="1113" spans="1:1" x14ac:dyDescent="0.25">
      <c r="A1113" s="5"/>
    </row>
    <row r="1114" spans="1:1" x14ac:dyDescent="0.25">
      <c r="A1114" s="5"/>
    </row>
    <row r="1115" spans="1:1" x14ac:dyDescent="0.25">
      <c r="A1115" s="5"/>
    </row>
    <row r="1116" spans="1:1" x14ac:dyDescent="0.25">
      <c r="A1116" s="5"/>
    </row>
    <row r="1117" spans="1:1" x14ac:dyDescent="0.25">
      <c r="A1117" s="5"/>
    </row>
    <row r="1118" spans="1:1" x14ac:dyDescent="0.25">
      <c r="A1118" s="5"/>
    </row>
    <row r="1119" spans="1:1" x14ac:dyDescent="0.25">
      <c r="A1119" s="5"/>
    </row>
    <row r="1120" spans="1:1" x14ac:dyDescent="0.25">
      <c r="A1120" s="5"/>
    </row>
    <row r="1121" spans="1:1" x14ac:dyDescent="0.25">
      <c r="A1121" s="5"/>
    </row>
    <row r="1122" spans="1:1" x14ac:dyDescent="0.25">
      <c r="A1122" s="5"/>
    </row>
    <row r="1123" spans="1:1" x14ac:dyDescent="0.25">
      <c r="A1123" s="5"/>
    </row>
    <row r="1124" spans="1:1" x14ac:dyDescent="0.25">
      <c r="A1124" s="5"/>
    </row>
    <row r="1125" spans="1:1" x14ac:dyDescent="0.25">
      <c r="A1125" s="5"/>
    </row>
    <row r="1126" spans="1:1" x14ac:dyDescent="0.25">
      <c r="A1126" s="5"/>
    </row>
    <row r="1127" spans="1:1" x14ac:dyDescent="0.25">
      <c r="A1127" s="5"/>
    </row>
    <row r="1128" spans="1:1" x14ac:dyDescent="0.25">
      <c r="A1128" s="5"/>
    </row>
    <row r="1129" spans="1:1" x14ac:dyDescent="0.25">
      <c r="A1129" s="5"/>
    </row>
    <row r="1130" spans="1:1" x14ac:dyDescent="0.25">
      <c r="A1130" s="5"/>
    </row>
    <row r="1131" spans="1:1" x14ac:dyDescent="0.25">
      <c r="A1131" s="5"/>
    </row>
    <row r="1132" spans="1:1" x14ac:dyDescent="0.25">
      <c r="A1132" s="5"/>
    </row>
    <row r="1133" spans="1:1" x14ac:dyDescent="0.25">
      <c r="A1133" s="5"/>
    </row>
    <row r="1134" spans="1:1" x14ac:dyDescent="0.25">
      <c r="A1134" s="5"/>
    </row>
    <row r="1135" spans="1:1" x14ac:dyDescent="0.25">
      <c r="A1135" s="5"/>
    </row>
    <row r="1136" spans="1:1" x14ac:dyDescent="0.25">
      <c r="A1136" s="5"/>
    </row>
    <row r="1137" spans="1:1" x14ac:dyDescent="0.25">
      <c r="A1137" s="5"/>
    </row>
    <row r="1138" spans="1:1" x14ac:dyDescent="0.25">
      <c r="A1138" s="5"/>
    </row>
    <row r="1139" spans="1:1" x14ac:dyDescent="0.25">
      <c r="A1139" s="5"/>
    </row>
    <row r="1140" spans="1:1" x14ac:dyDescent="0.25">
      <c r="A1140" s="5"/>
    </row>
    <row r="1141" spans="1:1" x14ac:dyDescent="0.25">
      <c r="A1141" s="5"/>
    </row>
    <row r="1142" spans="1:1" x14ac:dyDescent="0.25">
      <c r="A1142" s="5"/>
    </row>
    <row r="1143" spans="1:1" x14ac:dyDescent="0.25">
      <c r="A1143" s="5"/>
    </row>
    <row r="1144" spans="1:1" x14ac:dyDescent="0.25">
      <c r="A1144" s="5"/>
    </row>
    <row r="1145" spans="1:1" x14ac:dyDescent="0.25">
      <c r="A1145" s="5"/>
    </row>
    <row r="1146" spans="1:1" x14ac:dyDescent="0.25">
      <c r="A1146" s="5"/>
    </row>
    <row r="1147" spans="1:1" x14ac:dyDescent="0.25">
      <c r="A1147" s="5"/>
    </row>
    <row r="1148" spans="1:1" x14ac:dyDescent="0.25">
      <c r="A1148" s="5"/>
    </row>
    <row r="1149" spans="1:1" x14ac:dyDescent="0.25">
      <c r="A1149" s="5"/>
    </row>
    <row r="1150" spans="1:1" x14ac:dyDescent="0.25">
      <c r="A1150" s="5"/>
    </row>
    <row r="1151" spans="1:1" x14ac:dyDescent="0.25">
      <c r="A1151" s="5"/>
    </row>
    <row r="1152" spans="1:1" x14ac:dyDescent="0.25">
      <c r="A1152" s="5"/>
    </row>
    <row r="1153" spans="1:1" x14ac:dyDescent="0.25">
      <c r="A1153" s="5"/>
    </row>
    <row r="1154" spans="1:1" x14ac:dyDescent="0.25">
      <c r="A1154" s="5"/>
    </row>
    <row r="1155" spans="1:1" x14ac:dyDescent="0.25">
      <c r="A1155" s="5"/>
    </row>
    <row r="1156" spans="1:1" x14ac:dyDescent="0.25">
      <c r="A1156" s="5"/>
    </row>
    <row r="1157" spans="1:1" x14ac:dyDescent="0.25">
      <c r="A1157" s="5"/>
    </row>
    <row r="1158" spans="1:1" x14ac:dyDescent="0.25">
      <c r="A1158" s="5"/>
    </row>
    <row r="1159" spans="1:1" x14ac:dyDescent="0.25">
      <c r="A1159" s="5"/>
    </row>
    <row r="1160" spans="1:1" x14ac:dyDescent="0.25">
      <c r="A1160" s="5"/>
    </row>
    <row r="1161" spans="1:1" x14ac:dyDescent="0.25">
      <c r="A1161" s="5"/>
    </row>
    <row r="1162" spans="1:1" x14ac:dyDescent="0.25">
      <c r="A1162" s="5"/>
    </row>
    <row r="1163" spans="1:1" x14ac:dyDescent="0.25">
      <c r="A1163" s="5"/>
    </row>
    <row r="1164" spans="1:1" x14ac:dyDescent="0.25">
      <c r="A1164" s="5"/>
    </row>
    <row r="1165" spans="1:1" x14ac:dyDescent="0.25">
      <c r="A1165" s="5"/>
    </row>
    <row r="1166" spans="1:1" x14ac:dyDescent="0.25">
      <c r="A1166" s="5"/>
    </row>
    <row r="1167" spans="1:1" x14ac:dyDescent="0.25">
      <c r="A1167" s="5"/>
    </row>
    <row r="1168" spans="1:1" x14ac:dyDescent="0.25">
      <c r="A1168" s="5"/>
    </row>
    <row r="1169" spans="1:1" x14ac:dyDescent="0.25">
      <c r="A1169" s="5"/>
    </row>
    <row r="1170" spans="1:1" x14ac:dyDescent="0.25">
      <c r="A1170" s="5"/>
    </row>
    <row r="1171" spans="1:1" x14ac:dyDescent="0.25">
      <c r="A1171" s="5"/>
    </row>
    <row r="1172" spans="1:1" x14ac:dyDescent="0.25">
      <c r="A1172" s="5"/>
    </row>
    <row r="1173" spans="1:1" x14ac:dyDescent="0.25">
      <c r="A1173" s="5"/>
    </row>
    <row r="1174" spans="1:1" x14ac:dyDescent="0.25">
      <c r="A1174" s="5"/>
    </row>
    <row r="1175" spans="1:1" x14ac:dyDescent="0.25">
      <c r="A1175" s="5"/>
    </row>
    <row r="1176" spans="1:1" x14ac:dyDescent="0.25">
      <c r="A1176" s="5"/>
    </row>
    <row r="1177" spans="1:1" x14ac:dyDescent="0.25">
      <c r="A1177" s="5"/>
    </row>
    <row r="1178" spans="1:1" x14ac:dyDescent="0.25">
      <c r="A1178" s="5"/>
    </row>
    <row r="1179" spans="1:1" x14ac:dyDescent="0.25">
      <c r="A1179" s="5"/>
    </row>
    <row r="1180" spans="1:1" x14ac:dyDescent="0.25">
      <c r="A1180" s="5"/>
    </row>
    <row r="1181" spans="1:1" x14ac:dyDescent="0.25">
      <c r="A1181" s="5"/>
    </row>
    <row r="1182" spans="1:1" x14ac:dyDescent="0.25">
      <c r="A1182" s="5"/>
    </row>
    <row r="1183" spans="1:1" x14ac:dyDescent="0.25">
      <c r="A1183" s="5"/>
    </row>
    <row r="1184" spans="1:1" x14ac:dyDescent="0.25">
      <c r="A1184" s="5"/>
    </row>
    <row r="1185" spans="1:1" x14ac:dyDescent="0.25">
      <c r="A1185" s="5"/>
    </row>
    <row r="1186" spans="1:1" x14ac:dyDescent="0.25">
      <c r="A1186" s="5"/>
    </row>
    <row r="1187" spans="1:1" x14ac:dyDescent="0.25">
      <c r="A1187" s="5"/>
    </row>
    <row r="1188" spans="1:1" x14ac:dyDescent="0.25">
      <c r="A1188" s="5"/>
    </row>
    <row r="1189" spans="1:1" x14ac:dyDescent="0.25">
      <c r="A1189" s="5"/>
    </row>
    <row r="1190" spans="1:1" x14ac:dyDescent="0.25">
      <c r="A1190" s="5"/>
    </row>
    <row r="1191" spans="1:1" x14ac:dyDescent="0.25">
      <c r="A1191" s="5"/>
    </row>
    <row r="1192" spans="1:1" x14ac:dyDescent="0.25">
      <c r="A1192" s="5"/>
    </row>
    <row r="1193" spans="1:1" x14ac:dyDescent="0.25">
      <c r="A1193" s="5"/>
    </row>
    <row r="1194" spans="1:1" x14ac:dyDescent="0.25">
      <c r="A1194" s="5"/>
    </row>
    <row r="1195" spans="1:1" x14ac:dyDescent="0.25">
      <c r="A1195" s="5"/>
    </row>
    <row r="1196" spans="1:1" x14ac:dyDescent="0.25">
      <c r="A1196" s="5"/>
    </row>
    <row r="1197" spans="1:1" x14ac:dyDescent="0.25">
      <c r="A1197" s="5"/>
    </row>
    <row r="1198" spans="1:1" x14ac:dyDescent="0.25">
      <c r="A1198" s="5"/>
    </row>
    <row r="1199" spans="1:1" x14ac:dyDescent="0.25">
      <c r="A1199" s="5"/>
    </row>
    <row r="1200" spans="1:1" x14ac:dyDescent="0.25">
      <c r="A1200" s="5"/>
    </row>
    <row r="1201" spans="1:1" x14ac:dyDescent="0.25">
      <c r="A1201" s="5"/>
    </row>
    <row r="1202" spans="1:1" x14ac:dyDescent="0.25">
      <c r="A1202" s="5"/>
    </row>
    <row r="1203" spans="1:1" x14ac:dyDescent="0.25">
      <c r="A1203" s="5"/>
    </row>
    <row r="1204" spans="1:1" x14ac:dyDescent="0.25">
      <c r="A1204" s="5"/>
    </row>
    <row r="1205" spans="1:1" x14ac:dyDescent="0.25">
      <c r="A1205" s="5"/>
    </row>
    <row r="1206" spans="1:1" x14ac:dyDescent="0.25">
      <c r="A1206" s="5"/>
    </row>
    <row r="1207" spans="1:1" x14ac:dyDescent="0.25">
      <c r="A1207" s="5"/>
    </row>
    <row r="1208" spans="1:1" x14ac:dyDescent="0.25">
      <c r="A1208" s="5"/>
    </row>
    <row r="1209" spans="1:1" x14ac:dyDescent="0.25">
      <c r="A1209" s="5"/>
    </row>
    <row r="1210" spans="1:1" x14ac:dyDescent="0.25">
      <c r="A1210" s="5"/>
    </row>
    <row r="1211" spans="1:1" x14ac:dyDescent="0.25">
      <c r="A1211" s="5"/>
    </row>
    <row r="1212" spans="1:1" x14ac:dyDescent="0.25">
      <c r="A1212" s="5"/>
    </row>
    <row r="1213" spans="1:1" x14ac:dyDescent="0.25">
      <c r="A1213" s="5"/>
    </row>
    <row r="1214" spans="1:1" x14ac:dyDescent="0.25">
      <c r="A1214" s="5"/>
    </row>
    <row r="1215" spans="1:1" x14ac:dyDescent="0.25">
      <c r="A1215" s="5"/>
    </row>
    <row r="1216" spans="1:1" x14ac:dyDescent="0.25">
      <c r="A1216" s="5"/>
    </row>
    <row r="1217" spans="1:1" x14ac:dyDescent="0.25">
      <c r="A1217" s="5"/>
    </row>
    <row r="1218" spans="1:1" x14ac:dyDescent="0.25">
      <c r="A1218" s="5"/>
    </row>
    <row r="1219" spans="1:1" x14ac:dyDescent="0.25">
      <c r="A1219" s="5"/>
    </row>
    <row r="1220" spans="1:1" x14ac:dyDescent="0.25">
      <c r="A1220" s="5"/>
    </row>
    <row r="1221" spans="1:1" x14ac:dyDescent="0.25">
      <c r="A1221" s="5"/>
    </row>
    <row r="1222" spans="1:1" x14ac:dyDescent="0.25">
      <c r="A1222" s="5"/>
    </row>
    <row r="1223" spans="1:1" x14ac:dyDescent="0.25">
      <c r="A1223" s="5"/>
    </row>
    <row r="1224" spans="1:1" x14ac:dyDescent="0.25">
      <c r="A1224" s="5"/>
    </row>
    <row r="1225" spans="1:1" x14ac:dyDescent="0.25">
      <c r="A1225" s="5"/>
    </row>
    <row r="1226" spans="1:1" x14ac:dyDescent="0.25">
      <c r="A1226" s="5"/>
    </row>
    <row r="1227" spans="1:1" x14ac:dyDescent="0.25">
      <c r="A1227" s="5"/>
    </row>
    <row r="1228" spans="1:1" x14ac:dyDescent="0.25">
      <c r="A1228" s="5"/>
    </row>
    <row r="1229" spans="1:1" x14ac:dyDescent="0.25">
      <c r="A1229" s="5"/>
    </row>
    <row r="1230" spans="1:1" x14ac:dyDescent="0.25">
      <c r="A1230" s="5"/>
    </row>
    <row r="1231" spans="1:1" x14ac:dyDescent="0.25">
      <c r="A1231" s="5"/>
    </row>
    <row r="1232" spans="1:1" x14ac:dyDescent="0.25">
      <c r="A1232" s="5"/>
    </row>
    <row r="1233" spans="1:1" x14ac:dyDescent="0.25">
      <c r="A1233" s="5"/>
    </row>
    <row r="1234" spans="1:1" x14ac:dyDescent="0.25">
      <c r="A1234" s="5"/>
    </row>
    <row r="1235" spans="1:1" x14ac:dyDescent="0.25">
      <c r="A1235" s="5"/>
    </row>
    <row r="1236" spans="1:1" x14ac:dyDescent="0.25">
      <c r="A1236" s="5"/>
    </row>
    <row r="1237" spans="1:1" x14ac:dyDescent="0.25">
      <c r="A1237" s="5"/>
    </row>
    <row r="1238" spans="1:1" x14ac:dyDescent="0.25">
      <c r="A1238" s="5"/>
    </row>
    <row r="1239" spans="1:1" x14ac:dyDescent="0.25">
      <c r="A1239" s="5"/>
    </row>
    <row r="1240" spans="1:1" x14ac:dyDescent="0.25">
      <c r="A1240" s="5"/>
    </row>
    <row r="1241" spans="1:1" x14ac:dyDescent="0.25">
      <c r="A1241" s="5"/>
    </row>
    <row r="1242" spans="1:1" x14ac:dyDescent="0.25">
      <c r="A1242" s="5"/>
    </row>
    <row r="1243" spans="1:1" x14ac:dyDescent="0.25">
      <c r="A1243" s="5"/>
    </row>
    <row r="1244" spans="1:1" x14ac:dyDescent="0.25">
      <c r="A1244" s="5"/>
    </row>
    <row r="1245" spans="1:1" x14ac:dyDescent="0.25">
      <c r="A1245" s="5"/>
    </row>
    <row r="1246" spans="1:1" x14ac:dyDescent="0.25">
      <c r="A1246" s="5"/>
    </row>
    <row r="1247" spans="1:1" x14ac:dyDescent="0.25">
      <c r="A1247" s="5"/>
    </row>
    <row r="1248" spans="1:1" x14ac:dyDescent="0.25">
      <c r="A1248" s="5"/>
    </row>
    <row r="1249" spans="1:1" x14ac:dyDescent="0.25">
      <c r="A1249" s="5"/>
    </row>
    <row r="1250" spans="1:1" x14ac:dyDescent="0.25">
      <c r="A1250" s="5"/>
    </row>
    <row r="1251" spans="1:1" x14ac:dyDescent="0.25">
      <c r="A1251" s="5"/>
    </row>
    <row r="1252" spans="1:1" x14ac:dyDescent="0.25">
      <c r="A1252" s="5"/>
    </row>
    <row r="1253" spans="1:1" x14ac:dyDescent="0.25">
      <c r="A1253" s="5"/>
    </row>
    <row r="1254" spans="1:1" x14ac:dyDescent="0.25">
      <c r="A1254" s="5"/>
    </row>
    <row r="1255" spans="1:1" x14ac:dyDescent="0.25">
      <c r="A1255" s="5"/>
    </row>
    <row r="1256" spans="1:1" x14ac:dyDescent="0.25">
      <c r="A1256" s="5"/>
    </row>
    <row r="1257" spans="1:1" x14ac:dyDescent="0.25">
      <c r="A1257" s="5"/>
    </row>
    <row r="1258" spans="1:1" x14ac:dyDescent="0.25">
      <c r="A1258" s="5"/>
    </row>
    <row r="1259" spans="1:1" x14ac:dyDescent="0.25">
      <c r="A1259" s="5"/>
    </row>
    <row r="1260" spans="1:1" x14ac:dyDescent="0.25">
      <c r="A1260" s="5"/>
    </row>
    <row r="1261" spans="1:1" x14ac:dyDescent="0.25">
      <c r="A1261" s="5"/>
    </row>
    <row r="1262" spans="1:1" x14ac:dyDescent="0.25">
      <c r="A1262" s="5"/>
    </row>
    <row r="1263" spans="1:1" x14ac:dyDescent="0.25">
      <c r="A1263" s="5"/>
    </row>
    <row r="1264" spans="1:1" x14ac:dyDescent="0.25">
      <c r="A1264" s="5"/>
    </row>
    <row r="1265" spans="1:1" x14ac:dyDescent="0.25">
      <c r="A1265" s="5"/>
    </row>
    <row r="1266" spans="1:1" x14ac:dyDescent="0.25">
      <c r="A1266" s="5"/>
    </row>
    <row r="1267" spans="1:1" x14ac:dyDescent="0.25">
      <c r="A1267" s="5"/>
    </row>
    <row r="1268" spans="1:1" x14ac:dyDescent="0.25">
      <c r="A1268" s="5"/>
    </row>
    <row r="1269" spans="1:1" x14ac:dyDescent="0.25">
      <c r="A1269" s="5"/>
    </row>
    <row r="1270" spans="1:1" x14ac:dyDescent="0.25">
      <c r="A1270" s="5"/>
    </row>
    <row r="1271" spans="1:1" x14ac:dyDescent="0.25">
      <c r="A1271" s="5"/>
    </row>
    <row r="1272" spans="1:1" x14ac:dyDescent="0.25">
      <c r="A1272" s="5"/>
    </row>
    <row r="1273" spans="1:1" x14ac:dyDescent="0.25">
      <c r="A1273" s="5"/>
    </row>
    <row r="1274" spans="1:1" x14ac:dyDescent="0.25">
      <c r="A1274" s="5"/>
    </row>
    <row r="1275" spans="1:1" x14ac:dyDescent="0.25">
      <c r="A1275" s="5"/>
    </row>
    <row r="1276" spans="1:1" x14ac:dyDescent="0.25">
      <c r="A1276" s="5"/>
    </row>
    <row r="1277" spans="1:1" x14ac:dyDescent="0.25">
      <c r="A1277" s="5"/>
    </row>
    <row r="1278" spans="1:1" x14ac:dyDescent="0.25">
      <c r="A1278" s="5"/>
    </row>
    <row r="1279" spans="1:1" x14ac:dyDescent="0.25">
      <c r="A1279" s="5"/>
    </row>
    <row r="1280" spans="1:1" x14ac:dyDescent="0.25">
      <c r="A1280" s="5"/>
    </row>
    <row r="1281" spans="1:1" x14ac:dyDescent="0.25">
      <c r="A1281" s="5"/>
    </row>
    <row r="1282" spans="1:1" x14ac:dyDescent="0.25">
      <c r="A1282" s="5"/>
    </row>
    <row r="1283" spans="1:1" x14ac:dyDescent="0.25">
      <c r="A1283" s="5"/>
    </row>
    <row r="1284" spans="1:1" x14ac:dyDescent="0.25">
      <c r="A1284" s="5"/>
    </row>
    <row r="1285" spans="1:1" x14ac:dyDescent="0.25">
      <c r="A1285" s="5"/>
    </row>
    <row r="1286" spans="1:1" x14ac:dyDescent="0.25">
      <c r="A1286" s="5"/>
    </row>
    <row r="1287" spans="1:1" x14ac:dyDescent="0.25">
      <c r="A1287" s="5"/>
    </row>
    <row r="1288" spans="1:1" x14ac:dyDescent="0.25">
      <c r="A1288" s="5"/>
    </row>
    <row r="1289" spans="1:1" x14ac:dyDescent="0.25">
      <c r="A1289" s="5"/>
    </row>
    <row r="1290" spans="1:1" x14ac:dyDescent="0.25">
      <c r="A1290" s="5"/>
    </row>
    <row r="1291" spans="1:1" x14ac:dyDescent="0.25">
      <c r="A1291" s="5"/>
    </row>
    <row r="1292" spans="1:1" x14ac:dyDescent="0.25">
      <c r="A1292" s="5"/>
    </row>
    <row r="1293" spans="1:1" x14ac:dyDescent="0.25">
      <c r="A1293" s="5"/>
    </row>
    <row r="1294" spans="1:1" x14ac:dyDescent="0.25">
      <c r="A1294" s="5"/>
    </row>
    <row r="1295" spans="1:1" x14ac:dyDescent="0.25">
      <c r="A1295" s="5"/>
    </row>
    <row r="1296" spans="1:1" x14ac:dyDescent="0.25">
      <c r="A1296" s="5"/>
    </row>
    <row r="1297" spans="1:1" x14ac:dyDescent="0.25">
      <c r="A1297" s="5"/>
    </row>
    <row r="1298" spans="1:1" x14ac:dyDescent="0.25">
      <c r="A1298" s="5"/>
    </row>
    <row r="1299" spans="1:1" x14ac:dyDescent="0.25">
      <c r="A1299" s="5"/>
    </row>
    <row r="1300" spans="1:1" x14ac:dyDescent="0.25">
      <c r="A1300" s="5"/>
    </row>
    <row r="1301" spans="1:1" x14ac:dyDescent="0.25">
      <c r="A1301" s="5"/>
    </row>
    <row r="1302" spans="1:1" x14ac:dyDescent="0.25">
      <c r="A1302" s="5"/>
    </row>
    <row r="1303" spans="1:1" x14ac:dyDescent="0.25">
      <c r="A1303" s="5"/>
    </row>
    <row r="1304" spans="1:1" x14ac:dyDescent="0.25">
      <c r="A1304" s="5"/>
    </row>
    <row r="1305" spans="1:1" x14ac:dyDescent="0.25">
      <c r="A1305" s="5"/>
    </row>
    <row r="1306" spans="1:1" x14ac:dyDescent="0.25">
      <c r="A1306" s="5"/>
    </row>
    <row r="1307" spans="1:1" x14ac:dyDescent="0.25">
      <c r="A1307" s="5"/>
    </row>
    <row r="1308" spans="1:1" x14ac:dyDescent="0.25">
      <c r="A1308" s="5"/>
    </row>
    <row r="1309" spans="1:1" x14ac:dyDescent="0.25">
      <c r="A1309" s="5"/>
    </row>
    <row r="1310" spans="1:1" x14ac:dyDescent="0.25">
      <c r="A1310" s="5"/>
    </row>
    <row r="1311" spans="1:1" x14ac:dyDescent="0.25">
      <c r="A1311" s="5"/>
    </row>
    <row r="1312" spans="1:1" x14ac:dyDescent="0.25">
      <c r="A1312" s="5"/>
    </row>
    <row r="1313" spans="1:1" x14ac:dyDescent="0.25">
      <c r="A1313" s="5"/>
    </row>
    <row r="1314" spans="1:1" x14ac:dyDescent="0.25">
      <c r="A1314" s="5"/>
    </row>
    <row r="1315" spans="1:1" x14ac:dyDescent="0.25">
      <c r="A1315" s="5"/>
    </row>
    <row r="1316" spans="1:1" x14ac:dyDescent="0.25">
      <c r="A1316" s="5"/>
    </row>
    <row r="1317" spans="1:1" x14ac:dyDescent="0.25">
      <c r="A1317" s="5"/>
    </row>
    <row r="1318" spans="1:1" x14ac:dyDescent="0.25">
      <c r="A1318" s="5"/>
    </row>
    <row r="1319" spans="1:1" x14ac:dyDescent="0.25">
      <c r="A1319" s="5"/>
    </row>
    <row r="1320" spans="1:1" x14ac:dyDescent="0.25">
      <c r="A1320" s="5"/>
    </row>
    <row r="1321" spans="1:1" x14ac:dyDescent="0.25">
      <c r="A1321" s="5"/>
    </row>
    <row r="1322" spans="1:1" x14ac:dyDescent="0.25">
      <c r="A1322" s="5"/>
    </row>
    <row r="1323" spans="1:1" x14ac:dyDescent="0.25">
      <c r="A1323" s="5"/>
    </row>
    <row r="1324" spans="1:1" x14ac:dyDescent="0.25">
      <c r="A1324" s="5"/>
    </row>
    <row r="1325" spans="1:1" x14ac:dyDescent="0.25">
      <c r="A1325" s="5"/>
    </row>
    <row r="1326" spans="1:1" x14ac:dyDescent="0.25">
      <c r="A1326" s="5"/>
    </row>
    <row r="1327" spans="1:1" x14ac:dyDescent="0.25">
      <c r="A1327" s="5"/>
    </row>
    <row r="1328" spans="1:1" x14ac:dyDescent="0.25">
      <c r="A1328" s="5"/>
    </row>
    <row r="1329" spans="1:1" x14ac:dyDescent="0.25">
      <c r="A1329" s="5"/>
    </row>
    <row r="1330" spans="1:1" x14ac:dyDescent="0.25">
      <c r="A1330" s="5"/>
    </row>
    <row r="1331" spans="1:1" x14ac:dyDescent="0.25">
      <c r="A1331" s="5"/>
    </row>
    <row r="1332" spans="1:1" x14ac:dyDescent="0.25">
      <c r="A1332" s="5"/>
    </row>
    <row r="1333" spans="1:1" x14ac:dyDescent="0.25">
      <c r="A1333" s="5"/>
    </row>
    <row r="1334" spans="1:1" x14ac:dyDescent="0.25">
      <c r="A1334" s="5"/>
    </row>
    <row r="1335" spans="1:1" x14ac:dyDescent="0.25">
      <c r="A1335" s="5"/>
    </row>
    <row r="1336" spans="1:1" x14ac:dyDescent="0.25">
      <c r="A1336" s="5"/>
    </row>
    <row r="1337" spans="1:1" x14ac:dyDescent="0.25">
      <c r="A1337" s="5"/>
    </row>
    <row r="1338" spans="1:1" x14ac:dyDescent="0.25">
      <c r="A1338" s="5"/>
    </row>
    <row r="1339" spans="1:1" x14ac:dyDescent="0.25">
      <c r="A1339" s="5"/>
    </row>
    <row r="1340" spans="1:1" x14ac:dyDescent="0.25">
      <c r="A1340" s="5"/>
    </row>
    <row r="1341" spans="1:1" x14ac:dyDescent="0.25">
      <c r="A1341" s="5"/>
    </row>
    <row r="1342" spans="1:1" x14ac:dyDescent="0.25">
      <c r="A1342" s="5"/>
    </row>
    <row r="1343" spans="1:1" x14ac:dyDescent="0.25">
      <c r="A1343" s="5"/>
    </row>
    <row r="1344" spans="1:1" x14ac:dyDescent="0.25">
      <c r="A1344" s="5"/>
    </row>
    <row r="1345" spans="1:1" x14ac:dyDescent="0.25">
      <c r="A1345" s="5"/>
    </row>
    <row r="1346" spans="1:1" x14ac:dyDescent="0.25">
      <c r="A1346" s="5"/>
    </row>
    <row r="1347" spans="1:1" x14ac:dyDescent="0.25">
      <c r="A1347" s="5"/>
    </row>
    <row r="1348" spans="1:1" x14ac:dyDescent="0.25">
      <c r="A1348" s="5"/>
    </row>
    <row r="1349" spans="1:1" x14ac:dyDescent="0.25">
      <c r="A1349" s="5"/>
    </row>
    <row r="1350" spans="1:1" x14ac:dyDescent="0.25">
      <c r="A1350" s="5"/>
    </row>
    <row r="1351" spans="1:1" x14ac:dyDescent="0.25">
      <c r="A1351" s="5"/>
    </row>
    <row r="1352" spans="1:1" x14ac:dyDescent="0.25">
      <c r="A1352" s="5"/>
    </row>
    <row r="1353" spans="1:1" x14ac:dyDescent="0.25">
      <c r="A1353" s="5"/>
    </row>
    <row r="1354" spans="1:1" x14ac:dyDescent="0.25">
      <c r="A1354" s="5"/>
    </row>
    <row r="1355" spans="1:1" x14ac:dyDescent="0.25">
      <c r="A1355" s="5"/>
    </row>
    <row r="1356" spans="1:1" x14ac:dyDescent="0.25">
      <c r="A1356" s="5"/>
    </row>
    <row r="1357" spans="1:1" x14ac:dyDescent="0.25">
      <c r="A1357" s="5"/>
    </row>
    <row r="1358" spans="1:1" x14ac:dyDescent="0.25">
      <c r="A1358" s="5"/>
    </row>
    <row r="1359" spans="1:1" x14ac:dyDescent="0.25">
      <c r="A1359" s="5"/>
    </row>
    <row r="1360" spans="1:1" x14ac:dyDescent="0.25">
      <c r="A1360" s="5"/>
    </row>
    <row r="1361" spans="1:1" x14ac:dyDescent="0.25">
      <c r="A1361" s="5"/>
    </row>
    <row r="1362" spans="1:1" x14ac:dyDescent="0.25">
      <c r="A1362" s="5"/>
    </row>
    <row r="1363" spans="1:1" x14ac:dyDescent="0.25">
      <c r="A1363" s="5"/>
    </row>
    <row r="1364" spans="1:1" x14ac:dyDescent="0.25">
      <c r="A1364" s="5"/>
    </row>
    <row r="1365" spans="1:1" x14ac:dyDescent="0.25">
      <c r="A1365" s="5"/>
    </row>
    <row r="1366" spans="1:1" x14ac:dyDescent="0.25">
      <c r="A1366" s="5"/>
    </row>
    <row r="1367" spans="1:1" x14ac:dyDescent="0.25">
      <c r="A1367" s="5"/>
    </row>
    <row r="1368" spans="1:1" x14ac:dyDescent="0.25">
      <c r="A1368" s="5"/>
    </row>
    <row r="1369" spans="1:1" x14ac:dyDescent="0.25">
      <c r="A1369" s="5"/>
    </row>
    <row r="1370" spans="1:1" x14ac:dyDescent="0.25">
      <c r="A1370" s="5"/>
    </row>
    <row r="1371" spans="1:1" x14ac:dyDescent="0.25">
      <c r="A1371" s="5"/>
    </row>
    <row r="1372" spans="1:1" x14ac:dyDescent="0.25">
      <c r="A1372" s="5"/>
    </row>
    <row r="1373" spans="1:1" x14ac:dyDescent="0.25">
      <c r="A1373" s="5"/>
    </row>
    <row r="1374" spans="1:1" x14ac:dyDescent="0.25">
      <c r="A1374" s="5"/>
    </row>
    <row r="1375" spans="1:1" x14ac:dyDescent="0.25">
      <c r="A1375" s="5"/>
    </row>
    <row r="1376" spans="1:1" x14ac:dyDescent="0.25">
      <c r="A1376" s="5"/>
    </row>
    <row r="1377" spans="1:1" x14ac:dyDescent="0.25">
      <c r="A1377" s="5"/>
    </row>
    <row r="1378" spans="1:1" x14ac:dyDescent="0.25">
      <c r="A1378" s="5"/>
    </row>
    <row r="1379" spans="1:1" x14ac:dyDescent="0.25">
      <c r="A1379" s="5"/>
    </row>
    <row r="1380" spans="1:1" x14ac:dyDescent="0.25">
      <c r="A1380" s="5"/>
    </row>
    <row r="1381" spans="1:1" x14ac:dyDescent="0.25">
      <c r="A1381" s="5"/>
    </row>
    <row r="1382" spans="1:1" x14ac:dyDescent="0.25">
      <c r="A1382" s="5"/>
    </row>
    <row r="1383" spans="1:1" x14ac:dyDescent="0.25">
      <c r="A1383" s="5"/>
    </row>
    <row r="1384" spans="1:1" x14ac:dyDescent="0.25">
      <c r="A1384" s="5"/>
    </row>
    <row r="1385" spans="1:1" x14ac:dyDescent="0.25">
      <c r="A1385" s="5"/>
    </row>
    <row r="1386" spans="1:1" x14ac:dyDescent="0.25">
      <c r="A1386" s="5"/>
    </row>
    <row r="1387" spans="1:1" x14ac:dyDescent="0.25">
      <c r="A1387" s="5"/>
    </row>
    <row r="1388" spans="1:1" x14ac:dyDescent="0.25">
      <c r="A1388" s="5"/>
    </row>
    <row r="1389" spans="1:1" x14ac:dyDescent="0.25">
      <c r="A1389" s="5"/>
    </row>
    <row r="1390" spans="1:1" x14ac:dyDescent="0.25">
      <c r="A1390" s="5"/>
    </row>
    <row r="1391" spans="1:1" x14ac:dyDescent="0.25">
      <c r="A1391" s="5"/>
    </row>
    <row r="1392" spans="1:1" x14ac:dyDescent="0.25">
      <c r="A1392" s="5"/>
    </row>
    <row r="1393" spans="1:1" x14ac:dyDescent="0.25">
      <c r="A1393" s="5"/>
    </row>
    <row r="1394" spans="1:1" x14ac:dyDescent="0.25">
      <c r="A1394" s="5"/>
    </row>
    <row r="1395" spans="1:1" x14ac:dyDescent="0.25">
      <c r="A1395" s="5"/>
    </row>
    <row r="1396" spans="1:1" x14ac:dyDescent="0.25">
      <c r="A1396" s="5"/>
    </row>
    <row r="1397" spans="1:1" x14ac:dyDescent="0.25">
      <c r="A1397" s="5"/>
    </row>
    <row r="1398" spans="1:1" x14ac:dyDescent="0.25">
      <c r="A1398" s="5"/>
    </row>
    <row r="1399" spans="1:1" x14ac:dyDescent="0.25">
      <c r="A1399" s="5"/>
    </row>
    <row r="1400" spans="1:1" x14ac:dyDescent="0.25">
      <c r="A1400" s="5"/>
    </row>
    <row r="1401" spans="1:1" x14ac:dyDescent="0.25">
      <c r="A1401" s="5"/>
    </row>
    <row r="1402" spans="1:1" x14ac:dyDescent="0.25">
      <c r="A1402" s="5"/>
    </row>
    <row r="1403" spans="1:1" x14ac:dyDescent="0.25">
      <c r="A1403" s="5"/>
    </row>
    <row r="1404" spans="1:1" x14ac:dyDescent="0.25">
      <c r="A1404" s="5"/>
    </row>
    <row r="1405" spans="1:1" x14ac:dyDescent="0.25">
      <c r="A1405" s="5"/>
    </row>
    <row r="1406" spans="1:1" x14ac:dyDescent="0.25">
      <c r="A1406" s="5"/>
    </row>
    <row r="1407" spans="1:1" x14ac:dyDescent="0.25">
      <c r="A1407" s="5"/>
    </row>
    <row r="1408" spans="1:1" x14ac:dyDescent="0.25">
      <c r="A1408" s="5"/>
    </row>
    <row r="1409" spans="1:1" x14ac:dyDescent="0.25">
      <c r="A1409" s="5"/>
    </row>
    <row r="1410" spans="1:1" x14ac:dyDescent="0.25">
      <c r="A1410" s="5"/>
    </row>
    <row r="1411" spans="1:1" x14ac:dyDescent="0.25">
      <c r="A1411" s="5"/>
    </row>
    <row r="1412" spans="1:1" x14ac:dyDescent="0.25">
      <c r="A1412" s="5"/>
    </row>
    <row r="1413" spans="1:1" x14ac:dyDescent="0.25">
      <c r="A1413" s="5"/>
    </row>
    <row r="1414" spans="1:1" x14ac:dyDescent="0.25">
      <c r="A1414" s="5"/>
    </row>
    <row r="1415" spans="1:1" x14ac:dyDescent="0.25">
      <c r="A1415" s="5"/>
    </row>
    <row r="1416" spans="1:1" x14ac:dyDescent="0.25">
      <c r="A1416" s="5"/>
    </row>
    <row r="1417" spans="1:1" x14ac:dyDescent="0.25">
      <c r="A1417" s="5"/>
    </row>
    <row r="1418" spans="1:1" x14ac:dyDescent="0.25">
      <c r="A1418" s="5"/>
    </row>
    <row r="1419" spans="1:1" x14ac:dyDescent="0.25">
      <c r="A1419" s="5"/>
    </row>
    <row r="1420" spans="1:1" x14ac:dyDescent="0.25">
      <c r="A1420" s="5"/>
    </row>
    <row r="1421" spans="1:1" x14ac:dyDescent="0.25">
      <c r="A1421" s="5"/>
    </row>
    <row r="1422" spans="1:1" x14ac:dyDescent="0.25">
      <c r="A1422" s="5"/>
    </row>
    <row r="1423" spans="1:1" x14ac:dyDescent="0.25">
      <c r="A1423" s="5"/>
    </row>
    <row r="1424" spans="1:1" x14ac:dyDescent="0.25">
      <c r="A1424" s="5"/>
    </row>
    <row r="1425" spans="1:1" x14ac:dyDescent="0.25">
      <c r="A1425" s="5"/>
    </row>
    <row r="1426" spans="1:1" x14ac:dyDescent="0.25">
      <c r="A1426" s="5"/>
    </row>
    <row r="1427" spans="1:1" x14ac:dyDescent="0.25">
      <c r="A1427" s="5"/>
    </row>
    <row r="1428" spans="1:1" x14ac:dyDescent="0.25">
      <c r="A1428" s="5"/>
    </row>
    <row r="1429" spans="1:1" x14ac:dyDescent="0.25">
      <c r="A1429" s="5"/>
    </row>
    <row r="1430" spans="1:1" x14ac:dyDescent="0.25">
      <c r="A1430" s="5"/>
    </row>
    <row r="1431" spans="1:1" x14ac:dyDescent="0.25">
      <c r="A1431" s="5"/>
    </row>
    <row r="1432" spans="1:1" x14ac:dyDescent="0.25">
      <c r="A1432" s="5"/>
    </row>
    <row r="1433" spans="1:1" x14ac:dyDescent="0.25">
      <c r="A1433" s="5"/>
    </row>
    <row r="1434" spans="1:1" x14ac:dyDescent="0.25">
      <c r="A1434" s="5"/>
    </row>
    <row r="1435" spans="1:1" x14ac:dyDescent="0.25">
      <c r="A1435" s="5"/>
    </row>
    <row r="1436" spans="1:1" x14ac:dyDescent="0.25">
      <c r="A1436" s="5"/>
    </row>
    <row r="1437" spans="1:1" x14ac:dyDescent="0.25">
      <c r="A1437" s="5"/>
    </row>
    <row r="1438" spans="1:1" x14ac:dyDescent="0.25">
      <c r="A1438" s="5"/>
    </row>
    <row r="1439" spans="1:1" x14ac:dyDescent="0.25">
      <c r="A1439" s="5"/>
    </row>
    <row r="1440" spans="1:1" x14ac:dyDescent="0.25">
      <c r="A1440" s="5"/>
    </row>
    <row r="1441" spans="1:1" x14ac:dyDescent="0.25">
      <c r="A1441" s="5"/>
    </row>
    <row r="1442" spans="1:1" x14ac:dyDescent="0.25">
      <c r="A1442" s="5"/>
    </row>
    <row r="1443" spans="1:1" x14ac:dyDescent="0.25">
      <c r="A1443" s="5"/>
    </row>
    <row r="1444" spans="1:1" x14ac:dyDescent="0.25">
      <c r="A1444" s="5"/>
    </row>
    <row r="1445" spans="1:1" x14ac:dyDescent="0.25">
      <c r="A1445" s="5"/>
    </row>
    <row r="1446" spans="1:1" x14ac:dyDescent="0.25">
      <c r="A1446" s="5"/>
    </row>
    <row r="1447" spans="1:1" x14ac:dyDescent="0.25">
      <c r="A1447" s="5"/>
    </row>
    <row r="1448" spans="1:1" x14ac:dyDescent="0.25">
      <c r="A1448" s="5"/>
    </row>
    <row r="1449" spans="1:1" x14ac:dyDescent="0.25">
      <c r="A1449" s="5"/>
    </row>
    <row r="1450" spans="1:1" x14ac:dyDescent="0.25">
      <c r="A1450" s="5"/>
    </row>
    <row r="1451" spans="1:1" x14ac:dyDescent="0.25">
      <c r="A1451" s="5"/>
    </row>
    <row r="1452" spans="1:1" x14ac:dyDescent="0.25">
      <c r="A1452" s="5"/>
    </row>
    <row r="1453" spans="1:1" x14ac:dyDescent="0.25">
      <c r="A1453" s="5"/>
    </row>
    <row r="1454" spans="1:1" x14ac:dyDescent="0.25">
      <c r="A1454" s="5"/>
    </row>
    <row r="1455" spans="1:1" x14ac:dyDescent="0.25">
      <c r="A1455" s="5"/>
    </row>
    <row r="1456" spans="1:1" x14ac:dyDescent="0.25">
      <c r="A1456" s="5"/>
    </row>
    <row r="1457" spans="1:1" x14ac:dyDescent="0.25">
      <c r="A1457" s="5"/>
    </row>
    <row r="1458" spans="1:1" x14ac:dyDescent="0.25">
      <c r="A1458" s="5"/>
    </row>
    <row r="1459" spans="1:1" x14ac:dyDescent="0.25">
      <c r="A1459" s="5"/>
    </row>
    <row r="1460" spans="1:1" x14ac:dyDescent="0.25">
      <c r="A1460" s="5"/>
    </row>
    <row r="1461" spans="1:1" x14ac:dyDescent="0.25">
      <c r="A1461" s="5"/>
    </row>
    <row r="1462" spans="1:1" x14ac:dyDescent="0.25">
      <c r="A1462" s="5"/>
    </row>
    <row r="1463" spans="1:1" x14ac:dyDescent="0.25">
      <c r="A1463" s="5"/>
    </row>
    <row r="1464" spans="1:1" x14ac:dyDescent="0.25">
      <c r="A1464" s="5"/>
    </row>
    <row r="1465" spans="1:1" x14ac:dyDescent="0.25">
      <c r="A1465" s="5"/>
    </row>
    <row r="1466" spans="1:1" x14ac:dyDescent="0.25">
      <c r="A1466" s="5"/>
    </row>
    <row r="1467" spans="1:1" x14ac:dyDescent="0.25">
      <c r="A1467" s="5"/>
    </row>
    <row r="1468" spans="1:1" x14ac:dyDescent="0.25">
      <c r="A1468" s="5"/>
    </row>
    <row r="1469" spans="1:1" x14ac:dyDescent="0.25">
      <c r="A1469" s="5"/>
    </row>
    <row r="1470" spans="1:1" x14ac:dyDescent="0.25">
      <c r="A1470" s="5"/>
    </row>
    <row r="1471" spans="1:1" x14ac:dyDescent="0.25">
      <c r="A1471" s="5"/>
    </row>
    <row r="1472" spans="1:1" x14ac:dyDescent="0.25">
      <c r="A1472" s="5"/>
    </row>
    <row r="1473" spans="1:1" x14ac:dyDescent="0.25">
      <c r="A1473" s="5"/>
    </row>
    <row r="1474" spans="1:1" x14ac:dyDescent="0.25">
      <c r="A1474" s="5"/>
    </row>
    <row r="1475" spans="1:1" x14ac:dyDescent="0.25">
      <c r="A1475" s="5"/>
    </row>
    <row r="1476" spans="1:1" x14ac:dyDescent="0.25">
      <c r="A1476" s="5"/>
    </row>
    <row r="1477" spans="1:1" x14ac:dyDescent="0.25">
      <c r="A1477" s="5"/>
    </row>
    <row r="1478" spans="1:1" x14ac:dyDescent="0.25">
      <c r="A1478" s="5"/>
    </row>
    <row r="1479" spans="1:1" x14ac:dyDescent="0.25">
      <c r="A1479" s="5"/>
    </row>
    <row r="1480" spans="1:1" x14ac:dyDescent="0.25">
      <c r="A1480" s="5"/>
    </row>
    <row r="1481" spans="1:1" x14ac:dyDescent="0.25">
      <c r="A1481" s="5"/>
    </row>
    <row r="1482" spans="1:1" x14ac:dyDescent="0.25">
      <c r="A1482" s="5"/>
    </row>
    <row r="1483" spans="1:1" x14ac:dyDescent="0.25">
      <c r="A1483" s="5"/>
    </row>
    <row r="1484" spans="1:1" x14ac:dyDescent="0.25">
      <c r="A1484" s="5"/>
    </row>
    <row r="1485" spans="1:1" x14ac:dyDescent="0.25">
      <c r="A1485" s="5"/>
    </row>
    <row r="1486" spans="1:1" x14ac:dyDescent="0.25">
      <c r="A1486" s="5"/>
    </row>
    <row r="1487" spans="1:1" x14ac:dyDescent="0.25">
      <c r="A1487" s="5"/>
    </row>
    <row r="1488" spans="1:1" x14ac:dyDescent="0.25">
      <c r="A1488" s="5"/>
    </row>
    <row r="1489" spans="1:1" x14ac:dyDescent="0.25">
      <c r="A1489" s="5"/>
    </row>
    <row r="1490" spans="1:1" x14ac:dyDescent="0.25">
      <c r="A1490" s="5"/>
    </row>
    <row r="1491" spans="1:1" x14ac:dyDescent="0.25">
      <c r="A1491" s="5"/>
    </row>
    <row r="1492" spans="1:1" x14ac:dyDescent="0.25">
      <c r="A1492" s="5"/>
    </row>
    <row r="1493" spans="1:1" x14ac:dyDescent="0.25">
      <c r="A1493" s="5"/>
    </row>
    <row r="1494" spans="1:1" x14ac:dyDescent="0.25">
      <c r="A1494" s="5"/>
    </row>
    <row r="1495" spans="1:1" x14ac:dyDescent="0.25">
      <c r="A1495" s="5"/>
    </row>
    <row r="1496" spans="1:1" x14ac:dyDescent="0.25">
      <c r="A1496" s="5"/>
    </row>
    <row r="1497" spans="1:1" x14ac:dyDescent="0.25">
      <c r="A1497" s="5"/>
    </row>
    <row r="1498" spans="1:1" x14ac:dyDescent="0.25">
      <c r="A1498" s="5"/>
    </row>
    <row r="1499" spans="1:1" x14ac:dyDescent="0.25">
      <c r="A1499" s="5"/>
    </row>
    <row r="1500" spans="1:1" x14ac:dyDescent="0.25">
      <c r="A1500" s="5"/>
    </row>
    <row r="1501" spans="1:1" x14ac:dyDescent="0.25">
      <c r="A1501" s="5"/>
    </row>
    <row r="1502" spans="1:1" x14ac:dyDescent="0.25">
      <c r="A1502" s="5"/>
    </row>
    <row r="1503" spans="1:1" x14ac:dyDescent="0.25">
      <c r="A1503" s="5"/>
    </row>
    <row r="1504" spans="1:1" x14ac:dyDescent="0.25">
      <c r="A1504" s="5"/>
    </row>
    <row r="1505" spans="1:1" x14ac:dyDescent="0.25">
      <c r="A1505" s="5"/>
    </row>
    <row r="1506" spans="1:1" x14ac:dyDescent="0.25">
      <c r="A1506" s="5"/>
    </row>
    <row r="1507" spans="1:1" x14ac:dyDescent="0.25">
      <c r="A1507" s="5"/>
    </row>
    <row r="1508" spans="1:1" x14ac:dyDescent="0.25">
      <c r="A1508" s="5"/>
    </row>
    <row r="1509" spans="1:1" x14ac:dyDescent="0.25">
      <c r="A1509" s="5"/>
    </row>
    <row r="1510" spans="1:1" x14ac:dyDescent="0.25">
      <c r="A1510" s="5"/>
    </row>
    <row r="1511" spans="1:1" x14ac:dyDescent="0.25">
      <c r="A1511" s="5"/>
    </row>
    <row r="1512" spans="1:1" x14ac:dyDescent="0.25">
      <c r="A1512" s="5"/>
    </row>
    <row r="1513" spans="1:1" x14ac:dyDescent="0.25">
      <c r="A1513" s="5"/>
    </row>
    <row r="1514" spans="1:1" x14ac:dyDescent="0.25">
      <c r="A1514" s="5"/>
    </row>
    <row r="1515" spans="1:1" x14ac:dyDescent="0.25">
      <c r="A1515" s="5"/>
    </row>
    <row r="1516" spans="1:1" x14ac:dyDescent="0.25">
      <c r="A1516" s="5"/>
    </row>
    <row r="1517" spans="1:1" x14ac:dyDescent="0.25">
      <c r="A1517" s="5"/>
    </row>
    <row r="1518" spans="1:1" x14ac:dyDescent="0.25">
      <c r="A1518" s="5"/>
    </row>
    <row r="1519" spans="1:1" x14ac:dyDescent="0.25">
      <c r="A1519" s="5"/>
    </row>
    <row r="1520" spans="1:1" x14ac:dyDescent="0.25">
      <c r="A1520" s="5"/>
    </row>
    <row r="1521" spans="1:1" x14ac:dyDescent="0.25">
      <c r="A1521" s="5"/>
    </row>
    <row r="1522" spans="1:1" x14ac:dyDescent="0.25">
      <c r="A1522" s="5"/>
    </row>
    <row r="1523" spans="1:1" x14ac:dyDescent="0.25">
      <c r="A1523" s="5"/>
    </row>
    <row r="1524" spans="1:1" x14ac:dyDescent="0.25">
      <c r="A1524" s="5"/>
    </row>
    <row r="1525" spans="1:1" x14ac:dyDescent="0.25">
      <c r="A1525" s="5"/>
    </row>
    <row r="1526" spans="1:1" x14ac:dyDescent="0.25">
      <c r="A1526" s="5"/>
    </row>
    <row r="1527" spans="1:1" x14ac:dyDescent="0.25">
      <c r="A1527" s="5"/>
    </row>
    <row r="1528" spans="1:1" x14ac:dyDescent="0.25">
      <c r="A1528" s="5"/>
    </row>
    <row r="1529" spans="1:1" x14ac:dyDescent="0.25">
      <c r="A1529" s="5"/>
    </row>
    <row r="1530" spans="1:1" x14ac:dyDescent="0.25">
      <c r="A1530" s="5"/>
    </row>
    <row r="1531" spans="1:1" x14ac:dyDescent="0.25">
      <c r="A1531" s="5"/>
    </row>
    <row r="1532" spans="1:1" x14ac:dyDescent="0.25">
      <c r="A1532" s="5"/>
    </row>
    <row r="1533" spans="1:1" x14ac:dyDescent="0.25">
      <c r="A1533" s="5"/>
    </row>
    <row r="1534" spans="1:1" x14ac:dyDescent="0.25">
      <c r="A1534" s="5"/>
    </row>
    <row r="1535" spans="1:1" x14ac:dyDescent="0.25">
      <c r="A1535" s="5"/>
    </row>
    <row r="1536" spans="1:1" x14ac:dyDescent="0.25">
      <c r="A1536" s="5"/>
    </row>
    <row r="1537" spans="1:1" x14ac:dyDescent="0.25">
      <c r="A1537" s="5"/>
    </row>
    <row r="1538" spans="1:1" x14ac:dyDescent="0.25">
      <c r="A1538" s="5"/>
    </row>
    <row r="1539" spans="1:1" x14ac:dyDescent="0.25">
      <c r="A1539" s="5"/>
    </row>
    <row r="1540" spans="1:1" x14ac:dyDescent="0.25">
      <c r="A1540" s="5"/>
    </row>
    <row r="1541" spans="1:1" x14ac:dyDescent="0.25">
      <c r="A1541" s="5"/>
    </row>
    <row r="1542" spans="1:1" x14ac:dyDescent="0.25">
      <c r="A1542" s="5"/>
    </row>
    <row r="1543" spans="1:1" x14ac:dyDescent="0.25">
      <c r="A1543" s="5"/>
    </row>
    <row r="1544" spans="1:1" x14ac:dyDescent="0.25">
      <c r="A1544" s="5"/>
    </row>
    <row r="1545" spans="1:1" x14ac:dyDescent="0.25">
      <c r="A1545" s="5"/>
    </row>
    <row r="1546" spans="1:1" x14ac:dyDescent="0.25">
      <c r="A1546" s="5"/>
    </row>
    <row r="1547" spans="1:1" x14ac:dyDescent="0.25">
      <c r="A1547" s="5"/>
    </row>
    <row r="1548" spans="1:1" x14ac:dyDescent="0.25">
      <c r="A1548" s="5"/>
    </row>
    <row r="1549" spans="1:1" x14ac:dyDescent="0.25">
      <c r="A1549" s="5"/>
    </row>
    <row r="1550" spans="1:1" x14ac:dyDescent="0.25">
      <c r="A1550" s="5"/>
    </row>
    <row r="1551" spans="1:1" x14ac:dyDescent="0.25">
      <c r="A1551" s="5"/>
    </row>
    <row r="1552" spans="1:1" x14ac:dyDescent="0.25">
      <c r="A1552" s="5"/>
    </row>
    <row r="1553" spans="1:1" x14ac:dyDescent="0.25">
      <c r="A1553" s="5"/>
    </row>
    <row r="1554" spans="1:1" x14ac:dyDescent="0.25">
      <c r="A1554" s="5"/>
    </row>
    <row r="1555" spans="1:1" x14ac:dyDescent="0.25">
      <c r="A1555" s="5"/>
    </row>
    <row r="1556" spans="1:1" x14ac:dyDescent="0.25">
      <c r="A1556" s="5"/>
    </row>
    <row r="1557" spans="1:1" x14ac:dyDescent="0.25">
      <c r="A1557" s="5"/>
    </row>
    <row r="1558" spans="1:1" x14ac:dyDescent="0.25">
      <c r="A1558" s="5"/>
    </row>
    <row r="1559" spans="1:1" x14ac:dyDescent="0.25">
      <c r="A1559" s="5"/>
    </row>
    <row r="1560" spans="1:1" x14ac:dyDescent="0.25">
      <c r="A1560" s="5"/>
    </row>
    <row r="1561" spans="1:1" x14ac:dyDescent="0.25">
      <c r="A1561" s="5"/>
    </row>
    <row r="1562" spans="1:1" x14ac:dyDescent="0.25">
      <c r="A1562" s="5"/>
    </row>
    <row r="1563" spans="1:1" x14ac:dyDescent="0.25">
      <c r="A1563" s="5"/>
    </row>
    <row r="1564" spans="1:1" x14ac:dyDescent="0.25">
      <c r="A1564" s="5"/>
    </row>
    <row r="1565" spans="1:1" x14ac:dyDescent="0.25">
      <c r="A1565" s="5"/>
    </row>
    <row r="1566" spans="1:1" x14ac:dyDescent="0.25">
      <c r="A1566" s="5"/>
    </row>
    <row r="1567" spans="1:1" x14ac:dyDescent="0.25">
      <c r="A1567" s="5"/>
    </row>
    <row r="1568" spans="1:1" x14ac:dyDescent="0.25">
      <c r="A1568" s="5"/>
    </row>
    <row r="1569" spans="1:1" x14ac:dyDescent="0.25">
      <c r="A1569" s="5"/>
    </row>
    <row r="1570" spans="1:1" x14ac:dyDescent="0.25">
      <c r="A1570" s="5"/>
    </row>
    <row r="1571" spans="1:1" x14ac:dyDescent="0.25">
      <c r="A1571" s="5"/>
    </row>
    <row r="1572" spans="1:1" x14ac:dyDescent="0.25">
      <c r="A1572" s="5"/>
    </row>
    <row r="1573" spans="1:1" x14ac:dyDescent="0.25">
      <c r="A1573" s="5"/>
    </row>
    <row r="1574" spans="1:1" x14ac:dyDescent="0.25">
      <c r="A1574" s="5"/>
    </row>
    <row r="1575" spans="1:1" x14ac:dyDescent="0.25">
      <c r="A1575" s="5"/>
    </row>
    <row r="1576" spans="1:1" x14ac:dyDescent="0.25">
      <c r="A1576" s="5"/>
    </row>
    <row r="1577" spans="1:1" x14ac:dyDescent="0.25">
      <c r="A1577" s="5"/>
    </row>
    <row r="1578" spans="1:1" x14ac:dyDescent="0.25">
      <c r="A1578" s="5"/>
    </row>
    <row r="1579" spans="1:1" x14ac:dyDescent="0.25">
      <c r="A1579" s="5"/>
    </row>
    <row r="1580" spans="1:1" x14ac:dyDescent="0.25">
      <c r="A1580" s="5"/>
    </row>
    <row r="1581" spans="1:1" x14ac:dyDescent="0.25">
      <c r="A1581" s="5"/>
    </row>
    <row r="1582" spans="1:1" x14ac:dyDescent="0.25">
      <c r="A1582" s="5"/>
    </row>
    <row r="1583" spans="1:1" x14ac:dyDescent="0.25">
      <c r="A1583" s="5"/>
    </row>
    <row r="1584" spans="1:1" x14ac:dyDescent="0.25">
      <c r="A1584" s="5"/>
    </row>
    <row r="1585" spans="1:1" x14ac:dyDescent="0.25">
      <c r="A1585" s="5"/>
    </row>
    <row r="1586" spans="1:1" x14ac:dyDescent="0.25">
      <c r="A1586" s="5"/>
    </row>
    <row r="1587" spans="1:1" x14ac:dyDescent="0.25">
      <c r="A1587" s="5"/>
    </row>
    <row r="1588" spans="1:1" x14ac:dyDescent="0.25">
      <c r="A1588" s="5"/>
    </row>
    <row r="1589" spans="1:1" x14ac:dyDescent="0.25">
      <c r="A1589" s="5"/>
    </row>
    <row r="1590" spans="1:1" x14ac:dyDescent="0.25">
      <c r="A1590" s="5"/>
    </row>
    <row r="1591" spans="1:1" x14ac:dyDescent="0.25">
      <c r="A1591" s="5"/>
    </row>
    <row r="1592" spans="1:1" x14ac:dyDescent="0.25">
      <c r="A1592" s="5"/>
    </row>
    <row r="1593" spans="1:1" x14ac:dyDescent="0.25">
      <c r="A1593" s="5"/>
    </row>
    <row r="1594" spans="1:1" x14ac:dyDescent="0.25">
      <c r="A1594" s="5"/>
    </row>
    <row r="1595" spans="1:1" x14ac:dyDescent="0.25">
      <c r="A1595" s="5"/>
    </row>
    <row r="1596" spans="1:1" x14ac:dyDescent="0.25">
      <c r="A1596" s="5"/>
    </row>
    <row r="1597" spans="1:1" x14ac:dyDescent="0.25">
      <c r="A1597" s="5"/>
    </row>
    <row r="1598" spans="1:1" x14ac:dyDescent="0.25">
      <c r="A1598" s="5"/>
    </row>
    <row r="1599" spans="1:1" x14ac:dyDescent="0.25">
      <c r="A1599" s="5"/>
    </row>
    <row r="1600" spans="1:1" x14ac:dyDescent="0.25">
      <c r="A1600" s="5"/>
    </row>
    <row r="1601" spans="1:1" x14ac:dyDescent="0.25">
      <c r="A1601" s="5"/>
    </row>
    <row r="1602" spans="1:1" x14ac:dyDescent="0.25">
      <c r="A1602" s="5"/>
    </row>
    <row r="1603" spans="1:1" x14ac:dyDescent="0.25">
      <c r="A1603" s="5"/>
    </row>
    <row r="1604" spans="1:1" x14ac:dyDescent="0.25">
      <c r="A1604" s="5"/>
    </row>
    <row r="1605" spans="1:1" x14ac:dyDescent="0.25">
      <c r="A1605" s="5"/>
    </row>
    <row r="1606" spans="1:1" x14ac:dyDescent="0.25">
      <c r="A1606" s="5"/>
    </row>
    <row r="1607" spans="1:1" x14ac:dyDescent="0.25">
      <c r="A1607" s="5"/>
    </row>
    <row r="1608" spans="1:1" x14ac:dyDescent="0.25">
      <c r="A1608" s="5"/>
    </row>
    <row r="1609" spans="1:1" x14ac:dyDescent="0.25">
      <c r="A1609" s="5"/>
    </row>
    <row r="1610" spans="1:1" x14ac:dyDescent="0.25">
      <c r="A1610" s="5"/>
    </row>
    <row r="1611" spans="1:1" x14ac:dyDescent="0.25">
      <c r="A1611" s="5"/>
    </row>
    <row r="1612" spans="1:1" x14ac:dyDescent="0.25">
      <c r="A1612" s="5"/>
    </row>
    <row r="1613" spans="1:1" x14ac:dyDescent="0.25">
      <c r="A1613" s="5"/>
    </row>
    <row r="1614" spans="1:1" x14ac:dyDescent="0.25">
      <c r="A1614" s="5"/>
    </row>
    <row r="1615" spans="1:1" x14ac:dyDescent="0.25">
      <c r="A1615" s="5"/>
    </row>
    <row r="1616" spans="1:1" x14ac:dyDescent="0.25">
      <c r="A1616" s="5"/>
    </row>
    <row r="1617" spans="1:1" x14ac:dyDescent="0.25">
      <c r="A1617" s="5"/>
    </row>
    <row r="1618" spans="1:1" x14ac:dyDescent="0.25">
      <c r="A1618" s="5"/>
    </row>
    <row r="1619" spans="1:1" x14ac:dyDescent="0.25">
      <c r="A1619" s="5"/>
    </row>
    <row r="1620" spans="1:1" x14ac:dyDescent="0.25">
      <c r="A1620" s="5"/>
    </row>
    <row r="1621" spans="1:1" x14ac:dyDescent="0.25">
      <c r="A1621" s="5"/>
    </row>
    <row r="1622" spans="1:1" x14ac:dyDescent="0.25">
      <c r="A1622" s="5"/>
    </row>
    <row r="1623" spans="1:1" x14ac:dyDescent="0.25">
      <c r="A1623" s="5"/>
    </row>
    <row r="1624" spans="1:1" x14ac:dyDescent="0.25">
      <c r="A1624" s="5"/>
    </row>
    <row r="1625" spans="1:1" x14ac:dyDescent="0.25">
      <c r="A1625" s="5"/>
    </row>
    <row r="1626" spans="1:1" x14ac:dyDescent="0.25">
      <c r="A1626" s="5"/>
    </row>
    <row r="1627" spans="1:1" x14ac:dyDescent="0.25">
      <c r="A1627" s="5"/>
    </row>
    <row r="1628" spans="1:1" x14ac:dyDescent="0.25">
      <c r="A1628" s="5"/>
    </row>
    <row r="1629" spans="1:1" x14ac:dyDescent="0.25">
      <c r="A1629" s="5"/>
    </row>
    <row r="1630" spans="1:1" x14ac:dyDescent="0.25">
      <c r="A1630" s="5"/>
    </row>
    <row r="1631" spans="1:1" x14ac:dyDescent="0.25">
      <c r="A1631" s="5"/>
    </row>
    <row r="1632" spans="1:1" x14ac:dyDescent="0.25">
      <c r="A1632" s="5"/>
    </row>
    <row r="1633" spans="1:1" x14ac:dyDescent="0.25">
      <c r="A1633" s="5"/>
    </row>
    <row r="1634" spans="1:1" x14ac:dyDescent="0.25">
      <c r="A1634" s="5"/>
    </row>
    <row r="1635" spans="1:1" x14ac:dyDescent="0.25">
      <c r="A1635" s="5"/>
    </row>
    <row r="1636" spans="1:1" x14ac:dyDescent="0.25">
      <c r="A1636" s="5"/>
    </row>
    <row r="1637" spans="1:1" x14ac:dyDescent="0.25">
      <c r="A1637" s="5"/>
    </row>
    <row r="1638" spans="1:1" x14ac:dyDescent="0.25">
      <c r="A1638" s="5"/>
    </row>
    <row r="1639" spans="1:1" x14ac:dyDescent="0.25">
      <c r="A1639" s="5"/>
    </row>
    <row r="1640" spans="1:1" x14ac:dyDescent="0.25">
      <c r="A1640" s="5"/>
    </row>
    <row r="1641" spans="1:1" x14ac:dyDescent="0.25">
      <c r="A1641" s="5"/>
    </row>
    <row r="1642" spans="1:1" x14ac:dyDescent="0.25">
      <c r="A1642" s="5"/>
    </row>
    <row r="1643" spans="1:1" x14ac:dyDescent="0.25">
      <c r="A1643" s="5"/>
    </row>
    <row r="1644" spans="1:1" x14ac:dyDescent="0.25">
      <c r="A1644" s="5"/>
    </row>
    <row r="1645" spans="1:1" x14ac:dyDescent="0.25">
      <c r="A1645" s="5"/>
    </row>
    <row r="1646" spans="1:1" x14ac:dyDescent="0.25">
      <c r="A1646" s="5"/>
    </row>
    <row r="1647" spans="1:1" x14ac:dyDescent="0.25">
      <c r="A1647" s="5"/>
    </row>
    <row r="1648" spans="1:1" x14ac:dyDescent="0.25">
      <c r="A1648" s="5"/>
    </row>
    <row r="1649" spans="1:1" x14ac:dyDescent="0.25">
      <c r="A1649" s="5"/>
    </row>
    <row r="1650" spans="1:1" x14ac:dyDescent="0.25">
      <c r="A1650" s="5"/>
    </row>
    <row r="1651" spans="1:1" x14ac:dyDescent="0.25">
      <c r="A1651" s="5"/>
    </row>
    <row r="1652" spans="1:1" x14ac:dyDescent="0.25">
      <c r="A1652" s="5"/>
    </row>
    <row r="1653" spans="1:1" x14ac:dyDescent="0.25">
      <c r="A1653" s="5"/>
    </row>
    <row r="1654" spans="1:1" x14ac:dyDescent="0.25">
      <c r="A1654" s="5"/>
    </row>
    <row r="1655" spans="1:1" x14ac:dyDescent="0.25">
      <c r="A1655" s="5"/>
    </row>
    <row r="1656" spans="1:1" x14ac:dyDescent="0.25">
      <c r="A1656" s="5"/>
    </row>
    <row r="1657" spans="1:1" x14ac:dyDescent="0.25">
      <c r="A1657" s="5"/>
    </row>
    <row r="1658" spans="1:1" x14ac:dyDescent="0.25">
      <c r="A1658" s="5"/>
    </row>
    <row r="1659" spans="1:1" x14ac:dyDescent="0.25">
      <c r="A1659" s="5"/>
    </row>
    <row r="1660" spans="1:1" x14ac:dyDescent="0.25">
      <c r="A1660" s="5"/>
    </row>
    <row r="1661" spans="1:1" x14ac:dyDescent="0.25">
      <c r="A1661" s="5"/>
    </row>
    <row r="1662" spans="1:1" x14ac:dyDescent="0.25">
      <c r="A1662" s="5"/>
    </row>
    <row r="1663" spans="1:1" x14ac:dyDescent="0.25">
      <c r="A1663" s="5"/>
    </row>
    <row r="1664" spans="1:1" x14ac:dyDescent="0.25">
      <c r="A1664" s="5"/>
    </row>
    <row r="1665" spans="1:1" x14ac:dyDescent="0.25">
      <c r="A1665" s="5"/>
    </row>
    <row r="1666" spans="1:1" x14ac:dyDescent="0.25">
      <c r="A1666" s="5"/>
    </row>
    <row r="1667" spans="1:1" x14ac:dyDescent="0.25">
      <c r="A1667" s="5"/>
    </row>
    <row r="1668" spans="1:1" x14ac:dyDescent="0.25">
      <c r="A1668" s="5"/>
    </row>
    <row r="1669" spans="1:1" x14ac:dyDescent="0.25">
      <c r="A1669" s="5"/>
    </row>
    <row r="1670" spans="1:1" x14ac:dyDescent="0.25">
      <c r="A1670" s="5"/>
    </row>
    <row r="1671" spans="1:1" x14ac:dyDescent="0.25">
      <c r="A1671" s="5"/>
    </row>
    <row r="1672" spans="1:1" x14ac:dyDescent="0.25">
      <c r="A1672" s="5"/>
    </row>
    <row r="1673" spans="1:1" x14ac:dyDescent="0.25">
      <c r="A1673" s="5"/>
    </row>
    <row r="1674" spans="1:1" x14ac:dyDescent="0.25">
      <c r="A1674" s="5"/>
    </row>
    <row r="1675" spans="1:1" x14ac:dyDescent="0.25">
      <c r="A1675" s="5"/>
    </row>
    <row r="1676" spans="1:1" x14ac:dyDescent="0.25">
      <c r="A1676" s="5"/>
    </row>
    <row r="1677" spans="1:1" x14ac:dyDescent="0.25">
      <c r="A1677" s="5"/>
    </row>
    <row r="1678" spans="1:1" x14ac:dyDescent="0.25">
      <c r="A1678" s="5"/>
    </row>
    <row r="1679" spans="1:1" x14ac:dyDescent="0.25">
      <c r="A1679" s="5"/>
    </row>
    <row r="1680" spans="1:1" x14ac:dyDescent="0.25">
      <c r="A1680" s="5"/>
    </row>
    <row r="1681" spans="1:1" x14ac:dyDescent="0.25">
      <c r="A1681" s="5"/>
    </row>
    <row r="1682" spans="1:1" x14ac:dyDescent="0.25">
      <c r="A1682" s="5"/>
    </row>
    <row r="1683" spans="1:1" x14ac:dyDescent="0.25">
      <c r="A1683" s="5"/>
    </row>
    <row r="1684" spans="1:1" x14ac:dyDescent="0.25">
      <c r="A1684" s="5"/>
    </row>
    <row r="1685" spans="1:1" x14ac:dyDescent="0.25">
      <c r="A1685" s="5"/>
    </row>
    <row r="1686" spans="1:1" x14ac:dyDescent="0.25">
      <c r="A1686" s="5"/>
    </row>
    <row r="1687" spans="1:1" x14ac:dyDescent="0.25">
      <c r="A1687" s="5"/>
    </row>
    <row r="1688" spans="1:1" x14ac:dyDescent="0.25">
      <c r="A1688" s="5"/>
    </row>
    <row r="1689" spans="1:1" x14ac:dyDescent="0.25">
      <c r="A1689" s="5"/>
    </row>
    <row r="1690" spans="1:1" x14ac:dyDescent="0.25">
      <c r="A1690" s="5"/>
    </row>
    <row r="1691" spans="1:1" x14ac:dyDescent="0.25">
      <c r="A1691" s="5"/>
    </row>
    <row r="1692" spans="1:1" x14ac:dyDescent="0.25">
      <c r="A1692" s="5"/>
    </row>
    <row r="1693" spans="1:1" x14ac:dyDescent="0.25">
      <c r="A1693" s="5"/>
    </row>
    <row r="1694" spans="1:1" x14ac:dyDescent="0.25">
      <c r="A1694" s="5"/>
    </row>
    <row r="1695" spans="1:1" x14ac:dyDescent="0.25">
      <c r="A1695" s="5"/>
    </row>
    <row r="1696" spans="1:1" x14ac:dyDescent="0.25">
      <c r="A1696" s="5"/>
    </row>
    <row r="1697" spans="1:1" x14ac:dyDescent="0.25">
      <c r="A1697" s="5"/>
    </row>
    <row r="1698" spans="1:1" x14ac:dyDescent="0.25">
      <c r="A1698" s="5"/>
    </row>
    <row r="1699" spans="1:1" x14ac:dyDescent="0.25">
      <c r="A1699" s="5"/>
    </row>
    <row r="1700" spans="1:1" x14ac:dyDescent="0.25">
      <c r="A1700" s="5"/>
    </row>
    <row r="1701" spans="1:1" x14ac:dyDescent="0.25">
      <c r="A1701" s="5"/>
    </row>
    <row r="1702" spans="1:1" x14ac:dyDescent="0.25">
      <c r="A1702" s="5"/>
    </row>
    <row r="1703" spans="1:1" x14ac:dyDescent="0.25">
      <c r="A1703" s="5"/>
    </row>
    <row r="1704" spans="1:1" x14ac:dyDescent="0.25">
      <c r="A1704" s="5"/>
    </row>
    <row r="1705" spans="1:1" x14ac:dyDescent="0.25">
      <c r="A1705" s="5"/>
    </row>
    <row r="1706" spans="1:1" x14ac:dyDescent="0.25">
      <c r="A1706" s="5"/>
    </row>
    <row r="1707" spans="1:1" x14ac:dyDescent="0.25">
      <c r="A1707" s="5"/>
    </row>
    <row r="1708" spans="1:1" x14ac:dyDescent="0.25">
      <c r="A1708" s="5"/>
    </row>
    <row r="1709" spans="1:1" x14ac:dyDescent="0.25">
      <c r="A1709" s="5"/>
    </row>
    <row r="1710" spans="1:1" x14ac:dyDescent="0.25">
      <c r="A1710" s="5"/>
    </row>
    <row r="1711" spans="1:1" x14ac:dyDescent="0.25">
      <c r="A1711" s="5"/>
    </row>
    <row r="1712" spans="1:1" x14ac:dyDescent="0.25">
      <c r="A1712" s="5"/>
    </row>
    <row r="1713" spans="1:1" x14ac:dyDescent="0.25">
      <c r="A1713" s="5"/>
    </row>
    <row r="1714" spans="1:1" x14ac:dyDescent="0.25">
      <c r="A1714" s="5"/>
    </row>
    <row r="1715" spans="1:1" x14ac:dyDescent="0.25">
      <c r="A1715" s="5"/>
    </row>
    <row r="1716" spans="1:1" x14ac:dyDescent="0.25">
      <c r="A1716" s="5"/>
    </row>
    <row r="1717" spans="1:1" x14ac:dyDescent="0.25">
      <c r="A1717" s="5"/>
    </row>
    <row r="1718" spans="1:1" x14ac:dyDescent="0.25">
      <c r="A1718" s="5"/>
    </row>
    <row r="1719" spans="1:1" x14ac:dyDescent="0.25">
      <c r="A1719" s="5"/>
    </row>
    <row r="1720" spans="1:1" x14ac:dyDescent="0.25">
      <c r="A1720" s="5"/>
    </row>
    <row r="1721" spans="1:1" x14ac:dyDescent="0.25">
      <c r="A1721" s="5"/>
    </row>
    <row r="1722" spans="1:1" x14ac:dyDescent="0.25">
      <c r="A1722" s="5"/>
    </row>
    <row r="1723" spans="1:1" x14ac:dyDescent="0.25">
      <c r="A1723" s="5"/>
    </row>
    <row r="1724" spans="1:1" x14ac:dyDescent="0.25">
      <c r="A1724" s="5"/>
    </row>
    <row r="1725" spans="1:1" x14ac:dyDescent="0.25">
      <c r="A1725" s="5"/>
    </row>
    <row r="1726" spans="1:1" x14ac:dyDescent="0.25">
      <c r="A1726" s="5"/>
    </row>
    <row r="1727" spans="1:1" x14ac:dyDescent="0.25">
      <c r="A1727" s="5"/>
    </row>
    <row r="1728" spans="1:1" x14ac:dyDescent="0.25">
      <c r="A1728" s="5"/>
    </row>
    <row r="1729" spans="1:1" x14ac:dyDescent="0.25">
      <c r="A1729" s="5"/>
    </row>
    <row r="1730" spans="1:1" x14ac:dyDescent="0.25">
      <c r="A1730" s="5"/>
    </row>
    <row r="1731" spans="1:1" x14ac:dyDescent="0.25">
      <c r="A1731" s="5"/>
    </row>
    <row r="1732" spans="1:1" x14ac:dyDescent="0.25">
      <c r="A1732" s="5"/>
    </row>
    <row r="1733" spans="1:1" x14ac:dyDescent="0.25">
      <c r="A1733" s="5"/>
    </row>
    <row r="1734" spans="1:1" x14ac:dyDescent="0.25">
      <c r="A1734" s="5"/>
    </row>
    <row r="1735" spans="1:1" x14ac:dyDescent="0.25">
      <c r="A1735" s="5"/>
    </row>
    <row r="1736" spans="1:1" x14ac:dyDescent="0.25">
      <c r="A1736" s="5"/>
    </row>
    <row r="1737" spans="1:1" x14ac:dyDescent="0.25">
      <c r="A1737" s="5"/>
    </row>
    <row r="1738" spans="1:1" x14ac:dyDescent="0.25">
      <c r="A1738" s="5"/>
    </row>
    <row r="1739" spans="1:1" x14ac:dyDescent="0.25">
      <c r="A1739" s="5"/>
    </row>
    <row r="1740" spans="1:1" x14ac:dyDescent="0.25">
      <c r="A1740" s="5"/>
    </row>
    <row r="1741" spans="1:1" x14ac:dyDescent="0.25">
      <c r="A1741" s="5"/>
    </row>
    <row r="1742" spans="1:1" x14ac:dyDescent="0.25">
      <c r="A1742" s="5"/>
    </row>
    <row r="1743" spans="1:1" x14ac:dyDescent="0.25">
      <c r="A1743" s="5"/>
    </row>
    <row r="1744" spans="1:1" x14ac:dyDescent="0.25">
      <c r="A1744" s="5"/>
    </row>
    <row r="1745" spans="1:1" x14ac:dyDescent="0.25">
      <c r="A1745" s="5"/>
    </row>
    <row r="1746" spans="1:1" x14ac:dyDescent="0.25">
      <c r="A1746" s="5"/>
    </row>
    <row r="1747" spans="1:1" x14ac:dyDescent="0.25">
      <c r="A1747" s="5"/>
    </row>
    <row r="1748" spans="1:1" x14ac:dyDescent="0.25">
      <c r="A1748" s="5"/>
    </row>
    <row r="1749" spans="1:1" x14ac:dyDescent="0.25">
      <c r="A1749" s="5"/>
    </row>
    <row r="1750" spans="1:1" x14ac:dyDescent="0.25">
      <c r="A1750" s="5"/>
    </row>
    <row r="1751" spans="1:1" x14ac:dyDescent="0.25">
      <c r="A1751" s="5"/>
    </row>
    <row r="1752" spans="1:1" x14ac:dyDescent="0.25">
      <c r="A1752" s="5"/>
    </row>
    <row r="1753" spans="1:1" x14ac:dyDescent="0.25">
      <c r="A1753" s="5"/>
    </row>
    <row r="1754" spans="1:1" x14ac:dyDescent="0.25">
      <c r="A1754" s="5"/>
    </row>
    <row r="1755" spans="1:1" x14ac:dyDescent="0.25">
      <c r="A1755" s="5"/>
    </row>
    <row r="1756" spans="1:1" x14ac:dyDescent="0.25">
      <c r="A1756" s="5"/>
    </row>
    <row r="1757" spans="1:1" x14ac:dyDescent="0.25">
      <c r="A1757" s="5"/>
    </row>
    <row r="1758" spans="1:1" x14ac:dyDescent="0.25">
      <c r="A1758" s="5"/>
    </row>
    <row r="1759" spans="1:1" x14ac:dyDescent="0.25">
      <c r="A1759" s="5"/>
    </row>
    <row r="1760" spans="1:1" x14ac:dyDescent="0.25">
      <c r="A1760" s="5"/>
    </row>
    <row r="1761" spans="1:1" x14ac:dyDescent="0.25">
      <c r="A1761" s="5"/>
    </row>
    <row r="1762" spans="1:1" x14ac:dyDescent="0.25">
      <c r="A1762" s="5"/>
    </row>
    <row r="1763" spans="1:1" x14ac:dyDescent="0.25">
      <c r="A1763" s="5"/>
    </row>
    <row r="1764" spans="1:1" x14ac:dyDescent="0.25">
      <c r="A1764" s="5"/>
    </row>
    <row r="1765" spans="1:1" x14ac:dyDescent="0.25">
      <c r="A1765" s="5"/>
    </row>
    <row r="1766" spans="1:1" x14ac:dyDescent="0.25">
      <c r="A1766" s="5"/>
    </row>
    <row r="1767" spans="1:1" x14ac:dyDescent="0.25">
      <c r="A1767" s="5"/>
    </row>
    <row r="1768" spans="1:1" x14ac:dyDescent="0.25">
      <c r="A1768" s="5"/>
    </row>
    <row r="1769" spans="1:1" x14ac:dyDescent="0.25">
      <c r="A1769" s="5"/>
    </row>
    <row r="1770" spans="1:1" x14ac:dyDescent="0.25">
      <c r="A1770" s="5"/>
    </row>
    <row r="1771" spans="1:1" x14ac:dyDescent="0.25">
      <c r="A1771" s="5"/>
    </row>
    <row r="1772" spans="1:1" x14ac:dyDescent="0.25">
      <c r="A1772" s="5"/>
    </row>
    <row r="1773" spans="1:1" x14ac:dyDescent="0.25">
      <c r="A1773" s="5"/>
    </row>
    <row r="1774" spans="1:1" x14ac:dyDescent="0.25">
      <c r="A1774" s="5"/>
    </row>
    <row r="1775" spans="1:1" x14ac:dyDescent="0.25">
      <c r="A1775" s="5"/>
    </row>
    <row r="1776" spans="1:1" x14ac:dyDescent="0.25">
      <c r="A1776" s="5"/>
    </row>
    <row r="1777" spans="1:1" x14ac:dyDescent="0.25">
      <c r="A1777" s="5"/>
    </row>
    <row r="1778" spans="1:1" x14ac:dyDescent="0.25">
      <c r="A1778" s="5"/>
    </row>
    <row r="1779" spans="1:1" x14ac:dyDescent="0.25">
      <c r="A1779" s="5"/>
    </row>
    <row r="1780" spans="1:1" x14ac:dyDescent="0.25">
      <c r="A1780" s="5"/>
    </row>
    <row r="1781" spans="1:1" x14ac:dyDescent="0.25">
      <c r="A1781" s="5"/>
    </row>
    <row r="1782" spans="1:1" x14ac:dyDescent="0.25">
      <c r="A1782" s="5"/>
    </row>
    <row r="1783" spans="1:1" x14ac:dyDescent="0.25">
      <c r="A1783" s="5"/>
    </row>
    <row r="1784" spans="1:1" x14ac:dyDescent="0.25">
      <c r="A1784" s="5"/>
    </row>
    <row r="1785" spans="1:1" x14ac:dyDescent="0.25">
      <c r="A1785" s="5"/>
    </row>
    <row r="1786" spans="1:1" x14ac:dyDescent="0.25">
      <c r="A1786" s="5"/>
    </row>
    <row r="1787" spans="1:1" x14ac:dyDescent="0.25">
      <c r="A1787" s="5"/>
    </row>
    <row r="1788" spans="1:1" x14ac:dyDescent="0.25">
      <c r="A1788" s="5"/>
    </row>
    <row r="1789" spans="1:1" x14ac:dyDescent="0.25">
      <c r="A1789" s="5"/>
    </row>
    <row r="1790" spans="1:1" x14ac:dyDescent="0.25">
      <c r="A1790" s="5"/>
    </row>
    <row r="1791" spans="1:1" x14ac:dyDescent="0.25">
      <c r="A1791" s="5"/>
    </row>
    <row r="1792" spans="1:1" x14ac:dyDescent="0.25">
      <c r="A1792" s="5"/>
    </row>
    <row r="1793" spans="1:1" x14ac:dyDescent="0.25">
      <c r="A1793" s="5"/>
    </row>
    <row r="1794" spans="1:1" x14ac:dyDescent="0.25">
      <c r="A1794" s="5"/>
    </row>
    <row r="1795" spans="1:1" x14ac:dyDescent="0.25">
      <c r="A1795" s="5"/>
    </row>
    <row r="1796" spans="1:1" x14ac:dyDescent="0.25">
      <c r="A1796" s="5"/>
    </row>
    <row r="1797" spans="1:1" x14ac:dyDescent="0.25">
      <c r="A1797" s="5"/>
    </row>
    <row r="1798" spans="1:1" x14ac:dyDescent="0.25">
      <c r="A1798" s="5"/>
    </row>
    <row r="1799" spans="1:1" x14ac:dyDescent="0.25">
      <c r="A1799" s="5"/>
    </row>
    <row r="1800" spans="1:1" x14ac:dyDescent="0.25">
      <c r="A1800" s="5"/>
    </row>
    <row r="1801" spans="1:1" x14ac:dyDescent="0.25">
      <c r="A1801" s="5"/>
    </row>
    <row r="1802" spans="1:1" x14ac:dyDescent="0.25">
      <c r="A1802" s="5"/>
    </row>
    <row r="1803" spans="1:1" x14ac:dyDescent="0.25">
      <c r="A1803" s="5"/>
    </row>
    <row r="1804" spans="1:1" x14ac:dyDescent="0.25">
      <c r="A1804" s="5"/>
    </row>
    <row r="1805" spans="1:1" x14ac:dyDescent="0.25">
      <c r="A1805" s="5"/>
    </row>
    <row r="1806" spans="1:1" x14ac:dyDescent="0.25">
      <c r="A1806" s="5"/>
    </row>
    <row r="1807" spans="1:1" x14ac:dyDescent="0.25">
      <c r="A1807" s="5"/>
    </row>
    <row r="1808" spans="1:1" x14ac:dyDescent="0.25">
      <c r="A1808" s="5"/>
    </row>
    <row r="1809" spans="1:1" x14ac:dyDescent="0.25">
      <c r="A1809" s="5"/>
    </row>
    <row r="1810" spans="1:1" x14ac:dyDescent="0.25">
      <c r="A1810" s="5"/>
    </row>
    <row r="1811" spans="1:1" x14ac:dyDescent="0.25">
      <c r="A1811" s="5"/>
    </row>
    <row r="1812" spans="1:1" x14ac:dyDescent="0.25">
      <c r="A1812" s="5"/>
    </row>
    <row r="1813" spans="1:1" x14ac:dyDescent="0.25">
      <c r="A1813" s="5"/>
    </row>
    <row r="1814" spans="1:1" x14ac:dyDescent="0.25">
      <c r="A1814" s="5"/>
    </row>
    <row r="1815" spans="1:1" x14ac:dyDescent="0.25">
      <c r="A1815" s="5"/>
    </row>
    <row r="1816" spans="1:1" x14ac:dyDescent="0.25">
      <c r="A1816" s="5"/>
    </row>
    <row r="1817" spans="1:1" x14ac:dyDescent="0.25">
      <c r="A1817" s="5"/>
    </row>
    <row r="1818" spans="1:1" x14ac:dyDescent="0.25">
      <c r="A1818" s="5"/>
    </row>
    <row r="1819" spans="1:1" x14ac:dyDescent="0.25">
      <c r="A1819" s="5"/>
    </row>
    <row r="1820" spans="1:1" x14ac:dyDescent="0.25">
      <c r="A1820" s="5"/>
    </row>
    <row r="1821" spans="1:1" x14ac:dyDescent="0.25">
      <c r="A1821" s="5"/>
    </row>
    <row r="1822" spans="1:1" x14ac:dyDescent="0.25">
      <c r="A1822" s="5"/>
    </row>
    <row r="1823" spans="1:1" x14ac:dyDescent="0.25">
      <c r="A1823" s="5"/>
    </row>
    <row r="1824" spans="1:1" x14ac:dyDescent="0.25">
      <c r="A1824" s="5"/>
    </row>
    <row r="1825" spans="1:1" x14ac:dyDescent="0.25">
      <c r="A1825" s="5"/>
    </row>
    <row r="1826" spans="1:1" x14ac:dyDescent="0.25">
      <c r="A1826" s="5"/>
    </row>
    <row r="1827" spans="1:1" x14ac:dyDescent="0.25">
      <c r="A1827" s="5"/>
    </row>
    <row r="1828" spans="1:1" x14ac:dyDescent="0.25">
      <c r="A1828" s="5"/>
    </row>
    <row r="1829" spans="1:1" x14ac:dyDescent="0.25">
      <c r="A1829" s="5"/>
    </row>
    <row r="1830" spans="1:1" x14ac:dyDescent="0.25">
      <c r="A1830" s="5"/>
    </row>
    <row r="1831" spans="1:1" x14ac:dyDescent="0.25">
      <c r="A1831" s="5"/>
    </row>
    <row r="1832" spans="1:1" x14ac:dyDescent="0.25">
      <c r="A1832" s="5"/>
    </row>
    <row r="1833" spans="1:1" x14ac:dyDescent="0.25">
      <c r="A1833" s="5"/>
    </row>
    <row r="1834" spans="1:1" x14ac:dyDescent="0.25">
      <c r="A1834" s="5"/>
    </row>
    <row r="1835" spans="1:1" x14ac:dyDescent="0.25">
      <c r="A1835" s="5"/>
    </row>
    <row r="1836" spans="1:1" x14ac:dyDescent="0.25">
      <c r="A1836" s="5"/>
    </row>
    <row r="1837" spans="1:1" x14ac:dyDescent="0.25">
      <c r="A1837" s="5"/>
    </row>
    <row r="1838" spans="1:1" x14ac:dyDescent="0.25">
      <c r="A1838" s="5"/>
    </row>
    <row r="1839" spans="1:1" x14ac:dyDescent="0.25">
      <c r="A1839" s="5"/>
    </row>
    <row r="1840" spans="1:1" x14ac:dyDescent="0.25">
      <c r="A1840" s="5"/>
    </row>
    <row r="1841" spans="1:1" x14ac:dyDescent="0.25">
      <c r="A1841" s="5"/>
    </row>
    <row r="1842" spans="1:1" x14ac:dyDescent="0.25">
      <c r="A1842" s="5"/>
    </row>
    <row r="1843" spans="1:1" x14ac:dyDescent="0.25">
      <c r="A1843" s="5"/>
    </row>
    <row r="1844" spans="1:1" x14ac:dyDescent="0.25">
      <c r="A1844" s="5"/>
    </row>
    <row r="1845" spans="1:1" x14ac:dyDescent="0.25">
      <c r="A1845" s="5"/>
    </row>
    <row r="1846" spans="1:1" x14ac:dyDescent="0.25">
      <c r="A1846" s="5"/>
    </row>
    <row r="1847" spans="1:1" x14ac:dyDescent="0.25">
      <c r="A1847" s="5"/>
    </row>
    <row r="1848" spans="1:1" x14ac:dyDescent="0.25">
      <c r="A1848" s="5"/>
    </row>
    <row r="1849" spans="1:1" x14ac:dyDescent="0.25">
      <c r="A1849" s="5"/>
    </row>
    <row r="1850" spans="1:1" x14ac:dyDescent="0.25">
      <c r="A1850" s="5"/>
    </row>
    <row r="1851" spans="1:1" x14ac:dyDescent="0.25">
      <c r="A1851" s="5"/>
    </row>
    <row r="1852" spans="1:1" x14ac:dyDescent="0.25">
      <c r="A1852" s="5"/>
    </row>
    <row r="1853" spans="1:1" x14ac:dyDescent="0.25">
      <c r="A1853" s="5"/>
    </row>
    <row r="1854" spans="1:1" x14ac:dyDescent="0.25">
      <c r="A1854" s="5"/>
    </row>
    <row r="1855" spans="1:1" x14ac:dyDescent="0.25">
      <c r="A1855" s="5"/>
    </row>
    <row r="1856" spans="1:1" x14ac:dyDescent="0.25">
      <c r="A1856" s="5"/>
    </row>
    <row r="1857" spans="1:1" x14ac:dyDescent="0.25">
      <c r="A1857" s="5"/>
    </row>
    <row r="1858" spans="1:1" x14ac:dyDescent="0.25">
      <c r="A1858" s="5"/>
    </row>
    <row r="1859" spans="1:1" x14ac:dyDescent="0.25">
      <c r="A1859" s="5"/>
    </row>
    <row r="1860" spans="1:1" x14ac:dyDescent="0.25">
      <c r="A1860" s="5"/>
    </row>
    <row r="1861" spans="1:1" x14ac:dyDescent="0.25">
      <c r="A1861" s="5"/>
    </row>
    <row r="1862" spans="1:1" x14ac:dyDescent="0.25">
      <c r="A1862" s="5"/>
    </row>
    <row r="1863" spans="1:1" x14ac:dyDescent="0.25">
      <c r="A1863" s="5"/>
    </row>
    <row r="1864" spans="1:1" x14ac:dyDescent="0.25">
      <c r="A1864" s="5"/>
    </row>
    <row r="1865" spans="1:1" x14ac:dyDescent="0.25">
      <c r="A1865" s="5"/>
    </row>
    <row r="1866" spans="1:1" x14ac:dyDescent="0.25">
      <c r="A1866" s="5"/>
    </row>
    <row r="1867" spans="1:1" x14ac:dyDescent="0.25">
      <c r="A1867" s="5"/>
    </row>
    <row r="1868" spans="1:1" x14ac:dyDescent="0.25">
      <c r="A1868" s="5"/>
    </row>
    <row r="1869" spans="1:1" x14ac:dyDescent="0.25">
      <c r="A1869" s="5"/>
    </row>
    <row r="1870" spans="1:1" x14ac:dyDescent="0.25">
      <c r="A1870" s="5"/>
    </row>
    <row r="1871" spans="1:1" x14ac:dyDescent="0.25">
      <c r="A1871" s="5"/>
    </row>
    <row r="1872" spans="1:1" x14ac:dyDescent="0.25">
      <c r="A1872" s="5"/>
    </row>
    <row r="1873" spans="1:1" x14ac:dyDescent="0.25">
      <c r="A1873" s="5"/>
    </row>
    <row r="1874" spans="1:1" x14ac:dyDescent="0.25">
      <c r="A1874" s="5"/>
    </row>
    <row r="1875" spans="1:1" x14ac:dyDescent="0.25">
      <c r="A1875" s="5"/>
    </row>
    <row r="1876" spans="1:1" x14ac:dyDescent="0.25">
      <c r="A1876" s="5"/>
    </row>
    <row r="1877" spans="1:1" x14ac:dyDescent="0.25">
      <c r="A1877" s="5"/>
    </row>
    <row r="1878" spans="1:1" x14ac:dyDescent="0.25">
      <c r="A1878" s="5"/>
    </row>
    <row r="1879" spans="1:1" x14ac:dyDescent="0.25">
      <c r="A1879" s="5"/>
    </row>
    <row r="1880" spans="1:1" x14ac:dyDescent="0.25">
      <c r="A1880" s="5"/>
    </row>
    <row r="1881" spans="1:1" x14ac:dyDescent="0.25">
      <c r="A1881" s="5"/>
    </row>
    <row r="1882" spans="1:1" x14ac:dyDescent="0.25">
      <c r="A1882" s="5"/>
    </row>
    <row r="1883" spans="1:1" x14ac:dyDescent="0.25">
      <c r="A1883" s="5"/>
    </row>
    <row r="1884" spans="1:1" x14ac:dyDescent="0.25">
      <c r="A1884" s="5"/>
    </row>
    <row r="1885" spans="1:1" x14ac:dyDescent="0.25">
      <c r="A1885" s="5"/>
    </row>
    <row r="1886" spans="1:1" x14ac:dyDescent="0.25">
      <c r="A1886" s="5"/>
    </row>
    <row r="1887" spans="1:1" x14ac:dyDescent="0.25">
      <c r="A1887" s="5"/>
    </row>
    <row r="1888" spans="1:1" x14ac:dyDescent="0.25">
      <c r="A1888" s="5"/>
    </row>
    <row r="1889" spans="1:1" x14ac:dyDescent="0.25">
      <c r="A1889" s="5"/>
    </row>
    <row r="1890" spans="1:1" x14ac:dyDescent="0.25">
      <c r="A1890" s="5"/>
    </row>
    <row r="1891" spans="1:1" x14ac:dyDescent="0.25">
      <c r="A1891" s="5"/>
    </row>
    <row r="1892" spans="1:1" x14ac:dyDescent="0.25">
      <c r="A1892" s="5"/>
    </row>
    <row r="1893" spans="1:1" x14ac:dyDescent="0.25">
      <c r="A1893" s="5"/>
    </row>
    <row r="1894" spans="1:1" x14ac:dyDescent="0.25">
      <c r="A1894" s="5"/>
    </row>
    <row r="1895" spans="1:1" x14ac:dyDescent="0.25">
      <c r="A1895" s="5"/>
    </row>
    <row r="1896" spans="1:1" x14ac:dyDescent="0.25">
      <c r="A1896" s="5"/>
    </row>
    <row r="1897" spans="1:1" x14ac:dyDescent="0.25">
      <c r="A1897" s="5"/>
    </row>
    <row r="1898" spans="1:1" x14ac:dyDescent="0.25">
      <c r="A1898" s="5"/>
    </row>
    <row r="1899" spans="1:1" x14ac:dyDescent="0.25">
      <c r="A1899" s="5"/>
    </row>
    <row r="1900" spans="1:1" x14ac:dyDescent="0.25">
      <c r="A1900" s="5"/>
    </row>
    <row r="1901" spans="1:1" x14ac:dyDescent="0.25">
      <c r="A1901" s="5"/>
    </row>
    <row r="1902" spans="1:1" x14ac:dyDescent="0.25">
      <c r="A1902" s="5"/>
    </row>
    <row r="1903" spans="1:1" x14ac:dyDescent="0.25">
      <c r="A1903" s="5"/>
    </row>
    <row r="1904" spans="1:1" x14ac:dyDescent="0.25">
      <c r="A1904" s="5"/>
    </row>
    <row r="1905" spans="1:1" x14ac:dyDescent="0.25">
      <c r="A1905" s="5"/>
    </row>
    <row r="1906" spans="1:1" x14ac:dyDescent="0.25">
      <c r="A1906" s="5"/>
    </row>
    <row r="1907" spans="1:1" x14ac:dyDescent="0.25">
      <c r="A1907" s="5"/>
    </row>
    <row r="1908" spans="1:1" x14ac:dyDescent="0.25">
      <c r="A1908" s="5"/>
    </row>
    <row r="1909" spans="1:1" x14ac:dyDescent="0.25">
      <c r="A1909" s="5"/>
    </row>
    <row r="1910" spans="1:1" x14ac:dyDescent="0.25">
      <c r="A1910" s="5"/>
    </row>
    <row r="1911" spans="1:1" x14ac:dyDescent="0.25">
      <c r="A1911" s="5"/>
    </row>
    <row r="1912" spans="1:1" x14ac:dyDescent="0.25">
      <c r="A1912" s="5"/>
    </row>
    <row r="1913" spans="1:1" x14ac:dyDescent="0.25">
      <c r="A1913" s="5"/>
    </row>
    <row r="1914" spans="1:1" x14ac:dyDescent="0.25">
      <c r="A1914" s="5"/>
    </row>
    <row r="1915" spans="1:1" x14ac:dyDescent="0.25">
      <c r="A1915" s="5"/>
    </row>
    <row r="1916" spans="1:1" x14ac:dyDescent="0.25">
      <c r="A1916" s="5"/>
    </row>
    <row r="1917" spans="1:1" x14ac:dyDescent="0.25">
      <c r="A1917" s="5"/>
    </row>
    <row r="1918" spans="1:1" x14ac:dyDescent="0.25">
      <c r="A1918" s="5"/>
    </row>
    <row r="1919" spans="1:1" x14ac:dyDescent="0.25">
      <c r="A1919" s="5"/>
    </row>
    <row r="1920" spans="1:1" x14ac:dyDescent="0.25">
      <c r="A1920" s="5"/>
    </row>
    <row r="1921" spans="1:1" x14ac:dyDescent="0.25">
      <c r="A1921" s="5"/>
    </row>
    <row r="1922" spans="1:1" x14ac:dyDescent="0.25">
      <c r="A1922" s="5"/>
    </row>
    <row r="1923" spans="1:1" x14ac:dyDescent="0.25">
      <c r="A1923" s="5"/>
    </row>
    <row r="1924" spans="1:1" x14ac:dyDescent="0.25">
      <c r="A1924" s="5"/>
    </row>
    <row r="1925" spans="1:1" x14ac:dyDescent="0.25">
      <c r="A1925" s="5"/>
    </row>
    <row r="1926" spans="1:1" x14ac:dyDescent="0.25">
      <c r="A1926" s="5"/>
    </row>
    <row r="1927" spans="1:1" x14ac:dyDescent="0.25">
      <c r="A1927" s="5"/>
    </row>
    <row r="1928" spans="1:1" x14ac:dyDescent="0.25">
      <c r="A1928" s="5"/>
    </row>
    <row r="1929" spans="1:1" x14ac:dyDescent="0.25">
      <c r="A1929" s="5"/>
    </row>
    <row r="1930" spans="1:1" x14ac:dyDescent="0.25">
      <c r="A1930" s="5"/>
    </row>
    <row r="1931" spans="1:1" x14ac:dyDescent="0.25">
      <c r="A1931" s="5"/>
    </row>
    <row r="1932" spans="1:1" x14ac:dyDescent="0.25">
      <c r="A1932" s="5"/>
    </row>
    <row r="1933" spans="1:1" x14ac:dyDescent="0.25">
      <c r="A1933" s="5"/>
    </row>
    <row r="1934" spans="1:1" x14ac:dyDescent="0.25">
      <c r="A1934" s="5"/>
    </row>
    <row r="1935" spans="1:1" x14ac:dyDescent="0.25">
      <c r="A1935" s="5"/>
    </row>
    <row r="1936" spans="1:1" x14ac:dyDescent="0.25">
      <c r="A1936" s="5"/>
    </row>
    <row r="1937" spans="1:1" x14ac:dyDescent="0.25">
      <c r="A1937" s="5"/>
    </row>
    <row r="1938" spans="1:1" x14ac:dyDescent="0.25">
      <c r="A1938" s="5"/>
    </row>
    <row r="1939" spans="1:1" x14ac:dyDescent="0.25">
      <c r="A1939" s="5"/>
    </row>
    <row r="1940" spans="1:1" x14ac:dyDescent="0.25">
      <c r="A1940" s="5"/>
    </row>
    <row r="1941" spans="1:1" x14ac:dyDescent="0.25">
      <c r="A1941" s="5"/>
    </row>
    <row r="1942" spans="1:1" x14ac:dyDescent="0.25">
      <c r="A1942" s="5"/>
    </row>
    <row r="1943" spans="1:1" x14ac:dyDescent="0.25">
      <c r="A1943" s="5"/>
    </row>
    <row r="1944" spans="1:1" x14ac:dyDescent="0.25">
      <c r="A1944" s="5"/>
    </row>
    <row r="1945" spans="1:1" x14ac:dyDescent="0.25">
      <c r="A1945" s="5"/>
    </row>
    <row r="1946" spans="1:1" x14ac:dyDescent="0.25">
      <c r="A1946" s="5"/>
    </row>
    <row r="1947" spans="1:1" x14ac:dyDescent="0.25">
      <c r="A1947" s="5"/>
    </row>
    <row r="1948" spans="1:1" x14ac:dyDescent="0.25">
      <c r="A1948" s="5"/>
    </row>
    <row r="1949" spans="1:1" x14ac:dyDescent="0.25">
      <c r="A1949" s="5"/>
    </row>
    <row r="1950" spans="1:1" x14ac:dyDescent="0.25">
      <c r="A1950" s="5"/>
    </row>
    <row r="1951" spans="1:1" x14ac:dyDescent="0.25">
      <c r="A1951" s="5"/>
    </row>
    <row r="1952" spans="1:1" x14ac:dyDescent="0.25">
      <c r="A1952" s="5"/>
    </row>
    <row r="1953" spans="1:1" x14ac:dyDescent="0.25">
      <c r="A1953" s="5"/>
    </row>
    <row r="1954" spans="1:1" x14ac:dyDescent="0.25">
      <c r="A1954" s="5"/>
    </row>
    <row r="1955" spans="1:1" x14ac:dyDescent="0.25">
      <c r="A1955" s="5"/>
    </row>
    <row r="1956" spans="1:1" x14ac:dyDescent="0.25">
      <c r="A1956" s="5"/>
    </row>
    <row r="1957" spans="1:1" x14ac:dyDescent="0.25">
      <c r="A1957" s="5"/>
    </row>
    <row r="1958" spans="1:1" x14ac:dyDescent="0.25">
      <c r="A1958" s="5"/>
    </row>
    <row r="1959" spans="1:1" x14ac:dyDescent="0.25">
      <c r="A1959" s="5"/>
    </row>
    <row r="1960" spans="1:1" x14ac:dyDescent="0.25">
      <c r="A1960" s="5"/>
    </row>
    <row r="1961" spans="1:1" x14ac:dyDescent="0.25">
      <c r="A1961" s="5"/>
    </row>
    <row r="1962" spans="1:1" x14ac:dyDescent="0.25">
      <c r="A1962" s="5"/>
    </row>
    <row r="1963" spans="1:1" x14ac:dyDescent="0.25">
      <c r="A1963" s="5"/>
    </row>
    <row r="1964" spans="1:1" x14ac:dyDescent="0.25">
      <c r="A1964" s="5"/>
    </row>
    <row r="1965" spans="1:1" x14ac:dyDescent="0.25">
      <c r="A1965" s="5"/>
    </row>
    <row r="1966" spans="1:1" x14ac:dyDescent="0.25">
      <c r="A1966" s="5"/>
    </row>
    <row r="1967" spans="1:1" x14ac:dyDescent="0.25">
      <c r="A1967" s="5"/>
    </row>
    <row r="1968" spans="1:1" x14ac:dyDescent="0.25">
      <c r="A1968" s="5"/>
    </row>
    <row r="1969" spans="1:1" x14ac:dyDescent="0.25">
      <c r="A1969" s="5"/>
    </row>
    <row r="1970" spans="1:1" x14ac:dyDescent="0.25">
      <c r="A1970" s="5"/>
    </row>
    <row r="1971" spans="1:1" x14ac:dyDescent="0.25">
      <c r="A1971" s="5"/>
    </row>
    <row r="1972" spans="1:1" x14ac:dyDescent="0.25">
      <c r="A1972" s="5"/>
    </row>
    <row r="1973" spans="1:1" x14ac:dyDescent="0.25">
      <c r="A1973" s="5"/>
    </row>
    <row r="1974" spans="1:1" x14ac:dyDescent="0.25">
      <c r="A1974" s="5"/>
    </row>
    <row r="1975" spans="1:1" x14ac:dyDescent="0.25">
      <c r="A1975" s="5"/>
    </row>
    <row r="1976" spans="1:1" x14ac:dyDescent="0.25">
      <c r="A1976" s="5"/>
    </row>
    <row r="1977" spans="1:1" x14ac:dyDescent="0.25">
      <c r="A1977" s="5"/>
    </row>
    <row r="1978" spans="1:1" x14ac:dyDescent="0.25">
      <c r="A1978" s="5"/>
    </row>
    <row r="1979" spans="1:1" x14ac:dyDescent="0.25">
      <c r="A1979" s="5"/>
    </row>
    <row r="1980" spans="1:1" x14ac:dyDescent="0.25">
      <c r="A1980" s="5"/>
    </row>
    <row r="1981" spans="1:1" x14ac:dyDescent="0.25">
      <c r="A1981" s="5"/>
    </row>
    <row r="1982" spans="1:1" x14ac:dyDescent="0.25">
      <c r="A1982" s="5"/>
    </row>
    <row r="1983" spans="1:1" x14ac:dyDescent="0.25">
      <c r="A1983" s="5"/>
    </row>
    <row r="1984" spans="1:1" x14ac:dyDescent="0.25">
      <c r="A1984" s="5"/>
    </row>
    <row r="1985" spans="1:1" x14ac:dyDescent="0.25">
      <c r="A1985" s="5"/>
    </row>
    <row r="1986" spans="1:1" x14ac:dyDescent="0.25">
      <c r="A1986" s="5"/>
    </row>
    <row r="1987" spans="1:1" x14ac:dyDescent="0.25">
      <c r="A1987" s="5"/>
    </row>
    <row r="1988" spans="1:1" x14ac:dyDescent="0.25">
      <c r="A1988" s="5"/>
    </row>
    <row r="1989" spans="1:1" x14ac:dyDescent="0.25">
      <c r="A1989" s="5"/>
    </row>
    <row r="1990" spans="1:1" x14ac:dyDescent="0.25">
      <c r="A1990" s="5"/>
    </row>
    <row r="1991" spans="1:1" x14ac:dyDescent="0.25">
      <c r="A1991" s="5"/>
    </row>
    <row r="1992" spans="1:1" x14ac:dyDescent="0.25">
      <c r="A1992" s="5"/>
    </row>
    <row r="1993" spans="1:1" x14ac:dyDescent="0.25">
      <c r="A1993" s="5"/>
    </row>
    <row r="1994" spans="1:1" x14ac:dyDescent="0.25">
      <c r="A1994" s="5"/>
    </row>
    <row r="1995" spans="1:1" x14ac:dyDescent="0.25">
      <c r="A1995" s="5"/>
    </row>
    <row r="1996" spans="1:1" x14ac:dyDescent="0.25">
      <c r="A1996" s="5"/>
    </row>
    <row r="1997" spans="1:1" x14ac:dyDescent="0.25">
      <c r="A1997" s="5"/>
    </row>
    <row r="1998" spans="1:1" x14ac:dyDescent="0.25">
      <c r="A1998" s="5"/>
    </row>
    <row r="1999" spans="1:1" x14ac:dyDescent="0.25">
      <c r="A1999" s="5"/>
    </row>
    <row r="2000" spans="1:1" x14ac:dyDescent="0.25">
      <c r="A2000" s="5"/>
    </row>
    <row r="2001" spans="1:1" x14ac:dyDescent="0.25">
      <c r="A2001" s="5"/>
    </row>
    <row r="2002" spans="1:1" x14ac:dyDescent="0.25">
      <c r="A2002" s="5"/>
    </row>
    <row r="2003" spans="1:1" x14ac:dyDescent="0.25">
      <c r="A2003" s="5"/>
    </row>
    <row r="2004" spans="1:1" x14ac:dyDescent="0.25">
      <c r="A2004" s="5"/>
    </row>
    <row r="2005" spans="1:1" x14ac:dyDescent="0.25">
      <c r="A2005" s="5"/>
    </row>
    <row r="2006" spans="1:1" x14ac:dyDescent="0.25">
      <c r="A2006" s="5"/>
    </row>
    <row r="2007" spans="1:1" x14ac:dyDescent="0.25">
      <c r="A2007" s="5"/>
    </row>
    <row r="2008" spans="1:1" x14ac:dyDescent="0.25">
      <c r="A2008" s="5"/>
    </row>
    <row r="2009" spans="1:1" x14ac:dyDescent="0.25">
      <c r="A2009" s="5"/>
    </row>
    <row r="2010" spans="1:1" x14ac:dyDescent="0.25">
      <c r="A2010" s="5"/>
    </row>
    <row r="2011" spans="1:1" x14ac:dyDescent="0.25">
      <c r="A2011" s="5"/>
    </row>
    <row r="2012" spans="1:1" x14ac:dyDescent="0.25">
      <c r="A2012" s="5"/>
    </row>
    <row r="2013" spans="1:1" x14ac:dyDescent="0.25">
      <c r="A2013" s="5"/>
    </row>
    <row r="2014" spans="1:1" x14ac:dyDescent="0.25">
      <c r="A2014" s="5"/>
    </row>
    <row r="2015" spans="1:1" x14ac:dyDescent="0.25">
      <c r="A2015" s="5"/>
    </row>
    <row r="2016" spans="1:1" x14ac:dyDescent="0.25">
      <c r="A2016" s="5"/>
    </row>
    <row r="2017" spans="1:1" x14ac:dyDescent="0.25">
      <c r="A2017" s="5"/>
    </row>
    <row r="2018" spans="1:1" x14ac:dyDescent="0.25">
      <c r="A2018" s="5"/>
    </row>
    <row r="2019" spans="1:1" x14ac:dyDescent="0.25">
      <c r="A2019" s="5"/>
    </row>
    <row r="2020" spans="1:1" x14ac:dyDescent="0.25">
      <c r="A2020" s="5"/>
    </row>
    <row r="2021" spans="1:1" x14ac:dyDescent="0.25">
      <c r="A2021" s="5"/>
    </row>
    <row r="2022" spans="1:1" x14ac:dyDescent="0.25">
      <c r="A2022" s="5"/>
    </row>
    <row r="2023" spans="1:1" x14ac:dyDescent="0.25">
      <c r="A2023" s="5"/>
    </row>
    <row r="2024" spans="1:1" x14ac:dyDescent="0.25">
      <c r="A2024" s="5"/>
    </row>
    <row r="2025" spans="1:1" x14ac:dyDescent="0.25">
      <c r="A2025" s="5"/>
    </row>
    <row r="2026" spans="1:1" x14ac:dyDescent="0.25">
      <c r="A2026" s="5"/>
    </row>
    <row r="2027" spans="1:1" x14ac:dyDescent="0.25">
      <c r="A2027" s="5"/>
    </row>
    <row r="2028" spans="1:1" x14ac:dyDescent="0.25">
      <c r="A2028" s="5"/>
    </row>
    <row r="2029" spans="1:1" x14ac:dyDescent="0.25">
      <c r="A2029" s="5"/>
    </row>
    <row r="2030" spans="1:1" x14ac:dyDescent="0.25">
      <c r="A2030" s="5"/>
    </row>
    <row r="2031" spans="1:1" x14ac:dyDescent="0.25">
      <c r="A2031" s="5"/>
    </row>
    <row r="2032" spans="1:1" x14ac:dyDescent="0.25">
      <c r="A2032" s="5"/>
    </row>
    <row r="2033" spans="1:1" x14ac:dyDescent="0.25">
      <c r="A2033" s="5"/>
    </row>
    <row r="2034" spans="1:1" x14ac:dyDescent="0.25">
      <c r="A2034" s="5"/>
    </row>
    <row r="2035" spans="1:1" x14ac:dyDescent="0.25">
      <c r="A2035" s="5"/>
    </row>
    <row r="2036" spans="1:1" x14ac:dyDescent="0.25">
      <c r="A2036" s="5"/>
    </row>
    <row r="2037" spans="1:1" x14ac:dyDescent="0.25">
      <c r="A2037" s="5"/>
    </row>
    <row r="2038" spans="1:1" x14ac:dyDescent="0.25">
      <c r="A2038" s="5"/>
    </row>
    <row r="2039" spans="1:1" x14ac:dyDescent="0.25">
      <c r="A2039" s="5"/>
    </row>
    <row r="2040" spans="1:1" x14ac:dyDescent="0.25">
      <c r="A2040" s="5"/>
    </row>
    <row r="2041" spans="1:1" x14ac:dyDescent="0.25">
      <c r="A2041" s="5"/>
    </row>
    <row r="2042" spans="1:1" x14ac:dyDescent="0.25">
      <c r="A2042" s="5"/>
    </row>
    <row r="2043" spans="1:1" x14ac:dyDescent="0.25">
      <c r="A2043" s="5"/>
    </row>
    <row r="2044" spans="1:1" x14ac:dyDescent="0.25">
      <c r="A2044" s="5"/>
    </row>
    <row r="2045" spans="1:1" x14ac:dyDescent="0.25">
      <c r="A2045" s="5"/>
    </row>
    <row r="2046" spans="1:1" x14ac:dyDescent="0.25">
      <c r="A2046" s="5"/>
    </row>
    <row r="2047" spans="1:1" x14ac:dyDescent="0.25">
      <c r="A2047" s="5"/>
    </row>
    <row r="2048" spans="1:1" x14ac:dyDescent="0.25">
      <c r="A2048" s="5"/>
    </row>
    <row r="2049" spans="1:1" x14ac:dyDescent="0.25">
      <c r="A2049" s="5"/>
    </row>
    <row r="2050" spans="1:1" x14ac:dyDescent="0.25">
      <c r="A2050" s="5"/>
    </row>
    <row r="2051" spans="1:1" x14ac:dyDescent="0.25">
      <c r="A2051" s="5"/>
    </row>
    <row r="2052" spans="1:1" x14ac:dyDescent="0.25">
      <c r="A2052" s="5"/>
    </row>
    <row r="2053" spans="1:1" x14ac:dyDescent="0.25">
      <c r="A2053" s="5"/>
    </row>
    <row r="2054" spans="1:1" x14ac:dyDescent="0.25">
      <c r="A2054" s="5"/>
    </row>
    <row r="2055" spans="1:1" x14ac:dyDescent="0.25">
      <c r="A2055" s="5"/>
    </row>
    <row r="2056" spans="1:1" x14ac:dyDescent="0.25">
      <c r="A2056" s="5"/>
    </row>
    <row r="2057" spans="1:1" x14ac:dyDescent="0.25">
      <c r="A2057" s="5"/>
    </row>
    <row r="2058" spans="1:1" x14ac:dyDescent="0.25">
      <c r="A2058" s="5"/>
    </row>
    <row r="2059" spans="1:1" x14ac:dyDescent="0.25">
      <c r="A2059" s="5"/>
    </row>
    <row r="2060" spans="1:1" x14ac:dyDescent="0.25">
      <c r="A2060" s="5"/>
    </row>
    <row r="2061" spans="1:1" x14ac:dyDescent="0.25">
      <c r="A2061" s="5"/>
    </row>
    <row r="2062" spans="1:1" x14ac:dyDescent="0.25">
      <c r="A2062" s="5"/>
    </row>
    <row r="2063" spans="1:1" x14ac:dyDescent="0.25">
      <c r="A2063" s="5"/>
    </row>
    <row r="2064" spans="1:1" x14ac:dyDescent="0.25">
      <c r="A2064" s="5"/>
    </row>
    <row r="2065" spans="1:1" x14ac:dyDescent="0.25">
      <c r="A2065" s="5"/>
    </row>
    <row r="2066" spans="1:1" x14ac:dyDescent="0.25">
      <c r="A2066" s="5"/>
    </row>
    <row r="2067" spans="1:1" x14ac:dyDescent="0.25">
      <c r="A2067" s="5"/>
    </row>
    <row r="2068" spans="1:1" x14ac:dyDescent="0.25">
      <c r="A2068" s="5"/>
    </row>
    <row r="2069" spans="1:1" x14ac:dyDescent="0.25">
      <c r="A2069" s="5"/>
    </row>
    <row r="2070" spans="1:1" x14ac:dyDescent="0.25">
      <c r="A2070" s="5"/>
    </row>
    <row r="2071" spans="1:1" x14ac:dyDescent="0.25">
      <c r="A2071" s="5"/>
    </row>
    <row r="2072" spans="1:1" x14ac:dyDescent="0.25">
      <c r="A2072" s="5"/>
    </row>
    <row r="2073" spans="1:1" x14ac:dyDescent="0.25">
      <c r="A2073" s="5"/>
    </row>
    <row r="2074" spans="1:1" x14ac:dyDescent="0.25">
      <c r="A2074" s="5"/>
    </row>
    <row r="2075" spans="1:1" x14ac:dyDescent="0.25">
      <c r="A2075" s="5"/>
    </row>
    <row r="2076" spans="1:1" x14ac:dyDescent="0.25">
      <c r="A2076" s="5"/>
    </row>
    <row r="2077" spans="1:1" x14ac:dyDescent="0.25">
      <c r="A2077" s="5"/>
    </row>
    <row r="2078" spans="1:1" x14ac:dyDescent="0.25">
      <c r="A2078" s="5"/>
    </row>
    <row r="2079" spans="1:1" x14ac:dyDescent="0.25">
      <c r="A2079" s="5"/>
    </row>
    <row r="2080" spans="1:1" x14ac:dyDescent="0.25">
      <c r="A2080" s="5"/>
    </row>
    <row r="2081" spans="1:1" x14ac:dyDescent="0.25">
      <c r="A2081" s="5"/>
    </row>
    <row r="2082" spans="1:1" x14ac:dyDescent="0.25">
      <c r="A2082" s="5"/>
    </row>
    <row r="2083" spans="1:1" x14ac:dyDescent="0.25">
      <c r="A2083" s="5"/>
    </row>
    <row r="2084" spans="1:1" x14ac:dyDescent="0.25">
      <c r="A2084" s="5"/>
    </row>
    <row r="2085" spans="1:1" x14ac:dyDescent="0.25">
      <c r="A2085" s="5"/>
    </row>
    <row r="2086" spans="1:1" x14ac:dyDescent="0.25">
      <c r="A2086" s="5"/>
    </row>
    <row r="2087" spans="1:1" x14ac:dyDescent="0.25">
      <c r="A2087" s="5"/>
    </row>
    <row r="2088" spans="1:1" x14ac:dyDescent="0.25">
      <c r="A2088" s="5"/>
    </row>
    <row r="2089" spans="1:1" x14ac:dyDescent="0.25">
      <c r="A2089" s="5"/>
    </row>
    <row r="2090" spans="1:1" x14ac:dyDescent="0.25">
      <c r="A2090" s="5"/>
    </row>
    <row r="2091" spans="1:1" x14ac:dyDescent="0.25">
      <c r="A2091" s="5"/>
    </row>
    <row r="2092" spans="1:1" x14ac:dyDescent="0.25">
      <c r="A2092" s="5"/>
    </row>
    <row r="2093" spans="1:1" x14ac:dyDescent="0.25">
      <c r="A2093" s="5"/>
    </row>
    <row r="2094" spans="1:1" x14ac:dyDescent="0.25">
      <c r="A2094" s="5"/>
    </row>
    <row r="2095" spans="1:1" x14ac:dyDescent="0.25">
      <c r="A2095" s="5"/>
    </row>
    <row r="2096" spans="1:1" x14ac:dyDescent="0.25">
      <c r="A2096" s="5"/>
    </row>
    <row r="2097" spans="1:1" x14ac:dyDescent="0.25">
      <c r="A2097" s="5"/>
    </row>
    <row r="2098" spans="1:1" x14ac:dyDescent="0.25">
      <c r="A2098" s="5"/>
    </row>
    <row r="2099" spans="1:1" x14ac:dyDescent="0.25">
      <c r="A2099" s="5"/>
    </row>
    <row r="2100" spans="1:1" x14ac:dyDescent="0.25">
      <c r="A2100" s="5"/>
    </row>
    <row r="2101" spans="1:1" x14ac:dyDescent="0.25">
      <c r="A2101" s="5"/>
    </row>
    <row r="2102" spans="1:1" x14ac:dyDescent="0.25">
      <c r="A2102" s="5"/>
    </row>
    <row r="2103" spans="1:1" x14ac:dyDescent="0.25">
      <c r="A2103" s="5"/>
    </row>
    <row r="2104" spans="1:1" x14ac:dyDescent="0.25">
      <c r="A2104" s="5"/>
    </row>
    <row r="2105" spans="1:1" x14ac:dyDescent="0.25">
      <c r="A2105" s="5"/>
    </row>
    <row r="2106" spans="1:1" x14ac:dyDescent="0.25">
      <c r="A2106" s="5"/>
    </row>
    <row r="2107" spans="1:1" x14ac:dyDescent="0.25">
      <c r="A2107" s="5"/>
    </row>
    <row r="2108" spans="1:1" x14ac:dyDescent="0.25">
      <c r="A2108" s="5"/>
    </row>
    <row r="2109" spans="1:1" x14ac:dyDescent="0.25">
      <c r="A2109" s="5"/>
    </row>
    <row r="2110" spans="1:1" x14ac:dyDescent="0.25">
      <c r="A2110" s="5"/>
    </row>
    <row r="2111" spans="1:1" x14ac:dyDescent="0.25">
      <c r="A2111" s="5"/>
    </row>
    <row r="2112" spans="1:1" x14ac:dyDescent="0.25">
      <c r="A2112" s="5"/>
    </row>
    <row r="2113" spans="1:1" x14ac:dyDescent="0.25">
      <c r="A2113" s="5"/>
    </row>
    <row r="2114" spans="1:1" x14ac:dyDescent="0.25">
      <c r="A2114" s="5"/>
    </row>
    <row r="2115" spans="1:1" x14ac:dyDescent="0.25">
      <c r="A2115" s="5"/>
    </row>
    <row r="2116" spans="1:1" x14ac:dyDescent="0.25">
      <c r="A2116" s="5"/>
    </row>
    <row r="2117" spans="1:1" x14ac:dyDescent="0.25">
      <c r="A2117" s="5"/>
    </row>
    <row r="2118" spans="1:1" x14ac:dyDescent="0.25">
      <c r="A2118" s="5"/>
    </row>
    <row r="2119" spans="1:1" x14ac:dyDescent="0.25">
      <c r="A2119" s="5"/>
    </row>
    <row r="2120" spans="1:1" x14ac:dyDescent="0.25">
      <c r="A2120" s="5"/>
    </row>
    <row r="2121" spans="1:1" x14ac:dyDescent="0.25">
      <c r="A2121" s="5"/>
    </row>
    <row r="2122" spans="1:1" x14ac:dyDescent="0.25">
      <c r="A2122" s="5"/>
    </row>
    <row r="2123" spans="1:1" x14ac:dyDescent="0.25">
      <c r="A2123" s="5"/>
    </row>
    <row r="2124" spans="1:1" x14ac:dyDescent="0.25">
      <c r="A2124" s="5"/>
    </row>
    <row r="2125" spans="1:1" x14ac:dyDescent="0.25">
      <c r="A2125" s="5"/>
    </row>
    <row r="2126" spans="1:1" x14ac:dyDescent="0.25">
      <c r="A2126" s="5"/>
    </row>
    <row r="2127" spans="1:1" x14ac:dyDescent="0.25">
      <c r="A2127" s="5"/>
    </row>
    <row r="2128" spans="1:1" x14ac:dyDescent="0.25">
      <c r="A2128" s="5"/>
    </row>
    <row r="2129" spans="1:1" x14ac:dyDescent="0.25">
      <c r="A2129" s="5"/>
    </row>
    <row r="2130" spans="1:1" x14ac:dyDescent="0.25">
      <c r="A2130" s="5"/>
    </row>
    <row r="2131" spans="1:1" x14ac:dyDescent="0.25">
      <c r="A2131" s="5"/>
    </row>
    <row r="2132" spans="1:1" x14ac:dyDescent="0.25">
      <c r="A2132" s="5"/>
    </row>
    <row r="2133" spans="1:1" x14ac:dyDescent="0.25">
      <c r="A2133" s="5"/>
    </row>
    <row r="2134" spans="1:1" x14ac:dyDescent="0.25">
      <c r="A2134" s="5"/>
    </row>
    <row r="2135" spans="1:1" x14ac:dyDescent="0.25">
      <c r="A2135" s="5"/>
    </row>
    <row r="2136" spans="1:1" x14ac:dyDescent="0.25">
      <c r="A2136" s="5"/>
    </row>
    <row r="2137" spans="1:1" x14ac:dyDescent="0.25">
      <c r="A2137" s="5"/>
    </row>
    <row r="2138" spans="1:1" x14ac:dyDescent="0.25">
      <c r="A2138" s="5"/>
    </row>
    <row r="2139" spans="1:1" x14ac:dyDescent="0.25">
      <c r="A2139" s="5"/>
    </row>
    <row r="2140" spans="1:1" x14ac:dyDescent="0.25">
      <c r="A2140" s="5"/>
    </row>
    <row r="2141" spans="1:1" x14ac:dyDescent="0.25">
      <c r="A2141" s="5"/>
    </row>
    <row r="2142" spans="1:1" x14ac:dyDescent="0.25">
      <c r="A2142" s="5"/>
    </row>
    <row r="2143" spans="1:1" x14ac:dyDescent="0.25">
      <c r="A2143" s="5"/>
    </row>
    <row r="2144" spans="1:1" x14ac:dyDescent="0.25">
      <c r="A2144" s="5"/>
    </row>
    <row r="2145" spans="1:1" x14ac:dyDescent="0.25">
      <c r="A2145" s="5"/>
    </row>
    <row r="2146" spans="1:1" x14ac:dyDescent="0.25">
      <c r="A2146" s="5"/>
    </row>
    <row r="2147" spans="1:1" x14ac:dyDescent="0.25">
      <c r="A2147" s="5"/>
    </row>
    <row r="2148" spans="1:1" x14ac:dyDescent="0.25">
      <c r="A2148" s="5"/>
    </row>
    <row r="2149" spans="1:1" x14ac:dyDescent="0.25">
      <c r="A2149" s="5"/>
    </row>
    <row r="2150" spans="1:1" x14ac:dyDescent="0.25">
      <c r="A2150" s="5"/>
    </row>
    <row r="2151" spans="1:1" x14ac:dyDescent="0.25">
      <c r="A2151" s="5"/>
    </row>
    <row r="2152" spans="1:1" x14ac:dyDescent="0.25">
      <c r="A2152" s="5"/>
    </row>
    <row r="2153" spans="1:1" x14ac:dyDescent="0.25">
      <c r="A2153" s="5"/>
    </row>
    <row r="2154" spans="1:1" x14ac:dyDescent="0.25">
      <c r="A2154" s="5"/>
    </row>
    <row r="2155" spans="1:1" x14ac:dyDescent="0.25">
      <c r="A2155" s="5"/>
    </row>
    <row r="2156" spans="1:1" x14ac:dyDescent="0.25">
      <c r="A2156" s="5"/>
    </row>
    <row r="2157" spans="1:1" x14ac:dyDescent="0.25">
      <c r="A2157" s="5"/>
    </row>
    <row r="2158" spans="1:1" x14ac:dyDescent="0.25">
      <c r="A2158" s="5"/>
    </row>
    <row r="2159" spans="1:1" x14ac:dyDescent="0.25">
      <c r="A2159" s="5"/>
    </row>
    <row r="2160" spans="1:1" x14ac:dyDescent="0.25">
      <c r="A2160" s="5"/>
    </row>
    <row r="2161" spans="1:1" x14ac:dyDescent="0.25">
      <c r="A2161" s="5"/>
    </row>
    <row r="2162" spans="1:1" x14ac:dyDescent="0.25">
      <c r="A2162" s="5"/>
    </row>
    <row r="2163" spans="1:1" x14ac:dyDescent="0.25">
      <c r="A2163" s="5"/>
    </row>
    <row r="2164" spans="1:1" x14ac:dyDescent="0.25">
      <c r="A2164" s="5"/>
    </row>
    <row r="2165" spans="1:1" x14ac:dyDescent="0.25">
      <c r="A2165" s="5"/>
    </row>
    <row r="2166" spans="1:1" x14ac:dyDescent="0.25">
      <c r="A2166" s="5"/>
    </row>
    <row r="2167" spans="1:1" x14ac:dyDescent="0.25">
      <c r="A2167" s="5"/>
    </row>
    <row r="2168" spans="1:1" x14ac:dyDescent="0.25">
      <c r="A2168" s="5"/>
    </row>
    <row r="2169" spans="1:1" x14ac:dyDescent="0.25">
      <c r="A2169" s="5"/>
    </row>
    <row r="2170" spans="1:1" x14ac:dyDescent="0.25">
      <c r="A2170" s="5"/>
    </row>
    <row r="2171" spans="1:1" x14ac:dyDescent="0.25">
      <c r="A2171" s="5"/>
    </row>
    <row r="2172" spans="1:1" x14ac:dyDescent="0.25">
      <c r="A2172" s="5"/>
    </row>
    <row r="2173" spans="1:1" x14ac:dyDescent="0.25">
      <c r="A2173" s="5"/>
    </row>
    <row r="2174" spans="1:1" x14ac:dyDescent="0.25">
      <c r="A2174" s="5"/>
    </row>
    <row r="2175" spans="1:1" x14ac:dyDescent="0.25">
      <c r="A2175" s="5"/>
    </row>
    <row r="2176" spans="1:1" x14ac:dyDescent="0.25">
      <c r="A2176" s="5"/>
    </row>
    <row r="2177" spans="1:1" x14ac:dyDescent="0.25">
      <c r="A2177" s="5"/>
    </row>
    <row r="2178" spans="1:1" x14ac:dyDescent="0.25">
      <c r="A2178" s="5"/>
    </row>
    <row r="2179" spans="1:1" x14ac:dyDescent="0.25">
      <c r="A2179" s="5"/>
    </row>
    <row r="2180" spans="1:1" x14ac:dyDescent="0.25">
      <c r="A2180" s="5"/>
    </row>
    <row r="2181" spans="1:1" x14ac:dyDescent="0.25">
      <c r="A2181" s="5"/>
    </row>
    <row r="2182" spans="1:1" x14ac:dyDescent="0.25">
      <c r="A2182" s="5"/>
    </row>
    <row r="2183" spans="1:1" x14ac:dyDescent="0.25">
      <c r="A2183" s="5"/>
    </row>
    <row r="2184" spans="1:1" x14ac:dyDescent="0.25">
      <c r="A2184" s="5"/>
    </row>
    <row r="2185" spans="1:1" x14ac:dyDescent="0.25">
      <c r="A2185" s="5"/>
    </row>
    <row r="2186" spans="1:1" x14ac:dyDescent="0.25">
      <c r="A2186" s="5"/>
    </row>
    <row r="2187" spans="1:1" x14ac:dyDescent="0.25">
      <c r="A2187" s="5"/>
    </row>
    <row r="2188" spans="1:1" x14ac:dyDescent="0.25">
      <c r="A2188" s="5"/>
    </row>
    <row r="2189" spans="1:1" x14ac:dyDescent="0.25">
      <c r="A2189" s="5"/>
    </row>
    <row r="2190" spans="1:1" x14ac:dyDescent="0.25">
      <c r="A2190" s="5"/>
    </row>
    <row r="2191" spans="1:1" x14ac:dyDescent="0.25">
      <c r="A2191" s="5"/>
    </row>
    <row r="2192" spans="1:1" x14ac:dyDescent="0.25">
      <c r="A2192" s="5"/>
    </row>
    <row r="2193" spans="1:1" x14ac:dyDescent="0.25">
      <c r="A2193" s="5"/>
    </row>
    <row r="2194" spans="1:1" x14ac:dyDescent="0.25">
      <c r="A2194" s="5"/>
    </row>
    <row r="2195" spans="1:1" x14ac:dyDescent="0.25">
      <c r="A2195" s="5"/>
    </row>
    <row r="2196" spans="1:1" x14ac:dyDescent="0.25">
      <c r="A2196" s="5"/>
    </row>
    <row r="2197" spans="1:1" x14ac:dyDescent="0.25">
      <c r="A2197" s="5"/>
    </row>
    <row r="2198" spans="1:1" x14ac:dyDescent="0.25">
      <c r="A2198" s="5"/>
    </row>
    <row r="2199" spans="1:1" x14ac:dyDescent="0.25">
      <c r="A2199" s="5"/>
    </row>
    <row r="2200" spans="1:1" x14ac:dyDescent="0.25">
      <c r="A2200" s="5"/>
    </row>
    <row r="2201" spans="1:1" x14ac:dyDescent="0.25">
      <c r="A2201" s="5"/>
    </row>
    <row r="2202" spans="1:1" x14ac:dyDescent="0.25">
      <c r="A2202" s="5"/>
    </row>
    <row r="2203" spans="1:1" x14ac:dyDescent="0.25">
      <c r="A2203" s="5"/>
    </row>
    <row r="2204" spans="1:1" x14ac:dyDescent="0.25">
      <c r="A2204" s="5"/>
    </row>
    <row r="2205" spans="1:1" x14ac:dyDescent="0.25">
      <c r="A2205" s="5"/>
    </row>
    <row r="2206" spans="1:1" x14ac:dyDescent="0.25">
      <c r="A2206" s="5"/>
    </row>
    <row r="2207" spans="1:1" x14ac:dyDescent="0.25">
      <c r="A2207" s="5"/>
    </row>
    <row r="2208" spans="1:1" x14ac:dyDescent="0.25">
      <c r="A2208" s="5"/>
    </row>
    <row r="2209" spans="1:1" x14ac:dyDescent="0.25">
      <c r="A2209" s="5"/>
    </row>
    <row r="2210" spans="1:1" x14ac:dyDescent="0.25">
      <c r="A2210" s="5"/>
    </row>
    <row r="2211" spans="1:1" x14ac:dyDescent="0.25">
      <c r="A2211" s="5"/>
    </row>
    <row r="2212" spans="1:1" x14ac:dyDescent="0.25">
      <c r="A2212" s="5"/>
    </row>
    <row r="2213" spans="1:1" x14ac:dyDescent="0.25">
      <c r="A2213" s="5"/>
    </row>
    <row r="2214" spans="1:1" x14ac:dyDescent="0.25">
      <c r="A2214" s="5"/>
    </row>
    <row r="2215" spans="1:1" x14ac:dyDescent="0.25">
      <c r="A2215" s="5"/>
    </row>
    <row r="2216" spans="1:1" x14ac:dyDescent="0.25">
      <c r="A2216" s="5"/>
    </row>
    <row r="2217" spans="1:1" x14ac:dyDescent="0.25">
      <c r="A2217" s="5"/>
    </row>
    <row r="2218" spans="1:1" x14ac:dyDescent="0.25">
      <c r="A2218" s="5"/>
    </row>
    <row r="2219" spans="1:1" x14ac:dyDescent="0.25">
      <c r="A2219" s="5"/>
    </row>
    <row r="2220" spans="1:1" x14ac:dyDescent="0.25">
      <c r="A2220" s="5"/>
    </row>
    <row r="2221" spans="1:1" x14ac:dyDescent="0.25">
      <c r="A2221" s="5"/>
    </row>
    <row r="2222" spans="1:1" x14ac:dyDescent="0.25">
      <c r="A2222" s="5"/>
    </row>
    <row r="2223" spans="1:1" x14ac:dyDescent="0.25">
      <c r="A2223" s="5"/>
    </row>
    <row r="2224" spans="1:1" x14ac:dyDescent="0.25">
      <c r="A2224" s="5"/>
    </row>
    <row r="2225" spans="1:1" x14ac:dyDescent="0.25">
      <c r="A2225" s="5"/>
    </row>
    <row r="2226" spans="1:1" x14ac:dyDescent="0.25">
      <c r="A2226" s="5"/>
    </row>
    <row r="2227" spans="1:1" x14ac:dyDescent="0.25">
      <c r="A2227" s="5"/>
    </row>
    <row r="2228" spans="1:1" x14ac:dyDescent="0.25">
      <c r="A2228" s="5"/>
    </row>
    <row r="2229" spans="1:1" x14ac:dyDescent="0.25">
      <c r="A2229" s="5"/>
    </row>
    <row r="2230" spans="1:1" x14ac:dyDescent="0.25">
      <c r="A2230" s="5"/>
    </row>
    <row r="2231" spans="1:1" x14ac:dyDescent="0.25">
      <c r="A2231" s="5"/>
    </row>
    <row r="2232" spans="1:1" x14ac:dyDescent="0.25">
      <c r="A2232" s="5"/>
    </row>
    <row r="2233" spans="1:1" x14ac:dyDescent="0.25">
      <c r="A2233" s="5"/>
    </row>
    <row r="2234" spans="1:1" x14ac:dyDescent="0.25">
      <c r="A2234" s="5"/>
    </row>
    <row r="2235" spans="1:1" x14ac:dyDescent="0.25">
      <c r="A2235" s="5"/>
    </row>
    <row r="2236" spans="1:1" x14ac:dyDescent="0.25">
      <c r="A2236" s="5"/>
    </row>
    <row r="2237" spans="1:1" x14ac:dyDescent="0.25">
      <c r="A2237" s="5"/>
    </row>
    <row r="2238" spans="1:1" x14ac:dyDescent="0.25">
      <c r="A2238" s="5"/>
    </row>
    <row r="2239" spans="1:1" x14ac:dyDescent="0.25">
      <c r="A2239" s="5"/>
    </row>
    <row r="2240" spans="1:1" x14ac:dyDescent="0.25">
      <c r="A2240" s="5"/>
    </row>
    <row r="2241" spans="1:1" x14ac:dyDescent="0.25">
      <c r="A2241" s="5"/>
    </row>
    <row r="2242" spans="1:1" x14ac:dyDescent="0.25">
      <c r="A2242" s="5"/>
    </row>
    <row r="2243" spans="1:1" x14ac:dyDescent="0.25">
      <c r="A2243" s="5"/>
    </row>
    <row r="2244" spans="1:1" x14ac:dyDescent="0.25">
      <c r="A2244" s="5"/>
    </row>
    <row r="2245" spans="1:1" x14ac:dyDescent="0.25">
      <c r="A2245" s="5"/>
    </row>
    <row r="2246" spans="1:1" x14ac:dyDescent="0.25">
      <c r="A2246" s="5"/>
    </row>
    <row r="2247" spans="1:1" x14ac:dyDescent="0.25">
      <c r="A2247" s="5"/>
    </row>
    <row r="2248" spans="1:1" x14ac:dyDescent="0.25">
      <c r="A2248" s="5"/>
    </row>
    <row r="2249" spans="1:1" x14ac:dyDescent="0.25">
      <c r="A2249" s="5"/>
    </row>
    <row r="2250" spans="1:1" x14ac:dyDescent="0.25">
      <c r="A2250" s="5"/>
    </row>
    <row r="2251" spans="1:1" x14ac:dyDescent="0.25">
      <c r="A2251" s="5"/>
    </row>
    <row r="2252" spans="1:1" x14ac:dyDescent="0.25">
      <c r="A2252" s="5"/>
    </row>
    <row r="2253" spans="1:1" x14ac:dyDescent="0.25">
      <c r="A2253" s="5"/>
    </row>
    <row r="2254" spans="1:1" x14ac:dyDescent="0.25">
      <c r="A2254" s="5"/>
    </row>
    <row r="2255" spans="1:1" x14ac:dyDescent="0.25">
      <c r="A2255" s="5"/>
    </row>
    <row r="2256" spans="1:1" x14ac:dyDescent="0.25">
      <c r="A2256" s="5"/>
    </row>
    <row r="2257" spans="1:1" x14ac:dyDescent="0.25">
      <c r="A2257" s="5"/>
    </row>
    <row r="2258" spans="1:1" x14ac:dyDescent="0.25">
      <c r="A2258" s="5"/>
    </row>
    <row r="2259" spans="1:1" x14ac:dyDescent="0.25">
      <c r="A2259" s="5"/>
    </row>
    <row r="2260" spans="1:1" x14ac:dyDescent="0.25">
      <c r="A2260" s="5"/>
    </row>
    <row r="2261" spans="1:1" x14ac:dyDescent="0.25">
      <c r="A2261" s="5"/>
    </row>
    <row r="2262" spans="1:1" x14ac:dyDescent="0.25">
      <c r="A2262" s="5"/>
    </row>
    <row r="2263" spans="1:1" x14ac:dyDescent="0.25">
      <c r="A2263" s="5"/>
    </row>
    <row r="2264" spans="1:1" x14ac:dyDescent="0.25">
      <c r="A2264" s="5"/>
    </row>
    <row r="2265" spans="1:1" x14ac:dyDescent="0.25">
      <c r="A2265" s="5"/>
    </row>
    <row r="2266" spans="1:1" x14ac:dyDescent="0.25">
      <c r="A2266" s="5"/>
    </row>
    <row r="2267" spans="1:1" x14ac:dyDescent="0.25">
      <c r="A2267" s="5"/>
    </row>
    <row r="2268" spans="1:1" x14ac:dyDescent="0.25">
      <c r="A2268" s="5"/>
    </row>
    <row r="2269" spans="1:1" x14ac:dyDescent="0.25">
      <c r="A2269" s="5"/>
    </row>
    <row r="2270" spans="1:1" x14ac:dyDescent="0.25">
      <c r="A2270" s="5"/>
    </row>
    <row r="2271" spans="1:1" x14ac:dyDescent="0.25">
      <c r="A2271" s="5"/>
    </row>
    <row r="2272" spans="1:1" x14ac:dyDescent="0.25">
      <c r="A2272" s="5"/>
    </row>
    <row r="2273" spans="1:1" x14ac:dyDescent="0.25">
      <c r="A2273" s="5"/>
    </row>
    <row r="2274" spans="1:1" x14ac:dyDescent="0.25">
      <c r="A2274" s="5"/>
    </row>
    <row r="2275" spans="1:1" x14ac:dyDescent="0.25">
      <c r="A2275" s="5"/>
    </row>
    <row r="2276" spans="1:1" x14ac:dyDescent="0.25">
      <c r="A2276" s="5"/>
    </row>
    <row r="2277" spans="1:1" x14ac:dyDescent="0.25">
      <c r="A2277" s="5"/>
    </row>
    <row r="2278" spans="1:1" x14ac:dyDescent="0.25">
      <c r="A2278" s="5"/>
    </row>
    <row r="2279" spans="1:1" x14ac:dyDescent="0.25">
      <c r="A2279" s="5"/>
    </row>
    <row r="2280" spans="1:1" x14ac:dyDescent="0.25">
      <c r="A2280" s="5"/>
    </row>
    <row r="2281" spans="1:1" x14ac:dyDescent="0.25">
      <c r="A2281" s="5"/>
    </row>
    <row r="2282" spans="1:1" x14ac:dyDescent="0.25">
      <c r="A2282" s="5"/>
    </row>
    <row r="2283" spans="1:1" x14ac:dyDescent="0.25">
      <c r="A2283" s="5"/>
    </row>
    <row r="2284" spans="1:1" x14ac:dyDescent="0.25">
      <c r="A2284" s="5"/>
    </row>
    <row r="2285" spans="1:1" x14ac:dyDescent="0.25">
      <c r="A2285" s="5"/>
    </row>
    <row r="2286" spans="1:1" x14ac:dyDescent="0.25">
      <c r="A2286" s="5"/>
    </row>
    <row r="2287" spans="1:1" x14ac:dyDescent="0.25">
      <c r="A2287" s="5"/>
    </row>
    <row r="2288" spans="1:1" x14ac:dyDescent="0.25">
      <c r="A2288" s="5"/>
    </row>
    <row r="2289" spans="1:1" x14ac:dyDescent="0.25">
      <c r="A2289" s="5"/>
    </row>
    <row r="2290" spans="1:1" x14ac:dyDescent="0.25">
      <c r="A2290" s="5"/>
    </row>
    <row r="2291" spans="1:1" x14ac:dyDescent="0.25">
      <c r="A2291" s="5"/>
    </row>
    <row r="2292" spans="1:1" x14ac:dyDescent="0.25">
      <c r="A2292" s="5"/>
    </row>
    <row r="2293" spans="1:1" x14ac:dyDescent="0.25">
      <c r="A2293" s="5"/>
    </row>
    <row r="2294" spans="1:1" x14ac:dyDescent="0.25">
      <c r="A2294" s="5"/>
    </row>
    <row r="2295" spans="1:1" x14ac:dyDescent="0.25">
      <c r="A2295" s="5"/>
    </row>
    <row r="2296" spans="1:1" x14ac:dyDescent="0.25">
      <c r="A2296" s="5"/>
    </row>
    <row r="2297" spans="1:1" x14ac:dyDescent="0.25">
      <c r="A2297" s="5"/>
    </row>
    <row r="2298" spans="1:1" x14ac:dyDescent="0.25">
      <c r="A2298" s="5"/>
    </row>
    <row r="2299" spans="1:1" x14ac:dyDescent="0.25">
      <c r="A2299" s="5"/>
    </row>
    <row r="2300" spans="1:1" x14ac:dyDescent="0.25">
      <c r="A2300" s="5"/>
    </row>
    <row r="2301" spans="1:1" x14ac:dyDescent="0.25">
      <c r="A2301" s="5"/>
    </row>
    <row r="2302" spans="1:1" x14ac:dyDescent="0.25">
      <c r="A2302" s="5"/>
    </row>
    <row r="2303" spans="1:1" x14ac:dyDescent="0.25">
      <c r="A2303" s="5"/>
    </row>
    <row r="2304" spans="1:1" x14ac:dyDescent="0.25">
      <c r="A2304" s="5"/>
    </row>
    <row r="2305" spans="1:1" x14ac:dyDescent="0.25">
      <c r="A2305" s="5"/>
    </row>
    <row r="2306" spans="1:1" x14ac:dyDescent="0.25">
      <c r="A2306" s="5"/>
    </row>
    <row r="2307" spans="1:1" x14ac:dyDescent="0.25">
      <c r="A2307" s="5"/>
    </row>
    <row r="2308" spans="1:1" x14ac:dyDescent="0.25">
      <c r="A2308" s="5"/>
    </row>
    <row r="2309" spans="1:1" x14ac:dyDescent="0.25">
      <c r="A2309" s="5"/>
    </row>
    <row r="2310" spans="1:1" x14ac:dyDescent="0.25">
      <c r="A2310" s="5"/>
    </row>
    <row r="2311" spans="1:1" x14ac:dyDescent="0.25">
      <c r="A2311" s="5"/>
    </row>
    <row r="2312" spans="1:1" x14ac:dyDescent="0.25">
      <c r="A2312" s="5"/>
    </row>
    <row r="2313" spans="1:1" x14ac:dyDescent="0.25">
      <c r="A2313" s="5"/>
    </row>
    <row r="2314" spans="1:1" x14ac:dyDescent="0.25">
      <c r="A2314" s="5"/>
    </row>
    <row r="2315" spans="1:1" x14ac:dyDescent="0.25">
      <c r="A2315" s="5"/>
    </row>
    <row r="2316" spans="1:1" x14ac:dyDescent="0.25">
      <c r="A2316" s="5"/>
    </row>
    <row r="2317" spans="1:1" x14ac:dyDescent="0.25">
      <c r="A2317" s="5"/>
    </row>
    <row r="2318" spans="1:1" x14ac:dyDescent="0.25">
      <c r="A2318" s="5"/>
    </row>
    <row r="2319" spans="1:1" x14ac:dyDescent="0.25">
      <c r="A2319" s="5"/>
    </row>
    <row r="2320" spans="1:1" x14ac:dyDescent="0.25">
      <c r="A2320" s="5"/>
    </row>
    <row r="2321" spans="1:1" x14ac:dyDescent="0.25">
      <c r="A2321" s="5"/>
    </row>
    <row r="2322" spans="1:1" x14ac:dyDescent="0.25">
      <c r="A2322" s="5"/>
    </row>
    <row r="2323" spans="1:1" x14ac:dyDescent="0.25">
      <c r="A2323" s="5"/>
    </row>
    <row r="2324" spans="1:1" x14ac:dyDescent="0.25">
      <c r="A2324" s="5"/>
    </row>
    <row r="2325" spans="1:1" x14ac:dyDescent="0.25">
      <c r="A2325" s="5"/>
    </row>
    <row r="2326" spans="1:1" x14ac:dyDescent="0.25">
      <c r="A2326" s="5"/>
    </row>
    <row r="2327" spans="1:1" x14ac:dyDescent="0.25">
      <c r="A2327" s="5"/>
    </row>
    <row r="2328" spans="1:1" x14ac:dyDescent="0.25">
      <c r="A2328" s="5"/>
    </row>
    <row r="2329" spans="1:1" x14ac:dyDescent="0.25">
      <c r="A2329" s="5"/>
    </row>
    <row r="2330" spans="1:1" x14ac:dyDescent="0.25">
      <c r="A2330" s="5"/>
    </row>
    <row r="2331" spans="1:1" x14ac:dyDescent="0.25">
      <c r="A2331" s="5"/>
    </row>
    <row r="2332" spans="1:1" x14ac:dyDescent="0.25">
      <c r="A2332" s="5"/>
    </row>
    <row r="2333" spans="1:1" x14ac:dyDescent="0.25">
      <c r="A2333" s="5"/>
    </row>
    <row r="2334" spans="1:1" x14ac:dyDescent="0.25">
      <c r="A2334" s="5"/>
    </row>
    <row r="2335" spans="1:1" x14ac:dyDescent="0.25">
      <c r="A2335" s="5"/>
    </row>
    <row r="2336" spans="1:1" x14ac:dyDescent="0.25">
      <c r="A2336" s="5"/>
    </row>
    <row r="2337" spans="1:1" x14ac:dyDescent="0.25">
      <c r="A2337" s="5"/>
    </row>
    <row r="2338" spans="1:1" x14ac:dyDescent="0.25">
      <c r="A2338" s="5"/>
    </row>
    <row r="2339" spans="1:1" x14ac:dyDescent="0.25">
      <c r="A2339" s="5"/>
    </row>
    <row r="2340" spans="1:1" x14ac:dyDescent="0.25">
      <c r="A2340" s="5"/>
    </row>
    <row r="2341" spans="1:1" x14ac:dyDescent="0.25">
      <c r="A2341" s="5"/>
    </row>
    <row r="2342" spans="1:1" x14ac:dyDescent="0.25">
      <c r="A2342" s="5"/>
    </row>
    <row r="2343" spans="1:1" x14ac:dyDescent="0.25">
      <c r="A2343" s="5"/>
    </row>
    <row r="2344" spans="1:1" x14ac:dyDescent="0.25">
      <c r="A2344" s="5"/>
    </row>
    <row r="2345" spans="1:1" x14ac:dyDescent="0.25">
      <c r="A2345" s="5"/>
    </row>
    <row r="2346" spans="1:1" x14ac:dyDescent="0.25">
      <c r="A2346" s="5"/>
    </row>
    <row r="2347" spans="1:1" x14ac:dyDescent="0.25">
      <c r="A2347" s="5"/>
    </row>
    <row r="2348" spans="1:1" x14ac:dyDescent="0.25">
      <c r="A2348" s="5"/>
    </row>
    <row r="2349" spans="1:1" x14ac:dyDescent="0.25">
      <c r="A2349" s="5"/>
    </row>
    <row r="2350" spans="1:1" x14ac:dyDescent="0.25">
      <c r="A2350" s="5"/>
    </row>
    <row r="2351" spans="1:1" x14ac:dyDescent="0.25">
      <c r="A2351" s="5"/>
    </row>
    <row r="2352" spans="1:1" x14ac:dyDescent="0.25">
      <c r="A2352" s="5"/>
    </row>
    <row r="2353" spans="1:1" x14ac:dyDescent="0.25">
      <c r="A2353" s="5"/>
    </row>
    <row r="2354" spans="1:1" x14ac:dyDescent="0.25">
      <c r="A2354" s="5"/>
    </row>
    <row r="2355" spans="1:1" x14ac:dyDescent="0.25">
      <c r="A2355" s="5"/>
    </row>
    <row r="2356" spans="1:1" x14ac:dyDescent="0.25">
      <c r="A2356" s="5"/>
    </row>
    <row r="2357" spans="1:1" x14ac:dyDescent="0.25">
      <c r="A2357" s="5"/>
    </row>
    <row r="2358" spans="1:1" x14ac:dyDescent="0.25">
      <c r="A2358" s="5"/>
    </row>
    <row r="2359" spans="1:1" x14ac:dyDescent="0.25">
      <c r="A2359" s="5"/>
    </row>
    <row r="2360" spans="1:1" x14ac:dyDescent="0.25">
      <c r="A2360" s="5"/>
    </row>
    <row r="2361" spans="1:1" x14ac:dyDescent="0.25">
      <c r="A2361" s="5"/>
    </row>
    <row r="2362" spans="1:1" x14ac:dyDescent="0.25">
      <c r="A2362" s="5"/>
    </row>
    <row r="2363" spans="1:1" x14ac:dyDescent="0.25">
      <c r="A2363" s="5"/>
    </row>
    <row r="2364" spans="1:1" x14ac:dyDescent="0.25">
      <c r="A2364" s="5"/>
    </row>
    <row r="2365" spans="1:1" x14ac:dyDescent="0.25">
      <c r="A2365" s="5"/>
    </row>
    <row r="2366" spans="1:1" x14ac:dyDescent="0.25">
      <c r="A2366" s="5"/>
    </row>
    <row r="2367" spans="1:1" x14ac:dyDescent="0.25">
      <c r="A2367" s="5"/>
    </row>
    <row r="2368" spans="1:1" x14ac:dyDescent="0.25">
      <c r="A2368" s="5"/>
    </row>
    <row r="2369" spans="1:1" x14ac:dyDescent="0.25">
      <c r="A2369" s="5"/>
    </row>
    <row r="2370" spans="1:1" x14ac:dyDescent="0.25">
      <c r="A2370" s="5"/>
    </row>
    <row r="2371" spans="1:1" x14ac:dyDescent="0.25">
      <c r="A2371" s="5"/>
    </row>
    <row r="2372" spans="1:1" x14ac:dyDescent="0.25">
      <c r="A2372" s="5"/>
    </row>
    <row r="2373" spans="1:1" x14ac:dyDescent="0.25">
      <c r="A2373" s="5"/>
    </row>
    <row r="2374" spans="1:1" x14ac:dyDescent="0.25">
      <c r="A2374" s="5"/>
    </row>
    <row r="2375" spans="1:1" x14ac:dyDescent="0.25">
      <c r="A2375" s="5"/>
    </row>
    <row r="2376" spans="1:1" x14ac:dyDescent="0.25">
      <c r="A2376" s="5"/>
    </row>
    <row r="2377" spans="1:1" x14ac:dyDescent="0.25">
      <c r="A2377" s="5"/>
    </row>
    <row r="2378" spans="1:1" x14ac:dyDescent="0.25">
      <c r="A2378" s="5"/>
    </row>
    <row r="2379" spans="1:1" x14ac:dyDescent="0.25">
      <c r="A2379" s="5"/>
    </row>
    <row r="2380" spans="1:1" x14ac:dyDescent="0.25">
      <c r="A2380" s="5"/>
    </row>
    <row r="2381" spans="1:1" x14ac:dyDescent="0.25">
      <c r="A2381" s="5"/>
    </row>
    <row r="2382" spans="1:1" x14ac:dyDescent="0.25">
      <c r="A2382" s="5"/>
    </row>
    <row r="2383" spans="1:1" x14ac:dyDescent="0.25">
      <c r="A2383" s="5"/>
    </row>
    <row r="2384" spans="1:1" x14ac:dyDescent="0.25">
      <c r="A2384" s="5"/>
    </row>
    <row r="2385" spans="1:1" x14ac:dyDescent="0.25">
      <c r="A2385" s="5"/>
    </row>
    <row r="2386" spans="1:1" x14ac:dyDescent="0.25">
      <c r="A2386" s="5"/>
    </row>
    <row r="2387" spans="1:1" x14ac:dyDescent="0.25">
      <c r="A2387" s="5"/>
    </row>
    <row r="2388" spans="1:1" x14ac:dyDescent="0.25">
      <c r="A2388" s="5"/>
    </row>
    <row r="2389" spans="1:1" x14ac:dyDescent="0.25">
      <c r="A2389" s="5"/>
    </row>
    <row r="2390" spans="1:1" x14ac:dyDescent="0.25">
      <c r="A2390" s="5"/>
    </row>
    <row r="2391" spans="1:1" x14ac:dyDescent="0.25">
      <c r="A2391" s="5"/>
    </row>
    <row r="2392" spans="1:1" x14ac:dyDescent="0.25">
      <c r="A2392" s="5"/>
    </row>
    <row r="2393" spans="1:1" x14ac:dyDescent="0.25">
      <c r="A2393" s="5"/>
    </row>
    <row r="2394" spans="1:1" x14ac:dyDescent="0.25">
      <c r="A2394" s="5"/>
    </row>
    <row r="2395" spans="1:1" x14ac:dyDescent="0.25">
      <c r="A2395" s="5"/>
    </row>
    <row r="2396" spans="1:1" x14ac:dyDescent="0.25">
      <c r="A2396" s="5"/>
    </row>
    <row r="2397" spans="1:1" x14ac:dyDescent="0.25">
      <c r="A2397" s="5"/>
    </row>
    <row r="2398" spans="1:1" x14ac:dyDescent="0.25">
      <c r="A2398" s="5"/>
    </row>
    <row r="2399" spans="1:1" x14ac:dyDescent="0.25">
      <c r="A2399" s="5"/>
    </row>
    <row r="2400" spans="1:1" x14ac:dyDescent="0.25">
      <c r="A2400" s="5"/>
    </row>
    <row r="2401" spans="1:1" x14ac:dyDescent="0.25">
      <c r="A2401" s="5"/>
    </row>
    <row r="2402" spans="1:1" x14ac:dyDescent="0.25">
      <c r="A2402" s="5"/>
    </row>
    <row r="2403" spans="1:1" x14ac:dyDescent="0.25">
      <c r="A2403" s="5"/>
    </row>
    <row r="2404" spans="1:1" x14ac:dyDescent="0.25">
      <c r="A2404" s="5"/>
    </row>
    <row r="2405" spans="1:1" x14ac:dyDescent="0.25">
      <c r="A2405" s="5"/>
    </row>
    <row r="2406" spans="1:1" x14ac:dyDescent="0.25">
      <c r="A2406" s="5"/>
    </row>
    <row r="2407" spans="1:1" x14ac:dyDescent="0.25">
      <c r="A2407" s="5"/>
    </row>
    <row r="2408" spans="1:1" x14ac:dyDescent="0.25">
      <c r="A2408" s="5"/>
    </row>
    <row r="2409" spans="1:1" x14ac:dyDescent="0.25">
      <c r="A2409" s="5"/>
    </row>
    <row r="2410" spans="1:1" x14ac:dyDescent="0.25">
      <c r="A2410" s="5"/>
    </row>
    <row r="2411" spans="1:1" x14ac:dyDescent="0.25">
      <c r="A2411" s="5"/>
    </row>
    <row r="2412" spans="1:1" x14ac:dyDescent="0.25">
      <c r="A2412" s="5"/>
    </row>
    <row r="2413" spans="1:1" x14ac:dyDescent="0.25">
      <c r="A2413" s="5"/>
    </row>
    <row r="2414" spans="1:1" x14ac:dyDescent="0.25">
      <c r="A2414" s="5"/>
    </row>
    <row r="2415" spans="1:1" x14ac:dyDescent="0.25">
      <c r="A2415" s="5"/>
    </row>
    <row r="2416" spans="1:1" x14ac:dyDescent="0.25">
      <c r="A2416" s="5"/>
    </row>
    <row r="2417" spans="1:1" x14ac:dyDescent="0.25">
      <c r="A2417" s="5"/>
    </row>
    <row r="2418" spans="1:1" x14ac:dyDescent="0.25">
      <c r="A2418" s="5"/>
    </row>
    <row r="2419" spans="1:1" x14ac:dyDescent="0.25">
      <c r="A2419" s="5"/>
    </row>
    <row r="2420" spans="1:1" x14ac:dyDescent="0.25">
      <c r="A2420" s="5"/>
    </row>
    <row r="2421" spans="1:1" x14ac:dyDescent="0.25">
      <c r="A2421" s="5"/>
    </row>
    <row r="2422" spans="1:1" x14ac:dyDescent="0.25">
      <c r="A2422" s="5"/>
    </row>
    <row r="2423" spans="1:1" x14ac:dyDescent="0.25">
      <c r="A2423" s="5"/>
    </row>
    <row r="2424" spans="1:1" x14ac:dyDescent="0.25">
      <c r="A2424" s="5"/>
    </row>
    <row r="2425" spans="1:1" x14ac:dyDescent="0.25">
      <c r="A2425" s="5"/>
    </row>
    <row r="2426" spans="1:1" x14ac:dyDescent="0.25">
      <c r="A2426" s="5"/>
    </row>
    <row r="2427" spans="1:1" x14ac:dyDescent="0.25">
      <c r="A2427" s="5"/>
    </row>
    <row r="2428" spans="1:1" x14ac:dyDescent="0.25">
      <c r="A2428" s="5"/>
    </row>
    <row r="2429" spans="1:1" x14ac:dyDescent="0.25">
      <c r="A2429" s="5"/>
    </row>
    <row r="2430" spans="1:1" x14ac:dyDescent="0.25">
      <c r="A2430" s="5"/>
    </row>
    <row r="2431" spans="1:1" x14ac:dyDescent="0.25">
      <c r="A2431" s="5"/>
    </row>
    <row r="2432" spans="1:1" x14ac:dyDescent="0.25">
      <c r="A2432" s="5"/>
    </row>
    <row r="2433" spans="1:1" x14ac:dyDescent="0.25">
      <c r="A2433" s="5"/>
    </row>
    <row r="2434" spans="1:1" x14ac:dyDescent="0.25">
      <c r="A2434" s="5"/>
    </row>
    <row r="2435" spans="1:1" x14ac:dyDescent="0.25">
      <c r="A2435" s="5"/>
    </row>
    <row r="2436" spans="1:1" x14ac:dyDescent="0.25">
      <c r="A2436" s="5"/>
    </row>
    <row r="2437" spans="1:1" x14ac:dyDescent="0.25">
      <c r="A2437" s="5"/>
    </row>
    <row r="2438" spans="1:1" x14ac:dyDescent="0.25">
      <c r="A2438" s="5"/>
    </row>
    <row r="2439" spans="1:1" x14ac:dyDescent="0.25">
      <c r="A2439" s="5"/>
    </row>
    <row r="2440" spans="1:1" x14ac:dyDescent="0.25">
      <c r="A2440" s="5"/>
    </row>
    <row r="2441" spans="1:1" x14ac:dyDescent="0.25">
      <c r="A2441" s="5"/>
    </row>
    <row r="2442" spans="1:1" x14ac:dyDescent="0.25">
      <c r="A2442" s="5"/>
    </row>
    <row r="2443" spans="1:1" x14ac:dyDescent="0.25">
      <c r="A2443" s="5"/>
    </row>
    <row r="2444" spans="1:1" x14ac:dyDescent="0.25">
      <c r="A2444" s="5"/>
    </row>
    <row r="2445" spans="1:1" x14ac:dyDescent="0.25">
      <c r="A2445" s="5"/>
    </row>
    <row r="2446" spans="1:1" x14ac:dyDescent="0.25">
      <c r="A2446" s="5"/>
    </row>
    <row r="2447" spans="1:1" x14ac:dyDescent="0.25">
      <c r="A2447" s="5"/>
    </row>
    <row r="2448" spans="1:1" x14ac:dyDescent="0.25">
      <c r="A2448" s="5"/>
    </row>
    <row r="2449" spans="1:1" x14ac:dyDescent="0.25">
      <c r="A2449" s="5"/>
    </row>
    <row r="2450" spans="1:1" x14ac:dyDescent="0.25">
      <c r="A2450" s="5"/>
    </row>
    <row r="2451" spans="1:1" x14ac:dyDescent="0.25">
      <c r="A2451" s="5"/>
    </row>
    <row r="2452" spans="1:1" x14ac:dyDescent="0.25">
      <c r="A2452" s="5"/>
    </row>
    <row r="2453" spans="1:1" x14ac:dyDescent="0.25">
      <c r="A2453" s="5"/>
    </row>
    <row r="2454" spans="1:1" x14ac:dyDescent="0.25">
      <c r="A2454" s="5"/>
    </row>
    <row r="2455" spans="1:1" x14ac:dyDescent="0.25">
      <c r="A2455" s="5"/>
    </row>
    <row r="2456" spans="1:1" x14ac:dyDescent="0.25">
      <c r="A2456" s="5"/>
    </row>
    <row r="2457" spans="1:1" x14ac:dyDescent="0.25">
      <c r="A2457" s="5"/>
    </row>
    <row r="2458" spans="1:1" x14ac:dyDescent="0.25">
      <c r="A2458" s="5"/>
    </row>
    <row r="2459" spans="1:1" x14ac:dyDescent="0.25">
      <c r="A2459" s="5"/>
    </row>
    <row r="2460" spans="1:1" x14ac:dyDescent="0.25">
      <c r="A2460" s="5"/>
    </row>
    <row r="2461" spans="1:1" x14ac:dyDescent="0.25">
      <c r="A2461" s="5"/>
    </row>
    <row r="2462" spans="1:1" x14ac:dyDescent="0.25">
      <c r="A2462" s="5"/>
    </row>
    <row r="2463" spans="1:1" x14ac:dyDescent="0.25">
      <c r="A2463" s="5"/>
    </row>
    <row r="2464" spans="1:1" x14ac:dyDescent="0.25">
      <c r="A2464" s="5"/>
    </row>
    <row r="2465" spans="1:1" x14ac:dyDescent="0.25">
      <c r="A2465" s="5"/>
    </row>
    <row r="2466" spans="1:1" x14ac:dyDescent="0.25">
      <c r="A2466" s="5"/>
    </row>
    <row r="2467" spans="1:1" x14ac:dyDescent="0.25">
      <c r="A2467" s="5"/>
    </row>
    <row r="2468" spans="1:1" x14ac:dyDescent="0.25">
      <c r="A2468" s="5"/>
    </row>
    <row r="2469" spans="1:1" x14ac:dyDescent="0.25">
      <c r="A2469" s="5"/>
    </row>
    <row r="2470" spans="1:1" x14ac:dyDescent="0.25">
      <c r="A2470" s="5"/>
    </row>
    <row r="2471" spans="1:1" x14ac:dyDescent="0.25">
      <c r="A2471" s="5"/>
    </row>
    <row r="2472" spans="1:1" x14ac:dyDescent="0.25">
      <c r="A2472" s="5"/>
    </row>
    <row r="2473" spans="1:1" x14ac:dyDescent="0.25">
      <c r="A2473" s="5"/>
    </row>
    <row r="2474" spans="1:1" x14ac:dyDescent="0.25">
      <c r="A2474" s="5"/>
    </row>
    <row r="2475" spans="1:1" x14ac:dyDescent="0.25">
      <c r="A2475" s="5"/>
    </row>
    <row r="2476" spans="1:1" x14ac:dyDescent="0.25">
      <c r="A2476" s="5"/>
    </row>
    <row r="2477" spans="1:1" x14ac:dyDescent="0.25">
      <c r="A2477" s="5"/>
    </row>
    <row r="2478" spans="1:1" x14ac:dyDescent="0.25">
      <c r="A2478" s="5"/>
    </row>
    <row r="2479" spans="1:1" x14ac:dyDescent="0.25">
      <c r="A2479" s="5"/>
    </row>
    <row r="2480" spans="1:1" x14ac:dyDescent="0.25">
      <c r="A2480" s="5"/>
    </row>
    <row r="2481" spans="1:1" x14ac:dyDescent="0.25">
      <c r="A2481" s="5"/>
    </row>
    <row r="2482" spans="1:1" x14ac:dyDescent="0.25">
      <c r="A2482" s="5"/>
    </row>
    <row r="2483" spans="1:1" x14ac:dyDescent="0.25">
      <c r="A2483" s="5"/>
    </row>
    <row r="2484" spans="1:1" x14ac:dyDescent="0.25">
      <c r="A2484" s="5"/>
    </row>
    <row r="2485" spans="1:1" x14ac:dyDescent="0.25">
      <c r="A2485" s="5"/>
    </row>
    <row r="2486" spans="1:1" x14ac:dyDescent="0.25">
      <c r="A2486" s="5"/>
    </row>
    <row r="2487" spans="1:1" x14ac:dyDescent="0.25">
      <c r="A2487" s="5"/>
    </row>
    <row r="2488" spans="1:1" x14ac:dyDescent="0.25">
      <c r="A2488" s="5"/>
    </row>
    <row r="2489" spans="1:1" x14ac:dyDescent="0.25">
      <c r="A2489" s="5"/>
    </row>
    <row r="2490" spans="1:1" x14ac:dyDescent="0.25">
      <c r="A2490" s="5"/>
    </row>
    <row r="2491" spans="1:1" x14ac:dyDescent="0.25">
      <c r="A2491" s="5"/>
    </row>
    <row r="2492" spans="1:1" x14ac:dyDescent="0.25">
      <c r="A2492" s="5"/>
    </row>
    <row r="2493" spans="1:1" x14ac:dyDescent="0.25">
      <c r="A2493" s="5"/>
    </row>
    <row r="2494" spans="1:1" x14ac:dyDescent="0.25">
      <c r="A2494" s="5"/>
    </row>
    <row r="2495" spans="1:1" x14ac:dyDescent="0.25">
      <c r="A2495" s="5"/>
    </row>
    <row r="2496" spans="1:1" x14ac:dyDescent="0.25">
      <c r="A2496" s="5"/>
    </row>
    <row r="2497" spans="1:1" x14ac:dyDescent="0.25">
      <c r="A2497" s="5"/>
    </row>
    <row r="2498" spans="1:1" x14ac:dyDescent="0.25">
      <c r="A2498" s="5"/>
    </row>
    <row r="2499" spans="1:1" x14ac:dyDescent="0.25">
      <c r="A2499" s="5"/>
    </row>
    <row r="2500" spans="1:1" x14ac:dyDescent="0.25">
      <c r="A2500" s="5"/>
    </row>
    <row r="2501" spans="1:1" x14ac:dyDescent="0.25">
      <c r="A2501" s="5"/>
    </row>
    <row r="2502" spans="1:1" x14ac:dyDescent="0.25">
      <c r="A2502" s="5"/>
    </row>
    <row r="2503" spans="1:1" x14ac:dyDescent="0.25">
      <c r="A2503" s="5"/>
    </row>
    <row r="2504" spans="1:1" x14ac:dyDescent="0.25">
      <c r="A2504" s="5"/>
    </row>
    <row r="2505" spans="1:1" x14ac:dyDescent="0.25">
      <c r="A2505" s="5"/>
    </row>
    <row r="2506" spans="1:1" x14ac:dyDescent="0.25">
      <c r="A2506" s="5"/>
    </row>
    <row r="2507" spans="1:1" x14ac:dyDescent="0.25">
      <c r="A2507" s="5"/>
    </row>
    <row r="2508" spans="1:1" x14ac:dyDescent="0.25">
      <c r="A2508" s="5"/>
    </row>
    <row r="2509" spans="1:1" x14ac:dyDescent="0.25">
      <c r="A2509" s="5"/>
    </row>
    <row r="2510" spans="1:1" x14ac:dyDescent="0.25">
      <c r="A2510" s="5"/>
    </row>
    <row r="2511" spans="1:1" x14ac:dyDescent="0.25">
      <c r="A2511" s="5"/>
    </row>
    <row r="2512" spans="1:1" x14ac:dyDescent="0.25">
      <c r="A2512" s="5"/>
    </row>
    <row r="2513" spans="1:1" x14ac:dyDescent="0.25">
      <c r="A2513" s="5"/>
    </row>
    <row r="2514" spans="1:1" x14ac:dyDescent="0.25">
      <c r="A2514" s="5"/>
    </row>
    <row r="2515" spans="1:1" x14ac:dyDescent="0.25">
      <c r="A2515" s="5"/>
    </row>
    <row r="2516" spans="1:1" x14ac:dyDescent="0.25">
      <c r="A2516" s="5"/>
    </row>
    <row r="2517" spans="1:1" x14ac:dyDescent="0.25">
      <c r="A2517" s="5"/>
    </row>
    <row r="2518" spans="1:1" x14ac:dyDescent="0.25">
      <c r="A2518" s="5"/>
    </row>
    <row r="2519" spans="1:1" x14ac:dyDescent="0.25">
      <c r="A2519" s="5"/>
    </row>
    <row r="2520" spans="1:1" x14ac:dyDescent="0.25">
      <c r="A2520" s="5"/>
    </row>
    <row r="2521" spans="1:1" x14ac:dyDescent="0.25">
      <c r="A2521" s="5"/>
    </row>
    <row r="2522" spans="1:1" x14ac:dyDescent="0.25">
      <c r="A2522" s="5"/>
    </row>
    <row r="2523" spans="1:1" x14ac:dyDescent="0.25">
      <c r="A2523" s="5"/>
    </row>
    <row r="2524" spans="1:1" x14ac:dyDescent="0.25">
      <c r="A2524" s="5"/>
    </row>
    <row r="2525" spans="1:1" x14ac:dyDescent="0.25">
      <c r="A2525" s="5"/>
    </row>
    <row r="2526" spans="1:1" x14ac:dyDescent="0.25">
      <c r="A2526" s="5"/>
    </row>
    <row r="2527" spans="1:1" x14ac:dyDescent="0.25">
      <c r="A2527" s="5"/>
    </row>
    <row r="2528" spans="1:1" x14ac:dyDescent="0.25">
      <c r="A2528" s="5"/>
    </row>
    <row r="2529" spans="1:1" x14ac:dyDescent="0.25">
      <c r="A2529" s="5"/>
    </row>
    <row r="2530" spans="1:1" x14ac:dyDescent="0.25">
      <c r="A2530" s="5"/>
    </row>
    <row r="2531" spans="1:1" x14ac:dyDescent="0.25">
      <c r="A2531" s="5"/>
    </row>
    <row r="2532" spans="1:1" x14ac:dyDescent="0.25">
      <c r="A2532" s="5"/>
    </row>
    <row r="2533" spans="1:1" x14ac:dyDescent="0.25">
      <c r="A2533" s="5"/>
    </row>
    <row r="2534" spans="1:1" x14ac:dyDescent="0.25">
      <c r="A2534" s="5"/>
    </row>
    <row r="2535" spans="1:1" x14ac:dyDescent="0.25">
      <c r="A2535" s="5"/>
    </row>
    <row r="2536" spans="1:1" x14ac:dyDescent="0.25">
      <c r="A2536" s="5"/>
    </row>
    <row r="2537" spans="1:1" x14ac:dyDescent="0.25">
      <c r="A2537" s="5"/>
    </row>
    <row r="2538" spans="1:1" x14ac:dyDescent="0.25">
      <c r="A2538" s="5"/>
    </row>
    <row r="2539" spans="1:1" x14ac:dyDescent="0.25">
      <c r="A2539" s="5"/>
    </row>
    <row r="2540" spans="1:1" x14ac:dyDescent="0.25">
      <c r="A2540" s="5"/>
    </row>
    <row r="2541" spans="1:1" x14ac:dyDescent="0.25">
      <c r="A2541" s="5"/>
    </row>
    <row r="2542" spans="1:1" x14ac:dyDescent="0.25">
      <c r="A2542" s="5"/>
    </row>
    <row r="2543" spans="1:1" x14ac:dyDescent="0.25">
      <c r="A2543" s="5"/>
    </row>
    <row r="2544" spans="1:1" x14ac:dyDescent="0.25">
      <c r="A2544" s="5"/>
    </row>
    <row r="2545" spans="1:1" x14ac:dyDescent="0.25">
      <c r="A2545" s="5"/>
    </row>
    <row r="2546" spans="1:1" x14ac:dyDescent="0.25">
      <c r="A2546" s="5"/>
    </row>
    <row r="2547" spans="1:1" x14ac:dyDescent="0.25">
      <c r="A2547" s="5"/>
    </row>
    <row r="2548" spans="1:1" x14ac:dyDescent="0.25">
      <c r="A2548" s="5"/>
    </row>
    <row r="2549" spans="1:1" x14ac:dyDescent="0.25">
      <c r="A2549" s="5"/>
    </row>
    <row r="2550" spans="1:1" x14ac:dyDescent="0.25">
      <c r="A2550" s="5"/>
    </row>
    <row r="2551" spans="1:1" x14ac:dyDescent="0.25">
      <c r="A2551" s="5"/>
    </row>
    <row r="2552" spans="1:1" x14ac:dyDescent="0.25">
      <c r="A2552" s="5"/>
    </row>
    <row r="2553" spans="1:1" x14ac:dyDescent="0.25">
      <c r="A2553" s="5"/>
    </row>
    <row r="2554" spans="1:1" x14ac:dyDescent="0.25">
      <c r="A2554" s="5"/>
    </row>
    <row r="2555" spans="1:1" x14ac:dyDescent="0.25">
      <c r="A2555" s="5"/>
    </row>
    <row r="2556" spans="1:1" x14ac:dyDescent="0.25">
      <c r="A2556" s="5"/>
    </row>
    <row r="2557" spans="1:1" x14ac:dyDescent="0.25">
      <c r="A2557" s="5"/>
    </row>
    <row r="2558" spans="1:1" x14ac:dyDescent="0.25">
      <c r="A2558" s="5"/>
    </row>
    <row r="2559" spans="1:1" x14ac:dyDescent="0.25">
      <c r="A2559" s="5"/>
    </row>
    <row r="2560" spans="1:1" x14ac:dyDescent="0.25">
      <c r="A2560" s="5"/>
    </row>
    <row r="2561" spans="1:1" x14ac:dyDescent="0.25">
      <c r="A2561" s="5"/>
    </row>
    <row r="2562" spans="1:1" x14ac:dyDescent="0.25">
      <c r="A2562" s="5"/>
    </row>
    <row r="2563" spans="1:1" x14ac:dyDescent="0.25">
      <c r="A2563" s="5"/>
    </row>
    <row r="2564" spans="1:1" x14ac:dyDescent="0.25">
      <c r="A2564" s="5"/>
    </row>
    <row r="2565" spans="1:1" x14ac:dyDescent="0.25">
      <c r="A2565" s="5"/>
    </row>
    <row r="2566" spans="1:1" x14ac:dyDescent="0.25">
      <c r="A2566" s="5"/>
    </row>
    <row r="2567" spans="1:1" x14ac:dyDescent="0.25">
      <c r="A2567" s="5"/>
    </row>
    <row r="2568" spans="1:1" x14ac:dyDescent="0.25">
      <c r="A2568" s="5"/>
    </row>
    <row r="2569" spans="1:1" x14ac:dyDescent="0.25">
      <c r="A2569" s="5"/>
    </row>
    <row r="2570" spans="1:1" x14ac:dyDescent="0.25">
      <c r="A2570" s="5"/>
    </row>
    <row r="2571" spans="1:1" x14ac:dyDescent="0.25">
      <c r="A2571" s="5"/>
    </row>
    <row r="2572" spans="1:1" x14ac:dyDescent="0.25">
      <c r="A2572" s="5"/>
    </row>
    <row r="2573" spans="1:1" x14ac:dyDescent="0.25">
      <c r="A2573" s="5"/>
    </row>
    <row r="2574" spans="1:1" x14ac:dyDescent="0.25">
      <c r="A2574" s="5"/>
    </row>
    <row r="2575" spans="1:1" x14ac:dyDescent="0.25">
      <c r="A2575" s="5"/>
    </row>
    <row r="2576" spans="1:1" x14ac:dyDescent="0.25">
      <c r="A2576" s="5"/>
    </row>
    <row r="2577" spans="1:1" x14ac:dyDescent="0.25">
      <c r="A2577" s="5"/>
    </row>
    <row r="2578" spans="1:1" x14ac:dyDescent="0.25">
      <c r="A2578" s="5"/>
    </row>
    <row r="2579" spans="1:1" x14ac:dyDescent="0.25">
      <c r="A2579" s="5"/>
    </row>
    <row r="2580" spans="1:1" x14ac:dyDescent="0.25">
      <c r="A2580" s="5"/>
    </row>
    <row r="2581" spans="1:1" x14ac:dyDescent="0.25">
      <c r="A2581" s="5"/>
    </row>
    <row r="2582" spans="1:1" x14ac:dyDescent="0.25">
      <c r="A2582" s="5"/>
    </row>
    <row r="2583" spans="1:1" x14ac:dyDescent="0.25">
      <c r="A2583" s="5"/>
    </row>
    <row r="2584" spans="1:1" x14ac:dyDescent="0.25">
      <c r="A2584" s="5"/>
    </row>
    <row r="2585" spans="1:1" x14ac:dyDescent="0.25">
      <c r="A2585" s="5"/>
    </row>
    <row r="2586" spans="1:1" x14ac:dyDescent="0.25">
      <c r="A2586" s="5"/>
    </row>
    <row r="2587" spans="1:1" x14ac:dyDescent="0.25">
      <c r="A2587" s="5"/>
    </row>
    <row r="2588" spans="1:1" x14ac:dyDescent="0.25">
      <c r="A2588" s="5"/>
    </row>
    <row r="2589" spans="1:1" x14ac:dyDescent="0.25">
      <c r="A2589" s="5"/>
    </row>
    <row r="2590" spans="1:1" x14ac:dyDescent="0.25">
      <c r="A2590" s="5"/>
    </row>
    <row r="2591" spans="1:1" x14ac:dyDescent="0.25">
      <c r="A2591" s="5"/>
    </row>
    <row r="2592" spans="1:1" x14ac:dyDescent="0.25">
      <c r="A2592" s="5"/>
    </row>
    <row r="2593" spans="1:1" x14ac:dyDescent="0.25">
      <c r="A2593" s="5"/>
    </row>
    <row r="2594" spans="1:1" x14ac:dyDescent="0.25">
      <c r="A2594" s="5"/>
    </row>
    <row r="2595" spans="1:1" x14ac:dyDescent="0.25">
      <c r="A2595" s="5"/>
    </row>
    <row r="2596" spans="1:1" x14ac:dyDescent="0.25">
      <c r="A2596" s="5"/>
    </row>
    <row r="2597" spans="1:1" x14ac:dyDescent="0.25">
      <c r="A2597" s="5"/>
    </row>
    <row r="2598" spans="1:1" x14ac:dyDescent="0.25">
      <c r="A2598" s="5"/>
    </row>
    <row r="2599" spans="1:1" x14ac:dyDescent="0.25">
      <c r="A2599" s="5"/>
    </row>
    <row r="2600" spans="1:1" x14ac:dyDescent="0.25">
      <c r="A2600" s="5"/>
    </row>
    <row r="2601" spans="1:1" x14ac:dyDescent="0.25">
      <c r="A2601" s="5"/>
    </row>
    <row r="2602" spans="1:1" x14ac:dyDescent="0.25">
      <c r="A2602" s="5"/>
    </row>
    <row r="2603" spans="1:1" x14ac:dyDescent="0.25">
      <c r="A2603" s="5"/>
    </row>
    <row r="2604" spans="1:1" x14ac:dyDescent="0.25">
      <c r="A2604" s="5"/>
    </row>
    <row r="2605" spans="1:1" x14ac:dyDescent="0.25">
      <c r="A2605" s="5"/>
    </row>
    <row r="2606" spans="1:1" x14ac:dyDescent="0.25">
      <c r="A2606" s="5"/>
    </row>
    <row r="2607" spans="1:1" x14ac:dyDescent="0.25">
      <c r="A2607" s="5"/>
    </row>
    <row r="2608" spans="1:1" x14ac:dyDescent="0.25">
      <c r="A2608" s="5"/>
    </row>
    <row r="2609" spans="1:1" x14ac:dyDescent="0.25">
      <c r="A2609" s="5"/>
    </row>
    <row r="2610" spans="1:1" x14ac:dyDescent="0.25">
      <c r="A2610" s="5"/>
    </row>
    <row r="2611" spans="1:1" x14ac:dyDescent="0.25">
      <c r="A2611" s="5"/>
    </row>
    <row r="2612" spans="1:1" x14ac:dyDescent="0.25">
      <c r="A2612" s="5"/>
    </row>
    <row r="2613" spans="1:1" x14ac:dyDescent="0.25">
      <c r="A2613" s="5"/>
    </row>
    <row r="2614" spans="1:1" x14ac:dyDescent="0.25">
      <c r="A2614" s="5"/>
    </row>
    <row r="2615" spans="1:1" x14ac:dyDescent="0.25">
      <c r="A2615" s="5"/>
    </row>
    <row r="2616" spans="1:1" x14ac:dyDescent="0.25">
      <c r="A2616" s="5"/>
    </row>
    <row r="2617" spans="1:1" x14ac:dyDescent="0.25">
      <c r="A2617" s="5"/>
    </row>
    <row r="2618" spans="1:1" x14ac:dyDescent="0.25">
      <c r="A2618" s="5"/>
    </row>
    <row r="2619" spans="1:1" x14ac:dyDescent="0.25">
      <c r="A2619" s="5"/>
    </row>
    <row r="2620" spans="1:1" x14ac:dyDescent="0.25">
      <c r="A2620" s="5"/>
    </row>
    <row r="2621" spans="1:1" x14ac:dyDescent="0.25">
      <c r="A2621" s="5"/>
    </row>
    <row r="2622" spans="1:1" x14ac:dyDescent="0.25">
      <c r="A2622" s="5"/>
    </row>
    <row r="2623" spans="1:1" x14ac:dyDescent="0.25">
      <c r="A2623" s="5"/>
    </row>
    <row r="2624" spans="1:1" x14ac:dyDescent="0.25">
      <c r="A2624" s="5"/>
    </row>
    <row r="2625" spans="1:1" x14ac:dyDescent="0.25">
      <c r="A2625" s="5"/>
    </row>
    <row r="2626" spans="1:1" x14ac:dyDescent="0.25">
      <c r="A2626" s="5"/>
    </row>
    <row r="2627" spans="1:1" x14ac:dyDescent="0.25">
      <c r="A2627" s="5"/>
    </row>
    <row r="2628" spans="1:1" x14ac:dyDescent="0.25">
      <c r="A2628" s="5"/>
    </row>
    <row r="2629" spans="1:1" x14ac:dyDescent="0.25">
      <c r="A2629" s="5"/>
    </row>
    <row r="2630" spans="1:1" x14ac:dyDescent="0.25">
      <c r="A2630" s="5"/>
    </row>
    <row r="2631" spans="1:1" x14ac:dyDescent="0.25">
      <c r="A2631" s="5"/>
    </row>
    <row r="2632" spans="1:1" x14ac:dyDescent="0.25">
      <c r="A2632" s="5"/>
    </row>
    <row r="2633" spans="1:1" x14ac:dyDescent="0.25">
      <c r="A2633" s="5"/>
    </row>
    <row r="2634" spans="1:1" x14ac:dyDescent="0.25">
      <c r="A2634" s="5"/>
    </row>
    <row r="2635" spans="1:1" x14ac:dyDescent="0.25">
      <c r="A2635" s="5"/>
    </row>
    <row r="2636" spans="1:1" x14ac:dyDescent="0.25">
      <c r="A2636" s="5"/>
    </row>
    <row r="2637" spans="1:1" x14ac:dyDescent="0.25">
      <c r="A2637" s="5"/>
    </row>
    <row r="2638" spans="1:1" x14ac:dyDescent="0.25">
      <c r="A2638" s="5"/>
    </row>
    <row r="2639" spans="1:1" x14ac:dyDescent="0.25">
      <c r="A2639" s="5"/>
    </row>
    <row r="2640" spans="1:1" x14ac:dyDescent="0.25">
      <c r="A2640" s="5"/>
    </row>
    <row r="2641" spans="1:1" x14ac:dyDescent="0.25">
      <c r="A2641" s="5"/>
    </row>
    <row r="2642" spans="1:1" x14ac:dyDescent="0.25">
      <c r="A2642" s="5"/>
    </row>
    <row r="2643" spans="1:1" x14ac:dyDescent="0.25">
      <c r="A2643" s="5"/>
    </row>
    <row r="2644" spans="1:1" x14ac:dyDescent="0.25">
      <c r="A2644" s="5"/>
    </row>
    <row r="2645" spans="1:1" x14ac:dyDescent="0.25">
      <c r="A2645" s="5"/>
    </row>
    <row r="2646" spans="1:1" x14ac:dyDescent="0.25">
      <c r="A2646" s="5"/>
    </row>
    <row r="2647" spans="1:1" x14ac:dyDescent="0.25">
      <c r="A2647" s="5"/>
    </row>
    <row r="2648" spans="1:1" x14ac:dyDescent="0.25">
      <c r="A2648" s="5"/>
    </row>
    <row r="2649" spans="1:1" x14ac:dyDescent="0.25">
      <c r="A2649" s="5"/>
    </row>
    <row r="2650" spans="1:1" x14ac:dyDescent="0.25">
      <c r="A2650" s="5"/>
    </row>
    <row r="2651" spans="1:1" x14ac:dyDescent="0.25">
      <c r="A2651" s="5"/>
    </row>
    <row r="2652" spans="1:1" x14ac:dyDescent="0.25">
      <c r="A2652" s="5"/>
    </row>
    <row r="2653" spans="1:1" x14ac:dyDescent="0.25">
      <c r="A2653" s="5"/>
    </row>
    <row r="2654" spans="1:1" x14ac:dyDescent="0.25">
      <c r="A2654" s="5"/>
    </row>
    <row r="2655" spans="1:1" x14ac:dyDescent="0.25">
      <c r="A2655" s="5"/>
    </row>
    <row r="2656" spans="1:1" x14ac:dyDescent="0.25">
      <c r="A2656" s="5"/>
    </row>
    <row r="2657" spans="1:1" x14ac:dyDescent="0.25">
      <c r="A2657" s="5"/>
    </row>
    <row r="2658" spans="1:1" x14ac:dyDescent="0.25">
      <c r="A2658" s="5"/>
    </row>
    <row r="2659" spans="1:1" x14ac:dyDescent="0.25">
      <c r="A2659" s="5"/>
    </row>
    <row r="2660" spans="1:1" x14ac:dyDescent="0.25">
      <c r="A2660" s="5"/>
    </row>
    <row r="2661" spans="1:1" x14ac:dyDescent="0.25">
      <c r="A2661" s="5"/>
    </row>
    <row r="2662" spans="1:1" x14ac:dyDescent="0.25">
      <c r="A2662" s="5"/>
    </row>
    <row r="2663" spans="1:1" x14ac:dyDescent="0.25">
      <c r="A2663" s="5"/>
    </row>
    <row r="2664" spans="1:1" x14ac:dyDescent="0.25">
      <c r="A2664" s="5"/>
    </row>
    <row r="2665" spans="1:1" x14ac:dyDescent="0.25">
      <c r="A2665" s="5"/>
    </row>
    <row r="2666" spans="1:1" x14ac:dyDescent="0.25">
      <c r="A2666" s="5"/>
    </row>
    <row r="2667" spans="1:1" x14ac:dyDescent="0.25">
      <c r="A2667" s="5"/>
    </row>
    <row r="2668" spans="1:1" x14ac:dyDescent="0.25">
      <c r="A2668" s="5"/>
    </row>
    <row r="2669" spans="1:1" x14ac:dyDescent="0.25">
      <c r="A2669" s="5"/>
    </row>
    <row r="2670" spans="1:1" x14ac:dyDescent="0.25">
      <c r="A2670" s="5"/>
    </row>
    <row r="2671" spans="1:1" x14ac:dyDescent="0.25">
      <c r="A2671" s="5"/>
    </row>
    <row r="2672" spans="1:1" x14ac:dyDescent="0.25">
      <c r="A2672" s="5"/>
    </row>
    <row r="2673" spans="1:1" x14ac:dyDescent="0.25">
      <c r="A2673" s="5"/>
    </row>
    <row r="2674" spans="1:1" x14ac:dyDescent="0.25">
      <c r="A2674" s="5"/>
    </row>
    <row r="2675" spans="1:1" x14ac:dyDescent="0.25">
      <c r="A2675" s="5"/>
    </row>
    <row r="2676" spans="1:1" x14ac:dyDescent="0.25">
      <c r="A2676" s="5"/>
    </row>
    <row r="2677" spans="1:1" x14ac:dyDescent="0.25">
      <c r="A2677" s="5"/>
    </row>
    <row r="2678" spans="1:1" x14ac:dyDescent="0.25">
      <c r="A2678" s="5"/>
    </row>
    <row r="2679" spans="1:1" x14ac:dyDescent="0.25">
      <c r="A2679" s="5"/>
    </row>
    <row r="2680" spans="1:1" x14ac:dyDescent="0.25">
      <c r="A2680" s="5"/>
    </row>
    <row r="2681" spans="1:1" x14ac:dyDescent="0.25">
      <c r="A2681" s="5"/>
    </row>
    <row r="2682" spans="1:1" x14ac:dyDescent="0.25">
      <c r="A2682" s="5"/>
    </row>
    <row r="2683" spans="1:1" x14ac:dyDescent="0.25">
      <c r="A2683" s="5"/>
    </row>
    <row r="2684" spans="1:1" x14ac:dyDescent="0.25">
      <c r="A2684" s="5"/>
    </row>
    <row r="2685" spans="1:1" x14ac:dyDescent="0.25">
      <c r="A2685" s="5"/>
    </row>
    <row r="2686" spans="1:1" x14ac:dyDescent="0.25">
      <c r="A2686" s="5"/>
    </row>
    <row r="2687" spans="1:1" x14ac:dyDescent="0.25">
      <c r="A2687" s="5"/>
    </row>
    <row r="2688" spans="1:1" x14ac:dyDescent="0.25">
      <c r="A2688" s="5"/>
    </row>
    <row r="2689" spans="1:1" x14ac:dyDescent="0.25">
      <c r="A2689" s="5"/>
    </row>
    <row r="2690" spans="1:1" x14ac:dyDescent="0.25">
      <c r="A2690" s="5"/>
    </row>
    <row r="2691" spans="1:1" x14ac:dyDescent="0.25">
      <c r="A2691" s="5"/>
    </row>
    <row r="2692" spans="1:1" x14ac:dyDescent="0.25">
      <c r="A2692" s="5"/>
    </row>
    <row r="2693" spans="1:1" x14ac:dyDescent="0.25">
      <c r="A2693" s="5"/>
    </row>
    <row r="2694" spans="1:1" x14ac:dyDescent="0.25">
      <c r="A2694" s="5"/>
    </row>
    <row r="2695" spans="1:1" x14ac:dyDescent="0.25">
      <c r="A2695" s="5"/>
    </row>
    <row r="2696" spans="1:1" x14ac:dyDescent="0.25">
      <c r="A2696" s="5"/>
    </row>
    <row r="2697" spans="1:1" x14ac:dyDescent="0.25">
      <c r="A2697" s="5"/>
    </row>
    <row r="2698" spans="1:1" x14ac:dyDescent="0.25">
      <c r="A2698" s="5"/>
    </row>
    <row r="2699" spans="1:1" x14ac:dyDescent="0.25">
      <c r="A2699" s="5"/>
    </row>
    <row r="2700" spans="1:1" x14ac:dyDescent="0.25">
      <c r="A2700" s="5"/>
    </row>
    <row r="2701" spans="1:1" x14ac:dyDescent="0.25">
      <c r="A2701" s="5"/>
    </row>
    <row r="2702" spans="1:1" x14ac:dyDescent="0.25">
      <c r="A2702" s="5"/>
    </row>
    <row r="2703" spans="1:1" x14ac:dyDescent="0.25">
      <c r="A2703" s="5"/>
    </row>
    <row r="2704" spans="1:1" x14ac:dyDescent="0.25">
      <c r="A2704" s="5"/>
    </row>
    <row r="2705" spans="1:1" x14ac:dyDescent="0.25">
      <c r="A2705" s="5"/>
    </row>
    <row r="2706" spans="1:1" x14ac:dyDescent="0.25">
      <c r="A2706" s="5"/>
    </row>
    <row r="2707" spans="1:1" x14ac:dyDescent="0.25">
      <c r="A2707" s="5"/>
    </row>
    <row r="2708" spans="1:1" x14ac:dyDescent="0.25">
      <c r="A2708" s="5"/>
    </row>
    <row r="2709" spans="1:1" x14ac:dyDescent="0.25">
      <c r="A2709" s="5"/>
    </row>
    <row r="2710" spans="1:1" x14ac:dyDescent="0.25">
      <c r="A2710" s="5"/>
    </row>
    <row r="2711" spans="1:1" x14ac:dyDescent="0.25">
      <c r="A2711" s="5"/>
    </row>
    <row r="2712" spans="1:1" x14ac:dyDescent="0.25">
      <c r="A2712" s="5"/>
    </row>
    <row r="2713" spans="1:1" x14ac:dyDescent="0.25">
      <c r="A2713" s="5"/>
    </row>
    <row r="2714" spans="1:1" x14ac:dyDescent="0.25">
      <c r="A2714" s="5"/>
    </row>
    <row r="2715" spans="1:1" x14ac:dyDescent="0.25">
      <c r="A2715" s="5"/>
    </row>
    <row r="2716" spans="1:1" x14ac:dyDescent="0.25">
      <c r="A2716" s="5"/>
    </row>
    <row r="2717" spans="1:1" x14ac:dyDescent="0.25">
      <c r="A2717" s="5"/>
    </row>
    <row r="2718" spans="1:1" x14ac:dyDescent="0.25">
      <c r="A2718" s="5"/>
    </row>
    <row r="2719" spans="1:1" x14ac:dyDescent="0.25">
      <c r="A2719" s="5"/>
    </row>
    <row r="2720" spans="1:1" x14ac:dyDescent="0.25">
      <c r="A2720" s="5"/>
    </row>
    <row r="2721" spans="1:1" x14ac:dyDescent="0.25">
      <c r="A2721" s="5"/>
    </row>
    <row r="2722" spans="1:1" x14ac:dyDescent="0.25">
      <c r="A2722" s="5"/>
    </row>
    <row r="2723" spans="1:1" x14ac:dyDescent="0.25">
      <c r="A2723" s="5"/>
    </row>
    <row r="2724" spans="1:1" x14ac:dyDescent="0.25">
      <c r="A2724" s="5"/>
    </row>
    <row r="2725" spans="1:1" x14ac:dyDescent="0.25">
      <c r="A2725" s="5"/>
    </row>
    <row r="2726" spans="1:1" x14ac:dyDescent="0.25">
      <c r="A2726" s="5"/>
    </row>
    <row r="2727" spans="1:1" x14ac:dyDescent="0.25">
      <c r="A2727" s="5"/>
    </row>
    <row r="2728" spans="1:1" x14ac:dyDescent="0.25">
      <c r="A2728" s="5"/>
    </row>
    <row r="2729" spans="1:1" x14ac:dyDescent="0.25">
      <c r="A2729" s="5"/>
    </row>
    <row r="2730" spans="1:1" x14ac:dyDescent="0.25">
      <c r="A2730" s="5"/>
    </row>
    <row r="2731" spans="1:1" x14ac:dyDescent="0.25">
      <c r="A2731" s="5"/>
    </row>
    <row r="2732" spans="1:1" x14ac:dyDescent="0.25">
      <c r="A2732" s="5"/>
    </row>
    <row r="2733" spans="1:1" x14ac:dyDescent="0.25">
      <c r="A2733" s="5"/>
    </row>
    <row r="2734" spans="1:1" x14ac:dyDescent="0.25">
      <c r="A2734" s="5"/>
    </row>
    <row r="2735" spans="1:1" x14ac:dyDescent="0.25">
      <c r="A2735" s="5"/>
    </row>
    <row r="2736" spans="1:1" x14ac:dyDescent="0.25">
      <c r="A2736" s="5"/>
    </row>
    <row r="2737" spans="1:1" x14ac:dyDescent="0.25">
      <c r="A2737" s="5"/>
    </row>
    <row r="2738" spans="1:1" x14ac:dyDescent="0.25">
      <c r="A2738" s="5"/>
    </row>
    <row r="2739" spans="1:1" x14ac:dyDescent="0.25">
      <c r="A2739" s="5"/>
    </row>
    <row r="2740" spans="1:1" x14ac:dyDescent="0.25">
      <c r="A2740" s="5"/>
    </row>
    <row r="2741" spans="1:1" x14ac:dyDescent="0.25">
      <c r="A2741" s="5"/>
    </row>
    <row r="2742" spans="1:1" x14ac:dyDescent="0.25">
      <c r="A2742" s="5"/>
    </row>
    <row r="2743" spans="1:1" x14ac:dyDescent="0.25">
      <c r="A2743" s="5"/>
    </row>
    <row r="2744" spans="1:1" x14ac:dyDescent="0.25">
      <c r="A2744" s="5"/>
    </row>
    <row r="2745" spans="1:1" x14ac:dyDescent="0.25">
      <c r="A2745" s="5"/>
    </row>
    <row r="2746" spans="1:1" x14ac:dyDescent="0.25">
      <c r="A2746" s="5"/>
    </row>
    <row r="2747" spans="1:1" x14ac:dyDescent="0.25">
      <c r="A2747" s="5"/>
    </row>
    <row r="2748" spans="1:1" x14ac:dyDescent="0.25">
      <c r="A2748" s="5"/>
    </row>
    <row r="2749" spans="1:1" x14ac:dyDescent="0.25">
      <c r="A2749" s="5"/>
    </row>
    <row r="2750" spans="1:1" x14ac:dyDescent="0.25">
      <c r="A2750" s="5"/>
    </row>
    <row r="2751" spans="1:1" x14ac:dyDescent="0.25">
      <c r="A2751" s="5"/>
    </row>
    <row r="2752" spans="1:1" x14ac:dyDescent="0.25">
      <c r="A2752" s="5"/>
    </row>
    <row r="2753" spans="1:1" x14ac:dyDescent="0.25">
      <c r="A2753" s="5"/>
    </row>
    <row r="2754" spans="1:1" x14ac:dyDescent="0.25">
      <c r="A2754" s="5"/>
    </row>
    <row r="2755" spans="1:1" x14ac:dyDescent="0.25">
      <c r="A2755" s="5"/>
    </row>
    <row r="2756" spans="1:1" x14ac:dyDescent="0.25">
      <c r="A2756" s="5"/>
    </row>
    <row r="2757" spans="1:1" x14ac:dyDescent="0.25">
      <c r="A2757" s="5"/>
    </row>
    <row r="2758" spans="1:1" x14ac:dyDescent="0.25">
      <c r="A2758" s="5"/>
    </row>
    <row r="2759" spans="1:1" x14ac:dyDescent="0.25">
      <c r="A2759" s="5"/>
    </row>
    <row r="2760" spans="1:1" x14ac:dyDescent="0.25">
      <c r="A2760" s="5"/>
    </row>
    <row r="2761" spans="1:1" x14ac:dyDescent="0.25">
      <c r="A2761" s="5"/>
    </row>
    <row r="2762" spans="1:1" x14ac:dyDescent="0.25">
      <c r="A2762" s="5"/>
    </row>
    <row r="2763" spans="1:1" x14ac:dyDescent="0.25">
      <c r="A2763" s="5"/>
    </row>
    <row r="2764" spans="1:1" x14ac:dyDescent="0.25">
      <c r="A2764" s="5"/>
    </row>
    <row r="2765" spans="1:1" x14ac:dyDescent="0.25">
      <c r="A2765" s="5"/>
    </row>
    <row r="2766" spans="1:1" x14ac:dyDescent="0.25">
      <c r="A2766" s="5"/>
    </row>
    <row r="2767" spans="1:1" x14ac:dyDescent="0.25">
      <c r="A2767" s="5"/>
    </row>
    <row r="2768" spans="1:1" x14ac:dyDescent="0.25">
      <c r="A2768" s="5"/>
    </row>
    <row r="2769" spans="1:1" x14ac:dyDescent="0.25">
      <c r="A2769" s="5"/>
    </row>
    <row r="2770" spans="1:1" x14ac:dyDescent="0.25">
      <c r="A2770" s="5"/>
    </row>
    <row r="2771" spans="1:1" x14ac:dyDescent="0.25">
      <c r="A2771" s="5"/>
    </row>
    <row r="2772" spans="1:1" x14ac:dyDescent="0.25">
      <c r="A2772" s="5"/>
    </row>
    <row r="2773" spans="1:1" x14ac:dyDescent="0.25">
      <c r="A2773" s="5"/>
    </row>
    <row r="2774" spans="1:1" x14ac:dyDescent="0.25">
      <c r="A2774" s="5"/>
    </row>
    <row r="2775" spans="1:1" x14ac:dyDescent="0.25">
      <c r="A2775" s="5"/>
    </row>
    <row r="2776" spans="1:1" x14ac:dyDescent="0.25">
      <c r="A2776" s="5"/>
    </row>
    <row r="2777" spans="1:1" x14ac:dyDescent="0.25">
      <c r="A2777" s="5"/>
    </row>
    <row r="2778" spans="1:1" x14ac:dyDescent="0.25">
      <c r="A2778" s="5"/>
    </row>
    <row r="2779" spans="1:1" x14ac:dyDescent="0.25">
      <c r="A2779" s="5"/>
    </row>
    <row r="2780" spans="1:1" x14ac:dyDescent="0.25">
      <c r="A2780" s="5"/>
    </row>
    <row r="2781" spans="1:1" x14ac:dyDescent="0.25">
      <c r="A2781" s="5"/>
    </row>
    <row r="2782" spans="1:1" x14ac:dyDescent="0.25">
      <c r="A2782" s="5"/>
    </row>
    <row r="2783" spans="1:1" x14ac:dyDescent="0.25">
      <c r="A2783" s="5"/>
    </row>
    <row r="2784" spans="1:1" x14ac:dyDescent="0.25">
      <c r="A2784" s="5"/>
    </row>
    <row r="2785" spans="1:1" x14ac:dyDescent="0.25">
      <c r="A2785" s="5"/>
    </row>
    <row r="2786" spans="1:1" x14ac:dyDescent="0.25">
      <c r="A2786" s="5"/>
    </row>
    <row r="2787" spans="1:1" x14ac:dyDescent="0.25">
      <c r="A2787" s="5"/>
    </row>
    <row r="2788" spans="1:1" x14ac:dyDescent="0.25">
      <c r="A2788" s="5"/>
    </row>
    <row r="2789" spans="1:1" x14ac:dyDescent="0.25">
      <c r="A2789" s="5"/>
    </row>
    <row r="2790" spans="1:1" x14ac:dyDescent="0.25">
      <c r="A2790" s="5"/>
    </row>
    <row r="2791" spans="1:1" x14ac:dyDescent="0.25">
      <c r="A2791" s="5"/>
    </row>
    <row r="2792" spans="1:1" x14ac:dyDescent="0.25">
      <c r="A2792" s="5"/>
    </row>
    <row r="2793" spans="1:1" x14ac:dyDescent="0.25">
      <c r="A2793" s="5"/>
    </row>
    <row r="2794" spans="1:1" x14ac:dyDescent="0.25">
      <c r="A2794" s="5"/>
    </row>
    <row r="2795" spans="1:1" x14ac:dyDescent="0.25">
      <c r="A2795" s="5"/>
    </row>
    <row r="2796" spans="1:1" x14ac:dyDescent="0.25">
      <c r="A2796" s="5"/>
    </row>
    <row r="2797" spans="1:1" x14ac:dyDescent="0.25">
      <c r="A2797" s="5"/>
    </row>
    <row r="2798" spans="1:1" x14ac:dyDescent="0.25">
      <c r="A2798" s="5"/>
    </row>
    <row r="2799" spans="1:1" x14ac:dyDescent="0.25">
      <c r="A2799" s="5"/>
    </row>
    <row r="2800" spans="1:1" x14ac:dyDescent="0.25">
      <c r="A2800" s="5"/>
    </row>
    <row r="2801" spans="1:1" x14ac:dyDescent="0.25">
      <c r="A2801" s="5"/>
    </row>
    <row r="2802" spans="1:1" x14ac:dyDescent="0.25">
      <c r="A2802" s="5"/>
    </row>
    <row r="2803" spans="1:1" x14ac:dyDescent="0.25">
      <c r="A2803" s="5"/>
    </row>
    <row r="2804" spans="1:1" x14ac:dyDescent="0.25">
      <c r="A2804" s="5"/>
    </row>
    <row r="2805" spans="1:1" x14ac:dyDescent="0.25">
      <c r="A2805" s="5"/>
    </row>
    <row r="2806" spans="1:1" x14ac:dyDescent="0.25">
      <c r="A2806" s="5"/>
    </row>
    <row r="2807" spans="1:1" x14ac:dyDescent="0.25">
      <c r="A2807" s="5"/>
    </row>
    <row r="2808" spans="1:1" x14ac:dyDescent="0.25">
      <c r="A2808" s="5"/>
    </row>
    <row r="2809" spans="1:1" x14ac:dyDescent="0.25">
      <c r="A2809" s="5"/>
    </row>
    <row r="2810" spans="1:1" x14ac:dyDescent="0.25">
      <c r="A2810" s="5"/>
    </row>
    <row r="2811" spans="1:1" x14ac:dyDescent="0.25">
      <c r="A2811" s="5"/>
    </row>
    <row r="2812" spans="1:1" x14ac:dyDescent="0.25">
      <c r="A2812" s="5"/>
    </row>
    <row r="2813" spans="1:1" x14ac:dyDescent="0.25">
      <c r="A2813" s="5"/>
    </row>
    <row r="2814" spans="1:1" x14ac:dyDescent="0.25">
      <c r="A2814" s="5"/>
    </row>
    <row r="2815" spans="1:1" x14ac:dyDescent="0.25">
      <c r="A2815" s="5"/>
    </row>
    <row r="2816" spans="1:1" x14ac:dyDescent="0.25">
      <c r="A2816" s="5"/>
    </row>
    <row r="2817" spans="1:1" x14ac:dyDescent="0.25">
      <c r="A2817" s="5"/>
    </row>
    <row r="2818" spans="1:1" x14ac:dyDescent="0.25">
      <c r="A2818" s="5"/>
    </row>
    <row r="2819" spans="1:1" x14ac:dyDescent="0.25">
      <c r="A2819" s="5"/>
    </row>
    <row r="2820" spans="1:1" x14ac:dyDescent="0.25">
      <c r="A2820" s="5"/>
    </row>
    <row r="2821" spans="1:1" x14ac:dyDescent="0.25">
      <c r="A2821" s="5"/>
    </row>
    <row r="2822" spans="1:1" x14ac:dyDescent="0.25">
      <c r="A2822" s="5"/>
    </row>
    <row r="2823" spans="1:1" x14ac:dyDescent="0.25">
      <c r="A2823" s="5"/>
    </row>
    <row r="2824" spans="1:1" x14ac:dyDescent="0.25">
      <c r="A2824" s="5"/>
    </row>
    <row r="2825" spans="1:1" x14ac:dyDescent="0.25">
      <c r="A2825" s="5"/>
    </row>
    <row r="2826" spans="1:1" x14ac:dyDescent="0.25">
      <c r="A2826" s="5"/>
    </row>
    <row r="2827" spans="1:1" x14ac:dyDescent="0.25">
      <c r="A2827" s="5"/>
    </row>
    <row r="2828" spans="1:1" x14ac:dyDescent="0.25">
      <c r="A2828" s="5"/>
    </row>
    <row r="2829" spans="1:1" x14ac:dyDescent="0.25">
      <c r="A2829" s="5"/>
    </row>
    <row r="2830" spans="1:1" x14ac:dyDescent="0.25">
      <c r="A2830" s="5"/>
    </row>
    <row r="2831" spans="1:1" x14ac:dyDescent="0.25">
      <c r="A2831" s="5"/>
    </row>
    <row r="2832" spans="1:1" x14ac:dyDescent="0.25">
      <c r="A2832" s="5"/>
    </row>
    <row r="2833" spans="1:1" x14ac:dyDescent="0.25">
      <c r="A2833" s="5"/>
    </row>
    <row r="2834" spans="1:1" x14ac:dyDescent="0.25">
      <c r="A2834" s="5"/>
    </row>
    <row r="2835" spans="1:1" x14ac:dyDescent="0.25">
      <c r="A2835" s="5"/>
    </row>
    <row r="2836" spans="1:1" x14ac:dyDescent="0.25">
      <c r="A2836" s="5"/>
    </row>
    <row r="2837" spans="1:1" x14ac:dyDescent="0.25">
      <c r="A2837" s="5"/>
    </row>
    <row r="2838" spans="1:1" x14ac:dyDescent="0.25">
      <c r="A2838" s="5"/>
    </row>
    <row r="2839" spans="1:1" x14ac:dyDescent="0.25">
      <c r="A2839" s="5"/>
    </row>
    <row r="2840" spans="1:1" x14ac:dyDescent="0.25">
      <c r="A2840" s="5"/>
    </row>
    <row r="2841" spans="1:1" x14ac:dyDescent="0.25">
      <c r="A2841" s="5"/>
    </row>
    <row r="2842" spans="1:1" x14ac:dyDescent="0.25">
      <c r="A2842" s="5"/>
    </row>
    <row r="2843" spans="1:1" x14ac:dyDescent="0.25">
      <c r="A2843" s="5"/>
    </row>
    <row r="2844" spans="1:1" x14ac:dyDescent="0.25">
      <c r="A2844" s="5"/>
    </row>
    <row r="2845" spans="1:1" x14ac:dyDescent="0.25">
      <c r="A2845" s="5"/>
    </row>
    <row r="2846" spans="1:1" x14ac:dyDescent="0.25">
      <c r="A2846" s="5"/>
    </row>
    <row r="2847" spans="1:1" x14ac:dyDescent="0.25">
      <c r="A2847" s="5"/>
    </row>
    <row r="2848" spans="1:1" x14ac:dyDescent="0.25">
      <c r="A2848" s="5"/>
    </row>
    <row r="2849" spans="1:1" x14ac:dyDescent="0.25">
      <c r="A2849" s="5"/>
    </row>
    <row r="2850" spans="1:1" x14ac:dyDescent="0.25">
      <c r="A2850" s="5"/>
    </row>
    <row r="2851" spans="1:1" x14ac:dyDescent="0.25">
      <c r="A2851" s="5"/>
    </row>
    <row r="2852" spans="1:1" x14ac:dyDescent="0.25">
      <c r="A2852" s="5"/>
    </row>
    <row r="2853" spans="1:1" x14ac:dyDescent="0.25">
      <c r="A2853" s="5"/>
    </row>
    <row r="2854" spans="1:1" x14ac:dyDescent="0.25">
      <c r="A2854" s="5"/>
    </row>
    <row r="2855" spans="1:1" x14ac:dyDescent="0.25">
      <c r="A2855" s="5"/>
    </row>
    <row r="2856" spans="1:1" x14ac:dyDescent="0.25">
      <c r="A2856" s="5"/>
    </row>
    <row r="2857" spans="1:1" x14ac:dyDescent="0.25">
      <c r="A2857" s="5"/>
    </row>
    <row r="2858" spans="1:1" x14ac:dyDescent="0.25">
      <c r="A2858" s="5"/>
    </row>
    <row r="2859" spans="1:1" x14ac:dyDescent="0.25">
      <c r="A2859" s="5"/>
    </row>
    <row r="2860" spans="1:1" x14ac:dyDescent="0.25">
      <c r="A2860" s="5"/>
    </row>
    <row r="2861" spans="1:1" x14ac:dyDescent="0.25">
      <c r="A2861" s="5"/>
    </row>
    <row r="2862" spans="1:1" x14ac:dyDescent="0.25">
      <c r="A2862" s="5"/>
    </row>
    <row r="2863" spans="1:1" x14ac:dyDescent="0.25">
      <c r="A2863" s="5"/>
    </row>
    <row r="2864" spans="1:1" x14ac:dyDescent="0.25">
      <c r="A2864" s="5"/>
    </row>
    <row r="2865" spans="1:1" x14ac:dyDescent="0.25">
      <c r="A2865" s="5"/>
    </row>
    <row r="2866" spans="1:1" x14ac:dyDescent="0.25">
      <c r="A2866" s="5"/>
    </row>
    <row r="2867" spans="1:1" x14ac:dyDescent="0.25">
      <c r="A2867" s="5"/>
    </row>
    <row r="2868" spans="1:1" x14ac:dyDescent="0.25">
      <c r="A2868" s="5"/>
    </row>
    <row r="2869" spans="1:1" x14ac:dyDescent="0.25">
      <c r="A2869" s="5"/>
    </row>
    <row r="2870" spans="1:1" x14ac:dyDescent="0.25">
      <c r="A2870" s="5"/>
    </row>
    <row r="2871" spans="1:1" x14ac:dyDescent="0.25">
      <c r="A2871" s="5"/>
    </row>
    <row r="2872" spans="1:1" x14ac:dyDescent="0.25">
      <c r="A2872" s="5"/>
    </row>
    <row r="2873" spans="1:1" x14ac:dyDescent="0.25">
      <c r="A2873" s="5"/>
    </row>
    <row r="2874" spans="1:1" x14ac:dyDescent="0.25">
      <c r="A2874" s="5"/>
    </row>
    <row r="2875" spans="1:1" x14ac:dyDescent="0.25">
      <c r="A2875" s="5"/>
    </row>
    <row r="2876" spans="1:1" x14ac:dyDescent="0.25">
      <c r="A2876" s="5"/>
    </row>
    <row r="2877" spans="1:1" x14ac:dyDescent="0.25">
      <c r="A2877" s="5"/>
    </row>
    <row r="2878" spans="1:1" x14ac:dyDescent="0.25">
      <c r="A2878" s="5"/>
    </row>
    <row r="2879" spans="1:1" x14ac:dyDescent="0.25">
      <c r="A2879" s="5"/>
    </row>
    <row r="2880" spans="1:1" x14ac:dyDescent="0.25">
      <c r="A2880" s="5"/>
    </row>
    <row r="2881" spans="1:1" x14ac:dyDescent="0.25">
      <c r="A2881" s="5"/>
    </row>
    <row r="2882" spans="1:1" x14ac:dyDescent="0.25">
      <c r="A2882" s="5"/>
    </row>
    <row r="2883" spans="1:1" x14ac:dyDescent="0.25">
      <c r="A2883" s="5"/>
    </row>
    <row r="2884" spans="1:1" x14ac:dyDescent="0.25">
      <c r="A2884" s="5"/>
    </row>
    <row r="2885" spans="1:1" x14ac:dyDescent="0.25">
      <c r="A2885" s="5"/>
    </row>
    <row r="2886" spans="1:1" x14ac:dyDescent="0.25">
      <c r="A2886" s="5"/>
    </row>
    <row r="2887" spans="1:1" x14ac:dyDescent="0.25">
      <c r="A2887" s="5"/>
    </row>
    <row r="2888" spans="1:1" x14ac:dyDescent="0.25">
      <c r="A2888" s="5"/>
    </row>
    <row r="2889" spans="1:1" x14ac:dyDescent="0.25">
      <c r="A2889" s="5"/>
    </row>
    <row r="2890" spans="1:1" x14ac:dyDescent="0.25">
      <c r="A2890" s="5"/>
    </row>
    <row r="2891" spans="1:1" x14ac:dyDescent="0.25">
      <c r="A2891" s="5"/>
    </row>
    <row r="2892" spans="1:1" x14ac:dyDescent="0.25">
      <c r="A2892" s="5"/>
    </row>
    <row r="2893" spans="1:1" x14ac:dyDescent="0.25">
      <c r="A2893" s="5"/>
    </row>
    <row r="2894" spans="1:1" x14ac:dyDescent="0.25">
      <c r="A2894" s="5"/>
    </row>
    <row r="2895" spans="1:1" x14ac:dyDescent="0.25">
      <c r="A2895" s="5"/>
    </row>
    <row r="2896" spans="1:1" x14ac:dyDescent="0.25">
      <c r="A2896" s="5"/>
    </row>
    <row r="2897" spans="1:1" x14ac:dyDescent="0.25">
      <c r="A2897" s="5"/>
    </row>
    <row r="2898" spans="1:1" x14ac:dyDescent="0.25">
      <c r="A2898" s="5"/>
    </row>
    <row r="2899" spans="1:1" x14ac:dyDescent="0.25">
      <c r="A2899" s="5"/>
    </row>
    <row r="2900" spans="1:1" x14ac:dyDescent="0.25">
      <c r="A2900" s="5"/>
    </row>
    <row r="2901" spans="1:1" x14ac:dyDescent="0.25">
      <c r="A2901" s="5"/>
    </row>
    <row r="2902" spans="1:1" x14ac:dyDescent="0.25">
      <c r="A2902" s="5"/>
    </row>
    <row r="2903" spans="1:1" x14ac:dyDescent="0.25">
      <c r="A2903" s="5"/>
    </row>
    <row r="2904" spans="1:1" x14ac:dyDescent="0.25">
      <c r="A2904" s="5"/>
    </row>
    <row r="2905" spans="1:1" x14ac:dyDescent="0.25">
      <c r="A2905" s="5"/>
    </row>
    <row r="2906" spans="1:1" x14ac:dyDescent="0.25">
      <c r="A2906" s="5"/>
    </row>
    <row r="2907" spans="1:1" x14ac:dyDescent="0.25">
      <c r="A2907" s="5"/>
    </row>
    <row r="2908" spans="1:1" x14ac:dyDescent="0.25">
      <c r="A2908" s="5"/>
    </row>
    <row r="2909" spans="1:1" x14ac:dyDescent="0.25">
      <c r="A2909" s="5"/>
    </row>
    <row r="2910" spans="1:1" x14ac:dyDescent="0.25">
      <c r="A2910" s="5"/>
    </row>
    <row r="2911" spans="1:1" x14ac:dyDescent="0.25">
      <c r="A2911" s="5"/>
    </row>
    <row r="2912" spans="1:1" x14ac:dyDescent="0.25">
      <c r="A2912" s="5"/>
    </row>
    <row r="2913" spans="1:1" x14ac:dyDescent="0.25">
      <c r="A2913" s="5"/>
    </row>
    <row r="2914" spans="1:1" x14ac:dyDescent="0.25">
      <c r="A2914" s="5"/>
    </row>
    <row r="2915" spans="1:1" x14ac:dyDescent="0.25">
      <c r="A2915" s="5"/>
    </row>
    <row r="2916" spans="1:1" x14ac:dyDescent="0.25">
      <c r="A2916" s="5"/>
    </row>
    <row r="2917" spans="1:1" x14ac:dyDescent="0.25">
      <c r="A2917" s="5"/>
    </row>
    <row r="2918" spans="1:1" x14ac:dyDescent="0.25">
      <c r="A2918" s="5"/>
    </row>
    <row r="2919" spans="1:1" x14ac:dyDescent="0.25">
      <c r="A2919" s="5"/>
    </row>
    <row r="2920" spans="1:1" x14ac:dyDescent="0.25">
      <c r="A2920" s="5"/>
    </row>
    <row r="2921" spans="1:1" x14ac:dyDescent="0.25">
      <c r="A2921" s="5"/>
    </row>
    <row r="2922" spans="1:1" x14ac:dyDescent="0.25">
      <c r="A2922" s="5"/>
    </row>
    <row r="2923" spans="1:1" x14ac:dyDescent="0.25">
      <c r="A2923" s="5"/>
    </row>
    <row r="2924" spans="1:1" x14ac:dyDescent="0.25">
      <c r="A2924" s="5"/>
    </row>
    <row r="2925" spans="1:1" x14ac:dyDescent="0.25">
      <c r="A2925" s="5"/>
    </row>
    <row r="2926" spans="1:1" x14ac:dyDescent="0.25">
      <c r="A2926" s="5"/>
    </row>
    <row r="2927" spans="1:1" x14ac:dyDescent="0.25">
      <c r="A2927" s="5"/>
    </row>
    <row r="2928" spans="1:1" x14ac:dyDescent="0.25">
      <c r="A2928" s="5"/>
    </row>
    <row r="2929" spans="1:1" x14ac:dyDescent="0.25">
      <c r="A2929" s="5"/>
    </row>
    <row r="2930" spans="1:1" x14ac:dyDescent="0.25">
      <c r="A2930" s="5"/>
    </row>
    <row r="2931" spans="1:1" x14ac:dyDescent="0.25">
      <c r="A2931" s="5"/>
    </row>
    <row r="2932" spans="1:1" x14ac:dyDescent="0.25">
      <c r="A2932" s="5"/>
    </row>
    <row r="2933" spans="1:1" x14ac:dyDescent="0.25">
      <c r="A2933" s="5"/>
    </row>
    <row r="2934" spans="1:1" x14ac:dyDescent="0.25">
      <c r="A2934" s="5"/>
    </row>
    <row r="2935" spans="1:1" x14ac:dyDescent="0.25">
      <c r="A2935" s="5"/>
    </row>
    <row r="2936" spans="1:1" x14ac:dyDescent="0.25">
      <c r="A2936" s="5"/>
    </row>
    <row r="2937" spans="1:1" x14ac:dyDescent="0.25">
      <c r="A2937" s="5"/>
    </row>
    <row r="2938" spans="1:1" x14ac:dyDescent="0.25">
      <c r="A2938" s="5"/>
    </row>
    <row r="2939" spans="1:1" x14ac:dyDescent="0.25">
      <c r="A2939" s="5"/>
    </row>
    <row r="2940" spans="1:1" x14ac:dyDescent="0.25">
      <c r="A2940" s="5"/>
    </row>
    <row r="2941" spans="1:1" x14ac:dyDescent="0.25">
      <c r="A2941" s="5"/>
    </row>
    <row r="2942" spans="1:1" x14ac:dyDescent="0.25">
      <c r="A2942" s="5"/>
    </row>
    <row r="2943" spans="1:1" x14ac:dyDescent="0.25">
      <c r="A2943" s="5"/>
    </row>
    <row r="2944" spans="1:1" x14ac:dyDescent="0.25">
      <c r="A2944" s="5"/>
    </row>
    <row r="2945" spans="1:1" x14ac:dyDescent="0.25">
      <c r="A2945" s="5"/>
    </row>
    <row r="2946" spans="1:1" x14ac:dyDescent="0.25">
      <c r="A2946" s="5"/>
    </row>
    <row r="2947" spans="1:1" x14ac:dyDescent="0.25">
      <c r="A2947" s="5"/>
    </row>
    <row r="2948" spans="1:1" x14ac:dyDescent="0.25">
      <c r="A2948" s="5"/>
    </row>
    <row r="2949" spans="1:1" x14ac:dyDescent="0.25">
      <c r="A2949" s="5"/>
    </row>
    <row r="2950" spans="1:1" x14ac:dyDescent="0.25">
      <c r="A2950" s="5"/>
    </row>
    <row r="2951" spans="1:1" x14ac:dyDescent="0.25">
      <c r="A2951" s="5"/>
    </row>
    <row r="2952" spans="1:1" x14ac:dyDescent="0.25">
      <c r="A2952" s="5"/>
    </row>
    <row r="2953" spans="1:1" x14ac:dyDescent="0.25">
      <c r="A2953" s="5"/>
    </row>
    <row r="2954" spans="1:1" x14ac:dyDescent="0.25">
      <c r="A2954" s="5"/>
    </row>
    <row r="2955" spans="1:1" x14ac:dyDescent="0.25">
      <c r="A2955" s="5"/>
    </row>
    <row r="2956" spans="1:1" x14ac:dyDescent="0.25">
      <c r="A2956" s="5"/>
    </row>
    <row r="2957" spans="1:1" x14ac:dyDescent="0.25">
      <c r="A2957" s="5"/>
    </row>
    <row r="2958" spans="1:1" x14ac:dyDescent="0.25">
      <c r="A2958" s="5"/>
    </row>
    <row r="2959" spans="1:1" x14ac:dyDescent="0.25">
      <c r="A2959" s="5"/>
    </row>
    <row r="2960" spans="1:1" x14ac:dyDescent="0.25">
      <c r="A2960" s="5"/>
    </row>
    <row r="2961" spans="1:1" x14ac:dyDescent="0.25">
      <c r="A2961" s="5"/>
    </row>
    <row r="2962" spans="1:1" x14ac:dyDescent="0.25">
      <c r="A2962" s="5"/>
    </row>
    <row r="2963" spans="1:1" x14ac:dyDescent="0.25">
      <c r="A2963" s="5"/>
    </row>
    <row r="2964" spans="1:1" x14ac:dyDescent="0.25">
      <c r="A2964" s="5"/>
    </row>
    <row r="2965" spans="1:1" x14ac:dyDescent="0.25">
      <c r="A2965" s="5"/>
    </row>
    <row r="2966" spans="1:1" x14ac:dyDescent="0.25">
      <c r="A2966" s="5"/>
    </row>
    <row r="2967" spans="1:1" x14ac:dyDescent="0.25">
      <c r="A2967" s="5"/>
    </row>
    <row r="2968" spans="1:1" x14ac:dyDescent="0.25">
      <c r="A2968" s="5"/>
    </row>
    <row r="2969" spans="1:1" x14ac:dyDescent="0.25">
      <c r="A2969" s="5"/>
    </row>
    <row r="2970" spans="1:1" x14ac:dyDescent="0.25">
      <c r="A2970" s="5"/>
    </row>
    <row r="2971" spans="1:1" x14ac:dyDescent="0.25">
      <c r="A2971" s="5"/>
    </row>
    <row r="2972" spans="1:1" x14ac:dyDescent="0.25">
      <c r="A2972" s="5"/>
    </row>
    <row r="2973" spans="1:1" x14ac:dyDescent="0.25">
      <c r="A2973" s="5"/>
    </row>
    <row r="2974" spans="1:1" x14ac:dyDescent="0.25">
      <c r="A2974" s="5"/>
    </row>
    <row r="2975" spans="1:1" x14ac:dyDescent="0.25">
      <c r="A2975" s="5"/>
    </row>
    <row r="2976" spans="1:1" x14ac:dyDescent="0.25">
      <c r="A2976" s="5"/>
    </row>
    <row r="2977" spans="1:1" x14ac:dyDescent="0.25">
      <c r="A2977" s="5"/>
    </row>
    <row r="2978" spans="1:1" x14ac:dyDescent="0.25">
      <c r="A2978" s="5"/>
    </row>
    <row r="2979" spans="1:1" x14ac:dyDescent="0.25">
      <c r="A2979" s="5"/>
    </row>
    <row r="2980" spans="1:1" x14ac:dyDescent="0.25">
      <c r="A2980" s="5"/>
    </row>
    <row r="2981" spans="1:1" x14ac:dyDescent="0.25">
      <c r="A2981" s="5"/>
    </row>
    <row r="2982" spans="1:1" x14ac:dyDescent="0.25">
      <c r="A2982" s="5"/>
    </row>
    <row r="2983" spans="1:1" x14ac:dyDescent="0.25">
      <c r="A2983" s="5"/>
    </row>
    <row r="2984" spans="1:1" x14ac:dyDescent="0.25">
      <c r="A2984" s="5"/>
    </row>
    <row r="2985" spans="1:1" x14ac:dyDescent="0.25">
      <c r="A2985" s="5"/>
    </row>
    <row r="2986" spans="1:1" x14ac:dyDescent="0.25">
      <c r="A2986" s="5"/>
    </row>
    <row r="2987" spans="1:1" x14ac:dyDescent="0.25">
      <c r="A2987" s="5"/>
    </row>
    <row r="2988" spans="1:1" x14ac:dyDescent="0.25">
      <c r="A2988" s="5"/>
    </row>
    <row r="2989" spans="1:1" x14ac:dyDescent="0.25">
      <c r="A2989" s="5"/>
    </row>
    <row r="2990" spans="1:1" x14ac:dyDescent="0.25">
      <c r="A2990" s="5"/>
    </row>
    <row r="2991" spans="1:1" x14ac:dyDescent="0.25">
      <c r="A2991" s="5"/>
    </row>
    <row r="2992" spans="1:1" x14ac:dyDescent="0.25">
      <c r="A2992" s="5"/>
    </row>
    <row r="2993" spans="1:1" x14ac:dyDescent="0.25">
      <c r="A2993" s="5"/>
    </row>
    <row r="2994" spans="1:1" x14ac:dyDescent="0.25">
      <c r="A2994" s="5"/>
    </row>
    <row r="2995" spans="1:1" x14ac:dyDescent="0.25">
      <c r="A2995" s="5"/>
    </row>
    <row r="2996" spans="1:1" x14ac:dyDescent="0.25">
      <c r="A2996" s="5"/>
    </row>
    <row r="2997" spans="1:1" x14ac:dyDescent="0.25">
      <c r="A2997" s="5"/>
    </row>
    <row r="2998" spans="1:1" x14ac:dyDescent="0.25">
      <c r="A2998" s="5"/>
    </row>
    <row r="2999" spans="1:1" x14ac:dyDescent="0.25">
      <c r="A2999" s="5"/>
    </row>
    <row r="3000" spans="1:1" x14ac:dyDescent="0.25">
      <c r="A3000" s="5"/>
    </row>
    <row r="3001" spans="1:1" x14ac:dyDescent="0.25">
      <c r="A3001" s="5"/>
    </row>
    <row r="3002" spans="1:1" x14ac:dyDescent="0.25">
      <c r="A3002" s="5"/>
    </row>
    <row r="3003" spans="1:1" x14ac:dyDescent="0.25">
      <c r="A3003" s="5"/>
    </row>
    <row r="3004" spans="1:1" x14ac:dyDescent="0.25">
      <c r="A3004" s="5"/>
    </row>
    <row r="3005" spans="1:1" x14ac:dyDescent="0.25">
      <c r="A3005" s="5"/>
    </row>
    <row r="3006" spans="1:1" x14ac:dyDescent="0.25">
      <c r="A3006" s="5"/>
    </row>
    <row r="3007" spans="1:1" x14ac:dyDescent="0.25">
      <c r="A3007" s="5"/>
    </row>
    <row r="3008" spans="1:1" x14ac:dyDescent="0.25">
      <c r="A3008" s="5"/>
    </row>
    <row r="3009" spans="1:1" x14ac:dyDescent="0.25">
      <c r="A3009" s="5"/>
    </row>
    <row r="3010" spans="1:1" x14ac:dyDescent="0.25">
      <c r="A3010" s="5"/>
    </row>
    <row r="3011" spans="1:1" x14ac:dyDescent="0.25">
      <c r="A3011" s="5"/>
    </row>
    <row r="3012" spans="1:1" x14ac:dyDescent="0.25">
      <c r="A3012" s="5"/>
    </row>
    <row r="3013" spans="1:1" x14ac:dyDescent="0.25">
      <c r="A3013" s="5"/>
    </row>
    <row r="3014" spans="1:1" x14ac:dyDescent="0.25">
      <c r="A3014" s="5"/>
    </row>
    <row r="3015" spans="1:1" x14ac:dyDescent="0.25">
      <c r="A3015" s="5"/>
    </row>
    <row r="3016" spans="1:1" x14ac:dyDescent="0.25">
      <c r="A3016" s="5"/>
    </row>
    <row r="3017" spans="1:1" x14ac:dyDescent="0.25">
      <c r="A3017" s="5"/>
    </row>
    <row r="3018" spans="1:1" x14ac:dyDescent="0.25">
      <c r="A3018" s="5"/>
    </row>
    <row r="3019" spans="1:1" x14ac:dyDescent="0.25">
      <c r="A3019" s="5"/>
    </row>
    <row r="3020" spans="1:1" x14ac:dyDescent="0.25">
      <c r="A3020" s="5"/>
    </row>
    <row r="3021" spans="1:1" x14ac:dyDescent="0.25">
      <c r="A3021" s="5"/>
    </row>
    <row r="3022" spans="1:1" x14ac:dyDescent="0.25">
      <c r="A3022" s="5"/>
    </row>
    <row r="3023" spans="1:1" x14ac:dyDescent="0.25">
      <c r="A3023" s="5"/>
    </row>
    <row r="3024" spans="1:1" x14ac:dyDescent="0.25">
      <c r="A3024" s="5"/>
    </row>
    <row r="3025" spans="1:1" x14ac:dyDescent="0.25">
      <c r="A3025" s="5"/>
    </row>
    <row r="3026" spans="1:1" x14ac:dyDescent="0.25">
      <c r="A3026" s="5"/>
    </row>
    <row r="3027" spans="1:1" x14ac:dyDescent="0.25">
      <c r="A3027" s="5"/>
    </row>
    <row r="3028" spans="1:1" x14ac:dyDescent="0.25">
      <c r="A3028" s="5"/>
    </row>
    <row r="3029" spans="1:1" x14ac:dyDescent="0.25">
      <c r="A3029" s="5"/>
    </row>
    <row r="3030" spans="1:1" x14ac:dyDescent="0.25">
      <c r="A3030" s="5"/>
    </row>
    <row r="3031" spans="1:1" x14ac:dyDescent="0.25">
      <c r="A3031" s="5"/>
    </row>
    <row r="3032" spans="1:1" x14ac:dyDescent="0.25">
      <c r="A3032" s="5"/>
    </row>
    <row r="3033" spans="1:1" x14ac:dyDescent="0.25">
      <c r="A3033" s="5"/>
    </row>
    <row r="3034" spans="1:1" x14ac:dyDescent="0.25">
      <c r="A3034" s="5"/>
    </row>
    <row r="3035" spans="1:1" x14ac:dyDescent="0.25">
      <c r="A3035" s="5"/>
    </row>
    <row r="3036" spans="1:1" x14ac:dyDescent="0.25">
      <c r="A3036" s="5"/>
    </row>
    <row r="3037" spans="1:1" x14ac:dyDescent="0.25">
      <c r="A3037" s="5"/>
    </row>
    <row r="3038" spans="1:1" x14ac:dyDescent="0.25">
      <c r="A3038" s="5"/>
    </row>
    <row r="3039" spans="1:1" x14ac:dyDescent="0.25">
      <c r="A3039" s="5"/>
    </row>
    <row r="3040" spans="1:1" x14ac:dyDescent="0.25">
      <c r="A3040" s="5"/>
    </row>
    <row r="3041" spans="1:1" x14ac:dyDescent="0.25">
      <c r="A3041" s="5"/>
    </row>
    <row r="3042" spans="1:1" x14ac:dyDescent="0.25">
      <c r="A3042" s="5"/>
    </row>
    <row r="3043" spans="1:1" x14ac:dyDescent="0.25">
      <c r="A3043" s="5"/>
    </row>
    <row r="3044" spans="1:1" x14ac:dyDescent="0.25">
      <c r="A3044" s="5"/>
    </row>
    <row r="3045" spans="1:1" x14ac:dyDescent="0.25">
      <c r="A3045" s="5"/>
    </row>
    <row r="3046" spans="1:1" x14ac:dyDescent="0.25">
      <c r="A3046" s="5"/>
    </row>
    <row r="3047" spans="1:1" x14ac:dyDescent="0.25">
      <c r="A3047" s="5"/>
    </row>
    <row r="3048" spans="1:1" x14ac:dyDescent="0.25">
      <c r="A3048" s="5"/>
    </row>
    <row r="3049" spans="1:1" x14ac:dyDescent="0.25">
      <c r="A3049" s="5"/>
    </row>
    <row r="3050" spans="1:1" x14ac:dyDescent="0.25">
      <c r="A3050" s="5"/>
    </row>
    <row r="3051" spans="1:1" x14ac:dyDescent="0.25">
      <c r="A3051" s="5"/>
    </row>
    <row r="3052" spans="1:1" x14ac:dyDescent="0.25">
      <c r="A3052" s="5"/>
    </row>
    <row r="3053" spans="1:1" x14ac:dyDescent="0.25">
      <c r="A3053" s="5"/>
    </row>
    <row r="3054" spans="1:1" x14ac:dyDescent="0.25">
      <c r="A3054" s="5"/>
    </row>
    <row r="3055" spans="1:1" x14ac:dyDescent="0.25">
      <c r="A3055" s="5"/>
    </row>
    <row r="3056" spans="1:1" x14ac:dyDescent="0.25">
      <c r="A3056" s="5"/>
    </row>
    <row r="3057" spans="1:1" x14ac:dyDescent="0.25">
      <c r="A3057" s="5"/>
    </row>
    <row r="3058" spans="1:1" x14ac:dyDescent="0.25">
      <c r="A3058" s="5"/>
    </row>
    <row r="3059" spans="1:1" x14ac:dyDescent="0.25">
      <c r="A3059" s="5"/>
    </row>
    <row r="3060" spans="1:1" x14ac:dyDescent="0.25">
      <c r="A3060" s="5"/>
    </row>
    <row r="3061" spans="1:1" x14ac:dyDescent="0.25">
      <c r="A3061" s="5"/>
    </row>
    <row r="3062" spans="1:1" x14ac:dyDescent="0.25">
      <c r="A3062" s="5"/>
    </row>
    <row r="3063" spans="1:1" x14ac:dyDescent="0.25">
      <c r="A3063" s="5"/>
    </row>
    <row r="3064" spans="1:1" x14ac:dyDescent="0.25">
      <c r="A3064" s="5"/>
    </row>
    <row r="3065" spans="1:1" x14ac:dyDescent="0.25">
      <c r="A3065" s="5"/>
    </row>
    <row r="3066" spans="1:1" x14ac:dyDescent="0.25">
      <c r="A3066" s="5"/>
    </row>
    <row r="3067" spans="1:1" x14ac:dyDescent="0.25">
      <c r="A3067" s="5"/>
    </row>
    <row r="3068" spans="1:1" x14ac:dyDescent="0.25">
      <c r="A3068" s="5"/>
    </row>
    <row r="3069" spans="1:1" x14ac:dyDescent="0.25">
      <c r="A3069" s="5"/>
    </row>
    <row r="3070" spans="1:1" x14ac:dyDescent="0.25">
      <c r="A3070" s="5"/>
    </row>
    <row r="3071" spans="1:1" x14ac:dyDescent="0.25">
      <c r="A3071" s="5"/>
    </row>
    <row r="3072" spans="1:1" x14ac:dyDescent="0.25">
      <c r="A3072" s="5"/>
    </row>
    <row r="3073" spans="1:1" x14ac:dyDescent="0.25">
      <c r="A3073" s="5"/>
    </row>
    <row r="3074" spans="1:1" x14ac:dyDescent="0.25">
      <c r="A3074" s="5"/>
    </row>
    <row r="3075" spans="1:1" x14ac:dyDescent="0.25">
      <c r="A3075" s="5"/>
    </row>
    <row r="3076" spans="1:1" x14ac:dyDescent="0.25">
      <c r="A3076" s="5"/>
    </row>
    <row r="3077" spans="1:1" x14ac:dyDescent="0.25">
      <c r="A3077" s="5"/>
    </row>
    <row r="3078" spans="1:1" x14ac:dyDescent="0.25">
      <c r="A3078" s="5"/>
    </row>
    <row r="3079" spans="1:1" x14ac:dyDescent="0.25">
      <c r="A3079" s="5"/>
    </row>
    <row r="3080" spans="1:1" x14ac:dyDescent="0.25">
      <c r="A3080" s="5"/>
    </row>
    <row r="3081" spans="1:1" x14ac:dyDescent="0.25">
      <c r="A3081" s="5"/>
    </row>
    <row r="3082" spans="1:1" x14ac:dyDescent="0.25">
      <c r="A3082" s="5"/>
    </row>
    <row r="3083" spans="1:1" x14ac:dyDescent="0.25">
      <c r="A3083" s="5"/>
    </row>
    <row r="3084" spans="1:1" x14ac:dyDescent="0.25">
      <c r="A3084" s="5"/>
    </row>
    <row r="3085" spans="1:1" x14ac:dyDescent="0.25">
      <c r="A3085" s="5"/>
    </row>
    <row r="3086" spans="1:1" x14ac:dyDescent="0.25">
      <c r="A3086" s="5"/>
    </row>
    <row r="3087" spans="1:1" x14ac:dyDescent="0.25">
      <c r="A3087" s="5"/>
    </row>
    <row r="3088" spans="1:1" x14ac:dyDescent="0.25">
      <c r="A3088" s="5"/>
    </row>
    <row r="3089" spans="1:1" x14ac:dyDescent="0.25">
      <c r="A3089" s="5"/>
    </row>
    <row r="3090" spans="1:1" x14ac:dyDescent="0.25">
      <c r="A3090" s="5"/>
    </row>
    <row r="3091" spans="1:1" x14ac:dyDescent="0.25">
      <c r="A3091" s="5"/>
    </row>
    <row r="3092" spans="1:1" x14ac:dyDescent="0.25">
      <c r="A3092" s="5"/>
    </row>
    <row r="3093" spans="1:1" x14ac:dyDescent="0.25">
      <c r="A3093" s="5"/>
    </row>
    <row r="3094" spans="1:1" x14ac:dyDescent="0.25">
      <c r="A3094" s="5"/>
    </row>
    <row r="3095" spans="1:1" x14ac:dyDescent="0.25">
      <c r="A3095" s="5"/>
    </row>
    <row r="3096" spans="1:1" x14ac:dyDescent="0.25">
      <c r="A3096" s="5"/>
    </row>
    <row r="3097" spans="1:1" x14ac:dyDescent="0.25">
      <c r="A3097" s="5"/>
    </row>
    <row r="3098" spans="1:1" x14ac:dyDescent="0.25">
      <c r="A3098" s="5"/>
    </row>
    <row r="3099" spans="1:1" x14ac:dyDescent="0.25">
      <c r="A3099" s="5"/>
    </row>
    <row r="3100" spans="1:1" x14ac:dyDescent="0.25">
      <c r="A3100" s="5"/>
    </row>
    <row r="3101" spans="1:1" x14ac:dyDescent="0.25">
      <c r="A3101" s="5"/>
    </row>
    <row r="3102" spans="1:1" x14ac:dyDescent="0.25">
      <c r="A3102" s="5"/>
    </row>
    <row r="3103" spans="1:1" x14ac:dyDescent="0.25">
      <c r="A3103" s="5"/>
    </row>
    <row r="3104" spans="1:1" x14ac:dyDescent="0.25">
      <c r="A3104" s="5"/>
    </row>
    <row r="3105" spans="1:1" x14ac:dyDescent="0.25">
      <c r="A3105" s="5"/>
    </row>
    <row r="3106" spans="1:1" x14ac:dyDescent="0.25">
      <c r="A3106" s="5"/>
    </row>
    <row r="3107" spans="1:1" x14ac:dyDescent="0.25">
      <c r="A3107" s="5"/>
    </row>
    <row r="3108" spans="1:1" x14ac:dyDescent="0.25">
      <c r="A3108" s="5"/>
    </row>
    <row r="3109" spans="1:1" x14ac:dyDescent="0.25">
      <c r="A3109" s="5"/>
    </row>
    <row r="3110" spans="1:1" x14ac:dyDescent="0.25">
      <c r="A3110" s="5"/>
    </row>
    <row r="3111" spans="1:1" x14ac:dyDescent="0.25">
      <c r="A3111" s="5"/>
    </row>
    <row r="3112" spans="1:1" x14ac:dyDescent="0.25">
      <c r="A3112" s="5"/>
    </row>
    <row r="3113" spans="1:1" x14ac:dyDescent="0.25">
      <c r="A3113" s="5"/>
    </row>
    <row r="3114" spans="1:1" x14ac:dyDescent="0.25">
      <c r="A3114" s="5"/>
    </row>
    <row r="3115" spans="1:1" x14ac:dyDescent="0.25">
      <c r="A3115" s="5"/>
    </row>
    <row r="3116" spans="1:1" x14ac:dyDescent="0.25">
      <c r="A3116" s="5"/>
    </row>
    <row r="3117" spans="1:1" x14ac:dyDescent="0.25">
      <c r="A3117" s="5"/>
    </row>
    <row r="3118" spans="1:1" x14ac:dyDescent="0.25">
      <c r="A3118" s="5"/>
    </row>
    <row r="3119" spans="1:1" x14ac:dyDescent="0.25">
      <c r="A3119" s="5"/>
    </row>
    <row r="3120" spans="1:1" x14ac:dyDescent="0.25">
      <c r="A3120" s="5"/>
    </row>
    <row r="3121" spans="1:1" x14ac:dyDescent="0.25">
      <c r="A3121" s="5"/>
    </row>
    <row r="3122" spans="1:1" x14ac:dyDescent="0.25">
      <c r="A3122" s="5"/>
    </row>
    <row r="3123" spans="1:1" x14ac:dyDescent="0.25">
      <c r="A3123" s="5"/>
    </row>
    <row r="3124" spans="1:1" x14ac:dyDescent="0.25">
      <c r="A3124" s="5"/>
    </row>
    <row r="3125" spans="1:1" x14ac:dyDescent="0.25">
      <c r="A3125" s="5"/>
    </row>
    <row r="3126" spans="1:1" x14ac:dyDescent="0.25">
      <c r="A3126" s="5"/>
    </row>
    <row r="3127" spans="1:1" x14ac:dyDescent="0.25">
      <c r="A3127" s="5"/>
    </row>
    <row r="3128" spans="1:1" x14ac:dyDescent="0.25">
      <c r="A3128" s="5"/>
    </row>
    <row r="3129" spans="1:1" x14ac:dyDescent="0.25">
      <c r="A3129" s="5"/>
    </row>
    <row r="3130" spans="1:1" x14ac:dyDescent="0.25">
      <c r="A3130" s="5"/>
    </row>
    <row r="3131" spans="1:1" x14ac:dyDescent="0.25">
      <c r="A3131" s="5"/>
    </row>
    <row r="3132" spans="1:1" x14ac:dyDescent="0.25">
      <c r="A3132" s="5"/>
    </row>
    <row r="3133" spans="1:1" x14ac:dyDescent="0.25">
      <c r="A3133" s="5"/>
    </row>
    <row r="3134" spans="1:1" x14ac:dyDescent="0.25">
      <c r="A3134" s="5"/>
    </row>
    <row r="3135" spans="1:1" x14ac:dyDescent="0.25">
      <c r="A3135" s="5"/>
    </row>
    <row r="3136" spans="1:1" x14ac:dyDescent="0.25">
      <c r="A3136" s="5"/>
    </row>
    <row r="3137" spans="1:1" x14ac:dyDescent="0.25">
      <c r="A3137" s="5"/>
    </row>
    <row r="3138" spans="1:1" x14ac:dyDescent="0.25">
      <c r="A3138" s="5"/>
    </row>
    <row r="3139" spans="1:1" x14ac:dyDescent="0.25">
      <c r="A3139" s="5"/>
    </row>
    <row r="3140" spans="1:1" x14ac:dyDescent="0.25">
      <c r="A3140" s="5"/>
    </row>
    <row r="3141" spans="1:1" x14ac:dyDescent="0.25">
      <c r="A3141" s="5"/>
    </row>
    <row r="3142" spans="1:1" x14ac:dyDescent="0.25">
      <c r="A3142" s="5"/>
    </row>
    <row r="3143" spans="1:1" x14ac:dyDescent="0.25">
      <c r="A3143" s="5"/>
    </row>
    <row r="3144" spans="1:1" x14ac:dyDescent="0.25">
      <c r="A3144" s="5"/>
    </row>
    <row r="3145" spans="1:1" x14ac:dyDescent="0.25">
      <c r="A3145" s="5"/>
    </row>
    <row r="3146" spans="1:1" x14ac:dyDescent="0.25">
      <c r="A3146" s="5"/>
    </row>
    <row r="3147" spans="1:1" x14ac:dyDescent="0.25">
      <c r="A3147" s="5"/>
    </row>
    <row r="3148" spans="1:1" x14ac:dyDescent="0.25">
      <c r="A3148" s="5"/>
    </row>
    <row r="3149" spans="1:1" x14ac:dyDescent="0.25">
      <c r="A3149" s="5"/>
    </row>
    <row r="3150" spans="1:1" x14ac:dyDescent="0.25">
      <c r="A3150" s="5"/>
    </row>
    <row r="3151" spans="1:1" x14ac:dyDescent="0.25">
      <c r="A3151" s="5"/>
    </row>
    <row r="3152" spans="1:1" x14ac:dyDescent="0.25">
      <c r="A3152" s="5"/>
    </row>
    <row r="3153" spans="1:1" x14ac:dyDescent="0.25">
      <c r="A3153" s="5"/>
    </row>
    <row r="3154" spans="1:1" x14ac:dyDescent="0.25">
      <c r="A3154" s="5"/>
    </row>
    <row r="3155" spans="1:1" x14ac:dyDescent="0.25">
      <c r="A3155" s="5"/>
    </row>
    <row r="3156" spans="1:1" x14ac:dyDescent="0.25">
      <c r="A3156" s="5"/>
    </row>
    <row r="3157" spans="1:1" x14ac:dyDescent="0.25">
      <c r="A3157" s="5"/>
    </row>
    <row r="3158" spans="1:1" x14ac:dyDescent="0.25">
      <c r="A3158" s="5"/>
    </row>
    <row r="3159" spans="1:1" x14ac:dyDescent="0.25">
      <c r="A3159" s="5"/>
    </row>
    <row r="3160" spans="1:1" x14ac:dyDescent="0.25">
      <c r="A3160" s="5"/>
    </row>
    <row r="3161" spans="1:1" x14ac:dyDescent="0.25">
      <c r="A3161" s="5"/>
    </row>
    <row r="3162" spans="1:1" x14ac:dyDescent="0.25">
      <c r="A3162" s="5"/>
    </row>
    <row r="3163" spans="1:1" x14ac:dyDescent="0.25">
      <c r="A3163" s="5"/>
    </row>
    <row r="3164" spans="1:1" x14ac:dyDescent="0.25">
      <c r="A3164" s="5"/>
    </row>
    <row r="3165" spans="1:1" x14ac:dyDescent="0.25">
      <c r="A3165" s="5"/>
    </row>
    <row r="3166" spans="1:1" x14ac:dyDescent="0.25">
      <c r="A3166" s="5"/>
    </row>
    <row r="3167" spans="1:1" x14ac:dyDescent="0.25">
      <c r="A3167" s="5"/>
    </row>
    <row r="3168" spans="1:1" x14ac:dyDescent="0.25">
      <c r="A3168" s="5"/>
    </row>
    <row r="3169" spans="1:1" x14ac:dyDescent="0.25">
      <c r="A3169" s="5"/>
    </row>
    <row r="3170" spans="1:1" x14ac:dyDescent="0.25">
      <c r="A3170" s="5"/>
    </row>
    <row r="3171" spans="1:1" x14ac:dyDescent="0.25">
      <c r="A3171" s="5"/>
    </row>
    <row r="3172" spans="1:1" x14ac:dyDescent="0.25">
      <c r="A3172" s="5"/>
    </row>
    <row r="3173" spans="1:1" x14ac:dyDescent="0.25">
      <c r="A3173" s="5"/>
    </row>
    <row r="3174" spans="1:1" x14ac:dyDescent="0.25">
      <c r="A3174" s="5"/>
    </row>
    <row r="3175" spans="1:1" x14ac:dyDescent="0.25">
      <c r="A3175" s="5"/>
    </row>
    <row r="3176" spans="1:1" x14ac:dyDescent="0.25">
      <c r="A3176" s="5"/>
    </row>
    <row r="3177" spans="1:1" x14ac:dyDescent="0.25">
      <c r="A3177" s="5"/>
    </row>
    <row r="3178" spans="1:1" x14ac:dyDescent="0.25">
      <c r="A3178" s="5"/>
    </row>
    <row r="3179" spans="1:1" x14ac:dyDescent="0.25">
      <c r="A3179" s="5"/>
    </row>
    <row r="3180" spans="1:1" x14ac:dyDescent="0.25">
      <c r="A3180" s="5"/>
    </row>
    <row r="3181" spans="1:1" x14ac:dyDescent="0.25">
      <c r="A3181" s="5"/>
    </row>
    <row r="3182" spans="1:1" x14ac:dyDescent="0.25">
      <c r="A3182" s="5"/>
    </row>
    <row r="3183" spans="1:1" x14ac:dyDescent="0.25">
      <c r="A3183" s="5"/>
    </row>
    <row r="3184" spans="1:1" x14ac:dyDescent="0.25">
      <c r="A3184" s="5"/>
    </row>
    <row r="3185" spans="1:1" x14ac:dyDescent="0.25">
      <c r="A3185" s="5"/>
    </row>
    <row r="3186" spans="1:1" x14ac:dyDescent="0.25">
      <c r="A3186" s="5"/>
    </row>
    <row r="3187" spans="1:1" x14ac:dyDescent="0.25">
      <c r="A3187" s="5"/>
    </row>
    <row r="3188" spans="1:1" x14ac:dyDescent="0.25">
      <c r="A3188" s="5"/>
    </row>
    <row r="3189" spans="1:1" x14ac:dyDescent="0.25">
      <c r="A3189" s="5"/>
    </row>
    <row r="3190" spans="1:1" x14ac:dyDescent="0.25">
      <c r="A3190" s="5"/>
    </row>
    <row r="3191" spans="1:1" x14ac:dyDescent="0.25">
      <c r="A3191" s="5"/>
    </row>
    <row r="3192" spans="1:1" x14ac:dyDescent="0.25">
      <c r="A3192" s="5"/>
    </row>
    <row r="3193" spans="1:1" x14ac:dyDescent="0.25">
      <c r="A3193" s="5"/>
    </row>
    <row r="3194" spans="1:1" x14ac:dyDescent="0.25">
      <c r="A3194" s="5"/>
    </row>
    <row r="3195" spans="1:1" x14ac:dyDescent="0.25">
      <c r="A3195" s="5"/>
    </row>
    <row r="3196" spans="1:1" x14ac:dyDescent="0.25">
      <c r="A3196" s="5"/>
    </row>
    <row r="3197" spans="1:1" x14ac:dyDescent="0.25">
      <c r="A3197" s="5"/>
    </row>
    <row r="3198" spans="1:1" x14ac:dyDescent="0.25">
      <c r="A3198" s="5"/>
    </row>
    <row r="3199" spans="1:1" x14ac:dyDescent="0.25">
      <c r="A3199" s="5"/>
    </row>
    <row r="3200" spans="1:1" x14ac:dyDescent="0.25">
      <c r="A3200" s="5"/>
    </row>
    <row r="3201" spans="1:1" x14ac:dyDescent="0.25">
      <c r="A3201" s="5"/>
    </row>
    <row r="3202" spans="1:1" x14ac:dyDescent="0.25">
      <c r="A3202" s="5"/>
    </row>
    <row r="3203" spans="1:1" x14ac:dyDescent="0.25">
      <c r="A3203" s="5"/>
    </row>
    <row r="3204" spans="1:1" x14ac:dyDescent="0.25">
      <c r="A3204" s="5"/>
    </row>
    <row r="3205" spans="1:1" x14ac:dyDescent="0.25">
      <c r="A3205" s="5"/>
    </row>
    <row r="3206" spans="1:1" x14ac:dyDescent="0.25">
      <c r="A3206" s="5"/>
    </row>
    <row r="3207" spans="1:1" x14ac:dyDescent="0.25">
      <c r="A3207" s="5"/>
    </row>
    <row r="3208" spans="1:1" x14ac:dyDescent="0.25">
      <c r="A3208" s="5"/>
    </row>
    <row r="3209" spans="1:1" x14ac:dyDescent="0.25">
      <c r="A3209" s="5"/>
    </row>
    <row r="3210" spans="1:1" x14ac:dyDescent="0.25">
      <c r="A3210" s="5"/>
    </row>
    <row r="3211" spans="1:1" x14ac:dyDescent="0.25">
      <c r="A3211" s="5"/>
    </row>
    <row r="3212" spans="1:1" x14ac:dyDescent="0.25">
      <c r="A3212" s="5"/>
    </row>
    <row r="3213" spans="1:1" x14ac:dyDescent="0.25">
      <c r="A3213" s="5"/>
    </row>
    <row r="3214" spans="1:1" x14ac:dyDescent="0.25">
      <c r="A3214" s="5"/>
    </row>
    <row r="3215" spans="1:1" x14ac:dyDescent="0.25">
      <c r="A3215" s="5"/>
    </row>
    <row r="3216" spans="1:1" x14ac:dyDescent="0.25">
      <c r="A3216" s="5"/>
    </row>
    <row r="3217" spans="1:1" x14ac:dyDescent="0.25">
      <c r="A3217" s="5"/>
    </row>
    <row r="3218" spans="1:1" x14ac:dyDescent="0.25">
      <c r="A3218" s="5"/>
    </row>
    <row r="3219" spans="1:1" x14ac:dyDescent="0.25">
      <c r="A3219" s="5"/>
    </row>
    <row r="3220" spans="1:1" x14ac:dyDescent="0.25">
      <c r="A3220" s="5"/>
    </row>
    <row r="3221" spans="1:1" x14ac:dyDescent="0.25">
      <c r="A3221" s="5"/>
    </row>
    <row r="3222" spans="1:1" x14ac:dyDescent="0.25">
      <c r="A3222" s="5"/>
    </row>
    <row r="3223" spans="1:1" x14ac:dyDescent="0.25">
      <c r="A3223" s="5"/>
    </row>
    <row r="3224" spans="1:1" x14ac:dyDescent="0.25">
      <c r="A3224" s="5"/>
    </row>
    <row r="3225" spans="1:1" x14ac:dyDescent="0.25">
      <c r="A3225" s="5"/>
    </row>
    <row r="3226" spans="1:1" x14ac:dyDescent="0.25">
      <c r="A3226" s="5"/>
    </row>
    <row r="3227" spans="1:1" x14ac:dyDescent="0.25">
      <c r="A3227" s="5"/>
    </row>
    <row r="3228" spans="1:1" x14ac:dyDescent="0.25">
      <c r="A3228" s="5"/>
    </row>
    <row r="3229" spans="1:1" x14ac:dyDescent="0.25">
      <c r="A3229" s="5"/>
    </row>
    <row r="3230" spans="1:1" x14ac:dyDescent="0.25">
      <c r="A3230" s="5"/>
    </row>
    <row r="3231" spans="1:1" x14ac:dyDescent="0.25">
      <c r="A3231" s="5"/>
    </row>
    <row r="3232" spans="1:1" x14ac:dyDescent="0.25">
      <c r="A3232" s="5"/>
    </row>
    <row r="3233" spans="1:1" x14ac:dyDescent="0.25">
      <c r="A3233" s="5"/>
    </row>
    <row r="3234" spans="1:1" x14ac:dyDescent="0.25">
      <c r="A3234" s="5"/>
    </row>
    <row r="3235" spans="1:1" x14ac:dyDescent="0.25">
      <c r="A3235" s="5"/>
    </row>
    <row r="3236" spans="1:1" x14ac:dyDescent="0.25">
      <c r="A3236" s="5"/>
    </row>
    <row r="3237" spans="1:1" x14ac:dyDescent="0.25">
      <c r="A3237" s="5"/>
    </row>
    <row r="3238" spans="1:1" x14ac:dyDescent="0.25">
      <c r="A3238" s="5"/>
    </row>
    <row r="3239" spans="1:1" x14ac:dyDescent="0.25">
      <c r="A3239" s="5"/>
    </row>
    <row r="3240" spans="1:1" x14ac:dyDescent="0.25">
      <c r="A3240" s="5"/>
    </row>
    <row r="3241" spans="1:1" x14ac:dyDescent="0.25">
      <c r="A3241" s="5"/>
    </row>
    <row r="3242" spans="1:1" x14ac:dyDescent="0.25">
      <c r="A3242" s="5"/>
    </row>
    <row r="3243" spans="1:1" x14ac:dyDescent="0.25">
      <c r="A3243" s="5"/>
    </row>
    <row r="3244" spans="1:1" x14ac:dyDescent="0.25">
      <c r="A3244" s="5"/>
    </row>
    <row r="3245" spans="1:1" x14ac:dyDescent="0.25">
      <c r="A3245" s="5"/>
    </row>
    <row r="3246" spans="1:1" x14ac:dyDescent="0.25">
      <c r="A3246" s="5"/>
    </row>
    <row r="3247" spans="1:1" x14ac:dyDescent="0.25">
      <c r="A3247" s="5"/>
    </row>
    <row r="3248" spans="1:1" x14ac:dyDescent="0.25">
      <c r="A3248" s="5"/>
    </row>
    <row r="3249" spans="1:1" x14ac:dyDescent="0.25">
      <c r="A3249" s="5"/>
    </row>
    <row r="3250" spans="1:1" x14ac:dyDescent="0.25">
      <c r="A3250" s="5"/>
    </row>
    <row r="3251" spans="1:1" x14ac:dyDescent="0.25">
      <c r="A3251" s="5"/>
    </row>
    <row r="3252" spans="1:1" x14ac:dyDescent="0.25">
      <c r="A3252" s="5"/>
    </row>
    <row r="3253" spans="1:1" x14ac:dyDescent="0.25">
      <c r="A3253" s="5"/>
    </row>
    <row r="3254" spans="1:1" x14ac:dyDescent="0.25">
      <c r="A3254" s="5"/>
    </row>
    <row r="3255" spans="1:1" x14ac:dyDescent="0.25">
      <c r="A3255" s="5"/>
    </row>
    <row r="3256" spans="1:1" x14ac:dyDescent="0.25">
      <c r="A3256" s="5"/>
    </row>
    <row r="3257" spans="1:1" x14ac:dyDescent="0.25">
      <c r="A3257" s="5"/>
    </row>
    <row r="3258" spans="1:1" x14ac:dyDescent="0.25">
      <c r="A3258" s="5"/>
    </row>
    <row r="3259" spans="1:1" x14ac:dyDescent="0.25">
      <c r="A3259" s="5"/>
    </row>
    <row r="3260" spans="1:1" x14ac:dyDescent="0.25">
      <c r="A3260" s="5"/>
    </row>
    <row r="3261" spans="1:1" x14ac:dyDescent="0.25">
      <c r="A3261" s="5"/>
    </row>
    <row r="3262" spans="1:1" x14ac:dyDescent="0.25">
      <c r="A3262" s="5"/>
    </row>
    <row r="3263" spans="1:1" x14ac:dyDescent="0.25">
      <c r="A3263" s="5"/>
    </row>
    <row r="3264" spans="1:1" x14ac:dyDescent="0.25">
      <c r="A3264" s="5"/>
    </row>
    <row r="3265" spans="1:1" x14ac:dyDescent="0.25">
      <c r="A3265" s="5"/>
    </row>
    <row r="3266" spans="1:1" x14ac:dyDescent="0.25">
      <c r="A3266" s="5"/>
    </row>
    <row r="3267" spans="1:1" x14ac:dyDescent="0.25">
      <c r="A3267" s="5"/>
    </row>
    <row r="3268" spans="1:1" x14ac:dyDescent="0.25">
      <c r="A3268" s="5"/>
    </row>
    <row r="3269" spans="1:1" x14ac:dyDescent="0.25">
      <c r="A3269" s="5"/>
    </row>
    <row r="3270" spans="1:1" x14ac:dyDescent="0.25">
      <c r="A3270" s="5"/>
    </row>
    <row r="3271" spans="1:1" x14ac:dyDescent="0.25">
      <c r="A3271" s="5"/>
    </row>
    <row r="3272" spans="1:1" x14ac:dyDescent="0.25">
      <c r="A3272" s="5"/>
    </row>
    <row r="3273" spans="1:1" x14ac:dyDescent="0.25">
      <c r="A3273" s="5"/>
    </row>
    <row r="3274" spans="1:1" x14ac:dyDescent="0.25">
      <c r="A3274" s="5"/>
    </row>
    <row r="3275" spans="1:1" x14ac:dyDescent="0.25">
      <c r="A3275" s="5"/>
    </row>
    <row r="3276" spans="1:1" x14ac:dyDescent="0.25">
      <c r="A3276" s="5"/>
    </row>
    <row r="3277" spans="1:1" x14ac:dyDescent="0.25">
      <c r="A3277" s="5"/>
    </row>
    <row r="3278" spans="1:1" x14ac:dyDescent="0.25">
      <c r="A3278" s="5"/>
    </row>
    <row r="3279" spans="1:1" x14ac:dyDescent="0.25">
      <c r="A3279" s="5"/>
    </row>
    <row r="3280" spans="1:1" x14ac:dyDescent="0.25">
      <c r="A3280" s="5"/>
    </row>
    <row r="3281" spans="1:1" x14ac:dyDescent="0.25">
      <c r="A3281" s="5"/>
    </row>
    <row r="3282" spans="1:1" x14ac:dyDescent="0.25">
      <c r="A3282" s="5"/>
    </row>
    <row r="3283" spans="1:1" x14ac:dyDescent="0.25">
      <c r="A3283" s="5"/>
    </row>
    <row r="3284" spans="1:1" x14ac:dyDescent="0.25">
      <c r="A3284" s="5"/>
    </row>
    <row r="3285" spans="1:1" x14ac:dyDescent="0.25">
      <c r="A3285" s="5"/>
    </row>
    <row r="3286" spans="1:1" x14ac:dyDescent="0.25">
      <c r="A3286" s="5"/>
    </row>
    <row r="3287" spans="1:1" x14ac:dyDescent="0.25">
      <c r="A3287" s="5"/>
    </row>
    <row r="3288" spans="1:1" x14ac:dyDescent="0.25">
      <c r="A3288" s="5"/>
    </row>
    <row r="3289" spans="1:1" x14ac:dyDescent="0.25">
      <c r="A3289" s="5"/>
    </row>
    <row r="3290" spans="1:1" x14ac:dyDescent="0.25">
      <c r="A3290" s="5"/>
    </row>
    <row r="3291" spans="1:1" x14ac:dyDescent="0.25">
      <c r="A3291" s="5"/>
    </row>
    <row r="3292" spans="1:1" x14ac:dyDescent="0.25">
      <c r="A3292" s="5"/>
    </row>
    <row r="3293" spans="1:1" x14ac:dyDescent="0.25">
      <c r="A3293" s="5"/>
    </row>
    <row r="3294" spans="1:1" x14ac:dyDescent="0.25">
      <c r="A3294" s="5"/>
    </row>
    <row r="3295" spans="1:1" x14ac:dyDescent="0.25">
      <c r="A3295" s="5"/>
    </row>
    <row r="3296" spans="1:1" x14ac:dyDescent="0.25">
      <c r="A3296" s="5"/>
    </row>
    <row r="3297" spans="1:1" x14ac:dyDescent="0.25">
      <c r="A3297" s="5"/>
    </row>
    <row r="3298" spans="1:1" x14ac:dyDescent="0.25">
      <c r="A3298" s="5"/>
    </row>
    <row r="3299" spans="1:1" x14ac:dyDescent="0.25">
      <c r="A3299" s="5"/>
    </row>
    <row r="3300" spans="1:1" x14ac:dyDescent="0.25">
      <c r="A3300" s="5"/>
    </row>
    <row r="3301" spans="1:1" x14ac:dyDescent="0.25">
      <c r="A3301" s="5"/>
    </row>
    <row r="3302" spans="1:1" x14ac:dyDescent="0.25">
      <c r="A3302" s="5"/>
    </row>
    <row r="3303" spans="1:1" x14ac:dyDescent="0.25">
      <c r="A3303" s="5"/>
    </row>
    <row r="3304" spans="1:1" x14ac:dyDescent="0.25">
      <c r="A3304" s="5"/>
    </row>
    <row r="3305" spans="1:1" x14ac:dyDescent="0.25">
      <c r="A3305" s="5"/>
    </row>
    <row r="3306" spans="1:1" x14ac:dyDescent="0.25">
      <c r="A3306" s="5"/>
    </row>
    <row r="3307" spans="1:1" x14ac:dyDescent="0.25">
      <c r="A3307" s="5"/>
    </row>
    <row r="3308" spans="1:1" x14ac:dyDescent="0.25">
      <c r="A3308" s="5"/>
    </row>
    <row r="3309" spans="1:1" x14ac:dyDescent="0.25">
      <c r="A3309" s="5"/>
    </row>
    <row r="3310" spans="1:1" x14ac:dyDescent="0.25">
      <c r="A3310" s="5"/>
    </row>
    <row r="3311" spans="1:1" x14ac:dyDescent="0.25">
      <c r="A3311" s="5"/>
    </row>
    <row r="3312" spans="1:1" x14ac:dyDescent="0.25">
      <c r="A3312" s="5"/>
    </row>
    <row r="3313" spans="1:1" x14ac:dyDescent="0.25">
      <c r="A3313" s="5"/>
    </row>
    <row r="3314" spans="1:1" x14ac:dyDescent="0.25">
      <c r="A3314" s="5"/>
    </row>
    <row r="3315" spans="1:1" x14ac:dyDescent="0.25">
      <c r="A3315" s="5"/>
    </row>
    <row r="3316" spans="1:1" x14ac:dyDescent="0.25">
      <c r="A3316" s="5"/>
    </row>
    <row r="3317" spans="1:1" x14ac:dyDescent="0.25">
      <c r="A3317" s="5"/>
    </row>
    <row r="3318" spans="1:1" x14ac:dyDescent="0.25">
      <c r="A3318" s="5"/>
    </row>
    <row r="3319" spans="1:1" x14ac:dyDescent="0.25">
      <c r="A3319" s="5"/>
    </row>
    <row r="3320" spans="1:1" x14ac:dyDescent="0.25">
      <c r="A3320" s="5"/>
    </row>
    <row r="3321" spans="1:1" x14ac:dyDescent="0.25">
      <c r="A3321" s="5"/>
    </row>
    <row r="3322" spans="1:1" x14ac:dyDescent="0.25">
      <c r="A3322" s="5"/>
    </row>
    <row r="3323" spans="1:1" x14ac:dyDescent="0.25">
      <c r="A3323" s="5"/>
    </row>
    <row r="3324" spans="1:1" x14ac:dyDescent="0.25">
      <c r="A3324" s="5"/>
    </row>
    <row r="3325" spans="1:1" x14ac:dyDescent="0.25">
      <c r="A3325" s="5"/>
    </row>
    <row r="3326" spans="1:1" x14ac:dyDescent="0.25">
      <c r="A3326" s="5"/>
    </row>
    <row r="3327" spans="1:1" x14ac:dyDescent="0.25">
      <c r="A3327" s="5"/>
    </row>
    <row r="3328" spans="1:1" x14ac:dyDescent="0.25">
      <c r="A3328" s="5"/>
    </row>
    <row r="3329" spans="1:1" x14ac:dyDescent="0.25">
      <c r="A3329" s="5"/>
    </row>
    <row r="3330" spans="1:1" x14ac:dyDescent="0.25">
      <c r="A3330" s="5"/>
    </row>
    <row r="3331" spans="1:1" x14ac:dyDescent="0.25">
      <c r="A3331" s="5"/>
    </row>
    <row r="3332" spans="1:1" x14ac:dyDescent="0.25">
      <c r="A3332" s="5"/>
    </row>
    <row r="3333" spans="1:1" x14ac:dyDescent="0.25">
      <c r="A3333" s="5"/>
    </row>
    <row r="3334" spans="1:1" x14ac:dyDescent="0.25">
      <c r="A3334" s="5"/>
    </row>
    <row r="3335" spans="1:1" x14ac:dyDescent="0.25">
      <c r="A3335" s="5"/>
    </row>
    <row r="3336" spans="1:1" x14ac:dyDescent="0.25">
      <c r="A3336" s="5"/>
    </row>
    <row r="3337" spans="1:1" x14ac:dyDescent="0.25">
      <c r="A3337" s="5"/>
    </row>
    <row r="3338" spans="1:1" x14ac:dyDescent="0.25">
      <c r="A3338" s="5"/>
    </row>
    <row r="3339" spans="1:1" x14ac:dyDescent="0.25">
      <c r="A3339" s="5"/>
    </row>
    <row r="3340" spans="1:1" x14ac:dyDescent="0.25">
      <c r="A3340" s="5"/>
    </row>
    <row r="3341" spans="1:1" x14ac:dyDescent="0.25">
      <c r="A3341" s="5"/>
    </row>
    <row r="3342" spans="1:1" x14ac:dyDescent="0.25">
      <c r="A3342" s="5"/>
    </row>
    <row r="3343" spans="1:1" x14ac:dyDescent="0.25">
      <c r="A3343" s="5"/>
    </row>
    <row r="3344" spans="1:1" x14ac:dyDescent="0.25">
      <c r="A3344" s="5"/>
    </row>
    <row r="3345" spans="1:1" x14ac:dyDescent="0.25">
      <c r="A3345" s="5"/>
    </row>
    <row r="3346" spans="1:1" x14ac:dyDescent="0.25">
      <c r="A3346" s="5"/>
    </row>
    <row r="3347" spans="1:1" x14ac:dyDescent="0.25">
      <c r="A3347" s="5"/>
    </row>
    <row r="3348" spans="1:1" x14ac:dyDescent="0.25">
      <c r="A3348" s="5"/>
    </row>
    <row r="3349" spans="1:1" x14ac:dyDescent="0.25">
      <c r="A3349" s="5"/>
    </row>
    <row r="3350" spans="1:1" x14ac:dyDescent="0.25">
      <c r="A3350" s="5"/>
    </row>
    <row r="3351" spans="1:1" x14ac:dyDescent="0.25">
      <c r="A3351" s="5"/>
    </row>
    <row r="3352" spans="1:1" x14ac:dyDescent="0.25">
      <c r="A3352" s="5"/>
    </row>
    <row r="3353" spans="1:1" x14ac:dyDescent="0.25">
      <c r="A3353" s="5"/>
    </row>
    <row r="3354" spans="1:1" x14ac:dyDescent="0.25">
      <c r="A3354" s="5"/>
    </row>
    <row r="3355" spans="1:1" x14ac:dyDescent="0.25">
      <c r="A3355" s="5"/>
    </row>
    <row r="3356" spans="1:1" x14ac:dyDescent="0.25">
      <c r="A3356" s="5"/>
    </row>
    <row r="3357" spans="1:1" x14ac:dyDescent="0.25">
      <c r="A3357" s="5"/>
    </row>
    <row r="3358" spans="1:1" x14ac:dyDescent="0.25">
      <c r="A3358" s="5"/>
    </row>
    <row r="3359" spans="1:1" x14ac:dyDescent="0.25">
      <c r="A3359" s="5"/>
    </row>
    <row r="3360" spans="1:1" x14ac:dyDescent="0.25">
      <c r="A3360" s="5"/>
    </row>
    <row r="3361" spans="1:1" x14ac:dyDescent="0.25">
      <c r="A3361" s="5"/>
    </row>
    <row r="3362" spans="1:1" x14ac:dyDescent="0.25">
      <c r="A3362" s="5"/>
    </row>
    <row r="3363" spans="1:1" x14ac:dyDescent="0.25">
      <c r="A3363" s="5"/>
    </row>
    <row r="3364" spans="1:1" x14ac:dyDescent="0.25">
      <c r="A3364" s="5"/>
    </row>
    <row r="3365" spans="1:1" x14ac:dyDescent="0.25">
      <c r="A3365" s="5"/>
    </row>
    <row r="3366" spans="1:1" x14ac:dyDescent="0.25">
      <c r="A3366" s="5"/>
    </row>
    <row r="3367" spans="1:1" x14ac:dyDescent="0.25">
      <c r="A3367" s="5"/>
    </row>
    <row r="3368" spans="1:1" x14ac:dyDescent="0.25">
      <c r="A3368" s="5"/>
    </row>
    <row r="3369" spans="1:1" x14ac:dyDescent="0.25">
      <c r="A3369" s="5"/>
    </row>
    <row r="3370" spans="1:1" x14ac:dyDescent="0.25">
      <c r="A3370" s="5"/>
    </row>
    <row r="3371" spans="1:1" x14ac:dyDescent="0.25">
      <c r="A3371" s="5"/>
    </row>
    <row r="3372" spans="1:1" x14ac:dyDescent="0.25">
      <c r="A3372" s="5"/>
    </row>
    <row r="3373" spans="1:1" x14ac:dyDescent="0.25">
      <c r="A3373" s="5"/>
    </row>
    <row r="3374" spans="1:1" x14ac:dyDescent="0.25">
      <c r="A3374" s="5"/>
    </row>
    <row r="3375" spans="1:1" x14ac:dyDescent="0.25">
      <c r="A3375" s="5"/>
    </row>
    <row r="3376" spans="1:1" x14ac:dyDescent="0.25">
      <c r="A3376" s="5"/>
    </row>
    <row r="3377" spans="1:1" x14ac:dyDescent="0.25">
      <c r="A3377" s="5"/>
    </row>
    <row r="3378" spans="1:1" x14ac:dyDescent="0.25">
      <c r="A3378" s="5"/>
    </row>
    <row r="3379" spans="1:1" x14ac:dyDescent="0.25">
      <c r="A3379" s="5"/>
    </row>
    <row r="3380" spans="1:1" x14ac:dyDescent="0.25">
      <c r="A3380" s="5"/>
    </row>
    <row r="3381" spans="1:1" x14ac:dyDescent="0.25">
      <c r="A3381" s="5"/>
    </row>
    <row r="3382" spans="1:1" x14ac:dyDescent="0.25">
      <c r="A3382" s="5"/>
    </row>
    <row r="3383" spans="1:1" x14ac:dyDescent="0.25">
      <c r="A3383" s="5"/>
    </row>
    <row r="3384" spans="1:1" x14ac:dyDescent="0.25">
      <c r="A3384" s="5"/>
    </row>
    <row r="3385" spans="1:1" x14ac:dyDescent="0.25">
      <c r="A3385" s="5"/>
    </row>
    <row r="3386" spans="1:1" x14ac:dyDescent="0.25">
      <c r="A3386" s="5"/>
    </row>
    <row r="3387" spans="1:1" x14ac:dyDescent="0.25">
      <c r="A3387" s="5"/>
    </row>
    <row r="3388" spans="1:1" x14ac:dyDescent="0.25">
      <c r="A3388" s="5"/>
    </row>
    <row r="3389" spans="1:1" x14ac:dyDescent="0.25">
      <c r="A3389" s="5"/>
    </row>
    <row r="3390" spans="1:1" x14ac:dyDescent="0.25">
      <c r="A3390" s="5"/>
    </row>
    <row r="3391" spans="1:1" x14ac:dyDescent="0.25">
      <c r="A3391" s="5"/>
    </row>
    <row r="3392" spans="1:1" x14ac:dyDescent="0.25">
      <c r="A3392" s="5"/>
    </row>
    <row r="3393" spans="1:1" x14ac:dyDescent="0.25">
      <c r="A3393" s="5"/>
    </row>
    <row r="3394" spans="1:1" x14ac:dyDescent="0.25">
      <c r="A3394" s="5"/>
    </row>
    <row r="3395" spans="1:1" x14ac:dyDescent="0.25">
      <c r="A3395" s="5"/>
    </row>
    <row r="3396" spans="1:1" x14ac:dyDescent="0.25">
      <c r="A3396" s="5"/>
    </row>
    <row r="3397" spans="1:1" x14ac:dyDescent="0.25">
      <c r="A3397" s="5"/>
    </row>
    <row r="3398" spans="1:1" x14ac:dyDescent="0.25">
      <c r="A3398" s="5"/>
    </row>
    <row r="3399" spans="1:1" x14ac:dyDescent="0.25">
      <c r="A3399" s="5"/>
    </row>
    <row r="3400" spans="1:1" x14ac:dyDescent="0.25">
      <c r="A3400" s="5"/>
    </row>
    <row r="3401" spans="1:1" x14ac:dyDescent="0.25">
      <c r="A3401" s="5"/>
    </row>
    <row r="3402" spans="1:1" x14ac:dyDescent="0.25">
      <c r="A3402" s="5"/>
    </row>
    <row r="3403" spans="1:1" x14ac:dyDescent="0.25">
      <c r="A3403" s="5"/>
    </row>
    <row r="3404" spans="1:1" x14ac:dyDescent="0.25">
      <c r="A3404" s="5"/>
    </row>
    <row r="3405" spans="1:1" x14ac:dyDescent="0.25">
      <c r="A3405" s="5"/>
    </row>
    <row r="3406" spans="1:1" x14ac:dyDescent="0.25">
      <c r="A3406" s="5"/>
    </row>
    <row r="3407" spans="1:1" x14ac:dyDescent="0.25">
      <c r="A3407" s="5"/>
    </row>
    <row r="3408" spans="1:1" x14ac:dyDescent="0.25">
      <c r="A3408" s="5"/>
    </row>
    <row r="3409" spans="1:1" x14ac:dyDescent="0.25">
      <c r="A3409" s="5"/>
    </row>
    <row r="3410" spans="1:1" x14ac:dyDescent="0.25">
      <c r="A3410" s="5"/>
    </row>
    <row r="3411" spans="1:1" x14ac:dyDescent="0.25">
      <c r="A3411" s="5"/>
    </row>
    <row r="3412" spans="1:1" x14ac:dyDescent="0.25">
      <c r="A3412" s="5"/>
    </row>
    <row r="3413" spans="1:1" x14ac:dyDescent="0.25">
      <c r="A3413" s="5"/>
    </row>
    <row r="3414" spans="1:1" x14ac:dyDescent="0.25">
      <c r="A3414" s="5"/>
    </row>
    <row r="3415" spans="1:1" x14ac:dyDescent="0.25">
      <c r="A3415" s="5"/>
    </row>
    <row r="3416" spans="1:1" x14ac:dyDescent="0.25">
      <c r="A3416" s="5"/>
    </row>
    <row r="3417" spans="1:1" x14ac:dyDescent="0.25">
      <c r="A3417" s="5"/>
    </row>
    <row r="3418" spans="1:1" x14ac:dyDescent="0.25">
      <c r="A3418" s="5"/>
    </row>
    <row r="3419" spans="1:1" x14ac:dyDescent="0.25">
      <c r="A3419" s="5"/>
    </row>
    <row r="3420" spans="1:1" x14ac:dyDescent="0.25">
      <c r="A3420" s="5"/>
    </row>
    <row r="3421" spans="1:1" x14ac:dyDescent="0.25">
      <c r="A3421" s="5"/>
    </row>
    <row r="3422" spans="1:1" x14ac:dyDescent="0.25">
      <c r="A3422" s="5"/>
    </row>
    <row r="3423" spans="1:1" x14ac:dyDescent="0.25">
      <c r="A3423" s="5"/>
    </row>
    <row r="3424" spans="1:1" x14ac:dyDescent="0.25">
      <c r="A3424" s="5"/>
    </row>
    <row r="3425" spans="1:1" x14ac:dyDescent="0.25">
      <c r="A3425" s="5"/>
    </row>
    <row r="3426" spans="1:1" x14ac:dyDescent="0.25">
      <c r="A3426" s="5"/>
    </row>
    <row r="3427" spans="1:1" x14ac:dyDescent="0.25">
      <c r="A3427" s="5"/>
    </row>
    <row r="3428" spans="1:1" x14ac:dyDescent="0.25">
      <c r="A3428" s="5"/>
    </row>
    <row r="3429" spans="1:1" x14ac:dyDescent="0.25">
      <c r="A3429" s="5"/>
    </row>
    <row r="3430" spans="1:1" x14ac:dyDescent="0.25">
      <c r="A3430" s="5"/>
    </row>
    <row r="3431" spans="1:1" x14ac:dyDescent="0.25">
      <c r="A3431" s="5"/>
    </row>
    <row r="3432" spans="1:1" x14ac:dyDescent="0.25">
      <c r="A3432" s="5"/>
    </row>
    <row r="3433" spans="1:1" x14ac:dyDescent="0.25">
      <c r="A3433" s="5"/>
    </row>
    <row r="3434" spans="1:1" x14ac:dyDescent="0.25">
      <c r="A3434" s="5"/>
    </row>
    <row r="3435" spans="1:1" x14ac:dyDescent="0.25">
      <c r="A3435" s="5"/>
    </row>
    <row r="3436" spans="1:1" x14ac:dyDescent="0.25">
      <c r="A3436" s="5"/>
    </row>
    <row r="3437" spans="1:1" x14ac:dyDescent="0.25">
      <c r="A3437" s="5"/>
    </row>
    <row r="3438" spans="1:1" x14ac:dyDescent="0.25">
      <c r="A3438" s="5"/>
    </row>
    <row r="3439" spans="1:1" x14ac:dyDescent="0.25">
      <c r="A3439" s="5"/>
    </row>
    <row r="3440" spans="1:1" x14ac:dyDescent="0.25">
      <c r="A3440" s="5"/>
    </row>
    <row r="3441" spans="1:1" x14ac:dyDescent="0.25">
      <c r="A3441" s="5"/>
    </row>
    <row r="3442" spans="1:1" x14ac:dyDescent="0.25">
      <c r="A3442" s="5"/>
    </row>
    <row r="3443" spans="1:1" x14ac:dyDescent="0.25">
      <c r="A3443" s="5"/>
    </row>
    <row r="3444" spans="1:1" x14ac:dyDescent="0.25">
      <c r="A3444" s="5"/>
    </row>
    <row r="3445" spans="1:1" x14ac:dyDescent="0.25">
      <c r="A3445" s="5"/>
    </row>
    <row r="3446" spans="1:1" x14ac:dyDescent="0.25">
      <c r="A3446" s="5"/>
    </row>
    <row r="3447" spans="1:1" x14ac:dyDescent="0.25">
      <c r="A3447" s="5"/>
    </row>
    <row r="3448" spans="1:1" x14ac:dyDescent="0.25">
      <c r="A3448" s="5"/>
    </row>
    <row r="3449" spans="1:1" x14ac:dyDescent="0.25">
      <c r="A3449" s="5"/>
    </row>
    <row r="3450" spans="1:1" x14ac:dyDescent="0.25">
      <c r="A3450" s="5"/>
    </row>
    <row r="3451" spans="1:1" x14ac:dyDescent="0.25">
      <c r="A3451" s="5"/>
    </row>
    <row r="3452" spans="1:1" x14ac:dyDescent="0.25">
      <c r="A3452" s="5"/>
    </row>
    <row r="3453" spans="1:1" x14ac:dyDescent="0.25">
      <c r="A3453" s="5"/>
    </row>
    <row r="3454" spans="1:1" x14ac:dyDescent="0.25">
      <c r="A3454" s="5"/>
    </row>
    <row r="3455" spans="1:1" x14ac:dyDescent="0.25">
      <c r="A3455" s="5"/>
    </row>
    <row r="3456" spans="1:1" x14ac:dyDescent="0.25">
      <c r="A3456" s="5"/>
    </row>
    <row r="3457" spans="1:1" x14ac:dyDescent="0.25">
      <c r="A3457" s="5"/>
    </row>
    <row r="3458" spans="1:1" x14ac:dyDescent="0.25">
      <c r="A3458" s="5"/>
    </row>
    <row r="3459" spans="1:1" x14ac:dyDescent="0.25">
      <c r="A3459" s="5"/>
    </row>
    <row r="3460" spans="1:1" x14ac:dyDescent="0.25">
      <c r="A3460" s="5"/>
    </row>
    <row r="3461" spans="1:1" x14ac:dyDescent="0.25">
      <c r="A3461" s="5"/>
    </row>
    <row r="3462" spans="1:1" x14ac:dyDescent="0.25">
      <c r="A3462" s="5"/>
    </row>
    <row r="3463" spans="1:1" x14ac:dyDescent="0.25">
      <c r="A3463" s="5"/>
    </row>
    <row r="3464" spans="1:1" x14ac:dyDescent="0.25">
      <c r="A3464" s="5"/>
    </row>
    <row r="3465" spans="1:1" x14ac:dyDescent="0.25">
      <c r="A3465" s="5"/>
    </row>
    <row r="3466" spans="1:1" x14ac:dyDescent="0.25">
      <c r="A3466" s="5"/>
    </row>
    <row r="3467" spans="1:1" x14ac:dyDescent="0.25">
      <c r="A3467" s="5"/>
    </row>
    <row r="3468" spans="1:1" x14ac:dyDescent="0.25">
      <c r="A3468" s="5"/>
    </row>
    <row r="3469" spans="1:1" x14ac:dyDescent="0.25">
      <c r="A3469" s="5"/>
    </row>
    <row r="3470" spans="1:1" x14ac:dyDescent="0.25">
      <c r="A3470" s="5"/>
    </row>
    <row r="3471" spans="1:1" x14ac:dyDescent="0.25">
      <c r="A3471" s="5"/>
    </row>
    <row r="3472" spans="1:1" x14ac:dyDescent="0.25">
      <c r="A3472" s="5"/>
    </row>
    <row r="3473" spans="1:1" x14ac:dyDescent="0.25">
      <c r="A3473" s="5"/>
    </row>
    <row r="3474" spans="1:1" x14ac:dyDescent="0.25">
      <c r="A3474" s="5"/>
    </row>
    <row r="3475" spans="1:1" x14ac:dyDescent="0.25">
      <c r="A3475" s="5"/>
    </row>
    <row r="3476" spans="1:1" x14ac:dyDescent="0.25">
      <c r="A3476" s="5"/>
    </row>
    <row r="3477" spans="1:1" x14ac:dyDescent="0.25">
      <c r="A3477" s="5"/>
    </row>
    <row r="3478" spans="1:1" x14ac:dyDescent="0.25">
      <c r="A3478" s="5"/>
    </row>
    <row r="3479" spans="1:1" x14ac:dyDescent="0.25">
      <c r="A3479" s="5"/>
    </row>
    <row r="3480" spans="1:1" x14ac:dyDescent="0.25">
      <c r="A3480" s="5"/>
    </row>
    <row r="3481" spans="1:1" x14ac:dyDescent="0.25">
      <c r="A3481" s="5"/>
    </row>
    <row r="3482" spans="1:1" x14ac:dyDescent="0.25">
      <c r="A3482" s="5"/>
    </row>
    <row r="3483" spans="1:1" x14ac:dyDescent="0.25">
      <c r="A3483" s="5"/>
    </row>
    <row r="3484" spans="1:1" x14ac:dyDescent="0.25">
      <c r="A3484" s="5"/>
    </row>
    <row r="3485" spans="1:1" x14ac:dyDescent="0.25">
      <c r="A3485" s="5"/>
    </row>
    <row r="3486" spans="1:1" x14ac:dyDescent="0.25">
      <c r="A3486" s="5"/>
    </row>
    <row r="3487" spans="1:1" x14ac:dyDescent="0.25">
      <c r="A3487" s="5"/>
    </row>
    <row r="3488" spans="1:1" x14ac:dyDescent="0.25">
      <c r="A3488" s="5"/>
    </row>
    <row r="3489" spans="1:1" x14ac:dyDescent="0.25">
      <c r="A3489" s="5"/>
    </row>
    <row r="3490" spans="1:1" x14ac:dyDescent="0.25">
      <c r="A3490" s="5"/>
    </row>
    <row r="3491" spans="1:1" x14ac:dyDescent="0.25">
      <c r="A3491" s="5"/>
    </row>
    <row r="3492" spans="1:1" x14ac:dyDescent="0.25">
      <c r="A3492" s="5"/>
    </row>
    <row r="3493" spans="1:1" x14ac:dyDescent="0.25">
      <c r="A3493" s="5"/>
    </row>
    <row r="3494" spans="1:1" x14ac:dyDescent="0.25">
      <c r="A3494" s="5"/>
    </row>
    <row r="3495" spans="1:1" x14ac:dyDescent="0.25">
      <c r="A3495" s="5"/>
    </row>
    <row r="3496" spans="1:1" x14ac:dyDescent="0.25">
      <c r="A3496" s="5"/>
    </row>
    <row r="3497" spans="1:1" x14ac:dyDescent="0.25">
      <c r="A3497" s="5"/>
    </row>
    <row r="3498" spans="1:1" x14ac:dyDescent="0.25">
      <c r="A3498" s="5"/>
    </row>
    <row r="3499" spans="1:1" x14ac:dyDescent="0.25">
      <c r="A3499" s="5"/>
    </row>
    <row r="3500" spans="1:1" x14ac:dyDescent="0.25">
      <c r="A3500" s="5"/>
    </row>
    <row r="3501" spans="1:1" x14ac:dyDescent="0.25">
      <c r="A3501" s="5"/>
    </row>
    <row r="3502" spans="1:1" x14ac:dyDescent="0.25">
      <c r="A3502" s="5"/>
    </row>
    <row r="3503" spans="1:1" x14ac:dyDescent="0.25">
      <c r="A3503" s="5"/>
    </row>
    <row r="3504" spans="1:1" x14ac:dyDescent="0.25">
      <c r="A3504" s="5"/>
    </row>
    <row r="3505" spans="1:1" x14ac:dyDescent="0.25">
      <c r="A3505" s="5"/>
    </row>
    <row r="3506" spans="1:1" x14ac:dyDescent="0.25">
      <c r="A3506" s="5"/>
    </row>
    <row r="3507" spans="1:1" x14ac:dyDescent="0.25">
      <c r="A3507" s="5"/>
    </row>
    <row r="3508" spans="1:1" x14ac:dyDescent="0.25">
      <c r="A3508" s="5"/>
    </row>
    <row r="3509" spans="1:1" x14ac:dyDescent="0.25">
      <c r="A3509" s="5"/>
    </row>
    <row r="3510" spans="1:1" x14ac:dyDescent="0.25">
      <c r="A3510" s="5"/>
    </row>
    <row r="3511" spans="1:1" x14ac:dyDescent="0.25">
      <c r="A3511" s="5"/>
    </row>
    <row r="3512" spans="1:1" x14ac:dyDescent="0.25">
      <c r="A3512" s="5"/>
    </row>
    <row r="3513" spans="1:1" x14ac:dyDescent="0.25">
      <c r="A3513" s="5"/>
    </row>
    <row r="3514" spans="1:1" x14ac:dyDescent="0.25">
      <c r="A3514" s="5"/>
    </row>
    <row r="3515" spans="1:1" x14ac:dyDescent="0.25">
      <c r="A3515" s="5"/>
    </row>
    <row r="3516" spans="1:1" x14ac:dyDescent="0.25">
      <c r="A3516" s="5"/>
    </row>
    <row r="3517" spans="1:1" x14ac:dyDescent="0.25">
      <c r="A3517" s="5"/>
    </row>
    <row r="3518" spans="1:1" x14ac:dyDescent="0.25">
      <c r="A3518" s="5"/>
    </row>
    <row r="3519" spans="1:1" x14ac:dyDescent="0.25">
      <c r="A3519" s="5"/>
    </row>
    <row r="3520" spans="1:1" x14ac:dyDescent="0.25">
      <c r="A3520" s="5"/>
    </row>
    <row r="3521" spans="1:1" x14ac:dyDescent="0.25">
      <c r="A3521" s="5"/>
    </row>
    <row r="3522" spans="1:1" x14ac:dyDescent="0.25">
      <c r="A3522" s="5"/>
    </row>
    <row r="3523" spans="1:1" x14ac:dyDescent="0.25">
      <c r="A3523" s="5"/>
    </row>
    <row r="3524" spans="1:1" x14ac:dyDescent="0.25">
      <c r="A3524" s="5"/>
    </row>
    <row r="3525" spans="1:1" x14ac:dyDescent="0.25">
      <c r="A3525" s="5"/>
    </row>
    <row r="3526" spans="1:1" x14ac:dyDescent="0.25">
      <c r="A3526" s="5"/>
    </row>
    <row r="3527" spans="1:1" x14ac:dyDescent="0.25">
      <c r="A3527" s="5"/>
    </row>
    <row r="3528" spans="1:1" x14ac:dyDescent="0.25">
      <c r="A3528" s="5"/>
    </row>
    <row r="3529" spans="1:1" x14ac:dyDescent="0.25">
      <c r="A3529" s="5"/>
    </row>
    <row r="3530" spans="1:1" x14ac:dyDescent="0.25">
      <c r="A3530" s="5"/>
    </row>
    <row r="3531" spans="1:1" x14ac:dyDescent="0.25">
      <c r="A3531" s="5"/>
    </row>
    <row r="3532" spans="1:1" x14ac:dyDescent="0.25">
      <c r="A3532" s="5"/>
    </row>
    <row r="3533" spans="1:1" x14ac:dyDescent="0.25">
      <c r="A3533" s="5"/>
    </row>
    <row r="3534" spans="1:1" x14ac:dyDescent="0.25">
      <c r="A3534" s="5"/>
    </row>
    <row r="3535" spans="1:1" x14ac:dyDescent="0.25">
      <c r="A3535" s="5"/>
    </row>
    <row r="3536" spans="1:1" x14ac:dyDescent="0.25">
      <c r="A3536" s="5"/>
    </row>
    <row r="3537" spans="1:1" x14ac:dyDescent="0.25">
      <c r="A3537" s="5"/>
    </row>
    <row r="3538" spans="1:1" x14ac:dyDescent="0.25">
      <c r="A3538" s="5"/>
    </row>
    <row r="3539" spans="1:1" x14ac:dyDescent="0.25">
      <c r="A3539" s="5"/>
    </row>
    <row r="3540" spans="1:1" x14ac:dyDescent="0.25">
      <c r="A3540" s="5"/>
    </row>
    <row r="3541" spans="1:1" x14ac:dyDescent="0.25">
      <c r="A3541" s="5"/>
    </row>
    <row r="3542" spans="1:1" x14ac:dyDescent="0.25">
      <c r="A3542" s="5"/>
    </row>
    <row r="3543" spans="1:1" x14ac:dyDescent="0.25">
      <c r="A3543" s="5"/>
    </row>
    <row r="3544" spans="1:1" x14ac:dyDescent="0.25">
      <c r="A3544" s="5"/>
    </row>
    <row r="3545" spans="1:1" x14ac:dyDescent="0.25">
      <c r="A3545" s="5"/>
    </row>
    <row r="3546" spans="1:1" x14ac:dyDescent="0.25">
      <c r="A3546" s="5"/>
    </row>
    <row r="3547" spans="1:1" x14ac:dyDescent="0.25">
      <c r="A3547" s="5"/>
    </row>
    <row r="3548" spans="1:1" x14ac:dyDescent="0.25">
      <c r="A3548" s="5"/>
    </row>
    <row r="3549" spans="1:1" x14ac:dyDescent="0.25">
      <c r="A3549" s="5"/>
    </row>
    <row r="3550" spans="1:1" x14ac:dyDescent="0.25">
      <c r="A3550" s="5"/>
    </row>
    <row r="3551" spans="1:1" x14ac:dyDescent="0.25">
      <c r="A3551" s="5"/>
    </row>
    <row r="3552" spans="1:1" x14ac:dyDescent="0.25">
      <c r="A3552" s="5"/>
    </row>
    <row r="3553" spans="1:1" x14ac:dyDescent="0.25">
      <c r="A3553" s="5"/>
    </row>
    <row r="3554" spans="1:1" x14ac:dyDescent="0.25">
      <c r="A3554" s="5"/>
    </row>
    <row r="3555" spans="1:1" x14ac:dyDescent="0.25">
      <c r="A3555" s="5"/>
    </row>
    <row r="3556" spans="1:1" x14ac:dyDescent="0.25">
      <c r="A3556" s="5"/>
    </row>
    <row r="3557" spans="1:1" x14ac:dyDescent="0.25">
      <c r="A3557" s="5"/>
    </row>
    <row r="3558" spans="1:1" x14ac:dyDescent="0.25">
      <c r="A3558" s="5"/>
    </row>
    <row r="3559" spans="1:1" x14ac:dyDescent="0.25">
      <c r="A3559" s="5"/>
    </row>
    <row r="3560" spans="1:1" x14ac:dyDescent="0.25">
      <c r="A3560" s="5"/>
    </row>
    <row r="3561" spans="1:1" x14ac:dyDescent="0.25">
      <c r="A3561" s="5"/>
    </row>
    <row r="3562" spans="1:1" x14ac:dyDescent="0.25">
      <c r="A3562" s="5"/>
    </row>
    <row r="3563" spans="1:1" x14ac:dyDescent="0.25">
      <c r="A3563" s="5"/>
    </row>
    <row r="3564" spans="1:1" x14ac:dyDescent="0.25">
      <c r="A3564" s="5"/>
    </row>
    <row r="3565" spans="1:1" x14ac:dyDescent="0.25">
      <c r="A3565" s="5"/>
    </row>
    <row r="3566" spans="1:1" x14ac:dyDescent="0.25">
      <c r="A3566" s="5"/>
    </row>
    <row r="3567" spans="1:1" x14ac:dyDescent="0.25">
      <c r="A3567" s="5"/>
    </row>
    <row r="3568" spans="1:1" x14ac:dyDescent="0.25">
      <c r="A3568" s="5"/>
    </row>
    <row r="3569" spans="1:1" x14ac:dyDescent="0.25">
      <c r="A3569" s="5"/>
    </row>
    <row r="3570" spans="1:1" x14ac:dyDescent="0.25">
      <c r="A3570" s="5"/>
    </row>
    <row r="3571" spans="1:1" x14ac:dyDescent="0.25">
      <c r="A3571" s="5"/>
    </row>
    <row r="3572" spans="1:1" x14ac:dyDescent="0.25">
      <c r="A3572" s="5"/>
    </row>
    <row r="3573" spans="1:1" x14ac:dyDescent="0.25">
      <c r="A3573" s="5"/>
    </row>
    <row r="3574" spans="1:1" x14ac:dyDescent="0.25">
      <c r="A3574" s="5"/>
    </row>
    <row r="3575" spans="1:1" x14ac:dyDescent="0.25">
      <c r="A3575" s="5"/>
    </row>
    <row r="3576" spans="1:1" x14ac:dyDescent="0.25">
      <c r="A3576" s="5"/>
    </row>
    <row r="3577" spans="1:1" x14ac:dyDescent="0.25">
      <c r="A3577" s="5"/>
    </row>
    <row r="3578" spans="1:1" x14ac:dyDescent="0.25">
      <c r="A3578" s="5"/>
    </row>
    <row r="3579" spans="1:1" x14ac:dyDescent="0.25">
      <c r="A3579" s="5"/>
    </row>
    <row r="3580" spans="1:1" x14ac:dyDescent="0.25">
      <c r="A3580" s="5"/>
    </row>
    <row r="3581" spans="1:1" x14ac:dyDescent="0.25">
      <c r="A3581" s="5"/>
    </row>
    <row r="3582" spans="1:1" x14ac:dyDescent="0.25">
      <c r="A3582" s="5"/>
    </row>
    <row r="3583" spans="1:1" x14ac:dyDescent="0.25">
      <c r="A3583" s="5"/>
    </row>
    <row r="3584" spans="1:1" x14ac:dyDescent="0.25">
      <c r="A3584" s="5"/>
    </row>
    <row r="3585" spans="1:1" x14ac:dyDescent="0.25">
      <c r="A3585" s="5"/>
    </row>
    <row r="3586" spans="1:1" x14ac:dyDescent="0.25">
      <c r="A3586" s="5"/>
    </row>
    <row r="3587" spans="1:1" x14ac:dyDescent="0.25">
      <c r="A3587" s="5"/>
    </row>
    <row r="3588" spans="1:1" x14ac:dyDescent="0.25">
      <c r="A3588" s="5"/>
    </row>
    <row r="3589" spans="1:1" x14ac:dyDescent="0.25">
      <c r="A3589" s="5"/>
    </row>
    <row r="3590" spans="1:1" x14ac:dyDescent="0.25">
      <c r="A3590" s="5"/>
    </row>
    <row r="3591" spans="1:1" x14ac:dyDescent="0.25">
      <c r="A3591" s="5"/>
    </row>
    <row r="3592" spans="1:1" x14ac:dyDescent="0.25">
      <c r="A3592" s="5"/>
    </row>
    <row r="3593" spans="1:1" x14ac:dyDescent="0.25">
      <c r="A3593" s="5"/>
    </row>
    <row r="3594" spans="1:1" x14ac:dyDescent="0.25">
      <c r="A3594" s="5"/>
    </row>
    <row r="3595" spans="1:1" x14ac:dyDescent="0.25">
      <c r="A3595" s="5"/>
    </row>
    <row r="3596" spans="1:1" x14ac:dyDescent="0.25">
      <c r="A3596" s="5"/>
    </row>
    <row r="3597" spans="1:1" x14ac:dyDescent="0.25">
      <c r="A3597" s="5"/>
    </row>
    <row r="3598" spans="1:1" x14ac:dyDescent="0.25">
      <c r="A3598" s="5"/>
    </row>
    <row r="3599" spans="1:1" x14ac:dyDescent="0.25">
      <c r="A3599" s="5"/>
    </row>
    <row r="3600" spans="1:1" x14ac:dyDescent="0.25">
      <c r="A3600" s="5"/>
    </row>
    <row r="3601" spans="1:1" x14ac:dyDescent="0.25">
      <c r="A3601" s="5"/>
    </row>
    <row r="3602" spans="1:1" x14ac:dyDescent="0.25">
      <c r="A3602" s="5"/>
    </row>
    <row r="3603" spans="1:1" x14ac:dyDescent="0.25">
      <c r="A3603" s="5"/>
    </row>
    <row r="3604" spans="1:1" x14ac:dyDescent="0.25">
      <c r="A3604" s="5"/>
    </row>
    <row r="3605" spans="1:1" x14ac:dyDescent="0.25">
      <c r="A3605" s="5"/>
    </row>
    <row r="3606" spans="1:1" x14ac:dyDescent="0.25">
      <c r="A3606" s="5"/>
    </row>
    <row r="3607" spans="1:1" x14ac:dyDescent="0.25">
      <c r="A3607" s="5"/>
    </row>
    <row r="3608" spans="1:1" x14ac:dyDescent="0.25">
      <c r="A3608" s="5"/>
    </row>
    <row r="3609" spans="1:1" x14ac:dyDescent="0.25">
      <c r="A3609" s="5"/>
    </row>
    <row r="3610" spans="1:1" x14ac:dyDescent="0.25">
      <c r="A3610" s="5"/>
    </row>
    <row r="3611" spans="1:1" x14ac:dyDescent="0.25">
      <c r="A3611" s="5"/>
    </row>
    <row r="3612" spans="1:1" x14ac:dyDescent="0.25">
      <c r="A3612" s="5"/>
    </row>
    <row r="3613" spans="1:1" x14ac:dyDescent="0.25">
      <c r="A3613" s="5"/>
    </row>
    <row r="3614" spans="1:1" x14ac:dyDescent="0.25">
      <c r="A3614" s="5"/>
    </row>
    <row r="3615" spans="1:1" x14ac:dyDescent="0.25">
      <c r="A3615" s="5"/>
    </row>
    <row r="3616" spans="1:1" x14ac:dyDescent="0.25">
      <c r="A3616" s="5"/>
    </row>
    <row r="3617" spans="1:1" x14ac:dyDescent="0.25">
      <c r="A3617" s="5"/>
    </row>
    <row r="3618" spans="1:1" x14ac:dyDescent="0.25">
      <c r="A3618" s="5"/>
    </row>
    <row r="3619" spans="1:1" x14ac:dyDescent="0.25">
      <c r="A3619" s="5"/>
    </row>
    <row r="3620" spans="1:1" x14ac:dyDescent="0.25">
      <c r="A3620" s="5"/>
    </row>
    <row r="3621" spans="1:1" x14ac:dyDescent="0.25">
      <c r="A3621" s="5"/>
    </row>
    <row r="3622" spans="1:1" x14ac:dyDescent="0.25">
      <c r="A3622" s="5"/>
    </row>
    <row r="3623" spans="1:1" x14ac:dyDescent="0.25">
      <c r="A3623" s="5"/>
    </row>
    <row r="3624" spans="1:1" x14ac:dyDescent="0.25">
      <c r="A3624" s="5"/>
    </row>
    <row r="3625" spans="1:1" x14ac:dyDescent="0.25">
      <c r="A3625" s="5"/>
    </row>
    <row r="3626" spans="1:1" x14ac:dyDescent="0.25">
      <c r="A3626" s="5"/>
    </row>
    <row r="3627" spans="1:1" x14ac:dyDescent="0.25">
      <c r="A3627" s="5"/>
    </row>
    <row r="3628" spans="1:1" x14ac:dyDescent="0.25">
      <c r="A3628" s="5"/>
    </row>
    <row r="3629" spans="1:1" x14ac:dyDescent="0.25">
      <c r="A3629" s="5"/>
    </row>
    <row r="3630" spans="1:1" x14ac:dyDescent="0.25">
      <c r="A3630" s="5"/>
    </row>
    <row r="3631" spans="1:1" x14ac:dyDescent="0.25">
      <c r="A3631" s="5"/>
    </row>
    <row r="3632" spans="1:1" x14ac:dyDescent="0.25">
      <c r="A3632" s="5"/>
    </row>
    <row r="3633" spans="1:1" x14ac:dyDescent="0.25">
      <c r="A3633" s="5"/>
    </row>
    <row r="3634" spans="1:1" x14ac:dyDescent="0.25">
      <c r="A3634" s="5"/>
    </row>
    <row r="3635" spans="1:1" x14ac:dyDescent="0.25">
      <c r="A3635" s="5"/>
    </row>
    <row r="3636" spans="1:1" x14ac:dyDescent="0.25">
      <c r="A3636" s="5"/>
    </row>
    <row r="3637" spans="1:1" x14ac:dyDescent="0.25">
      <c r="A3637" s="5"/>
    </row>
    <row r="3638" spans="1:1" x14ac:dyDescent="0.25">
      <c r="A3638" s="5"/>
    </row>
    <row r="3639" spans="1:1" x14ac:dyDescent="0.25">
      <c r="A3639" s="5"/>
    </row>
    <row r="3640" spans="1:1" x14ac:dyDescent="0.25">
      <c r="A3640" s="5"/>
    </row>
    <row r="3641" spans="1:1" x14ac:dyDescent="0.25">
      <c r="A3641" s="5"/>
    </row>
    <row r="3642" spans="1:1" x14ac:dyDescent="0.25">
      <c r="A3642" s="5"/>
    </row>
    <row r="3643" spans="1:1" x14ac:dyDescent="0.25">
      <c r="A3643" s="5"/>
    </row>
    <row r="3644" spans="1:1" x14ac:dyDescent="0.25">
      <c r="A3644" s="5"/>
    </row>
    <row r="3645" spans="1:1" x14ac:dyDescent="0.25">
      <c r="A3645" s="5"/>
    </row>
    <row r="3646" spans="1:1" x14ac:dyDescent="0.25">
      <c r="A3646" s="5"/>
    </row>
    <row r="3647" spans="1:1" x14ac:dyDescent="0.25">
      <c r="A3647" s="5"/>
    </row>
    <row r="3648" spans="1:1" x14ac:dyDescent="0.25">
      <c r="A3648" s="5"/>
    </row>
    <row r="3649" spans="1:1" x14ac:dyDescent="0.25">
      <c r="A3649" s="5"/>
    </row>
    <row r="3650" spans="1:1" x14ac:dyDescent="0.25">
      <c r="A3650" s="5"/>
    </row>
    <row r="3651" spans="1:1" x14ac:dyDescent="0.25">
      <c r="A3651" s="5"/>
    </row>
    <row r="3652" spans="1:1" x14ac:dyDescent="0.25">
      <c r="A3652" s="5"/>
    </row>
    <row r="3653" spans="1:1" x14ac:dyDescent="0.25">
      <c r="A3653" s="5"/>
    </row>
    <row r="3654" spans="1:1" x14ac:dyDescent="0.25">
      <c r="A3654" s="5"/>
    </row>
    <row r="3655" spans="1:1" x14ac:dyDescent="0.25">
      <c r="A3655" s="5"/>
    </row>
    <row r="3656" spans="1:1" x14ac:dyDescent="0.25">
      <c r="A3656" s="5"/>
    </row>
    <row r="3657" spans="1:1" x14ac:dyDescent="0.25">
      <c r="A3657" s="5"/>
    </row>
    <row r="3658" spans="1:1" x14ac:dyDescent="0.25">
      <c r="A3658" s="5"/>
    </row>
    <row r="3659" spans="1:1" x14ac:dyDescent="0.25">
      <c r="A3659" s="5"/>
    </row>
    <row r="3660" spans="1:1" x14ac:dyDescent="0.25">
      <c r="A3660" s="5"/>
    </row>
    <row r="3661" spans="1:1" x14ac:dyDescent="0.25">
      <c r="A3661" s="5"/>
    </row>
    <row r="3662" spans="1:1" x14ac:dyDescent="0.25">
      <c r="A3662" s="5"/>
    </row>
    <row r="3663" spans="1:1" x14ac:dyDescent="0.25">
      <c r="A3663" s="5"/>
    </row>
    <row r="3664" spans="1:1" x14ac:dyDescent="0.25">
      <c r="A3664" s="5"/>
    </row>
    <row r="3665" spans="1:1" x14ac:dyDescent="0.25">
      <c r="A3665" s="5"/>
    </row>
    <row r="3666" spans="1:1" x14ac:dyDescent="0.25">
      <c r="A3666" s="5"/>
    </row>
    <row r="3667" spans="1:1" x14ac:dyDescent="0.25">
      <c r="A3667" s="5"/>
    </row>
    <row r="3668" spans="1:1" x14ac:dyDescent="0.25">
      <c r="A3668" s="5"/>
    </row>
    <row r="3669" spans="1:1" x14ac:dyDescent="0.25">
      <c r="A3669" s="5"/>
    </row>
    <row r="3670" spans="1:1" x14ac:dyDescent="0.25">
      <c r="A3670" s="5"/>
    </row>
    <row r="3671" spans="1:1" x14ac:dyDescent="0.25">
      <c r="A3671" s="5"/>
    </row>
    <row r="3672" spans="1:1" x14ac:dyDescent="0.25">
      <c r="A3672" s="5"/>
    </row>
    <row r="3673" spans="1:1" x14ac:dyDescent="0.25">
      <c r="A3673" s="5"/>
    </row>
    <row r="3674" spans="1:1" x14ac:dyDescent="0.25">
      <c r="A3674" s="5"/>
    </row>
    <row r="3675" spans="1:1" x14ac:dyDescent="0.25">
      <c r="A3675" s="5"/>
    </row>
    <row r="3676" spans="1:1" x14ac:dyDescent="0.25">
      <c r="A3676" s="5"/>
    </row>
    <row r="3677" spans="1:1" x14ac:dyDescent="0.25">
      <c r="A3677" s="5"/>
    </row>
    <row r="3678" spans="1:1" x14ac:dyDescent="0.25">
      <c r="A3678" s="5"/>
    </row>
    <row r="3679" spans="1:1" x14ac:dyDescent="0.25">
      <c r="A3679" s="5"/>
    </row>
    <row r="3680" spans="1:1" x14ac:dyDescent="0.25">
      <c r="A3680" s="5"/>
    </row>
    <row r="3681" spans="1:1" x14ac:dyDescent="0.25">
      <c r="A3681" s="5"/>
    </row>
    <row r="3682" spans="1:1" x14ac:dyDescent="0.25">
      <c r="A3682" s="5"/>
    </row>
    <row r="3683" spans="1:1" x14ac:dyDescent="0.25">
      <c r="A3683" s="5"/>
    </row>
    <row r="3684" spans="1:1" x14ac:dyDescent="0.25">
      <c r="A3684" s="5"/>
    </row>
    <row r="3685" spans="1:1" x14ac:dyDescent="0.25">
      <c r="A3685" s="5"/>
    </row>
    <row r="3686" spans="1:1" x14ac:dyDescent="0.25">
      <c r="A3686" s="5"/>
    </row>
    <row r="3687" spans="1:1" x14ac:dyDescent="0.25">
      <c r="A3687" s="5"/>
    </row>
    <row r="3688" spans="1:1" x14ac:dyDescent="0.25">
      <c r="A3688" s="5"/>
    </row>
    <row r="3689" spans="1:1" x14ac:dyDescent="0.25">
      <c r="A3689" s="5"/>
    </row>
    <row r="3690" spans="1:1" x14ac:dyDescent="0.25">
      <c r="A3690" s="5"/>
    </row>
    <row r="3691" spans="1:1" x14ac:dyDescent="0.25">
      <c r="A3691" s="5"/>
    </row>
    <row r="3692" spans="1:1" x14ac:dyDescent="0.25">
      <c r="A3692" s="5"/>
    </row>
    <row r="3693" spans="1:1" x14ac:dyDescent="0.25">
      <c r="A3693" s="5"/>
    </row>
    <row r="3694" spans="1:1" x14ac:dyDescent="0.25">
      <c r="A3694" s="5"/>
    </row>
    <row r="3695" spans="1:1" x14ac:dyDescent="0.25">
      <c r="A3695" s="5"/>
    </row>
    <row r="3696" spans="1:1" x14ac:dyDescent="0.25">
      <c r="A3696" s="5"/>
    </row>
    <row r="3697" spans="1:1" x14ac:dyDescent="0.25">
      <c r="A3697" s="5"/>
    </row>
    <row r="3698" spans="1:1" x14ac:dyDescent="0.25">
      <c r="A3698" s="5"/>
    </row>
    <row r="3699" spans="1:1" x14ac:dyDescent="0.25">
      <c r="A3699" s="5"/>
    </row>
    <row r="3700" spans="1:1" x14ac:dyDescent="0.25">
      <c r="A3700" s="5"/>
    </row>
    <row r="3701" spans="1:1" x14ac:dyDescent="0.25">
      <c r="A3701" s="5"/>
    </row>
    <row r="3702" spans="1:1" x14ac:dyDescent="0.25">
      <c r="A3702" s="5"/>
    </row>
    <row r="3703" spans="1:1" x14ac:dyDescent="0.25">
      <c r="A3703" s="5"/>
    </row>
    <row r="3704" spans="1:1" x14ac:dyDescent="0.25">
      <c r="A3704" s="5"/>
    </row>
    <row r="3705" spans="1:1" x14ac:dyDescent="0.25">
      <c r="A3705" s="5"/>
    </row>
    <row r="3706" spans="1:1" x14ac:dyDescent="0.25">
      <c r="A3706" s="5"/>
    </row>
    <row r="3707" spans="1:1" x14ac:dyDescent="0.25">
      <c r="A3707" s="5"/>
    </row>
    <row r="3708" spans="1:1" x14ac:dyDescent="0.25">
      <c r="A3708" s="5"/>
    </row>
    <row r="3709" spans="1:1" x14ac:dyDescent="0.25">
      <c r="A3709" s="5"/>
    </row>
    <row r="3710" spans="1:1" x14ac:dyDescent="0.25">
      <c r="A3710" s="5"/>
    </row>
    <row r="3711" spans="1:1" x14ac:dyDescent="0.25">
      <c r="A3711" s="5"/>
    </row>
    <row r="3712" spans="1:1" x14ac:dyDescent="0.25">
      <c r="A3712" s="5"/>
    </row>
    <row r="3713" spans="1:1" x14ac:dyDescent="0.25">
      <c r="A3713" s="5"/>
    </row>
    <row r="3714" spans="1:1" x14ac:dyDescent="0.25">
      <c r="A3714" s="5"/>
    </row>
    <row r="3715" spans="1:1" x14ac:dyDescent="0.25">
      <c r="A3715" s="5"/>
    </row>
    <row r="3716" spans="1:1" x14ac:dyDescent="0.25">
      <c r="A3716" s="5"/>
    </row>
    <row r="3717" spans="1:1" x14ac:dyDescent="0.25">
      <c r="A3717" s="5"/>
    </row>
    <row r="3718" spans="1:1" x14ac:dyDescent="0.25">
      <c r="A3718" s="5"/>
    </row>
    <row r="3719" spans="1:1" x14ac:dyDescent="0.25">
      <c r="A3719" s="5"/>
    </row>
    <row r="3720" spans="1:1" x14ac:dyDescent="0.25">
      <c r="A3720" s="5"/>
    </row>
    <row r="3721" spans="1:1" x14ac:dyDescent="0.25">
      <c r="A3721" s="5"/>
    </row>
    <row r="3722" spans="1:1" x14ac:dyDescent="0.25">
      <c r="A3722" s="5"/>
    </row>
    <row r="3723" spans="1:1" x14ac:dyDescent="0.25">
      <c r="A3723" s="5"/>
    </row>
    <row r="3724" spans="1:1" x14ac:dyDescent="0.25">
      <c r="A3724" s="5"/>
    </row>
    <row r="3725" spans="1:1" x14ac:dyDescent="0.25">
      <c r="A3725" s="5"/>
    </row>
    <row r="3726" spans="1:1" x14ac:dyDescent="0.25">
      <c r="A3726" s="5"/>
    </row>
    <row r="3727" spans="1:1" x14ac:dyDescent="0.25">
      <c r="A3727" s="5"/>
    </row>
    <row r="3728" spans="1:1" x14ac:dyDescent="0.25">
      <c r="A3728" s="5"/>
    </row>
    <row r="3729" spans="1:1" x14ac:dyDescent="0.25">
      <c r="A3729" s="5"/>
    </row>
    <row r="3730" spans="1:1" x14ac:dyDescent="0.25">
      <c r="A3730" s="5"/>
    </row>
    <row r="3731" spans="1:1" x14ac:dyDescent="0.25">
      <c r="A3731" s="5"/>
    </row>
    <row r="3732" spans="1:1" x14ac:dyDescent="0.25">
      <c r="A3732" s="5"/>
    </row>
    <row r="3733" spans="1:1" x14ac:dyDescent="0.25">
      <c r="A3733" s="5"/>
    </row>
    <row r="3734" spans="1:1" x14ac:dyDescent="0.25">
      <c r="A3734" s="5"/>
    </row>
    <row r="3735" spans="1:1" x14ac:dyDescent="0.25">
      <c r="A3735" s="5"/>
    </row>
    <row r="3736" spans="1:1" x14ac:dyDescent="0.25">
      <c r="A3736" s="5"/>
    </row>
    <row r="3737" spans="1:1" x14ac:dyDescent="0.25">
      <c r="A3737" s="5"/>
    </row>
    <row r="3738" spans="1:1" x14ac:dyDescent="0.25">
      <c r="A3738" s="5"/>
    </row>
    <row r="3739" spans="1:1" x14ac:dyDescent="0.25">
      <c r="A3739" s="5"/>
    </row>
    <row r="3740" spans="1:1" x14ac:dyDescent="0.25">
      <c r="A3740" s="5"/>
    </row>
    <row r="3741" spans="1:1" x14ac:dyDescent="0.25">
      <c r="A3741" s="5"/>
    </row>
    <row r="3742" spans="1:1" x14ac:dyDescent="0.25">
      <c r="A3742" s="5"/>
    </row>
    <row r="3743" spans="1:1" x14ac:dyDescent="0.25">
      <c r="A3743" s="5"/>
    </row>
    <row r="3744" spans="1:1" x14ac:dyDescent="0.25">
      <c r="A3744" s="5"/>
    </row>
    <row r="3745" spans="1:1" x14ac:dyDescent="0.25">
      <c r="A3745" s="5"/>
    </row>
    <row r="3746" spans="1:1" x14ac:dyDescent="0.25">
      <c r="A3746" s="5"/>
    </row>
    <row r="3747" spans="1:1" x14ac:dyDescent="0.25">
      <c r="A3747" s="5"/>
    </row>
    <row r="3748" spans="1:1" x14ac:dyDescent="0.25">
      <c r="A3748" s="5"/>
    </row>
    <row r="3749" spans="1:1" x14ac:dyDescent="0.25">
      <c r="A3749" s="5"/>
    </row>
    <row r="3750" spans="1:1" x14ac:dyDescent="0.25">
      <c r="A3750" s="5"/>
    </row>
    <row r="3751" spans="1:1" x14ac:dyDescent="0.25">
      <c r="A3751" s="5"/>
    </row>
    <row r="3752" spans="1:1" x14ac:dyDescent="0.25">
      <c r="A3752" s="5"/>
    </row>
    <row r="3753" spans="1:1" x14ac:dyDescent="0.25">
      <c r="A3753" s="5"/>
    </row>
    <row r="3754" spans="1:1" x14ac:dyDescent="0.25">
      <c r="A3754" s="5"/>
    </row>
    <row r="3755" spans="1:1" x14ac:dyDescent="0.25">
      <c r="A3755" s="5"/>
    </row>
    <row r="3756" spans="1:1" x14ac:dyDescent="0.25">
      <c r="A3756" s="5"/>
    </row>
    <row r="3757" spans="1:1" x14ac:dyDescent="0.25">
      <c r="A3757" s="5"/>
    </row>
    <row r="3758" spans="1:1" x14ac:dyDescent="0.25">
      <c r="A3758" s="5"/>
    </row>
    <row r="3759" spans="1:1" x14ac:dyDescent="0.25">
      <c r="A3759" s="5"/>
    </row>
    <row r="3760" spans="1:1" x14ac:dyDescent="0.25">
      <c r="A3760" s="5"/>
    </row>
    <row r="3761" spans="1:1" x14ac:dyDescent="0.25">
      <c r="A3761" s="5"/>
    </row>
    <row r="3762" spans="1:1" x14ac:dyDescent="0.25">
      <c r="A3762" s="5"/>
    </row>
    <row r="3763" spans="1:1" x14ac:dyDescent="0.25">
      <c r="A3763" s="5"/>
    </row>
    <row r="3764" spans="1:1" x14ac:dyDescent="0.25">
      <c r="A3764" s="5"/>
    </row>
    <row r="3765" spans="1:1" x14ac:dyDescent="0.25">
      <c r="A3765" s="5"/>
    </row>
    <row r="3766" spans="1:1" x14ac:dyDescent="0.25">
      <c r="A3766" s="5"/>
    </row>
    <row r="3767" spans="1:1" x14ac:dyDescent="0.25">
      <c r="A3767" s="5"/>
    </row>
    <row r="3768" spans="1:1" x14ac:dyDescent="0.25">
      <c r="A3768" s="5"/>
    </row>
    <row r="3769" spans="1:1" x14ac:dyDescent="0.25">
      <c r="A3769" s="5"/>
    </row>
    <row r="3770" spans="1:1" x14ac:dyDescent="0.25">
      <c r="A3770" s="5"/>
    </row>
    <row r="3771" spans="1:1" x14ac:dyDescent="0.25">
      <c r="A3771" s="5"/>
    </row>
    <row r="3772" spans="1:1" x14ac:dyDescent="0.25">
      <c r="A3772" s="5"/>
    </row>
    <row r="3773" spans="1:1" x14ac:dyDescent="0.25">
      <c r="A3773" s="5"/>
    </row>
    <row r="3774" spans="1:1" x14ac:dyDescent="0.25">
      <c r="A3774" s="5"/>
    </row>
    <row r="3775" spans="1:1" x14ac:dyDescent="0.25">
      <c r="A3775" s="5"/>
    </row>
    <row r="3776" spans="1:1" x14ac:dyDescent="0.25">
      <c r="A3776" s="5"/>
    </row>
    <row r="3777" spans="1:1" x14ac:dyDescent="0.25">
      <c r="A3777" s="5"/>
    </row>
    <row r="3778" spans="1:1" x14ac:dyDescent="0.25">
      <c r="A3778" s="5"/>
    </row>
    <row r="3779" spans="1:1" x14ac:dyDescent="0.25">
      <c r="A3779" s="5"/>
    </row>
    <row r="3780" spans="1:1" x14ac:dyDescent="0.25">
      <c r="A3780" s="5"/>
    </row>
    <row r="3781" spans="1:1" x14ac:dyDescent="0.25">
      <c r="A3781" s="5"/>
    </row>
    <row r="3782" spans="1:1" x14ac:dyDescent="0.25">
      <c r="A3782" s="5"/>
    </row>
    <row r="3783" spans="1:1" x14ac:dyDescent="0.25">
      <c r="A3783" s="5"/>
    </row>
    <row r="3784" spans="1:1" x14ac:dyDescent="0.25">
      <c r="A3784" s="5"/>
    </row>
    <row r="3785" spans="1:1" x14ac:dyDescent="0.25">
      <c r="A3785" s="5"/>
    </row>
    <row r="3786" spans="1:1" x14ac:dyDescent="0.25">
      <c r="A3786" s="5"/>
    </row>
    <row r="3787" spans="1:1" x14ac:dyDescent="0.25">
      <c r="A3787" s="5"/>
    </row>
    <row r="3788" spans="1:1" x14ac:dyDescent="0.25">
      <c r="A3788" s="5"/>
    </row>
    <row r="3789" spans="1:1" x14ac:dyDescent="0.25">
      <c r="A3789" s="5"/>
    </row>
    <row r="3790" spans="1:1" x14ac:dyDescent="0.25">
      <c r="A3790" s="5"/>
    </row>
    <row r="3791" spans="1:1" x14ac:dyDescent="0.25">
      <c r="A3791" s="5"/>
    </row>
    <row r="3792" spans="1:1" x14ac:dyDescent="0.25">
      <c r="A3792" s="5"/>
    </row>
    <row r="3793" spans="1:1" x14ac:dyDescent="0.25">
      <c r="A3793" s="5"/>
    </row>
    <row r="3794" spans="1:1" x14ac:dyDescent="0.25">
      <c r="A3794" s="5"/>
    </row>
    <row r="3795" spans="1:1" x14ac:dyDescent="0.25">
      <c r="A3795" s="5"/>
    </row>
    <row r="3796" spans="1:1" x14ac:dyDescent="0.25">
      <c r="A3796" s="5"/>
    </row>
    <row r="3797" spans="1:1" x14ac:dyDescent="0.25">
      <c r="A3797" s="5"/>
    </row>
    <row r="3798" spans="1:1" x14ac:dyDescent="0.25">
      <c r="A3798" s="5"/>
    </row>
    <row r="3799" spans="1:1" x14ac:dyDescent="0.25">
      <c r="A3799" s="5"/>
    </row>
    <row r="3800" spans="1:1" x14ac:dyDescent="0.25">
      <c r="A3800" s="5"/>
    </row>
    <row r="3801" spans="1:1" x14ac:dyDescent="0.25">
      <c r="A3801" s="5"/>
    </row>
    <row r="3802" spans="1:1" x14ac:dyDescent="0.25">
      <c r="A3802" s="5"/>
    </row>
    <row r="3803" spans="1:1" x14ac:dyDescent="0.25">
      <c r="A3803" s="5"/>
    </row>
    <row r="3804" spans="1:1" x14ac:dyDescent="0.25">
      <c r="A3804" s="5"/>
    </row>
    <row r="3805" spans="1:1" x14ac:dyDescent="0.25">
      <c r="A3805" s="5"/>
    </row>
    <row r="3806" spans="1:1" x14ac:dyDescent="0.25">
      <c r="A3806" s="5"/>
    </row>
    <row r="3807" spans="1:1" x14ac:dyDescent="0.25">
      <c r="A3807" s="5"/>
    </row>
    <row r="3808" spans="1:1" x14ac:dyDescent="0.25">
      <c r="A3808" s="5"/>
    </row>
    <row r="3809" spans="1:1" x14ac:dyDescent="0.25">
      <c r="A3809" s="5"/>
    </row>
    <row r="3810" spans="1:1" x14ac:dyDescent="0.25">
      <c r="A3810" s="5"/>
    </row>
    <row r="3811" spans="1:1" x14ac:dyDescent="0.25">
      <c r="A3811" s="5"/>
    </row>
    <row r="3812" spans="1:1" x14ac:dyDescent="0.25">
      <c r="A3812" s="5"/>
    </row>
    <row r="3813" spans="1:1" x14ac:dyDescent="0.25">
      <c r="A3813" s="5"/>
    </row>
    <row r="3814" spans="1:1" x14ac:dyDescent="0.25">
      <c r="A3814" s="5"/>
    </row>
    <row r="3815" spans="1:1" x14ac:dyDescent="0.25">
      <c r="A3815" s="5"/>
    </row>
    <row r="3816" spans="1:1" x14ac:dyDescent="0.25">
      <c r="A3816" s="5"/>
    </row>
    <row r="3817" spans="1:1" x14ac:dyDescent="0.25">
      <c r="A3817" s="5"/>
    </row>
    <row r="3818" spans="1:1" x14ac:dyDescent="0.25">
      <c r="A3818" s="5"/>
    </row>
    <row r="3819" spans="1:1" x14ac:dyDescent="0.25">
      <c r="A3819" s="5"/>
    </row>
    <row r="3820" spans="1:1" x14ac:dyDescent="0.25">
      <c r="A3820" s="5"/>
    </row>
    <row r="3821" spans="1:1" x14ac:dyDescent="0.25">
      <c r="A3821" s="5"/>
    </row>
    <row r="3822" spans="1:1" x14ac:dyDescent="0.25">
      <c r="A3822" s="5"/>
    </row>
    <row r="3823" spans="1:1" x14ac:dyDescent="0.25">
      <c r="A3823" s="5"/>
    </row>
    <row r="3824" spans="1:1" x14ac:dyDescent="0.25">
      <c r="A3824" s="5"/>
    </row>
    <row r="3825" spans="1:1" x14ac:dyDescent="0.25">
      <c r="A3825" s="5"/>
    </row>
    <row r="3826" spans="1:1" x14ac:dyDescent="0.25">
      <c r="A3826" s="5"/>
    </row>
    <row r="3827" spans="1:1" x14ac:dyDescent="0.25">
      <c r="A3827" s="5"/>
    </row>
    <row r="3828" spans="1:1" x14ac:dyDescent="0.25">
      <c r="A3828" s="5"/>
    </row>
    <row r="3829" spans="1:1" x14ac:dyDescent="0.25">
      <c r="A3829" s="5"/>
    </row>
    <row r="3830" spans="1:1" x14ac:dyDescent="0.25">
      <c r="A3830" s="5"/>
    </row>
    <row r="3831" spans="1:1" x14ac:dyDescent="0.25">
      <c r="A3831" s="5"/>
    </row>
    <row r="3832" spans="1:1" x14ac:dyDescent="0.25">
      <c r="A3832" s="5"/>
    </row>
    <row r="3833" spans="1:1" x14ac:dyDescent="0.25">
      <c r="A3833" s="5"/>
    </row>
    <row r="3834" spans="1:1" x14ac:dyDescent="0.25">
      <c r="A3834" s="5"/>
    </row>
    <row r="3835" spans="1:1" x14ac:dyDescent="0.25">
      <c r="A3835" s="5"/>
    </row>
    <row r="3836" spans="1:1" x14ac:dyDescent="0.25">
      <c r="A3836" s="5"/>
    </row>
    <row r="3837" spans="1:1" x14ac:dyDescent="0.25">
      <c r="A3837" s="5"/>
    </row>
    <row r="3838" spans="1:1" x14ac:dyDescent="0.25">
      <c r="A3838" s="5"/>
    </row>
    <row r="3839" spans="1:1" x14ac:dyDescent="0.25">
      <c r="A3839" s="5"/>
    </row>
    <row r="3840" spans="1:1" x14ac:dyDescent="0.25">
      <c r="A3840" s="5"/>
    </row>
    <row r="3841" spans="1:1" x14ac:dyDescent="0.25">
      <c r="A3841" s="5"/>
    </row>
    <row r="3842" spans="1:1" x14ac:dyDescent="0.25">
      <c r="A3842" s="5"/>
    </row>
    <row r="3843" spans="1:1" x14ac:dyDescent="0.25">
      <c r="A3843" s="5"/>
    </row>
    <row r="3844" spans="1:1" x14ac:dyDescent="0.25">
      <c r="A3844" s="5"/>
    </row>
    <row r="3845" spans="1:1" x14ac:dyDescent="0.25">
      <c r="A3845" s="5"/>
    </row>
    <row r="3846" spans="1:1" x14ac:dyDescent="0.25">
      <c r="A3846" s="5"/>
    </row>
    <row r="3847" spans="1:1" x14ac:dyDescent="0.25">
      <c r="A3847" s="5"/>
    </row>
    <row r="3848" spans="1:1" x14ac:dyDescent="0.25">
      <c r="A3848" s="5"/>
    </row>
    <row r="3849" spans="1:1" x14ac:dyDescent="0.25">
      <c r="A3849" s="5"/>
    </row>
    <row r="3850" spans="1:1" x14ac:dyDescent="0.25">
      <c r="A3850" s="5"/>
    </row>
    <row r="3851" spans="1:1" x14ac:dyDescent="0.25">
      <c r="A3851" s="5"/>
    </row>
    <row r="3852" spans="1:1" x14ac:dyDescent="0.25">
      <c r="A3852" s="5"/>
    </row>
    <row r="3853" spans="1:1" x14ac:dyDescent="0.25">
      <c r="A3853" s="5"/>
    </row>
    <row r="3854" spans="1:1" x14ac:dyDescent="0.25">
      <c r="A3854" s="5"/>
    </row>
    <row r="3855" spans="1:1" x14ac:dyDescent="0.25">
      <c r="A3855" s="5"/>
    </row>
    <row r="3856" spans="1:1" x14ac:dyDescent="0.25">
      <c r="A3856" s="5"/>
    </row>
    <row r="3857" spans="1:1" x14ac:dyDescent="0.25">
      <c r="A3857" s="5"/>
    </row>
    <row r="3858" spans="1:1" x14ac:dyDescent="0.25">
      <c r="A3858" s="5"/>
    </row>
    <row r="3859" spans="1:1" x14ac:dyDescent="0.25">
      <c r="A3859" s="5"/>
    </row>
    <row r="3860" spans="1:1" x14ac:dyDescent="0.25">
      <c r="A3860" s="5"/>
    </row>
    <row r="3861" spans="1:1" x14ac:dyDescent="0.25">
      <c r="A3861" s="5"/>
    </row>
    <row r="3862" spans="1:1" x14ac:dyDescent="0.25">
      <c r="A3862" s="5"/>
    </row>
    <row r="3863" spans="1:1" x14ac:dyDescent="0.25">
      <c r="A3863" s="5"/>
    </row>
    <row r="3864" spans="1:1" x14ac:dyDescent="0.25">
      <c r="A3864" s="5"/>
    </row>
    <row r="3865" spans="1:1" x14ac:dyDescent="0.25">
      <c r="A3865" s="5"/>
    </row>
    <row r="3866" spans="1:1" x14ac:dyDescent="0.25">
      <c r="A3866" s="5"/>
    </row>
    <row r="3867" spans="1:1" x14ac:dyDescent="0.25">
      <c r="A3867" s="5"/>
    </row>
    <row r="3868" spans="1:1" x14ac:dyDescent="0.25">
      <c r="A3868" s="5"/>
    </row>
    <row r="3869" spans="1:1" x14ac:dyDescent="0.25">
      <c r="A3869" s="5"/>
    </row>
    <row r="3870" spans="1:1" x14ac:dyDescent="0.25">
      <c r="A3870" s="5"/>
    </row>
    <row r="3871" spans="1:1" x14ac:dyDescent="0.25">
      <c r="A3871" s="5"/>
    </row>
    <row r="3872" spans="1:1" x14ac:dyDescent="0.25">
      <c r="A3872" s="5"/>
    </row>
    <row r="3873" spans="1:1" x14ac:dyDescent="0.25">
      <c r="A3873" s="5"/>
    </row>
    <row r="3874" spans="1:1" x14ac:dyDescent="0.25">
      <c r="A3874" s="5"/>
    </row>
    <row r="3875" spans="1:1" x14ac:dyDescent="0.25">
      <c r="A3875" s="5"/>
    </row>
    <row r="3876" spans="1:1" x14ac:dyDescent="0.25">
      <c r="A3876" s="5"/>
    </row>
    <row r="3877" spans="1:1" x14ac:dyDescent="0.25">
      <c r="A3877" s="5"/>
    </row>
    <row r="3878" spans="1:1" x14ac:dyDescent="0.25">
      <c r="A3878" s="5"/>
    </row>
    <row r="3879" spans="1:1" x14ac:dyDescent="0.25">
      <c r="A3879" s="5"/>
    </row>
    <row r="3880" spans="1:1" x14ac:dyDescent="0.25">
      <c r="A3880" s="5"/>
    </row>
    <row r="3881" spans="1:1" x14ac:dyDescent="0.25">
      <c r="A3881" s="5"/>
    </row>
    <row r="3882" spans="1:1" x14ac:dyDescent="0.25">
      <c r="A3882" s="5"/>
    </row>
    <row r="3883" spans="1:1" x14ac:dyDescent="0.25">
      <c r="A3883" s="5"/>
    </row>
    <row r="3884" spans="1:1" x14ac:dyDescent="0.25">
      <c r="A3884" s="5"/>
    </row>
    <row r="3885" spans="1:1" x14ac:dyDescent="0.25">
      <c r="A3885" s="5"/>
    </row>
    <row r="3886" spans="1:1" x14ac:dyDescent="0.25">
      <c r="A3886" s="5"/>
    </row>
    <row r="3887" spans="1:1" x14ac:dyDescent="0.25">
      <c r="A3887" s="5"/>
    </row>
    <row r="3888" spans="1:1" x14ac:dyDescent="0.25">
      <c r="A3888" s="5"/>
    </row>
    <row r="3889" spans="1:1" x14ac:dyDescent="0.25">
      <c r="A3889" s="5"/>
    </row>
    <row r="3890" spans="1:1" x14ac:dyDescent="0.25">
      <c r="A3890" s="5"/>
    </row>
    <row r="3891" spans="1:1" x14ac:dyDescent="0.25">
      <c r="A3891" s="5"/>
    </row>
    <row r="3892" spans="1:1" x14ac:dyDescent="0.25">
      <c r="A3892" s="5"/>
    </row>
    <row r="3893" spans="1:1" x14ac:dyDescent="0.25">
      <c r="A3893" s="5"/>
    </row>
    <row r="3894" spans="1:1" x14ac:dyDescent="0.25">
      <c r="A3894" s="5"/>
    </row>
    <row r="3895" spans="1:1" x14ac:dyDescent="0.25">
      <c r="A3895" s="5"/>
    </row>
    <row r="3896" spans="1:1" x14ac:dyDescent="0.25">
      <c r="A3896" s="5"/>
    </row>
    <row r="3897" spans="1:1" x14ac:dyDescent="0.25">
      <c r="A3897" s="5"/>
    </row>
    <row r="3898" spans="1:1" x14ac:dyDescent="0.25">
      <c r="A3898" s="5"/>
    </row>
    <row r="3899" spans="1:1" x14ac:dyDescent="0.25">
      <c r="A3899" s="5"/>
    </row>
    <row r="3900" spans="1:1" x14ac:dyDescent="0.25">
      <c r="A3900" s="5"/>
    </row>
    <row r="3901" spans="1:1" x14ac:dyDescent="0.25">
      <c r="A3901" s="5"/>
    </row>
    <row r="3902" spans="1:1" x14ac:dyDescent="0.25">
      <c r="A3902" s="5"/>
    </row>
    <row r="3903" spans="1:1" x14ac:dyDescent="0.25">
      <c r="A3903" s="5"/>
    </row>
    <row r="3904" spans="1:1" x14ac:dyDescent="0.25">
      <c r="A3904" s="5"/>
    </row>
    <row r="3905" spans="1:1" x14ac:dyDescent="0.25">
      <c r="A3905" s="5"/>
    </row>
    <row r="3906" spans="1:1" x14ac:dyDescent="0.25">
      <c r="A3906" s="5"/>
    </row>
    <row r="3907" spans="1:1" x14ac:dyDescent="0.25">
      <c r="A3907" s="5"/>
    </row>
    <row r="3908" spans="1:1" x14ac:dyDescent="0.25">
      <c r="A3908" s="5"/>
    </row>
    <row r="3909" spans="1:1" x14ac:dyDescent="0.25">
      <c r="A3909" s="5"/>
    </row>
    <row r="3910" spans="1:1" x14ac:dyDescent="0.25">
      <c r="A3910" s="5"/>
    </row>
    <row r="3911" spans="1:1" x14ac:dyDescent="0.25">
      <c r="A3911" s="5"/>
    </row>
    <row r="3912" spans="1:1" x14ac:dyDescent="0.25">
      <c r="A3912" s="5"/>
    </row>
    <row r="3913" spans="1:1" x14ac:dyDescent="0.25">
      <c r="A3913" s="5"/>
    </row>
    <row r="3914" spans="1:1" x14ac:dyDescent="0.25">
      <c r="A3914" s="5"/>
    </row>
    <row r="3915" spans="1:1" x14ac:dyDescent="0.25">
      <c r="A3915" s="5"/>
    </row>
    <row r="3916" spans="1:1" x14ac:dyDescent="0.25">
      <c r="A3916" s="5"/>
    </row>
    <row r="3917" spans="1:1" x14ac:dyDescent="0.25">
      <c r="A3917" s="5"/>
    </row>
    <row r="3918" spans="1:1" x14ac:dyDescent="0.25">
      <c r="A3918" s="5"/>
    </row>
    <row r="3919" spans="1:1" x14ac:dyDescent="0.25">
      <c r="A3919" s="5"/>
    </row>
    <row r="3920" spans="1:1" x14ac:dyDescent="0.25">
      <c r="A3920" s="5"/>
    </row>
    <row r="3921" spans="1:1" x14ac:dyDescent="0.25">
      <c r="A3921" s="5"/>
    </row>
    <row r="3922" spans="1:1" x14ac:dyDescent="0.25">
      <c r="A3922" s="5"/>
    </row>
    <row r="3923" spans="1:1" x14ac:dyDescent="0.25">
      <c r="A3923" s="5"/>
    </row>
    <row r="3924" spans="1:1" x14ac:dyDescent="0.25">
      <c r="A3924" s="5"/>
    </row>
    <row r="3925" spans="1:1" x14ac:dyDescent="0.25">
      <c r="A3925" s="5"/>
    </row>
    <row r="3926" spans="1:1" x14ac:dyDescent="0.25">
      <c r="A3926" s="5"/>
    </row>
    <row r="3927" spans="1:1" x14ac:dyDescent="0.25">
      <c r="A3927" s="5"/>
    </row>
    <row r="3928" spans="1:1" x14ac:dyDescent="0.25">
      <c r="A3928" s="5"/>
    </row>
    <row r="3929" spans="1:1" x14ac:dyDescent="0.25">
      <c r="A3929" s="5"/>
    </row>
    <row r="3930" spans="1:1" x14ac:dyDescent="0.25">
      <c r="A3930" s="5"/>
    </row>
    <row r="3931" spans="1:1" x14ac:dyDescent="0.25">
      <c r="A3931" s="5"/>
    </row>
    <row r="3932" spans="1:1" x14ac:dyDescent="0.25">
      <c r="A3932" s="5"/>
    </row>
    <row r="3933" spans="1:1" x14ac:dyDescent="0.25">
      <c r="A3933" s="5"/>
    </row>
    <row r="3934" spans="1:1" x14ac:dyDescent="0.25">
      <c r="A3934" s="5"/>
    </row>
    <row r="3935" spans="1:1" x14ac:dyDescent="0.25">
      <c r="A3935" s="5"/>
    </row>
    <row r="3936" spans="1:1" x14ac:dyDescent="0.25">
      <c r="A3936" s="5"/>
    </row>
    <row r="3937" spans="1:1" x14ac:dyDescent="0.25">
      <c r="A3937" s="5"/>
    </row>
    <row r="3938" spans="1:1" x14ac:dyDescent="0.25">
      <c r="A3938" s="5"/>
    </row>
    <row r="3939" spans="1:1" x14ac:dyDescent="0.25">
      <c r="A3939" s="5"/>
    </row>
    <row r="3940" spans="1:1" x14ac:dyDescent="0.25">
      <c r="A3940" s="5"/>
    </row>
    <row r="3941" spans="1:1" x14ac:dyDescent="0.25">
      <c r="A3941" s="5"/>
    </row>
    <row r="3942" spans="1:1" x14ac:dyDescent="0.25">
      <c r="A3942" s="5"/>
    </row>
    <row r="3943" spans="1:1" x14ac:dyDescent="0.25">
      <c r="A3943" s="5"/>
    </row>
    <row r="3944" spans="1:1" x14ac:dyDescent="0.25">
      <c r="A3944" s="5"/>
    </row>
    <row r="3945" spans="1:1" x14ac:dyDescent="0.25">
      <c r="A3945" s="5"/>
    </row>
    <row r="3946" spans="1:1" x14ac:dyDescent="0.25">
      <c r="A3946" s="5"/>
    </row>
    <row r="3947" spans="1:1" x14ac:dyDescent="0.25">
      <c r="A3947" s="5"/>
    </row>
    <row r="3948" spans="1:1" x14ac:dyDescent="0.25">
      <c r="A3948" s="5"/>
    </row>
    <row r="3949" spans="1:1" x14ac:dyDescent="0.25">
      <c r="A3949" s="5"/>
    </row>
    <row r="3950" spans="1:1" x14ac:dyDescent="0.25">
      <c r="A3950" s="5"/>
    </row>
    <row r="3951" spans="1:1" x14ac:dyDescent="0.25">
      <c r="A3951" s="5"/>
    </row>
    <row r="3952" spans="1:1" x14ac:dyDescent="0.25">
      <c r="A3952" s="5"/>
    </row>
    <row r="3953" spans="1:1" x14ac:dyDescent="0.25">
      <c r="A3953" s="5"/>
    </row>
    <row r="3954" spans="1:1" x14ac:dyDescent="0.25">
      <c r="A3954" s="5"/>
    </row>
    <row r="3955" spans="1:1" x14ac:dyDescent="0.25">
      <c r="A3955" s="5"/>
    </row>
    <row r="3956" spans="1:1" x14ac:dyDescent="0.25">
      <c r="A3956" s="5"/>
    </row>
    <row r="3957" spans="1:1" x14ac:dyDescent="0.25">
      <c r="A3957" s="5"/>
    </row>
    <row r="3958" spans="1:1" x14ac:dyDescent="0.25">
      <c r="A3958" s="5"/>
    </row>
    <row r="3959" spans="1:1" x14ac:dyDescent="0.25">
      <c r="A3959" s="5"/>
    </row>
    <row r="3960" spans="1:1" x14ac:dyDescent="0.25">
      <c r="A3960" s="5"/>
    </row>
    <row r="3961" spans="1:1" x14ac:dyDescent="0.25">
      <c r="A3961" s="5"/>
    </row>
    <row r="3962" spans="1:1" x14ac:dyDescent="0.25">
      <c r="A3962" s="5"/>
    </row>
    <row r="3963" spans="1:1" x14ac:dyDescent="0.25">
      <c r="A3963" s="5"/>
    </row>
    <row r="3964" spans="1:1" x14ac:dyDescent="0.25">
      <c r="A3964" s="5"/>
    </row>
    <row r="3965" spans="1:1" x14ac:dyDescent="0.25">
      <c r="A3965" s="5"/>
    </row>
    <row r="3966" spans="1:1" x14ac:dyDescent="0.25">
      <c r="A3966" s="5"/>
    </row>
    <row r="3967" spans="1:1" x14ac:dyDescent="0.25">
      <c r="A3967" s="5"/>
    </row>
    <row r="3968" spans="1:1" x14ac:dyDescent="0.25">
      <c r="A3968" s="5"/>
    </row>
    <row r="3969" spans="1:1" x14ac:dyDescent="0.25">
      <c r="A3969" s="5"/>
    </row>
    <row r="3970" spans="1:1" x14ac:dyDescent="0.25">
      <c r="A3970" s="5"/>
    </row>
    <row r="3971" spans="1:1" x14ac:dyDescent="0.25">
      <c r="A3971" s="5"/>
    </row>
    <row r="3972" spans="1:1" x14ac:dyDescent="0.25">
      <c r="A3972" s="5"/>
    </row>
    <row r="3973" spans="1:1" x14ac:dyDescent="0.25">
      <c r="A3973" s="5"/>
    </row>
    <row r="3974" spans="1:1" x14ac:dyDescent="0.25">
      <c r="A3974" s="5"/>
    </row>
    <row r="3975" spans="1:1" x14ac:dyDescent="0.25">
      <c r="A3975" s="5"/>
    </row>
    <row r="3976" spans="1:1" x14ac:dyDescent="0.25">
      <c r="A3976" s="5"/>
    </row>
    <row r="3977" spans="1:1" x14ac:dyDescent="0.25">
      <c r="A3977" s="5"/>
    </row>
    <row r="3978" spans="1:1" x14ac:dyDescent="0.25">
      <c r="A3978" s="5"/>
    </row>
    <row r="3979" spans="1:1" x14ac:dyDescent="0.25">
      <c r="A3979" s="5"/>
    </row>
    <row r="3980" spans="1:1" x14ac:dyDescent="0.25">
      <c r="A3980" s="5"/>
    </row>
    <row r="3981" spans="1:1" x14ac:dyDescent="0.25">
      <c r="A3981" s="5"/>
    </row>
    <row r="3982" spans="1:1" x14ac:dyDescent="0.25">
      <c r="A3982" s="5"/>
    </row>
    <row r="3983" spans="1:1" x14ac:dyDescent="0.25">
      <c r="A3983" s="5"/>
    </row>
    <row r="3984" spans="1:1" x14ac:dyDescent="0.25">
      <c r="A3984" s="5"/>
    </row>
    <row r="3985" spans="1:1" x14ac:dyDescent="0.25">
      <c r="A3985" s="5"/>
    </row>
    <row r="3986" spans="1:1" x14ac:dyDescent="0.25">
      <c r="A3986" s="5"/>
    </row>
    <row r="3987" spans="1:1" x14ac:dyDescent="0.25">
      <c r="A3987" s="5"/>
    </row>
    <row r="3988" spans="1:1" x14ac:dyDescent="0.25">
      <c r="A3988" s="5"/>
    </row>
    <row r="3989" spans="1:1" x14ac:dyDescent="0.25">
      <c r="A3989" s="5"/>
    </row>
    <row r="3990" spans="1:1" x14ac:dyDescent="0.25">
      <c r="A3990" s="5"/>
    </row>
    <row r="3991" spans="1:1" x14ac:dyDescent="0.25">
      <c r="A3991" s="5"/>
    </row>
    <row r="3992" spans="1:1" x14ac:dyDescent="0.25">
      <c r="A3992" s="5"/>
    </row>
    <row r="3993" spans="1:1" x14ac:dyDescent="0.25">
      <c r="A3993" s="5"/>
    </row>
    <row r="3994" spans="1:1" x14ac:dyDescent="0.25">
      <c r="A3994" s="5"/>
    </row>
    <row r="3995" spans="1:1" x14ac:dyDescent="0.25">
      <c r="A3995" s="5"/>
    </row>
    <row r="3996" spans="1:1" x14ac:dyDescent="0.25">
      <c r="A3996" s="5"/>
    </row>
    <row r="3997" spans="1:1" x14ac:dyDescent="0.25">
      <c r="A3997" s="5"/>
    </row>
    <row r="3998" spans="1:1" x14ac:dyDescent="0.25">
      <c r="A3998" s="5"/>
    </row>
    <row r="3999" spans="1:1" x14ac:dyDescent="0.25">
      <c r="A3999" s="5"/>
    </row>
    <row r="4000" spans="1:1" x14ac:dyDescent="0.25">
      <c r="A4000" s="5"/>
    </row>
    <row r="4001" spans="1:1" x14ac:dyDescent="0.25">
      <c r="A4001" s="5"/>
    </row>
    <row r="4002" spans="1:1" x14ac:dyDescent="0.25">
      <c r="A4002" s="5"/>
    </row>
    <row r="4003" spans="1:1" x14ac:dyDescent="0.25">
      <c r="A4003" s="5"/>
    </row>
    <row r="4004" spans="1:1" x14ac:dyDescent="0.25">
      <c r="A4004" s="5"/>
    </row>
    <row r="4005" spans="1:1" x14ac:dyDescent="0.25">
      <c r="A4005" s="5"/>
    </row>
    <row r="4006" spans="1:1" x14ac:dyDescent="0.25">
      <c r="A4006" s="5"/>
    </row>
    <row r="4007" spans="1:1" x14ac:dyDescent="0.25">
      <c r="A4007" s="5"/>
    </row>
    <row r="4008" spans="1:1" x14ac:dyDescent="0.25">
      <c r="A4008" s="5"/>
    </row>
    <row r="4009" spans="1:1" x14ac:dyDescent="0.25">
      <c r="A4009" s="5"/>
    </row>
    <row r="4010" spans="1:1" x14ac:dyDescent="0.25">
      <c r="A4010" s="5"/>
    </row>
    <row r="4011" spans="1:1" x14ac:dyDescent="0.25">
      <c r="A4011" s="5"/>
    </row>
    <row r="4012" spans="1:1" x14ac:dyDescent="0.25">
      <c r="A4012" s="5"/>
    </row>
    <row r="4013" spans="1:1" x14ac:dyDescent="0.25">
      <c r="A4013" s="5"/>
    </row>
    <row r="4014" spans="1:1" x14ac:dyDescent="0.25">
      <c r="A4014" s="5"/>
    </row>
    <row r="4015" spans="1:1" x14ac:dyDescent="0.25">
      <c r="A4015" s="5"/>
    </row>
    <row r="4016" spans="1:1" x14ac:dyDescent="0.25">
      <c r="A4016" s="5"/>
    </row>
    <row r="4017" spans="1:1" x14ac:dyDescent="0.25">
      <c r="A4017" s="5"/>
    </row>
    <row r="4018" spans="1:1" x14ac:dyDescent="0.25">
      <c r="A4018" s="5"/>
    </row>
    <row r="4019" spans="1:1" x14ac:dyDescent="0.25">
      <c r="A4019" s="5"/>
    </row>
    <row r="4020" spans="1:1" x14ac:dyDescent="0.25">
      <c r="A4020" s="5"/>
    </row>
    <row r="4021" spans="1:1" x14ac:dyDescent="0.25">
      <c r="A4021" s="5"/>
    </row>
    <row r="4022" spans="1:1" x14ac:dyDescent="0.25">
      <c r="A4022" s="5"/>
    </row>
    <row r="4023" spans="1:1" x14ac:dyDescent="0.25">
      <c r="A4023" s="5"/>
    </row>
    <row r="4024" spans="1:1" x14ac:dyDescent="0.25">
      <c r="A4024" s="5"/>
    </row>
    <row r="4025" spans="1:1" x14ac:dyDescent="0.25">
      <c r="A4025" s="5"/>
    </row>
    <row r="4026" spans="1:1" x14ac:dyDescent="0.25">
      <c r="A4026" s="5"/>
    </row>
    <row r="4027" spans="1:1" x14ac:dyDescent="0.25">
      <c r="A4027" s="5"/>
    </row>
    <row r="4028" spans="1:1" x14ac:dyDescent="0.25">
      <c r="A4028" s="5"/>
    </row>
    <row r="4029" spans="1:1" x14ac:dyDescent="0.25">
      <c r="A4029" s="5"/>
    </row>
    <row r="4030" spans="1:1" x14ac:dyDescent="0.25">
      <c r="A4030" s="5"/>
    </row>
    <row r="4031" spans="1:1" x14ac:dyDescent="0.25">
      <c r="A4031" s="5"/>
    </row>
    <row r="4032" spans="1:1" x14ac:dyDescent="0.25">
      <c r="A4032" s="5"/>
    </row>
    <row r="4033" spans="1:1" x14ac:dyDescent="0.25">
      <c r="A4033" s="5"/>
    </row>
    <row r="4034" spans="1:1" x14ac:dyDescent="0.25">
      <c r="A4034" s="5"/>
    </row>
    <row r="4035" spans="1:1" x14ac:dyDescent="0.25">
      <c r="A4035" s="5"/>
    </row>
    <row r="4036" spans="1:1" x14ac:dyDescent="0.25">
      <c r="A4036" s="5"/>
    </row>
    <row r="4037" spans="1:1" x14ac:dyDescent="0.25">
      <c r="A4037" s="5"/>
    </row>
    <row r="4038" spans="1:1" x14ac:dyDescent="0.25">
      <c r="A4038" s="5"/>
    </row>
    <row r="4039" spans="1:1" x14ac:dyDescent="0.25">
      <c r="A4039" s="5"/>
    </row>
    <row r="4040" spans="1:1" x14ac:dyDescent="0.25">
      <c r="A4040" s="5"/>
    </row>
    <row r="4041" spans="1:1" x14ac:dyDescent="0.25">
      <c r="A4041" s="5"/>
    </row>
    <row r="4042" spans="1:1" x14ac:dyDescent="0.25">
      <c r="A4042" s="5"/>
    </row>
    <row r="4043" spans="1:1" x14ac:dyDescent="0.25">
      <c r="A4043" s="5"/>
    </row>
    <row r="4044" spans="1:1" x14ac:dyDescent="0.25">
      <c r="A4044" s="5"/>
    </row>
    <row r="4045" spans="1:1" x14ac:dyDescent="0.25">
      <c r="A4045" s="5"/>
    </row>
    <row r="4046" spans="1:1" x14ac:dyDescent="0.25">
      <c r="A4046" s="5"/>
    </row>
    <row r="4047" spans="1:1" x14ac:dyDescent="0.25">
      <c r="A4047" s="5"/>
    </row>
    <row r="4048" spans="1:1" x14ac:dyDescent="0.25">
      <c r="A4048" s="5"/>
    </row>
    <row r="4049" spans="1:1" x14ac:dyDescent="0.25">
      <c r="A4049" s="5"/>
    </row>
    <row r="4050" spans="1:1" x14ac:dyDescent="0.25">
      <c r="A4050" s="5"/>
    </row>
    <row r="4051" spans="1:1" x14ac:dyDescent="0.25">
      <c r="A4051" s="5"/>
    </row>
    <row r="4052" spans="1:1" x14ac:dyDescent="0.25">
      <c r="A4052" s="5"/>
    </row>
    <row r="4053" spans="1:1" x14ac:dyDescent="0.25">
      <c r="A4053" s="5"/>
    </row>
    <row r="4054" spans="1:1" x14ac:dyDescent="0.25">
      <c r="A4054" s="5"/>
    </row>
    <row r="4055" spans="1:1" x14ac:dyDescent="0.25">
      <c r="A4055" s="5"/>
    </row>
    <row r="4056" spans="1:1" x14ac:dyDescent="0.25">
      <c r="A4056" s="5"/>
    </row>
    <row r="4057" spans="1:1" x14ac:dyDescent="0.25">
      <c r="A4057" s="5"/>
    </row>
    <row r="4058" spans="1:1" x14ac:dyDescent="0.25">
      <c r="A4058" s="5"/>
    </row>
    <row r="4059" spans="1:1" x14ac:dyDescent="0.25">
      <c r="A4059" s="5"/>
    </row>
    <row r="4060" spans="1:1" x14ac:dyDescent="0.25">
      <c r="A4060" s="5"/>
    </row>
    <row r="4061" spans="1:1" x14ac:dyDescent="0.25">
      <c r="A4061" s="5"/>
    </row>
    <row r="4062" spans="1:1" x14ac:dyDescent="0.25">
      <c r="A4062" s="5"/>
    </row>
    <row r="4063" spans="1:1" x14ac:dyDescent="0.25">
      <c r="A4063" s="5"/>
    </row>
    <row r="4064" spans="1:1" x14ac:dyDescent="0.25">
      <c r="A4064" s="5"/>
    </row>
    <row r="4065" spans="1:1" x14ac:dyDescent="0.25">
      <c r="A4065" s="5"/>
    </row>
    <row r="4066" spans="1:1" x14ac:dyDescent="0.25">
      <c r="A4066" s="5"/>
    </row>
    <row r="4067" spans="1:1" x14ac:dyDescent="0.25">
      <c r="A4067" s="5"/>
    </row>
    <row r="4068" spans="1:1" x14ac:dyDescent="0.25">
      <c r="A4068" s="5"/>
    </row>
    <row r="4069" spans="1:1" x14ac:dyDescent="0.25">
      <c r="A4069" s="5"/>
    </row>
    <row r="4070" spans="1:1" x14ac:dyDescent="0.25">
      <c r="A4070" s="5"/>
    </row>
    <row r="4071" spans="1:1" x14ac:dyDescent="0.25">
      <c r="A4071" s="5"/>
    </row>
    <row r="4072" spans="1:1" x14ac:dyDescent="0.25">
      <c r="A4072" s="5"/>
    </row>
    <row r="4073" spans="1:1" x14ac:dyDescent="0.25">
      <c r="A4073" s="5"/>
    </row>
    <row r="4074" spans="1:1" x14ac:dyDescent="0.25">
      <c r="A4074" s="5"/>
    </row>
    <row r="4075" spans="1:1" x14ac:dyDescent="0.25">
      <c r="A4075" s="5"/>
    </row>
    <row r="4076" spans="1:1" x14ac:dyDescent="0.25">
      <c r="A4076" s="5"/>
    </row>
    <row r="4077" spans="1:1" x14ac:dyDescent="0.25">
      <c r="A4077" s="5"/>
    </row>
    <row r="4078" spans="1:1" x14ac:dyDescent="0.25">
      <c r="A4078" s="5"/>
    </row>
    <row r="4079" spans="1:1" x14ac:dyDescent="0.25">
      <c r="A4079" s="5"/>
    </row>
    <row r="4080" spans="1:1" x14ac:dyDescent="0.25">
      <c r="A4080" s="5"/>
    </row>
    <row r="4081" spans="1:1" x14ac:dyDescent="0.25">
      <c r="A4081" s="5"/>
    </row>
    <row r="4082" spans="1:1" x14ac:dyDescent="0.25">
      <c r="A4082" s="5"/>
    </row>
    <row r="4083" spans="1:1" x14ac:dyDescent="0.25">
      <c r="A4083" s="5"/>
    </row>
    <row r="4084" spans="1:1" x14ac:dyDescent="0.25">
      <c r="A4084" s="5"/>
    </row>
    <row r="4085" spans="1:1" x14ac:dyDescent="0.25">
      <c r="A4085" s="5"/>
    </row>
    <row r="4086" spans="1:1" x14ac:dyDescent="0.25">
      <c r="A4086" s="5"/>
    </row>
    <row r="4087" spans="1:1" x14ac:dyDescent="0.25">
      <c r="A4087" s="5"/>
    </row>
    <row r="4088" spans="1:1" x14ac:dyDescent="0.25">
      <c r="A4088" s="5"/>
    </row>
    <row r="4089" spans="1:1" x14ac:dyDescent="0.25">
      <c r="A4089" s="5"/>
    </row>
    <row r="4090" spans="1:1" x14ac:dyDescent="0.25">
      <c r="A4090" s="5"/>
    </row>
    <row r="4091" spans="1:1" x14ac:dyDescent="0.25">
      <c r="A4091" s="5"/>
    </row>
    <row r="4092" spans="1:1" x14ac:dyDescent="0.25">
      <c r="A4092" s="5"/>
    </row>
    <row r="4093" spans="1:1" x14ac:dyDescent="0.25">
      <c r="A4093" s="5"/>
    </row>
    <row r="4094" spans="1:1" x14ac:dyDescent="0.25">
      <c r="A4094" s="5"/>
    </row>
    <row r="4095" spans="1:1" x14ac:dyDescent="0.25">
      <c r="A4095" s="5"/>
    </row>
    <row r="4096" spans="1:1" x14ac:dyDescent="0.25">
      <c r="A4096" s="5"/>
    </row>
    <row r="4097" spans="1:1" x14ac:dyDescent="0.25">
      <c r="A4097" s="5"/>
    </row>
    <row r="4098" spans="1:1" x14ac:dyDescent="0.25">
      <c r="A4098" s="5"/>
    </row>
    <row r="4099" spans="1:1" x14ac:dyDescent="0.25">
      <c r="A4099" s="5"/>
    </row>
    <row r="4100" spans="1:1" x14ac:dyDescent="0.25">
      <c r="A4100" s="5"/>
    </row>
    <row r="4101" spans="1:1" x14ac:dyDescent="0.25">
      <c r="A4101" s="5"/>
    </row>
    <row r="4102" spans="1:1" x14ac:dyDescent="0.25">
      <c r="A4102" s="5"/>
    </row>
    <row r="4103" spans="1:1" x14ac:dyDescent="0.25">
      <c r="A4103" s="5"/>
    </row>
    <row r="4104" spans="1:1" x14ac:dyDescent="0.25">
      <c r="A4104" s="5"/>
    </row>
    <row r="4105" spans="1:1" x14ac:dyDescent="0.25">
      <c r="A4105" s="5"/>
    </row>
    <row r="4106" spans="1:1" x14ac:dyDescent="0.25">
      <c r="A4106" s="5"/>
    </row>
    <row r="4107" spans="1:1" x14ac:dyDescent="0.25">
      <c r="A4107" s="5"/>
    </row>
    <row r="4108" spans="1:1" x14ac:dyDescent="0.25">
      <c r="A4108" s="5"/>
    </row>
    <row r="4109" spans="1:1" x14ac:dyDescent="0.25">
      <c r="A4109" s="5"/>
    </row>
    <row r="4110" spans="1:1" x14ac:dyDescent="0.25">
      <c r="A4110" s="5"/>
    </row>
    <row r="4111" spans="1:1" x14ac:dyDescent="0.25">
      <c r="A4111" s="5"/>
    </row>
    <row r="4112" spans="1:1" x14ac:dyDescent="0.25">
      <c r="A4112" s="5"/>
    </row>
    <row r="4113" spans="1:1" x14ac:dyDescent="0.25">
      <c r="A4113" s="5"/>
    </row>
    <row r="4114" spans="1:1" x14ac:dyDescent="0.25">
      <c r="A4114" s="5"/>
    </row>
    <row r="4115" spans="1:1" x14ac:dyDescent="0.25">
      <c r="A4115" s="5"/>
    </row>
    <row r="4116" spans="1:1" x14ac:dyDescent="0.25">
      <c r="A4116" s="5"/>
    </row>
    <row r="4117" spans="1:1" x14ac:dyDescent="0.25">
      <c r="A4117" s="5"/>
    </row>
    <row r="4118" spans="1:1" x14ac:dyDescent="0.25">
      <c r="A4118" s="5"/>
    </row>
    <row r="4119" spans="1:1" x14ac:dyDescent="0.25">
      <c r="A4119" s="5"/>
    </row>
    <row r="4120" spans="1:1" x14ac:dyDescent="0.25">
      <c r="A4120" s="5"/>
    </row>
    <row r="4121" spans="1:1" x14ac:dyDescent="0.25">
      <c r="A4121" s="5"/>
    </row>
    <row r="4122" spans="1:1" x14ac:dyDescent="0.25">
      <c r="A4122" s="5"/>
    </row>
    <row r="4123" spans="1:1" x14ac:dyDescent="0.25">
      <c r="A4123" s="5"/>
    </row>
    <row r="4124" spans="1:1" x14ac:dyDescent="0.25">
      <c r="A4124" s="5"/>
    </row>
    <row r="4125" spans="1:1" x14ac:dyDescent="0.25">
      <c r="A4125" s="5"/>
    </row>
    <row r="4126" spans="1:1" x14ac:dyDescent="0.25">
      <c r="A4126" s="5"/>
    </row>
    <row r="4127" spans="1:1" x14ac:dyDescent="0.25">
      <c r="A4127" s="5"/>
    </row>
    <row r="4128" spans="1:1" x14ac:dyDescent="0.25">
      <c r="A4128" s="5"/>
    </row>
    <row r="4129" spans="1:1" x14ac:dyDescent="0.25">
      <c r="A4129" s="5"/>
    </row>
    <row r="4130" spans="1:1" x14ac:dyDescent="0.25">
      <c r="A4130" s="5"/>
    </row>
    <row r="4131" spans="1:1" x14ac:dyDescent="0.25">
      <c r="A4131" s="5"/>
    </row>
    <row r="4132" spans="1:1" x14ac:dyDescent="0.25">
      <c r="A4132" s="5"/>
    </row>
    <row r="4133" spans="1:1" x14ac:dyDescent="0.25">
      <c r="A4133" s="5"/>
    </row>
    <row r="4134" spans="1:1" x14ac:dyDescent="0.25">
      <c r="A4134" s="5"/>
    </row>
    <row r="4135" spans="1:1" x14ac:dyDescent="0.25">
      <c r="A4135" s="5"/>
    </row>
    <row r="4136" spans="1:1" x14ac:dyDescent="0.25">
      <c r="A4136" s="5"/>
    </row>
    <row r="4137" spans="1:1" x14ac:dyDescent="0.25">
      <c r="A4137" s="5"/>
    </row>
    <row r="4138" spans="1:1" x14ac:dyDescent="0.25">
      <c r="A4138" s="5"/>
    </row>
    <row r="4139" spans="1:1" x14ac:dyDescent="0.25">
      <c r="A4139" s="5"/>
    </row>
    <row r="4140" spans="1:1" x14ac:dyDescent="0.25">
      <c r="A4140" s="5"/>
    </row>
    <row r="4141" spans="1:1" x14ac:dyDescent="0.25">
      <c r="A4141" s="5"/>
    </row>
    <row r="4142" spans="1:1" x14ac:dyDescent="0.25">
      <c r="A4142" s="5"/>
    </row>
    <row r="4143" spans="1:1" x14ac:dyDescent="0.25">
      <c r="A4143" s="5"/>
    </row>
    <row r="4144" spans="1:1" x14ac:dyDescent="0.25">
      <c r="A4144" s="5"/>
    </row>
    <row r="4145" spans="1:1" x14ac:dyDescent="0.25">
      <c r="A4145" s="5"/>
    </row>
    <row r="4146" spans="1:1" x14ac:dyDescent="0.25">
      <c r="A4146" s="5"/>
    </row>
    <row r="4147" spans="1:1" x14ac:dyDescent="0.25">
      <c r="A4147" s="5"/>
    </row>
    <row r="4148" spans="1:1" x14ac:dyDescent="0.25">
      <c r="A4148" s="5"/>
    </row>
    <row r="4149" spans="1:1" x14ac:dyDescent="0.25">
      <c r="A4149" s="5"/>
    </row>
    <row r="4150" spans="1:1" x14ac:dyDescent="0.25">
      <c r="A4150" s="5"/>
    </row>
    <row r="4151" spans="1:1" x14ac:dyDescent="0.25">
      <c r="A4151" s="5"/>
    </row>
    <row r="4152" spans="1:1" x14ac:dyDescent="0.25">
      <c r="A4152" s="5"/>
    </row>
    <row r="4153" spans="1:1" x14ac:dyDescent="0.25">
      <c r="A4153" s="5"/>
    </row>
    <row r="4154" spans="1:1" x14ac:dyDescent="0.25">
      <c r="A4154" s="5"/>
    </row>
    <row r="4155" spans="1:1" x14ac:dyDescent="0.25">
      <c r="A4155" s="5"/>
    </row>
    <row r="4156" spans="1:1" x14ac:dyDescent="0.25">
      <c r="A4156" s="5"/>
    </row>
    <row r="4157" spans="1:1" x14ac:dyDescent="0.25">
      <c r="A4157" s="5"/>
    </row>
    <row r="4158" spans="1:1" x14ac:dyDescent="0.25">
      <c r="A4158" s="5"/>
    </row>
    <row r="4159" spans="1:1" x14ac:dyDescent="0.25">
      <c r="A4159" s="5"/>
    </row>
    <row r="4160" spans="1:1" x14ac:dyDescent="0.25">
      <c r="A4160" s="5"/>
    </row>
    <row r="4161" spans="1:1" x14ac:dyDescent="0.25">
      <c r="A4161" s="5"/>
    </row>
    <row r="4162" spans="1:1" x14ac:dyDescent="0.25">
      <c r="A4162" s="5"/>
    </row>
    <row r="4163" spans="1:1" x14ac:dyDescent="0.25">
      <c r="A4163" s="5"/>
    </row>
    <row r="4164" spans="1:1" x14ac:dyDescent="0.25">
      <c r="A4164" s="5"/>
    </row>
    <row r="4165" spans="1:1" x14ac:dyDescent="0.25">
      <c r="A4165" s="5"/>
    </row>
    <row r="4166" spans="1:1" x14ac:dyDescent="0.25">
      <c r="A4166" s="5"/>
    </row>
    <row r="4167" spans="1:1" x14ac:dyDescent="0.25">
      <c r="A4167" s="5"/>
    </row>
    <row r="4168" spans="1:1" x14ac:dyDescent="0.25">
      <c r="A4168" s="5"/>
    </row>
    <row r="4169" spans="1:1" x14ac:dyDescent="0.25">
      <c r="A4169" s="5"/>
    </row>
    <row r="4170" spans="1:1" x14ac:dyDescent="0.25">
      <c r="A4170" s="5"/>
    </row>
    <row r="4171" spans="1:1" x14ac:dyDescent="0.25">
      <c r="A4171" s="5"/>
    </row>
    <row r="4172" spans="1:1" x14ac:dyDescent="0.25">
      <c r="A4172" s="5"/>
    </row>
    <row r="4173" spans="1:1" x14ac:dyDescent="0.25">
      <c r="A4173" s="5"/>
    </row>
    <row r="4174" spans="1:1" x14ac:dyDescent="0.25">
      <c r="A4174" s="5"/>
    </row>
    <row r="4175" spans="1:1" x14ac:dyDescent="0.25">
      <c r="A4175" s="5"/>
    </row>
    <row r="4176" spans="1:1" x14ac:dyDescent="0.25">
      <c r="A4176" s="5"/>
    </row>
    <row r="4177" spans="1:1" x14ac:dyDescent="0.25">
      <c r="A4177" s="5"/>
    </row>
    <row r="4178" spans="1:1" x14ac:dyDescent="0.25">
      <c r="A4178" s="5"/>
    </row>
    <row r="4179" spans="1:1" x14ac:dyDescent="0.25">
      <c r="A4179" s="5"/>
    </row>
    <row r="4180" spans="1:1" x14ac:dyDescent="0.25">
      <c r="A4180" s="5"/>
    </row>
    <row r="4181" spans="1:1" x14ac:dyDescent="0.25">
      <c r="A4181" s="5"/>
    </row>
    <row r="4182" spans="1:1" x14ac:dyDescent="0.25">
      <c r="A4182" s="5"/>
    </row>
    <row r="4183" spans="1:1" x14ac:dyDescent="0.25">
      <c r="A4183" s="5"/>
    </row>
    <row r="4184" spans="1:1" x14ac:dyDescent="0.25">
      <c r="A4184" s="5"/>
    </row>
    <row r="4185" spans="1:1" x14ac:dyDescent="0.25">
      <c r="A4185" s="5"/>
    </row>
    <row r="4186" spans="1:1" x14ac:dyDescent="0.25">
      <c r="A4186" s="5"/>
    </row>
    <row r="4187" spans="1:1" x14ac:dyDescent="0.25">
      <c r="A4187" s="5"/>
    </row>
    <row r="4188" spans="1:1" x14ac:dyDescent="0.25">
      <c r="A4188" s="5"/>
    </row>
    <row r="4189" spans="1:1" x14ac:dyDescent="0.25">
      <c r="A4189" s="5"/>
    </row>
    <row r="4190" spans="1:1" x14ac:dyDescent="0.25">
      <c r="A4190" s="5"/>
    </row>
    <row r="4191" spans="1:1" x14ac:dyDescent="0.25">
      <c r="A4191" s="5"/>
    </row>
    <row r="4192" spans="1:1" x14ac:dyDescent="0.25">
      <c r="A4192" s="5"/>
    </row>
    <row r="4193" spans="1:1" x14ac:dyDescent="0.25">
      <c r="A4193" s="5"/>
    </row>
    <row r="4194" spans="1:1" x14ac:dyDescent="0.25">
      <c r="A4194" s="5"/>
    </row>
    <row r="4195" spans="1:1" x14ac:dyDescent="0.25">
      <c r="A4195" s="5"/>
    </row>
    <row r="4196" spans="1:1" x14ac:dyDescent="0.25">
      <c r="A4196" s="5"/>
    </row>
    <row r="4197" spans="1:1" x14ac:dyDescent="0.25">
      <c r="A4197" s="5"/>
    </row>
    <row r="4198" spans="1:1" x14ac:dyDescent="0.25">
      <c r="A4198" s="5"/>
    </row>
    <row r="4199" spans="1:1" x14ac:dyDescent="0.25">
      <c r="A4199" s="5"/>
    </row>
    <row r="4200" spans="1:1" x14ac:dyDescent="0.25">
      <c r="A4200" s="5"/>
    </row>
    <row r="4201" spans="1:1" x14ac:dyDescent="0.25">
      <c r="A4201" s="5"/>
    </row>
    <row r="4202" spans="1:1" x14ac:dyDescent="0.25">
      <c r="A4202" s="5"/>
    </row>
    <row r="4203" spans="1:1" x14ac:dyDescent="0.25">
      <c r="A4203" s="5"/>
    </row>
    <row r="4204" spans="1:1" x14ac:dyDescent="0.25">
      <c r="A4204" s="5"/>
    </row>
    <row r="4205" spans="1:1" x14ac:dyDescent="0.25">
      <c r="A4205" s="5"/>
    </row>
    <row r="4206" spans="1:1" x14ac:dyDescent="0.25">
      <c r="A4206" s="5"/>
    </row>
    <row r="4207" spans="1:1" x14ac:dyDescent="0.25">
      <c r="A4207" s="5"/>
    </row>
    <row r="4208" spans="1:1" x14ac:dyDescent="0.25">
      <c r="A4208" s="5"/>
    </row>
    <row r="4209" spans="1:1" x14ac:dyDescent="0.25">
      <c r="A4209" s="5"/>
    </row>
    <row r="4210" spans="1:1" x14ac:dyDescent="0.25">
      <c r="A4210" s="5"/>
    </row>
    <row r="4211" spans="1:1" x14ac:dyDescent="0.25">
      <c r="A4211" s="5"/>
    </row>
    <row r="4212" spans="1:1" x14ac:dyDescent="0.25">
      <c r="A4212" s="5"/>
    </row>
    <row r="4213" spans="1:1" x14ac:dyDescent="0.25">
      <c r="A4213" s="5"/>
    </row>
    <row r="4214" spans="1:1" x14ac:dyDescent="0.25">
      <c r="A4214" s="5"/>
    </row>
    <row r="4215" spans="1:1" x14ac:dyDescent="0.25">
      <c r="A4215" s="5"/>
    </row>
    <row r="4216" spans="1:1" x14ac:dyDescent="0.25">
      <c r="A4216" s="5"/>
    </row>
    <row r="4217" spans="1:1" x14ac:dyDescent="0.25">
      <c r="A4217" s="5"/>
    </row>
    <row r="4218" spans="1:1" x14ac:dyDescent="0.25">
      <c r="A4218" s="5"/>
    </row>
    <row r="4219" spans="1:1" x14ac:dyDescent="0.25">
      <c r="A4219" s="5"/>
    </row>
    <row r="4220" spans="1:1" x14ac:dyDescent="0.25">
      <c r="A4220" s="5"/>
    </row>
    <row r="4221" spans="1:1" x14ac:dyDescent="0.25">
      <c r="A4221" s="5"/>
    </row>
    <row r="4222" spans="1:1" x14ac:dyDescent="0.25">
      <c r="A4222" s="5"/>
    </row>
    <row r="4223" spans="1:1" x14ac:dyDescent="0.25">
      <c r="A4223" s="5"/>
    </row>
    <row r="4224" spans="1:1" x14ac:dyDescent="0.25">
      <c r="A4224" s="5"/>
    </row>
    <row r="4225" spans="1:1" x14ac:dyDescent="0.25">
      <c r="A4225" s="5"/>
    </row>
    <row r="4226" spans="1:1" x14ac:dyDescent="0.25">
      <c r="A4226" s="5"/>
    </row>
    <row r="4227" spans="1:1" x14ac:dyDescent="0.25">
      <c r="A4227" s="5"/>
    </row>
    <row r="4228" spans="1:1" x14ac:dyDescent="0.25">
      <c r="A4228" s="5"/>
    </row>
    <row r="4229" spans="1:1" x14ac:dyDescent="0.25">
      <c r="A4229" s="5"/>
    </row>
    <row r="4230" spans="1:1" x14ac:dyDescent="0.25">
      <c r="A4230" s="5"/>
    </row>
    <row r="4231" spans="1:1" x14ac:dyDescent="0.25">
      <c r="A4231" s="5"/>
    </row>
    <row r="4232" spans="1:1" x14ac:dyDescent="0.25">
      <c r="A4232" s="5"/>
    </row>
    <row r="4233" spans="1:1" x14ac:dyDescent="0.25">
      <c r="A4233" s="5"/>
    </row>
    <row r="4234" spans="1:1" x14ac:dyDescent="0.25">
      <c r="A4234" s="5"/>
    </row>
    <row r="4235" spans="1:1" x14ac:dyDescent="0.25">
      <c r="A4235" s="5"/>
    </row>
    <row r="4236" spans="1:1" x14ac:dyDescent="0.25">
      <c r="A4236" s="5"/>
    </row>
    <row r="4237" spans="1:1" x14ac:dyDescent="0.25">
      <c r="A4237" s="5"/>
    </row>
    <row r="4238" spans="1:1" x14ac:dyDescent="0.25">
      <c r="A4238" s="5"/>
    </row>
    <row r="4239" spans="1:1" x14ac:dyDescent="0.25">
      <c r="A4239" s="5"/>
    </row>
    <row r="4240" spans="1:1" x14ac:dyDescent="0.25">
      <c r="A4240" s="5"/>
    </row>
    <row r="4241" spans="1:1" x14ac:dyDescent="0.25">
      <c r="A4241" s="5"/>
    </row>
    <row r="4242" spans="1:1" x14ac:dyDescent="0.25">
      <c r="A4242" s="5"/>
    </row>
    <row r="4243" spans="1:1" x14ac:dyDescent="0.25">
      <c r="A4243" s="5"/>
    </row>
    <row r="4244" spans="1:1" x14ac:dyDescent="0.25">
      <c r="A4244" s="5"/>
    </row>
    <row r="4245" spans="1:1" x14ac:dyDescent="0.25">
      <c r="A4245" s="5"/>
    </row>
    <row r="4246" spans="1:1" x14ac:dyDescent="0.25">
      <c r="A4246" s="5"/>
    </row>
    <row r="4247" spans="1:1" x14ac:dyDescent="0.25">
      <c r="A4247" s="5"/>
    </row>
    <row r="4248" spans="1:1" x14ac:dyDescent="0.25">
      <c r="A4248" s="5"/>
    </row>
    <row r="4249" spans="1:1" x14ac:dyDescent="0.25">
      <c r="A4249" s="5"/>
    </row>
    <row r="4250" spans="1:1" x14ac:dyDescent="0.25">
      <c r="A4250" s="5"/>
    </row>
    <row r="4251" spans="1:1" x14ac:dyDescent="0.25">
      <c r="A4251" s="5"/>
    </row>
    <row r="4252" spans="1:1" x14ac:dyDescent="0.25">
      <c r="A4252" s="5"/>
    </row>
    <row r="4253" spans="1:1" x14ac:dyDescent="0.25">
      <c r="A4253" s="5"/>
    </row>
    <row r="4254" spans="1:1" x14ac:dyDescent="0.25">
      <c r="A4254" s="5"/>
    </row>
    <row r="4255" spans="1:1" x14ac:dyDescent="0.25">
      <c r="A4255" s="5"/>
    </row>
    <row r="4256" spans="1:1" x14ac:dyDescent="0.25">
      <c r="A4256" s="5"/>
    </row>
    <row r="4257" spans="1:1" x14ac:dyDescent="0.25">
      <c r="A4257" s="5"/>
    </row>
    <row r="4258" spans="1:1" x14ac:dyDescent="0.25">
      <c r="A4258" s="5"/>
    </row>
    <row r="4259" spans="1:1" x14ac:dyDescent="0.25">
      <c r="A4259" s="5"/>
    </row>
    <row r="4260" spans="1:1" x14ac:dyDescent="0.25">
      <c r="A4260" s="5"/>
    </row>
    <row r="4261" spans="1:1" x14ac:dyDescent="0.25">
      <c r="A4261" s="5"/>
    </row>
    <row r="4262" spans="1:1" x14ac:dyDescent="0.25">
      <c r="A4262" s="5"/>
    </row>
    <row r="4263" spans="1:1" x14ac:dyDescent="0.25">
      <c r="A4263" s="5"/>
    </row>
    <row r="4264" spans="1:1" x14ac:dyDescent="0.25">
      <c r="A4264" s="5"/>
    </row>
    <row r="4265" spans="1:1" x14ac:dyDescent="0.25">
      <c r="A4265" s="5"/>
    </row>
    <row r="4266" spans="1:1" x14ac:dyDescent="0.25">
      <c r="A4266" s="5"/>
    </row>
    <row r="4267" spans="1:1" x14ac:dyDescent="0.25">
      <c r="A4267" s="5"/>
    </row>
    <row r="4268" spans="1:1" x14ac:dyDescent="0.25">
      <c r="A4268" s="5"/>
    </row>
    <row r="4269" spans="1:1" x14ac:dyDescent="0.25">
      <c r="A4269" s="5"/>
    </row>
    <row r="4270" spans="1:1" x14ac:dyDescent="0.25">
      <c r="A4270" s="5"/>
    </row>
    <row r="4271" spans="1:1" x14ac:dyDescent="0.25">
      <c r="A4271" s="5"/>
    </row>
    <row r="4272" spans="1:1" x14ac:dyDescent="0.25">
      <c r="A4272" s="5"/>
    </row>
    <row r="4273" spans="1:1" x14ac:dyDescent="0.25">
      <c r="A4273" s="5"/>
    </row>
    <row r="4274" spans="1:1" x14ac:dyDescent="0.25">
      <c r="A4274" s="5"/>
    </row>
    <row r="4275" spans="1:1" x14ac:dyDescent="0.25">
      <c r="A4275" s="5"/>
    </row>
    <row r="4276" spans="1:1" x14ac:dyDescent="0.25">
      <c r="A4276" s="5"/>
    </row>
    <row r="4277" spans="1:1" x14ac:dyDescent="0.25">
      <c r="A4277" s="5"/>
    </row>
    <row r="4278" spans="1:1" x14ac:dyDescent="0.25">
      <c r="A4278" s="5"/>
    </row>
    <row r="4279" spans="1:1" x14ac:dyDescent="0.25">
      <c r="A4279" s="5"/>
    </row>
    <row r="4280" spans="1:1" x14ac:dyDescent="0.25">
      <c r="A4280" s="5"/>
    </row>
    <row r="4281" spans="1:1" x14ac:dyDescent="0.25">
      <c r="A4281" s="5"/>
    </row>
    <row r="4282" spans="1:1" x14ac:dyDescent="0.25">
      <c r="A4282" s="5"/>
    </row>
    <row r="4283" spans="1:1" x14ac:dyDescent="0.25">
      <c r="A4283" s="5"/>
    </row>
    <row r="4284" spans="1:1" x14ac:dyDescent="0.25">
      <c r="A4284" s="5"/>
    </row>
    <row r="4285" spans="1:1" x14ac:dyDescent="0.25">
      <c r="A4285" s="5"/>
    </row>
    <row r="4286" spans="1:1" x14ac:dyDescent="0.25">
      <c r="A4286" s="5"/>
    </row>
    <row r="4287" spans="1:1" x14ac:dyDescent="0.25">
      <c r="A4287" s="5"/>
    </row>
    <row r="4288" spans="1:1" x14ac:dyDescent="0.25">
      <c r="A4288" s="5"/>
    </row>
    <row r="4289" spans="1:1" x14ac:dyDescent="0.25">
      <c r="A4289" s="5"/>
    </row>
    <row r="4290" spans="1:1" x14ac:dyDescent="0.25">
      <c r="A4290" s="5"/>
    </row>
    <row r="4291" spans="1:1" x14ac:dyDescent="0.25">
      <c r="A4291" s="5"/>
    </row>
    <row r="4292" spans="1:1" x14ac:dyDescent="0.25">
      <c r="A4292" s="5"/>
    </row>
    <row r="4293" spans="1:1" x14ac:dyDescent="0.25">
      <c r="A4293" s="5"/>
    </row>
    <row r="4294" spans="1:1" x14ac:dyDescent="0.25">
      <c r="A4294" s="5"/>
    </row>
    <row r="4295" spans="1:1" x14ac:dyDescent="0.25">
      <c r="A4295" s="5"/>
    </row>
    <row r="4296" spans="1:1" x14ac:dyDescent="0.25">
      <c r="A4296" s="5"/>
    </row>
    <row r="4297" spans="1:1" x14ac:dyDescent="0.25">
      <c r="A4297" s="5"/>
    </row>
    <row r="4298" spans="1:1" x14ac:dyDescent="0.25">
      <c r="A4298" s="5"/>
    </row>
    <row r="4299" spans="1:1" x14ac:dyDescent="0.25">
      <c r="A4299" s="5"/>
    </row>
    <row r="4300" spans="1:1" x14ac:dyDescent="0.25">
      <c r="A4300" s="5"/>
    </row>
    <row r="4301" spans="1:1" x14ac:dyDescent="0.25">
      <c r="A4301" s="5"/>
    </row>
    <row r="4302" spans="1:1" x14ac:dyDescent="0.25">
      <c r="A4302" s="5"/>
    </row>
    <row r="4303" spans="1:1" x14ac:dyDescent="0.25">
      <c r="A4303" s="5"/>
    </row>
    <row r="4304" spans="1:1" x14ac:dyDescent="0.25">
      <c r="A4304" s="5"/>
    </row>
    <row r="4305" spans="1:1" x14ac:dyDescent="0.25">
      <c r="A4305" s="5"/>
    </row>
    <row r="4306" spans="1:1" x14ac:dyDescent="0.25">
      <c r="A4306" s="5"/>
    </row>
    <row r="4307" spans="1:1" x14ac:dyDescent="0.25">
      <c r="A4307" s="5"/>
    </row>
    <row r="4308" spans="1:1" x14ac:dyDescent="0.25">
      <c r="A4308" s="5"/>
    </row>
    <row r="4309" spans="1:1" x14ac:dyDescent="0.25">
      <c r="A4309" s="5"/>
    </row>
    <row r="4310" spans="1:1" x14ac:dyDescent="0.25">
      <c r="A4310" s="5"/>
    </row>
    <row r="4311" spans="1:1" x14ac:dyDescent="0.25">
      <c r="A4311" s="5"/>
    </row>
    <row r="4312" spans="1:1" x14ac:dyDescent="0.25">
      <c r="A4312" s="5"/>
    </row>
    <row r="4313" spans="1:1" x14ac:dyDescent="0.25">
      <c r="A4313" s="5"/>
    </row>
    <row r="4314" spans="1:1" x14ac:dyDescent="0.25">
      <c r="A4314" s="5"/>
    </row>
    <row r="4315" spans="1:1" x14ac:dyDescent="0.25">
      <c r="A4315" s="5"/>
    </row>
    <row r="4316" spans="1:1" x14ac:dyDescent="0.25">
      <c r="A4316" s="5"/>
    </row>
    <row r="4317" spans="1:1" x14ac:dyDescent="0.25">
      <c r="A4317" s="5"/>
    </row>
    <row r="4318" spans="1:1" x14ac:dyDescent="0.25">
      <c r="A4318" s="5"/>
    </row>
    <row r="4319" spans="1:1" x14ac:dyDescent="0.25">
      <c r="A4319" s="5"/>
    </row>
    <row r="4320" spans="1:1" x14ac:dyDescent="0.25">
      <c r="A4320" s="5"/>
    </row>
    <row r="4321" spans="1:1" x14ac:dyDescent="0.25">
      <c r="A4321" s="5"/>
    </row>
    <row r="4322" spans="1:1" x14ac:dyDescent="0.25">
      <c r="A4322" s="5"/>
    </row>
    <row r="4323" spans="1:1" x14ac:dyDescent="0.25">
      <c r="A4323" s="5"/>
    </row>
    <row r="4324" spans="1:1" x14ac:dyDescent="0.25">
      <c r="A4324" s="5"/>
    </row>
    <row r="4325" spans="1:1" x14ac:dyDescent="0.25">
      <c r="A4325" s="5"/>
    </row>
    <row r="4326" spans="1:1" x14ac:dyDescent="0.25">
      <c r="A4326" s="5"/>
    </row>
    <row r="4327" spans="1:1" x14ac:dyDescent="0.25">
      <c r="A4327" s="5"/>
    </row>
    <row r="4328" spans="1:1" x14ac:dyDescent="0.25">
      <c r="A4328" s="5"/>
    </row>
    <row r="4329" spans="1:1" x14ac:dyDescent="0.25">
      <c r="A4329" s="5"/>
    </row>
    <row r="4330" spans="1:1" x14ac:dyDescent="0.25">
      <c r="A4330" s="5"/>
    </row>
    <row r="4331" spans="1:1" x14ac:dyDescent="0.25">
      <c r="A4331" s="5"/>
    </row>
    <row r="4332" spans="1:1" x14ac:dyDescent="0.25">
      <c r="A4332" s="5"/>
    </row>
    <row r="4333" spans="1:1" x14ac:dyDescent="0.25">
      <c r="A4333" s="5"/>
    </row>
    <row r="4334" spans="1:1" x14ac:dyDescent="0.25">
      <c r="A4334" s="5"/>
    </row>
    <row r="4335" spans="1:1" x14ac:dyDescent="0.25">
      <c r="A4335" s="5"/>
    </row>
    <row r="4336" spans="1:1" x14ac:dyDescent="0.25">
      <c r="A4336" s="5"/>
    </row>
    <row r="4337" spans="1:1" x14ac:dyDescent="0.25">
      <c r="A4337" s="5"/>
    </row>
    <row r="4338" spans="1:1" x14ac:dyDescent="0.25">
      <c r="A4338" s="5"/>
    </row>
    <row r="4339" spans="1:1" x14ac:dyDescent="0.25">
      <c r="A4339" s="5"/>
    </row>
    <row r="4340" spans="1:1" x14ac:dyDescent="0.25">
      <c r="A4340" s="5"/>
    </row>
    <row r="4341" spans="1:1" x14ac:dyDescent="0.25">
      <c r="A4341" s="5"/>
    </row>
    <row r="4342" spans="1:1" x14ac:dyDescent="0.25">
      <c r="A4342" s="5"/>
    </row>
    <row r="4343" spans="1:1" x14ac:dyDescent="0.25">
      <c r="A4343" s="5"/>
    </row>
    <row r="4344" spans="1:1" x14ac:dyDescent="0.25">
      <c r="A4344" s="5"/>
    </row>
    <row r="4345" spans="1:1" x14ac:dyDescent="0.25">
      <c r="A4345" s="5"/>
    </row>
    <row r="4346" spans="1:1" x14ac:dyDescent="0.25">
      <c r="A4346" s="5"/>
    </row>
    <row r="4347" spans="1:1" x14ac:dyDescent="0.25">
      <c r="A4347" s="5"/>
    </row>
    <row r="4348" spans="1:1" x14ac:dyDescent="0.25">
      <c r="A4348" s="5"/>
    </row>
    <row r="4349" spans="1:1" x14ac:dyDescent="0.25">
      <c r="A4349" s="5"/>
    </row>
    <row r="4350" spans="1:1" x14ac:dyDescent="0.25">
      <c r="A4350" s="5"/>
    </row>
    <row r="4351" spans="1:1" x14ac:dyDescent="0.25">
      <c r="A4351" s="5"/>
    </row>
    <row r="4352" spans="1:1" x14ac:dyDescent="0.25">
      <c r="A4352" s="5"/>
    </row>
    <row r="4353" spans="1:1" x14ac:dyDescent="0.25">
      <c r="A4353" s="5"/>
    </row>
    <row r="4354" spans="1:1" x14ac:dyDescent="0.25">
      <c r="A4354" s="5"/>
    </row>
    <row r="4355" spans="1:1" x14ac:dyDescent="0.25">
      <c r="A4355" s="5"/>
    </row>
    <row r="4356" spans="1:1" x14ac:dyDescent="0.25">
      <c r="A4356" s="5"/>
    </row>
    <row r="4357" spans="1:1" x14ac:dyDescent="0.25">
      <c r="A4357" s="5"/>
    </row>
    <row r="4358" spans="1:1" x14ac:dyDescent="0.25">
      <c r="A4358" s="5"/>
    </row>
    <row r="4359" spans="1:1" x14ac:dyDescent="0.25">
      <c r="A4359" s="5"/>
    </row>
    <row r="4360" spans="1:1" x14ac:dyDescent="0.25">
      <c r="A4360" s="5"/>
    </row>
    <row r="4361" spans="1:1" x14ac:dyDescent="0.25">
      <c r="A4361" s="5"/>
    </row>
    <row r="4362" spans="1:1" x14ac:dyDescent="0.25">
      <c r="A4362" s="5"/>
    </row>
    <row r="4363" spans="1:1" x14ac:dyDescent="0.25">
      <c r="A4363" s="5"/>
    </row>
    <row r="4364" spans="1:1" x14ac:dyDescent="0.25">
      <c r="A4364" s="5"/>
    </row>
    <row r="4365" spans="1:1" x14ac:dyDescent="0.25">
      <c r="A4365" s="5"/>
    </row>
    <row r="4366" spans="1:1" x14ac:dyDescent="0.25">
      <c r="A4366" s="5"/>
    </row>
    <row r="4367" spans="1:1" x14ac:dyDescent="0.25">
      <c r="A4367" s="5"/>
    </row>
    <row r="4368" spans="1:1" x14ac:dyDescent="0.25">
      <c r="A4368" s="5"/>
    </row>
    <row r="4369" spans="1:1" x14ac:dyDescent="0.25">
      <c r="A4369" s="5"/>
    </row>
    <row r="4370" spans="1:1" x14ac:dyDescent="0.25">
      <c r="A4370" s="5"/>
    </row>
    <row r="4371" spans="1:1" x14ac:dyDescent="0.25">
      <c r="A4371" s="5"/>
    </row>
    <row r="4372" spans="1:1" x14ac:dyDescent="0.25">
      <c r="A4372" s="5"/>
    </row>
    <row r="4373" spans="1:1" x14ac:dyDescent="0.25">
      <c r="A4373" s="5"/>
    </row>
    <row r="4374" spans="1:1" x14ac:dyDescent="0.25">
      <c r="A4374" s="5"/>
    </row>
    <row r="4375" spans="1:1" x14ac:dyDescent="0.25">
      <c r="A4375" s="5"/>
    </row>
    <row r="4376" spans="1:1" x14ac:dyDescent="0.25">
      <c r="A4376" s="5"/>
    </row>
    <row r="4377" spans="1:1" x14ac:dyDescent="0.25">
      <c r="A4377" s="5"/>
    </row>
    <row r="4378" spans="1:1" x14ac:dyDescent="0.25">
      <c r="A4378" s="5"/>
    </row>
    <row r="4379" spans="1:1" x14ac:dyDescent="0.25">
      <c r="A4379" s="5"/>
    </row>
    <row r="4380" spans="1:1" x14ac:dyDescent="0.25">
      <c r="A4380" s="5"/>
    </row>
    <row r="4381" spans="1:1" x14ac:dyDescent="0.25">
      <c r="A4381" s="5"/>
    </row>
    <row r="4382" spans="1:1" x14ac:dyDescent="0.25">
      <c r="A4382" s="5"/>
    </row>
    <row r="4383" spans="1:1" x14ac:dyDescent="0.25">
      <c r="A4383" s="5"/>
    </row>
    <row r="4384" spans="1:1" x14ac:dyDescent="0.25">
      <c r="A4384" s="5"/>
    </row>
    <row r="4385" spans="1:1" x14ac:dyDescent="0.25">
      <c r="A4385" s="5"/>
    </row>
    <row r="4386" spans="1:1" x14ac:dyDescent="0.25">
      <c r="A4386" s="5"/>
    </row>
    <row r="4387" spans="1:1" x14ac:dyDescent="0.25">
      <c r="A4387" s="5"/>
    </row>
    <row r="4388" spans="1:1" x14ac:dyDescent="0.25">
      <c r="A4388" s="5"/>
    </row>
    <row r="4389" spans="1:1" x14ac:dyDescent="0.25">
      <c r="A4389" s="5"/>
    </row>
    <row r="4390" spans="1:1" x14ac:dyDescent="0.25">
      <c r="A4390" s="5"/>
    </row>
    <row r="4391" spans="1:1" x14ac:dyDescent="0.25">
      <c r="A4391" s="5"/>
    </row>
    <row r="4392" spans="1:1" x14ac:dyDescent="0.25">
      <c r="A4392" s="5"/>
    </row>
    <row r="4393" spans="1:1" x14ac:dyDescent="0.25">
      <c r="A4393" s="5"/>
    </row>
    <row r="4394" spans="1:1" x14ac:dyDescent="0.25">
      <c r="A4394" s="5"/>
    </row>
    <row r="4395" spans="1:1" x14ac:dyDescent="0.25">
      <c r="A4395" s="5"/>
    </row>
    <row r="4396" spans="1:1" x14ac:dyDescent="0.25">
      <c r="A4396" s="5"/>
    </row>
    <row r="4397" spans="1:1" x14ac:dyDescent="0.25">
      <c r="A4397" s="5"/>
    </row>
    <row r="4398" spans="1:1" x14ac:dyDescent="0.25">
      <c r="A4398" s="5"/>
    </row>
    <row r="4399" spans="1:1" x14ac:dyDescent="0.25">
      <c r="A4399" s="5"/>
    </row>
    <row r="4400" spans="1:1" x14ac:dyDescent="0.25">
      <c r="A4400" s="5"/>
    </row>
    <row r="4401" spans="1:1" x14ac:dyDescent="0.25">
      <c r="A4401" s="5"/>
    </row>
    <row r="4402" spans="1:1" x14ac:dyDescent="0.25">
      <c r="A4402" s="5"/>
    </row>
    <row r="4403" spans="1:1" x14ac:dyDescent="0.25">
      <c r="A4403" s="5"/>
    </row>
    <row r="4404" spans="1:1" x14ac:dyDescent="0.25">
      <c r="A4404" s="5"/>
    </row>
    <row r="4405" spans="1:1" x14ac:dyDescent="0.25">
      <c r="A4405" s="5"/>
    </row>
    <row r="4406" spans="1:1" x14ac:dyDescent="0.25">
      <c r="A4406" s="5"/>
    </row>
    <row r="4407" spans="1:1" x14ac:dyDescent="0.25">
      <c r="A4407" s="5"/>
    </row>
    <row r="4408" spans="1:1" x14ac:dyDescent="0.25">
      <c r="A4408" s="5"/>
    </row>
    <row r="4409" spans="1:1" x14ac:dyDescent="0.25">
      <c r="A4409" s="5"/>
    </row>
    <row r="4410" spans="1:1" x14ac:dyDescent="0.25">
      <c r="A4410" s="5"/>
    </row>
    <row r="4411" spans="1:1" x14ac:dyDescent="0.25">
      <c r="A4411" s="5"/>
    </row>
    <row r="4412" spans="1:1" x14ac:dyDescent="0.25">
      <c r="A4412" s="5"/>
    </row>
    <row r="4413" spans="1:1" x14ac:dyDescent="0.25">
      <c r="A4413" s="5"/>
    </row>
    <row r="4414" spans="1:1" x14ac:dyDescent="0.25">
      <c r="A4414" s="5"/>
    </row>
    <row r="4415" spans="1:1" x14ac:dyDescent="0.25">
      <c r="A4415" s="5"/>
    </row>
    <row r="4416" spans="1:1" x14ac:dyDescent="0.25">
      <c r="A4416" s="5"/>
    </row>
    <row r="4417" spans="1:1" x14ac:dyDescent="0.25">
      <c r="A4417" s="5"/>
    </row>
    <row r="4418" spans="1:1" x14ac:dyDescent="0.25">
      <c r="A4418" s="5"/>
    </row>
    <row r="4419" spans="1:1" x14ac:dyDescent="0.25">
      <c r="A4419" s="5"/>
    </row>
    <row r="4420" spans="1:1" x14ac:dyDescent="0.25">
      <c r="A4420" s="5"/>
    </row>
    <row r="4421" spans="1:1" x14ac:dyDescent="0.25">
      <c r="A4421" s="5"/>
    </row>
    <row r="4422" spans="1:1" x14ac:dyDescent="0.25">
      <c r="A4422" s="5"/>
    </row>
    <row r="4423" spans="1:1" x14ac:dyDescent="0.25">
      <c r="A4423" s="5"/>
    </row>
    <row r="4424" spans="1:1" x14ac:dyDescent="0.25">
      <c r="A4424" s="5"/>
    </row>
    <row r="4425" spans="1:1" x14ac:dyDescent="0.25">
      <c r="A4425" s="5"/>
    </row>
    <row r="4426" spans="1:1" x14ac:dyDescent="0.25">
      <c r="A4426" s="5"/>
    </row>
    <row r="4427" spans="1:1" x14ac:dyDescent="0.25">
      <c r="A4427" s="5"/>
    </row>
    <row r="4428" spans="1:1" x14ac:dyDescent="0.25">
      <c r="A4428" s="5"/>
    </row>
    <row r="4429" spans="1:1" x14ac:dyDescent="0.25">
      <c r="A4429" s="5"/>
    </row>
    <row r="4430" spans="1:1" x14ac:dyDescent="0.25">
      <c r="A4430" s="5"/>
    </row>
    <row r="4431" spans="1:1" x14ac:dyDescent="0.25">
      <c r="A4431" s="5"/>
    </row>
    <row r="4432" spans="1:1" x14ac:dyDescent="0.25">
      <c r="A4432" s="5"/>
    </row>
    <row r="4433" spans="1:1" x14ac:dyDescent="0.25">
      <c r="A4433" s="5"/>
    </row>
    <row r="4434" spans="1:1" x14ac:dyDescent="0.25">
      <c r="A4434" s="5"/>
    </row>
    <row r="4435" spans="1:1" x14ac:dyDescent="0.25">
      <c r="A4435" s="5"/>
    </row>
    <row r="4436" spans="1:1" x14ac:dyDescent="0.25">
      <c r="A4436" s="5"/>
    </row>
    <row r="4437" spans="1:1" x14ac:dyDescent="0.25">
      <c r="A4437" s="5"/>
    </row>
    <row r="4438" spans="1:1" x14ac:dyDescent="0.25">
      <c r="A4438" s="5"/>
    </row>
    <row r="4439" spans="1:1" x14ac:dyDescent="0.25">
      <c r="A4439" s="5"/>
    </row>
    <row r="4440" spans="1:1" x14ac:dyDescent="0.25">
      <c r="A4440" s="5"/>
    </row>
    <row r="4441" spans="1:1" x14ac:dyDescent="0.25">
      <c r="A4441" s="5"/>
    </row>
    <row r="4442" spans="1:1" x14ac:dyDescent="0.25">
      <c r="A4442" s="5"/>
    </row>
    <row r="4443" spans="1:1" x14ac:dyDescent="0.25">
      <c r="A4443" s="5"/>
    </row>
    <row r="4444" spans="1:1" x14ac:dyDescent="0.25">
      <c r="A4444" s="5"/>
    </row>
    <row r="4445" spans="1:1" x14ac:dyDescent="0.25">
      <c r="A4445" s="5"/>
    </row>
    <row r="4446" spans="1:1" x14ac:dyDescent="0.25">
      <c r="A4446" s="5"/>
    </row>
    <row r="4447" spans="1:1" x14ac:dyDescent="0.25">
      <c r="A4447" s="5"/>
    </row>
    <row r="4448" spans="1:1" x14ac:dyDescent="0.25">
      <c r="A4448" s="5"/>
    </row>
    <row r="4449" spans="1:1" x14ac:dyDescent="0.25">
      <c r="A4449" s="5"/>
    </row>
    <row r="4450" spans="1:1" x14ac:dyDescent="0.25">
      <c r="A4450" s="5"/>
    </row>
    <row r="4451" spans="1:1" x14ac:dyDescent="0.25">
      <c r="A4451" s="5"/>
    </row>
    <row r="4452" spans="1:1" x14ac:dyDescent="0.25">
      <c r="A4452" s="5"/>
    </row>
    <row r="4453" spans="1:1" x14ac:dyDescent="0.25">
      <c r="A4453" s="5"/>
    </row>
    <row r="4454" spans="1:1" x14ac:dyDescent="0.25">
      <c r="A4454" s="5"/>
    </row>
    <row r="4455" spans="1:1" x14ac:dyDescent="0.25">
      <c r="A4455" s="5"/>
    </row>
    <row r="4456" spans="1:1" x14ac:dyDescent="0.25">
      <c r="A4456" s="5"/>
    </row>
    <row r="4457" spans="1:1" x14ac:dyDescent="0.25">
      <c r="A4457" s="5"/>
    </row>
    <row r="4458" spans="1:1" x14ac:dyDescent="0.25">
      <c r="A4458" s="5"/>
    </row>
    <row r="4459" spans="1:1" x14ac:dyDescent="0.25">
      <c r="A4459" s="5"/>
    </row>
    <row r="4460" spans="1:1" x14ac:dyDescent="0.25">
      <c r="A4460" s="5"/>
    </row>
    <row r="4461" spans="1:1" x14ac:dyDescent="0.25">
      <c r="A4461" s="5"/>
    </row>
    <row r="4462" spans="1:1" x14ac:dyDescent="0.25">
      <c r="A4462" s="5"/>
    </row>
    <row r="4463" spans="1:1" x14ac:dyDescent="0.25">
      <c r="A4463" s="5"/>
    </row>
    <row r="4464" spans="1:1" x14ac:dyDescent="0.25">
      <c r="A4464" s="5"/>
    </row>
    <row r="4465" spans="1:1" x14ac:dyDescent="0.25">
      <c r="A4465" s="5"/>
    </row>
    <row r="4466" spans="1:1" x14ac:dyDescent="0.25">
      <c r="A4466" s="5"/>
    </row>
    <row r="4467" spans="1:1" x14ac:dyDescent="0.25">
      <c r="A4467" s="5"/>
    </row>
    <row r="4468" spans="1:1" x14ac:dyDescent="0.25">
      <c r="A4468" s="5"/>
    </row>
    <row r="4469" spans="1:1" x14ac:dyDescent="0.25">
      <c r="A4469" s="5"/>
    </row>
    <row r="4470" spans="1:1" x14ac:dyDescent="0.25">
      <c r="A4470" s="5"/>
    </row>
    <row r="4471" spans="1:1" x14ac:dyDescent="0.25">
      <c r="A4471" s="5"/>
    </row>
    <row r="4472" spans="1:1" x14ac:dyDescent="0.25">
      <c r="A4472" s="5"/>
    </row>
    <row r="4473" spans="1:1" x14ac:dyDescent="0.25">
      <c r="A4473" s="5"/>
    </row>
    <row r="4474" spans="1:1" x14ac:dyDescent="0.25">
      <c r="A4474" s="5"/>
    </row>
    <row r="4475" spans="1:1" x14ac:dyDescent="0.25">
      <c r="A4475" s="5"/>
    </row>
    <row r="4476" spans="1:1" x14ac:dyDescent="0.25">
      <c r="A4476" s="5"/>
    </row>
    <row r="4477" spans="1:1" x14ac:dyDescent="0.25">
      <c r="A4477" s="5"/>
    </row>
    <row r="4478" spans="1:1" x14ac:dyDescent="0.25">
      <c r="A4478" s="5"/>
    </row>
    <row r="4479" spans="1:1" x14ac:dyDescent="0.25">
      <c r="A4479" s="5"/>
    </row>
    <row r="4480" spans="1:1" x14ac:dyDescent="0.25">
      <c r="A4480" s="5"/>
    </row>
    <row r="4481" spans="1:1" x14ac:dyDescent="0.25">
      <c r="A4481" s="5"/>
    </row>
    <row r="4482" spans="1:1" x14ac:dyDescent="0.25">
      <c r="A4482" s="5"/>
    </row>
    <row r="4483" spans="1:1" x14ac:dyDescent="0.25">
      <c r="A4483" s="5"/>
    </row>
    <row r="4484" spans="1:1" x14ac:dyDescent="0.25">
      <c r="A4484" s="5"/>
    </row>
    <row r="4485" spans="1:1" x14ac:dyDescent="0.25">
      <c r="A4485" s="5"/>
    </row>
    <row r="4486" spans="1:1" x14ac:dyDescent="0.25">
      <c r="A4486" s="5"/>
    </row>
    <row r="4487" spans="1:1" x14ac:dyDescent="0.25">
      <c r="A4487" s="5"/>
    </row>
    <row r="4488" spans="1:1" x14ac:dyDescent="0.25">
      <c r="A4488" s="5"/>
    </row>
    <row r="4489" spans="1:1" x14ac:dyDescent="0.25">
      <c r="A4489" s="5"/>
    </row>
    <row r="4490" spans="1:1" x14ac:dyDescent="0.25">
      <c r="A4490" s="5"/>
    </row>
    <row r="4491" spans="1:1" x14ac:dyDescent="0.25">
      <c r="A4491" s="5"/>
    </row>
    <row r="4492" spans="1:1" x14ac:dyDescent="0.25">
      <c r="A4492" s="5"/>
    </row>
    <row r="4493" spans="1:1" x14ac:dyDescent="0.25">
      <c r="A4493" s="5"/>
    </row>
    <row r="4494" spans="1:1" x14ac:dyDescent="0.25">
      <c r="A4494" s="5"/>
    </row>
    <row r="4495" spans="1:1" x14ac:dyDescent="0.25">
      <c r="A4495" s="5"/>
    </row>
    <row r="4496" spans="1:1" x14ac:dyDescent="0.25">
      <c r="A4496" s="5"/>
    </row>
    <row r="4497" spans="1:1" x14ac:dyDescent="0.25">
      <c r="A4497" s="5"/>
    </row>
    <row r="4498" spans="1:1" x14ac:dyDescent="0.25">
      <c r="A4498" s="5"/>
    </row>
    <row r="4499" spans="1:1" x14ac:dyDescent="0.25">
      <c r="A4499" s="5"/>
    </row>
    <row r="4500" spans="1:1" x14ac:dyDescent="0.25">
      <c r="A4500" s="5"/>
    </row>
    <row r="4501" spans="1:1" x14ac:dyDescent="0.25">
      <c r="A4501" s="5"/>
    </row>
    <row r="4502" spans="1:1" x14ac:dyDescent="0.25">
      <c r="A4502" s="5"/>
    </row>
    <row r="4503" spans="1:1" x14ac:dyDescent="0.25">
      <c r="A4503" s="5"/>
    </row>
    <row r="4504" spans="1:1" x14ac:dyDescent="0.25">
      <c r="A4504" s="5"/>
    </row>
    <row r="4505" spans="1:1" x14ac:dyDescent="0.25">
      <c r="A4505" s="5"/>
    </row>
    <row r="4506" spans="1:1" x14ac:dyDescent="0.25">
      <c r="A4506" s="5"/>
    </row>
    <row r="4507" spans="1:1" x14ac:dyDescent="0.25">
      <c r="A4507" s="5"/>
    </row>
    <row r="4508" spans="1:1" x14ac:dyDescent="0.25">
      <c r="A4508" s="5"/>
    </row>
    <row r="4509" spans="1:1" x14ac:dyDescent="0.25">
      <c r="A4509" s="5"/>
    </row>
    <row r="4510" spans="1:1" x14ac:dyDescent="0.25">
      <c r="A4510" s="5"/>
    </row>
    <row r="4511" spans="1:1" x14ac:dyDescent="0.25">
      <c r="A4511" s="5"/>
    </row>
    <row r="4512" spans="1:1" x14ac:dyDescent="0.25">
      <c r="A4512" s="5"/>
    </row>
    <row r="4513" spans="1:1" x14ac:dyDescent="0.25">
      <c r="A4513" s="5"/>
    </row>
    <row r="4514" spans="1:1" x14ac:dyDescent="0.25">
      <c r="A4514" s="5"/>
    </row>
    <row r="4515" spans="1:1" x14ac:dyDescent="0.25">
      <c r="A4515" s="5"/>
    </row>
    <row r="4516" spans="1:1" x14ac:dyDescent="0.25">
      <c r="A4516" s="5"/>
    </row>
    <row r="4517" spans="1:1" x14ac:dyDescent="0.25">
      <c r="A4517" s="5"/>
    </row>
    <row r="4518" spans="1:1" x14ac:dyDescent="0.25">
      <c r="A4518" s="5"/>
    </row>
    <row r="4519" spans="1:1" x14ac:dyDescent="0.25">
      <c r="A4519" s="5"/>
    </row>
    <row r="4520" spans="1:1" x14ac:dyDescent="0.25">
      <c r="A4520" s="5"/>
    </row>
    <row r="4521" spans="1:1" x14ac:dyDescent="0.25">
      <c r="A4521" s="5"/>
    </row>
    <row r="4522" spans="1:1" x14ac:dyDescent="0.25">
      <c r="A4522" s="5"/>
    </row>
    <row r="4523" spans="1:1" x14ac:dyDescent="0.25">
      <c r="A4523" s="5"/>
    </row>
    <row r="4524" spans="1:1" x14ac:dyDescent="0.25">
      <c r="A4524" s="5"/>
    </row>
    <row r="4525" spans="1:1" x14ac:dyDescent="0.25">
      <c r="A4525" s="5"/>
    </row>
    <row r="4526" spans="1:1" x14ac:dyDescent="0.25">
      <c r="A4526" s="5"/>
    </row>
    <row r="4527" spans="1:1" x14ac:dyDescent="0.25">
      <c r="A4527" s="5"/>
    </row>
    <row r="4528" spans="1:1" x14ac:dyDescent="0.25">
      <c r="A4528" s="5"/>
    </row>
    <row r="4529" spans="1:1" x14ac:dyDescent="0.25">
      <c r="A4529" s="5"/>
    </row>
    <row r="4530" spans="1:1" x14ac:dyDescent="0.25">
      <c r="A4530" s="5"/>
    </row>
    <row r="4531" spans="1:1" x14ac:dyDescent="0.25">
      <c r="A4531" s="5"/>
    </row>
    <row r="4532" spans="1:1" x14ac:dyDescent="0.25">
      <c r="A4532" s="5"/>
    </row>
    <row r="4533" spans="1:1" x14ac:dyDescent="0.25">
      <c r="A4533" s="5"/>
    </row>
    <row r="4534" spans="1:1" x14ac:dyDescent="0.25">
      <c r="A4534" s="5"/>
    </row>
    <row r="4535" spans="1:1" x14ac:dyDescent="0.25">
      <c r="A4535" s="5"/>
    </row>
    <row r="4536" spans="1:1" x14ac:dyDescent="0.25">
      <c r="A4536" s="5"/>
    </row>
    <row r="4537" spans="1:1" x14ac:dyDescent="0.25">
      <c r="A4537" s="5"/>
    </row>
    <row r="4538" spans="1:1" x14ac:dyDescent="0.25">
      <c r="A4538" s="5"/>
    </row>
    <row r="4539" spans="1:1" x14ac:dyDescent="0.25">
      <c r="A4539" s="5"/>
    </row>
    <row r="4540" spans="1:1" x14ac:dyDescent="0.25">
      <c r="A4540" s="5"/>
    </row>
    <row r="4541" spans="1:1" x14ac:dyDescent="0.25">
      <c r="A4541" s="5"/>
    </row>
    <row r="4542" spans="1:1" x14ac:dyDescent="0.25">
      <c r="A4542" s="5"/>
    </row>
    <row r="4543" spans="1:1" x14ac:dyDescent="0.25">
      <c r="A4543" s="5"/>
    </row>
    <row r="4544" spans="1:1" x14ac:dyDescent="0.25">
      <c r="A4544" s="5"/>
    </row>
    <row r="4545" spans="1:1" x14ac:dyDescent="0.25">
      <c r="A4545" s="5"/>
    </row>
    <row r="4546" spans="1:1" x14ac:dyDescent="0.25">
      <c r="A4546" s="5"/>
    </row>
    <row r="4547" spans="1:1" x14ac:dyDescent="0.25">
      <c r="A4547" s="5"/>
    </row>
    <row r="4548" spans="1:1" x14ac:dyDescent="0.25">
      <c r="A4548" s="5"/>
    </row>
    <row r="4549" spans="1:1" x14ac:dyDescent="0.25">
      <c r="A4549" s="5"/>
    </row>
    <row r="4550" spans="1:1" x14ac:dyDescent="0.25">
      <c r="A4550" s="5"/>
    </row>
    <row r="4551" spans="1:1" x14ac:dyDescent="0.25">
      <c r="A4551" s="5"/>
    </row>
    <row r="4552" spans="1:1" x14ac:dyDescent="0.25">
      <c r="A4552" s="5"/>
    </row>
    <row r="4553" spans="1:1" x14ac:dyDescent="0.25">
      <c r="A4553" s="5"/>
    </row>
    <row r="4554" spans="1:1" x14ac:dyDescent="0.25">
      <c r="A4554" s="5"/>
    </row>
    <row r="4555" spans="1:1" x14ac:dyDescent="0.25">
      <c r="A4555" s="5"/>
    </row>
    <row r="4556" spans="1:1" x14ac:dyDescent="0.25">
      <c r="A4556" s="5"/>
    </row>
    <row r="4557" spans="1:1" x14ac:dyDescent="0.25">
      <c r="A4557" s="5"/>
    </row>
    <row r="4558" spans="1:1" x14ac:dyDescent="0.25">
      <c r="A4558" s="5"/>
    </row>
    <row r="4559" spans="1:1" x14ac:dyDescent="0.25">
      <c r="A4559" s="5"/>
    </row>
    <row r="4560" spans="1:1" x14ac:dyDescent="0.25">
      <c r="A4560" s="5"/>
    </row>
    <row r="4561" spans="1:1" x14ac:dyDescent="0.25">
      <c r="A4561" s="5"/>
    </row>
    <row r="4562" spans="1:1" x14ac:dyDescent="0.25">
      <c r="A4562" s="5"/>
    </row>
    <row r="4563" spans="1:1" x14ac:dyDescent="0.25">
      <c r="A4563" s="5"/>
    </row>
    <row r="4564" spans="1:1" x14ac:dyDescent="0.25">
      <c r="A4564" s="5"/>
    </row>
    <row r="4565" spans="1:1" x14ac:dyDescent="0.25">
      <c r="A4565" s="5"/>
    </row>
    <row r="4566" spans="1:1" x14ac:dyDescent="0.25">
      <c r="A4566" s="5"/>
    </row>
    <row r="4567" spans="1:1" x14ac:dyDescent="0.25">
      <c r="A4567" s="5"/>
    </row>
    <row r="4568" spans="1:1" x14ac:dyDescent="0.25">
      <c r="A4568" s="5"/>
    </row>
    <row r="4569" spans="1:1" x14ac:dyDescent="0.25">
      <c r="A4569" s="5"/>
    </row>
    <row r="4570" spans="1:1" x14ac:dyDescent="0.25">
      <c r="A4570" s="5"/>
    </row>
    <row r="4571" spans="1:1" x14ac:dyDescent="0.25">
      <c r="A4571" s="5"/>
    </row>
    <row r="4572" spans="1:1" x14ac:dyDescent="0.25">
      <c r="A4572" s="5"/>
    </row>
    <row r="4573" spans="1:1" x14ac:dyDescent="0.25">
      <c r="A4573" s="5"/>
    </row>
    <row r="4574" spans="1:1" x14ac:dyDescent="0.25">
      <c r="A4574" s="5"/>
    </row>
    <row r="4575" spans="1:1" x14ac:dyDescent="0.25">
      <c r="A4575" s="5"/>
    </row>
    <row r="4576" spans="1:1" x14ac:dyDescent="0.25">
      <c r="A4576" s="5"/>
    </row>
    <row r="4577" spans="1:1" x14ac:dyDescent="0.25">
      <c r="A4577" s="5"/>
    </row>
    <row r="4578" spans="1:1" x14ac:dyDescent="0.25">
      <c r="A4578" s="5"/>
    </row>
    <row r="4579" spans="1:1" x14ac:dyDescent="0.25">
      <c r="A4579" s="5"/>
    </row>
    <row r="4580" spans="1:1" x14ac:dyDescent="0.25">
      <c r="A4580" s="5"/>
    </row>
    <row r="4581" spans="1:1" x14ac:dyDescent="0.25">
      <c r="A4581" s="5"/>
    </row>
    <row r="4582" spans="1:1" x14ac:dyDescent="0.25">
      <c r="A4582" s="5"/>
    </row>
    <row r="4583" spans="1:1" x14ac:dyDescent="0.25">
      <c r="A4583" s="5"/>
    </row>
    <row r="4584" spans="1:1" x14ac:dyDescent="0.25">
      <c r="A4584" s="5"/>
    </row>
    <row r="4585" spans="1:1" x14ac:dyDescent="0.25">
      <c r="A4585" s="5"/>
    </row>
    <row r="4586" spans="1:1" x14ac:dyDescent="0.25">
      <c r="A4586" s="5"/>
    </row>
    <row r="4587" spans="1:1" x14ac:dyDescent="0.25">
      <c r="A4587" s="5"/>
    </row>
    <row r="4588" spans="1:1" x14ac:dyDescent="0.25">
      <c r="A4588" s="5"/>
    </row>
    <row r="4589" spans="1:1" x14ac:dyDescent="0.25">
      <c r="A4589" s="5"/>
    </row>
    <row r="4590" spans="1:1" x14ac:dyDescent="0.25">
      <c r="A4590" s="5"/>
    </row>
    <row r="4591" spans="1:1" x14ac:dyDescent="0.25">
      <c r="A4591" s="5"/>
    </row>
    <row r="4592" spans="1:1" x14ac:dyDescent="0.25">
      <c r="A4592" s="5"/>
    </row>
    <row r="4593" spans="1:1" x14ac:dyDescent="0.25">
      <c r="A4593" s="5"/>
    </row>
    <row r="4594" spans="1:1" x14ac:dyDescent="0.25">
      <c r="A4594" s="5"/>
    </row>
    <row r="4595" spans="1:1" x14ac:dyDescent="0.25">
      <c r="A4595" s="5"/>
    </row>
    <row r="4596" spans="1:1" x14ac:dyDescent="0.25">
      <c r="A4596" s="5"/>
    </row>
    <row r="4597" spans="1:1" x14ac:dyDescent="0.25">
      <c r="A4597" s="5"/>
    </row>
    <row r="4598" spans="1:1" x14ac:dyDescent="0.25">
      <c r="A4598" s="5"/>
    </row>
    <row r="4599" spans="1:1" x14ac:dyDescent="0.25">
      <c r="A4599" s="5"/>
    </row>
    <row r="4600" spans="1:1" x14ac:dyDescent="0.25">
      <c r="A4600" s="5"/>
    </row>
    <row r="4601" spans="1:1" x14ac:dyDescent="0.25">
      <c r="A4601" s="5"/>
    </row>
    <row r="4602" spans="1:1" x14ac:dyDescent="0.25">
      <c r="A4602" s="5"/>
    </row>
    <row r="4603" spans="1:1" x14ac:dyDescent="0.25">
      <c r="A4603" s="5"/>
    </row>
    <row r="4604" spans="1:1" x14ac:dyDescent="0.25">
      <c r="A4604" s="5"/>
    </row>
    <row r="4605" spans="1:1" x14ac:dyDescent="0.25">
      <c r="A4605" s="5"/>
    </row>
    <row r="4606" spans="1:1" x14ac:dyDescent="0.25">
      <c r="A4606" s="5"/>
    </row>
    <row r="4607" spans="1:1" x14ac:dyDescent="0.25">
      <c r="A4607" s="5"/>
    </row>
    <row r="4608" spans="1:1" x14ac:dyDescent="0.25">
      <c r="A4608" s="5"/>
    </row>
    <row r="4609" spans="1:1" x14ac:dyDescent="0.25">
      <c r="A4609" s="5"/>
    </row>
    <row r="4610" spans="1:1" x14ac:dyDescent="0.25">
      <c r="A4610" s="5"/>
    </row>
    <row r="4611" spans="1:1" x14ac:dyDescent="0.25">
      <c r="A4611" s="5"/>
    </row>
    <row r="4612" spans="1:1" x14ac:dyDescent="0.25">
      <c r="A4612" s="5"/>
    </row>
    <row r="4613" spans="1:1" x14ac:dyDescent="0.25">
      <c r="A4613" s="5"/>
    </row>
    <row r="4614" spans="1:1" x14ac:dyDescent="0.25">
      <c r="A4614" s="5"/>
    </row>
    <row r="4615" spans="1:1" x14ac:dyDescent="0.25">
      <c r="A4615" s="5"/>
    </row>
    <row r="4616" spans="1:1" x14ac:dyDescent="0.25">
      <c r="A4616" s="5"/>
    </row>
    <row r="4617" spans="1:1" x14ac:dyDescent="0.25">
      <c r="A4617" s="5"/>
    </row>
    <row r="4618" spans="1:1" x14ac:dyDescent="0.25">
      <c r="A4618" s="5"/>
    </row>
    <row r="4619" spans="1:1" x14ac:dyDescent="0.25">
      <c r="A4619" s="5"/>
    </row>
    <row r="4620" spans="1:1" x14ac:dyDescent="0.25">
      <c r="A4620" s="5"/>
    </row>
    <row r="4621" spans="1:1" x14ac:dyDescent="0.25">
      <c r="A4621" s="5"/>
    </row>
    <row r="4622" spans="1:1" x14ac:dyDescent="0.25">
      <c r="A4622" s="5"/>
    </row>
    <row r="4623" spans="1:1" x14ac:dyDescent="0.25">
      <c r="A4623" s="5"/>
    </row>
    <row r="4624" spans="1:1" x14ac:dyDescent="0.25">
      <c r="A4624" s="5"/>
    </row>
    <row r="4625" spans="1:1" x14ac:dyDescent="0.25">
      <c r="A4625" s="5"/>
    </row>
    <row r="4626" spans="1:1" x14ac:dyDescent="0.25">
      <c r="A4626" s="5"/>
    </row>
    <row r="4627" spans="1:1" x14ac:dyDescent="0.25">
      <c r="A4627" s="5"/>
    </row>
    <row r="4628" spans="1:1" x14ac:dyDescent="0.25">
      <c r="A4628" s="5"/>
    </row>
    <row r="4629" spans="1:1" x14ac:dyDescent="0.25">
      <c r="A4629" s="5"/>
    </row>
    <row r="4630" spans="1:1" x14ac:dyDescent="0.25">
      <c r="A4630" s="5"/>
    </row>
    <row r="4631" spans="1:1" x14ac:dyDescent="0.25">
      <c r="A4631" s="5"/>
    </row>
    <row r="4632" spans="1:1" x14ac:dyDescent="0.25">
      <c r="A4632" s="5"/>
    </row>
    <row r="4633" spans="1:1" x14ac:dyDescent="0.25">
      <c r="A4633" s="5"/>
    </row>
    <row r="4634" spans="1:1" x14ac:dyDescent="0.25">
      <c r="A4634" s="5"/>
    </row>
    <row r="4635" spans="1:1" x14ac:dyDescent="0.25">
      <c r="A4635" s="5"/>
    </row>
    <row r="4636" spans="1:1" x14ac:dyDescent="0.25">
      <c r="A4636" s="5"/>
    </row>
    <row r="4637" spans="1:1" x14ac:dyDescent="0.25">
      <c r="A4637" s="5"/>
    </row>
    <row r="4638" spans="1:1" x14ac:dyDescent="0.25">
      <c r="A4638" s="5"/>
    </row>
    <row r="4639" spans="1:1" x14ac:dyDescent="0.25">
      <c r="A4639" s="5"/>
    </row>
    <row r="4640" spans="1:1" x14ac:dyDescent="0.25">
      <c r="A4640" s="5"/>
    </row>
    <row r="4641" spans="1:1" x14ac:dyDescent="0.25">
      <c r="A4641" s="5"/>
    </row>
    <row r="4642" spans="1:1" x14ac:dyDescent="0.25">
      <c r="A4642" s="5"/>
    </row>
    <row r="4643" spans="1:1" x14ac:dyDescent="0.25">
      <c r="A4643" s="5"/>
    </row>
    <row r="4644" spans="1:1" x14ac:dyDescent="0.25">
      <c r="A4644" s="5"/>
    </row>
    <row r="4645" spans="1:1" x14ac:dyDescent="0.25">
      <c r="A4645" s="5"/>
    </row>
    <row r="4646" spans="1:1" x14ac:dyDescent="0.25">
      <c r="A4646" s="5"/>
    </row>
    <row r="4647" spans="1:1" x14ac:dyDescent="0.25">
      <c r="A4647" s="5"/>
    </row>
    <row r="4648" spans="1:1" x14ac:dyDescent="0.25">
      <c r="A4648" s="5"/>
    </row>
    <row r="4649" spans="1:1" x14ac:dyDescent="0.25">
      <c r="A4649" s="5"/>
    </row>
    <row r="4650" spans="1:1" x14ac:dyDescent="0.25">
      <c r="A4650" s="5"/>
    </row>
    <row r="4651" spans="1:1" x14ac:dyDescent="0.25">
      <c r="A4651" s="5"/>
    </row>
    <row r="4652" spans="1:1" x14ac:dyDescent="0.25">
      <c r="A4652" s="5"/>
    </row>
    <row r="4653" spans="1:1" x14ac:dyDescent="0.25">
      <c r="A4653" s="5"/>
    </row>
    <row r="4654" spans="1:1" x14ac:dyDescent="0.25">
      <c r="A4654" s="5"/>
    </row>
    <row r="4655" spans="1:1" x14ac:dyDescent="0.25">
      <c r="A4655" s="5"/>
    </row>
    <row r="4656" spans="1:1" x14ac:dyDescent="0.25">
      <c r="A4656" s="5"/>
    </row>
    <row r="4657" spans="1:1" x14ac:dyDescent="0.25">
      <c r="A4657" s="5"/>
    </row>
    <row r="4658" spans="1:1" x14ac:dyDescent="0.25">
      <c r="A4658" s="5"/>
    </row>
    <row r="4659" spans="1:1" x14ac:dyDescent="0.25">
      <c r="A4659" s="5"/>
    </row>
    <row r="4660" spans="1:1" x14ac:dyDescent="0.25">
      <c r="A4660" s="5"/>
    </row>
    <row r="4661" spans="1:1" x14ac:dyDescent="0.25">
      <c r="A4661" s="5"/>
    </row>
    <row r="4662" spans="1:1" x14ac:dyDescent="0.25">
      <c r="A4662" s="5"/>
    </row>
    <row r="4663" spans="1:1" x14ac:dyDescent="0.25">
      <c r="A4663" s="5"/>
    </row>
    <row r="4664" spans="1:1" x14ac:dyDescent="0.25">
      <c r="A4664" s="5"/>
    </row>
    <row r="4665" spans="1:1" x14ac:dyDescent="0.25">
      <c r="A4665" s="5"/>
    </row>
    <row r="4666" spans="1:1" x14ac:dyDescent="0.25">
      <c r="A4666" s="5"/>
    </row>
    <row r="4667" spans="1:1" x14ac:dyDescent="0.25">
      <c r="A4667" s="5"/>
    </row>
    <row r="4668" spans="1:1" x14ac:dyDescent="0.25">
      <c r="A4668" s="5"/>
    </row>
    <row r="4669" spans="1:1" x14ac:dyDescent="0.25">
      <c r="A4669" s="5"/>
    </row>
    <row r="4670" spans="1:1" x14ac:dyDescent="0.25">
      <c r="A4670" s="5"/>
    </row>
    <row r="4671" spans="1:1" x14ac:dyDescent="0.25">
      <c r="A4671" s="5"/>
    </row>
    <row r="4672" spans="1:1" x14ac:dyDescent="0.25">
      <c r="A4672" s="5"/>
    </row>
    <row r="4673" spans="1:1" x14ac:dyDescent="0.25">
      <c r="A4673" s="5"/>
    </row>
    <row r="4674" spans="1:1" x14ac:dyDescent="0.25">
      <c r="A4674" s="5"/>
    </row>
    <row r="4675" spans="1:1" x14ac:dyDescent="0.25">
      <c r="A4675" s="5"/>
    </row>
    <row r="4676" spans="1:1" x14ac:dyDescent="0.25">
      <c r="A4676" s="5"/>
    </row>
    <row r="4677" spans="1:1" x14ac:dyDescent="0.25">
      <c r="A4677" s="5"/>
    </row>
    <row r="4678" spans="1:1" x14ac:dyDescent="0.25">
      <c r="A4678" s="5"/>
    </row>
    <row r="4679" spans="1:1" x14ac:dyDescent="0.25">
      <c r="A4679" s="5"/>
    </row>
    <row r="4680" spans="1:1" x14ac:dyDescent="0.25">
      <c r="A4680" s="5"/>
    </row>
    <row r="4681" spans="1:1" x14ac:dyDescent="0.25">
      <c r="A4681" s="5"/>
    </row>
    <row r="4682" spans="1:1" x14ac:dyDescent="0.25">
      <c r="A4682" s="5"/>
    </row>
    <row r="4683" spans="1:1" x14ac:dyDescent="0.25">
      <c r="A4683" s="5"/>
    </row>
    <row r="4684" spans="1:1" x14ac:dyDescent="0.25">
      <c r="A4684" s="5"/>
    </row>
    <row r="4685" spans="1:1" x14ac:dyDescent="0.25">
      <c r="A4685" s="5"/>
    </row>
    <row r="4686" spans="1:1" x14ac:dyDescent="0.25">
      <c r="A4686" s="5"/>
    </row>
    <row r="4687" spans="1:1" x14ac:dyDescent="0.25">
      <c r="A4687" s="5"/>
    </row>
    <row r="4688" spans="1:1" x14ac:dyDescent="0.25">
      <c r="A4688" s="5"/>
    </row>
    <row r="4689" spans="1:1" x14ac:dyDescent="0.25">
      <c r="A4689" s="5"/>
    </row>
    <row r="4690" spans="1:1" x14ac:dyDescent="0.25">
      <c r="A4690" s="5"/>
    </row>
    <row r="4691" spans="1:1" x14ac:dyDescent="0.25">
      <c r="A4691" s="5"/>
    </row>
    <row r="4692" spans="1:1" x14ac:dyDescent="0.25">
      <c r="A4692" s="5"/>
    </row>
    <row r="4693" spans="1:1" x14ac:dyDescent="0.25">
      <c r="A4693" s="5"/>
    </row>
    <row r="4694" spans="1:1" x14ac:dyDescent="0.25">
      <c r="A4694" s="5"/>
    </row>
    <row r="4695" spans="1:1" x14ac:dyDescent="0.25">
      <c r="A4695" s="5"/>
    </row>
    <row r="4696" spans="1:1" x14ac:dyDescent="0.25">
      <c r="A4696" s="5"/>
    </row>
    <row r="4697" spans="1:1" x14ac:dyDescent="0.25">
      <c r="A4697" s="5"/>
    </row>
    <row r="4698" spans="1:1" x14ac:dyDescent="0.25">
      <c r="A4698" s="5"/>
    </row>
    <row r="4699" spans="1:1" x14ac:dyDescent="0.25">
      <c r="A4699" s="5"/>
    </row>
    <row r="4700" spans="1:1" x14ac:dyDescent="0.25">
      <c r="A4700" s="5"/>
    </row>
    <row r="4701" spans="1:1" x14ac:dyDescent="0.25">
      <c r="A4701" s="5"/>
    </row>
    <row r="4702" spans="1:1" x14ac:dyDescent="0.25">
      <c r="A4702" s="5"/>
    </row>
    <row r="4703" spans="1:1" x14ac:dyDescent="0.25">
      <c r="A4703" s="5"/>
    </row>
    <row r="4704" spans="1:1" x14ac:dyDescent="0.25">
      <c r="A4704" s="5"/>
    </row>
    <row r="4705" spans="1:1" x14ac:dyDescent="0.25">
      <c r="A4705" s="5"/>
    </row>
    <row r="4706" spans="1:1" x14ac:dyDescent="0.25">
      <c r="A4706" s="5"/>
    </row>
    <row r="4707" spans="1:1" x14ac:dyDescent="0.25">
      <c r="A4707" s="5"/>
    </row>
    <row r="4708" spans="1:1" x14ac:dyDescent="0.25">
      <c r="A4708" s="5"/>
    </row>
    <row r="4709" spans="1:1" x14ac:dyDescent="0.25">
      <c r="A4709" s="5"/>
    </row>
    <row r="4710" spans="1:1" x14ac:dyDescent="0.25">
      <c r="A4710" s="5"/>
    </row>
    <row r="4711" spans="1:1" x14ac:dyDescent="0.25">
      <c r="A4711" s="5"/>
    </row>
    <row r="4712" spans="1:1" x14ac:dyDescent="0.25">
      <c r="A4712" s="5"/>
    </row>
    <row r="4713" spans="1:1" x14ac:dyDescent="0.25">
      <c r="A4713" s="5"/>
    </row>
    <row r="4714" spans="1:1" x14ac:dyDescent="0.25">
      <c r="A4714" s="5"/>
    </row>
    <row r="4715" spans="1:1" x14ac:dyDescent="0.25">
      <c r="A4715" s="5"/>
    </row>
    <row r="4716" spans="1:1" x14ac:dyDescent="0.25">
      <c r="A4716" s="5"/>
    </row>
    <row r="4717" spans="1:1" x14ac:dyDescent="0.25">
      <c r="A4717" s="5"/>
    </row>
    <row r="4718" spans="1:1" x14ac:dyDescent="0.25">
      <c r="A4718" s="5"/>
    </row>
    <row r="4719" spans="1:1" x14ac:dyDescent="0.25">
      <c r="A4719" s="5"/>
    </row>
    <row r="4720" spans="1:1" x14ac:dyDescent="0.25">
      <c r="A4720" s="5"/>
    </row>
    <row r="4721" spans="1:1" x14ac:dyDescent="0.25">
      <c r="A4721" s="5"/>
    </row>
    <row r="4722" spans="1:1" x14ac:dyDescent="0.25">
      <c r="A4722" s="5"/>
    </row>
    <row r="4723" spans="1:1" x14ac:dyDescent="0.25">
      <c r="A4723" s="5"/>
    </row>
    <row r="4724" spans="1:1" x14ac:dyDescent="0.25">
      <c r="A4724" s="5"/>
    </row>
    <row r="4725" spans="1:1" x14ac:dyDescent="0.25">
      <c r="A4725" s="5"/>
    </row>
    <row r="4726" spans="1:1" x14ac:dyDescent="0.25">
      <c r="A4726" s="5"/>
    </row>
    <row r="4727" spans="1:1" x14ac:dyDescent="0.25">
      <c r="A4727" s="5"/>
    </row>
    <row r="4728" spans="1:1" x14ac:dyDescent="0.25">
      <c r="A4728" s="5"/>
    </row>
    <row r="4729" spans="1:1" x14ac:dyDescent="0.25">
      <c r="A4729" s="5"/>
    </row>
    <row r="4730" spans="1:1" x14ac:dyDescent="0.25">
      <c r="A4730" s="5"/>
    </row>
    <row r="4731" spans="1:1" x14ac:dyDescent="0.25">
      <c r="A4731" s="5"/>
    </row>
    <row r="4732" spans="1:1" x14ac:dyDescent="0.25">
      <c r="A4732" s="5"/>
    </row>
    <row r="4733" spans="1:1" x14ac:dyDescent="0.25">
      <c r="A4733" s="5"/>
    </row>
    <row r="4734" spans="1:1" x14ac:dyDescent="0.25">
      <c r="A4734" s="5"/>
    </row>
    <row r="4735" spans="1:1" x14ac:dyDescent="0.25">
      <c r="A4735" s="5"/>
    </row>
    <row r="4736" spans="1:1" x14ac:dyDescent="0.25">
      <c r="A4736" s="5"/>
    </row>
    <row r="4737" spans="1:1" x14ac:dyDescent="0.25">
      <c r="A4737" s="5"/>
    </row>
    <row r="4738" spans="1:1" x14ac:dyDescent="0.25">
      <c r="A4738" s="5"/>
    </row>
    <row r="4739" spans="1:1" x14ac:dyDescent="0.25">
      <c r="A4739" s="5"/>
    </row>
    <row r="4740" spans="1:1" x14ac:dyDescent="0.25">
      <c r="A4740" s="5"/>
    </row>
    <row r="4741" spans="1:1" x14ac:dyDescent="0.25">
      <c r="A4741" s="5"/>
    </row>
    <row r="4742" spans="1:1" x14ac:dyDescent="0.25">
      <c r="A4742" s="5"/>
    </row>
    <row r="4743" spans="1:1" x14ac:dyDescent="0.25">
      <c r="A4743" s="5"/>
    </row>
    <row r="4744" spans="1:1" x14ac:dyDescent="0.25">
      <c r="A4744" s="5"/>
    </row>
    <row r="4745" spans="1:1" x14ac:dyDescent="0.25">
      <c r="A4745" s="5"/>
    </row>
    <row r="4746" spans="1:1" x14ac:dyDescent="0.25">
      <c r="A4746" s="5"/>
    </row>
    <row r="4747" spans="1:1" x14ac:dyDescent="0.25">
      <c r="A4747" s="5"/>
    </row>
    <row r="4748" spans="1:1" x14ac:dyDescent="0.25">
      <c r="A4748" s="5"/>
    </row>
    <row r="4749" spans="1:1" x14ac:dyDescent="0.25">
      <c r="A4749" s="5"/>
    </row>
    <row r="4750" spans="1:1" x14ac:dyDescent="0.25">
      <c r="A4750" s="5"/>
    </row>
    <row r="4751" spans="1:1" x14ac:dyDescent="0.25">
      <c r="A4751" s="5"/>
    </row>
    <row r="4752" spans="1:1" x14ac:dyDescent="0.25">
      <c r="A4752" s="5"/>
    </row>
    <row r="4753" spans="1:1" x14ac:dyDescent="0.25">
      <c r="A4753" s="5"/>
    </row>
    <row r="4754" spans="1:1" x14ac:dyDescent="0.25">
      <c r="A4754" s="5"/>
    </row>
    <row r="4755" spans="1:1" x14ac:dyDescent="0.25">
      <c r="A4755" s="5"/>
    </row>
    <row r="4756" spans="1:1" x14ac:dyDescent="0.25">
      <c r="A4756" s="5"/>
    </row>
    <row r="4757" spans="1:1" x14ac:dyDescent="0.25">
      <c r="A4757" s="5"/>
    </row>
    <row r="4758" spans="1:1" x14ac:dyDescent="0.25">
      <c r="A4758" s="5"/>
    </row>
    <row r="4759" spans="1:1" x14ac:dyDescent="0.25">
      <c r="A4759" s="5"/>
    </row>
    <row r="4760" spans="1:1" x14ac:dyDescent="0.25">
      <c r="A4760" s="5"/>
    </row>
    <row r="4761" spans="1:1" x14ac:dyDescent="0.25">
      <c r="A4761" s="5"/>
    </row>
    <row r="4762" spans="1:1" x14ac:dyDescent="0.25">
      <c r="A4762" s="5"/>
    </row>
    <row r="4763" spans="1:1" x14ac:dyDescent="0.25">
      <c r="A4763" s="5"/>
    </row>
    <row r="4764" spans="1:1" x14ac:dyDescent="0.25">
      <c r="A4764" s="5"/>
    </row>
    <row r="4765" spans="1:1" x14ac:dyDescent="0.25">
      <c r="A4765" s="5"/>
    </row>
    <row r="4766" spans="1:1" x14ac:dyDescent="0.25">
      <c r="A4766" s="5"/>
    </row>
    <row r="4767" spans="1:1" x14ac:dyDescent="0.25">
      <c r="A4767" s="5"/>
    </row>
    <row r="4768" spans="1:1" x14ac:dyDescent="0.25">
      <c r="A4768" s="5"/>
    </row>
    <row r="4769" spans="1:1" x14ac:dyDescent="0.25">
      <c r="A4769" s="5"/>
    </row>
    <row r="4770" spans="1:1" x14ac:dyDescent="0.25">
      <c r="A4770" s="5"/>
    </row>
    <row r="4771" spans="1:1" x14ac:dyDescent="0.25">
      <c r="A4771" s="5"/>
    </row>
    <row r="4772" spans="1:1" x14ac:dyDescent="0.25">
      <c r="A4772" s="5"/>
    </row>
    <row r="4773" spans="1:1" x14ac:dyDescent="0.25">
      <c r="A4773" s="5"/>
    </row>
    <row r="4774" spans="1:1" x14ac:dyDescent="0.25">
      <c r="A4774" s="5"/>
    </row>
    <row r="4775" spans="1:1" x14ac:dyDescent="0.25">
      <c r="A4775" s="5"/>
    </row>
    <row r="4776" spans="1:1" x14ac:dyDescent="0.25">
      <c r="A4776" s="5"/>
    </row>
    <row r="4777" spans="1:1" x14ac:dyDescent="0.25">
      <c r="A4777" s="5"/>
    </row>
    <row r="4778" spans="1:1" x14ac:dyDescent="0.25">
      <c r="A4778" s="5"/>
    </row>
    <row r="4779" spans="1:1" x14ac:dyDescent="0.25">
      <c r="A4779" s="5"/>
    </row>
    <row r="4780" spans="1:1" x14ac:dyDescent="0.25">
      <c r="A4780" s="5"/>
    </row>
    <row r="4781" spans="1:1" x14ac:dyDescent="0.25">
      <c r="A4781" s="5"/>
    </row>
    <row r="4782" spans="1:1" x14ac:dyDescent="0.25">
      <c r="A4782" s="5"/>
    </row>
    <row r="4783" spans="1:1" x14ac:dyDescent="0.25">
      <c r="A4783" s="5"/>
    </row>
    <row r="4784" spans="1:1" x14ac:dyDescent="0.25">
      <c r="A4784" s="5"/>
    </row>
    <row r="4785" spans="1:1" x14ac:dyDescent="0.25">
      <c r="A4785" s="5"/>
    </row>
    <row r="4786" spans="1:1" x14ac:dyDescent="0.25">
      <c r="A4786" s="5"/>
    </row>
    <row r="4787" spans="1:1" x14ac:dyDescent="0.25">
      <c r="A4787" s="5"/>
    </row>
    <row r="4788" spans="1:1" x14ac:dyDescent="0.25">
      <c r="A4788" s="5"/>
    </row>
    <row r="4789" spans="1:1" x14ac:dyDescent="0.25">
      <c r="A4789" s="5"/>
    </row>
    <row r="4790" spans="1:1" x14ac:dyDescent="0.25">
      <c r="A4790" s="5"/>
    </row>
    <row r="4791" spans="1:1" x14ac:dyDescent="0.25">
      <c r="A4791" s="5"/>
    </row>
    <row r="4792" spans="1:1" x14ac:dyDescent="0.25">
      <c r="A4792" s="5"/>
    </row>
    <row r="4793" spans="1:1" x14ac:dyDescent="0.25">
      <c r="A4793" s="5"/>
    </row>
    <row r="4794" spans="1:1" x14ac:dyDescent="0.25">
      <c r="A4794" s="5"/>
    </row>
    <row r="4795" spans="1:1" x14ac:dyDescent="0.25">
      <c r="A4795" s="5"/>
    </row>
    <row r="4796" spans="1:1" x14ac:dyDescent="0.25">
      <c r="A4796" s="5"/>
    </row>
    <row r="4797" spans="1:1" x14ac:dyDescent="0.25">
      <c r="A4797" s="5"/>
    </row>
    <row r="4798" spans="1:1" x14ac:dyDescent="0.25">
      <c r="A4798" s="5"/>
    </row>
    <row r="4799" spans="1:1" x14ac:dyDescent="0.25">
      <c r="A4799" s="5"/>
    </row>
    <row r="4800" spans="1:1" x14ac:dyDescent="0.25">
      <c r="A4800" s="5"/>
    </row>
    <row r="4801" spans="1:1" x14ac:dyDescent="0.25">
      <c r="A4801" s="5"/>
    </row>
    <row r="4802" spans="1:1" x14ac:dyDescent="0.25">
      <c r="A4802" s="5"/>
    </row>
    <row r="4803" spans="1:1" x14ac:dyDescent="0.25">
      <c r="A4803" s="5"/>
    </row>
    <row r="4804" spans="1:1" x14ac:dyDescent="0.25">
      <c r="A4804" s="5"/>
    </row>
    <row r="4805" spans="1:1" x14ac:dyDescent="0.25">
      <c r="A4805" s="5"/>
    </row>
    <row r="4806" spans="1:1" x14ac:dyDescent="0.25">
      <c r="A4806" s="5"/>
    </row>
    <row r="4807" spans="1:1" x14ac:dyDescent="0.25">
      <c r="A4807" s="5"/>
    </row>
    <row r="4808" spans="1:1" x14ac:dyDescent="0.25">
      <c r="A4808" s="5"/>
    </row>
    <row r="4809" spans="1:1" x14ac:dyDescent="0.25">
      <c r="A4809" s="5"/>
    </row>
    <row r="4810" spans="1:1" x14ac:dyDescent="0.25">
      <c r="A4810" s="5"/>
    </row>
    <row r="4811" spans="1:1" x14ac:dyDescent="0.25">
      <c r="A4811" s="5"/>
    </row>
    <row r="4812" spans="1:1" x14ac:dyDescent="0.25">
      <c r="A4812" s="5"/>
    </row>
    <row r="4813" spans="1:1" x14ac:dyDescent="0.25">
      <c r="A4813" s="5"/>
    </row>
    <row r="4814" spans="1:1" x14ac:dyDescent="0.25">
      <c r="A4814" s="5"/>
    </row>
    <row r="4815" spans="1:1" x14ac:dyDescent="0.25">
      <c r="A4815" s="5"/>
    </row>
    <row r="4816" spans="1:1" x14ac:dyDescent="0.25">
      <c r="A4816" s="5"/>
    </row>
    <row r="4817" spans="1:1" x14ac:dyDescent="0.25">
      <c r="A4817" s="5"/>
    </row>
    <row r="4818" spans="1:1" x14ac:dyDescent="0.25">
      <c r="A4818" s="5"/>
    </row>
    <row r="4819" spans="1:1" x14ac:dyDescent="0.25">
      <c r="A4819" s="5"/>
    </row>
    <row r="4820" spans="1:1" x14ac:dyDescent="0.25">
      <c r="A4820" s="5"/>
    </row>
    <row r="4821" spans="1:1" x14ac:dyDescent="0.25">
      <c r="A4821" s="5"/>
    </row>
    <row r="4822" spans="1:1" x14ac:dyDescent="0.25">
      <c r="A4822" s="5"/>
    </row>
    <row r="4823" spans="1:1" x14ac:dyDescent="0.25">
      <c r="A4823" s="5"/>
    </row>
    <row r="4824" spans="1:1" x14ac:dyDescent="0.25">
      <c r="A4824" s="5"/>
    </row>
    <row r="4825" spans="1:1" x14ac:dyDescent="0.25">
      <c r="A4825" s="5"/>
    </row>
    <row r="4826" spans="1:1" x14ac:dyDescent="0.25">
      <c r="A4826" s="5"/>
    </row>
    <row r="4827" spans="1:1" x14ac:dyDescent="0.25">
      <c r="A4827" s="5"/>
    </row>
    <row r="4828" spans="1:1" x14ac:dyDescent="0.25">
      <c r="A4828" s="5"/>
    </row>
    <row r="4829" spans="1:1" x14ac:dyDescent="0.25">
      <c r="A4829" s="5"/>
    </row>
    <row r="4830" spans="1:1" x14ac:dyDescent="0.25">
      <c r="A4830" s="5"/>
    </row>
    <row r="4831" spans="1:1" x14ac:dyDescent="0.25">
      <c r="A4831" s="5"/>
    </row>
    <row r="4832" spans="1:1" x14ac:dyDescent="0.25">
      <c r="A4832" s="5"/>
    </row>
    <row r="4833" spans="1:1" x14ac:dyDescent="0.25">
      <c r="A4833" s="5"/>
    </row>
    <row r="4834" spans="1:1" x14ac:dyDescent="0.25">
      <c r="A4834" s="5"/>
    </row>
    <row r="4835" spans="1:1" x14ac:dyDescent="0.25">
      <c r="A4835" s="5"/>
    </row>
    <row r="4836" spans="1:1" x14ac:dyDescent="0.25">
      <c r="A4836" s="5"/>
    </row>
    <row r="4837" spans="1:1" x14ac:dyDescent="0.25">
      <c r="A4837" s="5"/>
    </row>
    <row r="4838" spans="1:1" x14ac:dyDescent="0.25">
      <c r="A4838" s="5"/>
    </row>
    <row r="4839" spans="1:1" x14ac:dyDescent="0.25">
      <c r="A4839" s="5"/>
    </row>
    <row r="4840" spans="1:1" x14ac:dyDescent="0.25">
      <c r="A4840" s="5"/>
    </row>
    <row r="4841" spans="1:1" x14ac:dyDescent="0.25">
      <c r="A4841" s="5"/>
    </row>
    <row r="4842" spans="1:1" x14ac:dyDescent="0.25">
      <c r="A4842" s="5"/>
    </row>
    <row r="4843" spans="1:1" x14ac:dyDescent="0.25">
      <c r="A4843" s="5"/>
    </row>
    <row r="4844" spans="1:1" x14ac:dyDescent="0.25">
      <c r="A4844" s="5"/>
    </row>
    <row r="4845" spans="1:1" x14ac:dyDescent="0.25">
      <c r="A4845" s="5"/>
    </row>
    <row r="4846" spans="1:1" x14ac:dyDescent="0.25">
      <c r="A4846" s="5"/>
    </row>
    <row r="4847" spans="1:1" x14ac:dyDescent="0.25">
      <c r="A4847" s="5"/>
    </row>
    <row r="4848" spans="1:1" x14ac:dyDescent="0.25">
      <c r="A4848" s="5"/>
    </row>
    <row r="4849" spans="1:1" x14ac:dyDescent="0.25">
      <c r="A4849" s="5"/>
    </row>
    <row r="4850" spans="1:1" x14ac:dyDescent="0.25">
      <c r="A4850" s="5"/>
    </row>
    <row r="4851" spans="1:1" x14ac:dyDescent="0.25">
      <c r="A4851" s="5"/>
    </row>
    <row r="4852" spans="1:1" x14ac:dyDescent="0.25">
      <c r="A4852" s="5"/>
    </row>
    <row r="4853" spans="1:1" x14ac:dyDescent="0.25">
      <c r="A4853" s="5"/>
    </row>
    <row r="4854" spans="1:1" x14ac:dyDescent="0.25">
      <c r="A4854" s="5"/>
    </row>
    <row r="4855" spans="1:1" x14ac:dyDescent="0.25">
      <c r="A4855" s="5"/>
    </row>
    <row r="4856" spans="1:1" x14ac:dyDescent="0.25">
      <c r="A4856" s="5"/>
    </row>
    <row r="4857" spans="1:1" x14ac:dyDescent="0.25">
      <c r="A4857" s="5"/>
    </row>
    <row r="4858" spans="1:1" x14ac:dyDescent="0.25">
      <c r="A4858" s="5"/>
    </row>
    <row r="4859" spans="1:1" x14ac:dyDescent="0.25">
      <c r="A4859" s="5"/>
    </row>
    <row r="4860" spans="1:1" x14ac:dyDescent="0.25">
      <c r="A4860" s="5"/>
    </row>
    <row r="4861" spans="1:1" x14ac:dyDescent="0.25">
      <c r="A4861" s="5"/>
    </row>
    <row r="4862" spans="1:1" x14ac:dyDescent="0.25">
      <c r="A4862" s="5"/>
    </row>
    <row r="4863" spans="1:1" x14ac:dyDescent="0.25">
      <c r="A4863" s="5"/>
    </row>
    <row r="4864" spans="1:1" x14ac:dyDescent="0.25">
      <c r="A4864" s="5"/>
    </row>
    <row r="4865" spans="1:1" x14ac:dyDescent="0.25">
      <c r="A4865" s="5"/>
    </row>
    <row r="4866" spans="1:1" x14ac:dyDescent="0.25">
      <c r="A4866" s="5"/>
    </row>
    <row r="4867" spans="1:1" x14ac:dyDescent="0.25">
      <c r="A4867" s="5"/>
    </row>
    <row r="4868" spans="1:1" x14ac:dyDescent="0.25">
      <c r="A4868" s="5"/>
    </row>
    <row r="4869" spans="1:1" x14ac:dyDescent="0.25">
      <c r="A4869" s="5"/>
    </row>
    <row r="4870" spans="1:1" x14ac:dyDescent="0.25">
      <c r="A4870" s="5"/>
    </row>
    <row r="4871" spans="1:1" x14ac:dyDescent="0.25">
      <c r="A4871" s="5"/>
    </row>
    <row r="4872" spans="1:1" x14ac:dyDescent="0.25">
      <c r="A4872" s="5"/>
    </row>
    <row r="4873" spans="1:1" x14ac:dyDescent="0.25">
      <c r="A4873" s="5"/>
    </row>
    <row r="4874" spans="1:1" x14ac:dyDescent="0.25">
      <c r="A4874" s="5"/>
    </row>
    <row r="4875" spans="1:1" x14ac:dyDescent="0.25">
      <c r="A4875" s="5"/>
    </row>
    <row r="4876" spans="1:1" x14ac:dyDescent="0.25">
      <c r="A4876" s="5"/>
    </row>
    <row r="4877" spans="1:1" x14ac:dyDescent="0.25">
      <c r="A4877" s="5"/>
    </row>
    <row r="4878" spans="1:1" x14ac:dyDescent="0.25">
      <c r="A4878" s="5"/>
    </row>
    <row r="4879" spans="1:1" x14ac:dyDescent="0.25">
      <c r="A4879" s="5"/>
    </row>
    <row r="4880" spans="1:1" x14ac:dyDescent="0.25">
      <c r="A4880" s="5"/>
    </row>
    <row r="4881" spans="1:1" x14ac:dyDescent="0.25">
      <c r="A4881" s="5"/>
    </row>
    <row r="4882" spans="1:1" x14ac:dyDescent="0.25">
      <c r="A4882" s="5"/>
    </row>
    <row r="4883" spans="1:1" x14ac:dyDescent="0.25">
      <c r="A4883" s="5"/>
    </row>
    <row r="4884" spans="1:1" x14ac:dyDescent="0.25">
      <c r="A4884" s="5"/>
    </row>
    <row r="4885" spans="1:1" x14ac:dyDescent="0.25">
      <c r="A4885" s="5"/>
    </row>
    <row r="4886" spans="1:1" x14ac:dyDescent="0.25">
      <c r="A4886" s="5"/>
    </row>
    <row r="4887" spans="1:1" x14ac:dyDescent="0.25">
      <c r="A4887" s="5"/>
    </row>
    <row r="4888" spans="1:1" x14ac:dyDescent="0.25">
      <c r="A4888" s="5"/>
    </row>
    <row r="4889" spans="1:1" x14ac:dyDescent="0.25">
      <c r="A4889" s="5"/>
    </row>
    <row r="4890" spans="1:1" x14ac:dyDescent="0.25">
      <c r="A4890" s="5"/>
    </row>
    <row r="4891" spans="1:1" x14ac:dyDescent="0.25">
      <c r="A4891" s="5"/>
    </row>
    <row r="4892" spans="1:1" x14ac:dyDescent="0.25">
      <c r="A4892" s="5"/>
    </row>
    <row r="4893" spans="1:1" x14ac:dyDescent="0.25">
      <c r="A4893" s="5"/>
    </row>
    <row r="4894" spans="1:1" x14ac:dyDescent="0.25">
      <c r="A4894" s="5"/>
    </row>
    <row r="4895" spans="1:1" x14ac:dyDescent="0.25">
      <c r="A4895" s="5"/>
    </row>
    <row r="4896" spans="1:1" x14ac:dyDescent="0.25">
      <c r="A4896" s="5"/>
    </row>
    <row r="4897" spans="1:1" x14ac:dyDescent="0.25">
      <c r="A4897" s="5"/>
    </row>
    <row r="4898" spans="1:1" x14ac:dyDescent="0.25">
      <c r="A4898" s="5"/>
    </row>
    <row r="4899" spans="1:1" x14ac:dyDescent="0.25">
      <c r="A4899" s="5"/>
    </row>
    <row r="4900" spans="1:1" x14ac:dyDescent="0.25">
      <c r="A4900" s="5"/>
    </row>
    <row r="4901" spans="1:1" x14ac:dyDescent="0.25">
      <c r="A4901" s="5"/>
    </row>
    <row r="4902" spans="1:1" x14ac:dyDescent="0.25">
      <c r="A4902" s="5"/>
    </row>
    <row r="4903" spans="1:1" x14ac:dyDescent="0.25">
      <c r="A4903" s="5"/>
    </row>
    <row r="4904" spans="1:1" x14ac:dyDescent="0.25">
      <c r="A4904" s="5"/>
    </row>
    <row r="4905" spans="1:1" x14ac:dyDescent="0.25">
      <c r="A4905" s="5"/>
    </row>
    <row r="4906" spans="1:1" x14ac:dyDescent="0.25">
      <c r="A4906" s="5"/>
    </row>
    <row r="4907" spans="1:1" x14ac:dyDescent="0.25">
      <c r="A4907" s="5"/>
    </row>
    <row r="4908" spans="1:1" x14ac:dyDescent="0.25">
      <c r="A4908" s="5"/>
    </row>
    <row r="4909" spans="1:1" x14ac:dyDescent="0.25">
      <c r="A4909" s="5"/>
    </row>
    <row r="4910" spans="1:1" x14ac:dyDescent="0.25">
      <c r="A4910" s="5"/>
    </row>
    <row r="4911" spans="1:1" x14ac:dyDescent="0.25">
      <c r="A4911" s="5"/>
    </row>
    <row r="4912" spans="1:1" x14ac:dyDescent="0.25">
      <c r="A4912" s="5"/>
    </row>
    <row r="4913" spans="1:1" x14ac:dyDescent="0.25">
      <c r="A4913" s="5"/>
    </row>
    <row r="4914" spans="1:1" x14ac:dyDescent="0.25">
      <c r="A4914" s="5"/>
    </row>
    <row r="4915" spans="1:1" x14ac:dyDescent="0.25">
      <c r="A4915" s="5"/>
    </row>
    <row r="4916" spans="1:1" x14ac:dyDescent="0.25">
      <c r="A4916" s="5"/>
    </row>
    <row r="4917" spans="1:1" x14ac:dyDescent="0.25">
      <c r="A4917" s="5"/>
    </row>
    <row r="4918" spans="1:1" x14ac:dyDescent="0.25">
      <c r="A4918" s="5"/>
    </row>
    <row r="4919" spans="1:1" x14ac:dyDescent="0.25">
      <c r="A4919" s="5"/>
    </row>
    <row r="4920" spans="1:1" x14ac:dyDescent="0.25">
      <c r="A4920" s="5"/>
    </row>
    <row r="4921" spans="1:1" x14ac:dyDescent="0.25">
      <c r="A4921" s="5"/>
    </row>
    <row r="4922" spans="1:1" x14ac:dyDescent="0.25">
      <c r="A4922" s="5"/>
    </row>
    <row r="4923" spans="1:1" x14ac:dyDescent="0.25">
      <c r="A4923" s="5"/>
    </row>
    <row r="4924" spans="1:1" x14ac:dyDescent="0.25">
      <c r="A4924" s="5"/>
    </row>
    <row r="4925" spans="1:1" x14ac:dyDescent="0.25">
      <c r="A4925" s="5"/>
    </row>
    <row r="4926" spans="1:1" x14ac:dyDescent="0.25">
      <c r="A4926" s="5"/>
    </row>
    <row r="4927" spans="1:1" x14ac:dyDescent="0.25">
      <c r="A4927" s="5"/>
    </row>
    <row r="4928" spans="1:1" x14ac:dyDescent="0.25">
      <c r="A4928" s="5"/>
    </row>
    <row r="4929" spans="1:1" x14ac:dyDescent="0.25">
      <c r="A4929" s="5"/>
    </row>
    <row r="4930" spans="1:1" x14ac:dyDescent="0.25">
      <c r="A4930" s="5"/>
    </row>
    <row r="4931" spans="1:1" x14ac:dyDescent="0.25">
      <c r="A4931" s="5"/>
    </row>
    <row r="4932" spans="1:1" x14ac:dyDescent="0.25">
      <c r="A4932" s="5"/>
    </row>
    <row r="4933" spans="1:1" x14ac:dyDescent="0.25">
      <c r="A4933" s="5"/>
    </row>
    <row r="4934" spans="1:1" x14ac:dyDescent="0.25">
      <c r="A4934" s="5"/>
    </row>
    <row r="4935" spans="1:1" x14ac:dyDescent="0.25">
      <c r="A4935" s="5"/>
    </row>
    <row r="4936" spans="1:1" x14ac:dyDescent="0.25">
      <c r="A4936" s="5"/>
    </row>
    <row r="4937" spans="1:1" x14ac:dyDescent="0.25">
      <c r="A4937" s="5"/>
    </row>
    <row r="4938" spans="1:1" x14ac:dyDescent="0.25">
      <c r="A4938" s="5"/>
    </row>
    <row r="4939" spans="1:1" x14ac:dyDescent="0.25">
      <c r="A4939" s="5"/>
    </row>
    <row r="4940" spans="1:1" x14ac:dyDescent="0.25">
      <c r="A4940" s="5"/>
    </row>
    <row r="4941" spans="1:1" x14ac:dyDescent="0.25">
      <c r="A4941" s="5"/>
    </row>
    <row r="4942" spans="1:1" x14ac:dyDescent="0.25">
      <c r="A4942" s="5"/>
    </row>
    <row r="4943" spans="1:1" x14ac:dyDescent="0.25">
      <c r="A4943" s="5"/>
    </row>
    <row r="4944" spans="1:1" x14ac:dyDescent="0.25">
      <c r="A4944" s="5"/>
    </row>
    <row r="4945" spans="1:1" x14ac:dyDescent="0.25">
      <c r="A4945" s="5"/>
    </row>
    <row r="4946" spans="1:1" x14ac:dyDescent="0.25">
      <c r="A4946" s="5"/>
    </row>
    <row r="4947" spans="1:1" x14ac:dyDescent="0.25">
      <c r="A4947" s="5"/>
    </row>
    <row r="4948" spans="1:1" x14ac:dyDescent="0.25">
      <c r="A4948" s="5"/>
    </row>
    <row r="4949" spans="1:1" x14ac:dyDescent="0.25">
      <c r="A4949" s="5"/>
    </row>
    <row r="4950" spans="1:1" x14ac:dyDescent="0.25">
      <c r="A4950" s="5"/>
    </row>
    <row r="4951" spans="1:1" x14ac:dyDescent="0.25">
      <c r="A4951" s="5"/>
    </row>
    <row r="4952" spans="1:1" x14ac:dyDescent="0.25">
      <c r="A4952" s="5"/>
    </row>
    <row r="4953" spans="1:1" x14ac:dyDescent="0.25">
      <c r="A4953" s="5"/>
    </row>
    <row r="4954" spans="1:1" x14ac:dyDescent="0.25">
      <c r="A4954" s="5"/>
    </row>
    <row r="4955" spans="1:1" x14ac:dyDescent="0.25">
      <c r="A4955" s="5"/>
    </row>
    <row r="4956" spans="1:1" x14ac:dyDescent="0.25">
      <c r="A4956" s="5"/>
    </row>
    <row r="4957" spans="1:1" x14ac:dyDescent="0.25">
      <c r="A4957" s="5"/>
    </row>
    <row r="4958" spans="1:1" x14ac:dyDescent="0.25">
      <c r="A4958" s="5"/>
    </row>
    <row r="4959" spans="1:1" x14ac:dyDescent="0.25">
      <c r="A4959" s="5"/>
    </row>
    <row r="4960" spans="1:1" x14ac:dyDescent="0.25">
      <c r="A4960" s="5"/>
    </row>
    <row r="4961" spans="1:1" x14ac:dyDescent="0.25">
      <c r="A4961" s="5"/>
    </row>
    <row r="4962" spans="1:1" x14ac:dyDescent="0.25">
      <c r="A4962" s="5"/>
    </row>
    <row r="4963" spans="1:1" x14ac:dyDescent="0.25">
      <c r="A4963" s="5"/>
    </row>
    <row r="4964" spans="1:1" x14ac:dyDescent="0.25">
      <c r="A4964" s="5"/>
    </row>
    <row r="4965" spans="1:1" x14ac:dyDescent="0.25">
      <c r="A4965" s="5"/>
    </row>
    <row r="4966" spans="1:1" x14ac:dyDescent="0.25">
      <c r="A4966" s="5"/>
    </row>
    <row r="4967" spans="1:1" x14ac:dyDescent="0.25">
      <c r="A4967" s="5"/>
    </row>
    <row r="4968" spans="1:1" x14ac:dyDescent="0.25">
      <c r="A4968" s="5"/>
    </row>
    <row r="4969" spans="1:1" x14ac:dyDescent="0.25">
      <c r="A4969" s="5"/>
    </row>
    <row r="4970" spans="1:1" x14ac:dyDescent="0.25">
      <c r="A4970" s="5"/>
    </row>
    <row r="4971" spans="1:1" x14ac:dyDescent="0.25">
      <c r="A4971" s="5"/>
    </row>
    <row r="4972" spans="1:1" x14ac:dyDescent="0.25">
      <c r="A4972" s="5"/>
    </row>
    <row r="4973" spans="1:1" x14ac:dyDescent="0.25">
      <c r="A4973" s="5"/>
    </row>
    <row r="4974" spans="1:1" x14ac:dyDescent="0.25">
      <c r="A4974" s="5"/>
    </row>
    <row r="4975" spans="1:1" x14ac:dyDescent="0.25">
      <c r="A4975" s="5"/>
    </row>
    <row r="4976" spans="1:1" x14ac:dyDescent="0.25">
      <c r="A4976" s="5"/>
    </row>
    <row r="4977" spans="1:1" x14ac:dyDescent="0.25">
      <c r="A4977" s="5"/>
    </row>
    <row r="4978" spans="1:1" x14ac:dyDescent="0.25">
      <c r="A4978" s="5"/>
    </row>
    <row r="4979" spans="1:1" x14ac:dyDescent="0.25">
      <c r="A4979" s="5"/>
    </row>
    <row r="4980" spans="1:1" x14ac:dyDescent="0.25">
      <c r="A4980" s="5"/>
    </row>
    <row r="4981" spans="1:1" x14ac:dyDescent="0.25">
      <c r="A4981" s="5"/>
    </row>
    <row r="4982" spans="1:1" x14ac:dyDescent="0.25">
      <c r="A4982" s="5"/>
    </row>
    <row r="4983" spans="1:1" x14ac:dyDescent="0.25">
      <c r="A4983" s="5"/>
    </row>
    <row r="4984" spans="1:1" x14ac:dyDescent="0.25">
      <c r="A4984" s="5"/>
    </row>
    <row r="4985" spans="1:1" x14ac:dyDescent="0.25">
      <c r="A4985" s="5"/>
    </row>
    <row r="4986" spans="1:1" x14ac:dyDescent="0.25">
      <c r="A4986" s="5"/>
    </row>
    <row r="4987" spans="1:1" x14ac:dyDescent="0.25">
      <c r="A4987" s="5"/>
    </row>
    <row r="4988" spans="1:1" x14ac:dyDescent="0.25">
      <c r="A4988" s="5"/>
    </row>
    <row r="4989" spans="1:1" x14ac:dyDescent="0.25">
      <c r="A4989" s="5"/>
    </row>
    <row r="4990" spans="1:1" x14ac:dyDescent="0.25">
      <c r="A4990" s="5"/>
    </row>
    <row r="4991" spans="1:1" x14ac:dyDescent="0.25">
      <c r="A4991" s="5"/>
    </row>
    <row r="4992" spans="1:1" x14ac:dyDescent="0.25">
      <c r="A4992" s="5"/>
    </row>
    <row r="4993" spans="1:1" x14ac:dyDescent="0.25">
      <c r="A4993" s="5"/>
    </row>
    <row r="4994" spans="1:1" x14ac:dyDescent="0.25">
      <c r="A4994" s="5"/>
    </row>
    <row r="4995" spans="1:1" x14ac:dyDescent="0.25">
      <c r="A4995" s="5"/>
    </row>
    <row r="4996" spans="1:1" x14ac:dyDescent="0.25">
      <c r="A4996" s="5"/>
    </row>
    <row r="4997" spans="1:1" x14ac:dyDescent="0.25">
      <c r="A4997" s="5"/>
    </row>
    <row r="4998" spans="1:1" x14ac:dyDescent="0.25">
      <c r="A4998" s="5"/>
    </row>
    <row r="4999" spans="1:1" x14ac:dyDescent="0.25">
      <c r="A4999" s="5"/>
    </row>
    <row r="5000" spans="1:1" x14ac:dyDescent="0.25">
      <c r="A5000" s="5"/>
    </row>
    <row r="5001" spans="1:1" x14ac:dyDescent="0.25">
      <c r="A5001" s="5"/>
    </row>
    <row r="5002" spans="1:1" x14ac:dyDescent="0.25">
      <c r="A5002" s="5"/>
    </row>
    <row r="5003" spans="1:1" x14ac:dyDescent="0.25">
      <c r="A5003" s="5"/>
    </row>
    <row r="5004" spans="1:1" x14ac:dyDescent="0.25">
      <c r="A5004" s="5"/>
    </row>
    <row r="5005" spans="1:1" x14ac:dyDescent="0.25">
      <c r="A5005" s="5"/>
    </row>
    <row r="5006" spans="1:1" x14ac:dyDescent="0.25">
      <c r="A5006" s="5"/>
    </row>
    <row r="5007" spans="1:1" x14ac:dyDescent="0.25">
      <c r="A5007" s="5"/>
    </row>
    <row r="5008" spans="1:1" x14ac:dyDescent="0.25">
      <c r="A5008" s="5"/>
    </row>
    <row r="5009" spans="1:1" x14ac:dyDescent="0.25">
      <c r="A5009" s="5"/>
    </row>
    <row r="5010" spans="1:1" x14ac:dyDescent="0.25">
      <c r="A5010" s="5"/>
    </row>
    <row r="5011" spans="1:1" x14ac:dyDescent="0.25">
      <c r="A5011" s="5"/>
    </row>
    <row r="5012" spans="1:1" x14ac:dyDescent="0.25">
      <c r="A5012" s="5"/>
    </row>
    <row r="5013" spans="1:1" x14ac:dyDescent="0.25">
      <c r="A5013" s="5"/>
    </row>
    <row r="5014" spans="1:1" x14ac:dyDescent="0.25">
      <c r="A5014" s="5"/>
    </row>
    <row r="5015" spans="1:1" x14ac:dyDescent="0.25">
      <c r="A5015" s="5"/>
    </row>
    <row r="5016" spans="1:1" x14ac:dyDescent="0.25">
      <c r="A5016" s="5"/>
    </row>
    <row r="5017" spans="1:1" x14ac:dyDescent="0.25">
      <c r="A5017" s="5"/>
    </row>
    <row r="5018" spans="1:1" x14ac:dyDescent="0.25">
      <c r="A5018" s="5"/>
    </row>
    <row r="5019" spans="1:1" x14ac:dyDescent="0.25">
      <c r="A5019" s="5"/>
    </row>
    <row r="5020" spans="1:1" x14ac:dyDescent="0.25">
      <c r="A5020" s="5"/>
    </row>
    <row r="5021" spans="1:1" x14ac:dyDescent="0.25">
      <c r="A5021" s="5"/>
    </row>
    <row r="5022" spans="1:1" x14ac:dyDescent="0.25">
      <c r="A5022" s="5"/>
    </row>
    <row r="5023" spans="1:1" x14ac:dyDescent="0.25">
      <c r="A5023" s="5"/>
    </row>
    <row r="5024" spans="1:1" x14ac:dyDescent="0.25">
      <c r="A5024" s="5"/>
    </row>
    <row r="5025" spans="1:1" x14ac:dyDescent="0.25">
      <c r="A5025" s="5"/>
    </row>
    <row r="5026" spans="1:1" x14ac:dyDescent="0.25">
      <c r="A5026" s="5"/>
    </row>
    <row r="5027" spans="1:1" x14ac:dyDescent="0.25">
      <c r="A5027" s="5"/>
    </row>
    <row r="5028" spans="1:1" x14ac:dyDescent="0.25">
      <c r="A5028" s="5"/>
    </row>
    <row r="5029" spans="1:1" x14ac:dyDescent="0.25">
      <c r="A5029" s="5"/>
    </row>
    <row r="5030" spans="1:1" x14ac:dyDescent="0.25">
      <c r="A5030" s="5"/>
    </row>
    <row r="5031" spans="1:1" x14ac:dyDescent="0.25">
      <c r="A5031" s="5"/>
    </row>
    <row r="5032" spans="1:1" x14ac:dyDescent="0.25">
      <c r="A5032" s="5"/>
    </row>
    <row r="5033" spans="1:1" x14ac:dyDescent="0.25">
      <c r="A5033" s="5"/>
    </row>
    <row r="5034" spans="1:1" x14ac:dyDescent="0.25">
      <c r="A5034" s="5"/>
    </row>
    <row r="5035" spans="1:1" x14ac:dyDescent="0.25">
      <c r="A5035" s="5"/>
    </row>
    <row r="5036" spans="1:1" x14ac:dyDescent="0.25">
      <c r="A5036" s="5"/>
    </row>
    <row r="5037" spans="1:1" x14ac:dyDescent="0.25">
      <c r="A5037" s="5"/>
    </row>
    <row r="5038" spans="1:1" x14ac:dyDescent="0.25">
      <c r="A5038" s="5"/>
    </row>
    <row r="5039" spans="1:1" x14ac:dyDescent="0.25">
      <c r="A5039" s="5"/>
    </row>
    <row r="5040" spans="1:1" x14ac:dyDescent="0.25">
      <c r="A5040" s="5"/>
    </row>
    <row r="5041" spans="1:1" x14ac:dyDescent="0.25">
      <c r="A5041" s="5"/>
    </row>
    <row r="5042" spans="1:1" x14ac:dyDescent="0.25">
      <c r="A5042" s="5"/>
    </row>
    <row r="5043" spans="1:1" x14ac:dyDescent="0.25">
      <c r="A5043" s="5"/>
    </row>
    <row r="5044" spans="1:1" x14ac:dyDescent="0.25">
      <c r="A5044" s="5"/>
    </row>
    <row r="5045" spans="1:1" x14ac:dyDescent="0.25">
      <c r="A5045" s="5"/>
    </row>
    <row r="5046" spans="1:1" x14ac:dyDescent="0.25">
      <c r="A5046" s="5"/>
    </row>
    <row r="5047" spans="1:1" x14ac:dyDescent="0.25">
      <c r="A5047" s="5"/>
    </row>
    <row r="5048" spans="1:1" x14ac:dyDescent="0.25">
      <c r="A5048" s="5"/>
    </row>
    <row r="5049" spans="1:1" x14ac:dyDescent="0.25">
      <c r="A5049" s="5"/>
    </row>
    <row r="5050" spans="1:1" x14ac:dyDescent="0.25">
      <c r="A5050" s="5"/>
    </row>
    <row r="5051" spans="1:1" x14ac:dyDescent="0.25">
      <c r="A5051" s="5"/>
    </row>
    <row r="5052" spans="1:1" x14ac:dyDescent="0.25">
      <c r="A5052" s="5"/>
    </row>
    <row r="5053" spans="1:1" x14ac:dyDescent="0.25">
      <c r="A5053" s="5"/>
    </row>
    <row r="5054" spans="1:1" x14ac:dyDescent="0.25">
      <c r="A5054" s="5"/>
    </row>
    <row r="5055" spans="1:1" x14ac:dyDescent="0.25">
      <c r="A5055" s="5"/>
    </row>
    <row r="5056" spans="1:1" x14ac:dyDescent="0.25">
      <c r="A5056" s="5"/>
    </row>
    <row r="5057" spans="1:1" x14ac:dyDescent="0.25">
      <c r="A5057" s="5"/>
    </row>
    <row r="5058" spans="1:1" x14ac:dyDescent="0.25">
      <c r="A5058" s="5"/>
    </row>
    <row r="5059" spans="1:1" x14ac:dyDescent="0.25">
      <c r="A5059" s="5"/>
    </row>
    <row r="5060" spans="1:1" x14ac:dyDescent="0.25">
      <c r="A5060" s="5"/>
    </row>
    <row r="5061" spans="1:1" x14ac:dyDescent="0.25">
      <c r="A5061" s="5"/>
    </row>
    <row r="5062" spans="1:1" x14ac:dyDescent="0.25">
      <c r="A5062" s="5"/>
    </row>
    <row r="5063" spans="1:1" x14ac:dyDescent="0.25">
      <c r="A5063" s="5"/>
    </row>
    <row r="5064" spans="1:1" x14ac:dyDescent="0.25">
      <c r="A5064" s="5"/>
    </row>
    <row r="5065" spans="1:1" x14ac:dyDescent="0.25">
      <c r="A5065" s="5"/>
    </row>
    <row r="5066" spans="1:1" x14ac:dyDescent="0.25">
      <c r="A5066" s="5"/>
    </row>
    <row r="5067" spans="1:1" x14ac:dyDescent="0.25">
      <c r="A5067" s="5"/>
    </row>
    <row r="5068" spans="1:1" x14ac:dyDescent="0.25">
      <c r="A5068" s="5"/>
    </row>
    <row r="5069" spans="1:1" x14ac:dyDescent="0.25">
      <c r="A5069" s="5"/>
    </row>
    <row r="5070" spans="1:1" x14ac:dyDescent="0.25">
      <c r="A5070" s="5"/>
    </row>
    <row r="5071" spans="1:1" x14ac:dyDescent="0.25">
      <c r="A5071" s="5"/>
    </row>
    <row r="5072" spans="1:1" x14ac:dyDescent="0.25">
      <c r="A5072" s="5"/>
    </row>
    <row r="5073" spans="1:1" x14ac:dyDescent="0.25">
      <c r="A5073" s="5"/>
    </row>
    <row r="5074" spans="1:1" x14ac:dyDescent="0.25">
      <c r="A5074" s="5"/>
    </row>
    <row r="5075" spans="1:1" x14ac:dyDescent="0.25">
      <c r="A5075" s="5"/>
    </row>
    <row r="5076" spans="1:1" x14ac:dyDescent="0.25">
      <c r="A5076" s="5"/>
    </row>
    <row r="5077" spans="1:1" x14ac:dyDescent="0.25">
      <c r="A5077" s="5"/>
    </row>
    <row r="5078" spans="1:1" x14ac:dyDescent="0.25">
      <c r="A5078" s="5"/>
    </row>
    <row r="5079" spans="1:1" x14ac:dyDescent="0.25">
      <c r="A5079" s="5"/>
    </row>
    <row r="5080" spans="1:1" x14ac:dyDescent="0.25">
      <c r="A5080" s="5"/>
    </row>
    <row r="5081" spans="1:1" x14ac:dyDescent="0.25">
      <c r="A5081" s="5"/>
    </row>
    <row r="5082" spans="1:1" x14ac:dyDescent="0.25">
      <c r="A5082" s="5"/>
    </row>
    <row r="5083" spans="1:1" x14ac:dyDescent="0.25">
      <c r="A5083" s="5"/>
    </row>
    <row r="5084" spans="1:1" x14ac:dyDescent="0.25">
      <c r="A5084" s="5"/>
    </row>
    <row r="5085" spans="1:1" x14ac:dyDescent="0.25">
      <c r="A5085" s="5"/>
    </row>
    <row r="5086" spans="1:1" x14ac:dyDescent="0.25">
      <c r="A5086" s="5"/>
    </row>
    <row r="5087" spans="1:1" x14ac:dyDescent="0.25">
      <c r="A5087" s="5"/>
    </row>
    <row r="5088" spans="1:1" x14ac:dyDescent="0.25">
      <c r="A5088" s="5"/>
    </row>
    <row r="5089" spans="1:1" x14ac:dyDescent="0.25">
      <c r="A5089" s="5"/>
    </row>
    <row r="5090" spans="1:1" x14ac:dyDescent="0.25">
      <c r="A5090" s="5"/>
    </row>
    <row r="5091" spans="1:1" x14ac:dyDescent="0.25">
      <c r="A5091" s="5"/>
    </row>
    <row r="5092" spans="1:1" x14ac:dyDescent="0.25">
      <c r="A5092" s="5"/>
    </row>
    <row r="5093" spans="1:1" x14ac:dyDescent="0.25">
      <c r="A5093" s="5"/>
    </row>
    <row r="5094" spans="1:1" x14ac:dyDescent="0.25">
      <c r="A5094" s="5"/>
    </row>
    <row r="5095" spans="1:1" x14ac:dyDescent="0.25">
      <c r="A5095" s="5"/>
    </row>
    <row r="5096" spans="1:1" x14ac:dyDescent="0.25">
      <c r="A5096" s="5"/>
    </row>
    <row r="5097" spans="1:1" x14ac:dyDescent="0.25">
      <c r="A5097" s="5"/>
    </row>
    <row r="5098" spans="1:1" x14ac:dyDescent="0.25">
      <c r="A5098" s="5"/>
    </row>
    <row r="5099" spans="1:1" x14ac:dyDescent="0.25">
      <c r="A5099" s="5"/>
    </row>
    <row r="5100" spans="1:1" x14ac:dyDescent="0.25">
      <c r="A5100" s="5"/>
    </row>
    <row r="5101" spans="1:1" x14ac:dyDescent="0.25">
      <c r="A5101" s="5"/>
    </row>
    <row r="5102" spans="1:1" x14ac:dyDescent="0.25">
      <c r="A5102" s="5"/>
    </row>
    <row r="5103" spans="1:1" x14ac:dyDescent="0.25">
      <c r="A5103" s="5"/>
    </row>
    <row r="5104" spans="1:1" x14ac:dyDescent="0.25">
      <c r="A5104" s="5"/>
    </row>
    <row r="5105" spans="1:1" x14ac:dyDescent="0.25">
      <c r="A5105" s="5"/>
    </row>
    <row r="5106" spans="1:1" x14ac:dyDescent="0.25">
      <c r="A5106" s="5"/>
    </row>
    <row r="5107" spans="1:1" x14ac:dyDescent="0.25">
      <c r="A5107" s="5"/>
    </row>
    <row r="5108" spans="1:1" x14ac:dyDescent="0.25">
      <c r="A5108" s="5"/>
    </row>
    <row r="5109" spans="1:1" x14ac:dyDescent="0.25">
      <c r="A5109" s="5"/>
    </row>
    <row r="5110" spans="1:1" x14ac:dyDescent="0.25">
      <c r="A5110" s="5"/>
    </row>
    <row r="5111" spans="1:1" x14ac:dyDescent="0.25">
      <c r="A5111" s="5"/>
    </row>
    <row r="5112" spans="1:1" x14ac:dyDescent="0.25">
      <c r="A5112" s="5"/>
    </row>
    <row r="5113" spans="1:1" x14ac:dyDescent="0.25">
      <c r="A5113" s="5"/>
    </row>
    <row r="5114" spans="1:1" x14ac:dyDescent="0.25">
      <c r="A5114" s="5"/>
    </row>
    <row r="5115" spans="1:1" x14ac:dyDescent="0.25">
      <c r="A5115" s="5"/>
    </row>
    <row r="5116" spans="1:1" x14ac:dyDescent="0.25">
      <c r="A5116" s="5"/>
    </row>
    <row r="5117" spans="1:1" x14ac:dyDescent="0.25">
      <c r="A5117" s="5"/>
    </row>
    <row r="5118" spans="1:1" x14ac:dyDescent="0.25">
      <c r="A5118" s="5"/>
    </row>
    <row r="5119" spans="1:1" x14ac:dyDescent="0.25">
      <c r="A5119" s="5"/>
    </row>
    <row r="5120" spans="1:1" x14ac:dyDescent="0.25">
      <c r="A5120" s="5"/>
    </row>
    <row r="5121" spans="1:1" x14ac:dyDescent="0.25">
      <c r="A5121" s="5"/>
    </row>
    <row r="5122" spans="1:1" x14ac:dyDescent="0.25">
      <c r="A5122" s="5"/>
    </row>
    <row r="5123" spans="1:1" x14ac:dyDescent="0.25">
      <c r="A5123" s="5"/>
    </row>
    <row r="5124" spans="1:1" x14ac:dyDescent="0.25">
      <c r="A5124" s="5"/>
    </row>
    <row r="5125" spans="1:1" x14ac:dyDescent="0.25">
      <c r="A5125" s="5"/>
    </row>
    <row r="5126" spans="1:1" x14ac:dyDescent="0.25">
      <c r="A5126" s="5"/>
    </row>
    <row r="5127" spans="1:1" x14ac:dyDescent="0.25">
      <c r="A5127" s="5"/>
    </row>
    <row r="5128" spans="1:1" x14ac:dyDescent="0.25">
      <c r="A5128" s="5"/>
    </row>
    <row r="5129" spans="1:1" x14ac:dyDescent="0.25">
      <c r="A5129" s="5"/>
    </row>
    <row r="5130" spans="1:1" x14ac:dyDescent="0.25">
      <c r="A5130" s="5"/>
    </row>
    <row r="5131" spans="1:1" x14ac:dyDescent="0.25">
      <c r="A5131" s="5"/>
    </row>
    <row r="5132" spans="1:1" x14ac:dyDescent="0.25">
      <c r="A5132" s="5"/>
    </row>
    <row r="5133" spans="1:1" x14ac:dyDescent="0.25">
      <c r="A5133" s="5"/>
    </row>
    <row r="5134" spans="1:1" x14ac:dyDescent="0.25">
      <c r="A5134" s="5"/>
    </row>
    <row r="5135" spans="1:1" x14ac:dyDescent="0.25">
      <c r="A5135" s="5"/>
    </row>
    <row r="5136" spans="1:1" x14ac:dyDescent="0.25">
      <c r="A5136" s="5"/>
    </row>
    <row r="5137" spans="1:1" x14ac:dyDescent="0.25">
      <c r="A5137" s="5"/>
    </row>
    <row r="5138" spans="1:1" x14ac:dyDescent="0.25">
      <c r="A5138" s="5"/>
    </row>
    <row r="5139" spans="1:1" x14ac:dyDescent="0.25">
      <c r="A5139" s="5"/>
    </row>
    <row r="5140" spans="1:1" x14ac:dyDescent="0.25">
      <c r="A5140" s="5"/>
    </row>
    <row r="5141" spans="1:1" x14ac:dyDescent="0.25">
      <c r="A5141" s="5"/>
    </row>
    <row r="5142" spans="1:1" x14ac:dyDescent="0.25">
      <c r="A5142" s="5"/>
    </row>
    <row r="5143" spans="1:1" x14ac:dyDescent="0.25">
      <c r="A5143" s="5"/>
    </row>
    <row r="5144" spans="1:1" x14ac:dyDescent="0.25">
      <c r="A5144" s="5"/>
    </row>
    <row r="5145" spans="1:1" x14ac:dyDescent="0.25">
      <c r="A5145" s="5"/>
    </row>
    <row r="5146" spans="1:1" x14ac:dyDescent="0.25">
      <c r="A5146" s="5"/>
    </row>
    <row r="5147" spans="1:1" x14ac:dyDescent="0.25">
      <c r="A5147" s="5"/>
    </row>
    <row r="5148" spans="1:1" x14ac:dyDescent="0.25">
      <c r="A5148" s="5"/>
    </row>
    <row r="5149" spans="1:1" x14ac:dyDescent="0.25">
      <c r="A5149" s="5"/>
    </row>
    <row r="5150" spans="1:1" x14ac:dyDescent="0.25">
      <c r="A5150" s="5"/>
    </row>
    <row r="5151" spans="1:1" x14ac:dyDescent="0.25">
      <c r="A5151" s="5"/>
    </row>
    <row r="5152" spans="1:1" x14ac:dyDescent="0.25">
      <c r="A5152" s="5"/>
    </row>
    <row r="5153" spans="1:1" x14ac:dyDescent="0.25">
      <c r="A5153" s="5"/>
    </row>
    <row r="5154" spans="1:1" x14ac:dyDescent="0.25">
      <c r="A5154" s="5"/>
    </row>
    <row r="5155" spans="1:1" x14ac:dyDescent="0.25">
      <c r="A5155" s="5"/>
    </row>
    <row r="5156" spans="1:1" x14ac:dyDescent="0.25">
      <c r="A5156" s="5"/>
    </row>
    <row r="5157" spans="1:1" x14ac:dyDescent="0.25">
      <c r="A5157" s="5"/>
    </row>
    <row r="5158" spans="1:1" x14ac:dyDescent="0.25">
      <c r="A5158" s="5"/>
    </row>
    <row r="5159" spans="1:1" x14ac:dyDescent="0.25">
      <c r="A5159" s="5"/>
    </row>
    <row r="5160" spans="1:1" x14ac:dyDescent="0.25">
      <c r="A5160" s="5"/>
    </row>
    <row r="5161" spans="1:1" x14ac:dyDescent="0.25">
      <c r="A5161" s="5"/>
    </row>
    <row r="5162" spans="1:1" x14ac:dyDescent="0.25">
      <c r="A5162" s="5"/>
    </row>
    <row r="5163" spans="1:1" x14ac:dyDescent="0.25">
      <c r="A5163" s="5"/>
    </row>
    <row r="5164" spans="1:1" x14ac:dyDescent="0.25">
      <c r="A5164" s="5"/>
    </row>
    <row r="5165" spans="1:1" x14ac:dyDescent="0.25">
      <c r="A5165" s="5"/>
    </row>
    <row r="5166" spans="1:1" x14ac:dyDescent="0.25">
      <c r="A5166" s="5"/>
    </row>
    <row r="5167" spans="1:1" x14ac:dyDescent="0.25">
      <c r="A5167" s="5"/>
    </row>
    <row r="5168" spans="1:1" x14ac:dyDescent="0.25">
      <c r="A5168" s="5"/>
    </row>
    <row r="5169" spans="1:1" x14ac:dyDescent="0.25">
      <c r="A5169" s="5"/>
    </row>
    <row r="5170" spans="1:1" x14ac:dyDescent="0.25">
      <c r="A5170" s="5"/>
    </row>
    <row r="5171" spans="1:1" x14ac:dyDescent="0.25">
      <c r="A5171" s="5"/>
    </row>
    <row r="5172" spans="1:1" x14ac:dyDescent="0.25">
      <c r="A5172" s="5"/>
    </row>
    <row r="5173" spans="1:1" x14ac:dyDescent="0.25">
      <c r="A5173" s="5"/>
    </row>
    <row r="5174" spans="1:1" x14ac:dyDescent="0.25">
      <c r="A5174" s="5"/>
    </row>
    <row r="5175" spans="1:1" x14ac:dyDescent="0.25">
      <c r="A5175" s="5"/>
    </row>
    <row r="5176" spans="1:1" x14ac:dyDescent="0.25">
      <c r="A5176" s="5"/>
    </row>
    <row r="5177" spans="1:1" x14ac:dyDescent="0.25">
      <c r="A5177" s="5"/>
    </row>
    <row r="5178" spans="1:1" x14ac:dyDescent="0.25">
      <c r="A5178" s="5"/>
    </row>
    <row r="5179" spans="1:1" x14ac:dyDescent="0.25">
      <c r="A5179" s="5"/>
    </row>
    <row r="5180" spans="1:1" x14ac:dyDescent="0.25">
      <c r="A5180" s="5"/>
    </row>
    <row r="5181" spans="1:1" x14ac:dyDescent="0.25">
      <c r="A5181" s="5"/>
    </row>
    <row r="5182" spans="1:1" x14ac:dyDescent="0.25">
      <c r="A5182" s="5"/>
    </row>
    <row r="5183" spans="1:1" x14ac:dyDescent="0.25">
      <c r="A5183" s="5"/>
    </row>
    <row r="5184" spans="1:1" x14ac:dyDescent="0.25">
      <c r="A5184" s="5"/>
    </row>
    <row r="5185" spans="1:1" x14ac:dyDescent="0.25">
      <c r="A5185" s="5"/>
    </row>
    <row r="5186" spans="1:1" x14ac:dyDescent="0.25">
      <c r="A5186" s="5"/>
    </row>
    <row r="5187" spans="1:1" x14ac:dyDescent="0.25">
      <c r="A5187" s="5"/>
    </row>
    <row r="5188" spans="1:1" x14ac:dyDescent="0.25">
      <c r="A5188" s="5"/>
    </row>
    <row r="5189" spans="1:1" x14ac:dyDescent="0.25">
      <c r="A5189" s="5"/>
    </row>
    <row r="5190" spans="1:1" x14ac:dyDescent="0.25">
      <c r="A5190" s="5"/>
    </row>
    <row r="5191" spans="1:1" x14ac:dyDescent="0.25">
      <c r="A5191" s="5"/>
    </row>
    <row r="5192" spans="1:1" x14ac:dyDescent="0.25">
      <c r="A5192" s="5"/>
    </row>
    <row r="5193" spans="1:1" x14ac:dyDescent="0.25">
      <c r="A5193" s="5"/>
    </row>
    <row r="5194" spans="1:1" x14ac:dyDescent="0.25">
      <c r="A5194" s="5"/>
    </row>
    <row r="5195" spans="1:1" x14ac:dyDescent="0.25">
      <c r="A5195" s="5"/>
    </row>
    <row r="5196" spans="1:1" x14ac:dyDescent="0.25">
      <c r="A5196" s="5"/>
    </row>
    <row r="5197" spans="1:1" x14ac:dyDescent="0.25">
      <c r="A5197" s="5"/>
    </row>
    <row r="5198" spans="1:1" x14ac:dyDescent="0.25">
      <c r="A5198" s="5"/>
    </row>
    <row r="5199" spans="1:1" x14ac:dyDescent="0.25">
      <c r="A5199" s="5"/>
    </row>
    <row r="5200" spans="1:1" x14ac:dyDescent="0.25">
      <c r="A5200" s="5"/>
    </row>
    <row r="5201" spans="1:1" x14ac:dyDescent="0.25">
      <c r="A5201" s="5"/>
    </row>
    <row r="5202" spans="1:1" x14ac:dyDescent="0.25">
      <c r="A5202" s="5"/>
    </row>
    <row r="5203" spans="1:1" x14ac:dyDescent="0.25">
      <c r="A5203" s="5"/>
    </row>
    <row r="5204" spans="1:1" x14ac:dyDescent="0.25">
      <c r="A5204" s="5"/>
    </row>
    <row r="5205" spans="1:1" x14ac:dyDescent="0.25">
      <c r="A5205" s="5"/>
    </row>
    <row r="5206" spans="1:1" x14ac:dyDescent="0.25">
      <c r="A5206" s="5"/>
    </row>
    <row r="5207" spans="1:1" x14ac:dyDescent="0.25">
      <c r="A5207" s="5"/>
    </row>
    <row r="5208" spans="1:1" x14ac:dyDescent="0.25">
      <c r="A5208" s="5"/>
    </row>
    <row r="5209" spans="1:1" x14ac:dyDescent="0.25">
      <c r="A5209" s="5"/>
    </row>
    <row r="5210" spans="1:1" x14ac:dyDescent="0.25">
      <c r="A5210" s="5"/>
    </row>
    <row r="5211" spans="1:1" x14ac:dyDescent="0.25">
      <c r="A5211" s="5"/>
    </row>
    <row r="5212" spans="1:1" x14ac:dyDescent="0.25">
      <c r="A5212" s="5"/>
    </row>
    <row r="5213" spans="1:1" x14ac:dyDescent="0.25">
      <c r="A5213" s="5"/>
    </row>
    <row r="5214" spans="1:1" x14ac:dyDescent="0.25">
      <c r="A5214" s="5"/>
    </row>
    <row r="5215" spans="1:1" x14ac:dyDescent="0.25">
      <c r="A5215" s="5"/>
    </row>
    <row r="5216" spans="1:1" x14ac:dyDescent="0.25">
      <c r="A5216" s="5"/>
    </row>
    <row r="5217" spans="1:1" x14ac:dyDescent="0.25">
      <c r="A5217" s="5"/>
    </row>
    <row r="5218" spans="1:1" x14ac:dyDescent="0.25">
      <c r="A5218" s="5"/>
    </row>
    <row r="5219" spans="1:1" x14ac:dyDescent="0.25">
      <c r="A5219" s="5"/>
    </row>
    <row r="5220" spans="1:1" x14ac:dyDescent="0.25">
      <c r="A5220" s="5"/>
    </row>
    <row r="5221" spans="1:1" x14ac:dyDescent="0.25">
      <c r="A5221" s="5"/>
    </row>
    <row r="5222" spans="1:1" x14ac:dyDescent="0.25">
      <c r="A5222" s="5"/>
    </row>
    <row r="5223" spans="1:1" x14ac:dyDescent="0.25">
      <c r="A5223" s="5"/>
    </row>
    <row r="5224" spans="1:1" x14ac:dyDescent="0.25">
      <c r="A5224" s="5"/>
    </row>
    <row r="5225" spans="1:1" x14ac:dyDescent="0.25">
      <c r="A5225" s="5"/>
    </row>
    <row r="5226" spans="1:1" x14ac:dyDescent="0.25">
      <c r="A5226" s="5"/>
    </row>
    <row r="5227" spans="1:1" x14ac:dyDescent="0.25">
      <c r="A5227" s="5"/>
    </row>
    <row r="5228" spans="1:1" x14ac:dyDescent="0.25">
      <c r="A5228" s="5"/>
    </row>
    <row r="5229" spans="1:1" x14ac:dyDescent="0.25">
      <c r="A5229" s="5"/>
    </row>
    <row r="5230" spans="1:1" x14ac:dyDescent="0.25">
      <c r="A5230" s="5"/>
    </row>
    <row r="5231" spans="1:1" x14ac:dyDescent="0.25">
      <c r="A5231" s="5"/>
    </row>
    <row r="5232" spans="1:1" x14ac:dyDescent="0.25">
      <c r="A5232" s="5"/>
    </row>
    <row r="5233" spans="1:1" x14ac:dyDescent="0.25">
      <c r="A5233" s="5"/>
    </row>
    <row r="5234" spans="1:1" x14ac:dyDescent="0.25">
      <c r="A5234" s="5"/>
    </row>
    <row r="5235" spans="1:1" x14ac:dyDescent="0.25">
      <c r="A5235" s="5"/>
    </row>
    <row r="5236" spans="1:1" x14ac:dyDescent="0.25">
      <c r="A5236" s="5"/>
    </row>
    <row r="5237" spans="1:1" x14ac:dyDescent="0.25">
      <c r="A5237" s="5"/>
    </row>
    <row r="5238" spans="1:1" x14ac:dyDescent="0.25">
      <c r="A5238" s="5"/>
    </row>
    <row r="5239" spans="1:1" x14ac:dyDescent="0.25">
      <c r="A5239" s="5"/>
    </row>
    <row r="5240" spans="1:1" x14ac:dyDescent="0.25">
      <c r="A5240" s="5"/>
    </row>
    <row r="5241" spans="1:1" x14ac:dyDescent="0.25">
      <c r="A5241" s="5"/>
    </row>
    <row r="5242" spans="1:1" x14ac:dyDescent="0.25">
      <c r="A5242" s="5"/>
    </row>
    <row r="5243" spans="1:1" x14ac:dyDescent="0.25">
      <c r="A5243" s="5"/>
    </row>
    <row r="5244" spans="1:1" x14ac:dyDescent="0.25">
      <c r="A5244" s="5"/>
    </row>
    <row r="5245" spans="1:1" x14ac:dyDescent="0.25">
      <c r="A5245" s="5"/>
    </row>
    <row r="5246" spans="1:1" x14ac:dyDescent="0.25">
      <c r="A5246" s="5"/>
    </row>
    <row r="5247" spans="1:1" x14ac:dyDescent="0.25">
      <c r="A5247" s="5"/>
    </row>
    <row r="5248" spans="1:1" x14ac:dyDescent="0.25">
      <c r="A5248" s="5"/>
    </row>
    <row r="5249" spans="1:1" x14ac:dyDescent="0.25">
      <c r="A5249" s="5"/>
    </row>
    <row r="5250" spans="1:1" x14ac:dyDescent="0.25">
      <c r="A5250" s="5"/>
    </row>
    <row r="5251" spans="1:1" x14ac:dyDescent="0.25">
      <c r="A5251" s="5"/>
    </row>
    <row r="5252" spans="1:1" x14ac:dyDescent="0.25">
      <c r="A5252" s="5"/>
    </row>
    <row r="5253" spans="1:1" x14ac:dyDescent="0.25">
      <c r="A5253" s="5"/>
    </row>
    <row r="5254" spans="1:1" x14ac:dyDescent="0.25">
      <c r="A5254" s="5"/>
    </row>
    <row r="5255" spans="1:1" x14ac:dyDescent="0.25">
      <c r="A5255" s="5"/>
    </row>
    <row r="5256" spans="1:1" x14ac:dyDescent="0.25">
      <c r="A5256" s="5"/>
    </row>
    <row r="5257" spans="1:1" x14ac:dyDescent="0.25">
      <c r="A5257" s="5"/>
    </row>
    <row r="5258" spans="1:1" x14ac:dyDescent="0.25">
      <c r="A5258" s="5"/>
    </row>
    <row r="5259" spans="1:1" x14ac:dyDescent="0.25">
      <c r="A5259" s="5"/>
    </row>
    <row r="5260" spans="1:1" x14ac:dyDescent="0.25">
      <c r="A5260" s="5"/>
    </row>
    <row r="5261" spans="1:1" x14ac:dyDescent="0.25">
      <c r="A5261" s="5"/>
    </row>
    <row r="5262" spans="1:1" x14ac:dyDescent="0.25">
      <c r="A5262" s="5"/>
    </row>
    <row r="5263" spans="1:1" x14ac:dyDescent="0.25">
      <c r="A5263" s="5"/>
    </row>
    <row r="5264" spans="1:1" x14ac:dyDescent="0.25">
      <c r="A5264" s="5"/>
    </row>
    <row r="5265" spans="1:1" x14ac:dyDescent="0.25">
      <c r="A5265" s="5"/>
    </row>
    <row r="5266" spans="1:1" x14ac:dyDescent="0.25">
      <c r="A5266" s="5"/>
    </row>
    <row r="5267" spans="1:1" x14ac:dyDescent="0.25">
      <c r="A5267" s="5"/>
    </row>
    <row r="5268" spans="1:1" x14ac:dyDescent="0.25">
      <c r="A5268" s="5"/>
    </row>
    <row r="5269" spans="1:1" x14ac:dyDescent="0.25">
      <c r="A5269" s="5"/>
    </row>
    <row r="5270" spans="1:1" x14ac:dyDescent="0.25">
      <c r="A5270" s="5"/>
    </row>
    <row r="5271" spans="1:1" x14ac:dyDescent="0.25">
      <c r="A5271" s="5"/>
    </row>
    <row r="5272" spans="1:1" x14ac:dyDescent="0.25">
      <c r="A5272" s="5"/>
    </row>
    <row r="5273" spans="1:1" x14ac:dyDescent="0.25">
      <c r="A5273" s="5"/>
    </row>
    <row r="5274" spans="1:1" x14ac:dyDescent="0.25">
      <c r="A5274" s="5"/>
    </row>
    <row r="5275" spans="1:1" x14ac:dyDescent="0.25">
      <c r="A5275" s="5"/>
    </row>
    <row r="5276" spans="1:1" x14ac:dyDescent="0.25">
      <c r="A5276" s="5"/>
    </row>
    <row r="5277" spans="1:1" x14ac:dyDescent="0.25">
      <c r="A5277" s="5"/>
    </row>
    <row r="5278" spans="1:1" x14ac:dyDescent="0.25">
      <c r="A5278" s="5"/>
    </row>
    <row r="5279" spans="1:1" x14ac:dyDescent="0.25">
      <c r="A5279" s="5"/>
    </row>
    <row r="5280" spans="1:1" x14ac:dyDescent="0.25">
      <c r="A5280" s="5"/>
    </row>
    <row r="5281" spans="1:1" x14ac:dyDescent="0.25">
      <c r="A5281" s="5"/>
    </row>
    <row r="5282" spans="1:1" x14ac:dyDescent="0.25">
      <c r="A5282" s="5"/>
    </row>
    <row r="5283" spans="1:1" x14ac:dyDescent="0.25">
      <c r="A5283" s="5"/>
    </row>
    <row r="5284" spans="1:1" x14ac:dyDescent="0.25">
      <c r="A5284" s="5"/>
    </row>
    <row r="5285" spans="1:1" x14ac:dyDescent="0.25">
      <c r="A5285" s="5"/>
    </row>
    <row r="5286" spans="1:1" x14ac:dyDescent="0.25">
      <c r="A5286" s="5"/>
    </row>
    <row r="5287" spans="1:1" x14ac:dyDescent="0.25">
      <c r="A5287" s="5"/>
    </row>
    <row r="5288" spans="1:1" x14ac:dyDescent="0.25">
      <c r="A5288" s="5"/>
    </row>
    <row r="5289" spans="1:1" x14ac:dyDescent="0.25">
      <c r="A5289" s="5"/>
    </row>
    <row r="5290" spans="1:1" x14ac:dyDescent="0.25">
      <c r="A5290" s="5"/>
    </row>
    <row r="5291" spans="1:1" x14ac:dyDescent="0.25">
      <c r="A5291" s="5"/>
    </row>
    <row r="5292" spans="1:1" x14ac:dyDescent="0.25">
      <c r="A5292" s="5"/>
    </row>
    <row r="5293" spans="1:1" x14ac:dyDescent="0.25">
      <c r="A5293" s="5"/>
    </row>
    <row r="5294" spans="1:1" x14ac:dyDescent="0.25">
      <c r="A5294" s="5"/>
    </row>
    <row r="5295" spans="1:1" x14ac:dyDescent="0.25">
      <c r="A5295" s="5"/>
    </row>
    <row r="5296" spans="1:1" x14ac:dyDescent="0.25">
      <c r="A5296" s="5"/>
    </row>
    <row r="5297" spans="1:1" x14ac:dyDescent="0.25">
      <c r="A5297" s="5"/>
    </row>
    <row r="5298" spans="1:1" x14ac:dyDescent="0.25">
      <c r="A5298" s="5"/>
    </row>
    <row r="5299" spans="1:1" x14ac:dyDescent="0.25">
      <c r="A5299" s="5"/>
    </row>
    <row r="5300" spans="1:1" x14ac:dyDescent="0.25">
      <c r="A5300" s="5"/>
    </row>
    <row r="5301" spans="1:1" x14ac:dyDescent="0.25">
      <c r="A5301" s="5"/>
    </row>
    <row r="5302" spans="1:1" x14ac:dyDescent="0.25">
      <c r="A5302" s="5"/>
    </row>
    <row r="5303" spans="1:1" x14ac:dyDescent="0.25">
      <c r="A5303" s="5"/>
    </row>
    <row r="5304" spans="1:1" x14ac:dyDescent="0.25">
      <c r="A5304" s="5"/>
    </row>
    <row r="5305" spans="1:1" x14ac:dyDescent="0.25">
      <c r="A5305" s="5"/>
    </row>
    <row r="5306" spans="1:1" x14ac:dyDescent="0.25">
      <c r="A5306" s="5"/>
    </row>
    <row r="5307" spans="1:1" x14ac:dyDescent="0.25">
      <c r="A5307" s="5"/>
    </row>
    <row r="5308" spans="1:1" x14ac:dyDescent="0.25">
      <c r="A5308" s="5"/>
    </row>
    <row r="5309" spans="1:1" x14ac:dyDescent="0.25">
      <c r="A5309" s="5"/>
    </row>
    <row r="5310" spans="1:1" x14ac:dyDescent="0.25">
      <c r="A5310" s="5"/>
    </row>
    <row r="5311" spans="1:1" x14ac:dyDescent="0.25">
      <c r="A5311" s="5"/>
    </row>
    <row r="5312" spans="1:1" x14ac:dyDescent="0.25">
      <c r="A5312" s="5"/>
    </row>
    <row r="5313" spans="1:1" x14ac:dyDescent="0.25">
      <c r="A5313" s="5"/>
    </row>
    <row r="5314" spans="1:1" x14ac:dyDescent="0.25">
      <c r="A5314" s="5"/>
    </row>
    <row r="5315" spans="1:1" x14ac:dyDescent="0.25">
      <c r="A5315" s="5"/>
    </row>
    <row r="5316" spans="1:1" x14ac:dyDescent="0.25">
      <c r="A5316" s="5"/>
    </row>
    <row r="5317" spans="1:1" x14ac:dyDescent="0.25">
      <c r="A5317" s="5"/>
    </row>
    <row r="5318" spans="1:1" x14ac:dyDescent="0.25">
      <c r="A5318" s="5"/>
    </row>
    <row r="5319" spans="1:1" x14ac:dyDescent="0.25">
      <c r="A5319" s="5"/>
    </row>
    <row r="5320" spans="1:1" x14ac:dyDescent="0.25">
      <c r="A5320" s="5"/>
    </row>
    <row r="5321" spans="1:1" x14ac:dyDescent="0.25">
      <c r="A5321" s="5"/>
    </row>
    <row r="5322" spans="1:1" x14ac:dyDescent="0.25">
      <c r="A5322" s="5"/>
    </row>
    <row r="5323" spans="1:1" x14ac:dyDescent="0.25">
      <c r="A5323" s="5"/>
    </row>
    <row r="5324" spans="1:1" x14ac:dyDescent="0.25">
      <c r="A5324" s="5"/>
    </row>
    <row r="5325" spans="1:1" x14ac:dyDescent="0.25">
      <c r="A5325" s="5"/>
    </row>
    <row r="5326" spans="1:1" x14ac:dyDescent="0.25">
      <c r="A5326" s="5"/>
    </row>
    <row r="5327" spans="1:1" x14ac:dyDescent="0.25">
      <c r="A5327" s="5"/>
    </row>
    <row r="5328" spans="1:1" x14ac:dyDescent="0.25">
      <c r="A5328" s="5"/>
    </row>
    <row r="5329" spans="1:1" x14ac:dyDescent="0.25">
      <c r="A5329" s="5"/>
    </row>
    <row r="5330" spans="1:1" x14ac:dyDescent="0.25">
      <c r="A5330" s="5"/>
    </row>
    <row r="5331" spans="1:1" x14ac:dyDescent="0.25">
      <c r="A5331" s="5"/>
    </row>
    <row r="5332" spans="1:1" x14ac:dyDescent="0.25">
      <c r="A5332" s="5"/>
    </row>
    <row r="5333" spans="1:1" x14ac:dyDescent="0.25">
      <c r="A5333" s="5"/>
    </row>
    <row r="5334" spans="1:1" x14ac:dyDescent="0.25">
      <c r="A5334" s="5"/>
    </row>
    <row r="5335" spans="1:1" x14ac:dyDescent="0.25">
      <c r="A5335" s="5"/>
    </row>
    <row r="5336" spans="1:1" x14ac:dyDescent="0.25">
      <c r="A5336" s="5"/>
    </row>
    <row r="5337" spans="1:1" x14ac:dyDescent="0.25">
      <c r="A5337" s="5"/>
    </row>
    <row r="5338" spans="1:1" x14ac:dyDescent="0.25">
      <c r="A5338" s="5"/>
    </row>
    <row r="5339" spans="1:1" x14ac:dyDescent="0.25">
      <c r="A5339" s="5"/>
    </row>
    <row r="5340" spans="1:1" x14ac:dyDescent="0.25">
      <c r="A5340" s="5"/>
    </row>
    <row r="5341" spans="1:1" x14ac:dyDescent="0.25">
      <c r="A5341" s="5"/>
    </row>
    <row r="5342" spans="1:1" x14ac:dyDescent="0.25">
      <c r="A5342" s="5"/>
    </row>
    <row r="5343" spans="1:1" x14ac:dyDescent="0.25">
      <c r="A5343" s="5"/>
    </row>
    <row r="5344" spans="1:1" x14ac:dyDescent="0.25">
      <c r="A5344" s="5"/>
    </row>
    <row r="5345" spans="1:1" x14ac:dyDescent="0.25">
      <c r="A5345" s="5"/>
    </row>
    <row r="5346" spans="1:1" x14ac:dyDescent="0.25">
      <c r="A5346" s="5"/>
    </row>
    <row r="5347" spans="1:1" x14ac:dyDescent="0.25">
      <c r="A5347" s="5"/>
    </row>
    <row r="5348" spans="1:1" x14ac:dyDescent="0.25">
      <c r="A5348" s="5"/>
    </row>
    <row r="5349" spans="1:1" x14ac:dyDescent="0.25">
      <c r="A5349" s="5"/>
    </row>
    <row r="5350" spans="1:1" x14ac:dyDescent="0.25">
      <c r="A5350" s="5"/>
    </row>
    <row r="5351" spans="1:1" x14ac:dyDescent="0.25">
      <c r="A5351" s="5"/>
    </row>
    <row r="5352" spans="1:1" x14ac:dyDescent="0.25">
      <c r="A5352" s="5"/>
    </row>
    <row r="5353" spans="1:1" x14ac:dyDescent="0.25">
      <c r="A5353" s="5"/>
    </row>
    <row r="5354" spans="1:1" x14ac:dyDescent="0.25">
      <c r="A5354" s="5"/>
    </row>
    <row r="5355" spans="1:1" x14ac:dyDescent="0.25">
      <c r="A5355" s="5"/>
    </row>
    <row r="5356" spans="1:1" x14ac:dyDescent="0.25">
      <c r="A5356" s="5"/>
    </row>
    <row r="5357" spans="1:1" x14ac:dyDescent="0.25">
      <c r="A5357" s="5"/>
    </row>
    <row r="5358" spans="1:1" x14ac:dyDescent="0.25">
      <c r="A5358" s="5"/>
    </row>
    <row r="5359" spans="1:1" x14ac:dyDescent="0.25">
      <c r="A5359" s="5"/>
    </row>
    <row r="5360" spans="1:1" x14ac:dyDescent="0.25">
      <c r="A5360" s="5"/>
    </row>
    <row r="5361" spans="1:1" x14ac:dyDescent="0.25">
      <c r="A5361" s="5"/>
    </row>
    <row r="5362" spans="1:1" x14ac:dyDescent="0.25">
      <c r="A5362" s="5"/>
    </row>
    <row r="5363" spans="1:1" x14ac:dyDescent="0.25">
      <c r="A5363" s="5"/>
    </row>
    <row r="5364" spans="1:1" x14ac:dyDescent="0.25">
      <c r="A5364" s="5"/>
    </row>
    <row r="5365" spans="1:1" x14ac:dyDescent="0.25">
      <c r="A5365" s="5"/>
    </row>
    <row r="5366" spans="1:1" x14ac:dyDescent="0.25">
      <c r="A5366" s="5"/>
    </row>
    <row r="5367" spans="1:1" x14ac:dyDescent="0.25">
      <c r="A5367" s="5"/>
    </row>
    <row r="5368" spans="1:1" x14ac:dyDescent="0.25">
      <c r="A5368" s="5"/>
    </row>
    <row r="5369" spans="1:1" x14ac:dyDescent="0.25">
      <c r="A5369" s="5"/>
    </row>
    <row r="5370" spans="1:1" x14ac:dyDescent="0.25">
      <c r="A5370" s="5"/>
    </row>
    <row r="5371" spans="1:1" x14ac:dyDescent="0.25">
      <c r="A5371" s="5"/>
    </row>
    <row r="5372" spans="1:1" x14ac:dyDescent="0.25">
      <c r="A5372" s="5"/>
    </row>
    <row r="5373" spans="1:1" x14ac:dyDescent="0.25">
      <c r="A5373" s="5"/>
    </row>
    <row r="5374" spans="1:1" x14ac:dyDescent="0.25">
      <c r="A5374" s="5"/>
    </row>
    <row r="5375" spans="1:1" x14ac:dyDescent="0.25">
      <c r="A5375" s="5"/>
    </row>
    <row r="5376" spans="1:1" x14ac:dyDescent="0.25">
      <c r="A5376" s="5"/>
    </row>
    <row r="5377" spans="1:1" x14ac:dyDescent="0.25">
      <c r="A5377" s="5"/>
    </row>
    <row r="5378" spans="1:1" x14ac:dyDescent="0.25">
      <c r="A5378" s="5"/>
    </row>
    <row r="5379" spans="1:1" x14ac:dyDescent="0.25">
      <c r="A5379" s="5"/>
    </row>
    <row r="5380" spans="1:1" x14ac:dyDescent="0.25">
      <c r="A5380" s="5"/>
    </row>
    <row r="5381" spans="1:1" x14ac:dyDescent="0.25">
      <c r="A5381" s="5"/>
    </row>
    <row r="5382" spans="1:1" x14ac:dyDescent="0.25">
      <c r="A5382" s="5"/>
    </row>
    <row r="5383" spans="1:1" x14ac:dyDescent="0.25">
      <c r="A5383" s="5"/>
    </row>
    <row r="5384" spans="1:1" x14ac:dyDescent="0.25">
      <c r="A5384" s="5"/>
    </row>
    <row r="5385" spans="1:1" x14ac:dyDescent="0.25">
      <c r="A5385" s="5"/>
    </row>
    <row r="5386" spans="1:1" x14ac:dyDescent="0.25">
      <c r="A5386" s="5"/>
    </row>
    <row r="5387" spans="1:1" x14ac:dyDescent="0.25">
      <c r="A5387" s="5"/>
    </row>
    <row r="5388" spans="1:1" x14ac:dyDescent="0.25">
      <c r="A5388" s="5"/>
    </row>
    <row r="5389" spans="1:1" x14ac:dyDescent="0.25">
      <c r="A5389" s="5"/>
    </row>
    <row r="5390" spans="1:1" x14ac:dyDescent="0.25">
      <c r="A5390" s="5"/>
    </row>
    <row r="5391" spans="1:1" x14ac:dyDescent="0.25">
      <c r="A5391" s="5"/>
    </row>
    <row r="5392" spans="1:1" x14ac:dyDescent="0.25">
      <c r="A5392" s="5"/>
    </row>
    <row r="5393" spans="1:1" x14ac:dyDescent="0.25">
      <c r="A5393" s="5"/>
    </row>
    <row r="5394" spans="1:1" x14ac:dyDescent="0.25">
      <c r="A5394" s="5"/>
    </row>
    <row r="5395" spans="1:1" x14ac:dyDescent="0.25">
      <c r="A5395" s="5"/>
    </row>
    <row r="5396" spans="1:1" x14ac:dyDescent="0.25">
      <c r="A5396" s="5"/>
    </row>
    <row r="5397" spans="1:1" x14ac:dyDescent="0.25">
      <c r="A5397" s="5"/>
    </row>
    <row r="5398" spans="1:1" x14ac:dyDescent="0.25">
      <c r="A5398" s="5"/>
    </row>
    <row r="5399" spans="1:1" x14ac:dyDescent="0.25">
      <c r="A5399" s="5"/>
    </row>
    <row r="5400" spans="1:1" x14ac:dyDescent="0.25">
      <c r="A5400" s="5"/>
    </row>
    <row r="5401" spans="1:1" x14ac:dyDescent="0.25">
      <c r="A5401" s="5"/>
    </row>
    <row r="5402" spans="1:1" x14ac:dyDescent="0.25">
      <c r="A5402" s="5"/>
    </row>
    <row r="5403" spans="1:1" x14ac:dyDescent="0.25">
      <c r="A5403" s="5"/>
    </row>
    <row r="5404" spans="1:1" x14ac:dyDescent="0.25">
      <c r="A5404" s="5"/>
    </row>
    <row r="5405" spans="1:1" x14ac:dyDescent="0.25">
      <c r="A5405" s="5"/>
    </row>
    <row r="5406" spans="1:1" x14ac:dyDescent="0.25">
      <c r="A5406" s="5"/>
    </row>
    <row r="5407" spans="1:1" x14ac:dyDescent="0.25">
      <c r="A5407" s="5"/>
    </row>
    <row r="5408" spans="1:1" x14ac:dyDescent="0.25">
      <c r="A5408" s="5"/>
    </row>
    <row r="5409" spans="1:1" x14ac:dyDescent="0.25">
      <c r="A5409" s="5"/>
    </row>
    <row r="5410" spans="1:1" x14ac:dyDescent="0.25">
      <c r="A5410" s="5"/>
    </row>
    <row r="5411" spans="1:1" x14ac:dyDescent="0.25">
      <c r="A5411" s="5"/>
    </row>
    <row r="5412" spans="1:1" x14ac:dyDescent="0.25">
      <c r="A5412" s="5"/>
    </row>
    <row r="5413" spans="1:1" x14ac:dyDescent="0.25">
      <c r="A5413" s="5"/>
    </row>
    <row r="5414" spans="1:1" x14ac:dyDescent="0.25">
      <c r="A5414" s="5"/>
    </row>
    <row r="5415" spans="1:1" x14ac:dyDescent="0.25">
      <c r="A5415" s="5"/>
    </row>
    <row r="5416" spans="1:1" x14ac:dyDescent="0.25">
      <c r="A5416" s="5"/>
    </row>
    <row r="5417" spans="1:1" x14ac:dyDescent="0.25">
      <c r="A5417" s="5"/>
    </row>
    <row r="5418" spans="1:1" x14ac:dyDescent="0.25">
      <c r="A5418" s="5"/>
    </row>
    <row r="5419" spans="1:1" x14ac:dyDescent="0.25">
      <c r="A5419" s="5"/>
    </row>
    <row r="5420" spans="1:1" x14ac:dyDescent="0.25">
      <c r="A5420" s="5"/>
    </row>
    <row r="5421" spans="1:1" x14ac:dyDescent="0.25">
      <c r="A5421" s="5"/>
    </row>
    <row r="5422" spans="1:1" x14ac:dyDescent="0.25">
      <c r="A5422" s="5"/>
    </row>
    <row r="5423" spans="1:1" x14ac:dyDescent="0.25">
      <c r="A5423" s="5"/>
    </row>
    <row r="5424" spans="1:1" x14ac:dyDescent="0.25">
      <c r="A5424" s="5"/>
    </row>
    <row r="5425" spans="1:1" x14ac:dyDescent="0.25">
      <c r="A5425" s="5"/>
    </row>
    <row r="5426" spans="1:1" x14ac:dyDescent="0.25">
      <c r="A5426" s="5"/>
    </row>
    <row r="5427" spans="1:1" x14ac:dyDescent="0.25">
      <c r="A5427" s="5"/>
    </row>
    <row r="5428" spans="1:1" x14ac:dyDescent="0.25">
      <c r="A5428" s="5"/>
    </row>
    <row r="5429" spans="1:1" x14ac:dyDescent="0.25">
      <c r="A5429" s="5"/>
    </row>
    <row r="5430" spans="1:1" x14ac:dyDescent="0.25">
      <c r="A5430" s="5"/>
    </row>
    <row r="5431" spans="1:1" x14ac:dyDescent="0.25">
      <c r="A5431" s="5"/>
    </row>
    <row r="5432" spans="1:1" x14ac:dyDescent="0.25">
      <c r="A5432" s="5"/>
    </row>
    <row r="5433" spans="1:1" x14ac:dyDescent="0.25">
      <c r="A5433" s="5"/>
    </row>
    <row r="5434" spans="1:1" x14ac:dyDescent="0.25">
      <c r="A5434" s="5"/>
    </row>
    <row r="5435" spans="1:1" x14ac:dyDescent="0.25">
      <c r="A5435" s="5"/>
    </row>
    <row r="5436" spans="1:1" x14ac:dyDescent="0.25">
      <c r="A5436" s="5"/>
    </row>
    <row r="5437" spans="1:1" x14ac:dyDescent="0.25">
      <c r="A5437" s="5"/>
    </row>
    <row r="5438" spans="1:1" x14ac:dyDescent="0.25">
      <c r="A5438" s="5"/>
    </row>
    <row r="5439" spans="1:1" x14ac:dyDescent="0.25">
      <c r="A5439" s="5"/>
    </row>
    <row r="5440" spans="1:1" x14ac:dyDescent="0.25">
      <c r="A5440" s="5"/>
    </row>
    <row r="5441" spans="1:1" x14ac:dyDescent="0.25">
      <c r="A5441" s="5"/>
    </row>
    <row r="5442" spans="1:1" x14ac:dyDescent="0.25">
      <c r="A5442" s="5"/>
    </row>
    <row r="5443" spans="1:1" x14ac:dyDescent="0.25">
      <c r="A5443" s="5"/>
    </row>
    <row r="5444" spans="1:1" x14ac:dyDescent="0.25">
      <c r="A5444" s="5"/>
    </row>
    <row r="5445" spans="1:1" x14ac:dyDescent="0.25">
      <c r="A5445" s="5"/>
    </row>
    <row r="5446" spans="1:1" x14ac:dyDescent="0.25">
      <c r="A5446" s="5"/>
    </row>
    <row r="5447" spans="1:1" x14ac:dyDescent="0.25">
      <c r="A5447" s="5"/>
    </row>
    <row r="5448" spans="1:1" x14ac:dyDescent="0.25">
      <c r="A5448" s="5"/>
    </row>
    <row r="5449" spans="1:1" x14ac:dyDescent="0.25">
      <c r="A5449" s="5"/>
    </row>
    <row r="5450" spans="1:1" x14ac:dyDescent="0.25">
      <c r="A5450" s="5"/>
    </row>
    <row r="5451" spans="1:1" x14ac:dyDescent="0.25">
      <c r="A5451" s="5"/>
    </row>
    <row r="5452" spans="1:1" x14ac:dyDescent="0.25">
      <c r="A5452" s="5"/>
    </row>
    <row r="5453" spans="1:1" x14ac:dyDescent="0.25">
      <c r="A5453" s="5"/>
    </row>
    <row r="5454" spans="1:1" x14ac:dyDescent="0.25">
      <c r="A5454" s="5"/>
    </row>
    <row r="5455" spans="1:1" x14ac:dyDescent="0.25">
      <c r="A5455" s="5"/>
    </row>
    <row r="5456" spans="1:1" x14ac:dyDescent="0.25">
      <c r="A5456" s="5"/>
    </row>
    <row r="5457" spans="1:1" x14ac:dyDescent="0.25">
      <c r="A5457" s="5"/>
    </row>
    <row r="5458" spans="1:1" x14ac:dyDescent="0.25">
      <c r="A5458" s="5"/>
    </row>
    <row r="5459" spans="1:1" x14ac:dyDescent="0.25">
      <c r="A5459" s="5"/>
    </row>
    <row r="5460" spans="1:1" x14ac:dyDescent="0.25">
      <c r="A5460" s="5"/>
    </row>
    <row r="5461" spans="1:1" x14ac:dyDescent="0.25">
      <c r="A5461" s="5"/>
    </row>
    <row r="5462" spans="1:1" x14ac:dyDescent="0.25">
      <c r="A5462" s="5"/>
    </row>
    <row r="5463" spans="1:1" x14ac:dyDescent="0.25">
      <c r="A5463" s="5"/>
    </row>
    <row r="5464" spans="1:1" x14ac:dyDescent="0.25">
      <c r="A5464" s="5"/>
    </row>
    <row r="5465" spans="1:1" x14ac:dyDescent="0.25">
      <c r="A5465" s="5"/>
    </row>
    <row r="5466" spans="1:1" x14ac:dyDescent="0.25">
      <c r="A5466" s="5"/>
    </row>
    <row r="5467" spans="1:1" x14ac:dyDescent="0.25">
      <c r="A5467" s="5"/>
    </row>
    <row r="5468" spans="1:1" x14ac:dyDescent="0.25">
      <c r="A5468" s="5"/>
    </row>
    <row r="5469" spans="1:1" x14ac:dyDescent="0.25">
      <c r="A5469" s="5"/>
    </row>
    <row r="5470" spans="1:1" x14ac:dyDescent="0.25">
      <c r="A5470" s="5"/>
    </row>
    <row r="5471" spans="1:1" x14ac:dyDescent="0.25">
      <c r="A5471" s="5"/>
    </row>
    <row r="5472" spans="1:1" x14ac:dyDescent="0.25">
      <c r="A5472" s="5"/>
    </row>
    <row r="5473" spans="1:1" x14ac:dyDescent="0.25">
      <c r="A5473" s="5"/>
    </row>
    <row r="5474" spans="1:1" x14ac:dyDescent="0.25">
      <c r="A5474" s="5"/>
    </row>
    <row r="5475" spans="1:1" x14ac:dyDescent="0.25">
      <c r="A5475" s="5"/>
    </row>
    <row r="5476" spans="1:1" x14ac:dyDescent="0.25">
      <c r="A5476" s="5"/>
    </row>
    <row r="5477" spans="1:1" x14ac:dyDescent="0.25">
      <c r="A5477" s="5"/>
    </row>
    <row r="5478" spans="1:1" x14ac:dyDescent="0.25">
      <c r="A5478" s="5"/>
    </row>
    <row r="5479" spans="1:1" x14ac:dyDescent="0.25">
      <c r="A5479" s="5"/>
    </row>
    <row r="5480" spans="1:1" x14ac:dyDescent="0.25">
      <c r="A5480" s="5"/>
    </row>
    <row r="5481" spans="1:1" x14ac:dyDescent="0.25">
      <c r="A5481" s="5"/>
    </row>
    <row r="5482" spans="1:1" x14ac:dyDescent="0.25">
      <c r="A5482" s="5"/>
    </row>
    <row r="5483" spans="1:1" x14ac:dyDescent="0.25">
      <c r="A5483" s="5"/>
    </row>
    <row r="5484" spans="1:1" x14ac:dyDescent="0.25">
      <c r="A5484" s="5"/>
    </row>
    <row r="5485" spans="1:1" x14ac:dyDescent="0.25">
      <c r="A5485" s="5"/>
    </row>
    <row r="5486" spans="1:1" x14ac:dyDescent="0.25">
      <c r="A5486" s="5"/>
    </row>
    <row r="5487" spans="1:1" x14ac:dyDescent="0.25">
      <c r="A5487" s="5"/>
    </row>
    <row r="5488" spans="1:1" x14ac:dyDescent="0.25">
      <c r="A5488" s="5"/>
    </row>
    <row r="5489" spans="1:1" x14ac:dyDescent="0.25">
      <c r="A5489" s="5"/>
    </row>
    <row r="5490" spans="1:1" x14ac:dyDescent="0.25">
      <c r="A5490" s="5"/>
    </row>
    <row r="5491" spans="1:1" x14ac:dyDescent="0.25">
      <c r="A5491" s="5"/>
    </row>
    <row r="5492" spans="1:1" x14ac:dyDescent="0.25">
      <c r="A5492" s="5"/>
    </row>
    <row r="5493" spans="1:1" x14ac:dyDescent="0.25">
      <c r="A5493" s="5"/>
    </row>
    <row r="5494" spans="1:1" x14ac:dyDescent="0.25">
      <c r="A5494" s="5"/>
    </row>
    <row r="5495" spans="1:1" x14ac:dyDescent="0.25">
      <c r="A5495" s="5"/>
    </row>
    <row r="5496" spans="1:1" x14ac:dyDescent="0.25">
      <c r="A5496" s="5"/>
    </row>
    <row r="5497" spans="1:1" x14ac:dyDescent="0.25">
      <c r="A5497" s="5"/>
    </row>
    <row r="5498" spans="1:1" x14ac:dyDescent="0.25">
      <c r="A5498" s="5"/>
    </row>
    <row r="5499" spans="1:1" x14ac:dyDescent="0.25">
      <c r="A5499" s="5"/>
    </row>
    <row r="5500" spans="1:1" x14ac:dyDescent="0.25">
      <c r="A5500" s="5"/>
    </row>
    <row r="5501" spans="1:1" x14ac:dyDescent="0.25">
      <c r="A5501" s="5"/>
    </row>
    <row r="5502" spans="1:1" x14ac:dyDescent="0.25">
      <c r="A5502" s="5"/>
    </row>
    <row r="5503" spans="1:1" x14ac:dyDescent="0.25">
      <c r="A5503" s="5"/>
    </row>
    <row r="5504" spans="1:1" x14ac:dyDescent="0.25">
      <c r="A5504" s="5"/>
    </row>
    <row r="5505" spans="1:1" x14ac:dyDescent="0.25">
      <c r="A5505" s="5"/>
    </row>
    <row r="5506" spans="1:1" x14ac:dyDescent="0.25">
      <c r="A5506" s="5"/>
    </row>
    <row r="5507" spans="1:1" x14ac:dyDescent="0.25">
      <c r="A5507" s="5"/>
    </row>
    <row r="5508" spans="1:1" x14ac:dyDescent="0.25">
      <c r="A5508" s="5"/>
    </row>
    <row r="5509" spans="1:1" x14ac:dyDescent="0.25">
      <c r="A5509" s="5"/>
    </row>
    <row r="5510" spans="1:1" x14ac:dyDescent="0.25">
      <c r="A5510" s="5"/>
    </row>
    <row r="5511" spans="1:1" x14ac:dyDescent="0.25">
      <c r="A5511" s="5"/>
    </row>
    <row r="5512" spans="1:1" x14ac:dyDescent="0.25">
      <c r="A5512" s="5"/>
    </row>
    <row r="5513" spans="1:1" x14ac:dyDescent="0.25">
      <c r="A5513" s="5"/>
    </row>
    <row r="5514" spans="1:1" x14ac:dyDescent="0.25">
      <c r="A5514" s="5"/>
    </row>
    <row r="5515" spans="1:1" x14ac:dyDescent="0.25">
      <c r="A5515" s="5"/>
    </row>
    <row r="5516" spans="1:1" x14ac:dyDescent="0.25">
      <c r="A5516" s="5"/>
    </row>
    <row r="5517" spans="1:1" x14ac:dyDescent="0.25">
      <c r="A5517" s="5"/>
    </row>
    <row r="5518" spans="1:1" x14ac:dyDescent="0.25">
      <c r="A5518" s="5"/>
    </row>
    <row r="5519" spans="1:1" x14ac:dyDescent="0.25">
      <c r="A5519" s="5"/>
    </row>
    <row r="5520" spans="1:1" x14ac:dyDescent="0.25">
      <c r="A5520" s="5"/>
    </row>
    <row r="5521" spans="1:1" x14ac:dyDescent="0.25">
      <c r="A5521" s="5"/>
    </row>
    <row r="5522" spans="1:1" x14ac:dyDescent="0.25">
      <c r="A5522" s="5"/>
    </row>
    <row r="5523" spans="1:1" x14ac:dyDescent="0.25">
      <c r="A5523" s="5"/>
    </row>
    <row r="5524" spans="1:1" x14ac:dyDescent="0.25">
      <c r="A5524" s="5"/>
    </row>
    <row r="5525" spans="1:1" x14ac:dyDescent="0.25">
      <c r="A5525" s="5"/>
    </row>
    <row r="5526" spans="1:1" x14ac:dyDescent="0.25">
      <c r="A5526" s="5"/>
    </row>
    <row r="5527" spans="1:1" x14ac:dyDescent="0.25">
      <c r="A5527" s="5"/>
    </row>
    <row r="5528" spans="1:1" x14ac:dyDescent="0.25">
      <c r="A5528" s="5"/>
    </row>
    <row r="5529" spans="1:1" x14ac:dyDescent="0.25">
      <c r="A5529" s="5"/>
    </row>
    <row r="5530" spans="1:1" x14ac:dyDescent="0.25">
      <c r="A5530" s="5"/>
    </row>
    <row r="5531" spans="1:1" x14ac:dyDescent="0.25">
      <c r="A5531" s="5"/>
    </row>
    <row r="5532" spans="1:1" x14ac:dyDescent="0.25">
      <c r="A5532" s="5"/>
    </row>
    <row r="5533" spans="1:1" x14ac:dyDescent="0.25">
      <c r="A5533" s="5"/>
    </row>
    <row r="5534" spans="1:1" x14ac:dyDescent="0.25">
      <c r="A5534" s="5"/>
    </row>
    <row r="5535" spans="1:1" x14ac:dyDescent="0.25">
      <c r="A5535" s="5"/>
    </row>
    <row r="5536" spans="1:1" x14ac:dyDescent="0.25">
      <c r="A5536" s="5"/>
    </row>
    <row r="5537" spans="1:1" x14ac:dyDescent="0.25">
      <c r="A5537" s="5"/>
    </row>
    <row r="5538" spans="1:1" x14ac:dyDescent="0.25">
      <c r="A5538" s="5"/>
    </row>
    <row r="5539" spans="1:1" x14ac:dyDescent="0.25">
      <c r="A5539" s="5"/>
    </row>
    <row r="5540" spans="1:1" x14ac:dyDescent="0.25">
      <c r="A5540" s="5"/>
    </row>
    <row r="5541" spans="1:1" x14ac:dyDescent="0.25">
      <c r="A5541" s="5"/>
    </row>
    <row r="5542" spans="1:1" x14ac:dyDescent="0.25">
      <c r="A5542" s="5"/>
    </row>
    <row r="5543" spans="1:1" x14ac:dyDescent="0.25">
      <c r="A5543" s="5"/>
    </row>
    <row r="5544" spans="1:1" x14ac:dyDescent="0.25">
      <c r="A5544" s="5"/>
    </row>
    <row r="5545" spans="1:1" x14ac:dyDescent="0.25">
      <c r="A5545" s="5"/>
    </row>
    <row r="5546" spans="1:1" x14ac:dyDescent="0.25">
      <c r="A5546" s="5"/>
    </row>
    <row r="5547" spans="1:1" x14ac:dyDescent="0.25">
      <c r="A5547" s="5"/>
    </row>
    <row r="5548" spans="1:1" x14ac:dyDescent="0.25">
      <c r="A5548" s="5"/>
    </row>
    <row r="5549" spans="1:1" x14ac:dyDescent="0.25">
      <c r="A5549" s="5"/>
    </row>
    <row r="5550" spans="1:1" x14ac:dyDescent="0.25">
      <c r="A5550" s="5"/>
    </row>
    <row r="5551" spans="1:1" x14ac:dyDescent="0.25">
      <c r="A5551" s="5"/>
    </row>
    <row r="5552" spans="1:1" x14ac:dyDescent="0.25">
      <c r="A5552" s="5"/>
    </row>
    <row r="5553" spans="1:1" x14ac:dyDescent="0.25">
      <c r="A5553" s="5"/>
    </row>
    <row r="5554" spans="1:1" x14ac:dyDescent="0.25">
      <c r="A5554" s="5"/>
    </row>
    <row r="5555" spans="1:1" x14ac:dyDescent="0.25">
      <c r="A5555" s="5"/>
    </row>
    <row r="5556" spans="1:1" x14ac:dyDescent="0.25">
      <c r="A5556" s="5"/>
    </row>
    <row r="5557" spans="1:1" x14ac:dyDescent="0.25">
      <c r="A5557" s="5"/>
    </row>
    <row r="5558" spans="1:1" x14ac:dyDescent="0.25">
      <c r="A5558" s="5"/>
    </row>
    <row r="5559" spans="1:1" x14ac:dyDescent="0.25">
      <c r="A5559" s="5"/>
    </row>
    <row r="5560" spans="1:1" x14ac:dyDescent="0.25">
      <c r="A5560" s="5"/>
    </row>
    <row r="5561" spans="1:1" x14ac:dyDescent="0.25">
      <c r="A5561" s="5"/>
    </row>
    <row r="5562" spans="1:1" x14ac:dyDescent="0.25">
      <c r="A5562" s="5"/>
    </row>
    <row r="5563" spans="1:1" x14ac:dyDescent="0.25">
      <c r="A5563" s="5"/>
    </row>
    <row r="5564" spans="1:1" x14ac:dyDescent="0.25">
      <c r="A5564" s="5"/>
    </row>
    <row r="5565" spans="1:1" x14ac:dyDescent="0.25">
      <c r="A5565" s="5"/>
    </row>
    <row r="5566" spans="1:1" x14ac:dyDescent="0.25">
      <c r="A5566" s="5"/>
    </row>
    <row r="5567" spans="1:1" x14ac:dyDescent="0.25">
      <c r="A5567" s="5"/>
    </row>
    <row r="5568" spans="1:1" x14ac:dyDescent="0.25">
      <c r="A5568" s="5"/>
    </row>
    <row r="5569" spans="1:1" x14ac:dyDescent="0.25">
      <c r="A5569" s="5"/>
    </row>
    <row r="5570" spans="1:1" x14ac:dyDescent="0.25">
      <c r="A5570" s="5"/>
    </row>
    <row r="5571" spans="1:1" x14ac:dyDescent="0.25">
      <c r="A5571" s="5"/>
    </row>
    <row r="5572" spans="1:1" x14ac:dyDescent="0.25">
      <c r="A5572" s="5"/>
    </row>
    <row r="5573" spans="1:1" x14ac:dyDescent="0.25">
      <c r="A5573" s="5"/>
    </row>
    <row r="5574" spans="1:1" x14ac:dyDescent="0.25">
      <c r="A5574" s="5"/>
    </row>
    <row r="5575" spans="1:1" x14ac:dyDescent="0.25">
      <c r="A5575" s="5"/>
    </row>
    <row r="5576" spans="1:1" x14ac:dyDescent="0.25">
      <c r="A5576" s="5"/>
    </row>
    <row r="5577" spans="1:1" x14ac:dyDescent="0.25">
      <c r="A5577" s="5"/>
    </row>
    <row r="5578" spans="1:1" x14ac:dyDescent="0.25">
      <c r="A5578" s="5"/>
    </row>
    <row r="5579" spans="1:1" x14ac:dyDescent="0.25">
      <c r="A5579" s="5"/>
    </row>
    <row r="5580" spans="1:1" x14ac:dyDescent="0.25">
      <c r="A5580" s="5"/>
    </row>
    <row r="5581" spans="1:1" x14ac:dyDescent="0.25">
      <c r="A5581" s="5"/>
    </row>
    <row r="5582" spans="1:1" x14ac:dyDescent="0.25">
      <c r="A5582" s="5"/>
    </row>
    <row r="5583" spans="1:1" x14ac:dyDescent="0.25">
      <c r="A5583" s="5"/>
    </row>
    <row r="5584" spans="1:1" x14ac:dyDescent="0.25">
      <c r="A5584" s="5"/>
    </row>
    <row r="5585" spans="1:1" x14ac:dyDescent="0.25">
      <c r="A5585" s="5"/>
    </row>
    <row r="5586" spans="1:1" x14ac:dyDescent="0.25">
      <c r="A5586" s="5"/>
    </row>
    <row r="5587" spans="1:1" x14ac:dyDescent="0.25">
      <c r="A5587" s="5"/>
    </row>
    <row r="5588" spans="1:1" x14ac:dyDescent="0.25">
      <c r="A5588" s="5"/>
    </row>
    <row r="5589" spans="1:1" x14ac:dyDescent="0.25">
      <c r="A5589" s="5"/>
    </row>
    <row r="5590" spans="1:1" x14ac:dyDescent="0.25">
      <c r="A5590" s="5"/>
    </row>
    <row r="5591" spans="1:1" x14ac:dyDescent="0.25">
      <c r="A5591" s="5"/>
    </row>
    <row r="5592" spans="1:1" x14ac:dyDescent="0.25">
      <c r="A5592" s="5"/>
    </row>
    <row r="5593" spans="1:1" x14ac:dyDescent="0.25">
      <c r="A5593" s="5"/>
    </row>
    <row r="5594" spans="1:1" x14ac:dyDescent="0.25">
      <c r="A5594" s="5"/>
    </row>
    <row r="5595" spans="1:1" x14ac:dyDescent="0.25">
      <c r="A5595" s="5"/>
    </row>
    <row r="5596" spans="1:1" x14ac:dyDescent="0.25">
      <c r="A5596" s="5"/>
    </row>
    <row r="5597" spans="1:1" x14ac:dyDescent="0.25">
      <c r="A5597" s="5"/>
    </row>
    <row r="5598" spans="1:1" x14ac:dyDescent="0.25">
      <c r="A5598" s="5"/>
    </row>
    <row r="5599" spans="1:1" x14ac:dyDescent="0.25">
      <c r="A5599" s="5"/>
    </row>
    <row r="5600" spans="1:1" x14ac:dyDescent="0.25">
      <c r="A5600" s="5"/>
    </row>
    <row r="5601" spans="1:1" x14ac:dyDescent="0.25">
      <c r="A5601" s="5"/>
    </row>
    <row r="5602" spans="1:1" x14ac:dyDescent="0.25">
      <c r="A5602" s="5"/>
    </row>
    <row r="5603" spans="1:1" x14ac:dyDescent="0.25">
      <c r="A5603" s="5"/>
    </row>
    <row r="5604" spans="1:1" x14ac:dyDescent="0.25">
      <c r="A5604" s="5"/>
    </row>
    <row r="5605" spans="1:1" x14ac:dyDescent="0.25">
      <c r="A5605" s="5"/>
    </row>
    <row r="5606" spans="1:1" x14ac:dyDescent="0.25">
      <c r="A5606" s="5"/>
    </row>
    <row r="5607" spans="1:1" x14ac:dyDescent="0.25">
      <c r="A5607" s="5"/>
    </row>
    <row r="5608" spans="1:1" x14ac:dyDescent="0.25">
      <c r="A5608" s="5"/>
    </row>
    <row r="5609" spans="1:1" x14ac:dyDescent="0.25">
      <c r="A5609" s="5"/>
    </row>
    <row r="5610" spans="1:1" x14ac:dyDescent="0.25">
      <c r="A5610" s="5"/>
    </row>
    <row r="5611" spans="1:1" x14ac:dyDescent="0.25">
      <c r="A5611" s="5"/>
    </row>
    <row r="5612" spans="1:1" x14ac:dyDescent="0.25">
      <c r="A5612" s="5"/>
    </row>
    <row r="5613" spans="1:1" x14ac:dyDescent="0.25">
      <c r="A5613" s="5"/>
    </row>
    <row r="5614" spans="1:1" x14ac:dyDescent="0.25">
      <c r="A5614" s="5"/>
    </row>
    <row r="5615" spans="1:1" x14ac:dyDescent="0.25">
      <c r="A5615" s="5"/>
    </row>
    <row r="5616" spans="1:1" x14ac:dyDescent="0.25">
      <c r="A5616" s="5"/>
    </row>
    <row r="5617" spans="1:1" x14ac:dyDescent="0.25">
      <c r="A5617" s="5"/>
    </row>
    <row r="5618" spans="1:1" x14ac:dyDescent="0.25">
      <c r="A5618" s="5"/>
    </row>
    <row r="5619" spans="1:1" x14ac:dyDescent="0.25">
      <c r="A5619" s="5"/>
    </row>
    <row r="5620" spans="1:1" x14ac:dyDescent="0.25">
      <c r="A5620" s="5"/>
    </row>
    <row r="5621" spans="1:1" x14ac:dyDescent="0.25">
      <c r="A5621" s="5"/>
    </row>
    <row r="5622" spans="1:1" x14ac:dyDescent="0.25">
      <c r="A5622" s="5"/>
    </row>
    <row r="5623" spans="1:1" x14ac:dyDescent="0.25">
      <c r="A5623" s="5"/>
    </row>
    <row r="5624" spans="1:1" x14ac:dyDescent="0.25">
      <c r="A5624" s="5"/>
    </row>
    <row r="5625" spans="1:1" x14ac:dyDescent="0.25">
      <c r="A5625" s="5"/>
    </row>
    <row r="5626" spans="1:1" x14ac:dyDescent="0.25">
      <c r="A5626" s="5"/>
    </row>
    <row r="5627" spans="1:1" x14ac:dyDescent="0.25">
      <c r="A5627" s="5"/>
    </row>
    <row r="5628" spans="1:1" x14ac:dyDescent="0.25">
      <c r="A5628" s="5"/>
    </row>
    <row r="5629" spans="1:1" x14ac:dyDescent="0.25">
      <c r="A5629" s="5"/>
    </row>
    <row r="5630" spans="1:1" x14ac:dyDescent="0.25">
      <c r="A5630" s="5"/>
    </row>
    <row r="5631" spans="1:1" x14ac:dyDescent="0.25">
      <c r="A5631" s="5"/>
    </row>
    <row r="5632" spans="1:1" x14ac:dyDescent="0.25">
      <c r="A5632" s="5"/>
    </row>
    <row r="5633" spans="1:1" x14ac:dyDescent="0.25">
      <c r="A5633" s="5"/>
    </row>
    <row r="5634" spans="1:1" x14ac:dyDescent="0.25">
      <c r="A5634" s="5"/>
    </row>
    <row r="5635" spans="1:1" x14ac:dyDescent="0.25">
      <c r="A5635" s="5"/>
    </row>
    <row r="5636" spans="1:1" x14ac:dyDescent="0.25">
      <c r="A5636" s="5"/>
    </row>
    <row r="5637" spans="1:1" x14ac:dyDescent="0.25">
      <c r="A5637" s="5"/>
    </row>
    <row r="5638" spans="1:1" x14ac:dyDescent="0.25">
      <c r="A5638" s="5"/>
    </row>
    <row r="5639" spans="1:1" x14ac:dyDescent="0.25">
      <c r="A5639" s="5"/>
    </row>
    <row r="5640" spans="1:1" x14ac:dyDescent="0.25">
      <c r="A5640" s="5"/>
    </row>
    <row r="5641" spans="1:1" x14ac:dyDescent="0.25">
      <c r="A5641" s="5"/>
    </row>
    <row r="5642" spans="1:1" x14ac:dyDescent="0.25">
      <c r="A5642" s="5"/>
    </row>
    <row r="5643" spans="1:1" x14ac:dyDescent="0.25">
      <c r="A5643" s="5"/>
    </row>
    <row r="5644" spans="1:1" x14ac:dyDescent="0.25">
      <c r="A5644" s="5"/>
    </row>
    <row r="5645" spans="1:1" x14ac:dyDescent="0.25">
      <c r="A5645" s="5"/>
    </row>
    <row r="5646" spans="1:1" x14ac:dyDescent="0.25">
      <c r="A5646" s="5"/>
    </row>
    <row r="5647" spans="1:1" x14ac:dyDescent="0.25">
      <c r="A5647" s="5"/>
    </row>
    <row r="5648" spans="1:1" x14ac:dyDescent="0.25">
      <c r="A5648" s="5"/>
    </row>
    <row r="5649" spans="1:1" x14ac:dyDescent="0.25">
      <c r="A5649" s="5"/>
    </row>
    <row r="5650" spans="1:1" x14ac:dyDescent="0.25">
      <c r="A5650" s="5"/>
    </row>
    <row r="5651" spans="1:1" x14ac:dyDescent="0.25">
      <c r="A5651" s="5"/>
    </row>
    <row r="5652" spans="1:1" x14ac:dyDescent="0.25">
      <c r="A5652" s="5"/>
    </row>
    <row r="5653" spans="1:1" x14ac:dyDescent="0.25">
      <c r="A5653" s="5"/>
    </row>
    <row r="5654" spans="1:1" x14ac:dyDescent="0.25">
      <c r="A5654" s="5"/>
    </row>
    <row r="5655" spans="1:1" x14ac:dyDescent="0.25">
      <c r="A5655" s="5"/>
    </row>
    <row r="5656" spans="1:1" x14ac:dyDescent="0.25">
      <c r="A5656" s="5"/>
    </row>
    <row r="5657" spans="1:1" x14ac:dyDescent="0.25">
      <c r="A5657" s="5"/>
    </row>
    <row r="5658" spans="1:1" x14ac:dyDescent="0.25">
      <c r="A5658" s="5"/>
    </row>
    <row r="5659" spans="1:1" x14ac:dyDescent="0.25">
      <c r="A5659" s="5"/>
    </row>
    <row r="5660" spans="1:1" x14ac:dyDescent="0.25">
      <c r="A5660" s="5"/>
    </row>
    <row r="5661" spans="1:1" x14ac:dyDescent="0.25">
      <c r="A5661" s="5"/>
    </row>
    <row r="5662" spans="1:1" x14ac:dyDescent="0.25">
      <c r="A5662" s="5"/>
    </row>
    <row r="5663" spans="1:1" x14ac:dyDescent="0.25">
      <c r="A5663" s="5"/>
    </row>
    <row r="5664" spans="1:1" x14ac:dyDescent="0.25">
      <c r="A5664" s="5"/>
    </row>
    <row r="5665" spans="1:1" x14ac:dyDescent="0.25">
      <c r="A5665" s="5"/>
    </row>
    <row r="5666" spans="1:1" x14ac:dyDescent="0.25">
      <c r="A5666" s="5"/>
    </row>
    <row r="5667" spans="1:1" x14ac:dyDescent="0.25">
      <c r="A5667" s="5"/>
    </row>
    <row r="5668" spans="1:1" x14ac:dyDescent="0.25">
      <c r="A5668" s="5"/>
    </row>
    <row r="5669" spans="1:1" x14ac:dyDescent="0.25">
      <c r="A5669" s="5"/>
    </row>
    <row r="5670" spans="1:1" x14ac:dyDescent="0.25">
      <c r="A5670" s="5"/>
    </row>
    <row r="5671" spans="1:1" x14ac:dyDescent="0.25">
      <c r="A5671" s="5"/>
    </row>
    <row r="5672" spans="1:1" x14ac:dyDescent="0.25">
      <c r="A5672" s="5"/>
    </row>
    <row r="5673" spans="1:1" x14ac:dyDescent="0.25">
      <c r="A5673" s="5"/>
    </row>
    <row r="5674" spans="1:1" x14ac:dyDescent="0.25">
      <c r="A5674" s="5"/>
    </row>
    <row r="5675" spans="1:1" x14ac:dyDescent="0.25">
      <c r="A5675" s="5"/>
    </row>
    <row r="5676" spans="1:1" x14ac:dyDescent="0.25">
      <c r="A5676" s="5"/>
    </row>
    <row r="5677" spans="1:1" x14ac:dyDescent="0.25">
      <c r="A5677" s="5"/>
    </row>
    <row r="5678" spans="1:1" x14ac:dyDescent="0.25">
      <c r="A5678" s="5"/>
    </row>
    <row r="5679" spans="1:1" x14ac:dyDescent="0.25">
      <c r="A5679" s="5"/>
    </row>
    <row r="5680" spans="1:1" x14ac:dyDescent="0.25">
      <c r="A5680" s="5"/>
    </row>
    <row r="5681" spans="1:1" x14ac:dyDescent="0.25">
      <c r="A5681" s="5"/>
    </row>
    <row r="5682" spans="1:1" x14ac:dyDescent="0.25">
      <c r="A5682" s="5"/>
    </row>
    <row r="5683" spans="1:1" x14ac:dyDescent="0.25">
      <c r="A5683" s="5"/>
    </row>
    <row r="5684" spans="1:1" x14ac:dyDescent="0.25">
      <c r="A5684" s="5"/>
    </row>
    <row r="5685" spans="1:1" x14ac:dyDescent="0.25">
      <c r="A5685" s="5"/>
    </row>
    <row r="5686" spans="1:1" x14ac:dyDescent="0.25">
      <c r="A5686" s="5"/>
    </row>
    <row r="5687" spans="1:1" x14ac:dyDescent="0.25">
      <c r="A5687" s="5"/>
    </row>
    <row r="5688" spans="1:1" x14ac:dyDescent="0.25">
      <c r="A5688" s="5"/>
    </row>
    <row r="5689" spans="1:1" x14ac:dyDescent="0.25">
      <c r="A5689" s="5"/>
    </row>
    <row r="5690" spans="1:1" x14ac:dyDescent="0.25">
      <c r="A5690" s="5"/>
    </row>
    <row r="5691" spans="1:1" x14ac:dyDescent="0.25">
      <c r="A5691" s="5"/>
    </row>
    <row r="5692" spans="1:1" x14ac:dyDescent="0.25">
      <c r="A5692" s="5"/>
    </row>
    <row r="5693" spans="1:1" x14ac:dyDescent="0.25">
      <c r="A5693" s="5"/>
    </row>
    <row r="5694" spans="1:1" x14ac:dyDescent="0.25">
      <c r="A5694" s="5"/>
    </row>
    <row r="5695" spans="1:1" x14ac:dyDescent="0.25">
      <c r="A5695" s="5"/>
    </row>
    <row r="5696" spans="1:1" x14ac:dyDescent="0.25">
      <c r="A5696" s="5"/>
    </row>
    <row r="5697" spans="1:1" x14ac:dyDescent="0.25">
      <c r="A5697" s="5"/>
    </row>
    <row r="5698" spans="1:1" x14ac:dyDescent="0.25">
      <c r="A5698" s="5"/>
    </row>
    <row r="5699" spans="1:1" x14ac:dyDescent="0.25">
      <c r="A5699" s="5"/>
    </row>
    <row r="5700" spans="1:1" x14ac:dyDescent="0.25">
      <c r="A5700" s="5"/>
    </row>
    <row r="5701" spans="1:1" x14ac:dyDescent="0.25">
      <c r="A5701" s="5"/>
    </row>
    <row r="5702" spans="1:1" x14ac:dyDescent="0.25">
      <c r="A5702" s="5"/>
    </row>
    <row r="5703" spans="1:1" x14ac:dyDescent="0.25">
      <c r="A5703" s="5"/>
    </row>
    <row r="5704" spans="1:1" x14ac:dyDescent="0.25">
      <c r="A5704" s="5"/>
    </row>
    <row r="5705" spans="1:1" x14ac:dyDescent="0.25">
      <c r="A5705" s="5"/>
    </row>
    <row r="5706" spans="1:1" x14ac:dyDescent="0.25">
      <c r="A5706" s="5"/>
    </row>
    <row r="5707" spans="1:1" x14ac:dyDescent="0.25">
      <c r="A5707" s="5"/>
    </row>
    <row r="5708" spans="1:1" x14ac:dyDescent="0.25">
      <c r="A5708" s="5"/>
    </row>
    <row r="5709" spans="1:1" x14ac:dyDescent="0.25">
      <c r="A5709" s="5"/>
    </row>
    <row r="5710" spans="1:1" x14ac:dyDescent="0.25">
      <c r="A5710" s="5"/>
    </row>
    <row r="5711" spans="1:1" x14ac:dyDescent="0.25">
      <c r="A5711" s="5"/>
    </row>
    <row r="5712" spans="1:1" x14ac:dyDescent="0.25">
      <c r="A5712" s="5"/>
    </row>
    <row r="5713" spans="1:1" x14ac:dyDescent="0.25">
      <c r="A5713" s="5"/>
    </row>
    <row r="5714" spans="1:1" x14ac:dyDescent="0.25">
      <c r="A5714" s="5"/>
    </row>
    <row r="5715" spans="1:1" x14ac:dyDescent="0.25">
      <c r="A5715" s="5"/>
    </row>
    <row r="5716" spans="1:1" x14ac:dyDescent="0.25">
      <c r="A5716" s="5"/>
    </row>
    <row r="5717" spans="1:1" x14ac:dyDescent="0.25">
      <c r="A5717" s="5"/>
    </row>
    <row r="5718" spans="1:1" x14ac:dyDescent="0.25">
      <c r="A5718" s="5"/>
    </row>
    <row r="5719" spans="1:1" x14ac:dyDescent="0.25">
      <c r="A5719" s="5"/>
    </row>
    <row r="5720" spans="1:1" x14ac:dyDescent="0.25">
      <c r="A5720" s="5"/>
    </row>
    <row r="5721" spans="1:1" x14ac:dyDescent="0.25">
      <c r="A5721" s="5"/>
    </row>
    <row r="5722" spans="1:1" x14ac:dyDescent="0.25">
      <c r="A5722" s="5"/>
    </row>
    <row r="5723" spans="1:1" x14ac:dyDescent="0.25">
      <c r="A5723" s="5"/>
    </row>
    <row r="5724" spans="1:1" x14ac:dyDescent="0.25">
      <c r="A5724" s="5"/>
    </row>
    <row r="5725" spans="1:1" x14ac:dyDescent="0.25">
      <c r="A5725" s="5"/>
    </row>
    <row r="5726" spans="1:1" x14ac:dyDescent="0.25">
      <c r="A5726" s="5"/>
    </row>
    <row r="5727" spans="1:1" x14ac:dyDescent="0.25">
      <c r="A5727" s="5"/>
    </row>
    <row r="5728" spans="1:1" x14ac:dyDescent="0.25">
      <c r="A5728" s="5"/>
    </row>
    <row r="5729" spans="1:1" x14ac:dyDescent="0.25">
      <c r="A5729" s="5"/>
    </row>
    <row r="5730" spans="1:1" x14ac:dyDescent="0.25">
      <c r="A5730" s="5"/>
    </row>
    <row r="5731" spans="1:1" x14ac:dyDescent="0.25">
      <c r="A5731" s="5"/>
    </row>
    <row r="5732" spans="1:1" x14ac:dyDescent="0.25">
      <c r="A5732" s="5"/>
    </row>
    <row r="5733" spans="1:1" x14ac:dyDescent="0.25">
      <c r="A5733" s="5"/>
    </row>
    <row r="5734" spans="1:1" x14ac:dyDescent="0.25">
      <c r="A5734" s="5"/>
    </row>
    <row r="5735" spans="1:1" x14ac:dyDescent="0.25">
      <c r="A5735" s="5"/>
    </row>
    <row r="5736" spans="1:1" x14ac:dyDescent="0.25">
      <c r="A5736" s="5"/>
    </row>
    <row r="5737" spans="1:1" x14ac:dyDescent="0.25">
      <c r="A5737" s="5"/>
    </row>
    <row r="5738" spans="1:1" x14ac:dyDescent="0.25">
      <c r="A5738" s="5"/>
    </row>
    <row r="5739" spans="1:1" x14ac:dyDescent="0.25">
      <c r="A5739" s="5"/>
    </row>
    <row r="5740" spans="1:1" x14ac:dyDescent="0.25">
      <c r="A5740" s="5"/>
    </row>
    <row r="5741" spans="1:1" x14ac:dyDescent="0.25">
      <c r="A5741" s="5"/>
    </row>
    <row r="5742" spans="1:1" x14ac:dyDescent="0.25">
      <c r="A5742" s="5"/>
    </row>
    <row r="5743" spans="1:1" x14ac:dyDescent="0.25">
      <c r="A5743" s="5"/>
    </row>
    <row r="5744" spans="1:1" x14ac:dyDescent="0.25">
      <c r="A5744" s="5"/>
    </row>
    <row r="5745" spans="1:1" x14ac:dyDescent="0.25">
      <c r="A5745" s="5"/>
    </row>
    <row r="5746" spans="1:1" x14ac:dyDescent="0.25">
      <c r="A5746" s="5"/>
    </row>
    <row r="5747" spans="1:1" x14ac:dyDescent="0.25">
      <c r="A5747" s="5"/>
    </row>
    <row r="5748" spans="1:1" x14ac:dyDescent="0.25">
      <c r="A5748" s="5"/>
    </row>
    <row r="5749" spans="1:1" x14ac:dyDescent="0.25">
      <c r="A5749" s="5"/>
    </row>
    <row r="5750" spans="1:1" x14ac:dyDescent="0.25">
      <c r="A5750" s="5"/>
    </row>
    <row r="5751" spans="1:1" x14ac:dyDescent="0.25">
      <c r="A5751" s="5"/>
    </row>
    <row r="5752" spans="1:1" x14ac:dyDescent="0.25">
      <c r="A5752" s="5"/>
    </row>
    <row r="5753" spans="1:1" x14ac:dyDescent="0.25">
      <c r="A5753" s="5"/>
    </row>
    <row r="5754" spans="1:1" x14ac:dyDescent="0.25">
      <c r="A5754" s="5"/>
    </row>
    <row r="5755" spans="1:1" x14ac:dyDescent="0.25">
      <c r="A5755" s="5"/>
    </row>
    <row r="5756" spans="1:1" x14ac:dyDescent="0.25">
      <c r="A5756" s="5"/>
    </row>
    <row r="5757" spans="1:1" x14ac:dyDescent="0.25">
      <c r="A5757" s="5"/>
    </row>
    <row r="5758" spans="1:1" x14ac:dyDescent="0.25">
      <c r="A5758" s="5"/>
    </row>
    <row r="5759" spans="1:1" x14ac:dyDescent="0.25">
      <c r="A5759" s="5"/>
    </row>
    <row r="5760" spans="1:1" x14ac:dyDescent="0.25">
      <c r="A5760" s="5"/>
    </row>
    <row r="5761" spans="1:1" x14ac:dyDescent="0.25">
      <c r="A5761" s="5"/>
    </row>
    <row r="5762" spans="1:1" x14ac:dyDescent="0.25">
      <c r="A5762" s="5"/>
    </row>
    <row r="5763" spans="1:1" x14ac:dyDescent="0.25">
      <c r="A5763" s="5"/>
    </row>
    <row r="5764" spans="1:1" x14ac:dyDescent="0.25">
      <c r="A5764" s="5"/>
    </row>
    <row r="5765" spans="1:1" x14ac:dyDescent="0.25">
      <c r="A5765" s="5"/>
    </row>
    <row r="5766" spans="1:1" x14ac:dyDescent="0.25">
      <c r="A5766" s="5"/>
    </row>
    <row r="5767" spans="1:1" x14ac:dyDescent="0.25">
      <c r="A5767" s="5"/>
    </row>
    <row r="5768" spans="1:1" x14ac:dyDescent="0.25">
      <c r="A5768" s="5"/>
    </row>
    <row r="5769" spans="1:1" x14ac:dyDescent="0.25">
      <c r="A5769" s="5"/>
    </row>
    <row r="5770" spans="1:1" x14ac:dyDescent="0.25">
      <c r="A5770" s="5"/>
    </row>
    <row r="5771" spans="1:1" x14ac:dyDescent="0.25">
      <c r="A5771" s="5"/>
    </row>
    <row r="5772" spans="1:1" x14ac:dyDescent="0.25">
      <c r="A5772" s="5"/>
    </row>
    <row r="5773" spans="1:1" x14ac:dyDescent="0.25">
      <c r="A5773" s="5"/>
    </row>
    <row r="5774" spans="1:1" x14ac:dyDescent="0.25">
      <c r="A5774" s="5"/>
    </row>
    <row r="5775" spans="1:1" x14ac:dyDescent="0.25">
      <c r="A5775" s="5"/>
    </row>
    <row r="5776" spans="1:1" x14ac:dyDescent="0.25">
      <c r="A5776" s="5"/>
    </row>
    <row r="5777" spans="1:1" x14ac:dyDescent="0.25">
      <c r="A5777" s="5"/>
    </row>
    <row r="5778" spans="1:1" x14ac:dyDescent="0.25">
      <c r="A5778" s="5"/>
    </row>
    <row r="5779" spans="1:1" x14ac:dyDescent="0.25">
      <c r="A5779" s="5"/>
    </row>
    <row r="5780" spans="1:1" x14ac:dyDescent="0.25">
      <c r="A5780" s="5"/>
    </row>
    <row r="5781" spans="1:1" x14ac:dyDescent="0.25">
      <c r="A5781" s="5"/>
    </row>
    <row r="5782" spans="1:1" x14ac:dyDescent="0.25">
      <c r="A5782" s="5"/>
    </row>
    <row r="5783" spans="1:1" x14ac:dyDescent="0.25">
      <c r="A5783" s="5"/>
    </row>
    <row r="5784" spans="1:1" x14ac:dyDescent="0.25">
      <c r="A5784" s="5"/>
    </row>
    <row r="5785" spans="1:1" x14ac:dyDescent="0.25">
      <c r="A5785" s="5"/>
    </row>
    <row r="5786" spans="1:1" x14ac:dyDescent="0.25">
      <c r="A5786" s="5"/>
    </row>
    <row r="5787" spans="1:1" x14ac:dyDescent="0.25">
      <c r="A5787" s="5"/>
    </row>
    <row r="5788" spans="1:1" x14ac:dyDescent="0.25">
      <c r="A5788" s="5"/>
    </row>
    <row r="5789" spans="1:1" x14ac:dyDescent="0.25">
      <c r="A5789" s="5"/>
    </row>
    <row r="5790" spans="1:1" x14ac:dyDescent="0.25">
      <c r="A5790" s="5"/>
    </row>
    <row r="5791" spans="1:1" x14ac:dyDescent="0.25">
      <c r="A5791" s="5"/>
    </row>
    <row r="5792" spans="1:1" x14ac:dyDescent="0.25">
      <c r="A5792" s="5"/>
    </row>
    <row r="5793" spans="1:1" x14ac:dyDescent="0.25">
      <c r="A5793" s="5"/>
    </row>
    <row r="5794" spans="1:1" x14ac:dyDescent="0.25">
      <c r="A5794" s="5"/>
    </row>
    <row r="5795" spans="1:1" x14ac:dyDescent="0.25">
      <c r="A5795" s="5"/>
    </row>
    <row r="5796" spans="1:1" x14ac:dyDescent="0.25">
      <c r="A5796" s="5"/>
    </row>
    <row r="5797" spans="1:1" x14ac:dyDescent="0.25">
      <c r="A5797" s="5"/>
    </row>
    <row r="5798" spans="1:1" x14ac:dyDescent="0.25">
      <c r="A5798" s="5"/>
    </row>
    <row r="5799" spans="1:1" x14ac:dyDescent="0.25">
      <c r="A5799" s="5"/>
    </row>
    <row r="5800" spans="1:1" x14ac:dyDescent="0.25">
      <c r="A5800" s="5"/>
    </row>
    <row r="5801" spans="1:1" x14ac:dyDescent="0.25">
      <c r="A5801" s="5"/>
    </row>
    <row r="5802" spans="1:1" x14ac:dyDescent="0.25">
      <c r="A5802" s="5"/>
    </row>
    <row r="5803" spans="1:1" x14ac:dyDescent="0.25">
      <c r="A5803" s="5"/>
    </row>
    <row r="5804" spans="1:1" x14ac:dyDescent="0.25">
      <c r="A5804" s="5"/>
    </row>
    <row r="5805" spans="1:1" x14ac:dyDescent="0.25">
      <c r="A5805" s="5"/>
    </row>
    <row r="5806" spans="1:1" x14ac:dyDescent="0.25">
      <c r="A5806" s="5"/>
    </row>
    <row r="5807" spans="1:1" x14ac:dyDescent="0.25">
      <c r="A5807" s="5"/>
    </row>
    <row r="5808" spans="1:1" x14ac:dyDescent="0.25">
      <c r="A5808" s="5"/>
    </row>
    <row r="5809" spans="1:1" x14ac:dyDescent="0.25">
      <c r="A5809" s="5"/>
    </row>
    <row r="5810" spans="1:1" x14ac:dyDescent="0.25">
      <c r="A5810" s="5"/>
    </row>
    <row r="5811" spans="1:1" x14ac:dyDescent="0.25">
      <c r="A5811" s="5"/>
    </row>
    <row r="5812" spans="1:1" x14ac:dyDescent="0.25">
      <c r="A5812" s="5"/>
    </row>
    <row r="5813" spans="1:1" x14ac:dyDescent="0.25">
      <c r="A5813" s="5"/>
    </row>
    <row r="5814" spans="1:1" x14ac:dyDescent="0.25">
      <c r="A5814" s="5"/>
    </row>
    <row r="5815" spans="1:1" x14ac:dyDescent="0.25">
      <c r="A5815" s="5"/>
    </row>
    <row r="5816" spans="1:1" x14ac:dyDescent="0.25">
      <c r="A5816" s="5"/>
    </row>
    <row r="5817" spans="1:1" x14ac:dyDescent="0.25">
      <c r="A5817" s="5"/>
    </row>
    <row r="5818" spans="1:1" x14ac:dyDescent="0.25">
      <c r="A5818" s="5"/>
    </row>
    <row r="5819" spans="1:1" x14ac:dyDescent="0.25">
      <c r="A5819" s="5"/>
    </row>
    <row r="5820" spans="1:1" x14ac:dyDescent="0.25">
      <c r="A5820" s="5"/>
    </row>
    <row r="5821" spans="1:1" x14ac:dyDescent="0.25">
      <c r="A5821" s="5"/>
    </row>
    <row r="5822" spans="1:1" x14ac:dyDescent="0.25">
      <c r="A5822" s="5"/>
    </row>
    <row r="5823" spans="1:1" x14ac:dyDescent="0.25">
      <c r="A5823" s="5"/>
    </row>
    <row r="5824" spans="1:1" x14ac:dyDescent="0.25">
      <c r="A5824" s="5"/>
    </row>
    <row r="5825" spans="1:1" x14ac:dyDescent="0.25">
      <c r="A5825" s="5"/>
    </row>
    <row r="5826" spans="1:1" x14ac:dyDescent="0.25">
      <c r="A5826" s="5"/>
    </row>
    <row r="5827" spans="1:1" x14ac:dyDescent="0.25">
      <c r="A5827" s="5"/>
    </row>
    <row r="5828" spans="1:1" x14ac:dyDescent="0.25">
      <c r="A5828" s="5"/>
    </row>
    <row r="5829" spans="1:1" x14ac:dyDescent="0.25">
      <c r="A5829" s="5"/>
    </row>
    <row r="5830" spans="1:1" x14ac:dyDescent="0.25">
      <c r="A5830" s="5"/>
    </row>
    <row r="5831" spans="1:1" x14ac:dyDescent="0.25">
      <c r="A5831" s="5"/>
    </row>
    <row r="5832" spans="1:1" x14ac:dyDescent="0.25">
      <c r="A5832" s="5"/>
    </row>
    <row r="5833" spans="1:1" x14ac:dyDescent="0.25">
      <c r="A5833" s="5"/>
    </row>
    <row r="5834" spans="1:1" x14ac:dyDescent="0.25">
      <c r="A5834" s="5"/>
    </row>
    <row r="5835" spans="1:1" x14ac:dyDescent="0.25">
      <c r="A5835" s="5"/>
    </row>
    <row r="5836" spans="1:1" x14ac:dyDescent="0.25">
      <c r="A5836" s="5"/>
    </row>
    <row r="5837" spans="1:1" x14ac:dyDescent="0.25">
      <c r="A5837" s="5"/>
    </row>
    <row r="5838" spans="1:1" x14ac:dyDescent="0.25">
      <c r="A5838" s="5"/>
    </row>
    <row r="5839" spans="1:1" x14ac:dyDescent="0.25">
      <c r="A5839" s="5"/>
    </row>
    <row r="5840" spans="1:1" x14ac:dyDescent="0.25">
      <c r="A5840" s="5"/>
    </row>
    <row r="5841" spans="1:1" x14ac:dyDescent="0.25">
      <c r="A5841" s="5"/>
    </row>
    <row r="5842" spans="1:1" x14ac:dyDescent="0.25">
      <c r="A5842" s="5"/>
    </row>
    <row r="5843" spans="1:1" x14ac:dyDescent="0.25">
      <c r="A5843" s="5"/>
    </row>
    <row r="5844" spans="1:1" x14ac:dyDescent="0.25">
      <c r="A5844" s="5"/>
    </row>
    <row r="5845" spans="1:1" x14ac:dyDescent="0.25">
      <c r="A5845" s="5"/>
    </row>
    <row r="5846" spans="1:1" x14ac:dyDescent="0.25">
      <c r="A5846" s="5"/>
    </row>
    <row r="5847" spans="1:1" x14ac:dyDescent="0.25">
      <c r="A5847" s="5"/>
    </row>
    <row r="5848" spans="1:1" x14ac:dyDescent="0.25">
      <c r="A5848" s="5"/>
    </row>
    <row r="5849" spans="1:1" x14ac:dyDescent="0.25">
      <c r="A5849" s="5"/>
    </row>
    <row r="5850" spans="1:1" x14ac:dyDescent="0.25">
      <c r="A5850" s="5"/>
    </row>
    <row r="5851" spans="1:1" x14ac:dyDescent="0.25">
      <c r="A5851" s="5"/>
    </row>
    <row r="5852" spans="1:1" x14ac:dyDescent="0.25">
      <c r="A5852" s="5"/>
    </row>
    <row r="5853" spans="1:1" x14ac:dyDescent="0.25">
      <c r="A5853" s="5"/>
    </row>
    <row r="5854" spans="1:1" x14ac:dyDescent="0.25">
      <c r="A5854" s="5"/>
    </row>
    <row r="5855" spans="1:1" x14ac:dyDescent="0.25">
      <c r="A5855" s="5"/>
    </row>
    <row r="5856" spans="1:1" x14ac:dyDescent="0.25">
      <c r="A5856" s="5"/>
    </row>
    <row r="5857" spans="1:1" x14ac:dyDescent="0.25">
      <c r="A5857" s="5"/>
    </row>
    <row r="5858" spans="1:1" x14ac:dyDescent="0.25">
      <c r="A5858" s="5"/>
    </row>
    <row r="5859" spans="1:1" x14ac:dyDescent="0.25">
      <c r="A5859" s="5"/>
    </row>
    <row r="5860" spans="1:1" x14ac:dyDescent="0.25">
      <c r="A5860" s="5"/>
    </row>
    <row r="5861" spans="1:1" x14ac:dyDescent="0.25">
      <c r="A5861" s="5"/>
    </row>
    <row r="5862" spans="1:1" x14ac:dyDescent="0.25">
      <c r="A5862" s="5"/>
    </row>
    <row r="5863" spans="1:1" x14ac:dyDescent="0.25">
      <c r="A5863" s="5"/>
    </row>
    <row r="5864" spans="1:1" x14ac:dyDescent="0.25">
      <c r="A5864" s="5"/>
    </row>
    <row r="5865" spans="1:1" x14ac:dyDescent="0.25">
      <c r="A5865" s="5"/>
    </row>
    <row r="5866" spans="1:1" x14ac:dyDescent="0.25">
      <c r="A5866" s="5"/>
    </row>
    <row r="5867" spans="1:1" x14ac:dyDescent="0.25">
      <c r="A5867" s="5"/>
    </row>
    <row r="5868" spans="1:1" x14ac:dyDescent="0.25">
      <c r="A5868" s="5"/>
    </row>
    <row r="5869" spans="1:1" x14ac:dyDescent="0.25">
      <c r="A5869" s="5"/>
    </row>
    <row r="5870" spans="1:1" x14ac:dyDescent="0.25">
      <c r="A5870" s="5"/>
    </row>
    <row r="5871" spans="1:1" x14ac:dyDescent="0.25">
      <c r="A5871" s="5"/>
    </row>
    <row r="5872" spans="1:1" x14ac:dyDescent="0.25">
      <c r="A5872" s="5"/>
    </row>
    <row r="5873" spans="1:1" x14ac:dyDescent="0.25">
      <c r="A5873" s="5"/>
    </row>
    <row r="5874" spans="1:1" x14ac:dyDescent="0.25">
      <c r="A5874" s="5"/>
    </row>
    <row r="5875" spans="1:1" x14ac:dyDescent="0.25">
      <c r="A5875" s="5"/>
    </row>
    <row r="5876" spans="1:1" x14ac:dyDescent="0.25">
      <c r="A5876" s="5"/>
    </row>
    <row r="5877" spans="1:1" x14ac:dyDescent="0.25">
      <c r="A5877" s="5"/>
    </row>
    <row r="5878" spans="1:1" x14ac:dyDescent="0.25">
      <c r="A5878" s="5"/>
    </row>
    <row r="5879" spans="1:1" x14ac:dyDescent="0.25">
      <c r="A5879" s="5"/>
    </row>
    <row r="5880" spans="1:1" x14ac:dyDescent="0.25">
      <c r="A5880" s="5"/>
    </row>
    <row r="5881" spans="1:1" x14ac:dyDescent="0.25">
      <c r="A5881" s="5"/>
    </row>
    <row r="5882" spans="1:1" x14ac:dyDescent="0.25">
      <c r="A5882" s="5"/>
    </row>
    <row r="5883" spans="1:1" x14ac:dyDescent="0.25">
      <c r="A5883" s="5"/>
    </row>
    <row r="5884" spans="1:1" x14ac:dyDescent="0.25">
      <c r="A5884" s="5"/>
    </row>
    <row r="5885" spans="1:1" x14ac:dyDescent="0.25">
      <c r="A5885" s="5"/>
    </row>
    <row r="5886" spans="1:1" x14ac:dyDescent="0.25">
      <c r="A5886" s="5"/>
    </row>
    <row r="5887" spans="1:1" x14ac:dyDescent="0.25">
      <c r="A5887" s="5"/>
    </row>
    <row r="5888" spans="1:1" x14ac:dyDescent="0.25">
      <c r="A5888" s="5"/>
    </row>
    <row r="5889" spans="1:1" x14ac:dyDescent="0.25">
      <c r="A5889" s="5"/>
    </row>
    <row r="5890" spans="1:1" x14ac:dyDescent="0.25">
      <c r="A5890" s="5"/>
    </row>
    <row r="5891" spans="1:1" x14ac:dyDescent="0.25">
      <c r="A5891" s="5"/>
    </row>
    <row r="5892" spans="1:1" x14ac:dyDescent="0.25">
      <c r="A5892" s="5"/>
    </row>
    <row r="5893" spans="1:1" x14ac:dyDescent="0.25">
      <c r="A5893" s="5"/>
    </row>
    <row r="5894" spans="1:1" x14ac:dyDescent="0.25">
      <c r="A5894" s="5"/>
    </row>
    <row r="5895" spans="1:1" x14ac:dyDescent="0.25">
      <c r="A5895" s="5"/>
    </row>
    <row r="5896" spans="1:1" x14ac:dyDescent="0.25">
      <c r="A5896" s="5"/>
    </row>
    <row r="5897" spans="1:1" x14ac:dyDescent="0.25">
      <c r="A5897" s="5"/>
    </row>
    <row r="5898" spans="1:1" x14ac:dyDescent="0.25">
      <c r="A5898" s="5"/>
    </row>
    <row r="5899" spans="1:1" x14ac:dyDescent="0.25">
      <c r="A5899" s="5"/>
    </row>
    <row r="5900" spans="1:1" x14ac:dyDescent="0.25">
      <c r="A5900" s="5"/>
    </row>
    <row r="5901" spans="1:1" x14ac:dyDescent="0.25">
      <c r="A5901" s="5"/>
    </row>
    <row r="5902" spans="1:1" x14ac:dyDescent="0.25">
      <c r="A5902" s="5"/>
    </row>
    <row r="5903" spans="1:1" x14ac:dyDescent="0.25">
      <c r="A5903" s="5"/>
    </row>
    <row r="5904" spans="1:1" x14ac:dyDescent="0.25">
      <c r="A5904" s="5"/>
    </row>
    <row r="5905" spans="1:1" x14ac:dyDescent="0.25">
      <c r="A5905" s="5"/>
    </row>
    <row r="5906" spans="1:1" x14ac:dyDescent="0.25">
      <c r="A5906" s="5"/>
    </row>
    <row r="5907" spans="1:1" x14ac:dyDescent="0.25">
      <c r="A5907" s="5"/>
    </row>
    <row r="5908" spans="1:1" x14ac:dyDescent="0.25">
      <c r="A5908" s="5"/>
    </row>
    <row r="5909" spans="1:1" x14ac:dyDescent="0.25">
      <c r="A5909" s="5"/>
    </row>
    <row r="5910" spans="1:1" x14ac:dyDescent="0.25">
      <c r="A5910" s="5"/>
    </row>
    <row r="5911" spans="1:1" x14ac:dyDescent="0.25">
      <c r="A5911" s="5"/>
    </row>
    <row r="5912" spans="1:1" x14ac:dyDescent="0.25">
      <c r="A5912" s="5"/>
    </row>
    <row r="5913" spans="1:1" x14ac:dyDescent="0.25">
      <c r="A5913" s="5"/>
    </row>
    <row r="5914" spans="1:1" x14ac:dyDescent="0.25">
      <c r="A5914" s="5"/>
    </row>
    <row r="5915" spans="1:1" x14ac:dyDescent="0.25">
      <c r="A5915" s="5"/>
    </row>
    <row r="5916" spans="1:1" x14ac:dyDescent="0.25">
      <c r="A5916" s="5"/>
    </row>
    <row r="5917" spans="1:1" x14ac:dyDescent="0.25">
      <c r="A5917" s="5"/>
    </row>
    <row r="5918" spans="1:1" x14ac:dyDescent="0.25">
      <c r="A5918" s="5"/>
    </row>
    <row r="5919" spans="1:1" x14ac:dyDescent="0.25">
      <c r="A5919" s="5"/>
    </row>
    <row r="5920" spans="1:1" x14ac:dyDescent="0.25">
      <c r="A5920" s="5"/>
    </row>
    <row r="5921" spans="1:1" x14ac:dyDescent="0.25">
      <c r="A5921" s="5"/>
    </row>
    <row r="5922" spans="1:1" x14ac:dyDescent="0.25">
      <c r="A5922" s="5"/>
    </row>
    <row r="5923" spans="1:1" x14ac:dyDescent="0.25">
      <c r="A5923" s="5"/>
    </row>
    <row r="5924" spans="1:1" x14ac:dyDescent="0.25">
      <c r="A5924" s="5"/>
    </row>
    <row r="5925" spans="1:1" x14ac:dyDescent="0.25">
      <c r="A5925" s="5"/>
    </row>
    <row r="5926" spans="1:1" x14ac:dyDescent="0.25">
      <c r="A5926" s="5"/>
    </row>
    <row r="5927" spans="1:1" x14ac:dyDescent="0.25">
      <c r="A5927" s="5"/>
    </row>
    <row r="5928" spans="1:1" x14ac:dyDescent="0.25">
      <c r="A5928" s="5"/>
    </row>
    <row r="5929" spans="1:1" x14ac:dyDescent="0.25">
      <c r="A5929" s="5"/>
    </row>
    <row r="5930" spans="1:1" x14ac:dyDescent="0.25">
      <c r="A5930" s="5"/>
    </row>
    <row r="5931" spans="1:1" x14ac:dyDescent="0.25">
      <c r="A5931" s="5"/>
    </row>
    <row r="5932" spans="1:1" x14ac:dyDescent="0.25">
      <c r="A5932" s="5"/>
    </row>
    <row r="5933" spans="1:1" x14ac:dyDescent="0.25">
      <c r="A5933" s="5"/>
    </row>
    <row r="5934" spans="1:1" x14ac:dyDescent="0.25">
      <c r="A5934" s="5"/>
    </row>
    <row r="5935" spans="1:1" x14ac:dyDescent="0.25">
      <c r="A5935" s="5"/>
    </row>
    <row r="5936" spans="1:1" x14ac:dyDescent="0.25">
      <c r="A5936" s="5"/>
    </row>
    <row r="5937" spans="1:1" x14ac:dyDescent="0.25">
      <c r="A5937" s="5"/>
    </row>
    <row r="5938" spans="1:1" x14ac:dyDescent="0.25">
      <c r="A5938" s="5"/>
    </row>
    <row r="5939" spans="1:1" x14ac:dyDescent="0.25">
      <c r="A5939" s="5"/>
    </row>
    <row r="5940" spans="1:1" x14ac:dyDescent="0.25">
      <c r="A5940" s="5"/>
    </row>
    <row r="5941" spans="1:1" x14ac:dyDescent="0.25">
      <c r="A5941" s="5"/>
    </row>
    <row r="5942" spans="1:1" x14ac:dyDescent="0.25">
      <c r="A5942" s="5"/>
    </row>
    <row r="5943" spans="1:1" x14ac:dyDescent="0.25">
      <c r="A5943" s="5"/>
    </row>
    <row r="5944" spans="1:1" x14ac:dyDescent="0.25">
      <c r="A5944" s="5"/>
    </row>
    <row r="5945" spans="1:1" x14ac:dyDescent="0.25">
      <c r="A5945" s="5"/>
    </row>
    <row r="5946" spans="1:1" x14ac:dyDescent="0.25">
      <c r="A5946" s="5"/>
    </row>
    <row r="5947" spans="1:1" x14ac:dyDescent="0.25">
      <c r="A5947" s="5"/>
    </row>
    <row r="5948" spans="1:1" x14ac:dyDescent="0.25">
      <c r="A5948" s="5"/>
    </row>
    <row r="5949" spans="1:1" x14ac:dyDescent="0.25">
      <c r="A5949" s="5"/>
    </row>
    <row r="5950" spans="1:1" x14ac:dyDescent="0.25">
      <c r="A5950" s="5"/>
    </row>
    <row r="5951" spans="1:1" x14ac:dyDescent="0.25">
      <c r="A5951" s="5"/>
    </row>
    <row r="5952" spans="1:1" x14ac:dyDescent="0.25">
      <c r="A5952" s="5"/>
    </row>
    <row r="5953" spans="1:1" x14ac:dyDescent="0.25">
      <c r="A5953" s="5"/>
    </row>
    <row r="5954" spans="1:1" x14ac:dyDescent="0.25">
      <c r="A5954" s="5"/>
    </row>
    <row r="5955" spans="1:1" x14ac:dyDescent="0.25">
      <c r="A5955" s="5"/>
    </row>
    <row r="5956" spans="1:1" x14ac:dyDescent="0.25">
      <c r="A5956" s="5"/>
    </row>
    <row r="5957" spans="1:1" x14ac:dyDescent="0.25">
      <c r="A5957" s="5"/>
    </row>
    <row r="5958" spans="1:1" x14ac:dyDescent="0.25">
      <c r="A5958" s="5"/>
    </row>
    <row r="5959" spans="1:1" x14ac:dyDescent="0.25">
      <c r="A5959" s="5"/>
    </row>
    <row r="5960" spans="1:1" x14ac:dyDescent="0.25">
      <c r="A5960" s="5"/>
    </row>
    <row r="5961" spans="1:1" x14ac:dyDescent="0.25">
      <c r="A5961" s="5"/>
    </row>
    <row r="5962" spans="1:1" x14ac:dyDescent="0.25">
      <c r="A5962" s="5"/>
    </row>
    <row r="5963" spans="1:1" x14ac:dyDescent="0.25">
      <c r="A5963" s="5"/>
    </row>
    <row r="5964" spans="1:1" x14ac:dyDescent="0.25">
      <c r="A5964" s="5"/>
    </row>
    <row r="5965" spans="1:1" x14ac:dyDescent="0.25">
      <c r="A5965" s="5"/>
    </row>
    <row r="5966" spans="1:1" x14ac:dyDescent="0.25">
      <c r="A5966" s="5"/>
    </row>
    <row r="5967" spans="1:1" x14ac:dyDescent="0.25">
      <c r="A5967" s="5"/>
    </row>
    <row r="5968" spans="1:1" x14ac:dyDescent="0.25">
      <c r="A5968" s="5"/>
    </row>
    <row r="5969" spans="1:1" x14ac:dyDescent="0.25">
      <c r="A5969" s="5"/>
    </row>
    <row r="5970" spans="1:1" x14ac:dyDescent="0.25">
      <c r="A5970" s="5"/>
    </row>
    <row r="5971" spans="1:1" x14ac:dyDescent="0.25">
      <c r="A5971" s="5"/>
    </row>
    <row r="5972" spans="1:1" x14ac:dyDescent="0.25">
      <c r="A5972" s="5"/>
    </row>
    <row r="5973" spans="1:1" x14ac:dyDescent="0.25">
      <c r="A5973" s="5"/>
    </row>
    <row r="5974" spans="1:1" x14ac:dyDescent="0.25">
      <c r="A5974" s="5"/>
    </row>
    <row r="5975" spans="1:1" x14ac:dyDescent="0.25">
      <c r="A5975" s="5"/>
    </row>
    <row r="5976" spans="1:1" x14ac:dyDescent="0.25">
      <c r="A5976" s="5"/>
    </row>
    <row r="5977" spans="1:1" x14ac:dyDescent="0.25">
      <c r="A5977" s="5"/>
    </row>
    <row r="5978" spans="1:1" x14ac:dyDescent="0.25">
      <c r="A5978" s="5"/>
    </row>
    <row r="5979" spans="1:1" x14ac:dyDescent="0.25">
      <c r="A5979" s="5"/>
    </row>
    <row r="5980" spans="1:1" x14ac:dyDescent="0.25">
      <c r="A5980" s="5"/>
    </row>
    <row r="5981" spans="1:1" x14ac:dyDescent="0.25">
      <c r="A5981" s="5"/>
    </row>
    <row r="5982" spans="1:1" x14ac:dyDescent="0.25">
      <c r="A5982" s="5"/>
    </row>
    <row r="5983" spans="1:1" x14ac:dyDescent="0.25">
      <c r="A5983" s="5"/>
    </row>
    <row r="5984" spans="1:1" x14ac:dyDescent="0.25">
      <c r="A5984" s="5"/>
    </row>
    <row r="5985" spans="1:1" x14ac:dyDescent="0.25">
      <c r="A5985" s="5"/>
    </row>
    <row r="5986" spans="1:1" x14ac:dyDescent="0.25">
      <c r="A5986" s="5"/>
    </row>
    <row r="5987" spans="1:1" x14ac:dyDescent="0.25">
      <c r="A5987" s="5"/>
    </row>
    <row r="5988" spans="1:1" x14ac:dyDescent="0.25">
      <c r="A5988" s="5"/>
    </row>
    <row r="5989" spans="1:1" x14ac:dyDescent="0.25">
      <c r="A5989" s="5"/>
    </row>
    <row r="5990" spans="1:1" x14ac:dyDescent="0.25">
      <c r="A5990" s="5"/>
    </row>
    <row r="5991" spans="1:1" x14ac:dyDescent="0.25">
      <c r="A5991" s="5"/>
    </row>
    <row r="5992" spans="1:1" x14ac:dyDescent="0.25">
      <c r="A5992" s="5"/>
    </row>
    <row r="5993" spans="1:1" x14ac:dyDescent="0.25">
      <c r="A5993" s="5"/>
    </row>
    <row r="5994" spans="1:1" x14ac:dyDescent="0.25">
      <c r="A5994" s="5"/>
    </row>
    <row r="5995" spans="1:1" x14ac:dyDescent="0.25">
      <c r="A5995" s="5"/>
    </row>
    <row r="5996" spans="1:1" x14ac:dyDescent="0.25">
      <c r="A5996" s="5"/>
    </row>
    <row r="5997" spans="1:1" x14ac:dyDescent="0.25">
      <c r="A5997" s="5"/>
    </row>
    <row r="5998" spans="1:1" x14ac:dyDescent="0.25">
      <c r="A5998" s="5"/>
    </row>
    <row r="5999" spans="1:1" x14ac:dyDescent="0.25">
      <c r="A5999" s="5"/>
    </row>
    <row r="6000" spans="1:1" x14ac:dyDescent="0.25">
      <c r="A6000" s="5"/>
    </row>
    <row r="6001" spans="1:1" x14ac:dyDescent="0.25">
      <c r="A6001" s="5"/>
    </row>
    <row r="6002" spans="1:1" x14ac:dyDescent="0.25">
      <c r="A6002" s="5"/>
    </row>
    <row r="6003" spans="1:1" x14ac:dyDescent="0.25">
      <c r="A6003" s="5"/>
    </row>
    <row r="6004" spans="1:1" x14ac:dyDescent="0.25">
      <c r="A6004" s="5"/>
    </row>
    <row r="6005" spans="1:1" x14ac:dyDescent="0.25">
      <c r="A6005" s="5"/>
    </row>
    <row r="6006" spans="1:1" x14ac:dyDescent="0.25">
      <c r="A6006" s="5"/>
    </row>
    <row r="6007" spans="1:1" x14ac:dyDescent="0.25">
      <c r="A6007" s="5"/>
    </row>
    <row r="6008" spans="1:1" x14ac:dyDescent="0.25">
      <c r="A6008" s="5"/>
    </row>
    <row r="6009" spans="1:1" x14ac:dyDescent="0.25">
      <c r="A6009" s="5"/>
    </row>
    <row r="6010" spans="1:1" x14ac:dyDescent="0.25">
      <c r="A6010" s="5"/>
    </row>
    <row r="6011" spans="1:1" x14ac:dyDescent="0.25">
      <c r="A6011" s="5"/>
    </row>
    <row r="6012" spans="1:1" x14ac:dyDescent="0.25">
      <c r="A6012" s="5"/>
    </row>
    <row r="6013" spans="1:1" x14ac:dyDescent="0.25">
      <c r="A6013" s="5"/>
    </row>
    <row r="6014" spans="1:1" x14ac:dyDescent="0.25">
      <c r="A6014" s="5"/>
    </row>
    <row r="6015" spans="1:1" x14ac:dyDescent="0.25">
      <c r="A6015" s="5"/>
    </row>
    <row r="6016" spans="1:1" x14ac:dyDescent="0.25">
      <c r="A6016" s="5"/>
    </row>
    <row r="6017" spans="1:1" x14ac:dyDescent="0.25">
      <c r="A6017" s="5"/>
    </row>
    <row r="6018" spans="1:1" x14ac:dyDescent="0.25">
      <c r="A6018" s="5"/>
    </row>
    <row r="6019" spans="1:1" x14ac:dyDescent="0.25">
      <c r="A6019" s="5"/>
    </row>
    <row r="6020" spans="1:1" x14ac:dyDescent="0.25">
      <c r="A6020" s="5"/>
    </row>
    <row r="6021" spans="1:1" x14ac:dyDescent="0.25">
      <c r="A6021" s="5"/>
    </row>
    <row r="6022" spans="1:1" x14ac:dyDescent="0.25">
      <c r="A6022" s="5"/>
    </row>
    <row r="6023" spans="1:1" x14ac:dyDescent="0.25">
      <c r="A6023" s="5"/>
    </row>
    <row r="6024" spans="1:1" x14ac:dyDescent="0.25">
      <c r="A6024" s="5"/>
    </row>
    <row r="6025" spans="1:1" x14ac:dyDescent="0.25">
      <c r="A6025" s="5"/>
    </row>
    <row r="6026" spans="1:1" x14ac:dyDescent="0.25">
      <c r="A6026" s="5"/>
    </row>
    <row r="6027" spans="1:1" x14ac:dyDescent="0.25">
      <c r="A6027" s="5"/>
    </row>
    <row r="6028" spans="1:1" x14ac:dyDescent="0.25">
      <c r="A6028" s="5"/>
    </row>
    <row r="6029" spans="1:1" x14ac:dyDescent="0.25">
      <c r="A6029" s="5"/>
    </row>
    <row r="6030" spans="1:1" x14ac:dyDescent="0.25">
      <c r="A6030" s="5"/>
    </row>
    <row r="6031" spans="1:1" x14ac:dyDescent="0.25">
      <c r="A6031" s="5"/>
    </row>
    <row r="6032" spans="1:1" x14ac:dyDescent="0.25">
      <c r="A6032" s="5"/>
    </row>
    <row r="6033" spans="1:1" x14ac:dyDescent="0.25">
      <c r="A6033" s="5"/>
    </row>
    <row r="6034" spans="1:1" x14ac:dyDescent="0.25">
      <c r="A6034" s="5"/>
    </row>
    <row r="6035" spans="1:1" x14ac:dyDescent="0.25">
      <c r="A6035" s="5"/>
    </row>
    <row r="6036" spans="1:1" x14ac:dyDescent="0.25">
      <c r="A6036" s="5"/>
    </row>
    <row r="6037" spans="1:1" x14ac:dyDescent="0.25">
      <c r="A6037" s="5"/>
    </row>
    <row r="6038" spans="1:1" x14ac:dyDescent="0.25">
      <c r="A6038" s="5"/>
    </row>
    <row r="6039" spans="1:1" x14ac:dyDescent="0.25">
      <c r="A6039" s="5"/>
    </row>
    <row r="6040" spans="1:1" x14ac:dyDescent="0.25">
      <c r="A6040" s="5"/>
    </row>
    <row r="6041" spans="1:1" x14ac:dyDescent="0.25">
      <c r="A6041" s="5"/>
    </row>
    <row r="6042" spans="1:1" x14ac:dyDescent="0.25">
      <c r="A6042" s="5"/>
    </row>
    <row r="6043" spans="1:1" x14ac:dyDescent="0.25">
      <c r="A6043" s="5"/>
    </row>
    <row r="6044" spans="1:1" x14ac:dyDescent="0.25">
      <c r="A6044" s="5"/>
    </row>
    <row r="6045" spans="1:1" x14ac:dyDescent="0.25">
      <c r="A6045" s="5"/>
    </row>
    <row r="6046" spans="1:1" x14ac:dyDescent="0.25">
      <c r="A6046" s="5"/>
    </row>
    <row r="6047" spans="1:1" x14ac:dyDescent="0.25">
      <c r="A6047" s="5"/>
    </row>
    <row r="6048" spans="1:1" x14ac:dyDescent="0.25">
      <c r="A6048" s="5"/>
    </row>
    <row r="6049" spans="1:1" x14ac:dyDescent="0.25">
      <c r="A6049" s="5"/>
    </row>
    <row r="6050" spans="1:1" x14ac:dyDescent="0.25">
      <c r="A6050" s="5"/>
    </row>
    <row r="6051" spans="1:1" x14ac:dyDescent="0.25">
      <c r="A6051" s="5"/>
    </row>
    <row r="6052" spans="1:1" x14ac:dyDescent="0.25">
      <c r="A6052" s="5"/>
    </row>
    <row r="6053" spans="1:1" x14ac:dyDescent="0.25">
      <c r="A6053" s="5"/>
    </row>
    <row r="6054" spans="1:1" x14ac:dyDescent="0.25">
      <c r="A6054" s="5"/>
    </row>
    <row r="6055" spans="1:1" x14ac:dyDescent="0.25">
      <c r="A6055" s="5"/>
    </row>
    <row r="6056" spans="1:1" x14ac:dyDescent="0.25">
      <c r="A6056" s="5"/>
    </row>
    <row r="6057" spans="1:1" x14ac:dyDescent="0.25">
      <c r="A6057" s="5"/>
    </row>
    <row r="6058" spans="1:1" x14ac:dyDescent="0.25">
      <c r="A6058" s="5"/>
    </row>
    <row r="6059" spans="1:1" x14ac:dyDescent="0.25">
      <c r="A6059" s="5"/>
    </row>
    <row r="6060" spans="1:1" x14ac:dyDescent="0.25">
      <c r="A6060" s="5"/>
    </row>
    <row r="6061" spans="1:1" x14ac:dyDescent="0.25">
      <c r="A6061" s="5"/>
    </row>
    <row r="6062" spans="1:1" x14ac:dyDescent="0.25">
      <c r="A6062" s="5"/>
    </row>
    <row r="6063" spans="1:1" x14ac:dyDescent="0.25">
      <c r="A6063" s="5"/>
    </row>
    <row r="6064" spans="1:1" x14ac:dyDescent="0.25">
      <c r="A6064" s="5"/>
    </row>
    <row r="6065" spans="1:1" x14ac:dyDescent="0.25">
      <c r="A6065" s="5"/>
    </row>
    <row r="6066" spans="1:1" x14ac:dyDescent="0.25">
      <c r="A6066" s="5"/>
    </row>
    <row r="6067" spans="1:1" x14ac:dyDescent="0.25">
      <c r="A6067" s="5"/>
    </row>
    <row r="6068" spans="1:1" x14ac:dyDescent="0.25">
      <c r="A6068" s="5"/>
    </row>
    <row r="6069" spans="1:1" x14ac:dyDescent="0.25">
      <c r="A6069" s="5"/>
    </row>
    <row r="6070" spans="1:1" x14ac:dyDescent="0.25">
      <c r="A6070" s="5"/>
    </row>
    <row r="6071" spans="1:1" x14ac:dyDescent="0.25">
      <c r="A6071" s="5"/>
    </row>
    <row r="6072" spans="1:1" x14ac:dyDescent="0.25">
      <c r="A6072" s="5"/>
    </row>
    <row r="6073" spans="1:1" x14ac:dyDescent="0.25">
      <c r="A6073" s="5"/>
    </row>
    <row r="6074" spans="1:1" x14ac:dyDescent="0.25">
      <c r="A6074" s="5"/>
    </row>
    <row r="6075" spans="1:1" x14ac:dyDescent="0.25">
      <c r="A6075" s="5"/>
    </row>
    <row r="6076" spans="1:1" x14ac:dyDescent="0.25">
      <c r="A6076" s="5"/>
    </row>
    <row r="6077" spans="1:1" x14ac:dyDescent="0.25">
      <c r="A6077" s="5"/>
    </row>
    <row r="6078" spans="1:1" x14ac:dyDescent="0.25">
      <c r="A6078" s="5"/>
    </row>
    <row r="6079" spans="1:1" x14ac:dyDescent="0.25">
      <c r="A6079" s="5"/>
    </row>
    <row r="6080" spans="1:1" x14ac:dyDescent="0.25">
      <c r="A6080" s="5"/>
    </row>
    <row r="6081" spans="1:1" x14ac:dyDescent="0.25">
      <c r="A6081" s="5"/>
    </row>
    <row r="6082" spans="1:1" x14ac:dyDescent="0.25">
      <c r="A6082" s="5"/>
    </row>
    <row r="6083" spans="1:1" x14ac:dyDescent="0.25">
      <c r="A6083" s="5"/>
    </row>
    <row r="6084" spans="1:1" x14ac:dyDescent="0.25">
      <c r="A6084" s="5"/>
    </row>
    <row r="6085" spans="1:1" x14ac:dyDescent="0.25">
      <c r="A6085" s="5"/>
    </row>
    <row r="6086" spans="1:1" x14ac:dyDescent="0.25">
      <c r="A6086" s="5"/>
    </row>
    <row r="6087" spans="1:1" x14ac:dyDescent="0.25">
      <c r="A6087" s="5"/>
    </row>
    <row r="6088" spans="1:1" x14ac:dyDescent="0.25">
      <c r="A6088" s="5"/>
    </row>
    <row r="6089" spans="1:1" x14ac:dyDescent="0.25">
      <c r="A6089" s="5"/>
    </row>
    <row r="6090" spans="1:1" x14ac:dyDescent="0.25">
      <c r="A6090" s="5"/>
    </row>
    <row r="6091" spans="1:1" x14ac:dyDescent="0.25">
      <c r="A6091" s="5"/>
    </row>
    <row r="6092" spans="1:1" x14ac:dyDescent="0.25">
      <c r="A6092" s="5"/>
    </row>
    <row r="6093" spans="1:1" x14ac:dyDescent="0.25">
      <c r="A6093" s="5"/>
    </row>
    <row r="6094" spans="1:1" x14ac:dyDescent="0.25">
      <c r="A6094" s="5"/>
    </row>
    <row r="6095" spans="1:1" x14ac:dyDescent="0.25">
      <c r="A6095" s="5"/>
    </row>
    <row r="6096" spans="1:1" x14ac:dyDescent="0.25">
      <c r="A6096" s="5"/>
    </row>
    <row r="6097" spans="1:1" x14ac:dyDescent="0.25">
      <c r="A6097" s="5"/>
    </row>
    <row r="6098" spans="1:1" x14ac:dyDescent="0.25">
      <c r="A6098" s="5"/>
    </row>
    <row r="6099" spans="1:1" x14ac:dyDescent="0.25">
      <c r="A6099" s="5"/>
    </row>
    <row r="6100" spans="1:1" x14ac:dyDescent="0.25">
      <c r="A6100" s="5"/>
    </row>
    <row r="6101" spans="1:1" x14ac:dyDescent="0.25">
      <c r="A6101" s="5"/>
    </row>
    <row r="6102" spans="1:1" x14ac:dyDescent="0.25">
      <c r="A6102" s="5"/>
    </row>
    <row r="6103" spans="1:1" x14ac:dyDescent="0.25">
      <c r="A6103" s="5"/>
    </row>
    <row r="6104" spans="1:1" x14ac:dyDescent="0.25">
      <c r="A6104" s="5"/>
    </row>
    <row r="6105" spans="1:1" x14ac:dyDescent="0.25">
      <c r="A6105" s="5"/>
    </row>
    <row r="6106" spans="1:1" x14ac:dyDescent="0.25">
      <c r="A6106" s="5"/>
    </row>
    <row r="6107" spans="1:1" x14ac:dyDescent="0.25">
      <c r="A6107" s="5"/>
    </row>
    <row r="6108" spans="1:1" x14ac:dyDescent="0.25">
      <c r="A6108" s="5"/>
    </row>
    <row r="6109" spans="1:1" x14ac:dyDescent="0.25">
      <c r="A6109" s="5"/>
    </row>
    <row r="6110" spans="1:1" x14ac:dyDescent="0.25">
      <c r="A6110" s="5"/>
    </row>
    <row r="6111" spans="1:1" x14ac:dyDescent="0.25">
      <c r="A6111" s="5"/>
    </row>
    <row r="6112" spans="1:1" x14ac:dyDescent="0.25">
      <c r="A6112" s="5"/>
    </row>
    <row r="6113" spans="1:1" x14ac:dyDescent="0.25">
      <c r="A6113" s="5"/>
    </row>
    <row r="6114" spans="1:1" x14ac:dyDescent="0.25">
      <c r="A6114" s="5"/>
    </row>
    <row r="6115" spans="1:1" x14ac:dyDescent="0.25">
      <c r="A6115" s="5"/>
    </row>
    <row r="6116" spans="1:1" x14ac:dyDescent="0.25">
      <c r="A6116" s="5"/>
    </row>
    <row r="6117" spans="1:1" x14ac:dyDescent="0.25">
      <c r="A6117" s="5"/>
    </row>
    <row r="6118" spans="1:1" x14ac:dyDescent="0.25">
      <c r="A6118" s="5"/>
    </row>
    <row r="6119" spans="1:1" x14ac:dyDescent="0.25">
      <c r="A6119" s="5"/>
    </row>
    <row r="6120" spans="1:1" x14ac:dyDescent="0.25">
      <c r="A6120" s="5"/>
    </row>
    <row r="6121" spans="1:1" x14ac:dyDescent="0.25">
      <c r="A6121" s="5"/>
    </row>
    <row r="6122" spans="1:1" x14ac:dyDescent="0.25">
      <c r="A6122" s="5"/>
    </row>
    <row r="6123" spans="1:1" x14ac:dyDescent="0.25">
      <c r="A6123" s="5"/>
    </row>
    <row r="6124" spans="1:1" x14ac:dyDescent="0.25">
      <c r="A6124" s="5"/>
    </row>
    <row r="6125" spans="1:1" x14ac:dyDescent="0.25">
      <c r="A6125" s="5"/>
    </row>
    <row r="6126" spans="1:1" x14ac:dyDescent="0.25">
      <c r="A6126" s="5"/>
    </row>
    <row r="6127" spans="1:1" x14ac:dyDescent="0.25">
      <c r="A6127" s="5"/>
    </row>
    <row r="6128" spans="1:1" x14ac:dyDescent="0.25">
      <c r="A6128" s="5"/>
    </row>
    <row r="6129" spans="1:1" x14ac:dyDescent="0.25">
      <c r="A6129" s="5"/>
    </row>
    <row r="6130" spans="1:1" x14ac:dyDescent="0.25">
      <c r="A6130" s="5"/>
    </row>
    <row r="6131" spans="1:1" x14ac:dyDescent="0.25">
      <c r="A6131" s="5"/>
    </row>
    <row r="6132" spans="1:1" x14ac:dyDescent="0.25">
      <c r="A6132" s="5"/>
    </row>
    <row r="6133" spans="1:1" x14ac:dyDescent="0.25">
      <c r="A6133" s="5"/>
    </row>
    <row r="6134" spans="1:1" x14ac:dyDescent="0.25">
      <c r="A6134" s="5"/>
    </row>
    <row r="6135" spans="1:1" x14ac:dyDescent="0.25">
      <c r="A6135" s="5"/>
    </row>
    <row r="6136" spans="1:1" x14ac:dyDescent="0.25">
      <c r="A6136" s="5"/>
    </row>
    <row r="6137" spans="1:1" x14ac:dyDescent="0.25">
      <c r="A6137" s="5"/>
    </row>
    <row r="6138" spans="1:1" x14ac:dyDescent="0.25">
      <c r="A6138" s="5"/>
    </row>
    <row r="6139" spans="1:1" x14ac:dyDescent="0.25">
      <c r="A6139" s="5"/>
    </row>
    <row r="6140" spans="1:1" x14ac:dyDescent="0.25">
      <c r="A6140" s="5"/>
    </row>
    <row r="6141" spans="1:1" x14ac:dyDescent="0.25">
      <c r="A6141" s="5"/>
    </row>
    <row r="6142" spans="1:1" x14ac:dyDescent="0.25">
      <c r="A6142" s="5"/>
    </row>
    <row r="6143" spans="1:1" x14ac:dyDescent="0.25">
      <c r="A6143" s="5"/>
    </row>
    <row r="6144" spans="1:1" x14ac:dyDescent="0.25">
      <c r="A6144" s="5"/>
    </row>
    <row r="6145" spans="1:1" x14ac:dyDescent="0.25">
      <c r="A6145" s="5"/>
    </row>
    <row r="6146" spans="1:1" x14ac:dyDescent="0.25">
      <c r="A6146" s="5"/>
    </row>
    <row r="6147" spans="1:1" x14ac:dyDescent="0.25">
      <c r="A6147" s="5"/>
    </row>
    <row r="6148" spans="1:1" x14ac:dyDescent="0.25">
      <c r="A6148" s="5"/>
    </row>
    <row r="6149" spans="1:1" x14ac:dyDescent="0.25">
      <c r="A6149" s="5"/>
    </row>
    <row r="6150" spans="1:1" x14ac:dyDescent="0.25">
      <c r="A6150" s="5"/>
    </row>
    <row r="6151" spans="1:1" x14ac:dyDescent="0.25">
      <c r="A6151" s="5"/>
    </row>
    <row r="6152" spans="1:1" x14ac:dyDescent="0.25">
      <c r="A6152" s="5"/>
    </row>
    <row r="6153" spans="1:1" x14ac:dyDescent="0.25">
      <c r="A6153" s="5"/>
    </row>
    <row r="6154" spans="1:1" x14ac:dyDescent="0.25">
      <c r="A6154" s="5"/>
    </row>
    <row r="6155" spans="1:1" x14ac:dyDescent="0.25">
      <c r="A6155" s="5"/>
    </row>
    <row r="6156" spans="1:1" x14ac:dyDescent="0.25">
      <c r="A6156" s="5"/>
    </row>
    <row r="6157" spans="1:1" x14ac:dyDescent="0.25">
      <c r="A6157" s="5"/>
    </row>
    <row r="6158" spans="1:1" x14ac:dyDescent="0.25">
      <c r="A6158" s="5"/>
    </row>
    <row r="6159" spans="1:1" x14ac:dyDescent="0.25">
      <c r="A6159" s="5"/>
    </row>
    <row r="6160" spans="1:1" x14ac:dyDescent="0.25">
      <c r="A6160" s="5"/>
    </row>
    <row r="6161" spans="1:1" x14ac:dyDescent="0.25">
      <c r="A6161" s="5"/>
    </row>
    <row r="6162" spans="1:1" x14ac:dyDescent="0.25">
      <c r="A6162" s="5"/>
    </row>
    <row r="6163" spans="1:1" x14ac:dyDescent="0.25">
      <c r="A6163" s="5"/>
    </row>
    <row r="6164" spans="1:1" x14ac:dyDescent="0.25">
      <c r="A6164" s="5"/>
    </row>
    <row r="6165" spans="1:1" x14ac:dyDescent="0.25">
      <c r="A6165" s="5"/>
    </row>
    <row r="6166" spans="1:1" x14ac:dyDescent="0.25">
      <c r="A6166" s="5"/>
    </row>
    <row r="6167" spans="1:1" x14ac:dyDescent="0.25">
      <c r="A6167" s="5"/>
    </row>
    <row r="6168" spans="1:1" x14ac:dyDescent="0.25">
      <c r="A6168" s="5"/>
    </row>
    <row r="6169" spans="1:1" x14ac:dyDescent="0.25">
      <c r="A6169" s="5"/>
    </row>
    <row r="6170" spans="1:1" x14ac:dyDescent="0.25">
      <c r="A6170" s="5"/>
    </row>
    <row r="6171" spans="1:1" x14ac:dyDescent="0.25">
      <c r="A6171" s="5"/>
    </row>
    <row r="6172" spans="1:1" x14ac:dyDescent="0.25">
      <c r="A6172" s="5"/>
    </row>
    <row r="6173" spans="1:1" x14ac:dyDescent="0.25">
      <c r="A6173" s="5"/>
    </row>
    <row r="6174" spans="1:1" x14ac:dyDescent="0.25">
      <c r="A6174" s="5"/>
    </row>
    <row r="6175" spans="1:1" x14ac:dyDescent="0.25">
      <c r="A6175" s="5"/>
    </row>
    <row r="6176" spans="1:1" x14ac:dyDescent="0.25">
      <c r="A6176" s="5"/>
    </row>
    <row r="6177" spans="1:1" x14ac:dyDescent="0.25">
      <c r="A6177" s="5"/>
    </row>
    <row r="6178" spans="1:1" x14ac:dyDescent="0.25">
      <c r="A6178" s="5"/>
    </row>
    <row r="6179" spans="1:1" x14ac:dyDescent="0.25">
      <c r="A6179" s="5"/>
    </row>
    <row r="6180" spans="1:1" x14ac:dyDescent="0.25">
      <c r="A6180" s="5"/>
    </row>
    <row r="6181" spans="1:1" x14ac:dyDescent="0.25">
      <c r="A6181" s="5"/>
    </row>
    <row r="6182" spans="1:1" x14ac:dyDescent="0.25">
      <c r="A6182" s="5"/>
    </row>
    <row r="6183" spans="1:1" x14ac:dyDescent="0.25">
      <c r="A6183" s="5"/>
    </row>
    <row r="6184" spans="1:1" x14ac:dyDescent="0.25">
      <c r="A6184" s="5"/>
    </row>
    <row r="6185" spans="1:1" x14ac:dyDescent="0.25">
      <c r="A6185" s="5"/>
    </row>
    <row r="6186" spans="1:1" x14ac:dyDescent="0.25">
      <c r="A6186" s="5"/>
    </row>
    <row r="6187" spans="1:1" x14ac:dyDescent="0.25">
      <c r="A6187" s="5"/>
    </row>
    <row r="6188" spans="1:1" x14ac:dyDescent="0.25">
      <c r="A6188" s="5"/>
    </row>
    <row r="6189" spans="1:1" x14ac:dyDescent="0.25">
      <c r="A6189" s="5"/>
    </row>
    <row r="6190" spans="1:1" x14ac:dyDescent="0.25">
      <c r="A6190" s="5"/>
    </row>
    <row r="6191" spans="1:1" x14ac:dyDescent="0.25">
      <c r="A6191" s="5"/>
    </row>
    <row r="6192" spans="1:1" x14ac:dyDescent="0.25">
      <c r="A6192" s="5"/>
    </row>
    <row r="6193" spans="1:1" x14ac:dyDescent="0.25">
      <c r="A6193" s="5"/>
    </row>
    <row r="6194" spans="1:1" x14ac:dyDescent="0.25">
      <c r="A6194" s="5"/>
    </row>
    <row r="6195" spans="1:1" x14ac:dyDescent="0.25">
      <c r="A6195" s="5"/>
    </row>
    <row r="6196" spans="1:1" x14ac:dyDescent="0.25">
      <c r="A6196" s="5"/>
    </row>
    <row r="6197" spans="1:1" x14ac:dyDescent="0.25">
      <c r="A6197" s="5"/>
    </row>
    <row r="6198" spans="1:1" x14ac:dyDescent="0.25">
      <c r="A6198" s="5"/>
    </row>
    <row r="6199" spans="1:1" x14ac:dyDescent="0.25">
      <c r="A6199" s="5"/>
    </row>
    <row r="6200" spans="1:1" x14ac:dyDescent="0.25">
      <c r="A6200" s="5"/>
    </row>
    <row r="6201" spans="1:1" x14ac:dyDescent="0.25">
      <c r="A6201" s="5"/>
    </row>
    <row r="6202" spans="1:1" x14ac:dyDescent="0.25">
      <c r="A6202" s="5"/>
    </row>
    <row r="6203" spans="1:1" x14ac:dyDescent="0.25">
      <c r="A6203" s="5"/>
    </row>
    <row r="6204" spans="1:1" x14ac:dyDescent="0.25">
      <c r="A6204" s="5"/>
    </row>
    <row r="6205" spans="1:1" x14ac:dyDescent="0.25">
      <c r="A6205" s="5"/>
    </row>
    <row r="6206" spans="1:1" x14ac:dyDescent="0.25">
      <c r="A6206" s="5"/>
    </row>
    <row r="6207" spans="1:1" x14ac:dyDescent="0.25">
      <c r="A6207" s="5"/>
    </row>
    <row r="6208" spans="1:1" x14ac:dyDescent="0.25">
      <c r="A6208" s="5"/>
    </row>
    <row r="6209" spans="1:1" x14ac:dyDescent="0.25">
      <c r="A6209" s="5"/>
    </row>
    <row r="6210" spans="1:1" x14ac:dyDescent="0.25">
      <c r="A6210" s="5"/>
    </row>
    <row r="6211" spans="1:1" x14ac:dyDescent="0.25">
      <c r="A6211" s="5"/>
    </row>
    <row r="6212" spans="1:1" x14ac:dyDescent="0.25">
      <c r="A6212" s="5"/>
    </row>
    <row r="6213" spans="1:1" x14ac:dyDescent="0.25">
      <c r="A6213" s="5"/>
    </row>
    <row r="6214" spans="1:1" x14ac:dyDescent="0.25">
      <c r="A6214" s="5"/>
    </row>
    <row r="6215" spans="1:1" x14ac:dyDescent="0.25">
      <c r="A6215" s="5"/>
    </row>
    <row r="6216" spans="1:1" x14ac:dyDescent="0.25">
      <c r="A6216" s="5"/>
    </row>
    <row r="6217" spans="1:1" x14ac:dyDescent="0.25">
      <c r="A6217" s="5"/>
    </row>
    <row r="6218" spans="1:1" x14ac:dyDescent="0.25">
      <c r="A6218" s="5"/>
    </row>
    <row r="6219" spans="1:1" x14ac:dyDescent="0.25">
      <c r="A6219" s="5"/>
    </row>
    <row r="6220" spans="1:1" x14ac:dyDescent="0.25">
      <c r="A6220" s="5"/>
    </row>
    <row r="6221" spans="1:1" x14ac:dyDescent="0.25">
      <c r="A6221" s="5"/>
    </row>
    <row r="6222" spans="1:1" x14ac:dyDescent="0.25">
      <c r="A6222" s="5"/>
    </row>
    <row r="6223" spans="1:1" x14ac:dyDescent="0.25">
      <c r="A6223" s="5"/>
    </row>
    <row r="6224" spans="1:1" x14ac:dyDescent="0.25">
      <c r="A6224" s="5"/>
    </row>
    <row r="6225" spans="1:1" x14ac:dyDescent="0.25">
      <c r="A6225" s="5"/>
    </row>
    <row r="6226" spans="1:1" x14ac:dyDescent="0.25">
      <c r="A6226" s="5"/>
    </row>
    <row r="6227" spans="1:1" x14ac:dyDescent="0.25">
      <c r="A6227" s="5"/>
    </row>
    <row r="6228" spans="1:1" x14ac:dyDescent="0.25">
      <c r="A6228" s="5"/>
    </row>
    <row r="6229" spans="1:1" x14ac:dyDescent="0.25">
      <c r="A6229" s="5"/>
    </row>
    <row r="6230" spans="1:1" x14ac:dyDescent="0.25">
      <c r="A6230" s="5"/>
    </row>
    <row r="6231" spans="1:1" x14ac:dyDescent="0.25">
      <c r="A6231" s="5"/>
    </row>
    <row r="6232" spans="1:1" x14ac:dyDescent="0.25">
      <c r="A6232" s="5"/>
    </row>
    <row r="6233" spans="1:1" x14ac:dyDescent="0.25">
      <c r="A6233" s="5"/>
    </row>
    <row r="6234" spans="1:1" x14ac:dyDescent="0.25">
      <c r="A6234" s="5"/>
    </row>
    <row r="6235" spans="1:1" x14ac:dyDescent="0.25">
      <c r="A6235" s="5"/>
    </row>
    <row r="6236" spans="1:1" x14ac:dyDescent="0.25">
      <c r="A6236" s="5"/>
    </row>
    <row r="6237" spans="1:1" x14ac:dyDescent="0.25">
      <c r="A6237" s="5"/>
    </row>
    <row r="6238" spans="1:1" x14ac:dyDescent="0.25">
      <c r="A6238" s="5"/>
    </row>
    <row r="6239" spans="1:1" x14ac:dyDescent="0.25">
      <c r="A6239" s="5"/>
    </row>
    <row r="6240" spans="1:1" x14ac:dyDescent="0.25">
      <c r="A6240" s="5"/>
    </row>
    <row r="6241" spans="1:1" x14ac:dyDescent="0.25">
      <c r="A6241" s="5"/>
    </row>
    <row r="6242" spans="1:1" x14ac:dyDescent="0.25">
      <c r="A6242" s="5"/>
    </row>
    <row r="6243" spans="1:1" x14ac:dyDescent="0.25">
      <c r="A6243" s="5"/>
    </row>
    <row r="6244" spans="1:1" x14ac:dyDescent="0.25">
      <c r="A6244" s="5"/>
    </row>
    <row r="6245" spans="1:1" x14ac:dyDescent="0.25">
      <c r="A6245" s="5"/>
    </row>
    <row r="6246" spans="1:1" x14ac:dyDescent="0.25">
      <c r="A6246" s="5"/>
    </row>
    <row r="6247" spans="1:1" x14ac:dyDescent="0.25">
      <c r="A6247" s="5"/>
    </row>
    <row r="6248" spans="1:1" x14ac:dyDescent="0.25">
      <c r="A6248" s="5"/>
    </row>
    <row r="6249" spans="1:1" x14ac:dyDescent="0.25">
      <c r="A6249" s="5"/>
    </row>
    <row r="6250" spans="1:1" x14ac:dyDescent="0.25">
      <c r="A6250" s="5"/>
    </row>
    <row r="6251" spans="1:1" x14ac:dyDescent="0.25">
      <c r="A6251" s="5"/>
    </row>
    <row r="6252" spans="1:1" x14ac:dyDescent="0.25">
      <c r="A6252" s="5"/>
    </row>
    <row r="6253" spans="1:1" x14ac:dyDescent="0.25">
      <c r="A6253" s="5"/>
    </row>
    <row r="6254" spans="1:1" x14ac:dyDescent="0.25">
      <c r="A6254" s="5"/>
    </row>
    <row r="6255" spans="1:1" x14ac:dyDescent="0.25">
      <c r="A6255" s="5"/>
    </row>
    <row r="6256" spans="1:1" x14ac:dyDescent="0.25">
      <c r="A6256" s="5"/>
    </row>
    <row r="6257" spans="1:1" x14ac:dyDescent="0.25">
      <c r="A6257" s="5"/>
    </row>
    <row r="6258" spans="1:1" x14ac:dyDescent="0.25">
      <c r="A6258" s="5"/>
    </row>
    <row r="6259" spans="1:1" x14ac:dyDescent="0.25">
      <c r="A6259" s="5"/>
    </row>
    <row r="6260" spans="1:1" x14ac:dyDescent="0.25">
      <c r="A6260" s="5"/>
    </row>
    <row r="6261" spans="1:1" x14ac:dyDescent="0.25">
      <c r="A6261" s="5"/>
    </row>
    <row r="6262" spans="1:1" x14ac:dyDescent="0.25">
      <c r="A6262" s="5"/>
    </row>
    <row r="6263" spans="1:1" x14ac:dyDescent="0.25">
      <c r="A6263" s="5"/>
    </row>
    <row r="6264" spans="1:1" x14ac:dyDescent="0.25">
      <c r="A6264" s="5"/>
    </row>
    <row r="6265" spans="1:1" x14ac:dyDescent="0.25">
      <c r="A6265" s="5"/>
    </row>
    <row r="6266" spans="1:1" x14ac:dyDescent="0.25">
      <c r="A6266" s="5"/>
    </row>
    <row r="6267" spans="1:1" x14ac:dyDescent="0.25">
      <c r="A6267" s="5"/>
    </row>
    <row r="6268" spans="1:1" x14ac:dyDescent="0.25">
      <c r="A6268" s="5"/>
    </row>
    <row r="6269" spans="1:1" x14ac:dyDescent="0.25">
      <c r="A6269" s="5"/>
    </row>
    <row r="6270" spans="1:1" x14ac:dyDescent="0.25">
      <c r="A6270" s="5"/>
    </row>
    <row r="6271" spans="1:1" x14ac:dyDescent="0.25">
      <c r="A6271" s="5"/>
    </row>
    <row r="6272" spans="1:1" x14ac:dyDescent="0.25">
      <c r="A6272" s="5"/>
    </row>
    <row r="6273" spans="1:1" x14ac:dyDescent="0.25">
      <c r="A6273" s="5"/>
    </row>
    <row r="6274" spans="1:1" x14ac:dyDescent="0.25">
      <c r="A6274" s="5"/>
    </row>
    <row r="6275" spans="1:1" x14ac:dyDescent="0.25">
      <c r="A6275" s="5"/>
    </row>
    <row r="6276" spans="1:1" x14ac:dyDescent="0.25">
      <c r="A6276" s="5"/>
    </row>
    <row r="6277" spans="1:1" x14ac:dyDescent="0.25">
      <c r="A6277" s="5"/>
    </row>
    <row r="6278" spans="1:1" x14ac:dyDescent="0.25">
      <c r="A6278" s="5"/>
    </row>
    <row r="6279" spans="1:1" x14ac:dyDescent="0.25">
      <c r="A6279" s="5"/>
    </row>
    <row r="6280" spans="1:1" x14ac:dyDescent="0.25">
      <c r="A6280" s="5"/>
    </row>
    <row r="6281" spans="1:1" x14ac:dyDescent="0.25">
      <c r="A6281" s="5"/>
    </row>
    <row r="6282" spans="1:1" x14ac:dyDescent="0.25">
      <c r="A6282" s="5"/>
    </row>
    <row r="6283" spans="1:1" x14ac:dyDescent="0.25">
      <c r="A6283" s="5"/>
    </row>
    <row r="6284" spans="1:1" x14ac:dyDescent="0.25">
      <c r="A6284" s="5"/>
    </row>
    <row r="6285" spans="1:1" x14ac:dyDescent="0.25">
      <c r="A6285" s="5"/>
    </row>
    <row r="6286" spans="1:1" x14ac:dyDescent="0.25">
      <c r="A6286" s="5"/>
    </row>
    <row r="6287" spans="1:1" x14ac:dyDescent="0.25">
      <c r="A6287" s="5"/>
    </row>
    <row r="6288" spans="1:1" x14ac:dyDescent="0.25">
      <c r="A6288" s="5"/>
    </row>
    <row r="6289" spans="1:1" x14ac:dyDescent="0.25">
      <c r="A6289" s="5"/>
    </row>
    <row r="6290" spans="1:1" x14ac:dyDescent="0.25">
      <c r="A6290" s="5"/>
    </row>
    <row r="6291" spans="1:1" x14ac:dyDescent="0.25">
      <c r="A6291" s="5"/>
    </row>
    <row r="6292" spans="1:1" x14ac:dyDescent="0.25">
      <c r="A6292" s="5"/>
    </row>
    <row r="6293" spans="1:1" x14ac:dyDescent="0.25">
      <c r="A6293" s="5"/>
    </row>
    <row r="6294" spans="1:1" x14ac:dyDescent="0.25">
      <c r="A6294" s="5"/>
    </row>
    <row r="6295" spans="1:1" x14ac:dyDescent="0.25">
      <c r="A6295" s="5"/>
    </row>
    <row r="6296" spans="1:1" x14ac:dyDescent="0.25">
      <c r="A6296" s="5"/>
    </row>
    <row r="6297" spans="1:1" x14ac:dyDescent="0.25">
      <c r="A6297" s="5"/>
    </row>
    <row r="6298" spans="1:1" x14ac:dyDescent="0.25">
      <c r="A6298" s="5"/>
    </row>
    <row r="6299" spans="1:1" x14ac:dyDescent="0.25">
      <c r="A6299" s="5"/>
    </row>
    <row r="6300" spans="1:1" x14ac:dyDescent="0.25">
      <c r="A6300" s="5"/>
    </row>
    <row r="6301" spans="1:1" x14ac:dyDescent="0.25">
      <c r="A6301" s="5"/>
    </row>
    <row r="6302" spans="1:1" x14ac:dyDescent="0.25">
      <c r="A6302" s="5"/>
    </row>
    <row r="6303" spans="1:1" x14ac:dyDescent="0.25">
      <c r="A6303" s="5"/>
    </row>
    <row r="6304" spans="1:1" x14ac:dyDescent="0.25">
      <c r="A6304" s="5"/>
    </row>
    <row r="6305" spans="1:1" x14ac:dyDescent="0.25">
      <c r="A6305" s="5"/>
    </row>
    <row r="6306" spans="1:1" x14ac:dyDescent="0.25">
      <c r="A6306" s="5"/>
    </row>
    <row r="6307" spans="1:1" x14ac:dyDescent="0.25">
      <c r="A6307" s="5"/>
    </row>
    <row r="6308" spans="1:1" x14ac:dyDescent="0.25">
      <c r="A6308" s="5"/>
    </row>
    <row r="6309" spans="1:1" x14ac:dyDescent="0.25">
      <c r="A6309" s="5"/>
    </row>
    <row r="6310" spans="1:1" x14ac:dyDescent="0.25">
      <c r="A6310" s="5"/>
    </row>
    <row r="6311" spans="1:1" x14ac:dyDescent="0.25">
      <c r="A6311" s="5"/>
    </row>
    <row r="6312" spans="1:1" x14ac:dyDescent="0.25">
      <c r="A6312" s="5"/>
    </row>
    <row r="6313" spans="1:1" x14ac:dyDescent="0.25">
      <c r="A6313" s="5"/>
    </row>
    <row r="6314" spans="1:1" x14ac:dyDescent="0.25">
      <c r="A6314" s="5"/>
    </row>
    <row r="6315" spans="1:1" x14ac:dyDescent="0.25">
      <c r="A6315" s="5"/>
    </row>
    <row r="6316" spans="1:1" x14ac:dyDescent="0.25">
      <c r="A6316" s="5"/>
    </row>
    <row r="6317" spans="1:1" x14ac:dyDescent="0.25">
      <c r="A6317" s="5"/>
    </row>
    <row r="6318" spans="1:1" x14ac:dyDescent="0.25">
      <c r="A6318" s="5"/>
    </row>
    <row r="6319" spans="1:1" x14ac:dyDescent="0.25">
      <c r="A6319" s="5"/>
    </row>
    <row r="6320" spans="1:1" x14ac:dyDescent="0.25">
      <c r="A6320" s="5"/>
    </row>
    <row r="6321" spans="1:1" x14ac:dyDescent="0.25">
      <c r="A6321" s="5"/>
    </row>
    <row r="6322" spans="1:1" x14ac:dyDescent="0.25">
      <c r="A6322" s="5"/>
    </row>
    <row r="6323" spans="1:1" x14ac:dyDescent="0.25">
      <c r="A6323" s="5"/>
    </row>
    <row r="6324" spans="1:1" x14ac:dyDescent="0.25">
      <c r="A6324" s="5"/>
    </row>
    <row r="6325" spans="1:1" x14ac:dyDescent="0.25">
      <c r="A6325" s="5"/>
    </row>
    <row r="6326" spans="1:1" x14ac:dyDescent="0.25">
      <c r="A6326" s="5"/>
    </row>
    <row r="6327" spans="1:1" x14ac:dyDescent="0.25">
      <c r="A6327" s="5"/>
    </row>
    <row r="6328" spans="1:1" x14ac:dyDescent="0.25">
      <c r="A6328" s="5"/>
    </row>
    <row r="6329" spans="1:1" x14ac:dyDescent="0.25">
      <c r="A6329" s="5"/>
    </row>
    <row r="6330" spans="1:1" x14ac:dyDescent="0.25">
      <c r="A6330" s="5"/>
    </row>
    <row r="6331" spans="1:1" x14ac:dyDescent="0.25">
      <c r="A6331" s="5"/>
    </row>
    <row r="6332" spans="1:1" x14ac:dyDescent="0.25">
      <c r="A6332" s="5"/>
    </row>
    <row r="6333" spans="1:1" x14ac:dyDescent="0.25">
      <c r="A6333" s="5"/>
    </row>
    <row r="6334" spans="1:1" x14ac:dyDescent="0.25">
      <c r="A6334" s="5"/>
    </row>
    <row r="6335" spans="1:1" x14ac:dyDescent="0.25">
      <c r="A6335" s="5"/>
    </row>
    <row r="6336" spans="1:1" x14ac:dyDescent="0.25">
      <c r="A6336" s="5"/>
    </row>
    <row r="6337" spans="1:1" x14ac:dyDescent="0.25">
      <c r="A6337" s="5"/>
    </row>
    <row r="6338" spans="1:1" x14ac:dyDescent="0.25">
      <c r="A6338" s="5"/>
    </row>
    <row r="6339" spans="1:1" x14ac:dyDescent="0.25">
      <c r="A6339" s="5"/>
    </row>
    <row r="6340" spans="1:1" x14ac:dyDescent="0.25">
      <c r="A6340" s="5"/>
    </row>
    <row r="6341" spans="1:1" x14ac:dyDescent="0.25">
      <c r="A6341" s="5"/>
    </row>
    <row r="6342" spans="1:1" x14ac:dyDescent="0.25">
      <c r="A6342" s="5"/>
    </row>
    <row r="6343" spans="1:1" x14ac:dyDescent="0.25">
      <c r="A6343" s="5"/>
    </row>
    <row r="6344" spans="1:1" x14ac:dyDescent="0.25">
      <c r="A6344" s="5"/>
    </row>
    <row r="6345" spans="1:1" x14ac:dyDescent="0.25">
      <c r="A6345" s="5"/>
    </row>
    <row r="6346" spans="1:1" x14ac:dyDescent="0.25">
      <c r="A6346" s="5"/>
    </row>
    <row r="6347" spans="1:1" x14ac:dyDescent="0.25">
      <c r="A6347" s="5"/>
    </row>
    <row r="6348" spans="1:1" x14ac:dyDescent="0.25">
      <c r="A6348" s="5"/>
    </row>
    <row r="6349" spans="1:1" x14ac:dyDescent="0.25">
      <c r="A6349" s="5"/>
    </row>
    <row r="6350" spans="1:1" x14ac:dyDescent="0.25">
      <c r="A6350" s="5"/>
    </row>
    <row r="6351" spans="1:1" x14ac:dyDescent="0.25">
      <c r="A6351" s="5"/>
    </row>
    <row r="6352" spans="1:1" x14ac:dyDescent="0.25">
      <c r="A6352" s="5"/>
    </row>
    <row r="6353" spans="1:1" x14ac:dyDescent="0.25">
      <c r="A6353" s="5"/>
    </row>
    <row r="6354" spans="1:1" x14ac:dyDescent="0.25">
      <c r="A6354" s="5"/>
    </row>
    <row r="6355" spans="1:1" x14ac:dyDescent="0.25">
      <c r="A6355" s="5"/>
    </row>
    <row r="6356" spans="1:1" x14ac:dyDescent="0.25">
      <c r="A6356" s="5"/>
    </row>
    <row r="6357" spans="1:1" x14ac:dyDescent="0.25">
      <c r="A6357" s="5"/>
    </row>
    <row r="6358" spans="1:1" x14ac:dyDescent="0.25">
      <c r="A6358" s="5"/>
    </row>
    <row r="6359" spans="1:1" x14ac:dyDescent="0.25">
      <c r="A6359" s="5"/>
    </row>
    <row r="6360" spans="1:1" x14ac:dyDescent="0.25">
      <c r="A6360" s="5"/>
    </row>
    <row r="6361" spans="1:1" x14ac:dyDescent="0.25">
      <c r="A6361" s="5"/>
    </row>
    <row r="6362" spans="1:1" x14ac:dyDescent="0.25">
      <c r="A6362" s="5"/>
    </row>
    <row r="6363" spans="1:1" x14ac:dyDescent="0.25">
      <c r="A6363" s="5"/>
    </row>
    <row r="6364" spans="1:1" x14ac:dyDescent="0.25">
      <c r="A6364" s="5"/>
    </row>
    <row r="6365" spans="1:1" x14ac:dyDescent="0.25">
      <c r="A6365" s="5"/>
    </row>
    <row r="6366" spans="1:1" x14ac:dyDescent="0.25">
      <c r="A6366" s="5"/>
    </row>
    <row r="6367" spans="1:1" x14ac:dyDescent="0.25">
      <c r="A6367" s="5"/>
    </row>
    <row r="6368" spans="1:1" x14ac:dyDescent="0.25">
      <c r="A6368" s="5"/>
    </row>
    <row r="6369" spans="1:1" x14ac:dyDescent="0.25">
      <c r="A6369" s="5"/>
    </row>
    <row r="6370" spans="1:1" x14ac:dyDescent="0.25">
      <c r="A6370" s="5"/>
    </row>
    <row r="6371" spans="1:1" x14ac:dyDescent="0.25">
      <c r="A6371" s="5"/>
    </row>
    <row r="6372" spans="1:1" x14ac:dyDescent="0.25">
      <c r="A6372" s="5"/>
    </row>
    <row r="6373" spans="1:1" x14ac:dyDescent="0.25">
      <c r="A6373" s="5"/>
    </row>
    <row r="6374" spans="1:1" x14ac:dyDescent="0.25">
      <c r="A6374" s="5"/>
    </row>
    <row r="6375" spans="1:1" x14ac:dyDescent="0.25">
      <c r="A6375" s="5"/>
    </row>
    <row r="6376" spans="1:1" x14ac:dyDescent="0.25">
      <c r="A6376" s="5"/>
    </row>
    <row r="6377" spans="1:1" x14ac:dyDescent="0.25">
      <c r="A6377" s="5"/>
    </row>
    <row r="6378" spans="1:1" x14ac:dyDescent="0.25">
      <c r="A6378" s="5"/>
    </row>
    <row r="6379" spans="1:1" x14ac:dyDescent="0.25">
      <c r="A6379" s="5"/>
    </row>
    <row r="6380" spans="1:1" x14ac:dyDescent="0.25">
      <c r="A6380" s="5"/>
    </row>
    <row r="6381" spans="1:1" x14ac:dyDescent="0.25">
      <c r="A6381" s="5"/>
    </row>
    <row r="6382" spans="1:1" x14ac:dyDescent="0.25">
      <c r="A6382" s="5"/>
    </row>
    <row r="6383" spans="1:1" x14ac:dyDescent="0.25">
      <c r="A6383" s="5"/>
    </row>
    <row r="6384" spans="1:1" x14ac:dyDescent="0.25">
      <c r="A6384" s="5"/>
    </row>
    <row r="6385" spans="1:1" x14ac:dyDescent="0.25">
      <c r="A6385" s="5"/>
    </row>
    <row r="6386" spans="1:1" x14ac:dyDescent="0.25">
      <c r="A6386" s="5"/>
    </row>
    <row r="6387" spans="1:1" x14ac:dyDescent="0.25">
      <c r="A6387" s="5"/>
    </row>
    <row r="6388" spans="1:1" x14ac:dyDescent="0.25">
      <c r="A6388" s="5"/>
    </row>
    <row r="6389" spans="1:1" x14ac:dyDescent="0.25">
      <c r="A6389" s="5"/>
    </row>
    <row r="6390" spans="1:1" x14ac:dyDescent="0.25">
      <c r="A6390" s="5"/>
    </row>
    <row r="6391" spans="1:1" x14ac:dyDescent="0.25">
      <c r="A6391" s="5"/>
    </row>
    <row r="6392" spans="1:1" x14ac:dyDescent="0.25">
      <c r="A6392" s="5"/>
    </row>
    <row r="6393" spans="1:1" x14ac:dyDescent="0.25">
      <c r="A6393" s="5"/>
    </row>
    <row r="6394" spans="1:1" x14ac:dyDescent="0.25">
      <c r="A6394" s="5"/>
    </row>
    <row r="6395" spans="1:1" x14ac:dyDescent="0.25">
      <c r="A6395" s="5"/>
    </row>
    <row r="6396" spans="1:1" x14ac:dyDescent="0.25">
      <c r="A6396" s="5"/>
    </row>
    <row r="6397" spans="1:1" x14ac:dyDescent="0.25">
      <c r="A6397" s="5"/>
    </row>
    <row r="6398" spans="1:1" x14ac:dyDescent="0.25">
      <c r="A6398" s="5"/>
    </row>
    <row r="6399" spans="1:1" x14ac:dyDescent="0.25">
      <c r="A6399" s="5"/>
    </row>
    <row r="6400" spans="1:1" x14ac:dyDescent="0.25">
      <c r="A6400" s="5"/>
    </row>
    <row r="6401" spans="1:1" x14ac:dyDescent="0.25">
      <c r="A6401" s="5"/>
    </row>
    <row r="6402" spans="1:1" x14ac:dyDescent="0.25">
      <c r="A6402" s="5"/>
    </row>
    <row r="6403" spans="1:1" x14ac:dyDescent="0.25">
      <c r="A6403" s="5"/>
    </row>
    <row r="6404" spans="1:1" x14ac:dyDescent="0.25">
      <c r="A6404" s="5"/>
    </row>
    <row r="6405" spans="1:1" x14ac:dyDescent="0.25">
      <c r="A6405" s="5"/>
    </row>
    <row r="6406" spans="1:1" x14ac:dyDescent="0.25">
      <c r="A6406" s="5"/>
    </row>
    <row r="6407" spans="1:1" x14ac:dyDescent="0.25">
      <c r="A6407" s="5"/>
    </row>
    <row r="6408" spans="1:1" x14ac:dyDescent="0.25">
      <c r="A6408" s="5"/>
    </row>
    <row r="6409" spans="1:1" x14ac:dyDescent="0.25">
      <c r="A6409" s="5"/>
    </row>
    <row r="6410" spans="1:1" x14ac:dyDescent="0.25">
      <c r="A6410" s="5"/>
    </row>
    <row r="6411" spans="1:1" x14ac:dyDescent="0.25">
      <c r="A6411" s="5"/>
    </row>
    <row r="6412" spans="1:1" x14ac:dyDescent="0.25">
      <c r="A6412" s="5"/>
    </row>
    <row r="6413" spans="1:1" x14ac:dyDescent="0.25">
      <c r="A6413" s="5"/>
    </row>
    <row r="6414" spans="1:1" x14ac:dyDescent="0.25">
      <c r="A6414" s="5"/>
    </row>
    <row r="6415" spans="1:1" x14ac:dyDescent="0.25">
      <c r="A6415" s="5"/>
    </row>
    <row r="6416" spans="1:1" x14ac:dyDescent="0.25">
      <c r="A6416" s="5"/>
    </row>
    <row r="6417" spans="1:1" x14ac:dyDescent="0.25">
      <c r="A6417" s="5"/>
    </row>
    <row r="6418" spans="1:1" x14ac:dyDescent="0.25">
      <c r="A6418" s="5"/>
    </row>
    <row r="6419" spans="1:1" x14ac:dyDescent="0.25">
      <c r="A6419" s="5"/>
    </row>
    <row r="6420" spans="1:1" x14ac:dyDescent="0.25">
      <c r="A6420" s="5"/>
    </row>
    <row r="6421" spans="1:1" x14ac:dyDescent="0.25">
      <c r="A6421" s="5"/>
    </row>
    <row r="6422" spans="1:1" x14ac:dyDescent="0.25">
      <c r="A6422" s="5"/>
    </row>
    <row r="6423" spans="1:1" x14ac:dyDescent="0.25">
      <c r="A6423" s="5"/>
    </row>
    <row r="6424" spans="1:1" x14ac:dyDescent="0.25">
      <c r="A6424" s="5"/>
    </row>
    <row r="6425" spans="1:1" x14ac:dyDescent="0.25">
      <c r="A6425" s="5"/>
    </row>
    <row r="6426" spans="1:1" x14ac:dyDescent="0.25">
      <c r="A6426" s="5"/>
    </row>
    <row r="6427" spans="1:1" x14ac:dyDescent="0.25">
      <c r="A6427" s="5"/>
    </row>
    <row r="6428" spans="1:1" x14ac:dyDescent="0.25">
      <c r="A6428" s="5"/>
    </row>
    <row r="6429" spans="1:1" x14ac:dyDescent="0.25">
      <c r="A6429" s="5"/>
    </row>
    <row r="6430" spans="1:1" x14ac:dyDescent="0.25">
      <c r="A6430" s="5"/>
    </row>
    <row r="6431" spans="1:1" x14ac:dyDescent="0.25">
      <c r="A6431" s="5"/>
    </row>
    <row r="6432" spans="1:1" x14ac:dyDescent="0.25">
      <c r="A6432" s="5"/>
    </row>
    <row r="6433" spans="1:1" x14ac:dyDescent="0.25">
      <c r="A6433" s="5"/>
    </row>
    <row r="6434" spans="1:1" x14ac:dyDescent="0.25">
      <c r="A6434" s="5"/>
    </row>
    <row r="6435" spans="1:1" x14ac:dyDescent="0.25">
      <c r="A6435" s="5"/>
    </row>
    <row r="6436" spans="1:1" x14ac:dyDescent="0.25">
      <c r="A6436" s="5"/>
    </row>
    <row r="6437" spans="1:1" x14ac:dyDescent="0.25">
      <c r="A6437" s="5"/>
    </row>
    <row r="6438" spans="1:1" x14ac:dyDescent="0.25">
      <c r="A6438" s="5"/>
    </row>
    <row r="6439" spans="1:1" x14ac:dyDescent="0.25">
      <c r="A6439" s="5"/>
    </row>
    <row r="6440" spans="1:1" x14ac:dyDescent="0.25">
      <c r="A6440" s="5"/>
    </row>
    <row r="6441" spans="1:1" x14ac:dyDescent="0.25">
      <c r="A6441" s="5"/>
    </row>
    <row r="6442" spans="1:1" x14ac:dyDescent="0.25">
      <c r="A6442" s="5"/>
    </row>
    <row r="6443" spans="1:1" x14ac:dyDescent="0.25">
      <c r="A6443" s="5"/>
    </row>
    <row r="6444" spans="1:1" x14ac:dyDescent="0.25">
      <c r="A6444" s="5"/>
    </row>
    <row r="6445" spans="1:1" x14ac:dyDescent="0.25">
      <c r="A6445" s="5"/>
    </row>
    <row r="6446" spans="1:1" x14ac:dyDescent="0.25">
      <c r="A6446" s="5"/>
    </row>
    <row r="6447" spans="1:1" x14ac:dyDescent="0.25">
      <c r="A6447" s="5"/>
    </row>
    <row r="6448" spans="1:1" x14ac:dyDescent="0.25">
      <c r="A6448" s="5"/>
    </row>
    <row r="6449" spans="1:1" x14ac:dyDescent="0.25">
      <c r="A6449" s="5"/>
    </row>
    <row r="6450" spans="1:1" x14ac:dyDescent="0.25">
      <c r="A6450" s="5"/>
    </row>
    <row r="6451" spans="1:1" x14ac:dyDescent="0.25">
      <c r="A6451" s="5"/>
    </row>
    <row r="6452" spans="1:1" x14ac:dyDescent="0.25">
      <c r="A6452" s="5"/>
    </row>
    <row r="6453" spans="1:1" x14ac:dyDescent="0.25">
      <c r="A6453" s="5"/>
    </row>
    <row r="6454" spans="1:1" x14ac:dyDescent="0.25">
      <c r="A6454" s="5"/>
    </row>
    <row r="6455" spans="1:1" x14ac:dyDescent="0.25">
      <c r="A6455" s="5"/>
    </row>
    <row r="6456" spans="1:1" x14ac:dyDescent="0.25">
      <c r="A6456" s="5"/>
    </row>
    <row r="6457" spans="1:1" x14ac:dyDescent="0.25">
      <c r="A6457" s="5"/>
    </row>
    <row r="6458" spans="1:1" x14ac:dyDescent="0.25">
      <c r="A6458" s="5"/>
    </row>
    <row r="6459" spans="1:1" x14ac:dyDescent="0.25">
      <c r="A6459" s="5"/>
    </row>
    <row r="6460" spans="1:1" x14ac:dyDescent="0.25">
      <c r="A6460" s="5"/>
    </row>
    <row r="6461" spans="1:1" x14ac:dyDescent="0.25">
      <c r="A6461" s="5"/>
    </row>
    <row r="6462" spans="1:1" x14ac:dyDescent="0.25">
      <c r="A6462" s="5"/>
    </row>
    <row r="6463" spans="1:1" x14ac:dyDescent="0.25">
      <c r="A6463" s="5"/>
    </row>
    <row r="6464" spans="1:1" x14ac:dyDescent="0.25">
      <c r="A6464" s="5"/>
    </row>
    <row r="6465" spans="1:1" x14ac:dyDescent="0.25">
      <c r="A6465" s="5"/>
    </row>
    <row r="6466" spans="1:1" x14ac:dyDescent="0.25">
      <c r="A6466" s="5"/>
    </row>
    <row r="6467" spans="1:1" x14ac:dyDescent="0.25">
      <c r="A6467" s="5"/>
    </row>
    <row r="6468" spans="1:1" x14ac:dyDescent="0.25">
      <c r="A6468" s="5"/>
    </row>
    <row r="6469" spans="1:1" x14ac:dyDescent="0.25">
      <c r="A6469" s="5"/>
    </row>
    <row r="6470" spans="1:1" x14ac:dyDescent="0.25">
      <c r="A6470" s="5"/>
    </row>
    <row r="6471" spans="1:1" x14ac:dyDescent="0.25">
      <c r="A6471" s="5"/>
    </row>
    <row r="6472" spans="1:1" x14ac:dyDescent="0.25">
      <c r="A6472" s="5"/>
    </row>
    <row r="6473" spans="1:1" x14ac:dyDescent="0.25">
      <c r="A6473" s="5"/>
    </row>
    <row r="6474" spans="1:1" x14ac:dyDescent="0.25">
      <c r="A6474" s="5"/>
    </row>
    <row r="6475" spans="1:1" x14ac:dyDescent="0.25">
      <c r="A6475" s="5"/>
    </row>
    <row r="6476" spans="1:1" x14ac:dyDescent="0.25">
      <c r="A6476" s="5"/>
    </row>
    <row r="6477" spans="1:1" x14ac:dyDescent="0.25">
      <c r="A6477" s="5"/>
    </row>
    <row r="6478" spans="1:1" x14ac:dyDescent="0.25">
      <c r="A6478" s="5"/>
    </row>
    <row r="6479" spans="1:1" x14ac:dyDescent="0.25">
      <c r="A6479" s="5"/>
    </row>
    <row r="6480" spans="1:1" x14ac:dyDescent="0.25">
      <c r="A6480" s="5"/>
    </row>
    <row r="6481" spans="1:1" x14ac:dyDescent="0.25">
      <c r="A6481" s="5"/>
    </row>
    <row r="6482" spans="1:1" x14ac:dyDescent="0.25">
      <c r="A6482" s="5"/>
    </row>
    <row r="6483" spans="1:1" x14ac:dyDescent="0.25">
      <c r="A6483" s="5"/>
    </row>
    <row r="6484" spans="1:1" x14ac:dyDescent="0.25">
      <c r="A6484" s="5"/>
    </row>
    <row r="6485" spans="1:1" x14ac:dyDescent="0.25">
      <c r="A6485" s="5"/>
    </row>
    <row r="6486" spans="1:1" x14ac:dyDescent="0.25">
      <c r="A6486" s="5"/>
    </row>
    <row r="6487" spans="1:1" x14ac:dyDescent="0.25">
      <c r="A6487" s="5"/>
    </row>
    <row r="6488" spans="1:1" x14ac:dyDescent="0.25">
      <c r="A6488" s="5"/>
    </row>
    <row r="6489" spans="1:1" x14ac:dyDescent="0.25">
      <c r="A6489" s="5"/>
    </row>
    <row r="6490" spans="1:1" x14ac:dyDescent="0.25">
      <c r="A6490" s="5"/>
    </row>
    <row r="6491" spans="1:1" x14ac:dyDescent="0.25">
      <c r="A6491" s="5"/>
    </row>
    <row r="6492" spans="1:1" x14ac:dyDescent="0.25">
      <c r="A6492" s="5"/>
    </row>
    <row r="6493" spans="1:1" x14ac:dyDescent="0.25">
      <c r="A6493" s="5"/>
    </row>
    <row r="6494" spans="1:1" x14ac:dyDescent="0.25">
      <c r="A6494" s="5"/>
    </row>
    <row r="6495" spans="1:1" x14ac:dyDescent="0.25">
      <c r="A6495" s="5"/>
    </row>
    <row r="6496" spans="1:1" x14ac:dyDescent="0.25">
      <c r="A6496" s="5"/>
    </row>
    <row r="6497" spans="1:1" x14ac:dyDescent="0.25">
      <c r="A6497" s="5"/>
    </row>
    <row r="6498" spans="1:1" x14ac:dyDescent="0.25">
      <c r="A6498" s="5"/>
    </row>
    <row r="6499" spans="1:1" x14ac:dyDescent="0.25">
      <c r="A6499" s="5"/>
    </row>
    <row r="6500" spans="1:1" x14ac:dyDescent="0.25">
      <c r="A6500" s="5"/>
    </row>
    <row r="6501" spans="1:1" x14ac:dyDescent="0.25">
      <c r="A6501" s="5"/>
    </row>
    <row r="6502" spans="1:1" x14ac:dyDescent="0.25">
      <c r="A6502" s="5"/>
    </row>
    <row r="6503" spans="1:1" x14ac:dyDescent="0.25">
      <c r="A6503" s="5"/>
    </row>
    <row r="6504" spans="1:1" x14ac:dyDescent="0.25">
      <c r="A6504" s="5"/>
    </row>
    <row r="6505" spans="1:1" x14ac:dyDescent="0.25">
      <c r="A6505" s="5"/>
    </row>
    <row r="6506" spans="1:1" x14ac:dyDescent="0.25">
      <c r="A6506" s="5"/>
    </row>
    <row r="6507" spans="1:1" x14ac:dyDescent="0.25">
      <c r="A6507" s="5"/>
    </row>
    <row r="6508" spans="1:1" x14ac:dyDescent="0.25">
      <c r="A6508" s="5"/>
    </row>
    <row r="6509" spans="1:1" x14ac:dyDescent="0.25">
      <c r="A6509" s="5"/>
    </row>
    <row r="6510" spans="1:1" x14ac:dyDescent="0.25">
      <c r="A6510" s="5"/>
    </row>
    <row r="6511" spans="1:1" x14ac:dyDescent="0.25">
      <c r="A6511" s="5"/>
    </row>
    <row r="6512" spans="1:1" x14ac:dyDescent="0.25">
      <c r="A6512" s="5"/>
    </row>
    <row r="6513" spans="1:1" x14ac:dyDescent="0.25">
      <c r="A6513" s="5"/>
    </row>
    <row r="6514" spans="1:1" x14ac:dyDescent="0.25">
      <c r="A6514" s="5"/>
    </row>
    <row r="6515" spans="1:1" x14ac:dyDescent="0.25">
      <c r="A6515" s="5"/>
    </row>
    <row r="6516" spans="1:1" x14ac:dyDescent="0.25">
      <c r="A6516" s="5"/>
    </row>
    <row r="6517" spans="1:1" x14ac:dyDescent="0.25">
      <c r="A6517" s="5"/>
    </row>
    <row r="6518" spans="1:1" x14ac:dyDescent="0.25">
      <c r="A6518" s="5"/>
    </row>
    <row r="6519" spans="1:1" x14ac:dyDescent="0.25">
      <c r="A6519" s="5"/>
    </row>
    <row r="6520" spans="1:1" x14ac:dyDescent="0.25">
      <c r="A6520" s="5"/>
    </row>
    <row r="6521" spans="1:1" x14ac:dyDescent="0.25">
      <c r="A6521" s="5"/>
    </row>
    <row r="6522" spans="1:1" x14ac:dyDescent="0.25">
      <c r="A6522" s="5"/>
    </row>
    <row r="6523" spans="1:1" x14ac:dyDescent="0.25">
      <c r="A6523" s="5"/>
    </row>
    <row r="6524" spans="1:1" x14ac:dyDescent="0.25">
      <c r="A6524" s="5"/>
    </row>
    <row r="6525" spans="1:1" x14ac:dyDescent="0.25">
      <c r="A6525" s="5"/>
    </row>
    <row r="6526" spans="1:1" x14ac:dyDescent="0.25">
      <c r="A6526" s="5"/>
    </row>
    <row r="6527" spans="1:1" x14ac:dyDescent="0.25">
      <c r="A6527" s="5"/>
    </row>
    <row r="6528" spans="1:1" x14ac:dyDescent="0.25">
      <c r="A6528" s="5"/>
    </row>
    <row r="6529" spans="1:1" x14ac:dyDescent="0.25">
      <c r="A6529" s="5"/>
    </row>
    <row r="6530" spans="1:1" x14ac:dyDescent="0.25">
      <c r="A6530" s="5"/>
    </row>
    <row r="6531" spans="1:1" x14ac:dyDescent="0.25">
      <c r="A6531" s="5"/>
    </row>
    <row r="6532" spans="1:1" x14ac:dyDescent="0.25">
      <c r="A6532" s="5"/>
    </row>
    <row r="6533" spans="1:1" x14ac:dyDescent="0.25">
      <c r="A6533" s="5"/>
    </row>
    <row r="6534" spans="1:1" x14ac:dyDescent="0.25">
      <c r="A6534" s="5"/>
    </row>
    <row r="6535" spans="1:1" x14ac:dyDescent="0.25">
      <c r="A6535" s="5"/>
    </row>
    <row r="6536" spans="1:1" x14ac:dyDescent="0.25">
      <c r="A6536" s="5"/>
    </row>
    <row r="6537" spans="1:1" x14ac:dyDescent="0.25">
      <c r="A6537" s="5"/>
    </row>
    <row r="6538" spans="1:1" x14ac:dyDescent="0.25">
      <c r="A6538" s="5"/>
    </row>
    <row r="6539" spans="1:1" x14ac:dyDescent="0.25">
      <c r="A6539" s="5"/>
    </row>
    <row r="6540" spans="1:1" x14ac:dyDescent="0.25">
      <c r="A6540" s="5"/>
    </row>
    <row r="6541" spans="1:1" x14ac:dyDescent="0.25">
      <c r="A6541" s="5"/>
    </row>
    <row r="6542" spans="1:1" x14ac:dyDescent="0.25">
      <c r="A6542" s="5"/>
    </row>
    <row r="6543" spans="1:1" x14ac:dyDescent="0.25">
      <c r="A6543" s="5"/>
    </row>
    <row r="6544" spans="1:1" x14ac:dyDescent="0.25">
      <c r="A6544" s="5"/>
    </row>
    <row r="6545" spans="1:1" x14ac:dyDescent="0.25">
      <c r="A6545" s="5"/>
    </row>
    <row r="6546" spans="1:1" x14ac:dyDescent="0.25">
      <c r="A6546" s="5"/>
    </row>
    <row r="6547" spans="1:1" x14ac:dyDescent="0.25">
      <c r="A6547" s="5"/>
    </row>
    <row r="6548" spans="1:1" x14ac:dyDescent="0.25">
      <c r="A6548" s="5"/>
    </row>
    <row r="6549" spans="1:1" x14ac:dyDescent="0.25">
      <c r="A6549" s="5"/>
    </row>
    <row r="6550" spans="1:1" x14ac:dyDescent="0.25">
      <c r="A6550" s="5"/>
    </row>
    <row r="6551" spans="1:1" x14ac:dyDescent="0.25">
      <c r="A6551" s="5"/>
    </row>
    <row r="6552" spans="1:1" x14ac:dyDescent="0.25">
      <c r="A6552" s="5"/>
    </row>
    <row r="6553" spans="1:1" x14ac:dyDescent="0.25">
      <c r="A6553" s="5"/>
    </row>
    <row r="6554" spans="1:1" x14ac:dyDescent="0.25">
      <c r="A6554" s="5"/>
    </row>
    <row r="6555" spans="1:1" x14ac:dyDescent="0.25">
      <c r="A6555" s="5"/>
    </row>
    <row r="6556" spans="1:1" x14ac:dyDescent="0.25">
      <c r="A6556" s="5"/>
    </row>
    <row r="6557" spans="1:1" x14ac:dyDescent="0.25">
      <c r="A6557" s="5"/>
    </row>
    <row r="6558" spans="1:1" x14ac:dyDescent="0.25">
      <c r="A6558" s="5"/>
    </row>
    <row r="6559" spans="1:1" x14ac:dyDescent="0.25">
      <c r="A6559" s="5"/>
    </row>
    <row r="6560" spans="1:1" x14ac:dyDescent="0.25">
      <c r="A6560" s="5"/>
    </row>
    <row r="6561" spans="1:1" x14ac:dyDescent="0.25">
      <c r="A6561" s="5"/>
    </row>
    <row r="6562" spans="1:1" x14ac:dyDescent="0.25">
      <c r="A6562" s="5"/>
    </row>
    <row r="6563" spans="1:1" x14ac:dyDescent="0.25">
      <c r="A6563" s="5"/>
    </row>
    <row r="6564" spans="1:1" x14ac:dyDescent="0.25">
      <c r="A6564" s="5"/>
    </row>
    <row r="6565" spans="1:1" x14ac:dyDescent="0.25">
      <c r="A6565" s="5"/>
    </row>
    <row r="6566" spans="1:1" x14ac:dyDescent="0.25">
      <c r="A6566" s="5"/>
    </row>
    <row r="6567" spans="1:1" x14ac:dyDescent="0.25">
      <c r="A6567" s="5"/>
    </row>
    <row r="6568" spans="1:1" x14ac:dyDescent="0.25">
      <c r="A6568" s="5"/>
    </row>
    <row r="6569" spans="1:1" x14ac:dyDescent="0.25">
      <c r="A6569" s="5"/>
    </row>
    <row r="6570" spans="1:1" x14ac:dyDescent="0.25">
      <c r="A6570" s="5"/>
    </row>
    <row r="6571" spans="1:1" x14ac:dyDescent="0.25">
      <c r="A6571" s="5"/>
    </row>
    <row r="6572" spans="1:1" x14ac:dyDescent="0.25">
      <c r="A6572" s="5"/>
    </row>
    <row r="6573" spans="1:1" x14ac:dyDescent="0.25">
      <c r="A6573" s="5"/>
    </row>
    <row r="6574" spans="1:1" x14ac:dyDescent="0.25">
      <c r="A6574" s="5"/>
    </row>
    <row r="6575" spans="1:1" x14ac:dyDescent="0.25">
      <c r="A6575" s="5"/>
    </row>
    <row r="6576" spans="1:1" x14ac:dyDescent="0.25">
      <c r="A6576" s="5"/>
    </row>
    <row r="6577" spans="1:1" x14ac:dyDescent="0.25">
      <c r="A6577" s="5"/>
    </row>
    <row r="6578" spans="1:1" x14ac:dyDescent="0.25">
      <c r="A6578" s="5"/>
    </row>
    <row r="6579" spans="1:1" x14ac:dyDescent="0.25">
      <c r="A6579" s="5"/>
    </row>
    <row r="6580" spans="1:1" x14ac:dyDescent="0.25">
      <c r="A6580" s="5"/>
    </row>
    <row r="6581" spans="1:1" x14ac:dyDescent="0.25">
      <c r="A6581" s="5"/>
    </row>
    <row r="6582" spans="1:1" x14ac:dyDescent="0.25">
      <c r="A6582" s="5"/>
    </row>
    <row r="6583" spans="1:1" x14ac:dyDescent="0.25">
      <c r="A6583" s="5"/>
    </row>
    <row r="6584" spans="1:1" x14ac:dyDescent="0.25">
      <c r="A6584" s="5"/>
    </row>
    <row r="6585" spans="1:1" x14ac:dyDescent="0.25">
      <c r="A6585" s="5"/>
    </row>
    <row r="6586" spans="1:1" x14ac:dyDescent="0.25">
      <c r="A6586" s="5"/>
    </row>
    <row r="6587" spans="1:1" x14ac:dyDescent="0.25">
      <c r="A6587" s="5"/>
    </row>
    <row r="6588" spans="1:1" x14ac:dyDescent="0.25">
      <c r="A6588" s="5"/>
    </row>
    <row r="6589" spans="1:1" x14ac:dyDescent="0.25">
      <c r="A6589" s="5"/>
    </row>
    <row r="6590" spans="1:1" x14ac:dyDescent="0.25">
      <c r="A6590" s="5"/>
    </row>
    <row r="6591" spans="1:1" x14ac:dyDescent="0.25">
      <c r="A6591" s="5"/>
    </row>
    <row r="6592" spans="1:1" x14ac:dyDescent="0.25">
      <c r="A6592" s="5"/>
    </row>
    <row r="6593" spans="1:1" x14ac:dyDescent="0.25">
      <c r="A6593" s="5"/>
    </row>
    <row r="6594" spans="1:1" x14ac:dyDescent="0.25">
      <c r="A6594" s="5"/>
    </row>
    <row r="6595" spans="1:1" x14ac:dyDescent="0.25">
      <c r="A6595" s="5"/>
    </row>
    <row r="6596" spans="1:1" x14ac:dyDescent="0.25">
      <c r="A6596" s="5"/>
    </row>
    <row r="6597" spans="1:1" x14ac:dyDescent="0.25">
      <c r="A6597" s="5"/>
    </row>
    <row r="6598" spans="1:1" x14ac:dyDescent="0.25">
      <c r="A6598" s="5"/>
    </row>
    <row r="6599" spans="1:1" x14ac:dyDescent="0.25">
      <c r="A6599" s="5"/>
    </row>
    <row r="6600" spans="1:1" x14ac:dyDescent="0.25">
      <c r="A6600" s="5"/>
    </row>
    <row r="6601" spans="1:1" x14ac:dyDescent="0.25">
      <c r="A6601" s="5"/>
    </row>
    <row r="6602" spans="1:1" x14ac:dyDescent="0.25">
      <c r="A6602" s="5"/>
    </row>
    <row r="6603" spans="1:1" x14ac:dyDescent="0.25">
      <c r="A6603" s="5"/>
    </row>
    <row r="6604" spans="1:1" x14ac:dyDescent="0.25">
      <c r="A6604" s="5"/>
    </row>
    <row r="6605" spans="1:1" x14ac:dyDescent="0.25">
      <c r="A6605" s="5"/>
    </row>
    <row r="6606" spans="1:1" x14ac:dyDescent="0.25">
      <c r="A6606" s="5"/>
    </row>
    <row r="6607" spans="1:1" x14ac:dyDescent="0.25">
      <c r="A6607" s="5"/>
    </row>
    <row r="6608" spans="1:1" x14ac:dyDescent="0.25">
      <c r="A6608" s="5"/>
    </row>
    <row r="6609" spans="1:1" x14ac:dyDescent="0.25">
      <c r="A6609" s="5"/>
    </row>
    <row r="6610" spans="1:1" x14ac:dyDescent="0.25">
      <c r="A6610" s="5"/>
    </row>
    <row r="6611" spans="1:1" x14ac:dyDescent="0.25">
      <c r="A6611" s="5"/>
    </row>
    <row r="6612" spans="1:1" x14ac:dyDescent="0.25">
      <c r="A6612" s="5"/>
    </row>
    <row r="6613" spans="1:1" x14ac:dyDescent="0.25">
      <c r="A6613" s="5"/>
    </row>
    <row r="6614" spans="1:1" x14ac:dyDescent="0.25">
      <c r="A6614" s="5"/>
    </row>
    <row r="6615" spans="1:1" x14ac:dyDescent="0.25">
      <c r="A6615" s="5"/>
    </row>
    <row r="6616" spans="1:1" x14ac:dyDescent="0.25">
      <c r="A6616" s="5"/>
    </row>
    <row r="6617" spans="1:1" x14ac:dyDescent="0.25">
      <c r="A6617" s="5"/>
    </row>
    <row r="6618" spans="1:1" x14ac:dyDescent="0.25">
      <c r="A6618" s="5"/>
    </row>
    <row r="6619" spans="1:1" x14ac:dyDescent="0.25">
      <c r="A6619" s="5"/>
    </row>
    <row r="6620" spans="1:1" x14ac:dyDescent="0.25">
      <c r="A6620" s="5"/>
    </row>
    <row r="6621" spans="1:1" x14ac:dyDescent="0.25">
      <c r="A6621" s="5"/>
    </row>
    <row r="6622" spans="1:1" x14ac:dyDescent="0.25">
      <c r="A6622" s="5"/>
    </row>
    <row r="6623" spans="1:1" x14ac:dyDescent="0.25">
      <c r="A6623" s="5"/>
    </row>
    <row r="6624" spans="1:1" x14ac:dyDescent="0.25">
      <c r="A6624" s="5"/>
    </row>
    <row r="6625" spans="1:1" x14ac:dyDescent="0.25">
      <c r="A6625" s="5"/>
    </row>
    <row r="6626" spans="1:1" x14ac:dyDescent="0.25">
      <c r="A6626" s="5"/>
    </row>
    <row r="6627" spans="1:1" x14ac:dyDescent="0.25">
      <c r="A6627" s="5"/>
    </row>
    <row r="6628" spans="1:1" x14ac:dyDescent="0.25">
      <c r="A6628" s="5"/>
    </row>
    <row r="6629" spans="1:1" x14ac:dyDescent="0.25">
      <c r="A6629" s="5"/>
    </row>
    <row r="6630" spans="1:1" x14ac:dyDescent="0.25">
      <c r="A6630" s="5"/>
    </row>
    <row r="6631" spans="1:1" x14ac:dyDescent="0.25">
      <c r="A6631" s="5"/>
    </row>
    <row r="6632" spans="1:1" x14ac:dyDescent="0.25">
      <c r="A6632" s="5"/>
    </row>
    <row r="6633" spans="1:1" x14ac:dyDescent="0.25">
      <c r="A6633" s="5"/>
    </row>
    <row r="6634" spans="1:1" x14ac:dyDescent="0.25">
      <c r="A6634" s="5"/>
    </row>
    <row r="6635" spans="1:1" x14ac:dyDescent="0.25">
      <c r="A6635" s="5"/>
    </row>
    <row r="6636" spans="1:1" x14ac:dyDescent="0.25">
      <c r="A6636" s="5"/>
    </row>
    <row r="6637" spans="1:1" x14ac:dyDescent="0.25">
      <c r="A6637" s="5"/>
    </row>
    <row r="6638" spans="1:1" x14ac:dyDescent="0.25">
      <c r="A6638" s="5"/>
    </row>
    <row r="6639" spans="1:1" x14ac:dyDescent="0.25">
      <c r="A6639" s="5"/>
    </row>
    <row r="6640" spans="1:1" x14ac:dyDescent="0.25">
      <c r="A6640" s="5"/>
    </row>
    <row r="6641" spans="1:1" x14ac:dyDescent="0.25">
      <c r="A6641" s="5"/>
    </row>
    <row r="6642" spans="1:1" x14ac:dyDescent="0.25">
      <c r="A6642" s="5"/>
    </row>
    <row r="6643" spans="1:1" x14ac:dyDescent="0.25">
      <c r="A6643" s="5"/>
    </row>
    <row r="6644" spans="1:1" x14ac:dyDescent="0.25">
      <c r="A6644" s="5"/>
    </row>
    <row r="6645" spans="1:1" x14ac:dyDescent="0.25">
      <c r="A6645" s="5"/>
    </row>
    <row r="6646" spans="1:1" x14ac:dyDescent="0.25">
      <c r="A6646" s="5"/>
    </row>
    <row r="6647" spans="1:1" x14ac:dyDescent="0.25">
      <c r="A6647" s="5"/>
    </row>
    <row r="6648" spans="1:1" x14ac:dyDescent="0.25">
      <c r="A6648" s="5"/>
    </row>
    <row r="6649" spans="1:1" x14ac:dyDescent="0.25">
      <c r="A6649" s="5"/>
    </row>
    <row r="6650" spans="1:1" x14ac:dyDescent="0.25">
      <c r="A6650" s="5"/>
    </row>
    <row r="6651" spans="1:1" x14ac:dyDescent="0.25">
      <c r="A6651" s="5"/>
    </row>
    <row r="6652" spans="1:1" x14ac:dyDescent="0.25">
      <c r="A6652" s="5"/>
    </row>
    <row r="6653" spans="1:1" x14ac:dyDescent="0.25">
      <c r="A6653" s="5"/>
    </row>
    <row r="6654" spans="1:1" x14ac:dyDescent="0.25">
      <c r="A6654" s="5"/>
    </row>
    <row r="6655" spans="1:1" x14ac:dyDescent="0.25">
      <c r="A6655" s="5"/>
    </row>
    <row r="6656" spans="1:1" x14ac:dyDescent="0.25">
      <c r="A6656" s="5"/>
    </row>
    <row r="6657" spans="1:1" x14ac:dyDescent="0.25">
      <c r="A6657" s="5"/>
    </row>
    <row r="6658" spans="1:1" x14ac:dyDescent="0.25">
      <c r="A6658" s="5"/>
    </row>
    <row r="6659" spans="1:1" x14ac:dyDescent="0.25">
      <c r="A6659" s="5"/>
    </row>
    <row r="6660" spans="1:1" x14ac:dyDescent="0.25">
      <c r="A6660" s="5"/>
    </row>
    <row r="6661" spans="1:1" x14ac:dyDescent="0.25">
      <c r="A6661" s="5"/>
    </row>
    <row r="6662" spans="1:1" x14ac:dyDescent="0.25">
      <c r="A6662" s="5"/>
    </row>
    <row r="6663" spans="1:1" x14ac:dyDescent="0.25">
      <c r="A6663" s="5"/>
    </row>
    <row r="6664" spans="1:1" x14ac:dyDescent="0.25">
      <c r="A6664" s="5"/>
    </row>
    <row r="6665" spans="1:1" x14ac:dyDescent="0.25">
      <c r="A6665" s="5"/>
    </row>
    <row r="6666" spans="1:1" x14ac:dyDescent="0.25">
      <c r="A6666" s="5"/>
    </row>
    <row r="6667" spans="1:1" x14ac:dyDescent="0.25">
      <c r="A6667" s="5"/>
    </row>
    <row r="6668" spans="1:1" x14ac:dyDescent="0.25">
      <c r="A6668" s="5"/>
    </row>
    <row r="6669" spans="1:1" x14ac:dyDescent="0.25">
      <c r="A6669" s="5"/>
    </row>
    <row r="6670" spans="1:1" x14ac:dyDescent="0.25">
      <c r="A6670" s="5"/>
    </row>
    <row r="6671" spans="1:1" x14ac:dyDescent="0.25">
      <c r="A6671" s="5"/>
    </row>
    <row r="6672" spans="1:1" x14ac:dyDescent="0.25">
      <c r="A6672" s="5"/>
    </row>
    <row r="6673" spans="1:1" x14ac:dyDescent="0.25">
      <c r="A6673" s="5"/>
    </row>
    <row r="6674" spans="1:1" x14ac:dyDescent="0.25">
      <c r="A6674" s="5"/>
    </row>
    <row r="6675" spans="1:1" x14ac:dyDescent="0.25">
      <c r="A6675" s="5"/>
    </row>
    <row r="6676" spans="1:1" x14ac:dyDescent="0.25">
      <c r="A6676" s="5"/>
    </row>
    <row r="6677" spans="1:1" x14ac:dyDescent="0.25">
      <c r="A6677" s="5"/>
    </row>
    <row r="6678" spans="1:1" x14ac:dyDescent="0.25">
      <c r="A6678" s="5"/>
    </row>
    <row r="6679" spans="1:1" x14ac:dyDescent="0.25">
      <c r="A6679" s="5"/>
    </row>
    <row r="6680" spans="1:1" x14ac:dyDescent="0.25">
      <c r="A6680" s="5"/>
    </row>
    <row r="6681" spans="1:1" x14ac:dyDescent="0.25">
      <c r="A6681" s="5"/>
    </row>
    <row r="6682" spans="1:1" x14ac:dyDescent="0.25">
      <c r="A6682" s="5"/>
    </row>
    <row r="6683" spans="1:1" x14ac:dyDescent="0.25">
      <c r="A6683" s="5"/>
    </row>
    <row r="6684" spans="1:1" x14ac:dyDescent="0.25">
      <c r="A6684" s="5"/>
    </row>
    <row r="6685" spans="1:1" x14ac:dyDescent="0.25">
      <c r="A6685" s="5"/>
    </row>
    <row r="6686" spans="1:1" x14ac:dyDescent="0.25">
      <c r="A6686" s="5"/>
    </row>
    <row r="6687" spans="1:1" x14ac:dyDescent="0.25">
      <c r="A6687" s="5"/>
    </row>
    <row r="6688" spans="1:1" x14ac:dyDescent="0.25">
      <c r="A6688" s="5"/>
    </row>
    <row r="6689" spans="1:1" x14ac:dyDescent="0.25">
      <c r="A6689" s="5"/>
    </row>
    <row r="6690" spans="1:1" x14ac:dyDescent="0.25">
      <c r="A6690" s="5"/>
    </row>
    <row r="6691" spans="1:1" x14ac:dyDescent="0.25">
      <c r="A6691" s="5"/>
    </row>
    <row r="6692" spans="1:1" x14ac:dyDescent="0.25">
      <c r="A6692" s="5"/>
    </row>
    <row r="6693" spans="1:1" x14ac:dyDescent="0.25">
      <c r="A6693" s="5"/>
    </row>
    <row r="6694" spans="1:1" x14ac:dyDescent="0.25">
      <c r="A6694" s="5"/>
    </row>
    <row r="6695" spans="1:1" x14ac:dyDescent="0.25">
      <c r="A6695" s="5"/>
    </row>
    <row r="6696" spans="1:1" x14ac:dyDescent="0.25">
      <c r="A6696" s="5"/>
    </row>
    <row r="6697" spans="1:1" x14ac:dyDescent="0.25">
      <c r="A6697" s="5"/>
    </row>
    <row r="6698" spans="1:1" x14ac:dyDescent="0.25">
      <c r="A6698" s="5"/>
    </row>
    <row r="6699" spans="1:1" x14ac:dyDescent="0.25">
      <c r="A6699" s="5"/>
    </row>
    <row r="6700" spans="1:1" x14ac:dyDescent="0.25">
      <c r="A6700" s="5"/>
    </row>
    <row r="6701" spans="1:1" x14ac:dyDescent="0.25">
      <c r="A6701" s="5"/>
    </row>
    <row r="6702" spans="1:1" x14ac:dyDescent="0.25">
      <c r="A6702" s="5"/>
    </row>
    <row r="6703" spans="1:1" x14ac:dyDescent="0.25">
      <c r="A6703" s="5"/>
    </row>
    <row r="6704" spans="1:1" x14ac:dyDescent="0.25">
      <c r="A6704" s="5"/>
    </row>
    <row r="6705" spans="1:1" x14ac:dyDescent="0.25">
      <c r="A6705" s="5"/>
    </row>
    <row r="6706" spans="1:1" x14ac:dyDescent="0.25">
      <c r="A6706" s="5"/>
    </row>
    <row r="6707" spans="1:1" x14ac:dyDescent="0.25">
      <c r="A6707" s="5"/>
    </row>
    <row r="6708" spans="1:1" x14ac:dyDescent="0.25">
      <c r="A6708" s="5"/>
    </row>
    <row r="6709" spans="1:1" x14ac:dyDescent="0.25">
      <c r="A6709" s="5"/>
    </row>
    <row r="6710" spans="1:1" x14ac:dyDescent="0.25">
      <c r="A6710" s="5"/>
    </row>
    <row r="6711" spans="1:1" x14ac:dyDescent="0.25">
      <c r="A6711" s="5"/>
    </row>
    <row r="6712" spans="1:1" x14ac:dyDescent="0.25">
      <c r="A6712" s="5"/>
    </row>
    <row r="6713" spans="1:1" x14ac:dyDescent="0.25">
      <c r="A6713" s="5"/>
    </row>
    <row r="6714" spans="1:1" x14ac:dyDescent="0.25">
      <c r="A6714" s="5"/>
    </row>
    <row r="6715" spans="1:1" x14ac:dyDescent="0.25">
      <c r="A6715" s="5"/>
    </row>
    <row r="6716" spans="1:1" x14ac:dyDescent="0.25">
      <c r="A6716" s="5"/>
    </row>
    <row r="6717" spans="1:1" x14ac:dyDescent="0.25">
      <c r="A6717" s="5"/>
    </row>
    <row r="6718" spans="1:1" x14ac:dyDescent="0.25">
      <c r="A6718" s="5"/>
    </row>
    <row r="6719" spans="1:1" x14ac:dyDescent="0.25">
      <c r="A6719" s="5"/>
    </row>
    <row r="6720" spans="1:1" x14ac:dyDescent="0.25">
      <c r="A6720" s="5"/>
    </row>
    <row r="6721" spans="1:1" x14ac:dyDescent="0.25">
      <c r="A6721" s="5"/>
    </row>
    <row r="6722" spans="1:1" x14ac:dyDescent="0.25">
      <c r="A6722" s="5"/>
    </row>
    <row r="6723" spans="1:1" x14ac:dyDescent="0.25">
      <c r="A6723" s="5"/>
    </row>
    <row r="6724" spans="1:1" x14ac:dyDescent="0.25">
      <c r="A6724" s="5"/>
    </row>
    <row r="6725" spans="1:1" x14ac:dyDescent="0.25">
      <c r="A6725" s="5"/>
    </row>
    <row r="6726" spans="1:1" x14ac:dyDescent="0.25">
      <c r="A6726" s="5"/>
    </row>
    <row r="6727" spans="1:1" x14ac:dyDescent="0.25">
      <c r="A6727" s="5"/>
    </row>
    <row r="6728" spans="1:1" x14ac:dyDescent="0.25">
      <c r="A6728" s="5"/>
    </row>
    <row r="6729" spans="1:1" x14ac:dyDescent="0.25">
      <c r="A6729" s="5"/>
    </row>
    <row r="6730" spans="1:1" x14ac:dyDescent="0.25">
      <c r="A6730" s="5"/>
    </row>
    <row r="6731" spans="1:1" x14ac:dyDescent="0.25">
      <c r="A6731" s="5"/>
    </row>
    <row r="6732" spans="1:1" x14ac:dyDescent="0.25">
      <c r="A6732" s="5"/>
    </row>
    <row r="6733" spans="1:1" x14ac:dyDescent="0.25">
      <c r="A6733" s="5"/>
    </row>
    <row r="6734" spans="1:1" x14ac:dyDescent="0.25">
      <c r="A6734" s="5"/>
    </row>
    <row r="6735" spans="1:1" x14ac:dyDescent="0.25">
      <c r="A6735" s="5"/>
    </row>
    <row r="6736" spans="1:1" x14ac:dyDescent="0.25">
      <c r="A6736" s="5"/>
    </row>
    <row r="6737" spans="1:1" x14ac:dyDescent="0.25">
      <c r="A6737" s="5"/>
    </row>
    <row r="6738" spans="1:1" x14ac:dyDescent="0.25">
      <c r="A6738" s="5"/>
    </row>
    <row r="6739" spans="1:1" x14ac:dyDescent="0.25">
      <c r="A6739" s="5"/>
    </row>
    <row r="6740" spans="1:1" x14ac:dyDescent="0.25">
      <c r="A6740" s="5"/>
    </row>
    <row r="6741" spans="1:1" x14ac:dyDescent="0.25">
      <c r="A6741" s="5"/>
    </row>
    <row r="6742" spans="1:1" x14ac:dyDescent="0.25">
      <c r="A6742" s="5"/>
    </row>
    <row r="6743" spans="1:1" x14ac:dyDescent="0.25">
      <c r="A6743" s="5"/>
    </row>
    <row r="6744" spans="1:1" x14ac:dyDescent="0.25">
      <c r="A6744" s="5"/>
    </row>
    <row r="6745" spans="1:1" x14ac:dyDescent="0.25">
      <c r="A6745" s="5"/>
    </row>
    <row r="6746" spans="1:1" x14ac:dyDescent="0.25">
      <c r="A6746" s="5"/>
    </row>
    <row r="6747" spans="1:1" x14ac:dyDescent="0.25">
      <c r="A6747" s="5"/>
    </row>
    <row r="6748" spans="1:1" x14ac:dyDescent="0.25">
      <c r="A6748" s="5"/>
    </row>
    <row r="6749" spans="1:1" x14ac:dyDescent="0.25">
      <c r="A6749" s="5"/>
    </row>
    <row r="6750" spans="1:1" x14ac:dyDescent="0.25">
      <c r="A6750" s="5"/>
    </row>
    <row r="6751" spans="1:1" x14ac:dyDescent="0.25">
      <c r="A6751" s="5"/>
    </row>
    <row r="6752" spans="1:1" x14ac:dyDescent="0.25">
      <c r="A6752" s="5"/>
    </row>
    <row r="6753" spans="1:1" x14ac:dyDescent="0.25">
      <c r="A6753" s="5"/>
    </row>
    <row r="6754" spans="1:1" x14ac:dyDescent="0.25">
      <c r="A6754" s="5"/>
    </row>
    <row r="6755" spans="1:1" x14ac:dyDescent="0.25">
      <c r="A6755" s="5"/>
    </row>
    <row r="6756" spans="1:1" x14ac:dyDescent="0.25">
      <c r="A6756" s="5"/>
    </row>
    <row r="6757" spans="1:1" x14ac:dyDescent="0.25">
      <c r="A6757" s="5"/>
    </row>
    <row r="6758" spans="1:1" x14ac:dyDescent="0.25">
      <c r="A6758" s="5"/>
    </row>
    <row r="6759" spans="1:1" x14ac:dyDescent="0.25">
      <c r="A6759" s="5"/>
    </row>
    <row r="6760" spans="1:1" x14ac:dyDescent="0.25">
      <c r="A6760" s="5"/>
    </row>
    <row r="6761" spans="1:1" x14ac:dyDescent="0.25">
      <c r="A6761" s="5"/>
    </row>
    <row r="6762" spans="1:1" x14ac:dyDescent="0.25">
      <c r="A6762" s="5"/>
    </row>
    <row r="6763" spans="1:1" x14ac:dyDescent="0.25">
      <c r="A6763" s="5"/>
    </row>
    <row r="6764" spans="1:1" x14ac:dyDescent="0.25">
      <c r="A6764" s="5"/>
    </row>
    <row r="6765" spans="1:1" x14ac:dyDescent="0.25">
      <c r="A6765" s="5"/>
    </row>
    <row r="6766" spans="1:1" x14ac:dyDescent="0.25">
      <c r="A6766" s="5"/>
    </row>
    <row r="6767" spans="1:1" x14ac:dyDescent="0.25">
      <c r="A6767" s="5"/>
    </row>
    <row r="6768" spans="1:1" x14ac:dyDescent="0.25">
      <c r="A6768" s="5"/>
    </row>
    <row r="6769" spans="1:1" x14ac:dyDescent="0.25">
      <c r="A6769" s="5"/>
    </row>
    <row r="6770" spans="1:1" x14ac:dyDescent="0.25">
      <c r="A6770" s="5"/>
    </row>
    <row r="6771" spans="1:1" x14ac:dyDescent="0.25">
      <c r="A6771" s="5"/>
    </row>
    <row r="6772" spans="1:1" x14ac:dyDescent="0.25">
      <c r="A6772" s="5"/>
    </row>
    <row r="6773" spans="1:1" x14ac:dyDescent="0.25">
      <c r="A6773" s="5"/>
    </row>
    <row r="6774" spans="1:1" x14ac:dyDescent="0.25">
      <c r="A6774" s="5"/>
    </row>
    <row r="6775" spans="1:1" x14ac:dyDescent="0.25">
      <c r="A6775" s="5"/>
    </row>
    <row r="6776" spans="1:1" x14ac:dyDescent="0.25">
      <c r="A6776" s="5"/>
    </row>
    <row r="6777" spans="1:1" x14ac:dyDescent="0.25">
      <c r="A6777" s="5"/>
    </row>
    <row r="6778" spans="1:1" x14ac:dyDescent="0.25">
      <c r="A6778" s="5"/>
    </row>
    <row r="6779" spans="1:1" x14ac:dyDescent="0.25">
      <c r="A6779" s="5"/>
    </row>
    <row r="6780" spans="1:1" x14ac:dyDescent="0.25">
      <c r="A6780" s="5"/>
    </row>
    <row r="6781" spans="1:1" x14ac:dyDescent="0.25">
      <c r="A6781" s="5"/>
    </row>
    <row r="6782" spans="1:1" x14ac:dyDescent="0.25">
      <c r="A6782" s="5"/>
    </row>
    <row r="6783" spans="1:1" x14ac:dyDescent="0.25">
      <c r="A6783" s="5"/>
    </row>
    <row r="6784" spans="1:1" x14ac:dyDescent="0.25">
      <c r="A6784" s="5"/>
    </row>
    <row r="6785" spans="1:1" x14ac:dyDescent="0.25">
      <c r="A6785" s="5"/>
    </row>
    <row r="6786" spans="1:1" x14ac:dyDescent="0.25">
      <c r="A6786" s="5"/>
    </row>
    <row r="6787" spans="1:1" x14ac:dyDescent="0.25">
      <c r="A6787" s="5"/>
    </row>
    <row r="6788" spans="1:1" x14ac:dyDescent="0.25">
      <c r="A6788" s="5"/>
    </row>
    <row r="6789" spans="1:1" x14ac:dyDescent="0.25">
      <c r="A6789" s="5"/>
    </row>
    <row r="6790" spans="1:1" x14ac:dyDescent="0.25">
      <c r="A6790" s="5"/>
    </row>
    <row r="6791" spans="1:1" x14ac:dyDescent="0.25">
      <c r="A6791" s="5"/>
    </row>
    <row r="6792" spans="1:1" x14ac:dyDescent="0.25">
      <c r="A6792" s="5"/>
    </row>
    <row r="6793" spans="1:1" x14ac:dyDescent="0.25">
      <c r="A6793" s="5"/>
    </row>
    <row r="6794" spans="1:1" x14ac:dyDescent="0.25">
      <c r="A6794" s="5"/>
    </row>
    <row r="6795" spans="1:1" x14ac:dyDescent="0.25">
      <c r="A6795" s="5"/>
    </row>
    <row r="6796" spans="1:1" x14ac:dyDescent="0.25">
      <c r="A6796" s="5"/>
    </row>
    <row r="6797" spans="1:1" x14ac:dyDescent="0.25">
      <c r="A6797" s="5"/>
    </row>
    <row r="6798" spans="1:1" x14ac:dyDescent="0.25">
      <c r="A6798" s="5"/>
    </row>
    <row r="6799" spans="1:1" x14ac:dyDescent="0.25">
      <c r="A6799" s="5"/>
    </row>
    <row r="6800" spans="1:1" x14ac:dyDescent="0.25">
      <c r="A6800" s="5"/>
    </row>
    <row r="6801" spans="1:1" x14ac:dyDescent="0.25">
      <c r="A6801" s="5"/>
    </row>
    <row r="6802" spans="1:1" x14ac:dyDescent="0.25">
      <c r="A6802" s="5"/>
    </row>
    <row r="6803" spans="1:1" x14ac:dyDescent="0.25">
      <c r="A6803" s="5"/>
    </row>
    <row r="6804" spans="1:1" x14ac:dyDescent="0.25">
      <c r="A6804" s="5"/>
    </row>
    <row r="6805" spans="1:1" x14ac:dyDescent="0.25">
      <c r="A6805" s="5"/>
    </row>
    <row r="6806" spans="1:1" x14ac:dyDescent="0.25">
      <c r="A6806" s="5"/>
    </row>
    <row r="6807" spans="1:1" x14ac:dyDescent="0.25">
      <c r="A6807" s="5"/>
    </row>
    <row r="6808" spans="1:1" x14ac:dyDescent="0.25">
      <c r="A6808" s="5"/>
    </row>
    <row r="6809" spans="1:1" x14ac:dyDescent="0.25">
      <c r="A6809" s="5"/>
    </row>
    <row r="6810" spans="1:1" x14ac:dyDescent="0.25">
      <c r="A6810" s="5"/>
    </row>
    <row r="6811" spans="1:1" x14ac:dyDescent="0.25">
      <c r="A6811" s="5"/>
    </row>
    <row r="6812" spans="1:1" x14ac:dyDescent="0.25">
      <c r="A6812" s="5"/>
    </row>
    <row r="6813" spans="1:1" x14ac:dyDescent="0.25">
      <c r="A6813" s="5"/>
    </row>
    <row r="6814" spans="1:1" x14ac:dyDescent="0.25">
      <c r="A6814" s="5"/>
    </row>
    <row r="6815" spans="1:1" x14ac:dyDescent="0.25">
      <c r="A6815" s="5"/>
    </row>
    <row r="6816" spans="1:1" x14ac:dyDescent="0.25">
      <c r="A6816" s="5"/>
    </row>
    <row r="6817" spans="1:1" x14ac:dyDescent="0.25">
      <c r="A6817" s="5"/>
    </row>
    <row r="6818" spans="1:1" x14ac:dyDescent="0.25">
      <c r="A6818" s="5"/>
    </row>
    <row r="6819" spans="1:1" x14ac:dyDescent="0.25">
      <c r="A6819" s="5"/>
    </row>
    <row r="6820" spans="1:1" x14ac:dyDescent="0.25">
      <c r="A6820" s="5"/>
    </row>
    <row r="6821" spans="1:1" x14ac:dyDescent="0.25">
      <c r="A6821" s="5"/>
    </row>
    <row r="6822" spans="1:1" x14ac:dyDescent="0.25">
      <c r="A6822" s="5"/>
    </row>
    <row r="6823" spans="1:1" x14ac:dyDescent="0.25">
      <c r="A6823" s="5"/>
    </row>
    <row r="6824" spans="1:1" x14ac:dyDescent="0.25">
      <c r="A6824" s="5"/>
    </row>
    <row r="6825" spans="1:1" x14ac:dyDescent="0.25">
      <c r="A6825" s="5"/>
    </row>
    <row r="6826" spans="1:1" x14ac:dyDescent="0.25">
      <c r="A6826" s="5"/>
    </row>
    <row r="6827" spans="1:1" x14ac:dyDescent="0.25">
      <c r="A6827" s="5"/>
    </row>
    <row r="6828" spans="1:1" x14ac:dyDescent="0.25">
      <c r="A6828" s="5"/>
    </row>
    <row r="6829" spans="1:1" x14ac:dyDescent="0.25">
      <c r="A6829" s="5"/>
    </row>
    <row r="6830" spans="1:1" x14ac:dyDescent="0.25">
      <c r="A6830" s="5"/>
    </row>
    <row r="6831" spans="1:1" x14ac:dyDescent="0.25">
      <c r="A6831" s="5"/>
    </row>
    <row r="6832" spans="1:1" x14ac:dyDescent="0.25">
      <c r="A6832" s="5"/>
    </row>
    <row r="6833" spans="1:1" x14ac:dyDescent="0.25">
      <c r="A6833" s="5"/>
    </row>
    <row r="6834" spans="1:1" x14ac:dyDescent="0.25">
      <c r="A6834" s="5"/>
    </row>
    <row r="6835" spans="1:1" x14ac:dyDescent="0.25">
      <c r="A6835" s="5"/>
    </row>
    <row r="6836" spans="1:1" x14ac:dyDescent="0.25">
      <c r="A6836" s="5"/>
    </row>
    <row r="6837" spans="1:1" x14ac:dyDescent="0.25">
      <c r="A6837" s="5"/>
    </row>
    <row r="6838" spans="1:1" x14ac:dyDescent="0.25">
      <c r="A6838" s="5"/>
    </row>
    <row r="6839" spans="1:1" x14ac:dyDescent="0.25">
      <c r="A6839" s="5"/>
    </row>
    <row r="6840" spans="1:1" x14ac:dyDescent="0.25">
      <c r="A6840" s="5"/>
    </row>
    <row r="6841" spans="1:1" x14ac:dyDescent="0.25">
      <c r="A6841" s="5"/>
    </row>
    <row r="6842" spans="1:1" x14ac:dyDescent="0.25">
      <c r="A6842" s="5"/>
    </row>
    <row r="6843" spans="1:1" x14ac:dyDescent="0.25">
      <c r="A6843" s="5"/>
    </row>
    <row r="6844" spans="1:1" x14ac:dyDescent="0.25">
      <c r="A6844" s="5"/>
    </row>
    <row r="6845" spans="1:1" x14ac:dyDescent="0.25">
      <c r="A6845" s="5"/>
    </row>
    <row r="6846" spans="1:1" x14ac:dyDescent="0.25">
      <c r="A6846" s="5"/>
    </row>
    <row r="6847" spans="1:1" x14ac:dyDescent="0.25">
      <c r="A6847" s="5"/>
    </row>
    <row r="6848" spans="1:1" x14ac:dyDescent="0.25">
      <c r="A6848" s="5"/>
    </row>
    <row r="6849" spans="1:1" x14ac:dyDescent="0.25">
      <c r="A6849" s="5"/>
    </row>
    <row r="6850" spans="1:1" x14ac:dyDescent="0.25">
      <c r="A6850" s="5"/>
    </row>
    <row r="6851" spans="1:1" x14ac:dyDescent="0.25">
      <c r="A6851" s="5"/>
    </row>
    <row r="6852" spans="1:1" x14ac:dyDescent="0.25">
      <c r="A6852" s="5"/>
    </row>
    <row r="6853" spans="1:1" x14ac:dyDescent="0.25">
      <c r="A6853" s="5"/>
    </row>
    <row r="6854" spans="1:1" x14ac:dyDescent="0.25">
      <c r="A6854" s="5"/>
    </row>
    <row r="6855" spans="1:1" x14ac:dyDescent="0.25">
      <c r="A6855" s="5"/>
    </row>
    <row r="6856" spans="1:1" x14ac:dyDescent="0.25">
      <c r="A6856" s="5"/>
    </row>
    <row r="6857" spans="1:1" x14ac:dyDescent="0.25">
      <c r="A6857" s="5"/>
    </row>
    <row r="6858" spans="1:1" x14ac:dyDescent="0.25">
      <c r="A6858" s="5"/>
    </row>
    <row r="6859" spans="1:1" x14ac:dyDescent="0.25">
      <c r="A6859" s="5"/>
    </row>
    <row r="6860" spans="1:1" x14ac:dyDescent="0.25">
      <c r="A6860" s="5"/>
    </row>
    <row r="6861" spans="1:1" x14ac:dyDescent="0.25">
      <c r="A6861" s="5"/>
    </row>
    <row r="6862" spans="1:1" x14ac:dyDescent="0.25">
      <c r="A6862" s="5"/>
    </row>
    <row r="6863" spans="1:1" x14ac:dyDescent="0.25">
      <c r="A6863" s="5"/>
    </row>
    <row r="6864" spans="1:1" x14ac:dyDescent="0.25">
      <c r="A6864" s="5"/>
    </row>
    <row r="6865" spans="1:1" x14ac:dyDescent="0.25">
      <c r="A6865" s="5"/>
    </row>
    <row r="6866" spans="1:1" x14ac:dyDescent="0.25">
      <c r="A6866" s="5"/>
    </row>
    <row r="6867" spans="1:1" x14ac:dyDescent="0.25">
      <c r="A6867" s="5"/>
    </row>
    <row r="6868" spans="1:1" x14ac:dyDescent="0.25">
      <c r="A6868" s="5"/>
    </row>
    <row r="6869" spans="1:1" x14ac:dyDescent="0.25">
      <c r="A6869" s="5"/>
    </row>
    <row r="6870" spans="1:1" x14ac:dyDescent="0.25">
      <c r="A6870" s="5"/>
    </row>
    <row r="6871" spans="1:1" x14ac:dyDescent="0.25">
      <c r="A6871" s="5"/>
    </row>
    <row r="6872" spans="1:1" x14ac:dyDescent="0.25">
      <c r="A6872" s="5"/>
    </row>
    <row r="6873" spans="1:1" x14ac:dyDescent="0.25">
      <c r="A6873" s="5"/>
    </row>
    <row r="6874" spans="1:1" x14ac:dyDescent="0.25">
      <c r="A6874" s="5"/>
    </row>
    <row r="6875" spans="1:1" x14ac:dyDescent="0.25">
      <c r="A6875" s="5"/>
    </row>
    <row r="6876" spans="1:1" x14ac:dyDescent="0.25">
      <c r="A6876" s="5"/>
    </row>
    <row r="6877" spans="1:1" x14ac:dyDescent="0.25">
      <c r="A6877" s="5"/>
    </row>
    <row r="6878" spans="1:1" x14ac:dyDescent="0.25">
      <c r="A6878" s="5"/>
    </row>
    <row r="6879" spans="1:1" x14ac:dyDescent="0.25">
      <c r="A6879" s="5"/>
    </row>
    <row r="6880" spans="1:1" x14ac:dyDescent="0.25">
      <c r="A6880" s="5"/>
    </row>
    <row r="6881" spans="1:1" x14ac:dyDescent="0.25">
      <c r="A6881" s="5"/>
    </row>
    <row r="6882" spans="1:1" x14ac:dyDescent="0.25">
      <c r="A6882" s="5"/>
    </row>
    <row r="6883" spans="1:1" x14ac:dyDescent="0.25">
      <c r="A6883" s="5"/>
    </row>
    <row r="6884" spans="1:1" x14ac:dyDescent="0.25">
      <c r="A6884" s="5"/>
    </row>
    <row r="6885" spans="1:1" x14ac:dyDescent="0.25">
      <c r="A6885" s="5"/>
    </row>
    <row r="6886" spans="1:1" x14ac:dyDescent="0.25">
      <c r="A6886" s="5"/>
    </row>
    <row r="6887" spans="1:1" x14ac:dyDescent="0.25">
      <c r="A6887" s="5"/>
    </row>
    <row r="6888" spans="1:1" x14ac:dyDescent="0.25">
      <c r="A6888" s="5"/>
    </row>
    <row r="6889" spans="1:1" x14ac:dyDescent="0.25">
      <c r="A6889" s="5"/>
    </row>
    <row r="6890" spans="1:1" x14ac:dyDescent="0.25">
      <c r="A6890" s="5"/>
    </row>
    <row r="6891" spans="1:1" x14ac:dyDescent="0.25">
      <c r="A6891" s="5"/>
    </row>
    <row r="6892" spans="1:1" x14ac:dyDescent="0.25">
      <c r="A6892" s="5"/>
    </row>
    <row r="6893" spans="1:1" x14ac:dyDescent="0.25">
      <c r="A6893" s="5"/>
    </row>
    <row r="6894" spans="1:1" x14ac:dyDescent="0.25">
      <c r="A6894" s="5"/>
    </row>
    <row r="6895" spans="1:1" x14ac:dyDescent="0.25">
      <c r="A6895" s="5"/>
    </row>
    <row r="6896" spans="1:1" x14ac:dyDescent="0.25">
      <c r="A6896" s="5"/>
    </row>
    <row r="6897" spans="1:1" x14ac:dyDescent="0.25">
      <c r="A6897" s="5"/>
    </row>
    <row r="6898" spans="1:1" x14ac:dyDescent="0.25">
      <c r="A6898" s="5"/>
    </row>
    <row r="6899" spans="1:1" x14ac:dyDescent="0.25">
      <c r="A6899" s="5"/>
    </row>
    <row r="6900" spans="1:1" x14ac:dyDescent="0.25">
      <c r="A6900" s="5"/>
    </row>
    <row r="6901" spans="1:1" x14ac:dyDescent="0.25">
      <c r="A6901" s="5"/>
    </row>
    <row r="6902" spans="1:1" x14ac:dyDescent="0.25">
      <c r="A6902" s="5"/>
    </row>
    <row r="6903" spans="1:1" x14ac:dyDescent="0.25">
      <c r="A6903" s="5"/>
    </row>
    <row r="6904" spans="1:1" x14ac:dyDescent="0.25">
      <c r="A6904" s="5"/>
    </row>
    <row r="6905" spans="1:1" x14ac:dyDescent="0.25">
      <c r="A6905" s="5"/>
    </row>
    <row r="6906" spans="1:1" x14ac:dyDescent="0.25">
      <c r="A6906" s="5"/>
    </row>
    <row r="6907" spans="1:1" x14ac:dyDescent="0.25">
      <c r="A6907" s="5"/>
    </row>
    <row r="6908" spans="1:1" x14ac:dyDescent="0.25">
      <c r="A6908" s="5"/>
    </row>
    <row r="6909" spans="1:1" x14ac:dyDescent="0.25">
      <c r="A6909" s="5"/>
    </row>
    <row r="6910" spans="1:1" x14ac:dyDescent="0.25">
      <c r="A6910" s="5"/>
    </row>
    <row r="6911" spans="1:1" x14ac:dyDescent="0.25">
      <c r="A6911" s="5"/>
    </row>
    <row r="6912" spans="1:1" x14ac:dyDescent="0.25">
      <c r="A6912" s="5"/>
    </row>
    <row r="6913" spans="1:1" x14ac:dyDescent="0.25">
      <c r="A6913" s="5"/>
    </row>
    <row r="6914" spans="1:1" x14ac:dyDescent="0.25">
      <c r="A6914" s="5"/>
    </row>
    <row r="6915" spans="1:1" x14ac:dyDescent="0.25">
      <c r="A6915" s="5"/>
    </row>
    <row r="6916" spans="1:1" x14ac:dyDescent="0.25">
      <c r="A6916" s="5"/>
    </row>
    <row r="6917" spans="1:1" x14ac:dyDescent="0.25">
      <c r="A6917" s="5"/>
    </row>
    <row r="6918" spans="1:1" x14ac:dyDescent="0.25">
      <c r="A6918" s="5"/>
    </row>
    <row r="6919" spans="1:1" x14ac:dyDescent="0.25">
      <c r="A6919" s="5"/>
    </row>
    <row r="6920" spans="1:1" x14ac:dyDescent="0.25">
      <c r="A6920" s="5"/>
    </row>
    <row r="6921" spans="1:1" x14ac:dyDescent="0.25">
      <c r="A6921" s="5"/>
    </row>
    <row r="6922" spans="1:1" x14ac:dyDescent="0.25">
      <c r="A6922" s="5"/>
    </row>
    <row r="6923" spans="1:1" x14ac:dyDescent="0.25">
      <c r="A6923" s="5"/>
    </row>
    <row r="6924" spans="1:1" x14ac:dyDescent="0.25">
      <c r="A6924" s="5"/>
    </row>
    <row r="6925" spans="1:1" x14ac:dyDescent="0.25">
      <c r="A6925" s="5"/>
    </row>
    <row r="6926" spans="1:1" x14ac:dyDescent="0.25">
      <c r="A6926" s="5"/>
    </row>
    <row r="6927" spans="1:1" x14ac:dyDescent="0.25">
      <c r="A6927" s="5"/>
    </row>
    <row r="6928" spans="1:1" x14ac:dyDescent="0.25">
      <c r="A6928" s="5"/>
    </row>
    <row r="6929" spans="1:1" x14ac:dyDescent="0.25">
      <c r="A6929" s="5"/>
    </row>
    <row r="6930" spans="1:1" x14ac:dyDescent="0.25">
      <c r="A6930" s="5"/>
    </row>
    <row r="6931" spans="1:1" x14ac:dyDescent="0.25">
      <c r="A6931" s="5"/>
    </row>
    <row r="6932" spans="1:1" x14ac:dyDescent="0.25">
      <c r="A6932" s="5"/>
    </row>
    <row r="6933" spans="1:1" x14ac:dyDescent="0.25">
      <c r="A6933" s="5"/>
    </row>
    <row r="6934" spans="1:1" x14ac:dyDescent="0.25">
      <c r="A6934" s="5"/>
    </row>
    <row r="6935" spans="1:1" x14ac:dyDescent="0.25">
      <c r="A6935" s="5"/>
    </row>
    <row r="6936" spans="1:1" x14ac:dyDescent="0.25">
      <c r="A6936" s="5"/>
    </row>
    <row r="6937" spans="1:1" x14ac:dyDescent="0.25">
      <c r="A6937" s="5"/>
    </row>
    <row r="6938" spans="1:1" x14ac:dyDescent="0.25">
      <c r="A6938" s="5"/>
    </row>
    <row r="6939" spans="1:1" x14ac:dyDescent="0.25">
      <c r="A6939" s="5"/>
    </row>
    <row r="6940" spans="1:1" x14ac:dyDescent="0.25">
      <c r="A6940" s="5"/>
    </row>
    <row r="6941" spans="1:1" x14ac:dyDescent="0.25">
      <c r="A6941" s="5"/>
    </row>
    <row r="6942" spans="1:1" x14ac:dyDescent="0.25">
      <c r="A6942" s="5"/>
    </row>
    <row r="6943" spans="1:1" x14ac:dyDescent="0.25">
      <c r="A6943" s="5"/>
    </row>
    <row r="6944" spans="1:1" x14ac:dyDescent="0.25">
      <c r="A6944" s="5"/>
    </row>
    <row r="6945" spans="1:1" x14ac:dyDescent="0.25">
      <c r="A6945" s="5"/>
    </row>
    <row r="6946" spans="1:1" x14ac:dyDescent="0.25">
      <c r="A6946" s="5"/>
    </row>
    <row r="6947" spans="1:1" x14ac:dyDescent="0.25">
      <c r="A6947" s="5"/>
    </row>
    <row r="6948" spans="1:1" x14ac:dyDescent="0.25">
      <c r="A6948" s="5"/>
    </row>
    <row r="6949" spans="1:1" x14ac:dyDescent="0.25">
      <c r="A6949" s="5"/>
    </row>
    <row r="6950" spans="1:1" x14ac:dyDescent="0.25">
      <c r="A6950" s="5"/>
    </row>
    <row r="6951" spans="1:1" x14ac:dyDescent="0.25">
      <c r="A6951" s="5"/>
    </row>
    <row r="6952" spans="1:1" x14ac:dyDescent="0.25">
      <c r="A6952" s="5"/>
    </row>
    <row r="6953" spans="1:1" x14ac:dyDescent="0.25">
      <c r="A6953" s="5"/>
    </row>
    <row r="6954" spans="1:1" x14ac:dyDescent="0.25">
      <c r="A6954" s="5"/>
    </row>
    <row r="6955" spans="1:1" x14ac:dyDescent="0.25">
      <c r="A6955" s="5"/>
    </row>
    <row r="6956" spans="1:1" x14ac:dyDescent="0.25">
      <c r="A6956" s="5"/>
    </row>
    <row r="6957" spans="1:1" x14ac:dyDescent="0.25">
      <c r="A6957" s="5"/>
    </row>
    <row r="6958" spans="1:1" x14ac:dyDescent="0.25">
      <c r="A6958" s="5"/>
    </row>
    <row r="6959" spans="1:1" x14ac:dyDescent="0.25">
      <c r="A6959" s="5"/>
    </row>
    <row r="6960" spans="1:1" x14ac:dyDescent="0.25">
      <c r="A6960" s="5"/>
    </row>
    <row r="6961" spans="1:1" x14ac:dyDescent="0.25">
      <c r="A6961" s="5"/>
    </row>
    <row r="6962" spans="1:1" x14ac:dyDescent="0.25">
      <c r="A6962" s="5"/>
    </row>
    <row r="6963" spans="1:1" x14ac:dyDescent="0.25">
      <c r="A6963" s="5"/>
    </row>
    <row r="6964" spans="1:1" x14ac:dyDescent="0.25">
      <c r="A6964" s="5"/>
    </row>
    <row r="6965" spans="1:1" x14ac:dyDescent="0.25">
      <c r="A6965" s="5"/>
    </row>
    <row r="6966" spans="1:1" x14ac:dyDescent="0.25">
      <c r="A6966" s="5"/>
    </row>
    <row r="6967" spans="1:1" x14ac:dyDescent="0.25">
      <c r="A6967" s="5"/>
    </row>
    <row r="6968" spans="1:1" x14ac:dyDescent="0.25">
      <c r="A6968" s="5"/>
    </row>
    <row r="6969" spans="1:1" x14ac:dyDescent="0.25">
      <c r="A6969" s="5"/>
    </row>
    <row r="6970" spans="1:1" x14ac:dyDescent="0.25">
      <c r="A6970" s="5"/>
    </row>
    <row r="6971" spans="1:1" x14ac:dyDescent="0.25">
      <c r="A6971" s="5"/>
    </row>
    <row r="6972" spans="1:1" x14ac:dyDescent="0.25">
      <c r="A6972" s="5"/>
    </row>
    <row r="6973" spans="1:1" x14ac:dyDescent="0.25">
      <c r="A6973" s="5"/>
    </row>
    <row r="6974" spans="1:1" x14ac:dyDescent="0.25">
      <c r="A6974" s="5"/>
    </row>
    <row r="6975" spans="1:1" x14ac:dyDescent="0.25">
      <c r="A6975" s="5"/>
    </row>
    <row r="6976" spans="1:1" x14ac:dyDescent="0.25">
      <c r="A6976" s="5"/>
    </row>
    <row r="6977" spans="1:1" x14ac:dyDescent="0.25">
      <c r="A6977" s="5"/>
    </row>
    <row r="6978" spans="1:1" x14ac:dyDescent="0.25">
      <c r="A6978" s="5"/>
    </row>
    <row r="6979" spans="1:1" x14ac:dyDescent="0.25">
      <c r="A6979" s="5"/>
    </row>
    <row r="6980" spans="1:1" x14ac:dyDescent="0.25">
      <c r="A6980" s="5"/>
    </row>
    <row r="6981" spans="1:1" x14ac:dyDescent="0.25">
      <c r="A6981" s="5"/>
    </row>
    <row r="6982" spans="1:1" x14ac:dyDescent="0.25">
      <c r="A6982" s="5"/>
    </row>
    <row r="6983" spans="1:1" x14ac:dyDescent="0.25">
      <c r="A6983" s="5"/>
    </row>
    <row r="6984" spans="1:1" x14ac:dyDescent="0.25">
      <c r="A6984" s="5"/>
    </row>
    <row r="6985" spans="1:1" x14ac:dyDescent="0.25">
      <c r="A6985" s="5"/>
    </row>
    <row r="6986" spans="1:1" x14ac:dyDescent="0.25">
      <c r="A6986" s="5"/>
    </row>
    <row r="6987" spans="1:1" x14ac:dyDescent="0.25">
      <c r="A6987" s="5"/>
    </row>
    <row r="6988" spans="1:1" x14ac:dyDescent="0.25">
      <c r="A6988" s="5"/>
    </row>
    <row r="6989" spans="1:1" x14ac:dyDescent="0.25">
      <c r="A6989" s="5"/>
    </row>
    <row r="6990" spans="1:1" x14ac:dyDescent="0.25">
      <c r="A6990" s="5"/>
    </row>
    <row r="6991" spans="1:1" x14ac:dyDescent="0.25">
      <c r="A6991" s="5"/>
    </row>
    <row r="6992" spans="1:1" x14ac:dyDescent="0.25">
      <c r="A6992" s="5"/>
    </row>
    <row r="6993" spans="1:1" x14ac:dyDescent="0.25">
      <c r="A6993" s="5"/>
    </row>
    <row r="6994" spans="1:1" x14ac:dyDescent="0.25">
      <c r="A6994" s="5"/>
    </row>
    <row r="6995" spans="1:1" x14ac:dyDescent="0.25">
      <c r="A6995" s="5"/>
    </row>
    <row r="6996" spans="1:1" x14ac:dyDescent="0.25">
      <c r="A6996" s="5"/>
    </row>
    <row r="6997" spans="1:1" x14ac:dyDescent="0.25">
      <c r="A6997" s="5"/>
    </row>
    <row r="6998" spans="1:1" x14ac:dyDescent="0.25">
      <c r="A6998" s="5"/>
    </row>
    <row r="6999" spans="1:1" x14ac:dyDescent="0.25">
      <c r="A6999" s="5"/>
    </row>
    <row r="7000" spans="1:1" x14ac:dyDescent="0.25">
      <c r="A7000" s="5"/>
    </row>
    <row r="7001" spans="1:1" x14ac:dyDescent="0.25">
      <c r="A7001" s="5"/>
    </row>
    <row r="7002" spans="1:1" x14ac:dyDescent="0.25">
      <c r="A7002" s="5"/>
    </row>
    <row r="7003" spans="1:1" x14ac:dyDescent="0.25">
      <c r="A7003" s="5"/>
    </row>
    <row r="7004" spans="1:1" x14ac:dyDescent="0.25">
      <c r="A7004" s="5"/>
    </row>
    <row r="7005" spans="1:1" x14ac:dyDescent="0.25">
      <c r="A7005" s="5"/>
    </row>
    <row r="7006" spans="1:1" x14ac:dyDescent="0.25">
      <c r="A7006" s="5"/>
    </row>
    <row r="7007" spans="1:1" x14ac:dyDescent="0.25">
      <c r="A7007" s="5"/>
    </row>
    <row r="7008" spans="1:1" x14ac:dyDescent="0.25">
      <c r="A7008" s="5"/>
    </row>
    <row r="7009" spans="1:1" x14ac:dyDescent="0.25">
      <c r="A7009" s="5"/>
    </row>
    <row r="7010" spans="1:1" x14ac:dyDescent="0.25">
      <c r="A7010" s="5"/>
    </row>
    <row r="7011" spans="1:1" x14ac:dyDescent="0.25">
      <c r="A7011" s="5"/>
    </row>
    <row r="7012" spans="1:1" x14ac:dyDescent="0.25">
      <c r="A7012" s="5"/>
    </row>
    <row r="7013" spans="1:1" x14ac:dyDescent="0.25">
      <c r="A7013" s="5"/>
    </row>
    <row r="7014" spans="1:1" x14ac:dyDescent="0.25">
      <c r="A7014" s="5"/>
    </row>
    <row r="7015" spans="1:1" x14ac:dyDescent="0.25">
      <c r="A7015" s="5"/>
    </row>
    <row r="7016" spans="1:1" x14ac:dyDescent="0.25">
      <c r="A7016" s="5"/>
    </row>
    <row r="7017" spans="1:1" x14ac:dyDescent="0.25">
      <c r="A7017" s="5"/>
    </row>
    <row r="7018" spans="1:1" x14ac:dyDescent="0.25">
      <c r="A7018" s="5"/>
    </row>
    <row r="7019" spans="1:1" x14ac:dyDescent="0.25">
      <c r="A7019" s="5"/>
    </row>
    <row r="7020" spans="1:1" x14ac:dyDescent="0.25">
      <c r="A7020" s="5"/>
    </row>
    <row r="7021" spans="1:1" x14ac:dyDescent="0.25">
      <c r="A7021" s="5"/>
    </row>
    <row r="7022" spans="1:1" x14ac:dyDescent="0.25">
      <c r="A7022" s="5"/>
    </row>
    <row r="7023" spans="1:1" x14ac:dyDescent="0.25">
      <c r="A7023" s="5"/>
    </row>
    <row r="7024" spans="1:1" x14ac:dyDescent="0.25">
      <c r="A7024" s="5"/>
    </row>
    <row r="7025" spans="1:1" x14ac:dyDescent="0.25">
      <c r="A7025" s="5"/>
    </row>
    <row r="7026" spans="1:1" x14ac:dyDescent="0.25">
      <c r="A7026" s="5"/>
    </row>
    <row r="7027" spans="1:1" x14ac:dyDescent="0.25">
      <c r="A7027" s="5"/>
    </row>
    <row r="7028" spans="1:1" x14ac:dyDescent="0.25">
      <c r="A7028" s="5"/>
    </row>
    <row r="7029" spans="1:1" x14ac:dyDescent="0.25">
      <c r="A7029" s="5"/>
    </row>
    <row r="7030" spans="1:1" x14ac:dyDescent="0.25">
      <c r="A7030" s="5"/>
    </row>
    <row r="7031" spans="1:1" x14ac:dyDescent="0.25">
      <c r="A7031" s="5"/>
    </row>
    <row r="7032" spans="1:1" x14ac:dyDescent="0.25">
      <c r="A7032" s="5"/>
    </row>
    <row r="7033" spans="1:1" x14ac:dyDescent="0.25">
      <c r="A7033" s="5"/>
    </row>
    <row r="7034" spans="1:1" x14ac:dyDescent="0.25">
      <c r="A7034" s="5"/>
    </row>
    <row r="7035" spans="1:1" x14ac:dyDescent="0.25">
      <c r="A7035" s="5"/>
    </row>
    <row r="7036" spans="1:1" x14ac:dyDescent="0.25">
      <c r="A7036" s="5"/>
    </row>
    <row r="7037" spans="1:1" x14ac:dyDescent="0.25">
      <c r="A7037" s="5"/>
    </row>
    <row r="7038" spans="1:1" x14ac:dyDescent="0.25">
      <c r="A7038" s="5"/>
    </row>
    <row r="7039" spans="1:1" x14ac:dyDescent="0.25">
      <c r="A7039" s="5"/>
    </row>
    <row r="7040" spans="1:1" x14ac:dyDescent="0.25">
      <c r="A7040" s="5"/>
    </row>
    <row r="7041" spans="1:1" x14ac:dyDescent="0.25">
      <c r="A7041" s="5"/>
    </row>
    <row r="7042" spans="1:1" x14ac:dyDescent="0.25">
      <c r="A7042" s="5"/>
    </row>
    <row r="7043" spans="1:1" x14ac:dyDescent="0.25">
      <c r="A7043" s="5"/>
    </row>
    <row r="7044" spans="1:1" x14ac:dyDescent="0.25">
      <c r="A7044" s="5"/>
    </row>
    <row r="7045" spans="1:1" x14ac:dyDescent="0.25">
      <c r="A7045" s="5"/>
    </row>
    <row r="7046" spans="1:1" x14ac:dyDescent="0.25">
      <c r="A7046" s="5"/>
    </row>
    <row r="7047" spans="1:1" x14ac:dyDescent="0.25">
      <c r="A7047" s="5"/>
    </row>
    <row r="7048" spans="1:1" x14ac:dyDescent="0.25">
      <c r="A7048" s="5"/>
    </row>
    <row r="7049" spans="1:1" x14ac:dyDescent="0.25">
      <c r="A7049" s="5"/>
    </row>
    <row r="7050" spans="1:1" x14ac:dyDescent="0.25">
      <c r="A7050" s="5"/>
    </row>
    <row r="7051" spans="1:1" x14ac:dyDescent="0.25">
      <c r="A7051" s="5"/>
    </row>
    <row r="7052" spans="1:1" x14ac:dyDescent="0.25">
      <c r="A7052" s="5"/>
    </row>
    <row r="7053" spans="1:1" x14ac:dyDescent="0.25">
      <c r="A7053" s="5"/>
    </row>
    <row r="7054" spans="1:1" x14ac:dyDescent="0.25">
      <c r="A7054" s="5"/>
    </row>
    <row r="7055" spans="1:1" x14ac:dyDescent="0.25">
      <c r="A7055" s="5"/>
    </row>
    <row r="7056" spans="1:1" x14ac:dyDescent="0.25">
      <c r="A7056" s="5"/>
    </row>
    <row r="7057" spans="1:1" x14ac:dyDescent="0.25">
      <c r="A7057" s="5"/>
    </row>
    <row r="7058" spans="1:1" x14ac:dyDescent="0.25">
      <c r="A7058" s="5"/>
    </row>
    <row r="7059" spans="1:1" x14ac:dyDescent="0.25">
      <c r="A7059" s="5"/>
    </row>
    <row r="7060" spans="1:1" x14ac:dyDescent="0.25">
      <c r="A7060" s="5"/>
    </row>
    <row r="7061" spans="1:1" x14ac:dyDescent="0.25">
      <c r="A7061" s="5"/>
    </row>
    <row r="7062" spans="1:1" x14ac:dyDescent="0.25">
      <c r="A7062" s="5"/>
    </row>
    <row r="7063" spans="1:1" x14ac:dyDescent="0.25">
      <c r="A7063" s="5"/>
    </row>
    <row r="7064" spans="1:1" x14ac:dyDescent="0.25">
      <c r="A7064" s="5"/>
    </row>
    <row r="7065" spans="1:1" x14ac:dyDescent="0.25">
      <c r="A7065" s="5"/>
    </row>
    <row r="7066" spans="1:1" x14ac:dyDescent="0.25">
      <c r="A7066" s="5"/>
    </row>
    <row r="7067" spans="1:1" x14ac:dyDescent="0.25">
      <c r="A7067" s="5"/>
    </row>
    <row r="7068" spans="1:1" x14ac:dyDescent="0.25">
      <c r="A7068" s="5"/>
    </row>
    <row r="7069" spans="1:1" x14ac:dyDescent="0.25">
      <c r="A7069" s="5"/>
    </row>
    <row r="7070" spans="1:1" x14ac:dyDescent="0.25">
      <c r="A7070" s="5"/>
    </row>
    <row r="7071" spans="1:1" x14ac:dyDescent="0.25">
      <c r="A7071" s="5"/>
    </row>
    <row r="7072" spans="1:1" x14ac:dyDescent="0.25">
      <c r="A7072" s="5"/>
    </row>
    <row r="7073" spans="1:1" x14ac:dyDescent="0.25">
      <c r="A7073" s="5"/>
    </row>
    <row r="7074" spans="1:1" x14ac:dyDescent="0.25">
      <c r="A7074" s="5"/>
    </row>
    <row r="7075" spans="1:1" x14ac:dyDescent="0.25">
      <c r="A7075" s="5"/>
    </row>
    <row r="7076" spans="1:1" x14ac:dyDescent="0.25">
      <c r="A7076" s="5"/>
    </row>
    <row r="7077" spans="1:1" x14ac:dyDescent="0.25">
      <c r="A7077" s="5"/>
    </row>
    <row r="7078" spans="1:1" x14ac:dyDescent="0.25">
      <c r="A7078" s="5"/>
    </row>
    <row r="7079" spans="1:1" x14ac:dyDescent="0.25">
      <c r="A7079" s="5"/>
    </row>
    <row r="7080" spans="1:1" x14ac:dyDescent="0.25">
      <c r="A7080" s="5"/>
    </row>
    <row r="7081" spans="1:1" x14ac:dyDescent="0.25">
      <c r="A7081" s="5"/>
    </row>
    <row r="7082" spans="1:1" x14ac:dyDescent="0.25">
      <c r="A7082" s="5"/>
    </row>
    <row r="7083" spans="1:1" x14ac:dyDescent="0.25">
      <c r="A7083" s="5"/>
    </row>
    <row r="7084" spans="1:1" x14ac:dyDescent="0.25">
      <c r="A7084" s="5"/>
    </row>
    <row r="7085" spans="1:1" x14ac:dyDescent="0.25">
      <c r="A7085" s="5"/>
    </row>
    <row r="7086" spans="1:1" x14ac:dyDescent="0.25">
      <c r="A7086" s="5"/>
    </row>
    <row r="7087" spans="1:1" x14ac:dyDescent="0.25">
      <c r="A7087" s="5"/>
    </row>
    <row r="7088" spans="1:1" x14ac:dyDescent="0.25">
      <c r="A7088" s="5"/>
    </row>
    <row r="7089" spans="1:1" x14ac:dyDescent="0.25">
      <c r="A7089" s="5"/>
    </row>
    <row r="7090" spans="1:1" x14ac:dyDescent="0.25">
      <c r="A7090" s="5"/>
    </row>
    <row r="7091" spans="1:1" x14ac:dyDescent="0.25">
      <c r="A7091" s="5"/>
    </row>
    <row r="7092" spans="1:1" x14ac:dyDescent="0.25">
      <c r="A7092" s="5"/>
    </row>
    <row r="7093" spans="1:1" x14ac:dyDescent="0.25">
      <c r="A7093" s="5"/>
    </row>
    <row r="7094" spans="1:1" x14ac:dyDescent="0.25">
      <c r="A7094" s="5"/>
    </row>
    <row r="7095" spans="1:1" x14ac:dyDescent="0.25">
      <c r="A7095" s="5"/>
    </row>
    <row r="7096" spans="1:1" x14ac:dyDescent="0.25">
      <c r="A7096" s="5"/>
    </row>
    <row r="7097" spans="1:1" x14ac:dyDescent="0.25">
      <c r="A7097" s="5"/>
    </row>
    <row r="7098" spans="1:1" x14ac:dyDescent="0.25">
      <c r="A7098" s="5"/>
    </row>
    <row r="7099" spans="1:1" x14ac:dyDescent="0.25">
      <c r="A7099" s="5"/>
    </row>
    <row r="7100" spans="1:1" x14ac:dyDescent="0.25">
      <c r="A7100" s="5"/>
    </row>
    <row r="7101" spans="1:1" x14ac:dyDescent="0.25">
      <c r="A7101" s="5"/>
    </row>
    <row r="7102" spans="1:1" x14ac:dyDescent="0.25">
      <c r="A7102" s="5"/>
    </row>
    <row r="7103" spans="1:1" x14ac:dyDescent="0.25">
      <c r="A7103" s="5"/>
    </row>
    <row r="7104" spans="1:1" x14ac:dyDescent="0.25">
      <c r="A7104" s="5"/>
    </row>
    <row r="7105" spans="1:1" x14ac:dyDescent="0.25">
      <c r="A7105" s="5"/>
    </row>
    <row r="7106" spans="1:1" x14ac:dyDescent="0.25">
      <c r="A7106" s="5"/>
    </row>
    <row r="7107" spans="1:1" x14ac:dyDescent="0.25">
      <c r="A7107" s="5"/>
    </row>
    <row r="7108" spans="1:1" x14ac:dyDescent="0.25">
      <c r="A7108" s="5"/>
    </row>
    <row r="7109" spans="1:1" x14ac:dyDescent="0.25">
      <c r="A7109" s="5"/>
    </row>
    <row r="7110" spans="1:1" x14ac:dyDescent="0.25">
      <c r="A7110" s="5"/>
    </row>
    <row r="7111" spans="1:1" x14ac:dyDescent="0.25">
      <c r="A7111" s="5"/>
    </row>
    <row r="7112" spans="1:1" x14ac:dyDescent="0.25">
      <c r="A7112" s="5"/>
    </row>
    <row r="7113" spans="1:1" x14ac:dyDescent="0.25">
      <c r="A7113" s="5"/>
    </row>
    <row r="7114" spans="1:1" x14ac:dyDescent="0.25">
      <c r="A7114" s="5"/>
    </row>
    <row r="7115" spans="1:1" x14ac:dyDescent="0.25">
      <c r="A7115" s="5"/>
    </row>
    <row r="7116" spans="1:1" x14ac:dyDescent="0.25">
      <c r="A7116" s="5"/>
    </row>
    <row r="7117" spans="1:1" x14ac:dyDescent="0.25">
      <c r="A7117" s="5"/>
    </row>
    <row r="7118" spans="1:1" x14ac:dyDescent="0.25">
      <c r="A7118" s="5"/>
    </row>
    <row r="7119" spans="1:1" x14ac:dyDescent="0.25">
      <c r="A7119" s="5"/>
    </row>
    <row r="7120" spans="1:1" x14ac:dyDescent="0.25">
      <c r="A7120" s="5"/>
    </row>
    <row r="7121" spans="1:1" x14ac:dyDescent="0.25">
      <c r="A7121" s="5"/>
    </row>
    <row r="7122" spans="1:1" x14ac:dyDescent="0.25">
      <c r="A7122" s="5"/>
    </row>
    <row r="7123" spans="1:1" x14ac:dyDescent="0.25">
      <c r="A7123" s="5"/>
    </row>
    <row r="7124" spans="1:1" x14ac:dyDescent="0.25">
      <c r="A7124" s="5"/>
    </row>
    <row r="7125" spans="1:1" x14ac:dyDescent="0.25">
      <c r="A7125" s="5"/>
    </row>
    <row r="7126" spans="1:1" x14ac:dyDescent="0.25">
      <c r="A7126" s="5"/>
    </row>
    <row r="7127" spans="1:1" x14ac:dyDescent="0.25">
      <c r="A7127" s="5"/>
    </row>
    <row r="7128" spans="1:1" x14ac:dyDescent="0.25">
      <c r="A7128" s="5"/>
    </row>
    <row r="7129" spans="1:1" x14ac:dyDescent="0.25">
      <c r="A7129" s="5"/>
    </row>
    <row r="7130" spans="1:1" x14ac:dyDescent="0.25">
      <c r="A7130" s="5"/>
    </row>
    <row r="7131" spans="1:1" x14ac:dyDescent="0.25">
      <c r="A7131" s="5"/>
    </row>
    <row r="7132" spans="1:1" x14ac:dyDescent="0.25">
      <c r="A7132" s="5"/>
    </row>
    <row r="7133" spans="1:1" x14ac:dyDescent="0.25">
      <c r="A7133" s="5"/>
    </row>
    <row r="7134" spans="1:1" x14ac:dyDescent="0.25">
      <c r="A7134" s="5"/>
    </row>
    <row r="7135" spans="1:1" x14ac:dyDescent="0.25">
      <c r="A7135" s="5"/>
    </row>
    <row r="7136" spans="1:1" x14ac:dyDescent="0.25">
      <c r="A7136" s="5"/>
    </row>
    <row r="7137" spans="1:1" x14ac:dyDescent="0.25">
      <c r="A7137" s="5"/>
    </row>
    <row r="7138" spans="1:1" x14ac:dyDescent="0.25">
      <c r="A7138" s="5"/>
    </row>
    <row r="7139" spans="1:1" x14ac:dyDescent="0.25">
      <c r="A7139" s="5"/>
    </row>
    <row r="7140" spans="1:1" x14ac:dyDescent="0.25">
      <c r="A7140" s="5"/>
    </row>
    <row r="7141" spans="1:1" x14ac:dyDescent="0.25">
      <c r="A7141" s="5"/>
    </row>
    <row r="7142" spans="1:1" x14ac:dyDescent="0.25">
      <c r="A7142" s="5"/>
    </row>
    <row r="7143" spans="1:1" x14ac:dyDescent="0.25">
      <c r="A7143" s="5"/>
    </row>
    <row r="7144" spans="1:1" x14ac:dyDescent="0.25">
      <c r="A7144" s="5"/>
    </row>
    <row r="7145" spans="1:1" x14ac:dyDescent="0.25">
      <c r="A7145" s="5"/>
    </row>
    <row r="7146" spans="1:1" x14ac:dyDescent="0.25">
      <c r="A7146" s="5"/>
    </row>
    <row r="7147" spans="1:1" x14ac:dyDescent="0.25">
      <c r="A7147" s="5"/>
    </row>
    <row r="7148" spans="1:1" x14ac:dyDescent="0.25">
      <c r="A7148" s="5"/>
    </row>
    <row r="7149" spans="1:1" x14ac:dyDescent="0.25">
      <c r="A7149" s="5"/>
    </row>
    <row r="7150" spans="1:1" x14ac:dyDescent="0.25">
      <c r="A7150" s="5"/>
    </row>
    <row r="7151" spans="1:1" x14ac:dyDescent="0.25">
      <c r="A7151" s="5"/>
    </row>
    <row r="7152" spans="1:1" x14ac:dyDescent="0.25">
      <c r="A7152" s="5"/>
    </row>
    <row r="7153" spans="1:1" x14ac:dyDescent="0.25">
      <c r="A7153" s="5"/>
    </row>
    <row r="7154" spans="1:1" x14ac:dyDescent="0.25">
      <c r="A7154" s="5"/>
    </row>
    <row r="7155" spans="1:1" x14ac:dyDescent="0.25">
      <c r="A7155" s="5"/>
    </row>
    <row r="7156" spans="1:1" x14ac:dyDescent="0.25">
      <c r="A7156" s="5"/>
    </row>
    <row r="7157" spans="1:1" x14ac:dyDescent="0.25">
      <c r="A7157" s="5"/>
    </row>
    <row r="7158" spans="1:1" x14ac:dyDescent="0.25">
      <c r="A7158" s="5"/>
    </row>
    <row r="7159" spans="1:1" x14ac:dyDescent="0.25">
      <c r="A7159" s="5"/>
    </row>
    <row r="7160" spans="1:1" x14ac:dyDescent="0.25">
      <c r="A7160" s="5"/>
    </row>
    <row r="7161" spans="1:1" x14ac:dyDescent="0.25">
      <c r="A7161" s="5"/>
    </row>
    <row r="7162" spans="1:1" x14ac:dyDescent="0.25">
      <c r="A7162" s="5"/>
    </row>
    <row r="7163" spans="1:1" x14ac:dyDescent="0.25">
      <c r="A7163" s="5"/>
    </row>
    <row r="7164" spans="1:1" x14ac:dyDescent="0.25">
      <c r="A7164" s="5"/>
    </row>
    <row r="7165" spans="1:1" x14ac:dyDescent="0.25">
      <c r="A7165" s="5"/>
    </row>
    <row r="7166" spans="1:1" x14ac:dyDescent="0.25">
      <c r="A7166" s="5"/>
    </row>
    <row r="7167" spans="1:1" x14ac:dyDescent="0.25">
      <c r="A7167" s="5"/>
    </row>
    <row r="7168" spans="1:1" x14ac:dyDescent="0.25">
      <c r="A7168" s="5"/>
    </row>
    <row r="7169" spans="1:1" x14ac:dyDescent="0.25">
      <c r="A7169" s="5"/>
    </row>
    <row r="7170" spans="1:1" x14ac:dyDescent="0.25">
      <c r="A7170" s="5"/>
    </row>
    <row r="7171" spans="1:1" x14ac:dyDescent="0.25">
      <c r="A7171" s="5"/>
    </row>
    <row r="7172" spans="1:1" x14ac:dyDescent="0.25">
      <c r="A7172" s="5"/>
    </row>
    <row r="7173" spans="1:1" x14ac:dyDescent="0.25">
      <c r="A7173" s="5"/>
    </row>
    <row r="7174" spans="1:1" x14ac:dyDescent="0.25">
      <c r="A7174" s="5"/>
    </row>
    <row r="7175" spans="1:1" x14ac:dyDescent="0.25">
      <c r="A7175" s="5"/>
    </row>
    <row r="7176" spans="1:1" x14ac:dyDescent="0.25">
      <c r="A7176" s="5"/>
    </row>
    <row r="7177" spans="1:1" x14ac:dyDescent="0.25">
      <c r="A7177" s="5"/>
    </row>
    <row r="7178" spans="1:1" x14ac:dyDescent="0.25">
      <c r="A7178" s="5"/>
    </row>
    <row r="7179" spans="1:1" x14ac:dyDescent="0.25">
      <c r="A7179" s="5"/>
    </row>
    <row r="7180" spans="1:1" x14ac:dyDescent="0.25">
      <c r="A7180" s="5"/>
    </row>
    <row r="7181" spans="1:1" x14ac:dyDescent="0.25">
      <c r="A7181" s="5"/>
    </row>
    <row r="7182" spans="1:1" x14ac:dyDescent="0.25">
      <c r="A7182" s="5"/>
    </row>
    <row r="7183" spans="1:1" x14ac:dyDescent="0.25">
      <c r="A7183" s="5"/>
    </row>
    <row r="7184" spans="1:1" x14ac:dyDescent="0.25">
      <c r="A7184" s="5"/>
    </row>
    <row r="7185" spans="1:1" x14ac:dyDescent="0.25">
      <c r="A7185" s="5"/>
    </row>
    <row r="7186" spans="1:1" x14ac:dyDescent="0.25">
      <c r="A7186" s="5"/>
    </row>
    <row r="7187" spans="1:1" x14ac:dyDescent="0.25">
      <c r="A7187" s="5"/>
    </row>
    <row r="7188" spans="1:1" x14ac:dyDescent="0.25">
      <c r="A7188" s="5"/>
    </row>
    <row r="7189" spans="1:1" x14ac:dyDescent="0.25">
      <c r="A7189" s="5"/>
    </row>
    <row r="7190" spans="1:1" x14ac:dyDescent="0.25">
      <c r="A7190" s="5"/>
    </row>
    <row r="7191" spans="1:1" x14ac:dyDescent="0.25">
      <c r="A7191" s="5"/>
    </row>
    <row r="7192" spans="1:1" x14ac:dyDescent="0.25">
      <c r="A7192" s="5"/>
    </row>
    <row r="7193" spans="1:1" x14ac:dyDescent="0.25">
      <c r="A7193" s="5"/>
    </row>
    <row r="7194" spans="1:1" x14ac:dyDescent="0.25">
      <c r="A7194" s="5"/>
    </row>
    <row r="7195" spans="1:1" x14ac:dyDescent="0.25">
      <c r="A7195" s="5"/>
    </row>
    <row r="7196" spans="1:1" x14ac:dyDescent="0.25">
      <c r="A7196" s="5"/>
    </row>
    <row r="7197" spans="1:1" x14ac:dyDescent="0.25">
      <c r="A7197" s="5"/>
    </row>
    <row r="7198" spans="1:1" x14ac:dyDescent="0.25">
      <c r="A7198" s="5"/>
    </row>
    <row r="7199" spans="1:1" x14ac:dyDescent="0.25">
      <c r="A7199" s="5"/>
    </row>
    <row r="7200" spans="1:1" x14ac:dyDescent="0.25">
      <c r="A7200" s="5"/>
    </row>
    <row r="7201" spans="1:1" x14ac:dyDescent="0.25">
      <c r="A7201" s="5"/>
    </row>
    <row r="7202" spans="1:1" x14ac:dyDescent="0.25">
      <c r="A7202" s="5"/>
    </row>
    <row r="7203" spans="1:1" x14ac:dyDescent="0.25">
      <c r="A7203" s="5"/>
    </row>
    <row r="7204" spans="1:1" x14ac:dyDescent="0.25">
      <c r="A7204" s="5"/>
    </row>
    <row r="7205" spans="1:1" x14ac:dyDescent="0.25">
      <c r="A7205" s="5"/>
    </row>
    <row r="7206" spans="1:1" x14ac:dyDescent="0.25">
      <c r="A7206" s="5"/>
    </row>
    <row r="7207" spans="1:1" x14ac:dyDescent="0.25">
      <c r="A7207" s="5"/>
    </row>
    <row r="7208" spans="1:1" x14ac:dyDescent="0.25">
      <c r="A7208" s="5"/>
    </row>
    <row r="7209" spans="1:1" x14ac:dyDescent="0.25">
      <c r="A7209" s="5"/>
    </row>
    <row r="7210" spans="1:1" x14ac:dyDescent="0.25">
      <c r="A7210" s="5"/>
    </row>
    <row r="7211" spans="1:1" x14ac:dyDescent="0.25">
      <c r="A7211" s="5"/>
    </row>
    <row r="7212" spans="1:1" x14ac:dyDescent="0.25">
      <c r="A7212" s="5"/>
    </row>
    <row r="7213" spans="1:1" x14ac:dyDescent="0.25">
      <c r="A7213" s="5"/>
    </row>
    <row r="7214" spans="1:1" x14ac:dyDescent="0.25">
      <c r="A7214" s="5"/>
    </row>
    <row r="7215" spans="1:1" x14ac:dyDescent="0.25">
      <c r="A7215" s="5"/>
    </row>
    <row r="7216" spans="1:1" x14ac:dyDescent="0.25">
      <c r="A7216" s="5"/>
    </row>
    <row r="7217" spans="1:1" x14ac:dyDescent="0.25">
      <c r="A7217" s="5"/>
    </row>
    <row r="7218" spans="1:1" x14ac:dyDescent="0.25">
      <c r="A7218" s="5"/>
    </row>
    <row r="7219" spans="1:1" x14ac:dyDescent="0.25">
      <c r="A7219" s="5"/>
    </row>
    <row r="7220" spans="1:1" x14ac:dyDescent="0.25">
      <c r="A7220" s="5"/>
    </row>
    <row r="7221" spans="1:1" x14ac:dyDescent="0.25">
      <c r="A7221" s="5"/>
    </row>
    <row r="7222" spans="1:1" x14ac:dyDescent="0.25">
      <c r="A7222" s="5"/>
    </row>
    <row r="7223" spans="1:1" x14ac:dyDescent="0.25">
      <c r="A7223" s="5"/>
    </row>
    <row r="7224" spans="1:1" x14ac:dyDescent="0.25">
      <c r="A7224" s="5"/>
    </row>
    <row r="7225" spans="1:1" x14ac:dyDescent="0.25">
      <c r="A7225" s="5"/>
    </row>
    <row r="7226" spans="1:1" x14ac:dyDescent="0.25">
      <c r="A7226" s="5"/>
    </row>
    <row r="7227" spans="1:1" x14ac:dyDescent="0.25">
      <c r="A7227" s="5"/>
    </row>
    <row r="7228" spans="1:1" x14ac:dyDescent="0.25">
      <c r="A7228" s="5"/>
    </row>
    <row r="7229" spans="1:1" x14ac:dyDescent="0.25">
      <c r="A7229" s="5"/>
    </row>
    <row r="7230" spans="1:1" x14ac:dyDescent="0.25">
      <c r="A7230" s="5"/>
    </row>
    <row r="7231" spans="1:1" x14ac:dyDescent="0.25">
      <c r="A7231" s="5"/>
    </row>
    <row r="7232" spans="1:1" x14ac:dyDescent="0.25">
      <c r="A7232" s="5"/>
    </row>
    <row r="7233" spans="1:1" x14ac:dyDescent="0.25">
      <c r="A7233" s="5"/>
    </row>
    <row r="7234" spans="1:1" x14ac:dyDescent="0.25">
      <c r="A7234" s="5"/>
    </row>
    <row r="7235" spans="1:1" x14ac:dyDescent="0.25">
      <c r="A7235" s="5"/>
    </row>
    <row r="7236" spans="1:1" x14ac:dyDescent="0.25">
      <c r="A7236" s="5"/>
    </row>
    <row r="7237" spans="1:1" x14ac:dyDescent="0.25">
      <c r="A7237" s="5"/>
    </row>
    <row r="7238" spans="1:1" x14ac:dyDescent="0.25">
      <c r="A7238" s="5"/>
    </row>
    <row r="7239" spans="1:1" x14ac:dyDescent="0.25">
      <c r="A7239" s="5"/>
    </row>
    <row r="7240" spans="1:1" x14ac:dyDescent="0.25">
      <c r="A7240" s="5"/>
    </row>
    <row r="7241" spans="1:1" x14ac:dyDescent="0.25">
      <c r="A7241" s="5"/>
    </row>
    <row r="7242" spans="1:1" x14ac:dyDescent="0.25">
      <c r="A7242" s="5"/>
    </row>
    <row r="7243" spans="1:1" x14ac:dyDescent="0.25">
      <c r="A7243" s="5"/>
    </row>
    <row r="7244" spans="1:1" x14ac:dyDescent="0.25">
      <c r="A7244" s="5"/>
    </row>
    <row r="7245" spans="1:1" x14ac:dyDescent="0.25">
      <c r="A7245" s="5"/>
    </row>
    <row r="7246" spans="1:1" x14ac:dyDescent="0.25">
      <c r="A7246" s="5"/>
    </row>
    <row r="7247" spans="1:1" x14ac:dyDescent="0.25">
      <c r="A7247" s="5"/>
    </row>
    <row r="7248" spans="1:1" x14ac:dyDescent="0.25">
      <c r="A7248" s="5"/>
    </row>
    <row r="7249" spans="1:1" x14ac:dyDescent="0.25">
      <c r="A7249" s="5"/>
    </row>
    <row r="7250" spans="1:1" x14ac:dyDescent="0.25">
      <c r="A7250" s="5"/>
    </row>
    <row r="7251" spans="1:1" x14ac:dyDescent="0.25">
      <c r="A7251" s="5"/>
    </row>
    <row r="7252" spans="1:1" x14ac:dyDescent="0.25">
      <c r="A7252" s="5"/>
    </row>
    <row r="7253" spans="1:1" x14ac:dyDescent="0.25">
      <c r="A7253" s="5"/>
    </row>
    <row r="7254" spans="1:1" x14ac:dyDescent="0.25">
      <c r="A7254" s="5"/>
    </row>
    <row r="7255" spans="1:1" x14ac:dyDescent="0.25">
      <c r="A7255" s="5"/>
    </row>
    <row r="7256" spans="1:1" x14ac:dyDescent="0.25">
      <c r="A7256" s="5"/>
    </row>
    <row r="7257" spans="1:1" x14ac:dyDescent="0.25">
      <c r="A7257" s="5"/>
    </row>
    <row r="7258" spans="1:1" x14ac:dyDescent="0.25">
      <c r="A7258" s="5"/>
    </row>
    <row r="7259" spans="1:1" x14ac:dyDescent="0.25">
      <c r="A7259" s="5"/>
    </row>
    <row r="7260" spans="1:1" x14ac:dyDescent="0.25">
      <c r="A7260" s="5"/>
    </row>
    <row r="7261" spans="1:1" x14ac:dyDescent="0.25">
      <c r="A7261" s="5"/>
    </row>
    <row r="7262" spans="1:1" x14ac:dyDescent="0.25">
      <c r="A7262" s="5"/>
    </row>
    <row r="7263" spans="1:1" x14ac:dyDescent="0.25">
      <c r="A7263" s="5"/>
    </row>
    <row r="7264" spans="1:1" x14ac:dyDescent="0.25">
      <c r="A7264" s="5"/>
    </row>
    <row r="7265" spans="1:1" x14ac:dyDescent="0.25">
      <c r="A7265" s="5"/>
    </row>
    <row r="7266" spans="1:1" x14ac:dyDescent="0.25">
      <c r="A7266" s="5"/>
    </row>
    <row r="7267" spans="1:1" x14ac:dyDescent="0.25">
      <c r="A7267" s="5"/>
    </row>
    <row r="7268" spans="1:1" x14ac:dyDescent="0.25">
      <c r="A7268" s="5"/>
    </row>
    <row r="7269" spans="1:1" x14ac:dyDescent="0.25">
      <c r="A7269" s="5"/>
    </row>
    <row r="7270" spans="1:1" x14ac:dyDescent="0.25">
      <c r="A7270" s="5"/>
    </row>
    <row r="7271" spans="1:1" x14ac:dyDescent="0.25">
      <c r="A7271" s="5"/>
    </row>
    <row r="7272" spans="1:1" x14ac:dyDescent="0.25">
      <c r="A7272" s="5"/>
    </row>
    <row r="7273" spans="1:1" x14ac:dyDescent="0.25">
      <c r="A7273" s="5"/>
    </row>
    <row r="7274" spans="1:1" x14ac:dyDescent="0.25">
      <c r="A7274" s="5"/>
    </row>
    <row r="7275" spans="1:1" x14ac:dyDescent="0.25">
      <c r="A7275" s="5"/>
    </row>
    <row r="7276" spans="1:1" x14ac:dyDescent="0.25">
      <c r="A7276" s="5"/>
    </row>
    <row r="7277" spans="1:1" x14ac:dyDescent="0.25">
      <c r="A7277" s="5"/>
    </row>
    <row r="7278" spans="1:1" x14ac:dyDescent="0.25">
      <c r="A7278" s="5"/>
    </row>
    <row r="7279" spans="1:1" x14ac:dyDescent="0.25">
      <c r="A7279" s="5"/>
    </row>
    <row r="7280" spans="1:1" x14ac:dyDescent="0.25">
      <c r="A7280" s="5"/>
    </row>
    <row r="7281" spans="1:1" x14ac:dyDescent="0.25">
      <c r="A7281" s="5"/>
    </row>
    <row r="7282" spans="1:1" x14ac:dyDescent="0.25">
      <c r="A7282" s="5"/>
    </row>
    <row r="7283" spans="1:1" x14ac:dyDescent="0.25">
      <c r="A7283" s="5"/>
    </row>
    <row r="7284" spans="1:1" x14ac:dyDescent="0.25">
      <c r="A7284" s="5"/>
    </row>
    <row r="7285" spans="1:1" x14ac:dyDescent="0.25">
      <c r="A7285" s="5"/>
    </row>
    <row r="7286" spans="1:1" x14ac:dyDescent="0.25">
      <c r="A7286" s="5"/>
    </row>
    <row r="7287" spans="1:1" x14ac:dyDescent="0.25">
      <c r="A7287" s="5"/>
    </row>
    <row r="7288" spans="1:1" x14ac:dyDescent="0.25">
      <c r="A7288" s="5"/>
    </row>
    <row r="7289" spans="1:1" x14ac:dyDescent="0.25">
      <c r="A7289" s="5"/>
    </row>
    <row r="7290" spans="1:1" x14ac:dyDescent="0.25">
      <c r="A7290" s="5"/>
    </row>
    <row r="7291" spans="1:1" x14ac:dyDescent="0.25">
      <c r="A7291" s="5"/>
    </row>
    <row r="7292" spans="1:1" x14ac:dyDescent="0.25">
      <c r="A7292" s="5"/>
    </row>
    <row r="7293" spans="1:1" x14ac:dyDescent="0.25">
      <c r="A7293" s="5"/>
    </row>
    <row r="7294" spans="1:1" x14ac:dyDescent="0.25">
      <c r="A7294" s="5"/>
    </row>
    <row r="7295" spans="1:1" x14ac:dyDescent="0.25">
      <c r="A7295" s="5"/>
    </row>
    <row r="7296" spans="1:1" x14ac:dyDescent="0.25">
      <c r="A7296" s="5"/>
    </row>
    <row r="7297" spans="1:1" x14ac:dyDescent="0.25">
      <c r="A7297" s="5"/>
    </row>
    <row r="7298" spans="1:1" x14ac:dyDescent="0.25">
      <c r="A7298" s="5"/>
    </row>
    <row r="7299" spans="1:1" x14ac:dyDescent="0.25">
      <c r="A7299" s="5"/>
    </row>
    <row r="7300" spans="1:1" x14ac:dyDescent="0.25">
      <c r="A7300" s="5"/>
    </row>
    <row r="7301" spans="1:1" x14ac:dyDescent="0.25">
      <c r="A7301" s="5"/>
    </row>
    <row r="7302" spans="1:1" x14ac:dyDescent="0.25">
      <c r="A7302" s="5"/>
    </row>
    <row r="7303" spans="1:1" x14ac:dyDescent="0.25">
      <c r="A7303" s="5"/>
    </row>
    <row r="7304" spans="1:1" x14ac:dyDescent="0.25">
      <c r="A7304" s="5"/>
    </row>
    <row r="7305" spans="1:1" x14ac:dyDescent="0.25">
      <c r="A7305" s="5"/>
    </row>
    <row r="7306" spans="1:1" x14ac:dyDescent="0.25">
      <c r="A7306" s="5"/>
    </row>
    <row r="7307" spans="1:1" x14ac:dyDescent="0.25">
      <c r="A7307" s="5"/>
    </row>
    <row r="7308" spans="1:1" x14ac:dyDescent="0.25">
      <c r="A7308" s="5"/>
    </row>
    <row r="7309" spans="1:1" x14ac:dyDescent="0.25">
      <c r="A7309" s="5"/>
    </row>
    <row r="7310" spans="1:1" x14ac:dyDescent="0.25">
      <c r="A7310" s="5"/>
    </row>
    <row r="7311" spans="1:1" x14ac:dyDescent="0.25">
      <c r="A7311" s="5"/>
    </row>
    <row r="7312" spans="1:1" x14ac:dyDescent="0.25">
      <c r="A7312" s="5"/>
    </row>
    <row r="7313" spans="1:1" x14ac:dyDescent="0.25">
      <c r="A7313" s="5"/>
    </row>
    <row r="7314" spans="1:1" x14ac:dyDescent="0.25">
      <c r="A7314" s="5"/>
    </row>
    <row r="7315" spans="1:1" x14ac:dyDescent="0.25">
      <c r="A7315" s="5"/>
    </row>
    <row r="7316" spans="1:1" x14ac:dyDescent="0.25">
      <c r="A7316" s="5"/>
    </row>
    <row r="7317" spans="1:1" x14ac:dyDescent="0.25">
      <c r="A7317" s="5"/>
    </row>
    <row r="7318" spans="1:1" x14ac:dyDescent="0.25">
      <c r="A7318" s="5"/>
    </row>
    <row r="7319" spans="1:1" x14ac:dyDescent="0.25">
      <c r="A7319" s="5"/>
    </row>
    <row r="7320" spans="1:1" x14ac:dyDescent="0.25">
      <c r="A7320" s="5"/>
    </row>
    <row r="7321" spans="1:1" x14ac:dyDescent="0.25">
      <c r="A7321" s="5"/>
    </row>
    <row r="7322" spans="1:1" x14ac:dyDescent="0.25">
      <c r="A7322" s="5"/>
    </row>
    <row r="7323" spans="1:1" x14ac:dyDescent="0.25">
      <c r="A7323" s="5"/>
    </row>
    <row r="7324" spans="1:1" x14ac:dyDescent="0.25">
      <c r="A7324" s="5"/>
    </row>
    <row r="7325" spans="1:1" x14ac:dyDescent="0.25">
      <c r="A7325" s="5"/>
    </row>
    <row r="7326" spans="1:1" x14ac:dyDescent="0.25">
      <c r="A7326" s="5"/>
    </row>
    <row r="7327" spans="1:1" x14ac:dyDescent="0.25">
      <c r="A7327" s="5"/>
    </row>
    <row r="7328" spans="1:1" x14ac:dyDescent="0.25">
      <c r="A7328" s="5"/>
    </row>
    <row r="7329" spans="1:1" x14ac:dyDescent="0.25">
      <c r="A7329" s="5"/>
    </row>
    <row r="7330" spans="1:1" x14ac:dyDescent="0.25">
      <c r="A7330" s="5"/>
    </row>
    <row r="7331" spans="1:1" x14ac:dyDescent="0.25">
      <c r="A7331" s="5"/>
    </row>
    <row r="7332" spans="1:1" x14ac:dyDescent="0.25">
      <c r="A7332" s="5"/>
    </row>
    <row r="7333" spans="1:1" x14ac:dyDescent="0.25">
      <c r="A7333" s="5"/>
    </row>
    <row r="7334" spans="1:1" x14ac:dyDescent="0.25">
      <c r="A7334" s="5"/>
    </row>
    <row r="7335" spans="1:1" x14ac:dyDescent="0.25">
      <c r="A7335" s="5"/>
    </row>
    <row r="7336" spans="1:1" x14ac:dyDescent="0.25">
      <c r="A7336" s="5"/>
    </row>
    <row r="7337" spans="1:1" x14ac:dyDescent="0.25">
      <c r="A7337" s="5"/>
    </row>
    <row r="7338" spans="1:1" x14ac:dyDescent="0.25">
      <c r="A7338" s="5"/>
    </row>
    <row r="7339" spans="1:1" x14ac:dyDescent="0.25">
      <c r="A7339" s="5"/>
    </row>
    <row r="7340" spans="1:1" x14ac:dyDescent="0.25">
      <c r="A7340" s="5"/>
    </row>
    <row r="7341" spans="1:1" x14ac:dyDescent="0.25">
      <c r="A7341" s="5"/>
    </row>
    <row r="7342" spans="1:1" x14ac:dyDescent="0.25">
      <c r="A7342" s="5"/>
    </row>
    <row r="7343" spans="1:1" x14ac:dyDescent="0.25">
      <c r="A7343" s="5"/>
    </row>
    <row r="7344" spans="1:1" x14ac:dyDescent="0.25">
      <c r="A7344" s="5"/>
    </row>
    <row r="7345" spans="1:1" x14ac:dyDescent="0.25">
      <c r="A7345" s="5"/>
    </row>
    <row r="7346" spans="1:1" x14ac:dyDescent="0.25">
      <c r="A7346" s="5"/>
    </row>
    <row r="7347" spans="1:1" x14ac:dyDescent="0.25">
      <c r="A7347" s="5"/>
    </row>
    <row r="7348" spans="1:1" x14ac:dyDescent="0.25">
      <c r="A7348" s="5"/>
    </row>
    <row r="7349" spans="1:1" x14ac:dyDescent="0.25">
      <c r="A7349" s="5"/>
    </row>
    <row r="7350" spans="1:1" x14ac:dyDescent="0.25">
      <c r="A7350" s="5"/>
    </row>
    <row r="7351" spans="1:1" x14ac:dyDescent="0.25">
      <c r="A7351" s="5"/>
    </row>
    <row r="7352" spans="1:1" x14ac:dyDescent="0.25">
      <c r="A7352" s="5"/>
    </row>
    <row r="7353" spans="1:1" x14ac:dyDescent="0.25">
      <c r="A7353" s="5"/>
    </row>
    <row r="7354" spans="1:1" x14ac:dyDescent="0.25">
      <c r="A7354" s="5"/>
    </row>
    <row r="7355" spans="1:1" x14ac:dyDescent="0.25">
      <c r="A7355" s="5"/>
    </row>
    <row r="7356" spans="1:1" x14ac:dyDescent="0.25">
      <c r="A7356" s="5"/>
    </row>
    <row r="7357" spans="1:1" x14ac:dyDescent="0.25">
      <c r="A7357" s="5"/>
    </row>
    <row r="7358" spans="1:1" x14ac:dyDescent="0.25">
      <c r="A7358" s="5"/>
    </row>
    <row r="7359" spans="1:1" x14ac:dyDescent="0.25">
      <c r="A7359" s="5"/>
    </row>
    <row r="7360" spans="1:1" x14ac:dyDescent="0.25">
      <c r="A7360" s="5"/>
    </row>
    <row r="7361" spans="1:1" x14ac:dyDescent="0.25">
      <c r="A7361" s="5"/>
    </row>
    <row r="7362" spans="1:1" x14ac:dyDescent="0.25">
      <c r="A7362" s="5"/>
    </row>
    <row r="7363" spans="1:1" x14ac:dyDescent="0.25">
      <c r="A7363" s="5"/>
    </row>
    <row r="7364" spans="1:1" x14ac:dyDescent="0.25">
      <c r="A7364" s="5"/>
    </row>
    <row r="7365" spans="1:1" x14ac:dyDescent="0.25">
      <c r="A7365" s="5"/>
    </row>
    <row r="7366" spans="1:1" x14ac:dyDescent="0.25">
      <c r="A7366" s="5"/>
    </row>
    <row r="7367" spans="1:1" x14ac:dyDescent="0.25">
      <c r="A7367" s="5"/>
    </row>
    <row r="7368" spans="1:1" x14ac:dyDescent="0.25">
      <c r="A7368" s="5"/>
    </row>
    <row r="7369" spans="1:1" x14ac:dyDescent="0.25">
      <c r="A7369" s="5"/>
    </row>
    <row r="7370" spans="1:1" x14ac:dyDescent="0.25">
      <c r="A7370" s="5"/>
    </row>
    <row r="7371" spans="1:1" x14ac:dyDescent="0.25">
      <c r="A7371" s="5"/>
    </row>
    <row r="7372" spans="1:1" x14ac:dyDescent="0.25">
      <c r="A7372" s="5"/>
    </row>
    <row r="7373" spans="1:1" x14ac:dyDescent="0.25">
      <c r="A7373" s="5"/>
    </row>
    <row r="7374" spans="1:1" x14ac:dyDescent="0.25">
      <c r="A7374" s="5"/>
    </row>
    <row r="7375" spans="1:1" x14ac:dyDescent="0.25">
      <c r="A7375" s="5"/>
    </row>
    <row r="7376" spans="1:1" x14ac:dyDescent="0.25">
      <c r="A7376" s="5"/>
    </row>
    <row r="7377" spans="1:1" x14ac:dyDescent="0.25">
      <c r="A7377" s="5"/>
    </row>
    <row r="7378" spans="1:1" x14ac:dyDescent="0.25">
      <c r="A7378" s="5"/>
    </row>
    <row r="7379" spans="1:1" x14ac:dyDescent="0.25">
      <c r="A7379" s="5"/>
    </row>
    <row r="7380" spans="1:1" x14ac:dyDescent="0.25">
      <c r="A7380" s="5"/>
    </row>
    <row r="7381" spans="1:1" x14ac:dyDescent="0.25">
      <c r="A7381" s="5"/>
    </row>
    <row r="7382" spans="1:1" x14ac:dyDescent="0.25">
      <c r="A7382" s="5"/>
    </row>
    <row r="7383" spans="1:1" x14ac:dyDescent="0.25">
      <c r="A7383" s="5"/>
    </row>
    <row r="7384" spans="1:1" x14ac:dyDescent="0.25">
      <c r="A7384" s="5"/>
    </row>
    <row r="7385" spans="1:1" x14ac:dyDescent="0.25">
      <c r="A7385" s="5"/>
    </row>
    <row r="7386" spans="1:1" x14ac:dyDescent="0.25">
      <c r="A7386" s="5"/>
    </row>
    <row r="7387" spans="1:1" x14ac:dyDescent="0.25">
      <c r="A7387" s="5"/>
    </row>
    <row r="7388" spans="1:1" x14ac:dyDescent="0.25">
      <c r="A7388" s="5"/>
    </row>
    <row r="7389" spans="1:1" x14ac:dyDescent="0.25">
      <c r="A7389" s="5"/>
    </row>
    <row r="7390" spans="1:1" x14ac:dyDescent="0.25">
      <c r="A7390" s="5"/>
    </row>
    <row r="7391" spans="1:1" x14ac:dyDescent="0.25">
      <c r="A7391" s="5"/>
    </row>
    <row r="7392" spans="1:1" x14ac:dyDescent="0.25">
      <c r="A7392" s="5"/>
    </row>
    <row r="7393" spans="1:1" x14ac:dyDescent="0.25">
      <c r="A7393" s="5"/>
    </row>
    <row r="7394" spans="1:1" x14ac:dyDescent="0.25">
      <c r="A7394" s="5"/>
    </row>
    <row r="7395" spans="1:1" x14ac:dyDescent="0.25">
      <c r="A7395" s="5"/>
    </row>
    <row r="7396" spans="1:1" x14ac:dyDescent="0.25">
      <c r="A7396" s="5"/>
    </row>
    <row r="7397" spans="1:1" x14ac:dyDescent="0.25">
      <c r="A7397" s="5"/>
    </row>
    <row r="7398" spans="1:1" x14ac:dyDescent="0.25">
      <c r="A7398" s="5"/>
    </row>
    <row r="7399" spans="1:1" x14ac:dyDescent="0.25">
      <c r="A7399" s="5"/>
    </row>
    <row r="7400" spans="1:1" x14ac:dyDescent="0.25">
      <c r="A7400" s="5"/>
    </row>
    <row r="7401" spans="1:1" x14ac:dyDescent="0.25">
      <c r="A7401" s="5"/>
    </row>
    <row r="7402" spans="1:1" x14ac:dyDescent="0.25">
      <c r="A7402" s="5"/>
    </row>
    <row r="7403" spans="1:1" x14ac:dyDescent="0.25">
      <c r="A7403" s="5"/>
    </row>
    <row r="7404" spans="1:1" x14ac:dyDescent="0.25">
      <c r="A7404" s="5"/>
    </row>
    <row r="7405" spans="1:1" x14ac:dyDescent="0.25">
      <c r="A7405" s="5"/>
    </row>
    <row r="7406" spans="1:1" x14ac:dyDescent="0.25">
      <c r="A7406" s="5"/>
    </row>
    <row r="7407" spans="1:1" x14ac:dyDescent="0.25">
      <c r="A7407" s="5"/>
    </row>
    <row r="7408" spans="1:1" x14ac:dyDescent="0.25">
      <c r="A7408" s="5"/>
    </row>
    <row r="7409" spans="1:1" x14ac:dyDescent="0.25">
      <c r="A7409" s="5"/>
    </row>
    <row r="7410" spans="1:1" x14ac:dyDescent="0.25">
      <c r="A7410" s="5"/>
    </row>
    <row r="7411" spans="1:1" x14ac:dyDescent="0.25">
      <c r="A7411" s="5"/>
    </row>
    <row r="7412" spans="1:1" x14ac:dyDescent="0.25">
      <c r="A7412" s="5"/>
    </row>
    <row r="7413" spans="1:1" x14ac:dyDescent="0.25">
      <c r="A7413" s="5"/>
    </row>
    <row r="7414" spans="1:1" x14ac:dyDescent="0.25">
      <c r="A7414" s="5"/>
    </row>
    <row r="7415" spans="1:1" x14ac:dyDescent="0.25">
      <c r="A7415" s="5"/>
    </row>
    <row r="7416" spans="1:1" x14ac:dyDescent="0.25">
      <c r="A7416" s="5"/>
    </row>
    <row r="7417" spans="1:1" x14ac:dyDescent="0.25">
      <c r="A7417" s="5"/>
    </row>
    <row r="7418" spans="1:1" x14ac:dyDescent="0.25">
      <c r="A7418" s="5"/>
    </row>
    <row r="7419" spans="1:1" x14ac:dyDescent="0.25">
      <c r="A7419" s="5"/>
    </row>
    <row r="7420" spans="1:1" x14ac:dyDescent="0.25">
      <c r="A7420" s="5"/>
    </row>
    <row r="7421" spans="1:1" x14ac:dyDescent="0.25">
      <c r="A7421" s="5"/>
    </row>
    <row r="7422" spans="1:1" x14ac:dyDescent="0.25">
      <c r="A7422" s="5"/>
    </row>
    <row r="7423" spans="1:1" x14ac:dyDescent="0.25">
      <c r="A7423" s="5"/>
    </row>
    <row r="7424" spans="1:1" x14ac:dyDescent="0.25">
      <c r="A7424" s="5"/>
    </row>
    <row r="7425" spans="1:1" x14ac:dyDescent="0.25">
      <c r="A7425" s="5"/>
    </row>
    <row r="7426" spans="1:1" x14ac:dyDescent="0.25">
      <c r="A7426" s="5"/>
    </row>
    <row r="7427" spans="1:1" x14ac:dyDescent="0.25">
      <c r="A7427" s="5"/>
    </row>
    <row r="7428" spans="1:1" x14ac:dyDescent="0.25">
      <c r="A7428" s="5"/>
    </row>
    <row r="7429" spans="1:1" x14ac:dyDescent="0.25">
      <c r="A7429" s="5"/>
    </row>
    <row r="7430" spans="1:1" x14ac:dyDescent="0.25">
      <c r="A7430" s="5"/>
    </row>
    <row r="7431" spans="1:1" x14ac:dyDescent="0.25">
      <c r="A7431" s="5"/>
    </row>
    <row r="7432" spans="1:1" x14ac:dyDescent="0.25">
      <c r="A7432" s="5"/>
    </row>
    <row r="7433" spans="1:1" x14ac:dyDescent="0.25">
      <c r="A7433" s="5"/>
    </row>
    <row r="7434" spans="1:1" x14ac:dyDescent="0.25">
      <c r="A7434" s="5"/>
    </row>
    <row r="7435" spans="1:1" x14ac:dyDescent="0.25">
      <c r="A7435" s="5"/>
    </row>
    <row r="7436" spans="1:1" x14ac:dyDescent="0.25">
      <c r="A7436" s="5"/>
    </row>
    <row r="7437" spans="1:1" x14ac:dyDescent="0.25">
      <c r="A7437" s="5"/>
    </row>
    <row r="7438" spans="1:1" x14ac:dyDescent="0.25">
      <c r="A7438" s="5"/>
    </row>
    <row r="7439" spans="1:1" x14ac:dyDescent="0.25">
      <c r="A7439" s="5"/>
    </row>
    <row r="7440" spans="1:1" x14ac:dyDescent="0.25">
      <c r="A7440" s="5"/>
    </row>
    <row r="7441" spans="1:1" x14ac:dyDescent="0.25">
      <c r="A7441" s="5"/>
    </row>
    <row r="7442" spans="1:1" x14ac:dyDescent="0.25">
      <c r="A7442" s="5"/>
    </row>
    <row r="7443" spans="1:1" x14ac:dyDescent="0.25">
      <c r="A7443" s="5"/>
    </row>
    <row r="7444" spans="1:1" x14ac:dyDescent="0.25">
      <c r="A7444" s="5"/>
    </row>
    <row r="7445" spans="1:1" x14ac:dyDescent="0.25">
      <c r="A7445" s="5"/>
    </row>
    <row r="7446" spans="1:1" x14ac:dyDescent="0.25">
      <c r="A7446" s="5"/>
    </row>
    <row r="7447" spans="1:1" x14ac:dyDescent="0.25">
      <c r="A7447" s="5"/>
    </row>
    <row r="7448" spans="1:1" x14ac:dyDescent="0.25">
      <c r="A7448" s="5"/>
    </row>
    <row r="7449" spans="1:1" x14ac:dyDescent="0.25">
      <c r="A7449" s="5"/>
    </row>
    <row r="7450" spans="1:1" x14ac:dyDescent="0.25">
      <c r="A7450" s="5"/>
    </row>
    <row r="7451" spans="1:1" x14ac:dyDescent="0.25">
      <c r="A7451" s="5"/>
    </row>
    <row r="7452" spans="1:1" x14ac:dyDescent="0.25">
      <c r="A7452" s="5"/>
    </row>
    <row r="7453" spans="1:1" x14ac:dyDescent="0.25">
      <c r="A7453" s="5"/>
    </row>
    <row r="7454" spans="1:1" x14ac:dyDescent="0.25">
      <c r="A7454" s="5"/>
    </row>
    <row r="7455" spans="1:1" x14ac:dyDescent="0.25">
      <c r="A7455" s="5"/>
    </row>
    <row r="7456" spans="1:1" x14ac:dyDescent="0.25">
      <c r="A7456" s="5"/>
    </row>
    <row r="7457" spans="1:1" x14ac:dyDescent="0.25">
      <c r="A7457" s="5"/>
    </row>
    <row r="7458" spans="1:1" x14ac:dyDescent="0.25">
      <c r="A7458" s="5"/>
    </row>
    <row r="7459" spans="1:1" x14ac:dyDescent="0.25">
      <c r="A7459" s="5"/>
    </row>
    <row r="7460" spans="1:1" x14ac:dyDescent="0.25">
      <c r="A7460" s="5"/>
    </row>
    <row r="7461" spans="1:1" x14ac:dyDescent="0.25">
      <c r="A7461" s="5"/>
    </row>
    <row r="7462" spans="1:1" x14ac:dyDescent="0.25">
      <c r="A7462" s="5"/>
    </row>
    <row r="7463" spans="1:1" x14ac:dyDescent="0.25">
      <c r="A7463" s="5"/>
    </row>
    <row r="7464" spans="1:1" x14ac:dyDescent="0.25">
      <c r="A7464" s="5"/>
    </row>
    <row r="7465" spans="1:1" x14ac:dyDescent="0.25">
      <c r="A7465" s="5"/>
    </row>
    <row r="7466" spans="1:1" x14ac:dyDescent="0.25">
      <c r="A7466" s="5"/>
    </row>
    <row r="7467" spans="1:1" x14ac:dyDescent="0.25">
      <c r="A7467" s="5"/>
    </row>
    <row r="7468" spans="1:1" x14ac:dyDescent="0.25">
      <c r="A7468" s="5"/>
    </row>
    <row r="7469" spans="1:1" x14ac:dyDescent="0.25">
      <c r="A7469" s="5"/>
    </row>
    <row r="7470" spans="1:1" x14ac:dyDescent="0.25">
      <c r="A7470" s="5"/>
    </row>
    <row r="7471" spans="1:1" x14ac:dyDescent="0.25">
      <c r="A7471" s="5"/>
    </row>
    <row r="7472" spans="1:1" x14ac:dyDescent="0.25">
      <c r="A7472" s="5"/>
    </row>
    <row r="7473" spans="1:1" x14ac:dyDescent="0.25">
      <c r="A7473" s="5"/>
    </row>
    <row r="7474" spans="1:1" x14ac:dyDescent="0.25">
      <c r="A7474" s="5"/>
    </row>
    <row r="7475" spans="1:1" x14ac:dyDescent="0.25">
      <c r="A7475" s="5"/>
    </row>
    <row r="7476" spans="1:1" x14ac:dyDescent="0.25">
      <c r="A7476" s="5"/>
    </row>
    <row r="7477" spans="1:1" x14ac:dyDescent="0.25">
      <c r="A7477" s="5"/>
    </row>
    <row r="7478" spans="1:1" x14ac:dyDescent="0.25">
      <c r="A7478" s="5"/>
    </row>
    <row r="7479" spans="1:1" x14ac:dyDescent="0.25">
      <c r="A7479" s="5"/>
    </row>
    <row r="7480" spans="1:1" x14ac:dyDescent="0.25">
      <c r="A7480" s="5"/>
    </row>
    <row r="7481" spans="1:1" x14ac:dyDescent="0.25">
      <c r="A7481" s="5"/>
    </row>
    <row r="7482" spans="1:1" x14ac:dyDescent="0.25">
      <c r="A7482" s="5"/>
    </row>
    <row r="7483" spans="1:1" x14ac:dyDescent="0.25">
      <c r="A7483" s="5"/>
    </row>
    <row r="7484" spans="1:1" x14ac:dyDescent="0.25">
      <c r="A7484" s="5"/>
    </row>
    <row r="7485" spans="1:1" x14ac:dyDescent="0.25">
      <c r="A7485" s="5"/>
    </row>
    <row r="7486" spans="1:1" x14ac:dyDescent="0.25">
      <c r="A7486" s="5"/>
    </row>
    <row r="7487" spans="1:1" x14ac:dyDescent="0.25">
      <c r="A7487" s="5"/>
    </row>
    <row r="7488" spans="1:1" x14ac:dyDescent="0.25">
      <c r="A7488" s="5"/>
    </row>
    <row r="7489" spans="1:1" x14ac:dyDescent="0.25">
      <c r="A7489" s="5"/>
    </row>
    <row r="7490" spans="1:1" x14ac:dyDescent="0.25">
      <c r="A7490" s="5"/>
    </row>
    <row r="7491" spans="1:1" x14ac:dyDescent="0.25">
      <c r="A7491" s="5"/>
    </row>
    <row r="7492" spans="1:1" x14ac:dyDescent="0.25">
      <c r="A7492" s="5"/>
    </row>
    <row r="7493" spans="1:1" x14ac:dyDescent="0.25">
      <c r="A7493" s="5"/>
    </row>
    <row r="7494" spans="1:1" x14ac:dyDescent="0.25">
      <c r="A7494" s="5"/>
    </row>
    <row r="7495" spans="1:1" x14ac:dyDescent="0.25">
      <c r="A7495" s="5"/>
    </row>
    <row r="7496" spans="1:1" x14ac:dyDescent="0.25">
      <c r="A7496" s="5"/>
    </row>
    <row r="7497" spans="1:1" x14ac:dyDescent="0.25">
      <c r="A7497" s="5"/>
    </row>
    <row r="7498" spans="1:1" x14ac:dyDescent="0.25">
      <c r="A7498" s="5"/>
    </row>
    <row r="7499" spans="1:1" x14ac:dyDescent="0.25">
      <c r="A7499" s="5"/>
    </row>
    <row r="7500" spans="1:1" x14ac:dyDescent="0.25">
      <c r="A7500" s="5"/>
    </row>
    <row r="7501" spans="1:1" x14ac:dyDescent="0.25">
      <c r="A7501" s="5"/>
    </row>
    <row r="7502" spans="1:1" x14ac:dyDescent="0.25">
      <c r="A7502" s="5"/>
    </row>
    <row r="7503" spans="1:1" x14ac:dyDescent="0.25">
      <c r="A7503" s="5"/>
    </row>
    <row r="7504" spans="1:1" x14ac:dyDescent="0.25">
      <c r="A7504" s="5"/>
    </row>
    <row r="7505" spans="1:1" x14ac:dyDescent="0.25">
      <c r="A7505" s="5"/>
    </row>
    <row r="7506" spans="1:1" x14ac:dyDescent="0.25">
      <c r="A7506" s="5"/>
    </row>
    <row r="7507" spans="1:1" x14ac:dyDescent="0.25">
      <c r="A7507" s="5"/>
    </row>
    <row r="7508" spans="1:1" x14ac:dyDescent="0.25">
      <c r="A7508" s="5"/>
    </row>
    <row r="7509" spans="1:1" x14ac:dyDescent="0.25">
      <c r="A7509" s="5"/>
    </row>
    <row r="7510" spans="1:1" x14ac:dyDescent="0.25">
      <c r="A7510" s="5"/>
    </row>
    <row r="7511" spans="1:1" x14ac:dyDescent="0.25">
      <c r="A7511" s="5"/>
    </row>
    <row r="7512" spans="1:1" x14ac:dyDescent="0.25">
      <c r="A7512" s="5"/>
    </row>
    <row r="7513" spans="1:1" x14ac:dyDescent="0.25">
      <c r="A7513" s="5"/>
    </row>
    <row r="7514" spans="1:1" x14ac:dyDescent="0.25">
      <c r="A7514" s="5"/>
    </row>
    <row r="7515" spans="1:1" x14ac:dyDescent="0.25">
      <c r="A7515" s="5"/>
    </row>
    <row r="7516" spans="1:1" x14ac:dyDescent="0.25">
      <c r="A7516" s="5"/>
    </row>
    <row r="7517" spans="1:1" x14ac:dyDescent="0.25">
      <c r="A7517" s="5"/>
    </row>
    <row r="7518" spans="1:1" x14ac:dyDescent="0.25">
      <c r="A7518" s="5"/>
    </row>
    <row r="7519" spans="1:1" x14ac:dyDescent="0.25">
      <c r="A7519" s="5"/>
    </row>
    <row r="7520" spans="1:1" x14ac:dyDescent="0.25">
      <c r="A7520" s="5"/>
    </row>
    <row r="7521" spans="1:1" x14ac:dyDescent="0.25">
      <c r="A7521" s="5"/>
    </row>
    <row r="7522" spans="1:1" x14ac:dyDescent="0.25">
      <c r="A7522" s="5"/>
    </row>
    <row r="7523" spans="1:1" x14ac:dyDescent="0.25">
      <c r="A7523" s="5"/>
    </row>
    <row r="7524" spans="1:1" x14ac:dyDescent="0.25">
      <c r="A7524" s="5"/>
    </row>
    <row r="7525" spans="1:1" x14ac:dyDescent="0.25">
      <c r="A7525" s="5"/>
    </row>
    <row r="7526" spans="1:1" x14ac:dyDescent="0.25">
      <c r="A7526" s="5"/>
    </row>
    <row r="7527" spans="1:1" x14ac:dyDescent="0.25">
      <c r="A7527" s="5"/>
    </row>
    <row r="7528" spans="1:1" x14ac:dyDescent="0.25">
      <c r="A7528" s="5"/>
    </row>
    <row r="7529" spans="1:1" x14ac:dyDescent="0.25">
      <c r="A7529" s="5"/>
    </row>
    <row r="7530" spans="1:1" x14ac:dyDescent="0.25">
      <c r="A7530" s="5"/>
    </row>
    <row r="7531" spans="1:1" x14ac:dyDescent="0.25">
      <c r="A7531" s="5"/>
    </row>
    <row r="7532" spans="1:1" x14ac:dyDescent="0.25">
      <c r="A7532" s="5"/>
    </row>
    <row r="7533" spans="1:1" x14ac:dyDescent="0.25">
      <c r="A7533" s="5"/>
    </row>
    <row r="7534" spans="1:1" x14ac:dyDescent="0.25">
      <c r="A7534" s="5"/>
    </row>
    <row r="7535" spans="1:1" x14ac:dyDescent="0.25">
      <c r="A7535" s="5"/>
    </row>
    <row r="7536" spans="1:1" x14ac:dyDescent="0.25">
      <c r="A7536" s="5"/>
    </row>
    <row r="7537" spans="1:1" x14ac:dyDescent="0.25">
      <c r="A7537" s="5"/>
    </row>
    <row r="7538" spans="1:1" x14ac:dyDescent="0.25">
      <c r="A7538" s="5"/>
    </row>
    <row r="7539" spans="1:1" x14ac:dyDescent="0.25">
      <c r="A7539" s="5"/>
    </row>
    <row r="7540" spans="1:1" x14ac:dyDescent="0.25">
      <c r="A7540" s="5"/>
    </row>
    <row r="7541" spans="1:1" x14ac:dyDescent="0.25">
      <c r="A7541" s="5"/>
    </row>
    <row r="7542" spans="1:1" x14ac:dyDescent="0.25">
      <c r="A7542" s="5"/>
    </row>
    <row r="7543" spans="1:1" x14ac:dyDescent="0.25">
      <c r="A7543" s="5"/>
    </row>
    <row r="7544" spans="1:1" x14ac:dyDescent="0.25">
      <c r="A7544" s="5"/>
    </row>
    <row r="7545" spans="1:1" x14ac:dyDescent="0.25">
      <c r="A7545" s="5"/>
    </row>
    <row r="7546" spans="1:1" x14ac:dyDescent="0.25">
      <c r="A7546" s="5"/>
    </row>
    <row r="7547" spans="1:1" x14ac:dyDescent="0.25">
      <c r="A7547" s="5"/>
    </row>
    <row r="7548" spans="1:1" x14ac:dyDescent="0.25">
      <c r="A7548" s="5"/>
    </row>
    <row r="7549" spans="1:1" x14ac:dyDescent="0.25">
      <c r="A7549" s="5"/>
    </row>
    <row r="7550" spans="1:1" x14ac:dyDescent="0.25">
      <c r="A7550" s="5"/>
    </row>
    <row r="7551" spans="1:1" x14ac:dyDescent="0.25">
      <c r="A7551" s="5"/>
    </row>
    <row r="7552" spans="1:1" x14ac:dyDescent="0.25">
      <c r="A7552" s="5"/>
    </row>
    <row r="7553" spans="1:1" x14ac:dyDescent="0.25">
      <c r="A7553" s="5"/>
    </row>
    <row r="7554" spans="1:1" x14ac:dyDescent="0.25">
      <c r="A7554" s="5"/>
    </row>
    <row r="7555" spans="1:1" x14ac:dyDescent="0.25">
      <c r="A7555" s="5"/>
    </row>
    <row r="7556" spans="1:1" x14ac:dyDescent="0.25">
      <c r="A7556" s="5"/>
    </row>
    <row r="7557" spans="1:1" x14ac:dyDescent="0.25">
      <c r="A7557" s="5"/>
    </row>
    <row r="7558" spans="1:1" x14ac:dyDescent="0.25">
      <c r="A7558" s="5"/>
    </row>
    <row r="7559" spans="1:1" x14ac:dyDescent="0.25">
      <c r="A7559" s="5"/>
    </row>
    <row r="7560" spans="1:1" x14ac:dyDescent="0.25">
      <c r="A7560" s="5"/>
    </row>
    <row r="7561" spans="1:1" x14ac:dyDescent="0.25">
      <c r="A7561" s="5"/>
    </row>
    <row r="7562" spans="1:1" x14ac:dyDescent="0.25">
      <c r="A7562" s="5"/>
    </row>
    <row r="7563" spans="1:1" x14ac:dyDescent="0.25">
      <c r="A7563" s="5"/>
    </row>
    <row r="7564" spans="1:1" x14ac:dyDescent="0.25">
      <c r="A7564" s="5"/>
    </row>
    <row r="7565" spans="1:1" x14ac:dyDescent="0.25">
      <c r="A7565" s="5"/>
    </row>
    <row r="7566" spans="1:1" x14ac:dyDescent="0.25">
      <c r="A7566" s="5"/>
    </row>
    <row r="7567" spans="1:1" x14ac:dyDescent="0.25">
      <c r="A7567" s="5"/>
    </row>
    <row r="7568" spans="1:1" x14ac:dyDescent="0.25">
      <c r="A7568" s="5"/>
    </row>
    <row r="7569" spans="1:1" x14ac:dyDescent="0.25">
      <c r="A7569" s="5"/>
    </row>
    <row r="7570" spans="1:1" x14ac:dyDescent="0.25">
      <c r="A7570" s="5"/>
    </row>
    <row r="7571" spans="1:1" x14ac:dyDescent="0.25">
      <c r="A7571" s="5"/>
    </row>
    <row r="7572" spans="1:1" x14ac:dyDescent="0.25">
      <c r="A7572" s="5"/>
    </row>
    <row r="7573" spans="1:1" x14ac:dyDescent="0.25">
      <c r="A7573" s="5"/>
    </row>
    <row r="7574" spans="1:1" x14ac:dyDescent="0.25">
      <c r="A7574" s="5"/>
    </row>
    <row r="7575" spans="1:1" x14ac:dyDescent="0.25">
      <c r="A7575" s="5"/>
    </row>
    <row r="7576" spans="1:1" x14ac:dyDescent="0.25">
      <c r="A7576" s="5"/>
    </row>
    <row r="7577" spans="1:1" x14ac:dyDescent="0.25">
      <c r="A7577" s="5"/>
    </row>
    <row r="7578" spans="1:1" x14ac:dyDescent="0.25">
      <c r="A7578" s="5"/>
    </row>
    <row r="7579" spans="1:1" x14ac:dyDescent="0.25">
      <c r="A7579" s="5"/>
    </row>
    <row r="7580" spans="1:1" x14ac:dyDescent="0.25">
      <c r="A7580" s="5"/>
    </row>
    <row r="7581" spans="1:1" x14ac:dyDescent="0.25">
      <c r="A7581" s="5"/>
    </row>
    <row r="7582" spans="1:1" x14ac:dyDescent="0.25">
      <c r="A7582" s="5"/>
    </row>
    <row r="7583" spans="1:1" x14ac:dyDescent="0.25">
      <c r="A7583" s="5"/>
    </row>
    <row r="7584" spans="1:1" x14ac:dyDescent="0.25">
      <c r="A7584" s="5"/>
    </row>
    <row r="7585" spans="1:1" x14ac:dyDescent="0.25">
      <c r="A7585" s="5"/>
    </row>
    <row r="7586" spans="1:1" x14ac:dyDescent="0.25">
      <c r="A7586" s="5"/>
    </row>
    <row r="7587" spans="1:1" x14ac:dyDescent="0.25">
      <c r="A7587" s="5"/>
    </row>
    <row r="7588" spans="1:1" x14ac:dyDescent="0.25">
      <c r="A7588" s="5"/>
    </row>
    <row r="7589" spans="1:1" x14ac:dyDescent="0.25">
      <c r="A7589" s="5"/>
    </row>
    <row r="7590" spans="1:1" x14ac:dyDescent="0.25">
      <c r="A7590" s="5"/>
    </row>
    <row r="7591" spans="1:1" x14ac:dyDescent="0.25">
      <c r="A7591" s="5"/>
    </row>
    <row r="7592" spans="1:1" x14ac:dyDescent="0.25">
      <c r="A7592" s="5"/>
    </row>
    <row r="7593" spans="1:1" x14ac:dyDescent="0.25">
      <c r="A7593" s="5"/>
    </row>
    <row r="7594" spans="1:1" x14ac:dyDescent="0.25">
      <c r="A7594" s="5"/>
    </row>
    <row r="7595" spans="1:1" x14ac:dyDescent="0.25">
      <c r="A7595" s="5"/>
    </row>
    <row r="7596" spans="1:1" x14ac:dyDescent="0.25">
      <c r="A7596" s="5"/>
    </row>
    <row r="7597" spans="1:1" x14ac:dyDescent="0.25">
      <c r="A7597" s="5"/>
    </row>
    <row r="7598" spans="1:1" x14ac:dyDescent="0.25">
      <c r="A7598" s="5"/>
    </row>
    <row r="7599" spans="1:1" x14ac:dyDescent="0.25">
      <c r="A7599" s="5"/>
    </row>
    <row r="7600" spans="1:1" x14ac:dyDescent="0.25">
      <c r="A7600" s="5"/>
    </row>
    <row r="7601" spans="1:1" x14ac:dyDescent="0.25">
      <c r="A7601" s="5"/>
    </row>
    <row r="7602" spans="1:1" x14ac:dyDescent="0.25">
      <c r="A7602" s="5"/>
    </row>
    <row r="7603" spans="1:1" x14ac:dyDescent="0.25">
      <c r="A7603" s="5"/>
    </row>
    <row r="7604" spans="1:1" x14ac:dyDescent="0.25">
      <c r="A7604" s="5"/>
    </row>
    <row r="7605" spans="1:1" x14ac:dyDescent="0.25">
      <c r="A7605" s="5"/>
    </row>
    <row r="7606" spans="1:1" x14ac:dyDescent="0.25">
      <c r="A7606" s="5"/>
    </row>
    <row r="7607" spans="1:1" x14ac:dyDescent="0.25">
      <c r="A7607" s="5"/>
    </row>
    <row r="7608" spans="1:1" x14ac:dyDescent="0.25">
      <c r="A7608" s="5"/>
    </row>
    <row r="7609" spans="1:1" x14ac:dyDescent="0.25">
      <c r="A7609" s="5"/>
    </row>
    <row r="7610" spans="1:1" x14ac:dyDescent="0.25">
      <c r="A7610" s="5"/>
    </row>
    <row r="7611" spans="1:1" x14ac:dyDescent="0.25">
      <c r="A7611" s="5"/>
    </row>
    <row r="7612" spans="1:1" x14ac:dyDescent="0.25">
      <c r="A7612" s="5"/>
    </row>
    <row r="7613" spans="1:1" x14ac:dyDescent="0.25">
      <c r="A7613" s="5"/>
    </row>
    <row r="7614" spans="1:1" x14ac:dyDescent="0.25">
      <c r="A7614" s="5"/>
    </row>
    <row r="7615" spans="1:1" x14ac:dyDescent="0.25">
      <c r="A7615" s="5"/>
    </row>
    <row r="7616" spans="1:1" x14ac:dyDescent="0.25">
      <c r="A7616" s="5"/>
    </row>
    <row r="7617" spans="1:1" x14ac:dyDescent="0.25">
      <c r="A7617" s="5"/>
    </row>
    <row r="7618" spans="1:1" x14ac:dyDescent="0.25">
      <c r="A7618" s="5"/>
    </row>
    <row r="7619" spans="1:1" x14ac:dyDescent="0.25">
      <c r="A7619" s="5"/>
    </row>
    <row r="7620" spans="1:1" x14ac:dyDescent="0.25">
      <c r="A7620" s="5"/>
    </row>
    <row r="7621" spans="1:1" x14ac:dyDescent="0.25">
      <c r="A7621" s="5"/>
    </row>
    <row r="7622" spans="1:1" x14ac:dyDescent="0.25">
      <c r="A7622" s="5"/>
    </row>
    <row r="7623" spans="1:1" x14ac:dyDescent="0.25">
      <c r="A7623" s="5"/>
    </row>
    <row r="7624" spans="1:1" x14ac:dyDescent="0.25">
      <c r="A7624" s="5"/>
    </row>
    <row r="7625" spans="1:1" x14ac:dyDescent="0.25">
      <c r="A7625" s="5"/>
    </row>
    <row r="7626" spans="1:1" x14ac:dyDescent="0.25">
      <c r="A7626" s="5"/>
    </row>
    <row r="7627" spans="1:1" x14ac:dyDescent="0.25">
      <c r="A7627" s="5"/>
    </row>
    <row r="7628" spans="1:1" x14ac:dyDescent="0.25">
      <c r="A7628" s="5"/>
    </row>
    <row r="7629" spans="1:1" x14ac:dyDescent="0.25">
      <c r="A7629" s="5"/>
    </row>
    <row r="7630" spans="1:1" x14ac:dyDescent="0.25">
      <c r="A7630" s="5"/>
    </row>
    <row r="7631" spans="1:1" x14ac:dyDescent="0.25">
      <c r="A7631" s="5"/>
    </row>
    <row r="7632" spans="1:1" x14ac:dyDescent="0.25">
      <c r="A7632" s="5"/>
    </row>
    <row r="7633" spans="1:1" x14ac:dyDescent="0.25">
      <c r="A7633" s="5"/>
    </row>
    <row r="7634" spans="1:1" x14ac:dyDescent="0.25">
      <c r="A7634" s="5"/>
    </row>
    <row r="7635" spans="1:1" x14ac:dyDescent="0.25">
      <c r="A7635" s="5"/>
    </row>
    <row r="7636" spans="1:1" x14ac:dyDescent="0.25">
      <c r="A7636" s="5"/>
    </row>
    <row r="7637" spans="1:1" x14ac:dyDescent="0.25">
      <c r="A7637" s="5"/>
    </row>
    <row r="7638" spans="1:1" x14ac:dyDescent="0.25">
      <c r="A7638" s="5"/>
    </row>
    <row r="7639" spans="1:1" x14ac:dyDescent="0.25">
      <c r="A7639" s="5"/>
    </row>
    <row r="7640" spans="1:1" x14ac:dyDescent="0.25">
      <c r="A7640" s="5"/>
    </row>
    <row r="7641" spans="1:1" x14ac:dyDescent="0.25">
      <c r="A7641" s="5"/>
    </row>
    <row r="7642" spans="1:1" x14ac:dyDescent="0.25">
      <c r="A7642" s="5"/>
    </row>
    <row r="7643" spans="1:1" x14ac:dyDescent="0.25">
      <c r="A7643" s="5"/>
    </row>
    <row r="7644" spans="1:1" x14ac:dyDescent="0.25">
      <c r="A7644" s="5"/>
    </row>
    <row r="7645" spans="1:1" x14ac:dyDescent="0.25">
      <c r="A7645" s="5"/>
    </row>
    <row r="7646" spans="1:1" x14ac:dyDescent="0.25">
      <c r="A7646" s="5"/>
    </row>
    <row r="7647" spans="1:1" x14ac:dyDescent="0.25">
      <c r="A7647" s="5"/>
    </row>
    <row r="7648" spans="1:1" x14ac:dyDescent="0.25">
      <c r="A7648" s="5"/>
    </row>
    <row r="7649" spans="1:1" x14ac:dyDescent="0.25">
      <c r="A7649" s="5"/>
    </row>
    <row r="7650" spans="1:1" x14ac:dyDescent="0.25">
      <c r="A7650" s="5"/>
    </row>
    <row r="7651" spans="1:1" x14ac:dyDescent="0.25">
      <c r="A7651" s="5"/>
    </row>
    <row r="7652" spans="1:1" x14ac:dyDescent="0.25">
      <c r="A7652" s="5"/>
    </row>
    <row r="7653" spans="1:1" x14ac:dyDescent="0.25">
      <c r="A7653" s="5"/>
    </row>
    <row r="7654" spans="1:1" x14ac:dyDescent="0.25">
      <c r="A7654" s="5"/>
    </row>
    <row r="7655" spans="1:1" x14ac:dyDescent="0.25">
      <c r="A7655" s="5"/>
    </row>
    <row r="7656" spans="1:1" x14ac:dyDescent="0.25">
      <c r="A7656" s="5"/>
    </row>
    <row r="7657" spans="1:1" x14ac:dyDescent="0.25">
      <c r="A7657" s="5"/>
    </row>
    <row r="7658" spans="1:1" x14ac:dyDescent="0.25">
      <c r="A7658" s="5"/>
    </row>
    <row r="7659" spans="1:1" x14ac:dyDescent="0.25">
      <c r="A7659" s="5"/>
    </row>
    <row r="7660" spans="1:1" x14ac:dyDescent="0.25">
      <c r="A7660" s="5"/>
    </row>
    <row r="7661" spans="1:1" x14ac:dyDescent="0.25">
      <c r="A7661" s="5"/>
    </row>
    <row r="7662" spans="1:1" x14ac:dyDescent="0.25">
      <c r="A7662" s="5"/>
    </row>
    <row r="7663" spans="1:1" x14ac:dyDescent="0.25">
      <c r="A7663" s="5"/>
    </row>
    <row r="7664" spans="1:1" x14ac:dyDescent="0.25">
      <c r="A7664" s="5"/>
    </row>
    <row r="7665" spans="1:1" x14ac:dyDescent="0.25">
      <c r="A7665" s="5"/>
    </row>
    <row r="7666" spans="1:1" x14ac:dyDescent="0.25">
      <c r="A7666" s="5"/>
    </row>
    <row r="7667" spans="1:1" x14ac:dyDescent="0.25">
      <c r="A7667" s="5"/>
    </row>
    <row r="7668" spans="1:1" x14ac:dyDescent="0.25">
      <c r="A7668" s="5"/>
    </row>
    <row r="7669" spans="1:1" x14ac:dyDescent="0.25">
      <c r="A7669" s="5"/>
    </row>
    <row r="7670" spans="1:1" x14ac:dyDescent="0.25">
      <c r="A7670" s="5"/>
    </row>
    <row r="7671" spans="1:1" x14ac:dyDescent="0.25">
      <c r="A7671" s="5"/>
    </row>
    <row r="7672" spans="1:1" x14ac:dyDescent="0.25">
      <c r="A7672" s="5"/>
    </row>
    <row r="7673" spans="1:1" x14ac:dyDescent="0.25">
      <c r="A7673" s="5"/>
    </row>
    <row r="7674" spans="1:1" x14ac:dyDescent="0.25">
      <c r="A7674" s="5"/>
    </row>
    <row r="7675" spans="1:1" x14ac:dyDescent="0.25">
      <c r="A7675" s="5"/>
    </row>
    <row r="7676" spans="1:1" x14ac:dyDescent="0.25">
      <c r="A7676" s="5"/>
    </row>
    <row r="7677" spans="1:1" x14ac:dyDescent="0.25">
      <c r="A7677" s="5"/>
    </row>
    <row r="7678" spans="1:1" x14ac:dyDescent="0.25">
      <c r="A7678" s="5"/>
    </row>
    <row r="7679" spans="1:1" x14ac:dyDescent="0.25">
      <c r="A7679" s="5"/>
    </row>
    <row r="7680" spans="1:1" x14ac:dyDescent="0.25">
      <c r="A7680" s="5"/>
    </row>
    <row r="7681" spans="1:1" x14ac:dyDescent="0.25">
      <c r="A7681" s="5"/>
    </row>
    <row r="7682" spans="1:1" x14ac:dyDescent="0.25">
      <c r="A7682" s="5"/>
    </row>
    <row r="7683" spans="1:1" x14ac:dyDescent="0.25">
      <c r="A7683" s="5"/>
    </row>
    <row r="7684" spans="1:1" x14ac:dyDescent="0.25">
      <c r="A7684" s="5"/>
    </row>
    <row r="7685" spans="1:1" x14ac:dyDescent="0.25">
      <c r="A7685" s="5"/>
    </row>
    <row r="7686" spans="1:1" x14ac:dyDescent="0.25">
      <c r="A7686" s="5"/>
    </row>
    <row r="7687" spans="1:1" x14ac:dyDescent="0.25">
      <c r="A7687" s="5"/>
    </row>
    <row r="7688" spans="1:1" x14ac:dyDescent="0.25">
      <c r="A7688" s="5"/>
    </row>
    <row r="7689" spans="1:1" x14ac:dyDescent="0.25">
      <c r="A7689" s="5"/>
    </row>
    <row r="7690" spans="1:1" x14ac:dyDescent="0.25">
      <c r="A7690" s="5"/>
    </row>
    <row r="7691" spans="1:1" x14ac:dyDescent="0.25">
      <c r="A7691" s="5"/>
    </row>
    <row r="7692" spans="1:1" x14ac:dyDescent="0.25">
      <c r="A7692" s="5"/>
    </row>
    <row r="7693" spans="1:1" x14ac:dyDescent="0.25">
      <c r="A7693" s="5"/>
    </row>
    <row r="7694" spans="1:1" x14ac:dyDescent="0.25">
      <c r="A7694" s="5"/>
    </row>
    <row r="7695" spans="1:1" x14ac:dyDescent="0.25">
      <c r="A7695" s="5"/>
    </row>
    <row r="7696" spans="1:1" x14ac:dyDescent="0.25">
      <c r="A7696" s="5"/>
    </row>
    <row r="7697" spans="1:1" x14ac:dyDescent="0.25">
      <c r="A7697" s="5"/>
    </row>
    <row r="7698" spans="1:1" x14ac:dyDescent="0.25">
      <c r="A7698" s="5"/>
    </row>
    <row r="7699" spans="1:1" x14ac:dyDescent="0.25">
      <c r="A7699" s="5"/>
    </row>
    <row r="7700" spans="1:1" x14ac:dyDescent="0.25">
      <c r="A7700" s="5"/>
    </row>
    <row r="7701" spans="1:1" x14ac:dyDescent="0.25">
      <c r="A7701" s="5"/>
    </row>
    <row r="7702" spans="1:1" x14ac:dyDescent="0.25">
      <c r="A7702" s="5"/>
    </row>
    <row r="7703" spans="1:1" x14ac:dyDescent="0.25">
      <c r="A7703" s="5"/>
    </row>
    <row r="7704" spans="1:1" x14ac:dyDescent="0.25">
      <c r="A7704" s="5"/>
    </row>
    <row r="7705" spans="1:1" x14ac:dyDescent="0.25">
      <c r="A7705" s="5"/>
    </row>
    <row r="7706" spans="1:1" x14ac:dyDescent="0.25">
      <c r="A7706" s="5"/>
    </row>
    <row r="7707" spans="1:1" x14ac:dyDescent="0.25">
      <c r="A7707" s="5"/>
    </row>
    <row r="7708" spans="1:1" x14ac:dyDescent="0.25">
      <c r="A7708" s="5"/>
    </row>
    <row r="7709" spans="1:1" x14ac:dyDescent="0.25">
      <c r="A7709" s="5"/>
    </row>
    <row r="7710" spans="1:1" x14ac:dyDescent="0.25">
      <c r="A7710" s="5"/>
    </row>
    <row r="7711" spans="1:1" x14ac:dyDescent="0.25">
      <c r="A7711" s="5"/>
    </row>
    <row r="7712" spans="1:1" x14ac:dyDescent="0.25">
      <c r="A7712" s="5"/>
    </row>
    <row r="7713" spans="1:1" x14ac:dyDescent="0.25">
      <c r="A7713" s="5"/>
    </row>
    <row r="7714" spans="1:1" x14ac:dyDescent="0.25">
      <c r="A7714" s="5"/>
    </row>
    <row r="7715" spans="1:1" x14ac:dyDescent="0.25">
      <c r="A7715" s="5"/>
    </row>
    <row r="7716" spans="1:1" x14ac:dyDescent="0.25">
      <c r="A7716" s="5"/>
    </row>
    <row r="7717" spans="1:1" x14ac:dyDescent="0.25">
      <c r="A7717" s="5"/>
    </row>
    <row r="7718" spans="1:1" x14ac:dyDescent="0.25">
      <c r="A7718" s="5"/>
    </row>
    <row r="7719" spans="1:1" x14ac:dyDescent="0.25">
      <c r="A7719" s="5"/>
    </row>
    <row r="7720" spans="1:1" x14ac:dyDescent="0.25">
      <c r="A7720" s="5"/>
    </row>
    <row r="7721" spans="1:1" x14ac:dyDescent="0.25">
      <c r="A7721" s="5"/>
    </row>
    <row r="7722" spans="1:1" x14ac:dyDescent="0.25">
      <c r="A7722" s="5"/>
    </row>
    <row r="7723" spans="1:1" x14ac:dyDescent="0.25">
      <c r="A7723" s="5"/>
    </row>
    <row r="7724" spans="1:1" x14ac:dyDescent="0.25">
      <c r="A7724" s="5"/>
    </row>
    <row r="7725" spans="1:1" x14ac:dyDescent="0.25">
      <c r="A7725" s="5"/>
    </row>
    <row r="7726" spans="1:1" x14ac:dyDescent="0.25">
      <c r="A7726" s="5"/>
    </row>
    <row r="7727" spans="1:1" x14ac:dyDescent="0.25">
      <c r="A7727" s="5"/>
    </row>
    <row r="7728" spans="1:1" x14ac:dyDescent="0.25">
      <c r="A7728" s="5"/>
    </row>
    <row r="7729" spans="1:1" x14ac:dyDescent="0.25">
      <c r="A7729" s="5"/>
    </row>
    <row r="7730" spans="1:1" x14ac:dyDescent="0.25">
      <c r="A7730" s="5"/>
    </row>
    <row r="7731" spans="1:1" x14ac:dyDescent="0.25">
      <c r="A7731" s="5"/>
    </row>
    <row r="7732" spans="1:1" x14ac:dyDescent="0.25">
      <c r="A7732" s="5"/>
    </row>
    <row r="7733" spans="1:1" x14ac:dyDescent="0.25">
      <c r="A7733" s="5"/>
    </row>
    <row r="7734" spans="1:1" x14ac:dyDescent="0.25">
      <c r="A7734" s="5"/>
    </row>
    <row r="7735" spans="1:1" x14ac:dyDescent="0.25">
      <c r="A7735" s="5"/>
    </row>
    <row r="7736" spans="1:1" x14ac:dyDescent="0.25">
      <c r="A7736" s="5"/>
    </row>
    <row r="7737" spans="1:1" x14ac:dyDescent="0.25">
      <c r="A7737" s="5"/>
    </row>
    <row r="7738" spans="1:1" x14ac:dyDescent="0.25">
      <c r="A7738" s="5"/>
    </row>
    <row r="7739" spans="1:1" x14ac:dyDescent="0.25">
      <c r="A7739" s="5"/>
    </row>
    <row r="7740" spans="1:1" x14ac:dyDescent="0.25">
      <c r="A7740" s="5"/>
    </row>
    <row r="7741" spans="1:1" x14ac:dyDescent="0.25">
      <c r="A7741" s="5"/>
    </row>
    <row r="7742" spans="1:1" x14ac:dyDescent="0.25">
      <c r="A7742" s="5"/>
    </row>
    <row r="7743" spans="1:1" x14ac:dyDescent="0.25">
      <c r="A7743" s="5"/>
    </row>
    <row r="7744" spans="1:1" x14ac:dyDescent="0.25">
      <c r="A7744" s="5"/>
    </row>
    <row r="7745" spans="1:1" x14ac:dyDescent="0.25">
      <c r="A7745" s="5"/>
    </row>
    <row r="7746" spans="1:1" x14ac:dyDescent="0.25">
      <c r="A7746" s="5"/>
    </row>
    <row r="7747" spans="1:1" x14ac:dyDescent="0.25">
      <c r="A7747" s="5"/>
    </row>
    <row r="7748" spans="1:1" x14ac:dyDescent="0.25">
      <c r="A7748" s="5"/>
    </row>
    <row r="7749" spans="1:1" x14ac:dyDescent="0.25">
      <c r="A7749" s="5"/>
    </row>
    <row r="7750" spans="1:1" x14ac:dyDescent="0.25">
      <c r="A7750" s="5"/>
    </row>
    <row r="7751" spans="1:1" x14ac:dyDescent="0.25">
      <c r="A7751" s="5"/>
    </row>
    <row r="7752" spans="1:1" x14ac:dyDescent="0.25">
      <c r="A7752" s="5"/>
    </row>
    <row r="7753" spans="1:1" x14ac:dyDescent="0.25">
      <c r="A7753" s="5"/>
    </row>
    <row r="7754" spans="1:1" x14ac:dyDescent="0.25">
      <c r="A7754" s="5"/>
    </row>
    <row r="7755" spans="1:1" x14ac:dyDescent="0.25">
      <c r="A7755" s="5"/>
    </row>
    <row r="7756" spans="1:1" x14ac:dyDescent="0.25">
      <c r="A7756" s="5"/>
    </row>
    <row r="7757" spans="1:1" x14ac:dyDescent="0.25">
      <c r="A7757" s="5"/>
    </row>
    <row r="7758" spans="1:1" x14ac:dyDescent="0.25">
      <c r="A7758" s="5"/>
    </row>
    <row r="7759" spans="1:1" x14ac:dyDescent="0.25">
      <c r="A7759" s="5"/>
    </row>
    <row r="7760" spans="1:1" x14ac:dyDescent="0.25">
      <c r="A7760" s="5"/>
    </row>
    <row r="7761" spans="1:1" x14ac:dyDescent="0.25">
      <c r="A7761" s="5"/>
    </row>
    <row r="7762" spans="1:1" x14ac:dyDescent="0.25">
      <c r="A7762" s="5"/>
    </row>
    <row r="7763" spans="1:1" x14ac:dyDescent="0.25">
      <c r="A7763" s="5"/>
    </row>
    <row r="7764" spans="1:1" x14ac:dyDescent="0.25">
      <c r="A7764" s="5"/>
    </row>
    <row r="7765" spans="1:1" x14ac:dyDescent="0.25">
      <c r="A7765" s="5"/>
    </row>
    <row r="7766" spans="1:1" x14ac:dyDescent="0.25">
      <c r="A7766" s="5"/>
    </row>
    <row r="7767" spans="1:1" x14ac:dyDescent="0.25">
      <c r="A7767" s="5"/>
    </row>
    <row r="7768" spans="1:1" x14ac:dyDescent="0.25">
      <c r="A7768" s="5"/>
    </row>
    <row r="7769" spans="1:1" x14ac:dyDescent="0.25">
      <c r="A7769" s="5"/>
    </row>
    <row r="7770" spans="1:1" x14ac:dyDescent="0.25">
      <c r="A7770" s="5"/>
    </row>
    <row r="7771" spans="1:1" x14ac:dyDescent="0.25">
      <c r="A7771" s="5"/>
    </row>
    <row r="7772" spans="1:1" x14ac:dyDescent="0.25">
      <c r="A7772" s="5"/>
    </row>
    <row r="7773" spans="1:1" x14ac:dyDescent="0.25">
      <c r="A7773" s="5"/>
    </row>
    <row r="7774" spans="1:1" x14ac:dyDescent="0.25">
      <c r="A7774" s="5"/>
    </row>
    <row r="7775" spans="1:1" x14ac:dyDescent="0.25">
      <c r="A7775" s="5"/>
    </row>
    <row r="7776" spans="1:1" x14ac:dyDescent="0.25">
      <c r="A7776" s="5"/>
    </row>
    <row r="7777" spans="1:1" x14ac:dyDescent="0.25">
      <c r="A7777" s="5"/>
    </row>
    <row r="7778" spans="1:1" x14ac:dyDescent="0.25">
      <c r="A7778" s="5"/>
    </row>
    <row r="7779" spans="1:1" x14ac:dyDescent="0.25">
      <c r="A7779" s="5"/>
    </row>
    <row r="7780" spans="1:1" x14ac:dyDescent="0.25">
      <c r="A7780" s="5"/>
    </row>
    <row r="7781" spans="1:1" x14ac:dyDescent="0.25">
      <c r="A7781" s="5"/>
    </row>
    <row r="7782" spans="1:1" x14ac:dyDescent="0.25">
      <c r="A7782" s="5"/>
    </row>
    <row r="7783" spans="1:1" x14ac:dyDescent="0.25">
      <c r="A7783" s="5"/>
    </row>
    <row r="7784" spans="1:1" x14ac:dyDescent="0.25">
      <c r="A7784" s="5"/>
    </row>
    <row r="7785" spans="1:1" x14ac:dyDescent="0.25">
      <c r="A7785" s="5"/>
    </row>
    <row r="7786" spans="1:1" x14ac:dyDescent="0.25">
      <c r="A7786" s="5"/>
    </row>
    <row r="7787" spans="1:1" x14ac:dyDescent="0.25">
      <c r="A7787" s="5"/>
    </row>
    <row r="7788" spans="1:1" x14ac:dyDescent="0.25">
      <c r="A7788" s="5"/>
    </row>
    <row r="7789" spans="1:1" x14ac:dyDescent="0.25">
      <c r="A7789" s="5"/>
    </row>
    <row r="7790" spans="1:1" x14ac:dyDescent="0.25">
      <c r="A7790" s="5"/>
    </row>
    <row r="7791" spans="1:1" x14ac:dyDescent="0.25">
      <c r="A7791" s="5"/>
    </row>
    <row r="7792" spans="1:1" x14ac:dyDescent="0.25">
      <c r="A7792" s="5"/>
    </row>
    <row r="7793" spans="1:1" x14ac:dyDescent="0.25">
      <c r="A7793" s="5"/>
    </row>
    <row r="7794" spans="1:1" x14ac:dyDescent="0.25">
      <c r="A7794" s="5"/>
    </row>
    <row r="7795" spans="1:1" x14ac:dyDescent="0.25">
      <c r="A7795" s="5"/>
    </row>
    <row r="7796" spans="1:1" x14ac:dyDescent="0.25">
      <c r="A7796" s="5"/>
    </row>
    <row r="7797" spans="1:1" x14ac:dyDescent="0.25">
      <c r="A7797" s="5"/>
    </row>
    <row r="7798" spans="1:1" x14ac:dyDescent="0.25">
      <c r="A7798" s="5"/>
    </row>
    <row r="7799" spans="1:1" x14ac:dyDescent="0.25">
      <c r="A7799" s="5"/>
    </row>
    <row r="7800" spans="1:1" x14ac:dyDescent="0.25">
      <c r="A7800" s="5"/>
    </row>
    <row r="7801" spans="1:1" x14ac:dyDescent="0.25">
      <c r="A7801" s="5"/>
    </row>
    <row r="7802" spans="1:1" x14ac:dyDescent="0.25">
      <c r="A7802" s="5"/>
    </row>
    <row r="7803" spans="1:1" x14ac:dyDescent="0.25">
      <c r="A7803" s="5"/>
    </row>
    <row r="7804" spans="1:1" x14ac:dyDescent="0.25">
      <c r="A7804" s="5"/>
    </row>
    <row r="7805" spans="1:1" x14ac:dyDescent="0.25">
      <c r="A7805" s="5"/>
    </row>
    <row r="7806" spans="1:1" x14ac:dyDescent="0.25">
      <c r="A7806" s="5"/>
    </row>
    <row r="7807" spans="1:1" x14ac:dyDescent="0.25">
      <c r="A7807" s="5"/>
    </row>
    <row r="7808" spans="1:1" x14ac:dyDescent="0.25">
      <c r="A7808" s="5"/>
    </row>
    <row r="7809" spans="1:1" x14ac:dyDescent="0.25">
      <c r="A7809" s="5"/>
    </row>
    <row r="7810" spans="1:1" x14ac:dyDescent="0.25">
      <c r="A7810" s="5"/>
    </row>
    <row r="7811" spans="1:1" x14ac:dyDescent="0.25">
      <c r="A7811" s="5"/>
    </row>
    <row r="7812" spans="1:1" x14ac:dyDescent="0.25">
      <c r="A7812" s="5"/>
    </row>
    <row r="7813" spans="1:1" x14ac:dyDescent="0.25">
      <c r="A7813" s="5"/>
    </row>
    <row r="7814" spans="1:1" x14ac:dyDescent="0.25">
      <c r="A7814" s="5"/>
    </row>
    <row r="7815" spans="1:1" x14ac:dyDescent="0.25">
      <c r="A7815" s="5"/>
    </row>
    <row r="7816" spans="1:1" x14ac:dyDescent="0.25">
      <c r="A7816" s="5"/>
    </row>
    <row r="7817" spans="1:1" x14ac:dyDescent="0.25">
      <c r="A7817" s="5"/>
    </row>
    <row r="7818" spans="1:1" x14ac:dyDescent="0.25">
      <c r="A7818" s="5"/>
    </row>
    <row r="7819" spans="1:1" x14ac:dyDescent="0.25">
      <c r="A7819" s="5"/>
    </row>
    <row r="7820" spans="1:1" x14ac:dyDescent="0.25">
      <c r="A7820" s="5"/>
    </row>
    <row r="7821" spans="1:1" x14ac:dyDescent="0.25">
      <c r="A7821" s="5"/>
    </row>
    <row r="7822" spans="1:1" x14ac:dyDescent="0.25">
      <c r="A7822" s="5"/>
    </row>
    <row r="7823" spans="1:1" x14ac:dyDescent="0.25">
      <c r="A7823" s="5"/>
    </row>
    <row r="7824" spans="1:1" x14ac:dyDescent="0.25">
      <c r="A7824" s="5"/>
    </row>
    <row r="7825" spans="1:1" x14ac:dyDescent="0.25">
      <c r="A7825" s="5"/>
    </row>
    <row r="7826" spans="1:1" x14ac:dyDescent="0.25">
      <c r="A7826" s="5"/>
    </row>
    <row r="7827" spans="1:1" x14ac:dyDescent="0.25">
      <c r="A7827" s="5"/>
    </row>
    <row r="7828" spans="1:1" x14ac:dyDescent="0.25">
      <c r="A7828" s="5"/>
    </row>
    <row r="7829" spans="1:1" x14ac:dyDescent="0.25">
      <c r="A7829" s="5"/>
    </row>
    <row r="7830" spans="1:1" x14ac:dyDescent="0.25">
      <c r="A7830" s="5"/>
    </row>
    <row r="7831" spans="1:1" x14ac:dyDescent="0.25">
      <c r="A7831" s="5"/>
    </row>
    <row r="7832" spans="1:1" x14ac:dyDescent="0.25">
      <c r="A7832" s="5"/>
    </row>
    <row r="7833" spans="1:1" x14ac:dyDescent="0.25">
      <c r="A7833" s="5"/>
    </row>
    <row r="7834" spans="1:1" x14ac:dyDescent="0.25">
      <c r="A7834" s="5"/>
    </row>
    <row r="7835" spans="1:1" x14ac:dyDescent="0.25">
      <c r="A7835" s="5"/>
    </row>
    <row r="7836" spans="1:1" x14ac:dyDescent="0.25">
      <c r="A7836" s="5"/>
    </row>
    <row r="7837" spans="1:1" x14ac:dyDescent="0.25">
      <c r="A7837" s="5"/>
    </row>
    <row r="7838" spans="1:1" x14ac:dyDescent="0.25">
      <c r="A7838" s="5"/>
    </row>
    <row r="7839" spans="1:1" x14ac:dyDescent="0.25">
      <c r="A7839" s="5"/>
    </row>
    <row r="7840" spans="1:1" x14ac:dyDescent="0.25">
      <c r="A7840" s="5"/>
    </row>
    <row r="7841" spans="1:1" x14ac:dyDescent="0.25">
      <c r="A7841" s="5"/>
    </row>
    <row r="7842" spans="1:1" x14ac:dyDescent="0.25">
      <c r="A7842" s="5"/>
    </row>
    <row r="7843" spans="1:1" x14ac:dyDescent="0.25">
      <c r="A7843" s="5"/>
    </row>
    <row r="7844" spans="1:1" x14ac:dyDescent="0.25">
      <c r="A7844" s="5"/>
    </row>
    <row r="7845" spans="1:1" x14ac:dyDescent="0.25">
      <c r="A7845" s="5"/>
    </row>
    <row r="7846" spans="1:1" x14ac:dyDescent="0.25">
      <c r="A7846" s="5"/>
    </row>
    <row r="7847" spans="1:1" x14ac:dyDescent="0.25">
      <c r="A7847" s="5"/>
    </row>
    <row r="7848" spans="1:1" x14ac:dyDescent="0.25">
      <c r="A7848" s="5"/>
    </row>
    <row r="7849" spans="1:1" x14ac:dyDescent="0.25">
      <c r="A7849" s="5"/>
    </row>
    <row r="7850" spans="1:1" x14ac:dyDescent="0.25">
      <c r="A7850" s="5"/>
    </row>
    <row r="7851" spans="1:1" x14ac:dyDescent="0.25">
      <c r="A7851" s="5"/>
    </row>
    <row r="7852" spans="1:1" x14ac:dyDescent="0.25">
      <c r="A7852" s="5"/>
    </row>
    <row r="7853" spans="1:1" x14ac:dyDescent="0.25">
      <c r="A7853" s="5"/>
    </row>
    <row r="7854" spans="1:1" x14ac:dyDescent="0.25">
      <c r="A7854" s="5"/>
    </row>
    <row r="7855" spans="1:1" x14ac:dyDescent="0.25">
      <c r="A7855" s="5"/>
    </row>
    <row r="7856" spans="1:1" x14ac:dyDescent="0.25">
      <c r="A7856" s="5"/>
    </row>
    <row r="7857" spans="1:1" x14ac:dyDescent="0.25">
      <c r="A7857" s="5"/>
    </row>
    <row r="7858" spans="1:1" x14ac:dyDescent="0.25">
      <c r="A7858" s="5"/>
    </row>
    <row r="7859" spans="1:1" x14ac:dyDescent="0.25">
      <c r="A7859" s="5"/>
    </row>
    <row r="7860" spans="1:1" x14ac:dyDescent="0.25">
      <c r="A7860" s="5"/>
    </row>
    <row r="7861" spans="1:1" x14ac:dyDescent="0.25">
      <c r="A7861" s="5"/>
    </row>
    <row r="7862" spans="1:1" x14ac:dyDescent="0.25">
      <c r="A7862" s="5"/>
    </row>
    <row r="7863" spans="1:1" x14ac:dyDescent="0.25">
      <c r="A7863" s="5"/>
    </row>
    <row r="7864" spans="1:1" x14ac:dyDescent="0.25">
      <c r="A7864" s="5"/>
    </row>
    <row r="7865" spans="1:1" x14ac:dyDescent="0.25">
      <c r="A7865" s="5"/>
    </row>
    <row r="7866" spans="1:1" x14ac:dyDescent="0.25">
      <c r="A7866" s="5"/>
    </row>
    <row r="7867" spans="1:1" x14ac:dyDescent="0.25">
      <c r="A7867" s="5"/>
    </row>
    <row r="7868" spans="1:1" x14ac:dyDescent="0.25">
      <c r="A7868" s="5"/>
    </row>
    <row r="7869" spans="1:1" x14ac:dyDescent="0.25">
      <c r="A7869" s="5"/>
    </row>
    <row r="7870" spans="1:1" x14ac:dyDescent="0.25">
      <c r="A7870" s="5"/>
    </row>
    <row r="7871" spans="1:1" x14ac:dyDescent="0.25">
      <c r="A7871" s="5"/>
    </row>
    <row r="7872" spans="1:1" x14ac:dyDescent="0.25">
      <c r="A7872" s="5"/>
    </row>
    <row r="7873" spans="1:1" x14ac:dyDescent="0.25">
      <c r="A7873" s="5"/>
    </row>
    <row r="7874" spans="1:1" x14ac:dyDescent="0.25">
      <c r="A7874" s="5"/>
    </row>
    <row r="7875" spans="1:1" x14ac:dyDescent="0.25">
      <c r="A7875" s="5"/>
    </row>
    <row r="7876" spans="1:1" x14ac:dyDescent="0.25">
      <c r="A7876" s="5"/>
    </row>
    <row r="7877" spans="1:1" x14ac:dyDescent="0.25">
      <c r="A7877" s="5"/>
    </row>
    <row r="7878" spans="1:1" x14ac:dyDescent="0.25">
      <c r="A7878" s="5"/>
    </row>
    <row r="7879" spans="1:1" x14ac:dyDescent="0.25">
      <c r="A7879" s="5"/>
    </row>
    <row r="7880" spans="1:1" x14ac:dyDescent="0.25">
      <c r="A7880" s="5"/>
    </row>
    <row r="7881" spans="1:1" x14ac:dyDescent="0.25">
      <c r="A7881" s="5"/>
    </row>
    <row r="7882" spans="1:1" x14ac:dyDescent="0.25">
      <c r="A7882" s="5"/>
    </row>
    <row r="7883" spans="1:1" x14ac:dyDescent="0.25">
      <c r="A7883" s="5"/>
    </row>
    <row r="7884" spans="1:1" x14ac:dyDescent="0.25">
      <c r="A7884" s="5"/>
    </row>
    <row r="7885" spans="1:1" x14ac:dyDescent="0.25">
      <c r="A7885" s="5"/>
    </row>
    <row r="7886" spans="1:1" x14ac:dyDescent="0.25">
      <c r="A7886" s="5"/>
    </row>
    <row r="7887" spans="1:1" x14ac:dyDescent="0.25">
      <c r="A7887" s="5"/>
    </row>
    <row r="7888" spans="1:1" x14ac:dyDescent="0.25">
      <c r="A7888" s="5"/>
    </row>
    <row r="7889" spans="1:1" x14ac:dyDescent="0.25">
      <c r="A7889" s="5"/>
    </row>
    <row r="7890" spans="1:1" x14ac:dyDescent="0.25">
      <c r="A7890" s="5"/>
    </row>
    <row r="7891" spans="1:1" x14ac:dyDescent="0.25">
      <c r="A7891" s="5"/>
    </row>
    <row r="7892" spans="1:1" x14ac:dyDescent="0.25">
      <c r="A7892" s="5"/>
    </row>
    <row r="7893" spans="1:1" x14ac:dyDescent="0.25">
      <c r="A7893" s="5"/>
    </row>
    <row r="7894" spans="1:1" x14ac:dyDescent="0.25">
      <c r="A7894" s="5"/>
    </row>
    <row r="7895" spans="1:1" x14ac:dyDescent="0.25">
      <c r="A7895" s="5"/>
    </row>
    <row r="7896" spans="1:1" x14ac:dyDescent="0.25">
      <c r="A7896" s="5"/>
    </row>
    <row r="7897" spans="1:1" x14ac:dyDescent="0.25">
      <c r="A7897" s="5"/>
    </row>
    <row r="7898" spans="1:1" x14ac:dyDescent="0.25">
      <c r="A7898" s="5"/>
    </row>
    <row r="7899" spans="1:1" x14ac:dyDescent="0.25">
      <c r="A7899" s="5"/>
    </row>
    <row r="7900" spans="1:1" x14ac:dyDescent="0.25">
      <c r="A7900" s="5"/>
    </row>
    <row r="7901" spans="1:1" x14ac:dyDescent="0.25">
      <c r="A7901" s="5"/>
    </row>
    <row r="7902" spans="1:1" x14ac:dyDescent="0.25">
      <c r="A7902" s="5"/>
    </row>
    <row r="7903" spans="1:1" x14ac:dyDescent="0.25">
      <c r="A7903" s="5"/>
    </row>
    <row r="7904" spans="1:1" x14ac:dyDescent="0.25">
      <c r="A7904" s="5"/>
    </row>
    <row r="7905" spans="1:1" x14ac:dyDescent="0.25">
      <c r="A7905" s="5"/>
    </row>
    <row r="7906" spans="1:1" x14ac:dyDescent="0.25">
      <c r="A7906" s="5"/>
    </row>
    <row r="7907" spans="1:1" x14ac:dyDescent="0.25">
      <c r="A7907" s="5"/>
    </row>
    <row r="7908" spans="1:1" x14ac:dyDescent="0.25">
      <c r="A7908" s="5"/>
    </row>
    <row r="7909" spans="1:1" x14ac:dyDescent="0.25">
      <c r="A7909" s="5"/>
    </row>
    <row r="7910" spans="1:1" x14ac:dyDescent="0.25">
      <c r="A7910" s="5"/>
    </row>
    <row r="7911" spans="1:1" x14ac:dyDescent="0.25">
      <c r="A7911" s="5"/>
    </row>
    <row r="7912" spans="1:1" x14ac:dyDescent="0.25">
      <c r="A7912" s="5"/>
    </row>
    <row r="7913" spans="1:1" x14ac:dyDescent="0.25">
      <c r="A7913" s="5"/>
    </row>
    <row r="7914" spans="1:1" x14ac:dyDescent="0.25">
      <c r="A7914" s="5"/>
    </row>
    <row r="7915" spans="1:1" x14ac:dyDescent="0.25">
      <c r="A7915" s="5"/>
    </row>
    <row r="7916" spans="1:1" x14ac:dyDescent="0.25">
      <c r="A7916" s="5"/>
    </row>
    <row r="7917" spans="1:1" x14ac:dyDescent="0.25">
      <c r="A7917" s="5"/>
    </row>
    <row r="7918" spans="1:1" x14ac:dyDescent="0.25">
      <c r="A7918" s="5"/>
    </row>
    <row r="7919" spans="1:1" x14ac:dyDescent="0.25">
      <c r="A7919" s="5"/>
    </row>
    <row r="7920" spans="1:1" x14ac:dyDescent="0.25">
      <c r="A7920" s="5"/>
    </row>
    <row r="7921" spans="1:1" x14ac:dyDescent="0.25">
      <c r="A7921" s="5"/>
    </row>
    <row r="7922" spans="1:1" x14ac:dyDescent="0.25">
      <c r="A7922" s="5"/>
    </row>
    <row r="7923" spans="1:1" x14ac:dyDescent="0.25">
      <c r="A7923" s="5"/>
    </row>
    <row r="7924" spans="1:1" x14ac:dyDescent="0.25">
      <c r="A7924" s="5"/>
    </row>
    <row r="7925" spans="1:1" x14ac:dyDescent="0.25">
      <c r="A7925" s="5"/>
    </row>
    <row r="7926" spans="1:1" x14ac:dyDescent="0.25">
      <c r="A7926" s="5"/>
    </row>
    <row r="7927" spans="1:1" x14ac:dyDescent="0.25">
      <c r="A7927" s="5"/>
    </row>
    <row r="7928" spans="1:1" x14ac:dyDescent="0.25">
      <c r="A7928" s="5"/>
    </row>
    <row r="7929" spans="1:1" x14ac:dyDescent="0.25">
      <c r="A7929" s="5"/>
    </row>
    <row r="7930" spans="1:1" x14ac:dyDescent="0.25">
      <c r="A7930" s="5"/>
    </row>
    <row r="7931" spans="1:1" x14ac:dyDescent="0.25">
      <c r="A7931" s="5"/>
    </row>
    <row r="7932" spans="1:1" x14ac:dyDescent="0.25">
      <c r="A7932" s="5"/>
    </row>
    <row r="7933" spans="1:1" x14ac:dyDescent="0.25">
      <c r="A7933" s="5"/>
    </row>
    <row r="7934" spans="1:1" x14ac:dyDescent="0.25">
      <c r="A7934" s="5"/>
    </row>
    <row r="7935" spans="1:1" x14ac:dyDescent="0.25">
      <c r="A7935" s="5"/>
    </row>
    <row r="7936" spans="1:1" x14ac:dyDescent="0.25">
      <c r="A7936" s="5"/>
    </row>
    <row r="7937" spans="1:1" x14ac:dyDescent="0.25">
      <c r="A7937" s="5"/>
    </row>
    <row r="7938" spans="1:1" x14ac:dyDescent="0.25">
      <c r="A7938" s="5"/>
    </row>
    <row r="7939" spans="1:1" x14ac:dyDescent="0.25">
      <c r="A7939" s="5"/>
    </row>
    <row r="7940" spans="1:1" x14ac:dyDescent="0.25">
      <c r="A7940" s="5"/>
    </row>
    <row r="7941" spans="1:1" x14ac:dyDescent="0.25">
      <c r="A7941" s="5"/>
    </row>
    <row r="7942" spans="1:1" x14ac:dyDescent="0.25">
      <c r="A7942" s="5"/>
    </row>
    <row r="7943" spans="1:1" x14ac:dyDescent="0.25">
      <c r="A7943" s="5"/>
    </row>
    <row r="7944" spans="1:1" x14ac:dyDescent="0.25">
      <c r="A7944" s="5"/>
    </row>
    <row r="7945" spans="1:1" x14ac:dyDescent="0.25">
      <c r="A7945" s="5"/>
    </row>
    <row r="7946" spans="1:1" x14ac:dyDescent="0.25">
      <c r="A7946" s="5"/>
    </row>
    <row r="7947" spans="1:1" x14ac:dyDescent="0.25">
      <c r="A7947" s="5"/>
    </row>
    <row r="7948" spans="1:1" x14ac:dyDescent="0.25">
      <c r="A7948" s="5"/>
    </row>
    <row r="7949" spans="1:1" x14ac:dyDescent="0.25">
      <c r="A7949" s="5"/>
    </row>
    <row r="7950" spans="1:1" x14ac:dyDescent="0.25">
      <c r="A7950" s="5"/>
    </row>
    <row r="7951" spans="1:1" x14ac:dyDescent="0.25">
      <c r="A7951" s="5"/>
    </row>
    <row r="7952" spans="1:1" x14ac:dyDescent="0.25">
      <c r="A7952" s="5"/>
    </row>
    <row r="7953" spans="1:1" x14ac:dyDescent="0.25">
      <c r="A7953" s="5"/>
    </row>
    <row r="7954" spans="1:1" x14ac:dyDescent="0.25">
      <c r="A7954" s="5"/>
    </row>
    <row r="7955" spans="1:1" x14ac:dyDescent="0.25">
      <c r="A7955" s="5"/>
    </row>
    <row r="7956" spans="1:1" x14ac:dyDescent="0.25">
      <c r="A7956" s="5"/>
    </row>
    <row r="7957" spans="1:1" x14ac:dyDescent="0.25">
      <c r="A7957" s="5"/>
    </row>
    <row r="7958" spans="1:1" x14ac:dyDescent="0.25">
      <c r="A7958" s="5"/>
    </row>
    <row r="7959" spans="1:1" x14ac:dyDescent="0.25">
      <c r="A7959" s="5"/>
    </row>
    <row r="7960" spans="1:1" x14ac:dyDescent="0.25">
      <c r="A7960" s="5"/>
    </row>
    <row r="7961" spans="1:1" x14ac:dyDescent="0.25">
      <c r="A7961" s="5"/>
    </row>
    <row r="7962" spans="1:1" x14ac:dyDescent="0.25">
      <c r="A7962" s="5"/>
    </row>
    <row r="7963" spans="1:1" x14ac:dyDescent="0.25">
      <c r="A7963" s="5"/>
    </row>
    <row r="7964" spans="1:1" x14ac:dyDescent="0.25">
      <c r="A7964" s="5"/>
    </row>
    <row r="7965" spans="1:1" x14ac:dyDescent="0.25">
      <c r="A7965" s="5"/>
    </row>
    <row r="7966" spans="1:1" x14ac:dyDescent="0.25">
      <c r="A7966" s="5"/>
    </row>
    <row r="7967" spans="1:1" x14ac:dyDescent="0.25">
      <c r="A7967" s="5"/>
    </row>
    <row r="7968" spans="1:1" x14ac:dyDescent="0.25">
      <c r="A7968" s="5"/>
    </row>
    <row r="7969" spans="1:1" x14ac:dyDescent="0.25">
      <c r="A7969" s="5"/>
    </row>
    <row r="7970" spans="1:1" x14ac:dyDescent="0.25">
      <c r="A7970" s="5"/>
    </row>
    <row r="7971" spans="1:1" x14ac:dyDescent="0.25">
      <c r="A7971" s="5"/>
    </row>
    <row r="7972" spans="1:1" x14ac:dyDescent="0.25">
      <c r="A7972" s="5"/>
    </row>
    <row r="7973" spans="1:1" x14ac:dyDescent="0.25">
      <c r="A7973" s="5"/>
    </row>
    <row r="7974" spans="1:1" x14ac:dyDescent="0.25">
      <c r="A7974" s="5"/>
    </row>
    <row r="7975" spans="1:1" x14ac:dyDescent="0.25">
      <c r="A7975" s="5"/>
    </row>
    <row r="7976" spans="1:1" x14ac:dyDescent="0.25">
      <c r="A7976" s="5"/>
    </row>
    <row r="7977" spans="1:1" x14ac:dyDescent="0.25">
      <c r="A7977" s="5"/>
    </row>
    <row r="7978" spans="1:1" x14ac:dyDescent="0.25">
      <c r="A7978" s="5"/>
    </row>
    <row r="7979" spans="1:1" x14ac:dyDescent="0.25">
      <c r="A7979" s="5"/>
    </row>
    <row r="7980" spans="1:1" x14ac:dyDescent="0.25">
      <c r="A7980" s="5"/>
    </row>
    <row r="7981" spans="1:1" x14ac:dyDescent="0.25">
      <c r="A7981" s="5"/>
    </row>
    <row r="7982" spans="1:1" x14ac:dyDescent="0.25">
      <c r="A7982" s="5"/>
    </row>
    <row r="7983" spans="1:1" x14ac:dyDescent="0.25">
      <c r="A7983" s="5"/>
    </row>
    <row r="7984" spans="1:1" x14ac:dyDescent="0.25">
      <c r="A7984" s="5"/>
    </row>
    <row r="7985" spans="1:1" x14ac:dyDescent="0.25">
      <c r="A7985" s="5"/>
    </row>
    <row r="7986" spans="1:1" x14ac:dyDescent="0.25">
      <c r="A7986" s="5"/>
    </row>
    <row r="7987" spans="1:1" x14ac:dyDescent="0.25">
      <c r="A7987" s="5"/>
    </row>
    <row r="7988" spans="1:1" x14ac:dyDescent="0.25">
      <c r="A7988" s="5"/>
    </row>
    <row r="7989" spans="1:1" x14ac:dyDescent="0.25">
      <c r="A7989" s="5"/>
    </row>
    <row r="7990" spans="1:1" x14ac:dyDescent="0.25">
      <c r="A7990" s="5"/>
    </row>
    <row r="7991" spans="1:1" x14ac:dyDescent="0.25">
      <c r="A7991" s="5"/>
    </row>
    <row r="7992" spans="1:1" x14ac:dyDescent="0.25">
      <c r="A7992" s="5"/>
    </row>
    <row r="7993" spans="1:1" x14ac:dyDescent="0.25">
      <c r="A7993" s="5"/>
    </row>
    <row r="7994" spans="1:1" x14ac:dyDescent="0.25">
      <c r="A7994" s="5"/>
    </row>
    <row r="7995" spans="1:1" x14ac:dyDescent="0.25">
      <c r="A7995" s="5"/>
    </row>
    <row r="7996" spans="1:1" x14ac:dyDescent="0.25">
      <c r="A7996" s="5"/>
    </row>
    <row r="7997" spans="1:1" x14ac:dyDescent="0.25">
      <c r="A7997" s="5"/>
    </row>
    <row r="7998" spans="1:1" x14ac:dyDescent="0.25">
      <c r="A7998" s="5"/>
    </row>
    <row r="7999" spans="1:1" x14ac:dyDescent="0.25">
      <c r="A7999" s="5"/>
    </row>
    <row r="8000" spans="1:1" x14ac:dyDescent="0.25">
      <c r="A8000" s="5"/>
    </row>
    <row r="8001" spans="1:1" x14ac:dyDescent="0.25">
      <c r="A8001" s="5"/>
    </row>
    <row r="8002" spans="1:1" x14ac:dyDescent="0.25">
      <c r="A8002" s="5"/>
    </row>
    <row r="8003" spans="1:1" x14ac:dyDescent="0.25">
      <c r="A8003" s="5"/>
    </row>
    <row r="8004" spans="1:1" x14ac:dyDescent="0.25">
      <c r="A8004" s="5"/>
    </row>
    <row r="8005" spans="1:1" x14ac:dyDescent="0.25">
      <c r="A8005" s="5"/>
    </row>
    <row r="8006" spans="1:1" x14ac:dyDescent="0.25">
      <c r="A8006" s="5"/>
    </row>
    <row r="8007" spans="1:1" x14ac:dyDescent="0.25">
      <c r="A8007" s="5"/>
    </row>
    <row r="8008" spans="1:1" x14ac:dyDescent="0.25">
      <c r="A8008" s="5"/>
    </row>
    <row r="8009" spans="1:1" x14ac:dyDescent="0.25">
      <c r="A8009" s="5"/>
    </row>
    <row r="8010" spans="1:1" x14ac:dyDescent="0.25">
      <c r="A8010" s="5"/>
    </row>
    <row r="8011" spans="1:1" x14ac:dyDescent="0.25">
      <c r="A8011" s="5"/>
    </row>
    <row r="8012" spans="1:1" x14ac:dyDescent="0.25">
      <c r="A8012" s="5"/>
    </row>
    <row r="8013" spans="1:1" x14ac:dyDescent="0.25">
      <c r="A8013" s="5"/>
    </row>
    <row r="8014" spans="1:1" x14ac:dyDescent="0.25">
      <c r="A8014" s="5"/>
    </row>
    <row r="8015" spans="1:1" x14ac:dyDescent="0.25">
      <c r="A8015" s="5"/>
    </row>
    <row r="8016" spans="1:1" x14ac:dyDescent="0.25">
      <c r="A8016" s="5"/>
    </row>
    <row r="8017" spans="1:1" x14ac:dyDescent="0.25">
      <c r="A8017" s="5"/>
    </row>
    <row r="8018" spans="1:1" x14ac:dyDescent="0.25">
      <c r="A8018" s="5"/>
    </row>
    <row r="8019" spans="1:1" x14ac:dyDescent="0.25">
      <c r="A8019" s="5"/>
    </row>
    <row r="8020" spans="1:1" x14ac:dyDescent="0.25">
      <c r="A8020" s="5"/>
    </row>
    <row r="8021" spans="1:1" x14ac:dyDescent="0.25">
      <c r="A8021" s="5"/>
    </row>
    <row r="8022" spans="1:1" x14ac:dyDescent="0.25">
      <c r="A8022" s="5"/>
    </row>
    <row r="8023" spans="1:1" x14ac:dyDescent="0.25">
      <c r="A8023" s="5"/>
    </row>
    <row r="8024" spans="1:1" x14ac:dyDescent="0.25">
      <c r="A8024" s="5"/>
    </row>
    <row r="8025" spans="1:1" x14ac:dyDescent="0.25">
      <c r="A8025" s="5"/>
    </row>
    <row r="8026" spans="1:1" x14ac:dyDescent="0.25">
      <c r="A8026" s="5"/>
    </row>
    <row r="8027" spans="1:1" x14ac:dyDescent="0.25">
      <c r="A8027" s="5"/>
    </row>
    <row r="8028" spans="1:1" x14ac:dyDescent="0.25">
      <c r="A8028" s="5"/>
    </row>
    <row r="8029" spans="1:1" x14ac:dyDescent="0.25">
      <c r="A8029" s="5"/>
    </row>
    <row r="8030" spans="1:1" x14ac:dyDescent="0.25">
      <c r="A8030" s="5"/>
    </row>
    <row r="8031" spans="1:1" x14ac:dyDescent="0.25">
      <c r="A8031" s="5"/>
    </row>
    <row r="8032" spans="1:1" x14ac:dyDescent="0.25">
      <c r="A8032" s="5"/>
    </row>
    <row r="8033" spans="1:1" x14ac:dyDescent="0.25">
      <c r="A8033" s="5"/>
    </row>
    <row r="8034" spans="1:1" x14ac:dyDescent="0.25">
      <c r="A8034" s="5"/>
    </row>
    <row r="8035" spans="1:1" x14ac:dyDescent="0.25">
      <c r="A8035" s="5"/>
    </row>
    <row r="8036" spans="1:1" x14ac:dyDescent="0.25">
      <c r="A8036" s="5"/>
    </row>
    <row r="8037" spans="1:1" x14ac:dyDescent="0.25">
      <c r="A8037" s="5"/>
    </row>
    <row r="8038" spans="1:1" x14ac:dyDescent="0.25">
      <c r="A8038" s="5"/>
    </row>
    <row r="8039" spans="1:1" x14ac:dyDescent="0.25">
      <c r="A8039" s="5"/>
    </row>
    <row r="8040" spans="1:1" x14ac:dyDescent="0.25">
      <c r="A8040" s="5"/>
    </row>
    <row r="8041" spans="1:1" x14ac:dyDescent="0.25">
      <c r="A8041" s="5"/>
    </row>
    <row r="8042" spans="1:1" x14ac:dyDescent="0.25">
      <c r="A8042" s="5"/>
    </row>
    <row r="8043" spans="1:1" x14ac:dyDescent="0.25">
      <c r="A8043" s="5"/>
    </row>
    <row r="8044" spans="1:1" x14ac:dyDescent="0.25">
      <c r="A8044" s="5"/>
    </row>
    <row r="8045" spans="1:1" x14ac:dyDescent="0.25">
      <c r="A8045" s="5"/>
    </row>
    <row r="8046" spans="1:1" x14ac:dyDescent="0.25">
      <c r="A8046" s="5"/>
    </row>
    <row r="8047" spans="1:1" x14ac:dyDescent="0.25">
      <c r="A8047" s="5"/>
    </row>
    <row r="8048" spans="1:1" x14ac:dyDescent="0.25">
      <c r="A8048" s="5"/>
    </row>
    <row r="8049" spans="1:1" x14ac:dyDescent="0.25">
      <c r="A8049" s="5"/>
    </row>
    <row r="8050" spans="1:1" x14ac:dyDescent="0.25">
      <c r="A8050" s="5"/>
    </row>
    <row r="8051" spans="1:1" x14ac:dyDescent="0.25">
      <c r="A8051" s="5"/>
    </row>
    <row r="8052" spans="1:1" x14ac:dyDescent="0.25">
      <c r="A8052" s="5"/>
    </row>
    <row r="8053" spans="1:1" x14ac:dyDescent="0.25">
      <c r="A8053" s="5"/>
    </row>
    <row r="8054" spans="1:1" x14ac:dyDescent="0.25">
      <c r="A8054" s="5"/>
    </row>
    <row r="8055" spans="1:1" x14ac:dyDescent="0.25">
      <c r="A8055" s="5"/>
    </row>
    <row r="8056" spans="1:1" x14ac:dyDescent="0.25">
      <c r="A8056" s="5"/>
    </row>
    <row r="8057" spans="1:1" x14ac:dyDescent="0.25">
      <c r="A8057" s="5"/>
    </row>
    <row r="8058" spans="1:1" x14ac:dyDescent="0.25">
      <c r="A8058" s="5"/>
    </row>
    <row r="8059" spans="1:1" x14ac:dyDescent="0.25">
      <c r="A8059" s="5"/>
    </row>
    <row r="8060" spans="1:1" x14ac:dyDescent="0.25">
      <c r="A8060" s="5"/>
    </row>
    <row r="8061" spans="1:1" x14ac:dyDescent="0.25">
      <c r="A8061" s="5"/>
    </row>
    <row r="8062" spans="1:1" x14ac:dyDescent="0.25">
      <c r="A8062" s="5"/>
    </row>
    <row r="8063" spans="1:1" x14ac:dyDescent="0.25">
      <c r="A8063" s="5"/>
    </row>
    <row r="8064" spans="1:1" x14ac:dyDescent="0.25">
      <c r="A8064" s="5"/>
    </row>
    <row r="8065" spans="1:1" x14ac:dyDescent="0.25">
      <c r="A8065" s="5"/>
    </row>
    <row r="8066" spans="1:1" x14ac:dyDescent="0.25">
      <c r="A8066" s="5"/>
    </row>
    <row r="8067" spans="1:1" x14ac:dyDescent="0.25">
      <c r="A8067" s="5"/>
    </row>
    <row r="8068" spans="1:1" x14ac:dyDescent="0.25">
      <c r="A8068" s="5"/>
    </row>
    <row r="8069" spans="1:1" x14ac:dyDescent="0.25">
      <c r="A8069" s="5"/>
    </row>
    <row r="8070" spans="1:1" x14ac:dyDescent="0.25">
      <c r="A8070" s="5"/>
    </row>
    <row r="8071" spans="1:1" x14ac:dyDescent="0.25">
      <c r="A8071" s="5"/>
    </row>
    <row r="8072" spans="1:1" x14ac:dyDescent="0.25">
      <c r="A8072" s="5"/>
    </row>
    <row r="8073" spans="1:1" x14ac:dyDescent="0.25">
      <c r="A8073" s="5"/>
    </row>
    <row r="8074" spans="1:1" x14ac:dyDescent="0.25">
      <c r="A8074" s="5"/>
    </row>
    <row r="8075" spans="1:1" x14ac:dyDescent="0.25">
      <c r="A8075" s="5"/>
    </row>
    <row r="8076" spans="1:1" x14ac:dyDescent="0.25">
      <c r="A8076" s="5"/>
    </row>
    <row r="8077" spans="1:1" x14ac:dyDescent="0.25">
      <c r="A8077" s="5"/>
    </row>
    <row r="8078" spans="1:1" x14ac:dyDescent="0.25">
      <c r="A8078" s="5"/>
    </row>
    <row r="8079" spans="1:1" x14ac:dyDescent="0.25">
      <c r="A8079" s="5"/>
    </row>
    <row r="8080" spans="1:1" x14ac:dyDescent="0.25">
      <c r="A8080" s="5"/>
    </row>
    <row r="8081" spans="1:1" x14ac:dyDescent="0.25">
      <c r="A8081" s="5"/>
    </row>
    <row r="8082" spans="1:1" x14ac:dyDescent="0.25">
      <c r="A8082" s="5"/>
    </row>
    <row r="8083" spans="1:1" x14ac:dyDescent="0.25">
      <c r="A8083" s="5"/>
    </row>
    <row r="8084" spans="1:1" x14ac:dyDescent="0.25">
      <c r="A8084" s="5"/>
    </row>
    <row r="8085" spans="1:1" x14ac:dyDescent="0.25">
      <c r="A8085" s="5"/>
    </row>
    <row r="8086" spans="1:1" x14ac:dyDescent="0.25">
      <c r="A8086" s="5"/>
    </row>
    <row r="8087" spans="1:1" x14ac:dyDescent="0.25">
      <c r="A8087" s="5"/>
    </row>
    <row r="8088" spans="1:1" x14ac:dyDescent="0.25">
      <c r="A8088" s="5"/>
    </row>
    <row r="8089" spans="1:1" x14ac:dyDescent="0.25">
      <c r="A8089" s="5"/>
    </row>
    <row r="8090" spans="1:1" x14ac:dyDescent="0.25">
      <c r="A8090" s="5"/>
    </row>
    <row r="8091" spans="1:1" x14ac:dyDescent="0.25">
      <c r="A8091" s="5"/>
    </row>
    <row r="8092" spans="1:1" x14ac:dyDescent="0.25">
      <c r="A8092" s="5"/>
    </row>
    <row r="8093" spans="1:1" x14ac:dyDescent="0.25">
      <c r="A8093" s="5"/>
    </row>
    <row r="8094" spans="1:1" x14ac:dyDescent="0.25">
      <c r="A8094" s="5"/>
    </row>
    <row r="8095" spans="1:1" x14ac:dyDescent="0.25">
      <c r="A8095" s="5"/>
    </row>
    <row r="8096" spans="1:1" x14ac:dyDescent="0.25">
      <c r="A8096" s="5"/>
    </row>
    <row r="8097" spans="1:1" x14ac:dyDescent="0.25">
      <c r="A8097" s="5"/>
    </row>
    <row r="8098" spans="1:1" x14ac:dyDescent="0.25">
      <c r="A8098" s="5"/>
    </row>
    <row r="8099" spans="1:1" x14ac:dyDescent="0.25">
      <c r="A8099" s="5"/>
    </row>
    <row r="8100" spans="1:1" x14ac:dyDescent="0.25">
      <c r="A8100" s="5"/>
    </row>
    <row r="8101" spans="1:1" x14ac:dyDescent="0.25">
      <c r="A8101" s="5"/>
    </row>
    <row r="8102" spans="1:1" x14ac:dyDescent="0.25">
      <c r="A8102" s="5"/>
    </row>
    <row r="8103" spans="1:1" x14ac:dyDescent="0.25">
      <c r="A8103" s="5"/>
    </row>
    <row r="8104" spans="1:1" x14ac:dyDescent="0.25">
      <c r="A8104" s="5"/>
    </row>
    <row r="8105" spans="1:1" x14ac:dyDescent="0.25">
      <c r="A8105" s="5"/>
    </row>
    <row r="8106" spans="1:1" x14ac:dyDescent="0.25">
      <c r="A8106" s="5"/>
    </row>
    <row r="8107" spans="1:1" x14ac:dyDescent="0.25">
      <c r="A8107" s="5"/>
    </row>
    <row r="8108" spans="1:1" x14ac:dyDescent="0.25">
      <c r="A8108" s="5"/>
    </row>
    <row r="8109" spans="1:1" x14ac:dyDescent="0.25">
      <c r="A8109" s="5"/>
    </row>
    <row r="8110" spans="1:1" x14ac:dyDescent="0.25">
      <c r="A8110" s="5"/>
    </row>
    <row r="8111" spans="1:1" x14ac:dyDescent="0.25">
      <c r="A8111" s="5"/>
    </row>
    <row r="8112" spans="1:1" x14ac:dyDescent="0.25">
      <c r="A8112" s="5"/>
    </row>
    <row r="8113" spans="1:1" x14ac:dyDescent="0.25">
      <c r="A8113" s="5"/>
    </row>
    <row r="8114" spans="1:1" x14ac:dyDescent="0.25">
      <c r="A8114" s="5"/>
    </row>
    <row r="8115" spans="1:1" x14ac:dyDescent="0.25">
      <c r="A8115" s="5"/>
    </row>
    <row r="8116" spans="1:1" x14ac:dyDescent="0.25">
      <c r="A8116" s="5"/>
    </row>
    <row r="8117" spans="1:1" x14ac:dyDescent="0.25">
      <c r="A8117" s="5"/>
    </row>
    <row r="8118" spans="1:1" x14ac:dyDescent="0.25">
      <c r="A8118" s="5"/>
    </row>
    <row r="8119" spans="1:1" x14ac:dyDescent="0.25">
      <c r="A8119" s="5"/>
    </row>
    <row r="8120" spans="1:1" x14ac:dyDescent="0.25">
      <c r="A8120" s="5"/>
    </row>
    <row r="8121" spans="1:1" x14ac:dyDescent="0.25">
      <c r="A8121" s="5"/>
    </row>
    <row r="8122" spans="1:1" x14ac:dyDescent="0.25">
      <c r="A8122" s="5"/>
    </row>
    <row r="8123" spans="1:1" x14ac:dyDescent="0.25">
      <c r="A8123" s="5"/>
    </row>
    <row r="8124" spans="1:1" x14ac:dyDescent="0.25">
      <c r="A8124" s="5"/>
    </row>
    <row r="8125" spans="1:1" x14ac:dyDescent="0.25">
      <c r="A8125" s="5"/>
    </row>
    <row r="8126" spans="1:1" x14ac:dyDescent="0.25">
      <c r="A8126" s="5"/>
    </row>
    <row r="8127" spans="1:1" x14ac:dyDescent="0.25">
      <c r="A8127" s="5"/>
    </row>
    <row r="8128" spans="1:1" x14ac:dyDescent="0.25">
      <c r="A8128" s="5"/>
    </row>
    <row r="8129" spans="1:1" x14ac:dyDescent="0.25">
      <c r="A8129" s="5"/>
    </row>
    <row r="8130" spans="1:1" x14ac:dyDescent="0.25">
      <c r="A8130" s="5"/>
    </row>
    <row r="8131" spans="1:1" x14ac:dyDescent="0.25">
      <c r="A8131" s="5"/>
    </row>
    <row r="8132" spans="1:1" x14ac:dyDescent="0.25">
      <c r="A8132" s="5"/>
    </row>
    <row r="8133" spans="1:1" x14ac:dyDescent="0.25">
      <c r="A8133" s="5"/>
    </row>
    <row r="8134" spans="1:1" x14ac:dyDescent="0.25">
      <c r="A8134" s="5"/>
    </row>
    <row r="8135" spans="1:1" x14ac:dyDescent="0.25">
      <c r="A8135" s="5"/>
    </row>
    <row r="8136" spans="1:1" x14ac:dyDescent="0.25">
      <c r="A8136" s="5"/>
    </row>
    <row r="8137" spans="1:1" x14ac:dyDescent="0.25">
      <c r="A8137" s="5"/>
    </row>
    <row r="8138" spans="1:1" x14ac:dyDescent="0.25">
      <c r="A8138" s="5"/>
    </row>
    <row r="8139" spans="1:1" x14ac:dyDescent="0.25">
      <c r="A8139" s="5"/>
    </row>
    <row r="8140" spans="1:1" x14ac:dyDescent="0.25">
      <c r="A8140" s="5"/>
    </row>
    <row r="8141" spans="1:1" x14ac:dyDescent="0.25">
      <c r="A8141" s="5"/>
    </row>
    <row r="8142" spans="1:1" x14ac:dyDescent="0.25">
      <c r="A8142" s="5"/>
    </row>
    <row r="8143" spans="1:1" x14ac:dyDescent="0.25">
      <c r="A8143" s="5"/>
    </row>
    <row r="8144" spans="1:1" x14ac:dyDescent="0.25">
      <c r="A8144" s="5"/>
    </row>
    <row r="8145" spans="1:1" x14ac:dyDescent="0.25">
      <c r="A8145" s="5"/>
    </row>
    <row r="8146" spans="1:1" x14ac:dyDescent="0.25">
      <c r="A8146" s="5"/>
    </row>
    <row r="8147" spans="1:1" x14ac:dyDescent="0.25">
      <c r="A8147" s="5"/>
    </row>
    <row r="8148" spans="1:1" x14ac:dyDescent="0.25">
      <c r="A8148" s="5"/>
    </row>
    <row r="8149" spans="1:1" x14ac:dyDescent="0.25">
      <c r="A8149" s="5"/>
    </row>
    <row r="8150" spans="1:1" x14ac:dyDescent="0.25">
      <c r="A8150" s="5"/>
    </row>
    <row r="8151" spans="1:1" x14ac:dyDescent="0.25">
      <c r="A8151" s="5"/>
    </row>
    <row r="8152" spans="1:1" x14ac:dyDescent="0.25">
      <c r="A8152" s="5"/>
    </row>
    <row r="8153" spans="1:1" x14ac:dyDescent="0.25">
      <c r="A8153" s="5"/>
    </row>
    <row r="8154" spans="1:1" x14ac:dyDescent="0.25">
      <c r="A8154" s="5"/>
    </row>
    <row r="8155" spans="1:1" x14ac:dyDescent="0.25">
      <c r="A8155" s="5"/>
    </row>
    <row r="8156" spans="1:1" x14ac:dyDescent="0.25">
      <c r="A8156" s="5"/>
    </row>
    <row r="8157" spans="1:1" x14ac:dyDescent="0.25">
      <c r="A8157" s="5"/>
    </row>
    <row r="8158" spans="1:1" x14ac:dyDescent="0.25">
      <c r="A8158" s="5"/>
    </row>
    <row r="8159" spans="1:1" x14ac:dyDescent="0.25">
      <c r="A8159" s="5"/>
    </row>
    <row r="8160" spans="1:1" x14ac:dyDescent="0.25">
      <c r="A8160" s="5"/>
    </row>
    <row r="8161" spans="1:1" x14ac:dyDescent="0.25">
      <c r="A8161" s="5"/>
    </row>
    <row r="8162" spans="1:1" x14ac:dyDescent="0.25">
      <c r="A8162" s="5"/>
    </row>
    <row r="8163" spans="1:1" x14ac:dyDescent="0.25">
      <c r="A8163" s="5"/>
    </row>
    <row r="8164" spans="1:1" x14ac:dyDescent="0.25">
      <c r="A8164" s="5"/>
    </row>
    <row r="8165" spans="1:1" x14ac:dyDescent="0.25">
      <c r="A8165" s="5"/>
    </row>
    <row r="8166" spans="1:1" x14ac:dyDescent="0.25">
      <c r="A8166" s="5"/>
    </row>
    <row r="8167" spans="1:1" x14ac:dyDescent="0.25">
      <c r="A8167" s="5"/>
    </row>
    <row r="8168" spans="1:1" x14ac:dyDescent="0.25">
      <c r="A8168" s="5"/>
    </row>
    <row r="8169" spans="1:1" x14ac:dyDescent="0.25">
      <c r="A8169" s="5"/>
    </row>
    <row r="8170" spans="1:1" x14ac:dyDescent="0.25">
      <c r="A8170" s="5"/>
    </row>
    <row r="8171" spans="1:1" x14ac:dyDescent="0.25">
      <c r="A8171" s="5"/>
    </row>
    <row r="8172" spans="1:1" x14ac:dyDescent="0.25">
      <c r="A8172" s="5"/>
    </row>
    <row r="8173" spans="1:1" x14ac:dyDescent="0.25">
      <c r="A8173" s="5"/>
    </row>
    <row r="8174" spans="1:1" x14ac:dyDescent="0.25">
      <c r="A8174" s="5"/>
    </row>
    <row r="8175" spans="1:1" x14ac:dyDescent="0.25">
      <c r="A8175" s="5"/>
    </row>
    <row r="8176" spans="1:1" x14ac:dyDescent="0.25">
      <c r="A8176" s="5"/>
    </row>
    <row r="8177" spans="1:1" x14ac:dyDescent="0.25">
      <c r="A8177" s="5"/>
    </row>
    <row r="8178" spans="1:1" x14ac:dyDescent="0.25">
      <c r="A8178" s="5"/>
    </row>
    <row r="8179" spans="1:1" x14ac:dyDescent="0.25">
      <c r="A8179" s="5"/>
    </row>
    <row r="8180" spans="1:1" x14ac:dyDescent="0.25">
      <c r="A8180" s="5"/>
    </row>
    <row r="8181" spans="1:1" x14ac:dyDescent="0.25">
      <c r="A8181" s="5"/>
    </row>
    <row r="8182" spans="1:1" x14ac:dyDescent="0.25">
      <c r="A8182" s="5"/>
    </row>
    <row r="8183" spans="1:1" x14ac:dyDescent="0.25">
      <c r="A8183" s="5"/>
    </row>
    <row r="8184" spans="1:1" x14ac:dyDescent="0.25">
      <c r="A8184" s="5"/>
    </row>
    <row r="8185" spans="1:1" x14ac:dyDescent="0.25">
      <c r="A8185" s="5"/>
    </row>
    <row r="8186" spans="1:1" x14ac:dyDescent="0.25">
      <c r="A8186" s="5"/>
    </row>
    <row r="8187" spans="1:1" x14ac:dyDescent="0.25">
      <c r="A8187" s="5"/>
    </row>
    <row r="8188" spans="1:1" x14ac:dyDescent="0.25">
      <c r="A8188" s="5"/>
    </row>
    <row r="8189" spans="1:1" x14ac:dyDescent="0.25">
      <c r="A8189" s="5"/>
    </row>
    <row r="8190" spans="1:1" x14ac:dyDescent="0.25">
      <c r="A8190" s="5"/>
    </row>
    <row r="8191" spans="1:1" x14ac:dyDescent="0.25">
      <c r="A8191" s="5"/>
    </row>
    <row r="8192" spans="1:1" x14ac:dyDescent="0.25">
      <c r="A8192" s="5"/>
    </row>
    <row r="8193" spans="1:1" x14ac:dyDescent="0.25">
      <c r="A8193" s="5"/>
    </row>
    <row r="8194" spans="1:1" x14ac:dyDescent="0.25">
      <c r="A8194" s="5"/>
    </row>
    <row r="8195" spans="1:1" x14ac:dyDescent="0.25">
      <c r="A8195" s="5"/>
    </row>
    <row r="8196" spans="1:1" x14ac:dyDescent="0.25">
      <c r="A8196" s="5"/>
    </row>
    <row r="8197" spans="1:1" x14ac:dyDescent="0.25">
      <c r="A8197" s="5"/>
    </row>
    <row r="8198" spans="1:1" x14ac:dyDescent="0.25">
      <c r="A8198" s="5"/>
    </row>
    <row r="8199" spans="1:1" x14ac:dyDescent="0.25">
      <c r="A8199" s="5"/>
    </row>
    <row r="8200" spans="1:1" x14ac:dyDescent="0.25">
      <c r="A8200" s="5"/>
    </row>
    <row r="8201" spans="1:1" x14ac:dyDescent="0.25">
      <c r="A8201" s="5"/>
    </row>
    <row r="8202" spans="1:1" x14ac:dyDescent="0.25">
      <c r="A8202" s="5"/>
    </row>
    <row r="8203" spans="1:1" x14ac:dyDescent="0.25">
      <c r="A8203" s="5"/>
    </row>
    <row r="8204" spans="1:1" x14ac:dyDescent="0.25">
      <c r="A8204" s="5"/>
    </row>
    <row r="8205" spans="1:1" x14ac:dyDescent="0.25">
      <c r="A8205" s="5"/>
    </row>
    <row r="8206" spans="1:1" x14ac:dyDescent="0.25">
      <c r="A8206" s="5"/>
    </row>
    <row r="8207" spans="1:1" x14ac:dyDescent="0.25">
      <c r="A8207" s="5"/>
    </row>
    <row r="8208" spans="1:1" x14ac:dyDescent="0.25">
      <c r="A8208" s="5"/>
    </row>
    <row r="8209" spans="1:1" x14ac:dyDescent="0.25">
      <c r="A8209" s="5"/>
    </row>
    <row r="8210" spans="1:1" x14ac:dyDescent="0.25">
      <c r="A8210" s="5"/>
    </row>
    <row r="8211" spans="1:1" x14ac:dyDescent="0.25">
      <c r="A8211" s="5"/>
    </row>
    <row r="8212" spans="1:1" x14ac:dyDescent="0.25">
      <c r="A8212" s="5"/>
    </row>
    <row r="8213" spans="1:1" x14ac:dyDescent="0.25">
      <c r="A8213" s="5"/>
    </row>
    <row r="8214" spans="1:1" x14ac:dyDescent="0.25">
      <c r="A8214" s="5"/>
    </row>
    <row r="8215" spans="1:1" x14ac:dyDescent="0.25">
      <c r="A8215" s="5"/>
    </row>
    <row r="8216" spans="1:1" x14ac:dyDescent="0.25">
      <c r="A8216" s="5"/>
    </row>
    <row r="8217" spans="1:1" x14ac:dyDescent="0.25">
      <c r="A8217" s="5"/>
    </row>
    <row r="8218" spans="1:1" x14ac:dyDescent="0.25">
      <c r="A8218" s="5"/>
    </row>
    <row r="8219" spans="1:1" x14ac:dyDescent="0.25">
      <c r="A8219" s="5"/>
    </row>
    <row r="8220" spans="1:1" x14ac:dyDescent="0.25">
      <c r="A8220" s="5"/>
    </row>
    <row r="8221" spans="1:1" x14ac:dyDescent="0.25">
      <c r="A8221" s="5"/>
    </row>
    <row r="8222" spans="1:1" x14ac:dyDescent="0.25">
      <c r="A8222" s="5"/>
    </row>
    <row r="8223" spans="1:1" x14ac:dyDescent="0.25">
      <c r="A8223" s="5"/>
    </row>
    <row r="8224" spans="1:1" x14ac:dyDescent="0.25">
      <c r="A8224" s="5"/>
    </row>
    <row r="8225" spans="1:1" x14ac:dyDescent="0.25">
      <c r="A8225" s="5"/>
    </row>
    <row r="8226" spans="1:1" x14ac:dyDescent="0.25">
      <c r="A8226" s="5"/>
    </row>
    <row r="8227" spans="1:1" x14ac:dyDescent="0.25">
      <c r="A8227" s="5"/>
    </row>
    <row r="8228" spans="1:1" x14ac:dyDescent="0.25">
      <c r="A8228" s="5"/>
    </row>
    <row r="8229" spans="1:1" x14ac:dyDescent="0.25">
      <c r="A8229" s="5"/>
    </row>
    <row r="8230" spans="1:1" x14ac:dyDescent="0.25">
      <c r="A8230" s="5"/>
    </row>
    <row r="8231" spans="1:1" x14ac:dyDescent="0.25">
      <c r="A8231" s="5"/>
    </row>
    <row r="8232" spans="1:1" x14ac:dyDescent="0.25">
      <c r="A8232" s="5"/>
    </row>
    <row r="8233" spans="1:1" x14ac:dyDescent="0.25">
      <c r="A8233" s="5"/>
    </row>
    <row r="8234" spans="1:1" x14ac:dyDescent="0.25">
      <c r="A8234" s="5"/>
    </row>
    <row r="8235" spans="1:1" x14ac:dyDescent="0.25">
      <c r="A8235" s="5"/>
    </row>
    <row r="8236" spans="1:1" x14ac:dyDescent="0.25">
      <c r="A8236" s="5"/>
    </row>
    <row r="8237" spans="1:1" x14ac:dyDescent="0.25">
      <c r="A8237" s="5"/>
    </row>
    <row r="8238" spans="1:1" x14ac:dyDescent="0.25">
      <c r="A8238" s="5"/>
    </row>
    <row r="8239" spans="1:1" x14ac:dyDescent="0.25">
      <c r="A8239" s="5"/>
    </row>
    <row r="8240" spans="1:1" x14ac:dyDescent="0.25">
      <c r="A8240" s="5"/>
    </row>
    <row r="8241" spans="1:1" x14ac:dyDescent="0.25">
      <c r="A8241" s="5"/>
    </row>
    <row r="8242" spans="1:1" x14ac:dyDescent="0.25">
      <c r="A8242" s="5"/>
    </row>
    <row r="8243" spans="1:1" x14ac:dyDescent="0.25">
      <c r="A8243" s="5"/>
    </row>
    <row r="8244" spans="1:1" x14ac:dyDescent="0.25">
      <c r="A8244" s="5"/>
    </row>
    <row r="8245" spans="1:1" x14ac:dyDescent="0.25">
      <c r="A8245" s="5"/>
    </row>
    <row r="8246" spans="1:1" x14ac:dyDescent="0.25">
      <c r="A8246" s="5"/>
    </row>
    <row r="8247" spans="1:1" x14ac:dyDescent="0.25">
      <c r="A8247" s="5"/>
    </row>
    <row r="8248" spans="1:1" x14ac:dyDescent="0.25">
      <c r="A8248" s="5"/>
    </row>
    <row r="8249" spans="1:1" x14ac:dyDescent="0.25">
      <c r="A8249" s="5"/>
    </row>
    <row r="8250" spans="1:1" x14ac:dyDescent="0.25">
      <c r="A8250" s="5"/>
    </row>
    <row r="8251" spans="1:1" x14ac:dyDescent="0.25">
      <c r="A8251" s="5"/>
    </row>
    <row r="8252" spans="1:1" x14ac:dyDescent="0.25">
      <c r="A8252" s="5"/>
    </row>
    <row r="8253" spans="1:1" x14ac:dyDescent="0.25">
      <c r="A8253" s="5"/>
    </row>
    <row r="8254" spans="1:1" x14ac:dyDescent="0.25">
      <c r="A8254" s="5"/>
    </row>
    <row r="8255" spans="1:1" x14ac:dyDescent="0.25">
      <c r="A8255" s="5"/>
    </row>
    <row r="8256" spans="1:1" x14ac:dyDescent="0.25">
      <c r="A8256" s="5"/>
    </row>
    <row r="8257" spans="1:1" x14ac:dyDescent="0.25">
      <c r="A8257" s="5"/>
    </row>
    <row r="8258" spans="1:1" x14ac:dyDescent="0.25">
      <c r="A8258" s="5"/>
    </row>
    <row r="8259" spans="1:1" x14ac:dyDescent="0.25">
      <c r="A8259" s="5"/>
    </row>
    <row r="8260" spans="1:1" x14ac:dyDescent="0.25">
      <c r="A8260" s="5"/>
    </row>
    <row r="8261" spans="1:1" x14ac:dyDescent="0.25">
      <c r="A8261" s="5"/>
    </row>
    <row r="8262" spans="1:1" x14ac:dyDescent="0.25">
      <c r="A8262" s="5"/>
    </row>
    <row r="8263" spans="1:1" x14ac:dyDescent="0.25">
      <c r="A8263" s="5"/>
    </row>
    <row r="8264" spans="1:1" x14ac:dyDescent="0.25">
      <c r="A8264" s="5"/>
    </row>
    <row r="8265" spans="1:1" x14ac:dyDescent="0.25">
      <c r="A8265" s="5"/>
    </row>
    <row r="8266" spans="1:1" x14ac:dyDescent="0.25">
      <c r="A8266" s="5"/>
    </row>
    <row r="8267" spans="1:1" x14ac:dyDescent="0.25">
      <c r="A8267" s="5"/>
    </row>
    <row r="8268" spans="1:1" x14ac:dyDescent="0.25">
      <c r="A8268" s="5"/>
    </row>
    <row r="8269" spans="1:1" x14ac:dyDescent="0.25">
      <c r="A8269" s="5"/>
    </row>
    <row r="8270" spans="1:1" x14ac:dyDescent="0.25">
      <c r="A8270" s="5"/>
    </row>
    <row r="8271" spans="1:1" x14ac:dyDescent="0.25">
      <c r="A8271" s="5"/>
    </row>
    <row r="8272" spans="1:1" x14ac:dyDescent="0.25">
      <c r="A8272" s="5"/>
    </row>
    <row r="8273" spans="1:1" x14ac:dyDescent="0.25">
      <c r="A8273" s="5"/>
    </row>
    <row r="8274" spans="1:1" x14ac:dyDescent="0.25">
      <c r="A8274" s="5"/>
    </row>
    <row r="8275" spans="1:1" x14ac:dyDescent="0.25">
      <c r="A8275" s="5"/>
    </row>
    <row r="8276" spans="1:1" x14ac:dyDescent="0.25">
      <c r="A8276" s="5"/>
    </row>
    <row r="8277" spans="1:1" x14ac:dyDescent="0.25">
      <c r="A8277" s="5"/>
    </row>
    <row r="8278" spans="1:1" x14ac:dyDescent="0.25">
      <c r="A8278" s="5"/>
    </row>
    <row r="8279" spans="1:1" x14ac:dyDescent="0.25">
      <c r="A8279" s="5"/>
    </row>
    <row r="8280" spans="1:1" x14ac:dyDescent="0.25">
      <c r="A8280" s="5"/>
    </row>
    <row r="8281" spans="1:1" x14ac:dyDescent="0.25">
      <c r="A8281" s="5"/>
    </row>
    <row r="8282" spans="1:1" x14ac:dyDescent="0.25">
      <c r="A8282" s="5"/>
    </row>
    <row r="8283" spans="1:1" x14ac:dyDescent="0.25">
      <c r="A8283" s="5"/>
    </row>
    <row r="8284" spans="1:1" x14ac:dyDescent="0.25">
      <c r="A8284" s="5"/>
    </row>
    <row r="8285" spans="1:1" x14ac:dyDescent="0.25">
      <c r="A8285" s="5"/>
    </row>
    <row r="8286" spans="1:1" x14ac:dyDescent="0.25">
      <c r="A8286" s="5"/>
    </row>
    <row r="8287" spans="1:1" x14ac:dyDescent="0.25">
      <c r="A8287" s="5"/>
    </row>
    <row r="8288" spans="1:1" x14ac:dyDescent="0.25">
      <c r="A8288" s="5"/>
    </row>
    <row r="8289" spans="1:1" x14ac:dyDescent="0.25">
      <c r="A8289" s="5"/>
    </row>
    <row r="8290" spans="1:1" x14ac:dyDescent="0.25">
      <c r="A8290" s="5"/>
    </row>
    <row r="8291" spans="1:1" x14ac:dyDescent="0.25">
      <c r="A8291" s="5"/>
    </row>
    <row r="8292" spans="1:1" x14ac:dyDescent="0.25">
      <c r="A8292" s="5"/>
    </row>
    <row r="8293" spans="1:1" x14ac:dyDescent="0.25">
      <c r="A8293" s="5"/>
    </row>
    <row r="8294" spans="1:1" x14ac:dyDescent="0.25">
      <c r="A8294" s="5"/>
    </row>
    <row r="8295" spans="1:1" x14ac:dyDescent="0.25">
      <c r="A8295" s="5"/>
    </row>
    <row r="8296" spans="1:1" x14ac:dyDescent="0.25">
      <c r="A8296" s="5"/>
    </row>
    <row r="8297" spans="1:1" x14ac:dyDescent="0.25">
      <c r="A8297" s="5"/>
    </row>
    <row r="8298" spans="1:1" x14ac:dyDescent="0.25">
      <c r="A8298" s="5"/>
    </row>
    <row r="8299" spans="1:1" x14ac:dyDescent="0.25">
      <c r="A8299" s="5"/>
    </row>
    <row r="8300" spans="1:1" x14ac:dyDescent="0.25">
      <c r="A8300" s="5"/>
    </row>
    <row r="8301" spans="1:1" x14ac:dyDescent="0.25">
      <c r="A8301" s="5"/>
    </row>
    <row r="8302" spans="1:1" x14ac:dyDescent="0.25">
      <c r="A8302" s="5"/>
    </row>
    <row r="8303" spans="1:1" x14ac:dyDescent="0.25">
      <c r="A8303" s="5"/>
    </row>
    <row r="8304" spans="1:1" x14ac:dyDescent="0.25">
      <c r="A8304" s="5"/>
    </row>
    <row r="8305" spans="1:1" x14ac:dyDescent="0.25">
      <c r="A8305" s="5"/>
    </row>
    <row r="8306" spans="1:1" x14ac:dyDescent="0.25">
      <c r="A8306" s="5"/>
    </row>
    <row r="8307" spans="1:1" x14ac:dyDescent="0.25">
      <c r="A8307" s="5"/>
    </row>
    <row r="8308" spans="1:1" x14ac:dyDescent="0.25">
      <c r="A8308" s="5"/>
    </row>
    <row r="8309" spans="1:1" x14ac:dyDescent="0.25">
      <c r="A8309" s="5"/>
    </row>
    <row r="8310" spans="1:1" x14ac:dyDescent="0.25">
      <c r="A8310" s="5"/>
    </row>
    <row r="8311" spans="1:1" x14ac:dyDescent="0.25">
      <c r="A8311" s="5"/>
    </row>
    <row r="8312" spans="1:1" x14ac:dyDescent="0.25">
      <c r="A8312" s="5"/>
    </row>
    <row r="8313" spans="1:1" x14ac:dyDescent="0.25">
      <c r="A8313" s="5"/>
    </row>
    <row r="8314" spans="1:1" x14ac:dyDescent="0.25">
      <c r="A8314" s="5"/>
    </row>
    <row r="8315" spans="1:1" x14ac:dyDescent="0.25">
      <c r="A8315" s="5"/>
    </row>
    <row r="8316" spans="1:1" x14ac:dyDescent="0.25">
      <c r="A8316" s="5"/>
    </row>
    <row r="8317" spans="1:1" x14ac:dyDescent="0.25">
      <c r="A8317" s="5"/>
    </row>
    <row r="8318" spans="1:1" x14ac:dyDescent="0.25">
      <c r="A8318" s="5"/>
    </row>
    <row r="8319" spans="1:1" x14ac:dyDescent="0.25">
      <c r="A8319" s="5"/>
    </row>
    <row r="8320" spans="1:1" x14ac:dyDescent="0.25">
      <c r="A8320" s="5"/>
    </row>
    <row r="8321" spans="1:1" x14ac:dyDescent="0.25">
      <c r="A8321" s="5"/>
    </row>
    <row r="8322" spans="1:1" x14ac:dyDescent="0.25">
      <c r="A8322" s="5"/>
    </row>
    <row r="8323" spans="1:1" x14ac:dyDescent="0.25">
      <c r="A8323" s="5"/>
    </row>
    <row r="8324" spans="1:1" x14ac:dyDescent="0.25">
      <c r="A8324" s="5"/>
    </row>
    <row r="8325" spans="1:1" x14ac:dyDescent="0.25">
      <c r="A8325" s="5"/>
    </row>
    <row r="8326" spans="1:1" x14ac:dyDescent="0.25">
      <c r="A8326" s="5"/>
    </row>
    <row r="8327" spans="1:1" x14ac:dyDescent="0.25">
      <c r="A8327" s="5"/>
    </row>
    <row r="8328" spans="1:1" x14ac:dyDescent="0.25">
      <c r="A8328" s="5"/>
    </row>
    <row r="8329" spans="1:1" x14ac:dyDescent="0.25">
      <c r="A8329" s="5"/>
    </row>
    <row r="8330" spans="1:1" x14ac:dyDescent="0.25">
      <c r="A8330" s="5"/>
    </row>
    <row r="8331" spans="1:1" x14ac:dyDescent="0.25">
      <c r="A8331" s="5"/>
    </row>
    <row r="8332" spans="1:1" x14ac:dyDescent="0.25">
      <c r="A8332" s="5"/>
    </row>
    <row r="8333" spans="1:1" x14ac:dyDescent="0.25">
      <c r="A8333" s="5"/>
    </row>
    <row r="8334" spans="1:1" x14ac:dyDescent="0.25">
      <c r="A8334" s="5"/>
    </row>
    <row r="8335" spans="1:1" x14ac:dyDescent="0.25">
      <c r="A8335" s="5"/>
    </row>
    <row r="8336" spans="1:1" x14ac:dyDescent="0.25">
      <c r="A8336" s="5"/>
    </row>
    <row r="8337" spans="1:1" x14ac:dyDescent="0.25">
      <c r="A8337" s="5"/>
    </row>
    <row r="8338" spans="1:1" x14ac:dyDescent="0.25">
      <c r="A8338" s="5"/>
    </row>
    <row r="8339" spans="1:1" x14ac:dyDescent="0.25">
      <c r="A8339" s="5"/>
    </row>
    <row r="8340" spans="1:1" x14ac:dyDescent="0.25">
      <c r="A8340" s="5"/>
    </row>
    <row r="8341" spans="1:1" x14ac:dyDescent="0.25">
      <c r="A8341" s="5"/>
    </row>
    <row r="8342" spans="1:1" x14ac:dyDescent="0.25">
      <c r="A8342" s="5"/>
    </row>
    <row r="8343" spans="1:1" x14ac:dyDescent="0.25">
      <c r="A8343" s="5"/>
    </row>
    <row r="8344" spans="1:1" x14ac:dyDescent="0.25">
      <c r="A8344" s="5"/>
    </row>
    <row r="8345" spans="1:1" x14ac:dyDescent="0.25">
      <c r="A8345" s="5"/>
    </row>
    <row r="8346" spans="1:1" x14ac:dyDescent="0.25">
      <c r="A8346" s="5"/>
    </row>
    <row r="8347" spans="1:1" x14ac:dyDescent="0.25">
      <c r="A8347" s="5"/>
    </row>
    <row r="8348" spans="1:1" x14ac:dyDescent="0.25">
      <c r="A8348" s="5"/>
    </row>
    <row r="8349" spans="1:1" x14ac:dyDescent="0.25">
      <c r="A8349" s="5"/>
    </row>
    <row r="8350" spans="1:1" x14ac:dyDescent="0.25">
      <c r="A8350" s="5"/>
    </row>
    <row r="8351" spans="1:1" x14ac:dyDescent="0.25">
      <c r="A8351" s="5"/>
    </row>
    <row r="8352" spans="1:1" x14ac:dyDescent="0.25">
      <c r="A8352" s="5"/>
    </row>
    <row r="8353" spans="1:1" x14ac:dyDescent="0.25">
      <c r="A8353" s="5"/>
    </row>
    <row r="8354" spans="1:1" x14ac:dyDescent="0.25">
      <c r="A8354" s="5"/>
    </row>
    <row r="8355" spans="1:1" x14ac:dyDescent="0.25">
      <c r="A8355" s="5"/>
    </row>
    <row r="8356" spans="1:1" x14ac:dyDescent="0.25">
      <c r="A8356" s="5"/>
    </row>
    <row r="8357" spans="1:1" x14ac:dyDescent="0.25">
      <c r="A8357" s="5"/>
    </row>
    <row r="8358" spans="1:1" x14ac:dyDescent="0.25">
      <c r="A8358" s="5"/>
    </row>
    <row r="8359" spans="1:1" x14ac:dyDescent="0.25">
      <c r="A8359" s="5"/>
    </row>
    <row r="8360" spans="1:1" x14ac:dyDescent="0.25">
      <c r="A8360" s="5"/>
    </row>
    <row r="8361" spans="1:1" x14ac:dyDescent="0.25">
      <c r="A8361" s="5"/>
    </row>
    <row r="8362" spans="1:1" x14ac:dyDescent="0.25">
      <c r="A8362" s="5"/>
    </row>
    <row r="8363" spans="1:1" x14ac:dyDescent="0.25">
      <c r="A8363" s="5"/>
    </row>
    <row r="8364" spans="1:1" x14ac:dyDescent="0.25">
      <c r="A8364" s="5"/>
    </row>
    <row r="8365" spans="1:1" x14ac:dyDescent="0.25">
      <c r="A8365" s="5"/>
    </row>
    <row r="8366" spans="1:1" x14ac:dyDescent="0.25">
      <c r="A8366" s="5"/>
    </row>
    <row r="8367" spans="1:1" x14ac:dyDescent="0.25">
      <c r="A8367" s="5"/>
    </row>
    <row r="8368" spans="1:1" x14ac:dyDescent="0.25">
      <c r="A8368" s="5"/>
    </row>
    <row r="8369" spans="1:1" x14ac:dyDescent="0.25">
      <c r="A8369" s="5"/>
    </row>
    <row r="8370" spans="1:1" x14ac:dyDescent="0.25">
      <c r="A8370" s="5"/>
    </row>
    <row r="8371" spans="1:1" x14ac:dyDescent="0.25">
      <c r="A8371" s="5"/>
    </row>
    <row r="8372" spans="1:1" x14ac:dyDescent="0.25">
      <c r="A8372" s="5"/>
    </row>
    <row r="8373" spans="1:1" x14ac:dyDescent="0.25">
      <c r="A8373" s="5"/>
    </row>
    <row r="8374" spans="1:1" x14ac:dyDescent="0.25">
      <c r="A8374" s="5"/>
    </row>
    <row r="8375" spans="1:1" x14ac:dyDescent="0.25">
      <c r="A8375" s="5"/>
    </row>
    <row r="8376" spans="1:1" x14ac:dyDescent="0.25">
      <c r="A8376" s="5"/>
    </row>
    <row r="8377" spans="1:1" x14ac:dyDescent="0.25">
      <c r="A8377" s="5"/>
    </row>
    <row r="8378" spans="1:1" x14ac:dyDescent="0.25">
      <c r="A8378" s="5"/>
    </row>
    <row r="8379" spans="1:1" x14ac:dyDescent="0.25">
      <c r="A8379" s="5"/>
    </row>
    <row r="8380" spans="1:1" x14ac:dyDescent="0.25">
      <c r="A8380" s="5"/>
    </row>
    <row r="8381" spans="1:1" x14ac:dyDescent="0.25">
      <c r="A8381" s="5"/>
    </row>
    <row r="8382" spans="1:1" x14ac:dyDescent="0.25">
      <c r="A8382" s="5"/>
    </row>
    <row r="8383" spans="1:1" x14ac:dyDescent="0.25">
      <c r="A8383" s="5"/>
    </row>
    <row r="8384" spans="1:1" x14ac:dyDescent="0.25">
      <c r="A8384" s="5"/>
    </row>
    <row r="8385" spans="1:1" x14ac:dyDescent="0.25">
      <c r="A8385" s="5"/>
    </row>
    <row r="8386" spans="1:1" x14ac:dyDescent="0.25">
      <c r="A8386" s="5"/>
    </row>
    <row r="8387" spans="1:1" x14ac:dyDescent="0.25">
      <c r="A8387" s="5"/>
    </row>
    <row r="8388" spans="1:1" x14ac:dyDescent="0.25">
      <c r="A8388" s="5"/>
    </row>
    <row r="8389" spans="1:1" x14ac:dyDescent="0.25">
      <c r="A8389" s="5"/>
    </row>
    <row r="8390" spans="1:1" x14ac:dyDescent="0.25">
      <c r="A8390" s="5"/>
    </row>
    <row r="8391" spans="1:1" x14ac:dyDescent="0.25">
      <c r="A8391" s="5"/>
    </row>
    <row r="8392" spans="1:1" x14ac:dyDescent="0.25">
      <c r="A8392" s="5"/>
    </row>
    <row r="8393" spans="1:1" x14ac:dyDescent="0.25">
      <c r="A8393" s="5"/>
    </row>
    <row r="8394" spans="1:1" x14ac:dyDescent="0.25">
      <c r="A8394" s="5"/>
    </row>
    <row r="8395" spans="1:1" x14ac:dyDescent="0.25">
      <c r="A8395" s="5"/>
    </row>
    <row r="8396" spans="1:1" x14ac:dyDescent="0.25">
      <c r="A8396" s="5"/>
    </row>
    <row r="8397" spans="1:1" x14ac:dyDescent="0.25">
      <c r="A8397" s="5"/>
    </row>
    <row r="8398" spans="1:1" x14ac:dyDescent="0.25">
      <c r="A8398" s="5"/>
    </row>
    <row r="8399" spans="1:1" x14ac:dyDescent="0.25">
      <c r="A8399" s="5"/>
    </row>
    <row r="8400" spans="1:1" x14ac:dyDescent="0.25">
      <c r="A8400" s="5"/>
    </row>
    <row r="8401" spans="1:1" x14ac:dyDescent="0.25">
      <c r="A8401" s="5"/>
    </row>
    <row r="8402" spans="1:1" x14ac:dyDescent="0.25">
      <c r="A8402" s="5"/>
    </row>
    <row r="8403" spans="1:1" x14ac:dyDescent="0.25">
      <c r="A8403" s="5"/>
    </row>
    <row r="8404" spans="1:1" x14ac:dyDescent="0.25">
      <c r="A8404" s="5"/>
    </row>
    <row r="8405" spans="1:1" x14ac:dyDescent="0.25">
      <c r="A8405" s="5"/>
    </row>
    <row r="8406" spans="1:1" x14ac:dyDescent="0.25">
      <c r="A8406" s="5"/>
    </row>
    <row r="8407" spans="1:1" x14ac:dyDescent="0.25">
      <c r="A8407" s="5"/>
    </row>
    <row r="8408" spans="1:1" x14ac:dyDescent="0.25">
      <c r="A8408" s="5"/>
    </row>
    <row r="8409" spans="1:1" x14ac:dyDescent="0.25">
      <c r="A8409" s="5"/>
    </row>
    <row r="8410" spans="1:1" x14ac:dyDescent="0.25">
      <c r="A8410" s="5"/>
    </row>
    <row r="8411" spans="1:1" x14ac:dyDescent="0.25">
      <c r="A8411" s="5"/>
    </row>
    <row r="8412" spans="1:1" x14ac:dyDescent="0.25">
      <c r="A8412" s="5"/>
    </row>
    <row r="8413" spans="1:1" x14ac:dyDescent="0.25">
      <c r="A8413" s="5"/>
    </row>
    <row r="8414" spans="1:1" x14ac:dyDescent="0.25">
      <c r="A8414" s="5"/>
    </row>
    <row r="8415" spans="1:1" x14ac:dyDescent="0.25">
      <c r="A8415" s="5"/>
    </row>
    <row r="8416" spans="1:1" x14ac:dyDescent="0.25">
      <c r="A8416" s="5"/>
    </row>
    <row r="8417" spans="1:1" x14ac:dyDescent="0.25">
      <c r="A8417" s="5"/>
    </row>
    <row r="8418" spans="1:1" x14ac:dyDescent="0.25">
      <c r="A8418" s="5"/>
    </row>
    <row r="8419" spans="1:1" x14ac:dyDescent="0.25">
      <c r="A8419" s="5"/>
    </row>
    <row r="8420" spans="1:1" x14ac:dyDescent="0.25">
      <c r="A8420" s="5"/>
    </row>
    <row r="8421" spans="1:1" x14ac:dyDescent="0.25">
      <c r="A8421" s="5"/>
    </row>
    <row r="8422" spans="1:1" x14ac:dyDescent="0.25">
      <c r="A8422" s="5"/>
    </row>
    <row r="8423" spans="1:1" x14ac:dyDescent="0.25">
      <c r="A8423" s="5"/>
    </row>
    <row r="8424" spans="1:1" x14ac:dyDescent="0.25">
      <c r="A8424" s="5"/>
    </row>
    <row r="8425" spans="1:1" x14ac:dyDescent="0.25">
      <c r="A8425" s="5"/>
    </row>
    <row r="8426" spans="1:1" x14ac:dyDescent="0.25">
      <c r="A8426" s="5"/>
    </row>
    <row r="8427" spans="1:1" x14ac:dyDescent="0.25">
      <c r="A8427" s="5"/>
    </row>
    <row r="8428" spans="1:1" x14ac:dyDescent="0.25">
      <c r="A8428" s="5"/>
    </row>
    <row r="8429" spans="1:1" x14ac:dyDescent="0.25">
      <c r="A8429" s="5"/>
    </row>
    <row r="8430" spans="1:1" x14ac:dyDescent="0.25">
      <c r="A8430" s="5"/>
    </row>
    <row r="8431" spans="1:1" x14ac:dyDescent="0.25">
      <c r="A8431" s="5"/>
    </row>
    <row r="8432" spans="1:1" x14ac:dyDescent="0.25">
      <c r="A8432" s="5"/>
    </row>
    <row r="8433" spans="1:1" x14ac:dyDescent="0.25">
      <c r="A8433" s="5"/>
    </row>
    <row r="8434" spans="1:1" x14ac:dyDescent="0.25">
      <c r="A8434" s="5"/>
    </row>
    <row r="8435" spans="1:1" x14ac:dyDescent="0.25">
      <c r="A8435" s="5"/>
    </row>
    <row r="8436" spans="1:1" x14ac:dyDescent="0.25">
      <c r="A8436" s="5"/>
    </row>
    <row r="8437" spans="1:1" x14ac:dyDescent="0.25">
      <c r="A8437" s="5"/>
    </row>
    <row r="8438" spans="1:1" x14ac:dyDescent="0.25">
      <c r="A8438" s="5"/>
    </row>
    <row r="8439" spans="1:1" x14ac:dyDescent="0.25">
      <c r="A8439" s="5"/>
    </row>
    <row r="8440" spans="1:1" x14ac:dyDescent="0.25">
      <c r="A8440" s="5"/>
    </row>
    <row r="8441" spans="1:1" x14ac:dyDescent="0.25">
      <c r="A8441" s="5"/>
    </row>
    <row r="8442" spans="1:1" x14ac:dyDescent="0.25">
      <c r="A8442" s="5"/>
    </row>
    <row r="8443" spans="1:1" x14ac:dyDescent="0.25">
      <c r="A8443" s="5"/>
    </row>
    <row r="8444" spans="1:1" x14ac:dyDescent="0.25">
      <c r="A8444" s="5"/>
    </row>
    <row r="8445" spans="1:1" x14ac:dyDescent="0.25">
      <c r="A8445" s="5"/>
    </row>
    <row r="8446" spans="1:1" x14ac:dyDescent="0.25">
      <c r="A8446" s="5"/>
    </row>
    <row r="8447" spans="1:1" x14ac:dyDescent="0.25">
      <c r="A8447" s="5"/>
    </row>
    <row r="8448" spans="1:1" x14ac:dyDescent="0.25">
      <c r="A8448" s="5"/>
    </row>
    <row r="8449" spans="1:1" x14ac:dyDescent="0.25">
      <c r="A8449" s="5"/>
    </row>
    <row r="8450" spans="1:1" x14ac:dyDescent="0.25">
      <c r="A8450" s="5"/>
    </row>
    <row r="8451" spans="1:1" x14ac:dyDescent="0.25">
      <c r="A8451" s="5"/>
    </row>
    <row r="8452" spans="1:1" x14ac:dyDescent="0.25">
      <c r="A8452" s="5"/>
    </row>
    <row r="8453" spans="1:1" x14ac:dyDescent="0.25">
      <c r="A8453" s="5"/>
    </row>
    <row r="8454" spans="1:1" x14ac:dyDescent="0.25">
      <c r="A8454" s="5"/>
    </row>
    <row r="8455" spans="1:1" x14ac:dyDescent="0.25">
      <c r="A8455" s="5"/>
    </row>
    <row r="8456" spans="1:1" x14ac:dyDescent="0.25">
      <c r="A8456" s="5"/>
    </row>
    <row r="8457" spans="1:1" x14ac:dyDescent="0.25">
      <c r="A8457" s="5"/>
    </row>
    <row r="8458" spans="1:1" x14ac:dyDescent="0.25">
      <c r="A8458" s="5"/>
    </row>
    <row r="8459" spans="1:1" x14ac:dyDescent="0.25">
      <c r="A8459" s="5"/>
    </row>
    <row r="8460" spans="1:1" x14ac:dyDescent="0.25">
      <c r="A8460" s="5"/>
    </row>
    <row r="8461" spans="1:1" x14ac:dyDescent="0.25">
      <c r="A8461" s="5"/>
    </row>
    <row r="8462" spans="1:1" x14ac:dyDescent="0.25">
      <c r="A8462" s="5"/>
    </row>
    <row r="8463" spans="1:1" x14ac:dyDescent="0.25">
      <c r="A8463" s="5"/>
    </row>
    <row r="8464" spans="1:1" x14ac:dyDescent="0.25">
      <c r="A8464" s="5"/>
    </row>
    <row r="8465" spans="1:1" x14ac:dyDescent="0.25">
      <c r="A8465" s="5"/>
    </row>
    <row r="8466" spans="1:1" x14ac:dyDescent="0.25">
      <c r="A8466" s="5"/>
    </row>
    <row r="8467" spans="1:1" x14ac:dyDescent="0.25">
      <c r="A8467" s="5"/>
    </row>
    <row r="8468" spans="1:1" x14ac:dyDescent="0.25">
      <c r="A8468" s="5"/>
    </row>
    <row r="8469" spans="1:1" x14ac:dyDescent="0.25">
      <c r="A8469" s="5"/>
    </row>
    <row r="8470" spans="1:1" x14ac:dyDescent="0.25">
      <c r="A8470" s="5"/>
    </row>
    <row r="8471" spans="1:1" x14ac:dyDescent="0.25">
      <c r="A8471" s="5"/>
    </row>
    <row r="8472" spans="1:1" x14ac:dyDescent="0.25">
      <c r="A8472" s="5"/>
    </row>
    <row r="8473" spans="1:1" x14ac:dyDescent="0.25">
      <c r="A8473" s="5"/>
    </row>
    <row r="8474" spans="1:1" x14ac:dyDescent="0.25">
      <c r="A8474" s="5"/>
    </row>
    <row r="8475" spans="1:1" x14ac:dyDescent="0.25">
      <c r="A8475" s="5"/>
    </row>
    <row r="8476" spans="1:1" x14ac:dyDescent="0.25">
      <c r="A8476" s="5"/>
    </row>
    <row r="8477" spans="1:1" x14ac:dyDescent="0.25">
      <c r="A8477" s="5"/>
    </row>
    <row r="8478" spans="1:1" x14ac:dyDescent="0.25">
      <c r="A8478" s="5"/>
    </row>
    <row r="8479" spans="1:1" x14ac:dyDescent="0.25">
      <c r="A8479" s="5"/>
    </row>
    <row r="8480" spans="1:1" x14ac:dyDescent="0.25">
      <c r="A8480" s="5"/>
    </row>
    <row r="8481" spans="1:1" x14ac:dyDescent="0.25">
      <c r="A8481" s="5"/>
    </row>
    <row r="8482" spans="1:1" x14ac:dyDescent="0.25">
      <c r="A8482" s="5"/>
    </row>
    <row r="8483" spans="1:1" x14ac:dyDescent="0.25">
      <c r="A8483" s="5"/>
    </row>
    <row r="8484" spans="1:1" x14ac:dyDescent="0.25">
      <c r="A8484" s="5"/>
    </row>
    <row r="8485" spans="1:1" x14ac:dyDescent="0.25">
      <c r="A8485" s="5"/>
    </row>
    <row r="8486" spans="1:1" x14ac:dyDescent="0.25">
      <c r="A8486" s="5"/>
    </row>
    <row r="8487" spans="1:1" x14ac:dyDescent="0.25">
      <c r="A8487" s="5"/>
    </row>
    <row r="8488" spans="1:1" x14ac:dyDescent="0.25">
      <c r="A8488" s="5"/>
    </row>
    <row r="8489" spans="1:1" x14ac:dyDescent="0.25">
      <c r="A8489" s="5"/>
    </row>
    <row r="8490" spans="1:1" x14ac:dyDescent="0.25">
      <c r="A8490" s="5"/>
    </row>
    <row r="8491" spans="1:1" x14ac:dyDescent="0.25">
      <c r="A8491" s="5"/>
    </row>
    <row r="8492" spans="1:1" x14ac:dyDescent="0.25">
      <c r="A8492" s="5"/>
    </row>
    <row r="8493" spans="1:1" x14ac:dyDescent="0.25">
      <c r="A8493" s="5"/>
    </row>
    <row r="8494" spans="1:1" x14ac:dyDescent="0.25">
      <c r="A8494" s="5"/>
    </row>
    <row r="8495" spans="1:1" x14ac:dyDescent="0.25">
      <c r="A8495" s="5"/>
    </row>
    <row r="8496" spans="1:1" x14ac:dyDescent="0.25">
      <c r="A8496" s="5"/>
    </row>
    <row r="8497" spans="1:1" x14ac:dyDescent="0.25">
      <c r="A8497" s="5"/>
    </row>
    <row r="8498" spans="1:1" x14ac:dyDescent="0.25">
      <c r="A8498" s="5"/>
    </row>
    <row r="8499" spans="1:1" x14ac:dyDescent="0.25">
      <c r="A8499" s="5"/>
    </row>
    <row r="8500" spans="1:1" x14ac:dyDescent="0.25">
      <c r="A8500" s="5"/>
    </row>
    <row r="8501" spans="1:1" x14ac:dyDescent="0.25">
      <c r="A8501" s="5"/>
    </row>
    <row r="8502" spans="1:1" x14ac:dyDescent="0.25">
      <c r="A8502" s="5"/>
    </row>
    <row r="8503" spans="1:1" x14ac:dyDescent="0.25">
      <c r="A8503" s="5"/>
    </row>
    <row r="8504" spans="1:1" x14ac:dyDescent="0.25">
      <c r="A8504" s="5"/>
    </row>
    <row r="8505" spans="1:1" x14ac:dyDescent="0.25">
      <c r="A8505" s="5"/>
    </row>
    <row r="8506" spans="1:1" x14ac:dyDescent="0.25">
      <c r="A8506" s="5"/>
    </row>
    <row r="8507" spans="1:1" x14ac:dyDescent="0.25">
      <c r="A8507" s="5"/>
    </row>
    <row r="8508" spans="1:1" x14ac:dyDescent="0.25">
      <c r="A8508" s="5"/>
    </row>
    <row r="8509" spans="1:1" x14ac:dyDescent="0.25">
      <c r="A8509" s="5"/>
    </row>
    <row r="8510" spans="1:1" x14ac:dyDescent="0.25">
      <c r="A8510" s="5"/>
    </row>
    <row r="8511" spans="1:1" x14ac:dyDescent="0.25">
      <c r="A8511" s="5"/>
    </row>
    <row r="8512" spans="1:1" x14ac:dyDescent="0.25">
      <c r="A8512" s="5"/>
    </row>
    <row r="8513" spans="1:1" x14ac:dyDescent="0.25">
      <c r="A8513" s="5"/>
    </row>
    <row r="8514" spans="1:1" x14ac:dyDescent="0.25">
      <c r="A8514" s="5"/>
    </row>
    <row r="8515" spans="1:1" x14ac:dyDescent="0.25">
      <c r="A8515" s="5"/>
    </row>
    <row r="8516" spans="1:1" x14ac:dyDescent="0.25">
      <c r="A8516" s="5"/>
    </row>
    <row r="8517" spans="1:1" x14ac:dyDescent="0.25">
      <c r="A8517" s="5"/>
    </row>
    <row r="8518" spans="1:1" x14ac:dyDescent="0.25">
      <c r="A8518" s="5"/>
    </row>
    <row r="8519" spans="1:1" x14ac:dyDescent="0.25">
      <c r="A8519" s="5"/>
    </row>
    <row r="8520" spans="1:1" x14ac:dyDescent="0.25">
      <c r="A8520" s="5"/>
    </row>
    <row r="8521" spans="1:1" x14ac:dyDescent="0.25">
      <c r="A8521" s="5"/>
    </row>
    <row r="8522" spans="1:1" x14ac:dyDescent="0.25">
      <c r="A8522" s="5"/>
    </row>
    <row r="8523" spans="1:1" x14ac:dyDescent="0.25">
      <c r="A8523" s="5"/>
    </row>
    <row r="8524" spans="1:1" x14ac:dyDescent="0.25">
      <c r="A8524" s="5"/>
    </row>
    <row r="8525" spans="1:1" x14ac:dyDescent="0.25">
      <c r="A8525" s="5"/>
    </row>
    <row r="8526" spans="1:1" x14ac:dyDescent="0.25">
      <c r="A8526" s="5"/>
    </row>
    <row r="8527" spans="1:1" x14ac:dyDescent="0.25">
      <c r="A8527" s="5"/>
    </row>
    <row r="8528" spans="1:1" x14ac:dyDescent="0.25">
      <c r="A8528" s="5"/>
    </row>
    <row r="8529" spans="1:1" x14ac:dyDescent="0.25">
      <c r="A8529" s="5"/>
    </row>
    <row r="8530" spans="1:1" x14ac:dyDescent="0.25">
      <c r="A8530" s="5"/>
    </row>
    <row r="8531" spans="1:1" x14ac:dyDescent="0.25">
      <c r="A8531" s="5"/>
    </row>
    <row r="8532" spans="1:1" x14ac:dyDescent="0.25">
      <c r="A8532" s="5"/>
    </row>
    <row r="8533" spans="1:1" x14ac:dyDescent="0.25">
      <c r="A8533" s="5"/>
    </row>
    <row r="8534" spans="1:1" x14ac:dyDescent="0.25">
      <c r="A8534" s="5"/>
    </row>
    <row r="8535" spans="1:1" x14ac:dyDescent="0.25">
      <c r="A8535" s="5"/>
    </row>
    <row r="8536" spans="1:1" x14ac:dyDescent="0.25">
      <c r="A8536" s="5"/>
    </row>
    <row r="8537" spans="1:1" x14ac:dyDescent="0.25">
      <c r="A8537" s="5"/>
    </row>
    <row r="8538" spans="1:1" x14ac:dyDescent="0.25">
      <c r="A8538" s="5"/>
    </row>
    <row r="8539" spans="1:1" x14ac:dyDescent="0.25">
      <c r="A8539" s="5"/>
    </row>
    <row r="8540" spans="1:1" x14ac:dyDescent="0.25">
      <c r="A8540" s="5"/>
    </row>
    <row r="8541" spans="1:1" x14ac:dyDescent="0.25">
      <c r="A8541" s="5"/>
    </row>
    <row r="8542" spans="1:1" x14ac:dyDescent="0.25">
      <c r="A8542" s="5"/>
    </row>
    <row r="8543" spans="1:1" x14ac:dyDescent="0.25">
      <c r="A8543" s="5"/>
    </row>
    <row r="8544" spans="1:1" x14ac:dyDescent="0.25">
      <c r="A8544" s="5"/>
    </row>
    <row r="8545" spans="1:1" x14ac:dyDescent="0.25">
      <c r="A8545" s="5"/>
    </row>
    <row r="8546" spans="1:1" x14ac:dyDescent="0.25">
      <c r="A8546" s="5"/>
    </row>
    <row r="8547" spans="1:1" x14ac:dyDescent="0.25">
      <c r="A8547" s="5"/>
    </row>
    <row r="8548" spans="1:1" x14ac:dyDescent="0.25">
      <c r="A8548" s="5"/>
    </row>
    <row r="8549" spans="1:1" x14ac:dyDescent="0.25">
      <c r="A8549" s="5"/>
    </row>
    <row r="8550" spans="1:1" x14ac:dyDescent="0.25">
      <c r="A8550" s="5"/>
    </row>
    <row r="8551" spans="1:1" x14ac:dyDescent="0.25">
      <c r="A8551" s="5"/>
    </row>
    <row r="8552" spans="1:1" x14ac:dyDescent="0.25">
      <c r="A8552" s="5"/>
    </row>
    <row r="8553" spans="1:1" x14ac:dyDescent="0.25">
      <c r="A8553" s="5"/>
    </row>
    <row r="8554" spans="1:1" x14ac:dyDescent="0.25">
      <c r="A8554" s="5"/>
    </row>
    <row r="8555" spans="1:1" x14ac:dyDescent="0.25">
      <c r="A8555" s="5"/>
    </row>
    <row r="8556" spans="1:1" x14ac:dyDescent="0.25">
      <c r="A8556" s="5"/>
    </row>
    <row r="8557" spans="1:1" x14ac:dyDescent="0.25">
      <c r="A8557" s="5"/>
    </row>
    <row r="8558" spans="1:1" x14ac:dyDescent="0.25">
      <c r="A8558" s="5"/>
    </row>
    <row r="8559" spans="1:1" x14ac:dyDescent="0.25">
      <c r="A8559" s="5"/>
    </row>
    <row r="8560" spans="1:1" x14ac:dyDescent="0.25">
      <c r="A8560" s="5"/>
    </row>
    <row r="8561" spans="1:1" x14ac:dyDescent="0.25">
      <c r="A8561" s="5"/>
    </row>
    <row r="8562" spans="1:1" x14ac:dyDescent="0.25">
      <c r="A8562" s="5"/>
    </row>
    <row r="8563" spans="1:1" x14ac:dyDescent="0.25">
      <c r="A8563" s="5"/>
    </row>
    <row r="8564" spans="1:1" x14ac:dyDescent="0.25">
      <c r="A8564" s="5"/>
    </row>
    <row r="8565" spans="1:1" x14ac:dyDescent="0.25">
      <c r="A8565" s="5"/>
    </row>
    <row r="8566" spans="1:1" x14ac:dyDescent="0.25">
      <c r="A8566" s="5"/>
    </row>
    <row r="8567" spans="1:1" x14ac:dyDescent="0.25">
      <c r="A8567" s="5"/>
    </row>
    <row r="8568" spans="1:1" x14ac:dyDescent="0.25">
      <c r="A8568" s="5"/>
    </row>
    <row r="8569" spans="1:1" x14ac:dyDescent="0.25">
      <c r="A8569" s="5"/>
    </row>
    <row r="8570" spans="1:1" x14ac:dyDescent="0.25">
      <c r="A8570" s="5"/>
    </row>
    <row r="8571" spans="1:1" x14ac:dyDescent="0.25">
      <c r="A8571" s="5"/>
    </row>
    <row r="8572" spans="1:1" x14ac:dyDescent="0.25">
      <c r="A8572" s="5"/>
    </row>
    <row r="8573" spans="1:1" x14ac:dyDescent="0.25">
      <c r="A8573" s="5"/>
    </row>
    <row r="8574" spans="1:1" x14ac:dyDescent="0.25">
      <c r="A8574" s="5"/>
    </row>
    <row r="8575" spans="1:1" x14ac:dyDescent="0.25">
      <c r="A8575" s="5"/>
    </row>
    <row r="8576" spans="1:1" x14ac:dyDescent="0.25">
      <c r="A8576" s="5"/>
    </row>
    <row r="8577" spans="1:1" x14ac:dyDescent="0.25">
      <c r="A8577" s="5"/>
    </row>
    <row r="8578" spans="1:1" x14ac:dyDescent="0.25">
      <c r="A8578" s="5"/>
    </row>
    <row r="8579" spans="1:1" x14ac:dyDescent="0.25">
      <c r="A8579" s="5"/>
    </row>
    <row r="8580" spans="1:1" x14ac:dyDescent="0.25">
      <c r="A8580" s="5"/>
    </row>
    <row r="8581" spans="1:1" x14ac:dyDescent="0.25">
      <c r="A8581" s="5"/>
    </row>
    <row r="8582" spans="1:1" x14ac:dyDescent="0.25">
      <c r="A8582" s="5"/>
    </row>
    <row r="8583" spans="1:1" x14ac:dyDescent="0.25">
      <c r="A8583" s="5"/>
    </row>
    <row r="8584" spans="1:1" x14ac:dyDescent="0.25">
      <c r="A8584" s="5"/>
    </row>
    <row r="8585" spans="1:1" x14ac:dyDescent="0.25">
      <c r="A8585" s="5"/>
    </row>
    <row r="8586" spans="1:1" x14ac:dyDescent="0.25">
      <c r="A8586" s="5"/>
    </row>
    <row r="8587" spans="1:1" x14ac:dyDescent="0.25">
      <c r="A8587" s="5"/>
    </row>
    <row r="8588" spans="1:1" x14ac:dyDescent="0.25">
      <c r="A8588" s="5"/>
    </row>
    <row r="8589" spans="1:1" x14ac:dyDescent="0.25">
      <c r="A8589" s="5"/>
    </row>
    <row r="8590" spans="1:1" x14ac:dyDescent="0.25">
      <c r="A8590" s="5"/>
    </row>
    <row r="8591" spans="1:1" x14ac:dyDescent="0.25">
      <c r="A8591" s="5"/>
    </row>
    <row r="8592" spans="1:1" x14ac:dyDescent="0.25">
      <c r="A8592" s="5"/>
    </row>
    <row r="8593" spans="1:1" x14ac:dyDescent="0.25">
      <c r="A8593" s="5"/>
    </row>
    <row r="8594" spans="1:1" x14ac:dyDescent="0.25">
      <c r="A8594" s="5"/>
    </row>
    <row r="8595" spans="1:1" x14ac:dyDescent="0.25">
      <c r="A8595" s="5"/>
    </row>
    <row r="8596" spans="1:1" x14ac:dyDescent="0.25">
      <c r="A8596" s="5"/>
    </row>
    <row r="8597" spans="1:1" x14ac:dyDescent="0.25">
      <c r="A8597" s="5"/>
    </row>
    <row r="8598" spans="1:1" x14ac:dyDescent="0.25">
      <c r="A8598" s="5"/>
    </row>
    <row r="8599" spans="1:1" x14ac:dyDescent="0.25">
      <c r="A8599" s="5"/>
    </row>
    <row r="8600" spans="1:1" x14ac:dyDescent="0.25">
      <c r="A8600" s="5"/>
    </row>
    <row r="8601" spans="1:1" x14ac:dyDescent="0.25">
      <c r="A8601" s="5"/>
    </row>
    <row r="8602" spans="1:1" x14ac:dyDescent="0.25">
      <c r="A8602" s="5"/>
    </row>
    <row r="8603" spans="1:1" x14ac:dyDescent="0.25">
      <c r="A8603" s="5"/>
    </row>
    <row r="8604" spans="1:1" x14ac:dyDescent="0.25">
      <c r="A8604" s="5"/>
    </row>
    <row r="8605" spans="1:1" x14ac:dyDescent="0.25">
      <c r="A8605" s="5"/>
    </row>
    <row r="8606" spans="1:1" x14ac:dyDescent="0.25">
      <c r="A8606" s="5"/>
    </row>
    <row r="8607" spans="1:1" x14ac:dyDescent="0.25">
      <c r="A8607" s="5"/>
    </row>
    <row r="8608" spans="1:1" x14ac:dyDescent="0.25">
      <c r="A8608" s="5"/>
    </row>
    <row r="8609" spans="1:1" x14ac:dyDescent="0.25">
      <c r="A8609" s="5"/>
    </row>
    <row r="8610" spans="1:1" x14ac:dyDescent="0.25">
      <c r="A8610" s="5"/>
    </row>
    <row r="8611" spans="1:1" x14ac:dyDescent="0.25">
      <c r="A8611" s="5"/>
    </row>
    <row r="8612" spans="1:1" x14ac:dyDescent="0.25">
      <c r="A8612" s="5"/>
    </row>
    <row r="8613" spans="1:1" x14ac:dyDescent="0.25">
      <c r="A8613" s="5"/>
    </row>
    <row r="8614" spans="1:1" x14ac:dyDescent="0.25">
      <c r="A8614" s="5"/>
    </row>
    <row r="8615" spans="1:1" x14ac:dyDescent="0.25">
      <c r="A8615" s="5"/>
    </row>
    <row r="8616" spans="1:1" x14ac:dyDescent="0.25">
      <c r="A8616" s="5"/>
    </row>
    <row r="8617" spans="1:1" x14ac:dyDescent="0.25">
      <c r="A8617" s="5"/>
    </row>
    <row r="8618" spans="1:1" x14ac:dyDescent="0.25">
      <c r="A8618" s="5"/>
    </row>
    <row r="8619" spans="1:1" x14ac:dyDescent="0.25">
      <c r="A8619" s="5"/>
    </row>
    <row r="8620" spans="1:1" x14ac:dyDescent="0.25">
      <c r="A8620" s="5"/>
    </row>
    <row r="8621" spans="1:1" x14ac:dyDescent="0.25">
      <c r="A8621" s="5"/>
    </row>
    <row r="8622" spans="1:1" x14ac:dyDescent="0.25">
      <c r="A8622" s="5"/>
    </row>
    <row r="8623" spans="1:1" x14ac:dyDescent="0.25">
      <c r="A8623" s="5"/>
    </row>
    <row r="8624" spans="1:1" x14ac:dyDescent="0.25">
      <c r="A8624" s="5"/>
    </row>
    <row r="8625" spans="1:1" x14ac:dyDescent="0.25">
      <c r="A8625" s="5"/>
    </row>
    <row r="8626" spans="1:1" x14ac:dyDescent="0.25">
      <c r="A8626" s="5"/>
    </row>
    <row r="8627" spans="1:1" x14ac:dyDescent="0.25">
      <c r="A8627" s="5"/>
    </row>
    <row r="8628" spans="1:1" x14ac:dyDescent="0.25">
      <c r="A8628" s="5"/>
    </row>
    <row r="8629" spans="1:1" x14ac:dyDescent="0.25">
      <c r="A8629" s="5"/>
    </row>
    <row r="8630" spans="1:1" x14ac:dyDescent="0.25">
      <c r="A8630" s="5"/>
    </row>
    <row r="8631" spans="1:1" x14ac:dyDescent="0.25">
      <c r="A8631" s="5"/>
    </row>
    <row r="8632" spans="1:1" x14ac:dyDescent="0.25">
      <c r="A8632" s="5"/>
    </row>
    <row r="8633" spans="1:1" x14ac:dyDescent="0.25">
      <c r="A8633" s="5"/>
    </row>
    <row r="8634" spans="1:1" x14ac:dyDescent="0.25">
      <c r="A8634" s="5"/>
    </row>
    <row r="8635" spans="1:1" x14ac:dyDescent="0.25">
      <c r="A8635" s="5"/>
    </row>
    <row r="8636" spans="1:1" x14ac:dyDescent="0.25">
      <c r="A8636" s="5"/>
    </row>
    <row r="8637" spans="1:1" x14ac:dyDescent="0.25">
      <c r="A8637" s="5"/>
    </row>
    <row r="8638" spans="1:1" x14ac:dyDescent="0.25">
      <c r="A8638" s="5"/>
    </row>
    <row r="8639" spans="1:1" x14ac:dyDescent="0.25">
      <c r="A8639" s="5"/>
    </row>
    <row r="8640" spans="1:1" x14ac:dyDescent="0.25">
      <c r="A8640" s="5"/>
    </row>
    <row r="8641" spans="1:1" x14ac:dyDescent="0.25">
      <c r="A8641" s="5"/>
    </row>
    <row r="8642" spans="1:1" x14ac:dyDescent="0.25">
      <c r="A8642" s="5"/>
    </row>
    <row r="8643" spans="1:1" x14ac:dyDescent="0.25">
      <c r="A8643" s="5"/>
    </row>
    <row r="8644" spans="1:1" x14ac:dyDescent="0.25">
      <c r="A8644" s="5"/>
    </row>
    <row r="8645" spans="1:1" x14ac:dyDescent="0.25">
      <c r="A8645" s="5"/>
    </row>
    <row r="8646" spans="1:1" x14ac:dyDescent="0.25">
      <c r="A8646" s="5"/>
    </row>
    <row r="8647" spans="1:1" x14ac:dyDescent="0.25">
      <c r="A8647" s="5"/>
    </row>
    <row r="8648" spans="1:1" x14ac:dyDescent="0.25">
      <c r="A8648" s="5"/>
    </row>
    <row r="8649" spans="1:1" x14ac:dyDescent="0.25">
      <c r="A8649" s="5"/>
    </row>
    <row r="8650" spans="1:1" x14ac:dyDescent="0.25">
      <c r="A8650" s="5"/>
    </row>
    <row r="8651" spans="1:1" x14ac:dyDescent="0.25">
      <c r="A8651" s="5"/>
    </row>
    <row r="8652" spans="1:1" x14ac:dyDescent="0.25">
      <c r="A8652" s="5"/>
    </row>
    <row r="8653" spans="1:1" x14ac:dyDescent="0.25">
      <c r="A8653" s="5"/>
    </row>
    <row r="8654" spans="1:1" x14ac:dyDescent="0.25">
      <c r="A8654" s="5"/>
    </row>
    <row r="8655" spans="1:1" x14ac:dyDescent="0.25">
      <c r="A8655" s="5"/>
    </row>
    <row r="8656" spans="1:1" x14ac:dyDescent="0.25">
      <c r="A8656" s="5"/>
    </row>
    <row r="8657" spans="1:1" x14ac:dyDescent="0.25">
      <c r="A8657" s="5"/>
    </row>
    <row r="8658" spans="1:1" x14ac:dyDescent="0.25">
      <c r="A8658" s="5"/>
    </row>
    <row r="8659" spans="1:1" x14ac:dyDescent="0.25">
      <c r="A8659" s="5"/>
    </row>
    <row r="8660" spans="1:1" x14ac:dyDescent="0.25">
      <c r="A8660" s="5"/>
    </row>
    <row r="8661" spans="1:1" x14ac:dyDescent="0.25">
      <c r="A8661" s="5"/>
    </row>
    <row r="8662" spans="1:1" x14ac:dyDescent="0.25">
      <c r="A8662" s="5"/>
    </row>
    <row r="8663" spans="1:1" x14ac:dyDescent="0.25">
      <c r="A8663" s="5"/>
    </row>
    <row r="8664" spans="1:1" x14ac:dyDescent="0.25">
      <c r="A8664" s="5"/>
    </row>
    <row r="8665" spans="1:1" x14ac:dyDescent="0.25">
      <c r="A8665" s="5"/>
    </row>
    <row r="8666" spans="1:1" x14ac:dyDescent="0.25">
      <c r="A8666" s="5"/>
    </row>
    <row r="8667" spans="1:1" x14ac:dyDescent="0.25">
      <c r="A8667" s="5"/>
    </row>
    <row r="8668" spans="1:1" x14ac:dyDescent="0.25">
      <c r="A8668" s="5"/>
    </row>
    <row r="8669" spans="1:1" x14ac:dyDescent="0.25">
      <c r="A8669" s="5"/>
    </row>
    <row r="8670" spans="1:1" x14ac:dyDescent="0.25">
      <c r="A8670" s="5"/>
    </row>
    <row r="8671" spans="1:1" x14ac:dyDescent="0.25">
      <c r="A8671" s="5"/>
    </row>
    <row r="8672" spans="1:1" x14ac:dyDescent="0.25">
      <c r="A8672" s="5"/>
    </row>
    <row r="8673" spans="1:1" x14ac:dyDescent="0.25">
      <c r="A8673" s="5"/>
    </row>
    <row r="8674" spans="1:1" x14ac:dyDescent="0.25">
      <c r="A8674" s="5"/>
    </row>
    <row r="8675" spans="1:1" x14ac:dyDescent="0.25">
      <c r="A8675" s="5"/>
    </row>
    <row r="8676" spans="1:1" x14ac:dyDescent="0.25">
      <c r="A8676" s="5"/>
    </row>
    <row r="8677" spans="1:1" x14ac:dyDescent="0.25">
      <c r="A8677" s="5"/>
    </row>
    <row r="8678" spans="1:1" x14ac:dyDescent="0.25">
      <c r="A8678" s="5"/>
    </row>
    <row r="8679" spans="1:1" x14ac:dyDescent="0.25">
      <c r="A8679" s="5"/>
    </row>
    <row r="8680" spans="1:1" x14ac:dyDescent="0.25">
      <c r="A8680" s="5"/>
    </row>
    <row r="8681" spans="1:1" x14ac:dyDescent="0.25">
      <c r="A8681" s="5"/>
    </row>
    <row r="8682" spans="1:1" x14ac:dyDescent="0.25">
      <c r="A8682" s="5"/>
    </row>
    <row r="8683" spans="1:1" x14ac:dyDescent="0.25">
      <c r="A8683" s="5"/>
    </row>
    <row r="8684" spans="1:1" x14ac:dyDescent="0.25">
      <c r="A8684" s="5"/>
    </row>
    <row r="8685" spans="1:1" x14ac:dyDescent="0.25">
      <c r="A8685" s="5"/>
    </row>
    <row r="8686" spans="1:1" x14ac:dyDescent="0.25">
      <c r="A8686" s="5"/>
    </row>
    <row r="8687" spans="1:1" x14ac:dyDescent="0.25">
      <c r="A8687" s="5"/>
    </row>
    <row r="8688" spans="1:1" x14ac:dyDescent="0.25">
      <c r="A8688" s="5"/>
    </row>
    <row r="8689" spans="1:1" x14ac:dyDescent="0.25">
      <c r="A8689" s="5"/>
    </row>
    <row r="8690" spans="1:1" x14ac:dyDescent="0.25">
      <c r="A8690" s="5"/>
    </row>
    <row r="8691" spans="1:1" x14ac:dyDescent="0.25">
      <c r="A8691" s="5"/>
    </row>
    <row r="8692" spans="1:1" x14ac:dyDescent="0.25">
      <c r="A8692" s="5"/>
    </row>
    <row r="8693" spans="1:1" x14ac:dyDescent="0.25">
      <c r="A8693" s="5"/>
    </row>
    <row r="8694" spans="1:1" x14ac:dyDescent="0.25">
      <c r="A8694" s="5"/>
    </row>
    <row r="8695" spans="1:1" x14ac:dyDescent="0.25">
      <c r="A8695" s="5"/>
    </row>
    <row r="8696" spans="1:1" x14ac:dyDescent="0.25">
      <c r="A8696" s="5"/>
    </row>
    <row r="8697" spans="1:1" x14ac:dyDescent="0.25">
      <c r="A8697" s="5"/>
    </row>
    <row r="8698" spans="1:1" x14ac:dyDescent="0.25">
      <c r="A8698" s="5"/>
    </row>
    <row r="8699" spans="1:1" x14ac:dyDescent="0.25">
      <c r="A8699" s="5"/>
    </row>
    <row r="8700" spans="1:1" x14ac:dyDescent="0.25">
      <c r="A8700" s="5"/>
    </row>
    <row r="8701" spans="1:1" x14ac:dyDescent="0.25">
      <c r="A8701" s="5"/>
    </row>
    <row r="8702" spans="1:1" x14ac:dyDescent="0.25">
      <c r="A8702" s="5"/>
    </row>
    <row r="8703" spans="1:1" x14ac:dyDescent="0.25">
      <c r="A8703" s="5"/>
    </row>
    <row r="8704" spans="1:1" x14ac:dyDescent="0.25">
      <c r="A8704" s="5"/>
    </row>
    <row r="8705" spans="1:1" x14ac:dyDescent="0.25">
      <c r="A8705" s="5"/>
    </row>
    <row r="8706" spans="1:1" x14ac:dyDescent="0.25">
      <c r="A8706" s="5"/>
    </row>
    <row r="8707" spans="1:1" x14ac:dyDescent="0.25">
      <c r="A8707" s="5"/>
    </row>
    <row r="8708" spans="1:1" x14ac:dyDescent="0.25">
      <c r="A8708" s="5"/>
    </row>
    <row r="8709" spans="1:1" x14ac:dyDescent="0.25">
      <c r="A8709" s="5"/>
    </row>
    <row r="8710" spans="1:1" x14ac:dyDescent="0.25">
      <c r="A8710" s="5"/>
    </row>
    <row r="8711" spans="1:1" x14ac:dyDescent="0.25">
      <c r="A8711" s="5"/>
    </row>
    <row r="8712" spans="1:1" x14ac:dyDescent="0.25">
      <c r="A8712" s="5"/>
    </row>
    <row r="8713" spans="1:1" x14ac:dyDescent="0.25">
      <c r="A8713" s="5"/>
    </row>
    <row r="8714" spans="1:1" x14ac:dyDescent="0.25">
      <c r="A8714" s="5"/>
    </row>
    <row r="8715" spans="1:1" x14ac:dyDescent="0.25">
      <c r="A8715" s="5"/>
    </row>
    <row r="8716" spans="1:1" x14ac:dyDescent="0.25">
      <c r="A8716" s="5"/>
    </row>
    <row r="8717" spans="1:1" x14ac:dyDescent="0.25">
      <c r="A8717" s="5"/>
    </row>
    <row r="8718" spans="1:1" x14ac:dyDescent="0.25">
      <c r="A8718" s="5"/>
    </row>
    <row r="8719" spans="1:1" x14ac:dyDescent="0.25">
      <c r="A8719" s="5"/>
    </row>
    <row r="8720" spans="1:1" x14ac:dyDescent="0.25">
      <c r="A8720" s="5"/>
    </row>
    <row r="8721" spans="1:1" x14ac:dyDescent="0.25">
      <c r="A8721" s="5"/>
    </row>
    <row r="8722" spans="1:1" x14ac:dyDescent="0.25">
      <c r="A8722" s="5"/>
    </row>
    <row r="8723" spans="1:1" x14ac:dyDescent="0.25">
      <c r="A8723" s="5"/>
    </row>
    <row r="8724" spans="1:1" x14ac:dyDescent="0.25">
      <c r="A8724" s="5"/>
    </row>
    <row r="8725" spans="1:1" x14ac:dyDescent="0.25">
      <c r="A8725" s="5"/>
    </row>
    <row r="8726" spans="1:1" x14ac:dyDescent="0.25">
      <c r="A8726" s="5"/>
    </row>
    <row r="8727" spans="1:1" x14ac:dyDescent="0.25">
      <c r="A8727" s="5"/>
    </row>
    <row r="8728" spans="1:1" x14ac:dyDescent="0.25">
      <c r="A8728" s="5"/>
    </row>
    <row r="8729" spans="1:1" x14ac:dyDescent="0.25">
      <c r="A8729" s="5"/>
    </row>
    <row r="8730" spans="1:1" x14ac:dyDescent="0.25">
      <c r="A8730" s="5"/>
    </row>
    <row r="8731" spans="1:1" x14ac:dyDescent="0.25">
      <c r="A8731" s="5"/>
    </row>
    <row r="8732" spans="1:1" x14ac:dyDescent="0.25">
      <c r="A8732" s="5"/>
    </row>
    <row r="8733" spans="1:1" x14ac:dyDescent="0.25">
      <c r="A8733" s="5"/>
    </row>
    <row r="8734" spans="1:1" x14ac:dyDescent="0.25">
      <c r="A8734" s="5"/>
    </row>
    <row r="8735" spans="1:1" x14ac:dyDescent="0.25">
      <c r="A8735" s="5"/>
    </row>
    <row r="8736" spans="1:1" x14ac:dyDescent="0.25">
      <c r="A8736" s="5"/>
    </row>
    <row r="8737" spans="1:1" x14ac:dyDescent="0.25">
      <c r="A8737" s="5"/>
    </row>
    <row r="8738" spans="1:1" x14ac:dyDescent="0.25">
      <c r="A8738" s="5"/>
    </row>
    <row r="8739" spans="1:1" x14ac:dyDescent="0.25">
      <c r="A8739" s="5"/>
    </row>
    <row r="8740" spans="1:1" x14ac:dyDescent="0.25">
      <c r="A8740" s="5"/>
    </row>
    <row r="8741" spans="1:1" x14ac:dyDescent="0.25">
      <c r="A8741" s="5"/>
    </row>
    <row r="8742" spans="1:1" x14ac:dyDescent="0.25">
      <c r="A8742" s="5"/>
    </row>
    <row r="8743" spans="1:1" x14ac:dyDescent="0.25">
      <c r="A8743" s="5"/>
    </row>
    <row r="8744" spans="1:1" x14ac:dyDescent="0.25">
      <c r="A8744" s="5"/>
    </row>
    <row r="8745" spans="1:1" x14ac:dyDescent="0.25">
      <c r="A8745" s="5"/>
    </row>
    <row r="8746" spans="1:1" x14ac:dyDescent="0.25">
      <c r="A8746" s="5"/>
    </row>
    <row r="8747" spans="1:1" x14ac:dyDescent="0.25">
      <c r="A8747" s="5"/>
    </row>
    <row r="8748" spans="1:1" x14ac:dyDescent="0.25">
      <c r="A8748" s="5"/>
    </row>
    <row r="8749" spans="1:1" x14ac:dyDescent="0.25">
      <c r="A8749" s="5"/>
    </row>
    <row r="8750" spans="1:1" x14ac:dyDescent="0.25">
      <c r="A8750" s="5"/>
    </row>
    <row r="8751" spans="1:1" x14ac:dyDescent="0.25">
      <c r="A8751" s="5"/>
    </row>
    <row r="8752" spans="1:1" x14ac:dyDescent="0.25">
      <c r="A8752" s="5"/>
    </row>
    <row r="8753" spans="1:1" x14ac:dyDescent="0.25">
      <c r="A8753" s="5"/>
    </row>
    <row r="8754" spans="1:1" x14ac:dyDescent="0.25">
      <c r="A8754" s="5"/>
    </row>
    <row r="8755" spans="1:1" x14ac:dyDescent="0.25">
      <c r="A8755" s="5"/>
    </row>
    <row r="8756" spans="1:1" x14ac:dyDescent="0.25">
      <c r="A8756" s="5"/>
    </row>
    <row r="8757" spans="1:1" x14ac:dyDescent="0.25">
      <c r="A8757" s="5"/>
    </row>
    <row r="8758" spans="1:1" x14ac:dyDescent="0.25">
      <c r="A8758" s="5"/>
    </row>
    <row r="8759" spans="1:1" x14ac:dyDescent="0.25">
      <c r="A8759" s="5"/>
    </row>
    <row r="8760" spans="1:1" x14ac:dyDescent="0.25">
      <c r="A8760" s="5"/>
    </row>
    <row r="8761" spans="1:1" x14ac:dyDescent="0.25">
      <c r="A8761" s="5"/>
    </row>
    <row r="8762" spans="1:1" x14ac:dyDescent="0.25">
      <c r="A8762" s="5"/>
    </row>
    <row r="8763" spans="1:1" x14ac:dyDescent="0.25">
      <c r="A8763" s="5"/>
    </row>
    <row r="8764" spans="1:1" x14ac:dyDescent="0.25">
      <c r="A8764" s="5"/>
    </row>
    <row r="8765" spans="1:1" x14ac:dyDescent="0.25">
      <c r="A8765" s="5"/>
    </row>
    <row r="8766" spans="1:1" x14ac:dyDescent="0.25">
      <c r="A8766" s="5"/>
    </row>
    <row r="8767" spans="1:1" x14ac:dyDescent="0.25">
      <c r="A8767" s="5"/>
    </row>
    <row r="8768" spans="1:1" x14ac:dyDescent="0.25">
      <c r="A8768" s="5"/>
    </row>
    <row r="8769" spans="1:1" x14ac:dyDescent="0.25">
      <c r="A8769" s="5"/>
    </row>
    <row r="8770" spans="1:1" x14ac:dyDescent="0.25">
      <c r="A8770" s="5"/>
    </row>
    <row r="8771" spans="1:1" x14ac:dyDescent="0.25">
      <c r="A8771" s="5"/>
    </row>
    <row r="8772" spans="1:1" x14ac:dyDescent="0.25">
      <c r="A8772" s="5"/>
    </row>
    <row r="8773" spans="1:1" x14ac:dyDescent="0.25">
      <c r="A8773" s="5"/>
    </row>
    <row r="8774" spans="1:1" x14ac:dyDescent="0.25">
      <c r="A8774" s="5"/>
    </row>
    <row r="8775" spans="1:1" x14ac:dyDescent="0.25">
      <c r="A8775" s="5"/>
    </row>
    <row r="8776" spans="1:1" x14ac:dyDescent="0.25">
      <c r="A8776" s="5"/>
    </row>
    <row r="8777" spans="1:1" x14ac:dyDescent="0.25">
      <c r="A8777" s="5"/>
    </row>
    <row r="8778" spans="1:1" x14ac:dyDescent="0.25">
      <c r="A8778" s="5"/>
    </row>
    <row r="8779" spans="1:1" x14ac:dyDescent="0.25">
      <c r="A8779" s="5"/>
    </row>
    <row r="8780" spans="1:1" x14ac:dyDescent="0.25">
      <c r="A8780" s="5"/>
    </row>
    <row r="8781" spans="1:1" x14ac:dyDescent="0.25">
      <c r="A8781" s="5"/>
    </row>
    <row r="8782" spans="1:1" x14ac:dyDescent="0.25">
      <c r="A8782" s="5"/>
    </row>
    <row r="8783" spans="1:1" x14ac:dyDescent="0.25">
      <c r="A8783" s="5"/>
    </row>
    <row r="8784" spans="1:1" x14ac:dyDescent="0.25">
      <c r="A8784" s="5"/>
    </row>
    <row r="8785" spans="1:1" x14ac:dyDescent="0.25">
      <c r="A8785" s="5"/>
    </row>
    <row r="8786" spans="1:1" x14ac:dyDescent="0.25">
      <c r="A8786" s="5"/>
    </row>
    <row r="8787" spans="1:1" x14ac:dyDescent="0.25">
      <c r="A8787" s="5"/>
    </row>
    <row r="8788" spans="1:1" x14ac:dyDescent="0.25">
      <c r="A8788" s="5"/>
    </row>
    <row r="8789" spans="1:1" x14ac:dyDescent="0.25">
      <c r="A8789" s="5"/>
    </row>
    <row r="8790" spans="1:1" x14ac:dyDescent="0.25">
      <c r="A8790" s="5"/>
    </row>
    <row r="8791" spans="1:1" x14ac:dyDescent="0.25">
      <c r="A8791" s="5"/>
    </row>
    <row r="8792" spans="1:1" x14ac:dyDescent="0.25">
      <c r="A8792" s="5"/>
    </row>
    <row r="8793" spans="1:1" x14ac:dyDescent="0.25">
      <c r="A8793" s="5"/>
    </row>
    <row r="8794" spans="1:1" x14ac:dyDescent="0.25">
      <c r="A8794" s="5"/>
    </row>
    <row r="8795" spans="1:1" x14ac:dyDescent="0.25">
      <c r="A8795" s="5"/>
    </row>
    <row r="8796" spans="1:1" x14ac:dyDescent="0.25">
      <c r="A8796" s="5"/>
    </row>
    <row r="8797" spans="1:1" x14ac:dyDescent="0.25">
      <c r="A8797" s="5"/>
    </row>
    <row r="8798" spans="1:1" x14ac:dyDescent="0.25">
      <c r="A8798" s="5"/>
    </row>
    <row r="8799" spans="1:1" x14ac:dyDescent="0.25">
      <c r="A8799" s="5"/>
    </row>
    <row r="8800" spans="1:1" x14ac:dyDescent="0.25">
      <c r="A8800" s="5"/>
    </row>
    <row r="8801" spans="1:1" x14ac:dyDescent="0.25">
      <c r="A8801" s="5"/>
    </row>
    <row r="8802" spans="1:1" x14ac:dyDescent="0.25">
      <c r="A8802" s="5"/>
    </row>
    <row r="8803" spans="1:1" x14ac:dyDescent="0.25">
      <c r="A8803" s="5"/>
    </row>
    <row r="8804" spans="1:1" x14ac:dyDescent="0.25">
      <c r="A8804" s="5"/>
    </row>
    <row r="8805" spans="1:1" x14ac:dyDescent="0.25">
      <c r="A8805" s="5"/>
    </row>
    <row r="8806" spans="1:1" x14ac:dyDescent="0.25">
      <c r="A8806" s="5"/>
    </row>
    <row r="8807" spans="1:1" x14ac:dyDescent="0.25">
      <c r="A8807" s="5"/>
    </row>
    <row r="8808" spans="1:1" x14ac:dyDescent="0.25">
      <c r="A8808" s="5"/>
    </row>
    <row r="8809" spans="1:1" x14ac:dyDescent="0.25">
      <c r="A8809" s="5"/>
    </row>
    <row r="8810" spans="1:1" x14ac:dyDescent="0.25">
      <c r="A8810" s="5"/>
    </row>
    <row r="8811" spans="1:1" x14ac:dyDescent="0.25">
      <c r="A8811" s="5"/>
    </row>
    <row r="8812" spans="1:1" x14ac:dyDescent="0.25">
      <c r="A8812" s="5"/>
    </row>
    <row r="8813" spans="1:1" x14ac:dyDescent="0.25">
      <c r="A8813" s="5"/>
    </row>
    <row r="8814" spans="1:1" x14ac:dyDescent="0.25">
      <c r="A8814" s="5"/>
    </row>
    <row r="8815" spans="1:1" x14ac:dyDescent="0.25">
      <c r="A8815" s="5"/>
    </row>
    <row r="8816" spans="1:1" x14ac:dyDescent="0.25">
      <c r="A8816" s="5"/>
    </row>
    <row r="8817" spans="1:1" x14ac:dyDescent="0.25">
      <c r="A8817" s="5"/>
    </row>
    <row r="8818" spans="1:1" x14ac:dyDescent="0.25">
      <c r="A8818" s="5"/>
    </row>
    <row r="8819" spans="1:1" x14ac:dyDescent="0.25">
      <c r="A8819" s="5"/>
    </row>
    <row r="8820" spans="1:1" x14ac:dyDescent="0.25">
      <c r="A8820" s="5"/>
    </row>
    <row r="8821" spans="1:1" x14ac:dyDescent="0.25">
      <c r="A8821" s="5"/>
    </row>
    <row r="8822" spans="1:1" x14ac:dyDescent="0.25">
      <c r="A8822" s="5"/>
    </row>
    <row r="8823" spans="1:1" x14ac:dyDescent="0.25">
      <c r="A8823" s="5"/>
    </row>
    <row r="8824" spans="1:1" x14ac:dyDescent="0.25">
      <c r="A8824" s="5"/>
    </row>
    <row r="8825" spans="1:1" x14ac:dyDescent="0.25">
      <c r="A8825" s="5"/>
    </row>
    <row r="8826" spans="1:1" x14ac:dyDescent="0.25">
      <c r="A8826" s="5"/>
    </row>
    <row r="8827" spans="1:1" x14ac:dyDescent="0.25">
      <c r="A8827" s="5"/>
    </row>
    <row r="8828" spans="1:1" x14ac:dyDescent="0.25">
      <c r="A8828" s="5"/>
    </row>
    <row r="8829" spans="1:1" x14ac:dyDescent="0.25">
      <c r="A8829" s="5"/>
    </row>
    <row r="8830" spans="1:1" x14ac:dyDescent="0.25">
      <c r="A8830" s="5"/>
    </row>
    <row r="8831" spans="1:1" x14ac:dyDescent="0.25">
      <c r="A8831" s="5"/>
    </row>
    <row r="8832" spans="1:1" x14ac:dyDescent="0.25">
      <c r="A8832" s="5"/>
    </row>
    <row r="8833" spans="1:1" x14ac:dyDescent="0.25">
      <c r="A8833" s="5"/>
    </row>
    <row r="8834" spans="1:1" x14ac:dyDescent="0.25">
      <c r="A8834" s="5"/>
    </row>
    <row r="8835" spans="1:1" x14ac:dyDescent="0.25">
      <c r="A8835" s="5"/>
    </row>
    <row r="8836" spans="1:1" x14ac:dyDescent="0.25">
      <c r="A8836" s="5"/>
    </row>
    <row r="8837" spans="1:1" x14ac:dyDescent="0.25">
      <c r="A8837" s="5"/>
    </row>
    <row r="8838" spans="1:1" x14ac:dyDescent="0.25">
      <c r="A8838" s="5"/>
    </row>
    <row r="8839" spans="1:1" x14ac:dyDescent="0.25">
      <c r="A8839" s="5"/>
    </row>
    <row r="8840" spans="1:1" x14ac:dyDescent="0.25">
      <c r="A8840" s="5"/>
    </row>
    <row r="8841" spans="1:1" x14ac:dyDescent="0.25">
      <c r="A8841" s="5"/>
    </row>
    <row r="8842" spans="1:1" x14ac:dyDescent="0.25">
      <c r="A8842" s="5"/>
    </row>
    <row r="8843" spans="1:1" x14ac:dyDescent="0.25">
      <c r="A8843" s="5"/>
    </row>
    <row r="8844" spans="1:1" x14ac:dyDescent="0.25">
      <c r="A8844" s="5"/>
    </row>
    <row r="8845" spans="1:1" x14ac:dyDescent="0.25">
      <c r="A8845" s="5"/>
    </row>
    <row r="8846" spans="1:1" x14ac:dyDescent="0.25">
      <c r="A8846" s="5"/>
    </row>
    <row r="8847" spans="1:1" x14ac:dyDescent="0.25">
      <c r="A8847" s="5"/>
    </row>
    <row r="8848" spans="1:1" x14ac:dyDescent="0.25">
      <c r="A8848" s="5"/>
    </row>
    <row r="8849" spans="1:1" x14ac:dyDescent="0.25">
      <c r="A8849" s="5"/>
    </row>
    <row r="8850" spans="1:1" x14ac:dyDescent="0.25">
      <c r="A8850" s="5"/>
    </row>
    <row r="8851" spans="1:1" x14ac:dyDescent="0.25">
      <c r="A8851" s="5"/>
    </row>
    <row r="8852" spans="1:1" x14ac:dyDescent="0.25">
      <c r="A8852" s="5"/>
    </row>
    <row r="8853" spans="1:1" x14ac:dyDescent="0.25">
      <c r="A8853" s="5"/>
    </row>
    <row r="8854" spans="1:1" x14ac:dyDescent="0.25">
      <c r="A8854" s="5"/>
    </row>
    <row r="8855" spans="1:1" x14ac:dyDescent="0.25">
      <c r="A8855" s="5"/>
    </row>
    <row r="8856" spans="1:1" x14ac:dyDescent="0.25">
      <c r="A8856" s="5"/>
    </row>
    <row r="8857" spans="1:1" x14ac:dyDescent="0.25">
      <c r="A8857" s="5"/>
    </row>
    <row r="8858" spans="1:1" x14ac:dyDescent="0.25">
      <c r="A8858" s="5"/>
    </row>
    <row r="8859" spans="1:1" x14ac:dyDescent="0.25">
      <c r="A8859" s="5"/>
    </row>
    <row r="8860" spans="1:1" x14ac:dyDescent="0.25">
      <c r="A8860" s="5"/>
    </row>
    <row r="8861" spans="1:1" x14ac:dyDescent="0.25">
      <c r="A8861" s="5"/>
    </row>
    <row r="8862" spans="1:1" x14ac:dyDescent="0.25">
      <c r="A8862" s="5"/>
    </row>
    <row r="8863" spans="1:1" x14ac:dyDescent="0.25">
      <c r="A8863" s="5"/>
    </row>
    <row r="8864" spans="1:1" x14ac:dyDescent="0.25">
      <c r="A8864" s="5"/>
    </row>
    <row r="8865" spans="1:1" x14ac:dyDescent="0.25">
      <c r="A8865" s="5"/>
    </row>
    <row r="8866" spans="1:1" x14ac:dyDescent="0.25">
      <c r="A8866" s="5"/>
    </row>
    <row r="8867" spans="1:1" x14ac:dyDescent="0.25">
      <c r="A8867" s="5"/>
    </row>
    <row r="8868" spans="1:1" x14ac:dyDescent="0.25">
      <c r="A8868" s="5"/>
    </row>
    <row r="8869" spans="1:1" x14ac:dyDescent="0.25">
      <c r="A8869" s="5"/>
    </row>
    <row r="8870" spans="1:1" x14ac:dyDescent="0.25">
      <c r="A8870" s="5"/>
    </row>
    <row r="8871" spans="1:1" x14ac:dyDescent="0.25">
      <c r="A8871" s="5"/>
    </row>
    <row r="8872" spans="1:1" x14ac:dyDescent="0.25">
      <c r="A8872" s="5"/>
    </row>
    <row r="8873" spans="1:1" x14ac:dyDescent="0.25">
      <c r="A8873" s="5"/>
    </row>
    <row r="8874" spans="1:1" x14ac:dyDescent="0.25">
      <c r="A8874" s="5"/>
    </row>
    <row r="8875" spans="1:1" x14ac:dyDescent="0.25">
      <c r="A8875" s="5"/>
    </row>
    <row r="8876" spans="1:1" x14ac:dyDescent="0.25">
      <c r="A8876" s="5"/>
    </row>
    <row r="8877" spans="1:1" x14ac:dyDescent="0.25">
      <c r="A8877" s="5"/>
    </row>
    <row r="8878" spans="1:1" x14ac:dyDescent="0.25">
      <c r="A8878" s="5"/>
    </row>
    <row r="8879" spans="1:1" x14ac:dyDescent="0.25">
      <c r="A8879" s="5"/>
    </row>
    <row r="8880" spans="1:1" x14ac:dyDescent="0.25">
      <c r="A8880" s="5"/>
    </row>
    <row r="8881" spans="1:1" x14ac:dyDescent="0.25">
      <c r="A8881" s="5"/>
    </row>
    <row r="8882" spans="1:1" x14ac:dyDescent="0.25">
      <c r="A8882" s="5"/>
    </row>
    <row r="8883" spans="1:1" x14ac:dyDescent="0.25">
      <c r="A8883" s="5"/>
    </row>
    <row r="8884" spans="1:1" x14ac:dyDescent="0.25">
      <c r="A8884" s="5"/>
    </row>
    <row r="8885" spans="1:1" x14ac:dyDescent="0.25">
      <c r="A8885" s="5"/>
    </row>
    <row r="8886" spans="1:1" x14ac:dyDescent="0.25">
      <c r="A8886" s="5"/>
    </row>
    <row r="8887" spans="1:1" x14ac:dyDescent="0.25">
      <c r="A8887" s="5"/>
    </row>
    <row r="8888" spans="1:1" x14ac:dyDescent="0.25">
      <c r="A8888" s="5"/>
    </row>
    <row r="8889" spans="1:1" x14ac:dyDescent="0.25">
      <c r="A8889" s="5"/>
    </row>
    <row r="8890" spans="1:1" x14ac:dyDescent="0.25">
      <c r="A8890" s="5"/>
    </row>
    <row r="8891" spans="1:1" x14ac:dyDescent="0.25">
      <c r="A8891" s="5"/>
    </row>
    <row r="8892" spans="1:1" x14ac:dyDescent="0.25">
      <c r="A8892" s="5"/>
    </row>
    <row r="8893" spans="1:1" x14ac:dyDescent="0.25">
      <c r="A8893" s="5"/>
    </row>
    <row r="8894" spans="1:1" x14ac:dyDescent="0.25">
      <c r="A8894" s="5"/>
    </row>
    <row r="8895" spans="1:1" x14ac:dyDescent="0.25">
      <c r="A8895" s="5"/>
    </row>
    <row r="8896" spans="1:1" x14ac:dyDescent="0.25">
      <c r="A8896" s="5"/>
    </row>
    <row r="8897" spans="1:1" x14ac:dyDescent="0.25">
      <c r="A8897" s="5"/>
    </row>
    <row r="8898" spans="1:1" x14ac:dyDescent="0.25">
      <c r="A8898" s="5"/>
    </row>
    <row r="8899" spans="1:1" x14ac:dyDescent="0.25">
      <c r="A8899" s="5"/>
    </row>
    <row r="8900" spans="1:1" x14ac:dyDescent="0.25">
      <c r="A8900" s="5"/>
    </row>
    <row r="8901" spans="1:1" x14ac:dyDescent="0.25">
      <c r="A8901" s="5"/>
    </row>
    <row r="8902" spans="1:1" x14ac:dyDescent="0.25">
      <c r="A8902" s="5"/>
    </row>
    <row r="8903" spans="1:1" x14ac:dyDescent="0.25">
      <c r="A8903" s="5"/>
    </row>
    <row r="8904" spans="1:1" x14ac:dyDescent="0.25">
      <c r="A8904" s="5"/>
    </row>
    <row r="8905" spans="1:1" x14ac:dyDescent="0.25">
      <c r="A8905" s="5"/>
    </row>
    <row r="8906" spans="1:1" x14ac:dyDescent="0.25">
      <c r="A8906" s="5"/>
    </row>
    <row r="8907" spans="1:1" x14ac:dyDescent="0.25">
      <c r="A8907" s="5"/>
    </row>
    <row r="8908" spans="1:1" x14ac:dyDescent="0.25">
      <c r="A8908" s="5"/>
    </row>
    <row r="8909" spans="1:1" x14ac:dyDescent="0.25">
      <c r="A8909" s="5"/>
    </row>
    <row r="8910" spans="1:1" x14ac:dyDescent="0.25">
      <c r="A8910" s="5"/>
    </row>
    <row r="8911" spans="1:1" x14ac:dyDescent="0.25">
      <c r="A8911" s="5"/>
    </row>
    <row r="8912" spans="1:1" x14ac:dyDescent="0.25">
      <c r="A8912" s="5"/>
    </row>
    <row r="8913" spans="1:1" x14ac:dyDescent="0.25">
      <c r="A8913" s="5"/>
    </row>
    <row r="8914" spans="1:1" x14ac:dyDescent="0.25">
      <c r="A8914" s="5"/>
    </row>
    <row r="8915" spans="1:1" x14ac:dyDescent="0.25">
      <c r="A8915" s="5"/>
    </row>
    <row r="8916" spans="1:1" x14ac:dyDescent="0.25">
      <c r="A8916" s="5"/>
    </row>
    <row r="8917" spans="1:1" x14ac:dyDescent="0.25">
      <c r="A8917" s="5"/>
    </row>
    <row r="8918" spans="1:1" x14ac:dyDescent="0.25">
      <c r="A8918" s="5"/>
    </row>
    <row r="8919" spans="1:1" x14ac:dyDescent="0.25">
      <c r="A8919" s="5"/>
    </row>
    <row r="8920" spans="1:1" x14ac:dyDescent="0.25">
      <c r="A8920" s="5"/>
    </row>
    <row r="8921" spans="1:1" x14ac:dyDescent="0.25">
      <c r="A8921" s="5"/>
    </row>
    <row r="8922" spans="1:1" x14ac:dyDescent="0.25">
      <c r="A8922" s="5"/>
    </row>
    <row r="8923" spans="1:1" x14ac:dyDescent="0.25">
      <c r="A8923" s="5"/>
    </row>
    <row r="8924" spans="1:1" x14ac:dyDescent="0.25">
      <c r="A8924" s="5"/>
    </row>
    <row r="8925" spans="1:1" x14ac:dyDescent="0.25">
      <c r="A8925" s="5"/>
    </row>
    <row r="8926" spans="1:1" x14ac:dyDescent="0.25">
      <c r="A8926" s="5"/>
    </row>
    <row r="8927" spans="1:1" x14ac:dyDescent="0.25">
      <c r="A8927" s="5"/>
    </row>
    <row r="8928" spans="1:1" x14ac:dyDescent="0.25">
      <c r="A8928" s="5"/>
    </row>
    <row r="8929" spans="1:1" x14ac:dyDescent="0.25">
      <c r="A8929" s="5"/>
    </row>
    <row r="8930" spans="1:1" x14ac:dyDescent="0.25">
      <c r="A8930" s="5"/>
    </row>
    <row r="8931" spans="1:1" x14ac:dyDescent="0.25">
      <c r="A8931" s="5"/>
    </row>
    <row r="8932" spans="1:1" x14ac:dyDescent="0.25">
      <c r="A8932" s="5"/>
    </row>
    <row r="8933" spans="1:1" x14ac:dyDescent="0.25">
      <c r="A8933" s="5"/>
    </row>
    <row r="8934" spans="1:1" x14ac:dyDescent="0.25">
      <c r="A8934" s="5"/>
    </row>
    <row r="8935" spans="1:1" x14ac:dyDescent="0.25">
      <c r="A8935" s="5"/>
    </row>
    <row r="8936" spans="1:1" x14ac:dyDescent="0.25">
      <c r="A8936" s="5"/>
    </row>
    <row r="8937" spans="1:1" x14ac:dyDescent="0.25">
      <c r="A8937" s="5"/>
    </row>
    <row r="8938" spans="1:1" x14ac:dyDescent="0.25">
      <c r="A8938" s="5"/>
    </row>
    <row r="8939" spans="1:1" x14ac:dyDescent="0.25">
      <c r="A8939" s="5"/>
    </row>
    <row r="8940" spans="1:1" x14ac:dyDescent="0.25">
      <c r="A8940" s="5"/>
    </row>
    <row r="8941" spans="1:1" x14ac:dyDescent="0.25">
      <c r="A8941" s="5"/>
    </row>
    <row r="8942" spans="1:1" x14ac:dyDescent="0.25">
      <c r="A8942" s="5"/>
    </row>
    <row r="8943" spans="1:1" x14ac:dyDescent="0.25">
      <c r="A8943" s="5"/>
    </row>
    <row r="8944" spans="1:1" x14ac:dyDescent="0.25">
      <c r="A8944" s="5"/>
    </row>
    <row r="8945" spans="1:1" x14ac:dyDescent="0.25">
      <c r="A8945" s="5"/>
    </row>
    <row r="8946" spans="1:1" x14ac:dyDescent="0.25">
      <c r="A8946" s="5"/>
    </row>
    <row r="8947" spans="1:1" x14ac:dyDescent="0.25">
      <c r="A8947" s="5"/>
    </row>
    <row r="8948" spans="1:1" x14ac:dyDescent="0.25">
      <c r="A8948" s="5"/>
    </row>
    <row r="8949" spans="1:1" x14ac:dyDescent="0.25">
      <c r="A8949" s="5"/>
    </row>
    <row r="8950" spans="1:1" x14ac:dyDescent="0.25">
      <c r="A8950" s="5"/>
    </row>
    <row r="8951" spans="1:1" x14ac:dyDescent="0.25">
      <c r="A8951" s="5"/>
    </row>
    <row r="8952" spans="1:1" x14ac:dyDescent="0.25">
      <c r="A8952" s="5"/>
    </row>
    <row r="8953" spans="1:1" x14ac:dyDescent="0.25">
      <c r="A8953" s="5"/>
    </row>
    <row r="8954" spans="1:1" x14ac:dyDescent="0.25">
      <c r="A8954" s="5"/>
    </row>
    <row r="8955" spans="1:1" x14ac:dyDescent="0.25">
      <c r="A8955" s="5"/>
    </row>
    <row r="8956" spans="1:1" x14ac:dyDescent="0.25">
      <c r="A8956" s="5"/>
    </row>
    <row r="8957" spans="1:1" x14ac:dyDescent="0.25">
      <c r="A8957" s="5"/>
    </row>
    <row r="8958" spans="1:1" x14ac:dyDescent="0.25">
      <c r="A8958" s="5"/>
    </row>
    <row r="8959" spans="1:1" x14ac:dyDescent="0.25">
      <c r="A8959" s="5"/>
    </row>
    <row r="8960" spans="1:1" x14ac:dyDescent="0.25">
      <c r="A8960" s="5"/>
    </row>
    <row r="8961" spans="1:1" x14ac:dyDescent="0.25">
      <c r="A8961" s="5"/>
    </row>
    <row r="8962" spans="1:1" x14ac:dyDescent="0.25">
      <c r="A8962" s="5"/>
    </row>
    <row r="8963" spans="1:1" x14ac:dyDescent="0.25">
      <c r="A8963" s="5"/>
    </row>
    <row r="8964" spans="1:1" x14ac:dyDescent="0.25">
      <c r="A8964" s="5"/>
    </row>
    <row r="8965" spans="1:1" x14ac:dyDescent="0.25">
      <c r="A8965" s="5"/>
    </row>
    <row r="8966" spans="1:1" x14ac:dyDescent="0.25">
      <c r="A8966" s="5"/>
    </row>
    <row r="8967" spans="1:1" x14ac:dyDescent="0.25">
      <c r="A8967" s="5"/>
    </row>
    <row r="8968" spans="1:1" x14ac:dyDescent="0.25">
      <c r="A8968" s="5"/>
    </row>
    <row r="8969" spans="1:1" x14ac:dyDescent="0.25">
      <c r="A8969" s="5"/>
    </row>
    <row r="8970" spans="1:1" x14ac:dyDescent="0.25">
      <c r="A8970" s="5"/>
    </row>
    <row r="8971" spans="1:1" x14ac:dyDescent="0.25">
      <c r="A8971" s="5"/>
    </row>
    <row r="8972" spans="1:1" x14ac:dyDescent="0.25">
      <c r="A8972" s="5"/>
    </row>
    <row r="8973" spans="1:1" x14ac:dyDescent="0.25">
      <c r="A8973" s="5"/>
    </row>
    <row r="8974" spans="1:1" x14ac:dyDescent="0.25">
      <c r="A8974" s="5"/>
    </row>
    <row r="8975" spans="1:1" x14ac:dyDescent="0.25">
      <c r="A8975" s="5"/>
    </row>
    <row r="8976" spans="1:1" x14ac:dyDescent="0.25">
      <c r="A8976" s="5"/>
    </row>
    <row r="8977" spans="1:1" x14ac:dyDescent="0.25">
      <c r="A8977" s="5"/>
    </row>
    <row r="8978" spans="1:1" x14ac:dyDescent="0.25">
      <c r="A8978" s="5"/>
    </row>
    <row r="8979" spans="1:1" x14ac:dyDescent="0.25">
      <c r="A8979" s="5"/>
    </row>
    <row r="8980" spans="1:1" x14ac:dyDescent="0.25">
      <c r="A8980" s="5"/>
    </row>
    <row r="8981" spans="1:1" x14ac:dyDescent="0.25">
      <c r="A8981" s="5"/>
    </row>
    <row r="8982" spans="1:1" x14ac:dyDescent="0.25">
      <c r="A8982" s="5"/>
    </row>
    <row r="8983" spans="1:1" x14ac:dyDescent="0.25">
      <c r="A8983" s="5"/>
    </row>
    <row r="8984" spans="1:1" x14ac:dyDescent="0.25">
      <c r="A8984" s="5"/>
    </row>
    <row r="8985" spans="1:1" x14ac:dyDescent="0.25">
      <c r="A8985" s="5"/>
    </row>
    <row r="8986" spans="1:1" x14ac:dyDescent="0.25">
      <c r="A8986" s="5"/>
    </row>
    <row r="8987" spans="1:1" x14ac:dyDescent="0.25">
      <c r="A8987" s="5"/>
    </row>
    <row r="8988" spans="1:1" x14ac:dyDescent="0.25">
      <c r="A8988" s="5"/>
    </row>
    <row r="8989" spans="1:1" x14ac:dyDescent="0.25">
      <c r="A8989" s="5"/>
    </row>
    <row r="8990" spans="1:1" x14ac:dyDescent="0.25">
      <c r="A8990" s="5"/>
    </row>
    <row r="8991" spans="1:1" x14ac:dyDescent="0.25">
      <c r="A8991" s="5"/>
    </row>
    <row r="8992" spans="1:1" x14ac:dyDescent="0.25">
      <c r="A8992" s="5"/>
    </row>
    <row r="8993" spans="1:1" x14ac:dyDescent="0.25">
      <c r="A8993" s="5"/>
    </row>
    <row r="8994" spans="1:1" x14ac:dyDescent="0.25">
      <c r="A8994" s="5"/>
    </row>
    <row r="8995" spans="1:1" x14ac:dyDescent="0.25">
      <c r="A8995" s="5"/>
    </row>
    <row r="8996" spans="1:1" x14ac:dyDescent="0.25">
      <c r="A8996" s="5"/>
    </row>
    <row r="8997" spans="1:1" x14ac:dyDescent="0.25">
      <c r="A8997" s="5"/>
    </row>
    <row r="8998" spans="1:1" x14ac:dyDescent="0.25">
      <c r="A8998" s="5"/>
    </row>
    <row r="8999" spans="1:1" x14ac:dyDescent="0.25">
      <c r="A8999" s="5"/>
    </row>
    <row r="9000" spans="1:1" x14ac:dyDescent="0.25">
      <c r="A9000" s="5"/>
    </row>
    <row r="9001" spans="1:1" x14ac:dyDescent="0.25">
      <c r="A9001" s="5"/>
    </row>
    <row r="9002" spans="1:1" x14ac:dyDescent="0.25">
      <c r="A9002" s="5"/>
    </row>
    <row r="9003" spans="1:1" x14ac:dyDescent="0.25">
      <c r="A9003" s="5"/>
    </row>
    <row r="9004" spans="1:1" x14ac:dyDescent="0.25">
      <c r="A9004" s="5"/>
    </row>
    <row r="9005" spans="1:1" x14ac:dyDescent="0.25">
      <c r="A9005" s="5"/>
    </row>
    <row r="9006" spans="1:1" x14ac:dyDescent="0.25">
      <c r="A9006" s="5"/>
    </row>
    <row r="9007" spans="1:1" x14ac:dyDescent="0.25">
      <c r="A9007" s="5"/>
    </row>
    <row r="9008" spans="1:1" x14ac:dyDescent="0.25">
      <c r="A9008" s="5"/>
    </row>
    <row r="9009" spans="1:1" x14ac:dyDescent="0.25">
      <c r="A9009" s="5"/>
    </row>
    <row r="9010" spans="1:1" x14ac:dyDescent="0.25">
      <c r="A9010" s="5"/>
    </row>
    <row r="9011" spans="1:1" x14ac:dyDescent="0.25">
      <c r="A9011" s="5"/>
    </row>
    <row r="9012" spans="1:1" x14ac:dyDescent="0.25">
      <c r="A9012" s="5"/>
    </row>
    <row r="9013" spans="1:1" x14ac:dyDescent="0.25">
      <c r="A9013" s="5"/>
    </row>
    <row r="9014" spans="1:1" x14ac:dyDescent="0.25">
      <c r="A9014" s="5"/>
    </row>
    <row r="9015" spans="1:1" x14ac:dyDescent="0.25">
      <c r="A9015" s="5"/>
    </row>
    <row r="9016" spans="1:1" x14ac:dyDescent="0.25">
      <c r="A9016" s="5"/>
    </row>
    <row r="9017" spans="1:1" x14ac:dyDescent="0.25">
      <c r="A9017" s="5"/>
    </row>
    <row r="9018" spans="1:1" x14ac:dyDescent="0.25">
      <c r="A9018" s="5"/>
    </row>
    <row r="9019" spans="1:1" x14ac:dyDescent="0.25">
      <c r="A9019" s="5"/>
    </row>
    <row r="9020" spans="1:1" x14ac:dyDescent="0.25">
      <c r="A9020" s="5"/>
    </row>
    <row r="9021" spans="1:1" x14ac:dyDescent="0.25">
      <c r="A9021" s="5"/>
    </row>
    <row r="9022" spans="1:1" x14ac:dyDescent="0.25">
      <c r="A9022" s="5"/>
    </row>
    <row r="9023" spans="1:1" x14ac:dyDescent="0.25">
      <c r="A9023" s="5"/>
    </row>
    <row r="9024" spans="1:1" x14ac:dyDescent="0.25">
      <c r="A9024" s="5"/>
    </row>
    <row r="9025" spans="1:1" x14ac:dyDescent="0.25">
      <c r="A9025" s="5"/>
    </row>
    <row r="9026" spans="1:1" x14ac:dyDescent="0.25">
      <c r="A9026" s="5"/>
    </row>
    <row r="9027" spans="1:1" x14ac:dyDescent="0.25">
      <c r="A9027" s="5"/>
    </row>
    <row r="9028" spans="1:1" x14ac:dyDescent="0.25">
      <c r="A9028" s="5"/>
    </row>
    <row r="9029" spans="1:1" x14ac:dyDescent="0.25">
      <c r="A9029" s="5"/>
    </row>
    <row r="9030" spans="1:1" x14ac:dyDescent="0.25">
      <c r="A9030" s="5"/>
    </row>
    <row r="9031" spans="1:1" x14ac:dyDescent="0.25">
      <c r="A9031" s="5"/>
    </row>
    <row r="9032" spans="1:1" x14ac:dyDescent="0.25">
      <c r="A9032" s="5"/>
    </row>
    <row r="9033" spans="1:1" x14ac:dyDescent="0.25">
      <c r="A9033" s="5"/>
    </row>
    <row r="9034" spans="1:1" x14ac:dyDescent="0.25">
      <c r="A9034" s="5"/>
    </row>
    <row r="9035" spans="1:1" x14ac:dyDescent="0.25">
      <c r="A9035" s="5"/>
    </row>
    <row r="9036" spans="1:1" x14ac:dyDescent="0.25">
      <c r="A9036" s="5"/>
    </row>
    <row r="9037" spans="1:1" x14ac:dyDescent="0.25">
      <c r="A9037" s="5"/>
    </row>
    <row r="9038" spans="1:1" x14ac:dyDescent="0.25">
      <c r="A9038" s="5"/>
    </row>
    <row r="9039" spans="1:1" x14ac:dyDescent="0.25">
      <c r="A9039" s="5"/>
    </row>
    <row r="9040" spans="1:1" x14ac:dyDescent="0.25">
      <c r="A9040" s="5"/>
    </row>
    <row r="9041" spans="1:1" x14ac:dyDescent="0.25">
      <c r="A9041" s="5"/>
    </row>
    <row r="9042" spans="1:1" x14ac:dyDescent="0.25">
      <c r="A9042" s="5"/>
    </row>
    <row r="9043" spans="1:1" x14ac:dyDescent="0.25">
      <c r="A9043" s="5"/>
    </row>
    <row r="9044" spans="1:1" x14ac:dyDescent="0.25">
      <c r="A9044" s="5"/>
    </row>
    <row r="9045" spans="1:1" x14ac:dyDescent="0.25">
      <c r="A9045" s="5"/>
    </row>
    <row r="9046" spans="1:1" x14ac:dyDescent="0.25">
      <c r="A9046" s="5"/>
    </row>
    <row r="9047" spans="1:1" x14ac:dyDescent="0.25">
      <c r="A9047" s="5"/>
    </row>
    <row r="9048" spans="1:1" x14ac:dyDescent="0.25">
      <c r="A9048" s="5"/>
    </row>
    <row r="9049" spans="1:1" x14ac:dyDescent="0.25">
      <c r="A9049" s="5"/>
    </row>
    <row r="9050" spans="1:1" x14ac:dyDescent="0.25">
      <c r="A9050" s="5"/>
    </row>
    <row r="9051" spans="1:1" x14ac:dyDescent="0.25">
      <c r="A9051" s="5"/>
    </row>
    <row r="9052" spans="1:1" x14ac:dyDescent="0.25">
      <c r="A9052" s="5"/>
    </row>
    <row r="9053" spans="1:1" x14ac:dyDescent="0.25">
      <c r="A9053" s="5"/>
    </row>
    <row r="9054" spans="1:1" x14ac:dyDescent="0.25">
      <c r="A9054" s="5"/>
    </row>
    <row r="9055" spans="1:1" x14ac:dyDescent="0.25">
      <c r="A9055" s="5"/>
    </row>
    <row r="9056" spans="1:1" x14ac:dyDescent="0.25">
      <c r="A9056" s="5"/>
    </row>
    <row r="9057" spans="1:1" x14ac:dyDescent="0.25">
      <c r="A9057" s="5"/>
    </row>
    <row r="9058" spans="1:1" x14ac:dyDescent="0.25">
      <c r="A9058" s="5"/>
    </row>
    <row r="9059" spans="1:1" x14ac:dyDescent="0.25">
      <c r="A9059" s="5"/>
    </row>
    <row r="9060" spans="1:1" x14ac:dyDescent="0.25">
      <c r="A9060" s="5"/>
    </row>
    <row r="9061" spans="1:1" x14ac:dyDescent="0.25">
      <c r="A9061" s="5"/>
    </row>
    <row r="9062" spans="1:1" x14ac:dyDescent="0.25">
      <c r="A9062" s="5"/>
    </row>
    <row r="9063" spans="1:1" x14ac:dyDescent="0.25">
      <c r="A9063" s="5"/>
    </row>
    <row r="9064" spans="1:1" x14ac:dyDescent="0.25">
      <c r="A9064" s="5"/>
    </row>
    <row r="9065" spans="1:1" x14ac:dyDescent="0.25">
      <c r="A9065" s="5"/>
    </row>
    <row r="9066" spans="1:1" x14ac:dyDescent="0.25">
      <c r="A9066" s="5"/>
    </row>
    <row r="9067" spans="1:1" x14ac:dyDescent="0.25">
      <c r="A9067" s="5"/>
    </row>
    <row r="9068" spans="1:1" x14ac:dyDescent="0.25">
      <c r="A9068" s="5"/>
    </row>
    <row r="9069" spans="1:1" x14ac:dyDescent="0.25">
      <c r="A9069" s="5"/>
    </row>
    <row r="9070" spans="1:1" x14ac:dyDescent="0.25">
      <c r="A9070" s="5"/>
    </row>
    <row r="9071" spans="1:1" x14ac:dyDescent="0.25">
      <c r="A9071" s="5"/>
    </row>
    <row r="9072" spans="1:1" x14ac:dyDescent="0.25">
      <c r="A9072" s="5"/>
    </row>
    <row r="9073" spans="1:1" x14ac:dyDescent="0.25">
      <c r="A9073" s="5"/>
    </row>
    <row r="9074" spans="1:1" x14ac:dyDescent="0.25">
      <c r="A9074" s="5"/>
    </row>
    <row r="9075" spans="1:1" x14ac:dyDescent="0.25">
      <c r="A9075" s="5"/>
    </row>
    <row r="9076" spans="1:1" x14ac:dyDescent="0.25">
      <c r="A9076" s="5"/>
    </row>
    <row r="9077" spans="1:1" x14ac:dyDescent="0.25">
      <c r="A9077" s="5"/>
    </row>
    <row r="9078" spans="1:1" x14ac:dyDescent="0.25">
      <c r="A9078" s="5"/>
    </row>
    <row r="9079" spans="1:1" x14ac:dyDescent="0.25">
      <c r="A9079" s="5"/>
    </row>
    <row r="9080" spans="1:1" x14ac:dyDescent="0.25">
      <c r="A9080" s="5"/>
    </row>
    <row r="9081" spans="1:1" x14ac:dyDescent="0.25">
      <c r="A9081" s="5"/>
    </row>
    <row r="9082" spans="1:1" x14ac:dyDescent="0.25">
      <c r="A9082" s="5"/>
    </row>
    <row r="9083" spans="1:1" x14ac:dyDescent="0.25">
      <c r="A9083" s="5"/>
    </row>
    <row r="9084" spans="1:1" x14ac:dyDescent="0.25">
      <c r="A9084" s="5"/>
    </row>
    <row r="9085" spans="1:1" x14ac:dyDescent="0.25">
      <c r="A9085" s="5"/>
    </row>
    <row r="9086" spans="1:1" x14ac:dyDescent="0.25">
      <c r="A9086" s="5"/>
    </row>
    <row r="9087" spans="1:1" x14ac:dyDescent="0.25">
      <c r="A9087" s="5"/>
    </row>
    <row r="9088" spans="1:1" x14ac:dyDescent="0.25">
      <c r="A9088" s="5"/>
    </row>
    <row r="9089" spans="1:1" x14ac:dyDescent="0.25">
      <c r="A9089" s="5"/>
    </row>
    <row r="9090" spans="1:1" x14ac:dyDescent="0.25">
      <c r="A9090" s="5"/>
    </row>
    <row r="9091" spans="1:1" x14ac:dyDescent="0.25">
      <c r="A9091" s="5"/>
    </row>
    <row r="9092" spans="1:1" x14ac:dyDescent="0.25">
      <c r="A9092" s="5"/>
    </row>
    <row r="9093" spans="1:1" x14ac:dyDescent="0.25">
      <c r="A9093" s="5"/>
    </row>
    <row r="9094" spans="1:1" x14ac:dyDescent="0.25">
      <c r="A9094" s="5"/>
    </row>
    <row r="9095" spans="1:1" x14ac:dyDescent="0.25">
      <c r="A9095" s="5"/>
    </row>
    <row r="9096" spans="1:1" x14ac:dyDescent="0.25">
      <c r="A9096" s="5"/>
    </row>
    <row r="9097" spans="1:1" x14ac:dyDescent="0.25">
      <c r="A9097" s="5"/>
    </row>
    <row r="9098" spans="1:1" x14ac:dyDescent="0.25">
      <c r="A9098" s="5"/>
    </row>
    <row r="9099" spans="1:1" x14ac:dyDescent="0.25">
      <c r="A9099" s="5"/>
    </row>
    <row r="9100" spans="1:1" x14ac:dyDescent="0.25">
      <c r="A9100" s="5"/>
    </row>
    <row r="9101" spans="1:1" x14ac:dyDescent="0.25">
      <c r="A9101" s="5"/>
    </row>
    <row r="9102" spans="1:1" x14ac:dyDescent="0.25">
      <c r="A9102" s="5"/>
    </row>
    <row r="9103" spans="1:1" x14ac:dyDescent="0.25">
      <c r="A9103" s="5"/>
    </row>
    <row r="9104" spans="1:1" x14ac:dyDescent="0.25">
      <c r="A9104" s="5"/>
    </row>
    <row r="9105" spans="1:1" x14ac:dyDescent="0.25">
      <c r="A9105" s="5"/>
    </row>
    <row r="9106" spans="1:1" x14ac:dyDescent="0.25">
      <c r="A9106" s="5"/>
    </row>
    <row r="9107" spans="1:1" x14ac:dyDescent="0.25">
      <c r="A9107" s="5"/>
    </row>
    <row r="9108" spans="1:1" x14ac:dyDescent="0.25">
      <c r="A9108" s="5"/>
    </row>
    <row r="9109" spans="1:1" x14ac:dyDescent="0.25">
      <c r="A9109" s="5"/>
    </row>
    <row r="9110" spans="1:1" x14ac:dyDescent="0.25">
      <c r="A9110" s="5"/>
    </row>
    <row r="9111" spans="1:1" x14ac:dyDescent="0.25">
      <c r="A9111" s="5"/>
    </row>
    <row r="9112" spans="1:1" x14ac:dyDescent="0.25">
      <c r="A9112" s="5"/>
    </row>
    <row r="9113" spans="1:1" x14ac:dyDescent="0.25">
      <c r="A9113" s="5"/>
    </row>
    <row r="9114" spans="1:1" x14ac:dyDescent="0.25">
      <c r="A9114" s="5"/>
    </row>
    <row r="9115" spans="1:1" x14ac:dyDescent="0.25">
      <c r="A9115" s="5"/>
    </row>
    <row r="9116" spans="1:1" x14ac:dyDescent="0.25">
      <c r="A9116" s="5"/>
    </row>
    <row r="9117" spans="1:1" x14ac:dyDescent="0.25">
      <c r="A9117" s="5"/>
    </row>
    <row r="9118" spans="1:1" x14ac:dyDescent="0.25">
      <c r="A9118" s="5"/>
    </row>
    <row r="9119" spans="1:1" x14ac:dyDescent="0.25">
      <c r="A9119" s="5"/>
    </row>
    <row r="9120" spans="1:1" x14ac:dyDescent="0.25">
      <c r="A9120" s="5"/>
    </row>
    <row r="9121" spans="1:1" x14ac:dyDescent="0.25">
      <c r="A9121" s="5"/>
    </row>
    <row r="9122" spans="1:1" x14ac:dyDescent="0.25">
      <c r="A9122" s="5"/>
    </row>
    <row r="9123" spans="1:1" x14ac:dyDescent="0.25">
      <c r="A9123" s="5"/>
    </row>
    <row r="9124" spans="1:1" x14ac:dyDescent="0.25">
      <c r="A9124" s="5"/>
    </row>
    <row r="9125" spans="1:1" x14ac:dyDescent="0.25">
      <c r="A9125" s="5"/>
    </row>
    <row r="9126" spans="1:1" x14ac:dyDescent="0.25">
      <c r="A9126" s="5"/>
    </row>
    <row r="9127" spans="1:1" x14ac:dyDescent="0.25">
      <c r="A9127" s="5"/>
    </row>
    <row r="9128" spans="1:1" x14ac:dyDescent="0.25">
      <c r="A9128" s="5"/>
    </row>
    <row r="9129" spans="1:1" x14ac:dyDescent="0.25">
      <c r="A9129" s="5"/>
    </row>
    <row r="9130" spans="1:1" x14ac:dyDescent="0.25">
      <c r="A9130" s="5"/>
    </row>
    <row r="9131" spans="1:1" x14ac:dyDescent="0.25">
      <c r="A9131" s="5"/>
    </row>
    <row r="9132" spans="1:1" x14ac:dyDescent="0.25">
      <c r="A9132" s="5"/>
    </row>
    <row r="9133" spans="1:1" x14ac:dyDescent="0.25">
      <c r="A9133" s="5"/>
    </row>
    <row r="9134" spans="1:1" x14ac:dyDescent="0.25">
      <c r="A9134" s="5"/>
    </row>
    <row r="9135" spans="1:1" x14ac:dyDescent="0.25">
      <c r="A9135" s="5"/>
    </row>
    <row r="9136" spans="1:1" x14ac:dyDescent="0.25">
      <c r="A9136" s="5"/>
    </row>
    <row r="9137" spans="1:1" x14ac:dyDescent="0.25">
      <c r="A9137" s="5"/>
    </row>
    <row r="9138" spans="1:1" x14ac:dyDescent="0.25">
      <c r="A9138" s="5"/>
    </row>
    <row r="9139" spans="1:1" x14ac:dyDescent="0.25">
      <c r="A9139" s="5"/>
    </row>
    <row r="9140" spans="1:1" x14ac:dyDescent="0.25">
      <c r="A9140" s="5"/>
    </row>
    <row r="9141" spans="1:1" x14ac:dyDescent="0.25">
      <c r="A9141" s="5"/>
    </row>
    <row r="9142" spans="1:1" x14ac:dyDescent="0.25">
      <c r="A9142" s="5"/>
    </row>
    <row r="9143" spans="1:1" x14ac:dyDescent="0.25">
      <c r="A9143" s="5"/>
    </row>
    <row r="9144" spans="1:1" x14ac:dyDescent="0.25">
      <c r="A9144" s="5"/>
    </row>
    <row r="9145" spans="1:1" x14ac:dyDescent="0.25">
      <c r="A9145" s="5"/>
    </row>
    <row r="9146" spans="1:1" x14ac:dyDescent="0.25">
      <c r="A9146" s="5"/>
    </row>
    <row r="9147" spans="1:1" x14ac:dyDescent="0.25">
      <c r="A9147" s="5"/>
    </row>
    <row r="9148" spans="1:1" x14ac:dyDescent="0.25">
      <c r="A9148" s="5"/>
    </row>
    <row r="9149" spans="1:1" x14ac:dyDescent="0.25">
      <c r="A9149" s="5"/>
    </row>
    <row r="9150" spans="1:1" x14ac:dyDescent="0.25">
      <c r="A9150" s="5"/>
    </row>
    <row r="9151" spans="1:1" x14ac:dyDescent="0.25">
      <c r="A9151" s="5"/>
    </row>
    <row r="9152" spans="1:1" x14ac:dyDescent="0.25">
      <c r="A9152" s="5"/>
    </row>
    <row r="9153" spans="1:1" x14ac:dyDescent="0.25">
      <c r="A9153" s="5"/>
    </row>
    <row r="9154" spans="1:1" x14ac:dyDescent="0.25">
      <c r="A9154" s="5"/>
    </row>
    <row r="9155" spans="1:1" x14ac:dyDescent="0.25">
      <c r="A9155" s="5"/>
    </row>
    <row r="9156" spans="1:1" x14ac:dyDescent="0.25">
      <c r="A9156" s="5"/>
    </row>
    <row r="9157" spans="1:1" x14ac:dyDescent="0.25">
      <c r="A9157" s="5"/>
    </row>
    <row r="9158" spans="1:1" x14ac:dyDescent="0.25">
      <c r="A9158" s="5"/>
    </row>
    <row r="9159" spans="1:1" x14ac:dyDescent="0.25">
      <c r="A9159" s="5"/>
    </row>
    <row r="9160" spans="1:1" x14ac:dyDescent="0.25">
      <c r="A9160" s="5"/>
    </row>
    <row r="9161" spans="1:1" x14ac:dyDescent="0.25">
      <c r="A9161" s="5"/>
    </row>
    <row r="9162" spans="1:1" x14ac:dyDescent="0.25">
      <c r="A9162" s="5"/>
    </row>
    <row r="9163" spans="1:1" x14ac:dyDescent="0.25">
      <c r="A9163" s="5"/>
    </row>
    <row r="9164" spans="1:1" x14ac:dyDescent="0.25">
      <c r="A9164" s="5"/>
    </row>
    <row r="9165" spans="1:1" x14ac:dyDescent="0.25">
      <c r="A9165" s="5"/>
    </row>
    <row r="9166" spans="1:1" x14ac:dyDescent="0.25">
      <c r="A9166" s="5"/>
    </row>
    <row r="9167" spans="1:1" x14ac:dyDescent="0.25">
      <c r="A9167" s="5"/>
    </row>
    <row r="9168" spans="1:1" x14ac:dyDescent="0.25">
      <c r="A9168" s="5"/>
    </row>
    <row r="9169" spans="1:1" x14ac:dyDescent="0.25">
      <c r="A9169" s="5"/>
    </row>
    <row r="9170" spans="1:1" x14ac:dyDescent="0.25">
      <c r="A9170" s="5"/>
    </row>
    <row r="9171" spans="1:1" x14ac:dyDescent="0.25">
      <c r="A9171" s="5"/>
    </row>
    <row r="9172" spans="1:1" x14ac:dyDescent="0.25">
      <c r="A9172" s="5"/>
    </row>
    <row r="9173" spans="1:1" x14ac:dyDescent="0.25">
      <c r="A9173" s="5"/>
    </row>
    <row r="9174" spans="1:1" x14ac:dyDescent="0.25">
      <c r="A9174" s="5"/>
    </row>
    <row r="9175" spans="1:1" x14ac:dyDescent="0.25">
      <c r="A9175" s="5"/>
    </row>
    <row r="9176" spans="1:1" x14ac:dyDescent="0.25">
      <c r="A9176" s="5"/>
    </row>
    <row r="9177" spans="1:1" x14ac:dyDescent="0.25">
      <c r="A9177" s="5"/>
    </row>
    <row r="9178" spans="1:1" x14ac:dyDescent="0.25">
      <c r="A9178" s="5"/>
    </row>
    <row r="9179" spans="1:1" x14ac:dyDescent="0.25">
      <c r="A9179" s="5"/>
    </row>
    <row r="9180" spans="1:1" x14ac:dyDescent="0.25">
      <c r="A9180" s="5"/>
    </row>
    <row r="9181" spans="1:1" x14ac:dyDescent="0.25">
      <c r="A9181" s="5"/>
    </row>
    <row r="9182" spans="1:1" x14ac:dyDescent="0.25">
      <c r="A9182" s="5"/>
    </row>
    <row r="9183" spans="1:1" x14ac:dyDescent="0.25">
      <c r="A9183" s="5"/>
    </row>
    <row r="9184" spans="1:1" x14ac:dyDescent="0.25">
      <c r="A9184" s="5"/>
    </row>
    <row r="9185" spans="1:1" x14ac:dyDescent="0.25">
      <c r="A9185" s="5"/>
    </row>
    <row r="9186" spans="1:1" x14ac:dyDescent="0.25">
      <c r="A9186" s="5"/>
    </row>
    <row r="9187" spans="1:1" x14ac:dyDescent="0.25">
      <c r="A9187" s="5"/>
    </row>
    <row r="9188" spans="1:1" x14ac:dyDescent="0.25">
      <c r="A9188" s="5"/>
    </row>
    <row r="9189" spans="1:1" x14ac:dyDescent="0.25">
      <c r="A9189" s="5"/>
    </row>
    <row r="9190" spans="1:1" x14ac:dyDescent="0.25">
      <c r="A9190" s="5"/>
    </row>
    <row r="9191" spans="1:1" x14ac:dyDescent="0.25">
      <c r="A9191" s="5"/>
    </row>
    <row r="9192" spans="1:1" x14ac:dyDescent="0.25">
      <c r="A9192" s="5"/>
    </row>
    <row r="9193" spans="1:1" x14ac:dyDescent="0.25">
      <c r="A9193" s="5"/>
    </row>
    <row r="9194" spans="1:1" x14ac:dyDescent="0.25">
      <c r="A9194" s="5"/>
    </row>
    <row r="9195" spans="1:1" x14ac:dyDescent="0.25">
      <c r="A9195" s="5"/>
    </row>
    <row r="9196" spans="1:1" x14ac:dyDescent="0.25">
      <c r="A9196" s="5"/>
    </row>
    <row r="9197" spans="1:1" x14ac:dyDescent="0.25">
      <c r="A9197" s="5"/>
    </row>
    <row r="9198" spans="1:1" x14ac:dyDescent="0.25">
      <c r="A9198" s="5"/>
    </row>
    <row r="9199" spans="1:1" x14ac:dyDescent="0.25">
      <c r="A9199" s="5"/>
    </row>
    <row r="9200" spans="1:1" x14ac:dyDescent="0.25">
      <c r="A9200" s="5"/>
    </row>
    <row r="9201" spans="1:1" x14ac:dyDescent="0.25">
      <c r="A9201" s="5"/>
    </row>
    <row r="9202" spans="1:1" x14ac:dyDescent="0.25">
      <c r="A9202" s="5"/>
    </row>
    <row r="9203" spans="1:1" x14ac:dyDescent="0.25">
      <c r="A9203" s="5"/>
    </row>
    <row r="9204" spans="1:1" x14ac:dyDescent="0.25">
      <c r="A9204" s="5"/>
    </row>
    <row r="9205" spans="1:1" x14ac:dyDescent="0.25">
      <c r="A9205" s="5"/>
    </row>
    <row r="9206" spans="1:1" x14ac:dyDescent="0.25">
      <c r="A9206" s="5"/>
    </row>
    <row r="9207" spans="1:1" x14ac:dyDescent="0.25">
      <c r="A9207" s="5"/>
    </row>
    <row r="9208" spans="1:1" x14ac:dyDescent="0.25">
      <c r="A9208" s="5"/>
    </row>
    <row r="9209" spans="1:1" x14ac:dyDescent="0.25">
      <c r="A9209" s="5"/>
    </row>
    <row r="9210" spans="1:1" x14ac:dyDescent="0.25">
      <c r="A9210" s="5"/>
    </row>
    <row r="9211" spans="1:1" x14ac:dyDescent="0.25">
      <c r="A9211" s="5"/>
    </row>
    <row r="9212" spans="1:1" x14ac:dyDescent="0.25">
      <c r="A9212" s="5"/>
    </row>
    <row r="9213" spans="1:1" x14ac:dyDescent="0.25">
      <c r="A9213" s="5"/>
    </row>
    <row r="9214" spans="1:1" x14ac:dyDescent="0.25">
      <c r="A9214" s="5"/>
    </row>
    <row r="9215" spans="1:1" x14ac:dyDescent="0.25">
      <c r="A9215" s="5"/>
    </row>
    <row r="9216" spans="1:1" x14ac:dyDescent="0.25">
      <c r="A9216" s="5"/>
    </row>
    <row r="9217" spans="1:1" x14ac:dyDescent="0.25">
      <c r="A9217" s="5"/>
    </row>
    <row r="9218" spans="1:1" x14ac:dyDescent="0.25">
      <c r="A9218" s="5"/>
    </row>
    <row r="9219" spans="1:1" x14ac:dyDescent="0.25">
      <c r="A9219" s="5"/>
    </row>
    <row r="9220" spans="1:1" x14ac:dyDescent="0.25">
      <c r="A9220" s="5"/>
    </row>
    <row r="9221" spans="1:1" x14ac:dyDescent="0.25">
      <c r="A9221" s="5"/>
    </row>
    <row r="9222" spans="1:1" x14ac:dyDescent="0.25">
      <c r="A9222" s="5"/>
    </row>
    <row r="9223" spans="1:1" x14ac:dyDescent="0.25">
      <c r="A9223" s="5"/>
    </row>
    <row r="9224" spans="1:1" x14ac:dyDescent="0.25">
      <c r="A9224" s="5"/>
    </row>
    <row r="9225" spans="1:1" x14ac:dyDescent="0.25">
      <c r="A9225" s="5"/>
    </row>
    <row r="9226" spans="1:1" x14ac:dyDescent="0.25">
      <c r="A9226" s="5"/>
    </row>
    <row r="9227" spans="1:1" x14ac:dyDescent="0.25">
      <c r="A9227" s="5"/>
    </row>
    <row r="9228" spans="1:1" x14ac:dyDescent="0.25">
      <c r="A9228" s="5"/>
    </row>
    <row r="9229" spans="1:1" x14ac:dyDescent="0.25">
      <c r="A9229" s="5"/>
    </row>
    <row r="9230" spans="1:1" x14ac:dyDescent="0.25">
      <c r="A9230" s="5"/>
    </row>
    <row r="9231" spans="1:1" x14ac:dyDescent="0.25">
      <c r="A9231" s="5"/>
    </row>
    <row r="9232" spans="1:1" x14ac:dyDescent="0.25">
      <c r="A9232" s="5"/>
    </row>
    <row r="9233" spans="1:1" x14ac:dyDescent="0.25">
      <c r="A9233" s="5"/>
    </row>
    <row r="9234" spans="1:1" x14ac:dyDescent="0.25">
      <c r="A9234" s="5"/>
    </row>
    <row r="9235" spans="1:1" x14ac:dyDescent="0.25">
      <c r="A9235" s="5"/>
    </row>
    <row r="9236" spans="1:1" x14ac:dyDescent="0.25">
      <c r="A9236" s="5"/>
    </row>
    <row r="9237" spans="1:1" x14ac:dyDescent="0.25">
      <c r="A9237" s="5"/>
    </row>
    <row r="9238" spans="1:1" x14ac:dyDescent="0.25">
      <c r="A9238" s="5"/>
    </row>
    <row r="9239" spans="1:1" x14ac:dyDescent="0.25">
      <c r="A9239" s="5"/>
    </row>
    <row r="9240" spans="1:1" x14ac:dyDescent="0.25">
      <c r="A9240" s="5"/>
    </row>
    <row r="9241" spans="1:1" x14ac:dyDescent="0.25">
      <c r="A9241" s="5"/>
    </row>
    <row r="9242" spans="1:1" x14ac:dyDescent="0.25">
      <c r="A9242" s="5"/>
    </row>
    <row r="9243" spans="1:1" x14ac:dyDescent="0.25">
      <c r="A9243" s="5"/>
    </row>
    <row r="9244" spans="1:1" x14ac:dyDescent="0.25">
      <c r="A9244" s="5"/>
    </row>
    <row r="9245" spans="1:1" x14ac:dyDescent="0.25">
      <c r="A9245" s="5"/>
    </row>
    <row r="9246" spans="1:1" x14ac:dyDescent="0.25">
      <c r="A9246" s="5"/>
    </row>
    <row r="9247" spans="1:1" x14ac:dyDescent="0.25">
      <c r="A9247" s="5"/>
    </row>
    <row r="9248" spans="1:1" x14ac:dyDescent="0.25">
      <c r="A9248" s="5"/>
    </row>
    <row r="9249" spans="1:1" x14ac:dyDescent="0.25">
      <c r="A9249" s="5"/>
    </row>
    <row r="9250" spans="1:1" x14ac:dyDescent="0.25">
      <c r="A9250" s="5"/>
    </row>
    <row r="9251" spans="1:1" x14ac:dyDescent="0.25">
      <c r="A9251" s="5"/>
    </row>
    <row r="9252" spans="1:1" x14ac:dyDescent="0.25">
      <c r="A9252" s="5"/>
    </row>
    <row r="9253" spans="1:1" x14ac:dyDescent="0.25">
      <c r="A9253" s="5"/>
    </row>
    <row r="9254" spans="1:1" x14ac:dyDescent="0.25">
      <c r="A9254" s="5"/>
    </row>
    <row r="9255" spans="1:1" x14ac:dyDescent="0.25">
      <c r="A9255" s="5"/>
    </row>
    <row r="9256" spans="1:1" x14ac:dyDescent="0.25">
      <c r="A9256" s="5"/>
    </row>
    <row r="9257" spans="1:1" x14ac:dyDescent="0.25">
      <c r="A9257" s="5"/>
    </row>
    <row r="9258" spans="1:1" x14ac:dyDescent="0.25">
      <c r="A9258" s="5"/>
    </row>
    <row r="9259" spans="1:1" x14ac:dyDescent="0.25">
      <c r="A9259" s="5"/>
    </row>
    <row r="9260" spans="1:1" x14ac:dyDescent="0.25">
      <c r="A9260" s="5"/>
    </row>
    <row r="9261" spans="1:1" x14ac:dyDescent="0.25">
      <c r="A9261" s="5"/>
    </row>
    <row r="9262" spans="1:1" x14ac:dyDescent="0.25">
      <c r="A9262" s="5"/>
    </row>
    <row r="9263" spans="1:1" x14ac:dyDescent="0.25">
      <c r="A9263" s="5"/>
    </row>
    <row r="9264" spans="1:1" x14ac:dyDescent="0.25">
      <c r="A9264" s="5"/>
    </row>
    <row r="9265" spans="1:1" x14ac:dyDescent="0.25">
      <c r="A9265" s="5"/>
    </row>
    <row r="9266" spans="1:1" x14ac:dyDescent="0.25">
      <c r="A9266" s="5"/>
    </row>
    <row r="9267" spans="1:1" x14ac:dyDescent="0.25">
      <c r="A9267" s="5"/>
    </row>
    <row r="9268" spans="1:1" x14ac:dyDescent="0.25">
      <c r="A9268" s="5"/>
    </row>
    <row r="9269" spans="1:1" x14ac:dyDescent="0.25">
      <c r="A9269" s="5"/>
    </row>
    <row r="9270" spans="1:1" x14ac:dyDescent="0.25">
      <c r="A9270" s="5"/>
    </row>
    <row r="9271" spans="1:1" x14ac:dyDescent="0.25">
      <c r="A9271" s="5"/>
    </row>
    <row r="9272" spans="1:1" x14ac:dyDescent="0.25">
      <c r="A9272" s="5"/>
    </row>
    <row r="9273" spans="1:1" x14ac:dyDescent="0.25">
      <c r="A9273" s="5"/>
    </row>
    <row r="9274" spans="1:1" x14ac:dyDescent="0.25">
      <c r="A9274" s="5"/>
    </row>
    <row r="9275" spans="1:1" x14ac:dyDescent="0.25">
      <c r="A9275" s="5"/>
    </row>
    <row r="9276" spans="1:1" x14ac:dyDescent="0.25">
      <c r="A9276" s="5"/>
    </row>
    <row r="9277" spans="1:1" x14ac:dyDescent="0.25">
      <c r="A9277" s="5"/>
    </row>
    <row r="9278" spans="1:1" x14ac:dyDescent="0.25">
      <c r="A9278" s="5"/>
    </row>
    <row r="9279" spans="1:1" x14ac:dyDescent="0.25">
      <c r="A9279" s="5"/>
    </row>
    <row r="9280" spans="1:1" x14ac:dyDescent="0.25">
      <c r="A9280" s="5"/>
    </row>
    <row r="9281" spans="1:1" x14ac:dyDescent="0.25">
      <c r="A9281" s="5"/>
    </row>
    <row r="9282" spans="1:1" x14ac:dyDescent="0.25">
      <c r="A9282" s="5"/>
    </row>
    <row r="9283" spans="1:1" x14ac:dyDescent="0.25">
      <c r="A9283" s="5"/>
    </row>
    <row r="9284" spans="1:1" x14ac:dyDescent="0.25">
      <c r="A9284" s="5"/>
    </row>
    <row r="9285" spans="1:1" x14ac:dyDescent="0.25">
      <c r="A9285" s="5"/>
    </row>
    <row r="9286" spans="1:1" x14ac:dyDescent="0.25">
      <c r="A9286" s="5"/>
    </row>
    <row r="9287" spans="1:1" x14ac:dyDescent="0.25">
      <c r="A9287" s="5"/>
    </row>
    <row r="9288" spans="1:1" x14ac:dyDescent="0.25">
      <c r="A9288" s="5"/>
    </row>
    <row r="9289" spans="1:1" x14ac:dyDescent="0.25">
      <c r="A9289" s="5"/>
    </row>
    <row r="9290" spans="1:1" x14ac:dyDescent="0.25">
      <c r="A9290" s="5"/>
    </row>
    <row r="9291" spans="1:1" x14ac:dyDescent="0.25">
      <c r="A9291" s="5"/>
    </row>
    <row r="9292" spans="1:1" x14ac:dyDescent="0.25">
      <c r="A9292" s="5"/>
    </row>
    <row r="9293" spans="1:1" x14ac:dyDescent="0.25">
      <c r="A9293" s="5"/>
    </row>
    <row r="9294" spans="1:1" x14ac:dyDescent="0.25">
      <c r="A9294" s="5"/>
    </row>
    <row r="9295" spans="1:1" x14ac:dyDescent="0.25">
      <c r="A9295" s="5"/>
    </row>
    <row r="9296" spans="1:1" x14ac:dyDescent="0.25">
      <c r="A9296" s="5"/>
    </row>
    <row r="9297" spans="1:1" x14ac:dyDescent="0.25">
      <c r="A9297" s="5"/>
    </row>
    <row r="9298" spans="1:1" x14ac:dyDescent="0.25">
      <c r="A9298" s="5"/>
    </row>
    <row r="9299" spans="1:1" x14ac:dyDescent="0.25">
      <c r="A9299" s="5"/>
    </row>
    <row r="9300" spans="1:1" x14ac:dyDescent="0.25">
      <c r="A9300" s="5"/>
    </row>
    <row r="9301" spans="1:1" x14ac:dyDescent="0.25">
      <c r="A9301" s="5"/>
    </row>
    <row r="9302" spans="1:1" x14ac:dyDescent="0.25">
      <c r="A9302" s="5"/>
    </row>
    <row r="9303" spans="1:1" x14ac:dyDescent="0.25">
      <c r="A9303" s="5"/>
    </row>
    <row r="9304" spans="1:1" x14ac:dyDescent="0.25">
      <c r="A9304" s="5"/>
    </row>
    <row r="9305" spans="1:1" x14ac:dyDescent="0.25">
      <c r="A9305" s="5"/>
    </row>
    <row r="9306" spans="1:1" x14ac:dyDescent="0.25">
      <c r="A9306" s="5"/>
    </row>
    <row r="9307" spans="1:1" x14ac:dyDescent="0.25">
      <c r="A9307" s="5"/>
    </row>
    <row r="9308" spans="1:1" x14ac:dyDescent="0.25">
      <c r="A9308" s="5"/>
    </row>
    <row r="9309" spans="1:1" x14ac:dyDescent="0.25">
      <c r="A9309" s="5"/>
    </row>
    <row r="9310" spans="1:1" x14ac:dyDescent="0.25">
      <c r="A9310" s="5"/>
    </row>
    <row r="9311" spans="1:1" x14ac:dyDescent="0.25">
      <c r="A9311" s="5"/>
    </row>
    <row r="9312" spans="1:1" x14ac:dyDescent="0.25">
      <c r="A9312" s="5"/>
    </row>
    <row r="9313" spans="1:1" x14ac:dyDescent="0.25">
      <c r="A9313" s="5"/>
    </row>
    <row r="9314" spans="1:1" x14ac:dyDescent="0.25">
      <c r="A9314" s="5"/>
    </row>
    <row r="9315" spans="1:1" x14ac:dyDescent="0.25">
      <c r="A9315" s="5"/>
    </row>
    <row r="9316" spans="1:1" x14ac:dyDescent="0.25">
      <c r="A9316" s="5"/>
    </row>
    <row r="9317" spans="1:1" x14ac:dyDescent="0.25">
      <c r="A9317" s="5"/>
    </row>
    <row r="9318" spans="1:1" x14ac:dyDescent="0.25">
      <c r="A9318" s="5"/>
    </row>
    <row r="9319" spans="1:1" x14ac:dyDescent="0.25">
      <c r="A9319" s="5"/>
    </row>
    <row r="9320" spans="1:1" x14ac:dyDescent="0.25">
      <c r="A9320" s="5"/>
    </row>
    <row r="9321" spans="1:1" x14ac:dyDescent="0.25">
      <c r="A9321" s="5"/>
    </row>
    <row r="9322" spans="1:1" x14ac:dyDescent="0.25">
      <c r="A9322" s="5"/>
    </row>
    <row r="9323" spans="1:1" x14ac:dyDescent="0.25">
      <c r="A9323" s="5"/>
    </row>
    <row r="9324" spans="1:1" x14ac:dyDescent="0.25">
      <c r="A9324" s="5"/>
    </row>
    <row r="9325" spans="1:1" x14ac:dyDescent="0.25">
      <c r="A9325" s="5"/>
    </row>
    <row r="9326" spans="1:1" x14ac:dyDescent="0.25">
      <c r="A9326" s="5"/>
    </row>
    <row r="9327" spans="1:1" x14ac:dyDescent="0.25">
      <c r="A9327" s="5"/>
    </row>
    <row r="9328" spans="1:1" x14ac:dyDescent="0.25">
      <c r="A9328" s="5"/>
    </row>
    <row r="9329" spans="1:1" x14ac:dyDescent="0.25">
      <c r="A9329" s="5"/>
    </row>
    <row r="9330" spans="1:1" x14ac:dyDescent="0.25">
      <c r="A9330" s="5"/>
    </row>
    <row r="9331" spans="1:1" x14ac:dyDescent="0.25">
      <c r="A9331" s="5"/>
    </row>
    <row r="9332" spans="1:1" x14ac:dyDescent="0.25">
      <c r="A9332" s="5"/>
    </row>
    <row r="9333" spans="1:1" x14ac:dyDescent="0.25">
      <c r="A9333" s="5"/>
    </row>
    <row r="9334" spans="1:1" x14ac:dyDescent="0.25">
      <c r="A9334" s="5"/>
    </row>
    <row r="9335" spans="1:1" x14ac:dyDescent="0.25">
      <c r="A9335" s="5"/>
    </row>
    <row r="9336" spans="1:1" x14ac:dyDescent="0.25">
      <c r="A9336" s="5"/>
    </row>
    <row r="9337" spans="1:1" x14ac:dyDescent="0.25">
      <c r="A9337" s="5"/>
    </row>
    <row r="9338" spans="1:1" x14ac:dyDescent="0.25">
      <c r="A9338" s="5"/>
    </row>
    <row r="9339" spans="1:1" x14ac:dyDescent="0.25">
      <c r="A9339" s="5"/>
    </row>
    <row r="9340" spans="1:1" x14ac:dyDescent="0.25">
      <c r="A9340" s="5"/>
    </row>
    <row r="9341" spans="1:1" x14ac:dyDescent="0.25">
      <c r="A9341" s="5"/>
    </row>
    <row r="9342" spans="1:1" x14ac:dyDescent="0.25">
      <c r="A9342" s="5"/>
    </row>
    <row r="9343" spans="1:1" x14ac:dyDescent="0.25">
      <c r="A9343" s="5"/>
    </row>
    <row r="9344" spans="1:1" x14ac:dyDescent="0.25">
      <c r="A9344" s="5"/>
    </row>
    <row r="9345" spans="1:1" x14ac:dyDescent="0.25">
      <c r="A9345" s="5"/>
    </row>
    <row r="9346" spans="1:1" x14ac:dyDescent="0.25">
      <c r="A9346" s="5"/>
    </row>
    <row r="9347" spans="1:1" x14ac:dyDescent="0.25">
      <c r="A9347" s="5"/>
    </row>
    <row r="9348" spans="1:1" x14ac:dyDescent="0.25">
      <c r="A9348" s="5"/>
    </row>
    <row r="9349" spans="1:1" x14ac:dyDescent="0.25">
      <c r="A9349" s="5"/>
    </row>
    <row r="9350" spans="1:1" x14ac:dyDescent="0.25">
      <c r="A9350" s="5"/>
    </row>
    <row r="9351" spans="1:1" x14ac:dyDescent="0.25">
      <c r="A9351" s="5"/>
    </row>
    <row r="9352" spans="1:1" x14ac:dyDescent="0.25">
      <c r="A9352" s="5"/>
    </row>
    <row r="9353" spans="1:1" x14ac:dyDescent="0.25">
      <c r="A9353" s="5"/>
    </row>
    <row r="9354" spans="1:1" x14ac:dyDescent="0.25">
      <c r="A9354" s="5"/>
    </row>
    <row r="9355" spans="1:1" x14ac:dyDescent="0.25">
      <c r="A9355" s="5"/>
    </row>
    <row r="9356" spans="1:1" x14ac:dyDescent="0.25">
      <c r="A9356" s="5"/>
    </row>
    <row r="9357" spans="1:1" x14ac:dyDescent="0.25">
      <c r="A9357" s="5"/>
    </row>
    <row r="9358" spans="1:1" x14ac:dyDescent="0.25">
      <c r="A9358" s="5"/>
    </row>
    <row r="9359" spans="1:1" x14ac:dyDescent="0.25">
      <c r="A9359" s="5"/>
    </row>
    <row r="9360" spans="1:1" x14ac:dyDescent="0.25">
      <c r="A9360" s="5"/>
    </row>
    <row r="9361" spans="1:1" x14ac:dyDescent="0.25">
      <c r="A9361" s="5"/>
    </row>
    <row r="9362" spans="1:1" x14ac:dyDescent="0.25">
      <c r="A9362" s="5"/>
    </row>
    <row r="9363" spans="1:1" x14ac:dyDescent="0.25">
      <c r="A9363" s="5"/>
    </row>
    <row r="9364" spans="1:1" x14ac:dyDescent="0.25">
      <c r="A9364" s="5"/>
    </row>
    <row r="9365" spans="1:1" x14ac:dyDescent="0.25">
      <c r="A9365" s="5"/>
    </row>
    <row r="9366" spans="1:1" x14ac:dyDescent="0.25">
      <c r="A9366" s="5"/>
    </row>
    <row r="9367" spans="1:1" x14ac:dyDescent="0.25">
      <c r="A9367" s="5"/>
    </row>
    <row r="9368" spans="1:1" x14ac:dyDescent="0.25">
      <c r="A9368" s="5"/>
    </row>
    <row r="9369" spans="1:1" x14ac:dyDescent="0.25">
      <c r="A9369" s="5"/>
    </row>
    <row r="9370" spans="1:1" x14ac:dyDescent="0.25">
      <c r="A9370" s="5"/>
    </row>
    <row r="9371" spans="1:1" x14ac:dyDescent="0.25">
      <c r="A9371" s="5"/>
    </row>
    <row r="9372" spans="1:1" x14ac:dyDescent="0.25">
      <c r="A9372" s="5"/>
    </row>
    <row r="9373" spans="1:1" x14ac:dyDescent="0.25">
      <c r="A9373" s="5"/>
    </row>
    <row r="9374" spans="1:1" x14ac:dyDescent="0.25">
      <c r="A9374" s="5"/>
    </row>
    <row r="9375" spans="1:1" x14ac:dyDescent="0.25">
      <c r="A9375" s="5"/>
    </row>
    <row r="9376" spans="1:1" x14ac:dyDescent="0.25">
      <c r="A9376" s="5"/>
    </row>
    <row r="9377" spans="1:1" x14ac:dyDescent="0.25">
      <c r="A9377" s="5"/>
    </row>
    <row r="9378" spans="1:1" x14ac:dyDescent="0.25">
      <c r="A9378" s="5"/>
    </row>
    <row r="9379" spans="1:1" x14ac:dyDescent="0.25">
      <c r="A9379" s="5"/>
    </row>
    <row r="9380" spans="1:1" x14ac:dyDescent="0.25">
      <c r="A9380" s="5"/>
    </row>
    <row r="9381" spans="1:1" x14ac:dyDescent="0.25">
      <c r="A9381" s="5"/>
    </row>
    <row r="9382" spans="1:1" x14ac:dyDescent="0.25">
      <c r="A9382" s="5"/>
    </row>
    <row r="9383" spans="1:1" x14ac:dyDescent="0.25">
      <c r="A9383" s="5"/>
    </row>
    <row r="9384" spans="1:1" x14ac:dyDescent="0.25">
      <c r="A9384" s="5"/>
    </row>
    <row r="9385" spans="1:1" x14ac:dyDescent="0.25">
      <c r="A9385" s="5"/>
    </row>
    <row r="9386" spans="1:1" x14ac:dyDescent="0.25">
      <c r="A9386" s="5"/>
    </row>
    <row r="9387" spans="1:1" x14ac:dyDescent="0.25">
      <c r="A9387" s="5"/>
    </row>
    <row r="9388" spans="1:1" x14ac:dyDescent="0.25">
      <c r="A9388" s="5"/>
    </row>
    <row r="9389" spans="1:1" x14ac:dyDescent="0.25">
      <c r="A9389" s="5"/>
    </row>
    <row r="9390" spans="1:1" x14ac:dyDescent="0.25">
      <c r="A9390" s="5"/>
    </row>
    <row r="9391" spans="1:1" x14ac:dyDescent="0.25">
      <c r="A9391" s="5"/>
    </row>
    <row r="9392" spans="1:1" x14ac:dyDescent="0.25">
      <c r="A9392" s="5"/>
    </row>
    <row r="9393" spans="1:1" x14ac:dyDescent="0.25">
      <c r="A9393" s="5"/>
    </row>
    <row r="9394" spans="1:1" x14ac:dyDescent="0.25">
      <c r="A9394" s="5"/>
    </row>
    <row r="9395" spans="1:1" x14ac:dyDescent="0.25">
      <c r="A9395" s="5"/>
    </row>
    <row r="9396" spans="1:1" x14ac:dyDescent="0.25">
      <c r="A9396" s="5"/>
    </row>
    <row r="9397" spans="1:1" x14ac:dyDescent="0.25">
      <c r="A9397" s="5"/>
    </row>
    <row r="9398" spans="1:1" x14ac:dyDescent="0.25">
      <c r="A9398" s="5"/>
    </row>
    <row r="9399" spans="1:1" x14ac:dyDescent="0.25">
      <c r="A9399" s="5"/>
    </row>
    <row r="9400" spans="1:1" x14ac:dyDescent="0.25">
      <c r="A9400" s="5"/>
    </row>
    <row r="9401" spans="1:1" x14ac:dyDescent="0.25">
      <c r="A9401" s="5"/>
    </row>
    <row r="9402" spans="1:1" x14ac:dyDescent="0.25">
      <c r="A9402" s="5"/>
    </row>
    <row r="9403" spans="1:1" x14ac:dyDescent="0.25">
      <c r="A9403" s="5"/>
    </row>
    <row r="9404" spans="1:1" x14ac:dyDescent="0.25">
      <c r="A9404" s="5"/>
    </row>
    <row r="9405" spans="1:1" x14ac:dyDescent="0.25">
      <c r="A9405" s="5"/>
    </row>
    <row r="9406" spans="1:1" x14ac:dyDescent="0.25">
      <c r="A9406" s="5"/>
    </row>
    <row r="9407" spans="1:1" x14ac:dyDescent="0.25">
      <c r="A9407" s="5"/>
    </row>
    <row r="9408" spans="1:1" x14ac:dyDescent="0.25">
      <c r="A9408" s="5"/>
    </row>
    <row r="9409" spans="1:1" x14ac:dyDescent="0.25">
      <c r="A9409" s="5"/>
    </row>
    <row r="9410" spans="1:1" x14ac:dyDescent="0.25">
      <c r="A9410" s="5"/>
    </row>
    <row r="9411" spans="1:1" x14ac:dyDescent="0.25">
      <c r="A9411" s="5"/>
    </row>
    <row r="9412" spans="1:1" x14ac:dyDescent="0.25">
      <c r="A9412" s="5"/>
    </row>
    <row r="9413" spans="1:1" x14ac:dyDescent="0.25">
      <c r="A9413" s="5"/>
    </row>
    <row r="9414" spans="1:1" x14ac:dyDescent="0.25">
      <c r="A9414" s="5"/>
    </row>
    <row r="9415" spans="1:1" x14ac:dyDescent="0.25">
      <c r="A9415" s="5"/>
    </row>
    <row r="9416" spans="1:1" x14ac:dyDescent="0.25">
      <c r="A9416" s="5"/>
    </row>
    <row r="9417" spans="1:1" x14ac:dyDescent="0.25">
      <c r="A9417" s="5"/>
    </row>
    <row r="9418" spans="1:1" x14ac:dyDescent="0.25">
      <c r="A9418" s="5"/>
    </row>
    <row r="9419" spans="1:1" x14ac:dyDescent="0.25">
      <c r="A9419" s="5"/>
    </row>
    <row r="9420" spans="1:1" x14ac:dyDescent="0.25">
      <c r="A9420" s="5"/>
    </row>
    <row r="9421" spans="1:1" x14ac:dyDescent="0.25">
      <c r="A9421" s="5"/>
    </row>
    <row r="9422" spans="1:1" x14ac:dyDescent="0.25">
      <c r="A9422" s="5"/>
    </row>
    <row r="9423" spans="1:1" x14ac:dyDescent="0.25">
      <c r="A9423" s="5"/>
    </row>
    <row r="9424" spans="1:1" x14ac:dyDescent="0.25">
      <c r="A9424" s="5"/>
    </row>
    <row r="9425" spans="1:1" x14ac:dyDescent="0.25">
      <c r="A9425" s="5"/>
    </row>
    <row r="9426" spans="1:1" x14ac:dyDescent="0.25">
      <c r="A9426" s="5"/>
    </row>
    <row r="9427" spans="1:1" x14ac:dyDescent="0.25">
      <c r="A9427" s="5"/>
    </row>
    <row r="9428" spans="1:1" x14ac:dyDescent="0.25">
      <c r="A9428" s="5"/>
    </row>
    <row r="9429" spans="1:1" x14ac:dyDescent="0.25">
      <c r="A9429" s="5"/>
    </row>
    <row r="9430" spans="1:1" x14ac:dyDescent="0.25">
      <c r="A9430" s="5"/>
    </row>
    <row r="9431" spans="1:1" x14ac:dyDescent="0.25">
      <c r="A9431" s="5"/>
    </row>
    <row r="9432" spans="1:1" x14ac:dyDescent="0.25">
      <c r="A9432" s="5"/>
    </row>
    <row r="9433" spans="1:1" x14ac:dyDescent="0.25">
      <c r="A9433" s="5"/>
    </row>
    <row r="9434" spans="1:1" x14ac:dyDescent="0.25">
      <c r="A9434" s="5"/>
    </row>
    <row r="9435" spans="1:1" x14ac:dyDescent="0.25">
      <c r="A9435" s="5"/>
    </row>
    <row r="9436" spans="1:1" x14ac:dyDescent="0.25">
      <c r="A9436" s="5"/>
    </row>
    <row r="9437" spans="1:1" x14ac:dyDescent="0.25">
      <c r="A9437" s="5"/>
    </row>
    <row r="9438" spans="1:1" x14ac:dyDescent="0.25">
      <c r="A9438" s="5"/>
    </row>
    <row r="9439" spans="1:1" x14ac:dyDescent="0.25">
      <c r="A9439" s="5"/>
    </row>
    <row r="9440" spans="1:1" x14ac:dyDescent="0.25">
      <c r="A9440" s="5"/>
    </row>
    <row r="9441" spans="1:1" x14ac:dyDescent="0.25">
      <c r="A9441" s="5"/>
    </row>
    <row r="9442" spans="1:1" x14ac:dyDescent="0.25">
      <c r="A9442" s="5"/>
    </row>
    <row r="9443" spans="1:1" x14ac:dyDescent="0.25">
      <c r="A9443" s="5"/>
    </row>
    <row r="9444" spans="1:1" x14ac:dyDescent="0.25">
      <c r="A9444" s="5"/>
    </row>
    <row r="9445" spans="1:1" x14ac:dyDescent="0.25">
      <c r="A9445" s="5"/>
    </row>
    <row r="9446" spans="1:1" x14ac:dyDescent="0.25">
      <c r="A9446" s="5"/>
    </row>
    <row r="9447" spans="1:1" x14ac:dyDescent="0.25">
      <c r="A9447" s="5"/>
    </row>
    <row r="9448" spans="1:1" x14ac:dyDescent="0.25">
      <c r="A9448" s="5"/>
    </row>
    <row r="9449" spans="1:1" x14ac:dyDescent="0.25">
      <c r="A9449" s="5"/>
    </row>
    <row r="9450" spans="1:1" x14ac:dyDescent="0.25">
      <c r="A9450" s="5"/>
    </row>
    <row r="9451" spans="1:1" x14ac:dyDescent="0.25">
      <c r="A9451" s="5"/>
    </row>
    <row r="9452" spans="1:1" x14ac:dyDescent="0.25">
      <c r="A9452" s="5"/>
    </row>
    <row r="9453" spans="1:1" x14ac:dyDescent="0.25">
      <c r="A9453" s="5"/>
    </row>
    <row r="9454" spans="1:1" x14ac:dyDescent="0.25">
      <c r="A9454" s="5"/>
    </row>
    <row r="9455" spans="1:1" x14ac:dyDescent="0.25">
      <c r="A9455" s="5"/>
    </row>
    <row r="9456" spans="1:1" x14ac:dyDescent="0.25">
      <c r="A9456" s="5"/>
    </row>
    <row r="9457" spans="1:1" x14ac:dyDescent="0.25">
      <c r="A9457" s="5"/>
    </row>
    <row r="9458" spans="1:1" x14ac:dyDescent="0.25">
      <c r="A9458" s="5"/>
    </row>
    <row r="9459" spans="1:1" x14ac:dyDescent="0.25">
      <c r="A9459" s="5"/>
    </row>
    <row r="9460" spans="1:1" x14ac:dyDescent="0.25">
      <c r="A9460" s="5"/>
    </row>
    <row r="9461" spans="1:1" x14ac:dyDescent="0.25">
      <c r="A9461" s="5"/>
    </row>
    <row r="9462" spans="1:1" x14ac:dyDescent="0.25">
      <c r="A9462" s="5"/>
    </row>
    <row r="9463" spans="1:1" x14ac:dyDescent="0.25">
      <c r="A9463" s="5"/>
    </row>
    <row r="9464" spans="1:1" x14ac:dyDescent="0.25">
      <c r="A9464" s="5"/>
    </row>
    <row r="9465" spans="1:1" x14ac:dyDescent="0.25">
      <c r="A9465" s="5"/>
    </row>
    <row r="9466" spans="1:1" x14ac:dyDescent="0.25">
      <c r="A9466" s="5"/>
    </row>
    <row r="9467" spans="1:1" x14ac:dyDescent="0.25">
      <c r="A9467" s="5"/>
    </row>
    <row r="9468" spans="1:1" x14ac:dyDescent="0.25">
      <c r="A9468" s="5"/>
    </row>
    <row r="9469" spans="1:1" x14ac:dyDescent="0.25">
      <c r="A9469" s="5"/>
    </row>
    <row r="9470" spans="1:1" x14ac:dyDescent="0.25">
      <c r="A9470" s="5"/>
    </row>
    <row r="9471" spans="1:1" x14ac:dyDescent="0.25">
      <c r="A9471" s="5"/>
    </row>
    <row r="9472" spans="1:1" x14ac:dyDescent="0.25">
      <c r="A9472" s="5"/>
    </row>
    <row r="9473" spans="1:1" x14ac:dyDescent="0.25">
      <c r="A9473" s="5"/>
    </row>
    <row r="9474" spans="1:1" x14ac:dyDescent="0.25">
      <c r="A9474" s="5"/>
    </row>
    <row r="9475" spans="1:1" x14ac:dyDescent="0.25">
      <c r="A9475" s="5"/>
    </row>
    <row r="9476" spans="1:1" x14ac:dyDescent="0.25">
      <c r="A9476" s="5"/>
    </row>
    <row r="9477" spans="1:1" x14ac:dyDescent="0.25">
      <c r="A9477" s="5"/>
    </row>
    <row r="9478" spans="1:1" x14ac:dyDescent="0.25">
      <c r="A9478" s="5"/>
    </row>
    <row r="9479" spans="1:1" x14ac:dyDescent="0.25">
      <c r="A9479" s="5"/>
    </row>
    <row r="9480" spans="1:1" x14ac:dyDescent="0.25">
      <c r="A9480" s="5"/>
    </row>
    <row r="9481" spans="1:1" x14ac:dyDescent="0.25">
      <c r="A9481" s="5"/>
    </row>
    <row r="9482" spans="1:1" x14ac:dyDescent="0.25">
      <c r="A9482" s="5"/>
    </row>
    <row r="9483" spans="1:1" x14ac:dyDescent="0.25">
      <c r="A9483" s="5"/>
    </row>
    <row r="9484" spans="1:1" x14ac:dyDescent="0.25">
      <c r="A9484" s="5"/>
    </row>
    <row r="9485" spans="1:1" x14ac:dyDescent="0.25">
      <c r="A9485" s="5"/>
    </row>
    <row r="9486" spans="1:1" x14ac:dyDescent="0.25">
      <c r="A9486" s="5"/>
    </row>
    <row r="9487" spans="1:1" x14ac:dyDescent="0.25">
      <c r="A9487" s="5"/>
    </row>
    <row r="9488" spans="1:1" x14ac:dyDescent="0.25">
      <c r="A9488" s="5"/>
    </row>
    <row r="9489" spans="1:1" x14ac:dyDescent="0.25">
      <c r="A9489" s="5"/>
    </row>
    <row r="9490" spans="1:1" x14ac:dyDescent="0.25">
      <c r="A9490" s="5"/>
    </row>
    <row r="9491" spans="1:1" x14ac:dyDescent="0.25">
      <c r="A9491" s="5"/>
    </row>
    <row r="9492" spans="1:1" x14ac:dyDescent="0.25">
      <c r="A9492" s="5"/>
    </row>
    <row r="9493" spans="1:1" x14ac:dyDescent="0.25">
      <c r="A9493" s="5"/>
    </row>
    <row r="9494" spans="1:1" x14ac:dyDescent="0.25">
      <c r="A9494" s="5"/>
    </row>
    <row r="9495" spans="1:1" x14ac:dyDescent="0.25">
      <c r="A9495" s="5"/>
    </row>
    <row r="9496" spans="1:1" x14ac:dyDescent="0.25">
      <c r="A9496" s="5"/>
    </row>
    <row r="9497" spans="1:1" x14ac:dyDescent="0.25">
      <c r="A9497" s="5"/>
    </row>
    <row r="9498" spans="1:1" x14ac:dyDescent="0.25">
      <c r="A9498" s="5"/>
    </row>
    <row r="9499" spans="1:1" x14ac:dyDescent="0.25">
      <c r="A9499" s="5"/>
    </row>
    <row r="9500" spans="1:1" x14ac:dyDescent="0.25">
      <c r="A9500" s="5"/>
    </row>
    <row r="9501" spans="1:1" x14ac:dyDescent="0.25">
      <c r="A9501" s="5"/>
    </row>
    <row r="9502" spans="1:1" x14ac:dyDescent="0.25">
      <c r="A9502" s="5"/>
    </row>
    <row r="9503" spans="1:1" x14ac:dyDescent="0.25">
      <c r="A9503" s="5"/>
    </row>
    <row r="9504" spans="1:1" x14ac:dyDescent="0.25">
      <c r="A9504" s="5"/>
    </row>
    <row r="9505" spans="1:1" x14ac:dyDescent="0.25">
      <c r="A9505" s="5"/>
    </row>
    <row r="9506" spans="1:1" x14ac:dyDescent="0.25">
      <c r="A9506" s="5"/>
    </row>
    <row r="9507" spans="1:1" x14ac:dyDescent="0.25">
      <c r="A9507" s="5"/>
    </row>
    <row r="9508" spans="1:1" x14ac:dyDescent="0.25">
      <c r="A9508" s="5"/>
    </row>
    <row r="9509" spans="1:1" x14ac:dyDescent="0.25">
      <c r="A9509" s="5"/>
    </row>
    <row r="9510" spans="1:1" x14ac:dyDescent="0.25">
      <c r="A9510" s="5"/>
    </row>
    <row r="9511" spans="1:1" x14ac:dyDescent="0.25">
      <c r="A9511" s="5"/>
    </row>
    <row r="9512" spans="1:1" x14ac:dyDescent="0.25">
      <c r="A9512" s="5"/>
    </row>
    <row r="9513" spans="1:1" x14ac:dyDescent="0.25">
      <c r="A9513" s="5"/>
    </row>
    <row r="9514" spans="1:1" x14ac:dyDescent="0.25">
      <c r="A9514" s="5"/>
    </row>
    <row r="9515" spans="1:1" x14ac:dyDescent="0.25">
      <c r="A9515" s="5"/>
    </row>
    <row r="9516" spans="1:1" x14ac:dyDescent="0.25">
      <c r="A9516" s="5"/>
    </row>
    <row r="9517" spans="1:1" x14ac:dyDescent="0.25">
      <c r="A9517" s="5"/>
    </row>
    <row r="9518" spans="1:1" x14ac:dyDescent="0.25">
      <c r="A9518" s="5"/>
    </row>
    <row r="9519" spans="1:1" x14ac:dyDescent="0.25">
      <c r="A9519" s="5"/>
    </row>
    <row r="9520" spans="1:1" x14ac:dyDescent="0.25">
      <c r="A9520" s="5"/>
    </row>
    <row r="9521" spans="1:1" x14ac:dyDescent="0.25">
      <c r="A9521" s="5"/>
    </row>
    <row r="9522" spans="1:1" x14ac:dyDescent="0.25">
      <c r="A9522" s="5"/>
    </row>
    <row r="9523" spans="1:1" x14ac:dyDescent="0.25">
      <c r="A9523" s="5"/>
    </row>
    <row r="9524" spans="1:1" x14ac:dyDescent="0.25">
      <c r="A9524" s="5"/>
    </row>
    <row r="9525" spans="1:1" x14ac:dyDescent="0.25">
      <c r="A9525" s="5"/>
    </row>
    <row r="9526" spans="1:1" x14ac:dyDescent="0.25">
      <c r="A9526" s="5"/>
    </row>
    <row r="9527" spans="1:1" x14ac:dyDescent="0.25">
      <c r="A9527" s="5"/>
    </row>
    <row r="9528" spans="1:1" x14ac:dyDescent="0.25">
      <c r="A9528" s="5"/>
    </row>
    <row r="9529" spans="1:1" x14ac:dyDescent="0.25">
      <c r="A9529" s="5"/>
    </row>
    <row r="9530" spans="1:1" x14ac:dyDescent="0.25">
      <c r="A9530" s="5"/>
    </row>
    <row r="9531" spans="1:1" x14ac:dyDescent="0.25">
      <c r="A9531" s="5"/>
    </row>
    <row r="9532" spans="1:1" x14ac:dyDescent="0.25">
      <c r="A9532" s="5"/>
    </row>
    <row r="9533" spans="1:1" x14ac:dyDescent="0.25">
      <c r="A9533" s="5"/>
    </row>
    <row r="9534" spans="1:1" x14ac:dyDescent="0.25">
      <c r="A9534" s="5"/>
    </row>
    <row r="9535" spans="1:1" x14ac:dyDescent="0.25">
      <c r="A9535" s="5"/>
    </row>
    <row r="9536" spans="1:1" x14ac:dyDescent="0.25">
      <c r="A9536" s="5"/>
    </row>
    <row r="9537" spans="1:1" x14ac:dyDescent="0.25">
      <c r="A9537" s="5"/>
    </row>
    <row r="9538" spans="1:1" x14ac:dyDescent="0.25">
      <c r="A9538" s="5"/>
    </row>
    <row r="9539" spans="1:1" x14ac:dyDescent="0.25">
      <c r="A9539" s="5"/>
    </row>
    <row r="9540" spans="1:1" x14ac:dyDescent="0.25">
      <c r="A9540" s="5"/>
    </row>
    <row r="9541" spans="1:1" x14ac:dyDescent="0.25">
      <c r="A9541" s="5"/>
    </row>
    <row r="9542" spans="1:1" x14ac:dyDescent="0.25">
      <c r="A9542" s="5"/>
    </row>
    <row r="9543" spans="1:1" x14ac:dyDescent="0.25">
      <c r="A9543" s="5"/>
    </row>
    <row r="9544" spans="1:1" x14ac:dyDescent="0.25">
      <c r="A9544" s="5"/>
    </row>
    <row r="9545" spans="1:1" x14ac:dyDescent="0.25">
      <c r="A9545" s="5"/>
    </row>
    <row r="9546" spans="1:1" x14ac:dyDescent="0.25">
      <c r="A9546" s="5"/>
    </row>
    <row r="9547" spans="1:1" x14ac:dyDescent="0.25">
      <c r="A9547" s="5"/>
    </row>
    <row r="9548" spans="1:1" x14ac:dyDescent="0.25">
      <c r="A9548" s="5"/>
    </row>
    <row r="9549" spans="1:1" x14ac:dyDescent="0.25">
      <c r="A9549" s="5"/>
    </row>
    <row r="9550" spans="1:1" x14ac:dyDescent="0.25">
      <c r="A9550" s="5"/>
    </row>
    <row r="9551" spans="1:1" x14ac:dyDescent="0.25">
      <c r="A9551" s="5"/>
    </row>
    <row r="9552" spans="1:1" x14ac:dyDescent="0.25">
      <c r="A9552" s="5"/>
    </row>
    <row r="9553" spans="1:1" x14ac:dyDescent="0.25">
      <c r="A9553" s="5"/>
    </row>
    <row r="9554" spans="1:1" x14ac:dyDescent="0.25">
      <c r="A9554" s="5"/>
    </row>
    <row r="9555" spans="1:1" x14ac:dyDescent="0.25">
      <c r="A9555" s="5"/>
    </row>
    <row r="9556" spans="1:1" x14ac:dyDescent="0.25">
      <c r="A9556" s="5"/>
    </row>
    <row r="9557" spans="1:1" x14ac:dyDescent="0.25">
      <c r="A9557" s="5"/>
    </row>
    <row r="9558" spans="1:1" x14ac:dyDescent="0.25">
      <c r="A9558" s="5"/>
    </row>
    <row r="9559" spans="1:1" x14ac:dyDescent="0.25">
      <c r="A9559" s="5"/>
    </row>
    <row r="9560" spans="1:1" x14ac:dyDescent="0.25">
      <c r="A9560" s="5"/>
    </row>
    <row r="9561" spans="1:1" x14ac:dyDescent="0.25">
      <c r="A9561" s="5"/>
    </row>
    <row r="9562" spans="1:1" x14ac:dyDescent="0.25">
      <c r="A9562" s="5"/>
    </row>
    <row r="9563" spans="1:1" x14ac:dyDescent="0.25">
      <c r="A9563" s="5"/>
    </row>
    <row r="9564" spans="1:1" x14ac:dyDescent="0.25">
      <c r="A9564" s="5"/>
    </row>
    <row r="9565" spans="1:1" x14ac:dyDescent="0.25">
      <c r="A9565" s="5"/>
    </row>
    <row r="9566" spans="1:1" x14ac:dyDescent="0.25">
      <c r="A9566" s="5"/>
    </row>
    <row r="9567" spans="1:1" x14ac:dyDescent="0.25">
      <c r="A9567" s="5"/>
    </row>
    <row r="9568" spans="1:1" x14ac:dyDescent="0.25">
      <c r="A9568" s="5"/>
    </row>
    <row r="9569" spans="1:1" x14ac:dyDescent="0.25">
      <c r="A9569" s="5"/>
    </row>
    <row r="9570" spans="1:1" x14ac:dyDescent="0.25">
      <c r="A9570" s="5"/>
    </row>
    <row r="9571" spans="1:1" x14ac:dyDescent="0.25">
      <c r="A9571" s="5"/>
    </row>
    <row r="9572" spans="1:1" x14ac:dyDescent="0.25">
      <c r="A9572" s="5"/>
    </row>
    <row r="9573" spans="1:1" x14ac:dyDescent="0.25">
      <c r="A9573" s="5"/>
    </row>
    <row r="9574" spans="1:1" x14ac:dyDescent="0.25">
      <c r="A9574" s="5"/>
    </row>
    <row r="9575" spans="1:1" x14ac:dyDescent="0.25">
      <c r="A9575" s="5"/>
    </row>
    <row r="9576" spans="1:1" x14ac:dyDescent="0.25">
      <c r="A9576" s="5"/>
    </row>
    <row r="9577" spans="1:1" x14ac:dyDescent="0.25">
      <c r="A9577" s="5"/>
    </row>
    <row r="9578" spans="1:1" x14ac:dyDescent="0.25">
      <c r="A9578" s="5"/>
    </row>
    <row r="9579" spans="1:1" x14ac:dyDescent="0.25">
      <c r="A9579" s="5"/>
    </row>
    <row r="9580" spans="1:1" x14ac:dyDescent="0.25">
      <c r="A9580" s="5"/>
    </row>
    <row r="9581" spans="1:1" x14ac:dyDescent="0.25">
      <c r="A9581" s="5"/>
    </row>
    <row r="9582" spans="1:1" x14ac:dyDescent="0.25">
      <c r="A9582" s="5"/>
    </row>
    <row r="9583" spans="1:1" x14ac:dyDescent="0.25">
      <c r="A9583" s="5"/>
    </row>
    <row r="9584" spans="1:1" x14ac:dyDescent="0.25">
      <c r="A9584" s="5"/>
    </row>
    <row r="9585" spans="1:1" x14ac:dyDescent="0.25">
      <c r="A9585" s="5"/>
    </row>
    <row r="9586" spans="1:1" x14ac:dyDescent="0.25">
      <c r="A9586" s="5"/>
    </row>
    <row r="9587" spans="1:1" x14ac:dyDescent="0.25">
      <c r="A9587" s="5"/>
    </row>
    <row r="9588" spans="1:1" x14ac:dyDescent="0.25">
      <c r="A9588" s="5"/>
    </row>
    <row r="9589" spans="1:1" x14ac:dyDescent="0.25">
      <c r="A9589" s="5"/>
    </row>
    <row r="9590" spans="1:1" x14ac:dyDescent="0.25">
      <c r="A9590" s="5"/>
    </row>
    <row r="9591" spans="1:1" x14ac:dyDescent="0.25">
      <c r="A9591" s="5"/>
    </row>
    <row r="9592" spans="1:1" x14ac:dyDescent="0.25">
      <c r="A9592" s="5"/>
    </row>
    <row r="9593" spans="1:1" x14ac:dyDescent="0.25">
      <c r="A9593" s="5"/>
    </row>
    <row r="9594" spans="1:1" x14ac:dyDescent="0.25">
      <c r="A9594" s="5"/>
    </row>
    <row r="9595" spans="1:1" x14ac:dyDescent="0.25">
      <c r="A9595" s="5"/>
    </row>
    <row r="9596" spans="1:1" x14ac:dyDescent="0.25">
      <c r="A9596" s="5"/>
    </row>
    <row r="9597" spans="1:1" x14ac:dyDescent="0.25">
      <c r="A9597" s="5"/>
    </row>
    <row r="9598" spans="1:1" x14ac:dyDescent="0.25">
      <c r="A9598" s="5"/>
    </row>
    <row r="9599" spans="1:1" x14ac:dyDescent="0.25">
      <c r="A9599" s="5"/>
    </row>
    <row r="9600" spans="1:1" x14ac:dyDescent="0.25">
      <c r="A9600" s="5"/>
    </row>
    <row r="9601" spans="1:1" x14ac:dyDescent="0.25">
      <c r="A9601" s="5"/>
    </row>
    <row r="9602" spans="1:1" x14ac:dyDescent="0.25">
      <c r="A9602" s="5"/>
    </row>
    <row r="9603" spans="1:1" x14ac:dyDescent="0.25">
      <c r="A9603" s="5"/>
    </row>
    <row r="9604" spans="1:1" x14ac:dyDescent="0.25">
      <c r="A9604" s="5"/>
    </row>
    <row r="9605" spans="1:1" x14ac:dyDescent="0.25">
      <c r="A9605" s="5"/>
    </row>
    <row r="9606" spans="1:1" x14ac:dyDescent="0.25">
      <c r="A9606" s="5"/>
    </row>
    <row r="9607" spans="1:1" x14ac:dyDescent="0.25">
      <c r="A9607" s="5"/>
    </row>
    <row r="9608" spans="1:1" x14ac:dyDescent="0.25">
      <c r="A9608" s="5"/>
    </row>
    <row r="9609" spans="1:1" x14ac:dyDescent="0.25">
      <c r="A9609" s="5"/>
    </row>
    <row r="9610" spans="1:1" x14ac:dyDescent="0.25">
      <c r="A9610" s="5"/>
    </row>
    <row r="9611" spans="1:1" x14ac:dyDescent="0.25">
      <c r="A9611" s="5"/>
    </row>
    <row r="9612" spans="1:1" x14ac:dyDescent="0.25">
      <c r="A9612" s="5"/>
    </row>
    <row r="9613" spans="1:1" x14ac:dyDescent="0.25">
      <c r="A9613" s="5"/>
    </row>
    <row r="9614" spans="1:1" x14ac:dyDescent="0.25">
      <c r="A9614" s="5"/>
    </row>
    <row r="9615" spans="1:1" x14ac:dyDescent="0.25">
      <c r="A9615" s="5"/>
    </row>
    <row r="9616" spans="1:1" x14ac:dyDescent="0.25">
      <c r="A9616" s="5"/>
    </row>
    <row r="9617" spans="1:1" x14ac:dyDescent="0.25">
      <c r="A9617" s="5"/>
    </row>
    <row r="9618" spans="1:1" x14ac:dyDescent="0.25">
      <c r="A9618" s="5"/>
    </row>
    <row r="9619" spans="1:1" x14ac:dyDescent="0.25">
      <c r="A9619" s="5"/>
    </row>
    <row r="9620" spans="1:1" x14ac:dyDescent="0.25">
      <c r="A9620" s="5"/>
    </row>
    <row r="9621" spans="1:1" x14ac:dyDescent="0.25">
      <c r="A9621" s="5"/>
    </row>
    <row r="9622" spans="1:1" x14ac:dyDescent="0.25">
      <c r="A9622" s="5"/>
    </row>
    <row r="9623" spans="1:1" x14ac:dyDescent="0.25">
      <c r="A9623" s="5"/>
    </row>
    <row r="9624" spans="1:1" x14ac:dyDescent="0.25">
      <c r="A9624" s="5"/>
    </row>
    <row r="9625" spans="1:1" x14ac:dyDescent="0.25">
      <c r="A9625" s="5"/>
    </row>
    <row r="9626" spans="1:1" x14ac:dyDescent="0.25">
      <c r="A9626" s="5"/>
    </row>
    <row r="9627" spans="1:1" x14ac:dyDescent="0.25">
      <c r="A9627" s="5"/>
    </row>
    <row r="9628" spans="1:1" x14ac:dyDescent="0.25">
      <c r="A9628" s="5"/>
    </row>
    <row r="9629" spans="1:1" x14ac:dyDescent="0.25">
      <c r="A9629" s="5"/>
    </row>
    <row r="9630" spans="1:1" x14ac:dyDescent="0.25">
      <c r="A9630" s="5"/>
    </row>
    <row r="9631" spans="1:1" x14ac:dyDescent="0.25">
      <c r="A9631" s="5"/>
    </row>
    <row r="9632" spans="1:1" x14ac:dyDescent="0.25">
      <c r="A9632" s="5"/>
    </row>
    <row r="9633" spans="1:1" x14ac:dyDescent="0.25">
      <c r="A9633" s="5"/>
    </row>
    <row r="9634" spans="1:1" x14ac:dyDescent="0.25">
      <c r="A9634" s="5"/>
    </row>
    <row r="9635" spans="1:1" x14ac:dyDescent="0.25">
      <c r="A9635" s="5"/>
    </row>
    <row r="9636" spans="1:1" x14ac:dyDescent="0.25">
      <c r="A9636" s="5"/>
    </row>
    <row r="9637" spans="1:1" x14ac:dyDescent="0.25">
      <c r="A9637" s="5"/>
    </row>
    <row r="9638" spans="1:1" x14ac:dyDescent="0.25">
      <c r="A9638" s="5"/>
    </row>
    <row r="9639" spans="1:1" x14ac:dyDescent="0.25">
      <c r="A9639" s="5"/>
    </row>
    <row r="9640" spans="1:1" x14ac:dyDescent="0.25">
      <c r="A9640" s="5"/>
    </row>
    <row r="9641" spans="1:1" x14ac:dyDescent="0.25">
      <c r="A9641" s="5"/>
    </row>
    <row r="9642" spans="1:1" x14ac:dyDescent="0.25">
      <c r="A9642" s="5"/>
    </row>
    <row r="9643" spans="1:1" x14ac:dyDescent="0.25">
      <c r="A9643" s="5"/>
    </row>
    <row r="9644" spans="1:1" x14ac:dyDescent="0.25">
      <c r="A9644" s="5"/>
    </row>
    <row r="9645" spans="1:1" x14ac:dyDescent="0.25">
      <c r="A9645" s="5"/>
    </row>
    <row r="9646" spans="1:1" x14ac:dyDescent="0.25">
      <c r="A9646" s="5"/>
    </row>
    <row r="9647" spans="1:1" x14ac:dyDescent="0.25">
      <c r="A9647" s="5"/>
    </row>
    <row r="9648" spans="1:1" x14ac:dyDescent="0.25">
      <c r="A9648" s="5"/>
    </row>
    <row r="9649" spans="1:1" x14ac:dyDescent="0.25">
      <c r="A9649" s="5"/>
    </row>
    <row r="9650" spans="1:1" x14ac:dyDescent="0.25">
      <c r="A9650" s="5"/>
    </row>
    <row r="9651" spans="1:1" x14ac:dyDescent="0.25">
      <c r="A9651" s="5"/>
    </row>
    <row r="9652" spans="1:1" x14ac:dyDescent="0.25">
      <c r="A9652" s="5"/>
    </row>
    <row r="9653" spans="1:1" x14ac:dyDescent="0.25">
      <c r="A9653" s="5"/>
    </row>
    <row r="9654" spans="1:1" x14ac:dyDescent="0.25">
      <c r="A9654" s="5"/>
    </row>
    <row r="9655" spans="1:1" x14ac:dyDescent="0.25">
      <c r="A9655" s="5"/>
    </row>
    <row r="9656" spans="1:1" x14ac:dyDescent="0.25">
      <c r="A9656" s="5"/>
    </row>
    <row r="9657" spans="1:1" x14ac:dyDescent="0.25">
      <c r="A9657" s="5"/>
    </row>
    <row r="9658" spans="1:1" x14ac:dyDescent="0.25">
      <c r="A9658" s="5"/>
    </row>
    <row r="9659" spans="1:1" x14ac:dyDescent="0.25">
      <c r="A9659" s="5"/>
    </row>
    <row r="9660" spans="1:1" x14ac:dyDescent="0.25">
      <c r="A9660" s="5"/>
    </row>
    <row r="9661" spans="1:1" x14ac:dyDescent="0.25">
      <c r="A9661" s="5"/>
    </row>
    <row r="9662" spans="1:1" x14ac:dyDescent="0.25">
      <c r="A9662" s="5"/>
    </row>
    <row r="9663" spans="1:1" x14ac:dyDescent="0.25">
      <c r="A9663" s="5"/>
    </row>
    <row r="9664" spans="1:1" x14ac:dyDescent="0.25">
      <c r="A9664" s="5"/>
    </row>
    <row r="9665" spans="1:1" x14ac:dyDescent="0.25">
      <c r="A9665" s="5"/>
    </row>
    <row r="9666" spans="1:1" x14ac:dyDescent="0.25">
      <c r="A9666" s="5"/>
    </row>
    <row r="9667" spans="1:1" x14ac:dyDescent="0.25">
      <c r="A9667" s="5"/>
    </row>
    <row r="9668" spans="1:1" x14ac:dyDescent="0.25">
      <c r="A9668" s="5"/>
    </row>
    <row r="9669" spans="1:1" x14ac:dyDescent="0.25">
      <c r="A9669" s="5"/>
    </row>
    <row r="9670" spans="1:1" x14ac:dyDescent="0.25">
      <c r="A9670" s="5"/>
    </row>
    <row r="9671" spans="1:1" x14ac:dyDescent="0.25">
      <c r="A9671" s="5"/>
    </row>
    <row r="9672" spans="1:1" x14ac:dyDescent="0.25">
      <c r="A9672" s="5"/>
    </row>
    <row r="9673" spans="1:1" x14ac:dyDescent="0.25">
      <c r="A9673" s="5"/>
    </row>
    <row r="9674" spans="1:1" x14ac:dyDescent="0.25">
      <c r="A9674" s="5"/>
    </row>
    <row r="9675" spans="1:1" x14ac:dyDescent="0.25">
      <c r="A9675" s="5"/>
    </row>
    <row r="9676" spans="1:1" x14ac:dyDescent="0.25">
      <c r="A9676" s="5"/>
    </row>
    <row r="9677" spans="1:1" x14ac:dyDescent="0.25">
      <c r="A9677" s="5"/>
    </row>
    <row r="9678" spans="1:1" x14ac:dyDescent="0.25">
      <c r="A9678" s="5"/>
    </row>
    <row r="9679" spans="1:1" x14ac:dyDescent="0.25">
      <c r="A9679" s="5"/>
    </row>
    <row r="9680" spans="1:1" x14ac:dyDescent="0.25">
      <c r="A9680" s="5"/>
    </row>
    <row r="9681" spans="1:1" x14ac:dyDescent="0.25">
      <c r="A9681" s="5"/>
    </row>
    <row r="9682" spans="1:1" x14ac:dyDescent="0.25">
      <c r="A9682" s="5"/>
    </row>
    <row r="9683" spans="1:1" x14ac:dyDescent="0.25">
      <c r="A9683" s="5"/>
    </row>
    <row r="9684" spans="1:1" x14ac:dyDescent="0.25">
      <c r="A9684" s="5"/>
    </row>
    <row r="9685" spans="1:1" x14ac:dyDescent="0.25">
      <c r="A9685" s="5"/>
    </row>
    <row r="9686" spans="1:1" x14ac:dyDescent="0.25">
      <c r="A9686" s="5"/>
    </row>
    <row r="9687" spans="1:1" x14ac:dyDescent="0.25">
      <c r="A9687" s="5"/>
    </row>
    <row r="9688" spans="1:1" x14ac:dyDescent="0.25">
      <c r="A9688" s="5"/>
    </row>
    <row r="9689" spans="1:1" x14ac:dyDescent="0.25">
      <c r="A9689" s="5"/>
    </row>
    <row r="9690" spans="1:1" x14ac:dyDescent="0.25">
      <c r="A9690" s="5"/>
    </row>
    <row r="9691" spans="1:1" x14ac:dyDescent="0.25">
      <c r="A9691" s="5"/>
    </row>
    <row r="9692" spans="1:1" x14ac:dyDescent="0.25">
      <c r="A9692" s="5"/>
    </row>
    <row r="9693" spans="1:1" x14ac:dyDescent="0.25">
      <c r="A9693" s="5"/>
    </row>
    <row r="9694" spans="1:1" x14ac:dyDescent="0.25">
      <c r="A9694" s="5"/>
    </row>
    <row r="9695" spans="1:1" x14ac:dyDescent="0.25">
      <c r="A9695" s="5"/>
    </row>
    <row r="9696" spans="1:1" x14ac:dyDescent="0.25">
      <c r="A9696" s="5"/>
    </row>
    <row r="9697" spans="1:1" x14ac:dyDescent="0.25">
      <c r="A9697" s="5"/>
    </row>
    <row r="9698" spans="1:1" x14ac:dyDescent="0.25">
      <c r="A9698" s="5"/>
    </row>
    <row r="9699" spans="1:1" x14ac:dyDescent="0.25">
      <c r="A9699" s="5"/>
    </row>
    <row r="9700" spans="1:1" x14ac:dyDescent="0.25">
      <c r="A9700" s="5"/>
    </row>
    <row r="9701" spans="1:1" x14ac:dyDescent="0.25">
      <c r="A9701" s="5"/>
    </row>
    <row r="9702" spans="1:1" x14ac:dyDescent="0.25">
      <c r="A9702" s="5"/>
    </row>
    <row r="9703" spans="1:1" x14ac:dyDescent="0.25">
      <c r="A9703" s="5"/>
    </row>
    <row r="9704" spans="1:1" x14ac:dyDescent="0.25">
      <c r="A9704" s="5"/>
    </row>
    <row r="9705" spans="1:1" x14ac:dyDescent="0.25">
      <c r="A9705" s="5"/>
    </row>
    <row r="9706" spans="1:1" x14ac:dyDescent="0.25">
      <c r="A9706" s="5"/>
    </row>
    <row r="9707" spans="1:1" x14ac:dyDescent="0.25">
      <c r="A9707" s="5"/>
    </row>
    <row r="9708" spans="1:1" x14ac:dyDescent="0.25">
      <c r="A9708" s="5"/>
    </row>
    <row r="9709" spans="1:1" x14ac:dyDescent="0.25">
      <c r="A9709" s="5"/>
    </row>
    <row r="9710" spans="1:1" x14ac:dyDescent="0.25">
      <c r="A9710" s="5"/>
    </row>
    <row r="9711" spans="1:1" x14ac:dyDescent="0.25">
      <c r="A9711" s="5"/>
    </row>
    <row r="9712" spans="1:1" x14ac:dyDescent="0.25">
      <c r="A9712" s="5"/>
    </row>
    <row r="9713" spans="1:1" x14ac:dyDescent="0.25">
      <c r="A9713" s="5"/>
    </row>
    <row r="9714" spans="1:1" x14ac:dyDescent="0.25">
      <c r="A9714" s="5"/>
    </row>
    <row r="9715" spans="1:1" x14ac:dyDescent="0.25">
      <c r="A9715" s="5"/>
    </row>
    <row r="9716" spans="1:1" x14ac:dyDescent="0.25">
      <c r="A9716" s="5"/>
    </row>
    <row r="9717" spans="1:1" x14ac:dyDescent="0.25">
      <c r="A9717" s="5"/>
    </row>
    <row r="9718" spans="1:1" x14ac:dyDescent="0.25">
      <c r="A9718" s="5"/>
    </row>
    <row r="9719" spans="1:1" x14ac:dyDescent="0.25">
      <c r="A9719" s="5"/>
    </row>
    <row r="9720" spans="1:1" x14ac:dyDescent="0.25">
      <c r="A9720" s="5"/>
    </row>
    <row r="9721" spans="1:1" x14ac:dyDescent="0.25">
      <c r="A9721" s="5"/>
    </row>
    <row r="9722" spans="1:1" x14ac:dyDescent="0.25">
      <c r="A9722" s="5"/>
    </row>
    <row r="9723" spans="1:1" x14ac:dyDescent="0.25">
      <c r="A9723" s="5"/>
    </row>
    <row r="9724" spans="1:1" x14ac:dyDescent="0.25">
      <c r="A9724" s="5"/>
    </row>
    <row r="9725" spans="1:1" x14ac:dyDescent="0.25">
      <c r="A9725" s="5"/>
    </row>
    <row r="9726" spans="1:1" x14ac:dyDescent="0.25">
      <c r="A9726" s="5"/>
    </row>
    <row r="9727" spans="1:1" x14ac:dyDescent="0.25">
      <c r="A9727" s="5"/>
    </row>
    <row r="9728" spans="1:1" x14ac:dyDescent="0.25">
      <c r="A9728" s="5"/>
    </row>
    <row r="9729" spans="1:1" x14ac:dyDescent="0.25">
      <c r="A9729" s="5"/>
    </row>
    <row r="9730" spans="1:1" x14ac:dyDescent="0.25">
      <c r="A9730" s="5"/>
    </row>
    <row r="9731" spans="1:1" x14ac:dyDescent="0.25">
      <c r="A9731" s="5"/>
    </row>
    <row r="9732" spans="1:1" x14ac:dyDescent="0.25">
      <c r="A9732" s="5"/>
    </row>
    <row r="9733" spans="1:1" x14ac:dyDescent="0.25">
      <c r="A9733" s="5"/>
    </row>
    <row r="9734" spans="1:1" x14ac:dyDescent="0.25">
      <c r="A9734" s="5"/>
    </row>
    <row r="9735" spans="1:1" x14ac:dyDescent="0.25">
      <c r="A9735" s="5"/>
    </row>
    <row r="9736" spans="1:1" x14ac:dyDescent="0.25">
      <c r="A9736" s="5"/>
    </row>
    <row r="9737" spans="1:1" x14ac:dyDescent="0.25">
      <c r="A9737" s="5"/>
    </row>
    <row r="9738" spans="1:1" x14ac:dyDescent="0.25">
      <c r="A9738" s="5"/>
    </row>
    <row r="9739" spans="1:1" x14ac:dyDescent="0.25">
      <c r="A9739" s="5"/>
    </row>
    <row r="9740" spans="1:1" x14ac:dyDescent="0.25">
      <c r="A9740" s="5"/>
    </row>
    <row r="9741" spans="1:1" x14ac:dyDescent="0.25">
      <c r="A9741" s="5"/>
    </row>
    <row r="9742" spans="1:1" x14ac:dyDescent="0.25">
      <c r="A9742" s="5"/>
    </row>
    <row r="9743" spans="1:1" x14ac:dyDescent="0.25">
      <c r="A9743" s="5"/>
    </row>
    <row r="9744" spans="1:1" x14ac:dyDescent="0.25">
      <c r="A9744" s="5"/>
    </row>
    <row r="9745" spans="1:1" x14ac:dyDescent="0.25">
      <c r="A9745" s="5"/>
    </row>
    <row r="9746" spans="1:1" x14ac:dyDescent="0.25">
      <c r="A9746" s="5"/>
    </row>
    <row r="9747" spans="1:1" x14ac:dyDescent="0.25">
      <c r="A9747" s="5"/>
    </row>
    <row r="9748" spans="1:1" x14ac:dyDescent="0.25">
      <c r="A9748" s="5"/>
    </row>
    <row r="9749" spans="1:1" x14ac:dyDescent="0.25">
      <c r="A9749" s="5"/>
    </row>
    <row r="9750" spans="1:1" x14ac:dyDescent="0.25">
      <c r="A9750" s="5"/>
    </row>
    <row r="9751" spans="1:1" x14ac:dyDescent="0.25">
      <c r="A9751" s="5"/>
    </row>
    <row r="9752" spans="1:1" x14ac:dyDescent="0.25">
      <c r="A9752" s="5"/>
    </row>
    <row r="9753" spans="1:1" x14ac:dyDescent="0.25">
      <c r="A9753" s="5"/>
    </row>
    <row r="9754" spans="1:1" x14ac:dyDescent="0.25">
      <c r="A9754" s="5"/>
    </row>
    <row r="9755" spans="1:1" x14ac:dyDescent="0.25">
      <c r="A9755" s="5"/>
    </row>
    <row r="9756" spans="1:1" x14ac:dyDescent="0.25">
      <c r="A9756" s="5"/>
    </row>
    <row r="9757" spans="1:1" x14ac:dyDescent="0.25">
      <c r="A9757" s="5"/>
    </row>
    <row r="9758" spans="1:1" x14ac:dyDescent="0.25">
      <c r="A9758" s="5"/>
    </row>
    <row r="9759" spans="1:1" x14ac:dyDescent="0.25">
      <c r="A9759" s="5"/>
    </row>
    <row r="9760" spans="1:1" x14ac:dyDescent="0.25">
      <c r="A9760" s="5"/>
    </row>
    <row r="9761" spans="1:1" x14ac:dyDescent="0.25">
      <c r="A9761" s="5"/>
    </row>
    <row r="9762" spans="1:1" x14ac:dyDescent="0.25">
      <c r="A9762" s="5"/>
    </row>
    <row r="9763" spans="1:1" x14ac:dyDescent="0.25">
      <c r="A9763" s="5"/>
    </row>
    <row r="9764" spans="1:1" x14ac:dyDescent="0.25">
      <c r="A9764" s="5"/>
    </row>
    <row r="9765" spans="1:1" x14ac:dyDescent="0.25">
      <c r="A9765" s="5"/>
    </row>
    <row r="9766" spans="1:1" x14ac:dyDescent="0.25">
      <c r="A9766" s="5"/>
    </row>
    <row r="9767" spans="1:1" x14ac:dyDescent="0.25">
      <c r="A9767" s="5"/>
    </row>
    <row r="9768" spans="1:1" x14ac:dyDescent="0.25">
      <c r="A9768" s="5"/>
    </row>
    <row r="9769" spans="1:1" x14ac:dyDescent="0.25">
      <c r="A9769" s="5"/>
    </row>
    <row r="9770" spans="1:1" x14ac:dyDescent="0.25">
      <c r="A9770" s="5"/>
    </row>
    <row r="9771" spans="1:1" x14ac:dyDescent="0.25">
      <c r="A9771" s="5"/>
    </row>
    <row r="9772" spans="1:1" x14ac:dyDescent="0.25">
      <c r="A9772" s="5"/>
    </row>
    <row r="9773" spans="1:1" x14ac:dyDescent="0.25">
      <c r="A9773" s="5"/>
    </row>
    <row r="9774" spans="1:1" x14ac:dyDescent="0.25">
      <c r="A9774" s="5"/>
    </row>
    <row r="9775" spans="1:1" x14ac:dyDescent="0.25">
      <c r="A9775" s="5"/>
    </row>
    <row r="9776" spans="1:1" x14ac:dyDescent="0.25">
      <c r="A9776" s="5"/>
    </row>
    <row r="9777" spans="1:1" x14ac:dyDescent="0.25">
      <c r="A9777" s="5"/>
    </row>
    <row r="9778" spans="1:1" x14ac:dyDescent="0.25">
      <c r="A9778" s="5"/>
    </row>
    <row r="9779" spans="1:1" x14ac:dyDescent="0.25">
      <c r="A9779" s="5"/>
    </row>
    <row r="9780" spans="1:1" x14ac:dyDescent="0.25">
      <c r="A9780" s="5"/>
    </row>
    <row r="9781" spans="1:1" x14ac:dyDescent="0.25">
      <c r="A9781" s="5"/>
    </row>
    <row r="9782" spans="1:1" x14ac:dyDescent="0.25">
      <c r="A9782" s="5"/>
    </row>
    <row r="9783" spans="1:1" x14ac:dyDescent="0.25">
      <c r="A9783" s="5"/>
    </row>
    <row r="9784" spans="1:1" x14ac:dyDescent="0.25">
      <c r="A9784" s="5"/>
    </row>
    <row r="9785" spans="1:1" x14ac:dyDescent="0.25">
      <c r="A9785" s="5"/>
    </row>
    <row r="9786" spans="1:1" x14ac:dyDescent="0.25">
      <c r="A9786" s="5"/>
    </row>
    <row r="9787" spans="1:1" x14ac:dyDescent="0.25">
      <c r="A9787" s="5"/>
    </row>
    <row r="9788" spans="1:1" x14ac:dyDescent="0.25">
      <c r="A9788" s="5"/>
    </row>
    <row r="9789" spans="1:1" x14ac:dyDescent="0.25">
      <c r="A9789" s="5"/>
    </row>
    <row r="9790" spans="1:1" x14ac:dyDescent="0.25">
      <c r="A9790" s="5"/>
    </row>
    <row r="9791" spans="1:1" x14ac:dyDescent="0.25">
      <c r="A9791" s="5"/>
    </row>
    <row r="9792" spans="1:1" x14ac:dyDescent="0.25">
      <c r="A9792" s="5"/>
    </row>
    <row r="9793" spans="1:1" x14ac:dyDescent="0.25">
      <c r="A9793" s="5"/>
    </row>
    <row r="9794" spans="1:1" x14ac:dyDescent="0.25">
      <c r="A9794" s="5"/>
    </row>
    <row r="9795" spans="1:1" x14ac:dyDescent="0.25">
      <c r="A9795" s="5"/>
    </row>
    <row r="9796" spans="1:1" x14ac:dyDescent="0.25">
      <c r="A9796" s="5"/>
    </row>
    <row r="9797" spans="1:1" x14ac:dyDescent="0.25">
      <c r="A9797" s="5"/>
    </row>
    <row r="9798" spans="1:1" x14ac:dyDescent="0.25">
      <c r="A9798" s="5"/>
    </row>
    <row r="9799" spans="1:1" x14ac:dyDescent="0.25">
      <c r="A9799" s="5"/>
    </row>
    <row r="9800" spans="1:1" x14ac:dyDescent="0.25">
      <c r="A9800" s="5"/>
    </row>
    <row r="9801" spans="1:1" x14ac:dyDescent="0.25">
      <c r="A9801" s="5"/>
    </row>
    <row r="9802" spans="1:1" x14ac:dyDescent="0.25">
      <c r="A9802" s="5"/>
    </row>
    <row r="9803" spans="1:1" x14ac:dyDescent="0.25">
      <c r="A9803" s="5"/>
    </row>
    <row r="9804" spans="1:1" x14ac:dyDescent="0.25">
      <c r="A9804" s="5"/>
    </row>
    <row r="9805" spans="1:1" x14ac:dyDescent="0.25">
      <c r="A9805" s="5"/>
    </row>
    <row r="9806" spans="1:1" x14ac:dyDescent="0.25">
      <c r="A9806" s="5"/>
    </row>
    <row r="9807" spans="1:1" x14ac:dyDescent="0.25">
      <c r="A9807" s="5"/>
    </row>
    <row r="9808" spans="1:1" x14ac:dyDescent="0.25">
      <c r="A9808" s="5"/>
    </row>
    <row r="9809" spans="1:1" x14ac:dyDescent="0.25">
      <c r="A9809" s="5"/>
    </row>
    <row r="9810" spans="1:1" x14ac:dyDescent="0.25">
      <c r="A9810" s="5"/>
    </row>
    <row r="9811" spans="1:1" x14ac:dyDescent="0.25">
      <c r="A9811" s="5"/>
    </row>
    <row r="9812" spans="1:1" x14ac:dyDescent="0.25">
      <c r="A9812" s="5"/>
    </row>
    <row r="9813" spans="1:1" x14ac:dyDescent="0.25">
      <c r="A9813" s="5"/>
    </row>
    <row r="9814" spans="1:1" x14ac:dyDescent="0.25">
      <c r="A9814" s="5"/>
    </row>
    <row r="9815" spans="1:1" x14ac:dyDescent="0.25">
      <c r="A9815" s="5"/>
    </row>
    <row r="9816" spans="1:1" x14ac:dyDescent="0.25">
      <c r="A9816" s="5"/>
    </row>
    <row r="9817" spans="1:1" x14ac:dyDescent="0.25">
      <c r="A9817" s="5"/>
    </row>
    <row r="9818" spans="1:1" x14ac:dyDescent="0.25">
      <c r="A9818" s="5"/>
    </row>
    <row r="9819" spans="1:1" x14ac:dyDescent="0.25">
      <c r="A9819" s="5"/>
    </row>
    <row r="9820" spans="1:1" x14ac:dyDescent="0.25">
      <c r="A9820" s="5"/>
    </row>
    <row r="9821" spans="1:1" x14ac:dyDescent="0.25">
      <c r="A9821" s="5"/>
    </row>
    <row r="9822" spans="1:1" x14ac:dyDescent="0.25">
      <c r="A9822" s="5"/>
    </row>
    <row r="9823" spans="1:1" x14ac:dyDescent="0.25">
      <c r="A9823" s="5"/>
    </row>
    <row r="9824" spans="1:1" x14ac:dyDescent="0.25">
      <c r="A9824" s="5"/>
    </row>
    <row r="9825" spans="1:1" x14ac:dyDescent="0.25">
      <c r="A9825" s="5"/>
    </row>
    <row r="9826" spans="1:1" x14ac:dyDescent="0.25">
      <c r="A9826" s="5"/>
    </row>
    <row r="9827" spans="1:1" x14ac:dyDescent="0.25">
      <c r="A9827" s="5"/>
    </row>
    <row r="9828" spans="1:1" x14ac:dyDescent="0.25">
      <c r="A9828" s="5"/>
    </row>
    <row r="9829" spans="1:1" x14ac:dyDescent="0.25">
      <c r="A9829" s="5"/>
    </row>
    <row r="9830" spans="1:1" x14ac:dyDescent="0.25">
      <c r="A9830" s="5"/>
    </row>
    <row r="9831" spans="1:1" x14ac:dyDescent="0.25">
      <c r="A9831" s="5"/>
    </row>
    <row r="9832" spans="1:1" x14ac:dyDescent="0.25">
      <c r="A9832" s="5"/>
    </row>
    <row r="9833" spans="1:1" x14ac:dyDescent="0.25">
      <c r="A9833" s="5"/>
    </row>
    <row r="9834" spans="1:1" x14ac:dyDescent="0.25">
      <c r="A9834" s="5"/>
    </row>
    <row r="9835" spans="1:1" x14ac:dyDescent="0.25">
      <c r="A9835" s="5"/>
    </row>
    <row r="9836" spans="1:1" x14ac:dyDescent="0.25">
      <c r="A9836" s="5"/>
    </row>
    <row r="9837" spans="1:1" x14ac:dyDescent="0.25">
      <c r="A9837" s="5"/>
    </row>
    <row r="9838" spans="1:1" x14ac:dyDescent="0.25">
      <c r="A9838" s="5"/>
    </row>
    <row r="9839" spans="1:1" x14ac:dyDescent="0.25">
      <c r="A9839" s="5"/>
    </row>
    <row r="9840" spans="1:1" x14ac:dyDescent="0.25">
      <c r="A9840" s="5"/>
    </row>
    <row r="9841" spans="1:1" x14ac:dyDescent="0.25">
      <c r="A9841" s="5"/>
    </row>
    <row r="9842" spans="1:1" x14ac:dyDescent="0.25">
      <c r="A9842" s="5"/>
    </row>
    <row r="9843" spans="1:1" x14ac:dyDescent="0.25">
      <c r="A9843" s="5"/>
    </row>
    <row r="9844" spans="1:1" x14ac:dyDescent="0.25">
      <c r="A9844" s="5"/>
    </row>
    <row r="9845" spans="1:1" x14ac:dyDescent="0.25">
      <c r="A9845" s="5"/>
    </row>
    <row r="9846" spans="1:1" x14ac:dyDescent="0.25">
      <c r="A9846" s="5"/>
    </row>
    <row r="9847" spans="1:1" x14ac:dyDescent="0.25">
      <c r="A9847" s="5"/>
    </row>
    <row r="9848" spans="1:1" x14ac:dyDescent="0.25">
      <c r="A9848" s="5"/>
    </row>
    <row r="9849" spans="1:1" x14ac:dyDescent="0.25">
      <c r="A9849" s="5"/>
    </row>
    <row r="9850" spans="1:1" x14ac:dyDescent="0.25">
      <c r="A9850" s="5"/>
    </row>
    <row r="9851" spans="1:1" x14ac:dyDescent="0.25">
      <c r="A9851" s="5"/>
    </row>
    <row r="9852" spans="1:1" x14ac:dyDescent="0.25">
      <c r="A9852" s="5"/>
    </row>
    <row r="9853" spans="1:1" x14ac:dyDescent="0.25">
      <c r="A9853" s="5"/>
    </row>
    <row r="9854" spans="1:1" x14ac:dyDescent="0.25">
      <c r="A9854" s="5"/>
    </row>
    <row r="9855" spans="1:1" x14ac:dyDescent="0.25">
      <c r="A9855" s="5"/>
    </row>
    <row r="9856" spans="1:1" x14ac:dyDescent="0.25">
      <c r="A9856" s="5"/>
    </row>
    <row r="9857" spans="1:1" x14ac:dyDescent="0.25">
      <c r="A9857" s="5"/>
    </row>
    <row r="9858" spans="1:1" x14ac:dyDescent="0.25">
      <c r="A9858" s="5"/>
    </row>
    <row r="9859" spans="1:1" x14ac:dyDescent="0.25">
      <c r="A9859" s="5"/>
    </row>
    <row r="9860" spans="1:1" x14ac:dyDescent="0.25">
      <c r="A9860" s="5"/>
    </row>
    <row r="9861" spans="1:1" x14ac:dyDescent="0.25">
      <c r="A9861" s="5"/>
    </row>
    <row r="9862" spans="1:1" x14ac:dyDescent="0.25">
      <c r="A9862" s="5"/>
    </row>
    <row r="9863" spans="1:1" x14ac:dyDescent="0.25">
      <c r="A9863" s="5"/>
    </row>
    <row r="9864" spans="1:1" x14ac:dyDescent="0.25">
      <c r="A9864" s="5"/>
    </row>
    <row r="9865" spans="1:1" x14ac:dyDescent="0.25">
      <c r="A9865" s="5"/>
    </row>
    <row r="9866" spans="1:1" x14ac:dyDescent="0.25">
      <c r="A9866" s="5"/>
    </row>
    <row r="9867" spans="1:1" x14ac:dyDescent="0.25">
      <c r="A9867" s="5"/>
    </row>
    <row r="9868" spans="1:1" x14ac:dyDescent="0.25">
      <c r="A9868" s="5"/>
    </row>
    <row r="9869" spans="1:1" x14ac:dyDescent="0.25">
      <c r="A9869" s="5"/>
    </row>
    <row r="9870" spans="1:1" x14ac:dyDescent="0.25">
      <c r="A9870" s="5"/>
    </row>
    <row r="9871" spans="1:1" x14ac:dyDescent="0.25">
      <c r="A9871" s="5"/>
    </row>
    <row r="9872" spans="1:1" x14ac:dyDescent="0.25">
      <c r="A9872" s="5"/>
    </row>
    <row r="9873" spans="1:1" x14ac:dyDescent="0.25">
      <c r="A9873" s="5"/>
    </row>
    <row r="9874" spans="1:1" x14ac:dyDescent="0.25">
      <c r="A9874" s="5"/>
    </row>
    <row r="9875" spans="1:1" x14ac:dyDescent="0.25">
      <c r="A9875" s="5"/>
    </row>
    <row r="9876" spans="1:1" x14ac:dyDescent="0.25">
      <c r="A9876" s="5"/>
    </row>
    <row r="9877" spans="1:1" x14ac:dyDescent="0.25">
      <c r="A9877" s="5"/>
    </row>
    <row r="9878" spans="1:1" x14ac:dyDescent="0.25">
      <c r="A9878" s="5"/>
    </row>
    <row r="9879" spans="1:1" x14ac:dyDescent="0.25">
      <c r="A9879" s="5"/>
    </row>
    <row r="9880" spans="1:1" x14ac:dyDescent="0.25">
      <c r="A9880" s="5"/>
    </row>
    <row r="9881" spans="1:1" x14ac:dyDescent="0.25">
      <c r="A9881" s="5"/>
    </row>
    <row r="9882" spans="1:1" x14ac:dyDescent="0.25">
      <c r="A9882" s="5"/>
    </row>
    <row r="9883" spans="1:1" x14ac:dyDescent="0.25">
      <c r="A9883" s="5"/>
    </row>
    <row r="9884" spans="1:1" x14ac:dyDescent="0.25">
      <c r="A9884" s="5"/>
    </row>
    <row r="9885" spans="1:1" x14ac:dyDescent="0.25">
      <c r="A9885" s="5"/>
    </row>
    <row r="9886" spans="1:1" x14ac:dyDescent="0.25">
      <c r="A9886" s="5"/>
    </row>
    <row r="9887" spans="1:1" x14ac:dyDescent="0.25">
      <c r="A9887" s="5"/>
    </row>
    <row r="9888" spans="1:1" x14ac:dyDescent="0.25">
      <c r="A9888" s="5"/>
    </row>
    <row r="9889" spans="1:1" x14ac:dyDescent="0.25">
      <c r="A9889" s="5"/>
    </row>
    <row r="9890" spans="1:1" x14ac:dyDescent="0.25">
      <c r="A9890" s="5"/>
    </row>
    <row r="9891" spans="1:1" x14ac:dyDescent="0.25">
      <c r="A9891" s="5"/>
    </row>
    <row r="9892" spans="1:1" x14ac:dyDescent="0.25">
      <c r="A9892" s="5"/>
    </row>
    <row r="9893" spans="1:1" x14ac:dyDescent="0.25">
      <c r="A9893" s="5"/>
    </row>
    <row r="9894" spans="1:1" x14ac:dyDescent="0.25">
      <c r="A9894" s="5"/>
    </row>
    <row r="9895" spans="1:1" x14ac:dyDescent="0.25">
      <c r="A9895" s="5"/>
    </row>
    <row r="9896" spans="1:1" x14ac:dyDescent="0.25">
      <c r="A9896" s="5"/>
    </row>
    <row r="9897" spans="1:1" x14ac:dyDescent="0.25">
      <c r="A9897" s="5"/>
    </row>
    <row r="9898" spans="1:1" x14ac:dyDescent="0.25">
      <c r="A9898" s="5"/>
    </row>
    <row r="9899" spans="1:1" x14ac:dyDescent="0.25">
      <c r="A9899" s="5"/>
    </row>
    <row r="9900" spans="1:1" x14ac:dyDescent="0.25">
      <c r="A9900" s="5"/>
    </row>
    <row r="9901" spans="1:1" x14ac:dyDescent="0.25">
      <c r="A9901" s="5"/>
    </row>
    <row r="9902" spans="1:1" x14ac:dyDescent="0.25">
      <c r="A9902" s="5"/>
    </row>
    <row r="9903" spans="1:1" x14ac:dyDescent="0.25">
      <c r="A9903" s="5"/>
    </row>
    <row r="9904" spans="1:1" x14ac:dyDescent="0.25">
      <c r="A9904" s="5"/>
    </row>
    <row r="9905" spans="1:1" x14ac:dyDescent="0.25">
      <c r="A9905" s="5"/>
    </row>
    <row r="9906" spans="1:1" x14ac:dyDescent="0.25">
      <c r="A9906" s="5"/>
    </row>
    <row r="9907" spans="1:1" x14ac:dyDescent="0.25">
      <c r="A9907" s="5"/>
    </row>
    <row r="9908" spans="1:1" x14ac:dyDescent="0.25">
      <c r="A9908" s="5"/>
    </row>
    <row r="9909" spans="1:1" x14ac:dyDescent="0.25">
      <c r="A9909" s="5"/>
    </row>
    <row r="9910" spans="1:1" x14ac:dyDescent="0.25">
      <c r="A9910" s="5"/>
    </row>
    <row r="9911" spans="1:1" x14ac:dyDescent="0.25">
      <c r="A9911" s="5"/>
    </row>
    <row r="9912" spans="1:1" x14ac:dyDescent="0.25">
      <c r="A9912" s="5"/>
    </row>
    <row r="9913" spans="1:1" x14ac:dyDescent="0.25">
      <c r="A9913" s="5"/>
    </row>
    <row r="9914" spans="1:1" x14ac:dyDescent="0.25">
      <c r="A9914" s="5"/>
    </row>
    <row r="9915" spans="1:1" x14ac:dyDescent="0.25">
      <c r="A9915" s="5"/>
    </row>
    <row r="9916" spans="1:1" x14ac:dyDescent="0.25">
      <c r="A9916" s="5"/>
    </row>
    <row r="9917" spans="1:1" x14ac:dyDescent="0.25">
      <c r="A9917" s="5"/>
    </row>
    <row r="9918" spans="1:1" x14ac:dyDescent="0.25">
      <c r="A9918" s="5"/>
    </row>
    <row r="9919" spans="1:1" x14ac:dyDescent="0.25">
      <c r="A9919" s="5"/>
    </row>
    <row r="9920" spans="1:1" x14ac:dyDescent="0.25">
      <c r="A9920" s="5"/>
    </row>
    <row r="9921" spans="1:1" x14ac:dyDescent="0.25">
      <c r="A9921" s="5"/>
    </row>
    <row r="9922" spans="1:1" x14ac:dyDescent="0.25">
      <c r="A9922" s="5"/>
    </row>
    <row r="9923" spans="1:1" x14ac:dyDescent="0.25">
      <c r="A9923" s="5"/>
    </row>
    <row r="9924" spans="1:1" x14ac:dyDescent="0.25">
      <c r="A9924" s="5"/>
    </row>
    <row r="9925" spans="1:1" x14ac:dyDescent="0.25">
      <c r="A9925" s="5"/>
    </row>
    <row r="9926" spans="1:1" x14ac:dyDescent="0.25">
      <c r="A9926" s="5"/>
    </row>
    <row r="9927" spans="1:1" x14ac:dyDescent="0.25">
      <c r="A9927" s="5"/>
    </row>
    <row r="9928" spans="1:1" x14ac:dyDescent="0.25">
      <c r="A9928" s="5"/>
    </row>
    <row r="9929" spans="1:1" x14ac:dyDescent="0.25">
      <c r="A9929" s="5"/>
    </row>
    <row r="9930" spans="1:1" x14ac:dyDescent="0.25">
      <c r="A9930" s="5"/>
    </row>
    <row r="9931" spans="1:1" x14ac:dyDescent="0.25">
      <c r="A9931" s="5"/>
    </row>
    <row r="9932" spans="1:1" x14ac:dyDescent="0.25">
      <c r="A9932" s="5"/>
    </row>
    <row r="9933" spans="1:1" x14ac:dyDescent="0.25">
      <c r="A9933" s="5"/>
    </row>
    <row r="9934" spans="1:1" x14ac:dyDescent="0.25">
      <c r="A9934" s="5"/>
    </row>
    <row r="9935" spans="1:1" x14ac:dyDescent="0.25">
      <c r="A9935" s="5"/>
    </row>
    <row r="9936" spans="1:1" x14ac:dyDescent="0.25">
      <c r="A9936" s="5"/>
    </row>
    <row r="9937" spans="1:1" x14ac:dyDescent="0.25">
      <c r="A9937" s="5"/>
    </row>
    <row r="9938" spans="1:1" x14ac:dyDescent="0.25">
      <c r="A9938" s="5"/>
    </row>
    <row r="9939" spans="1:1" x14ac:dyDescent="0.25">
      <c r="A9939" s="5"/>
    </row>
    <row r="9940" spans="1:1" x14ac:dyDescent="0.25">
      <c r="A9940" s="5"/>
    </row>
    <row r="9941" spans="1:1" x14ac:dyDescent="0.25">
      <c r="A9941" s="5"/>
    </row>
    <row r="9942" spans="1:1" x14ac:dyDescent="0.25">
      <c r="A9942" s="5"/>
    </row>
    <row r="9943" spans="1:1" x14ac:dyDescent="0.25">
      <c r="A9943" s="5"/>
    </row>
    <row r="9944" spans="1:1" x14ac:dyDescent="0.25">
      <c r="A9944" s="5"/>
    </row>
    <row r="9945" spans="1:1" x14ac:dyDescent="0.25">
      <c r="A9945" s="5"/>
    </row>
    <row r="9946" spans="1:1" x14ac:dyDescent="0.25">
      <c r="A9946" s="5"/>
    </row>
    <row r="9947" spans="1:1" x14ac:dyDescent="0.25">
      <c r="A9947" s="5"/>
    </row>
    <row r="9948" spans="1:1" x14ac:dyDescent="0.25">
      <c r="A9948" s="5"/>
    </row>
    <row r="9949" spans="1:1" x14ac:dyDescent="0.25">
      <c r="A9949" s="5"/>
    </row>
    <row r="9950" spans="1:1" x14ac:dyDescent="0.25">
      <c r="A9950" s="5"/>
    </row>
    <row r="9951" spans="1:1" x14ac:dyDescent="0.25">
      <c r="A9951" s="5"/>
    </row>
    <row r="9952" spans="1:1" x14ac:dyDescent="0.25">
      <c r="A9952" s="5"/>
    </row>
    <row r="9953" spans="1:1" x14ac:dyDescent="0.25">
      <c r="A9953" s="5"/>
    </row>
    <row r="9954" spans="1:1" x14ac:dyDescent="0.25">
      <c r="A9954" s="5"/>
    </row>
    <row r="9955" spans="1:1" x14ac:dyDescent="0.25">
      <c r="A9955" s="5"/>
    </row>
    <row r="9956" spans="1:1" x14ac:dyDescent="0.25">
      <c r="A9956" s="5"/>
    </row>
    <row r="9957" spans="1:1" x14ac:dyDescent="0.25">
      <c r="A9957" s="5"/>
    </row>
    <row r="9958" spans="1:1" x14ac:dyDescent="0.25">
      <c r="A9958" s="5"/>
    </row>
    <row r="9959" spans="1:1" x14ac:dyDescent="0.25">
      <c r="A9959" s="5"/>
    </row>
    <row r="9960" spans="1:1" x14ac:dyDescent="0.25">
      <c r="A9960" s="5"/>
    </row>
    <row r="9961" spans="1:1" x14ac:dyDescent="0.25">
      <c r="A9961" s="5"/>
    </row>
    <row r="9962" spans="1:1" x14ac:dyDescent="0.25">
      <c r="A9962" s="5"/>
    </row>
    <row r="9963" spans="1:1" x14ac:dyDescent="0.25">
      <c r="A9963" s="5"/>
    </row>
    <row r="9964" spans="1:1" x14ac:dyDescent="0.25">
      <c r="A9964" s="5"/>
    </row>
    <row r="9965" spans="1:1" x14ac:dyDescent="0.25">
      <c r="A9965" s="5"/>
    </row>
    <row r="9966" spans="1:1" x14ac:dyDescent="0.25">
      <c r="A9966" s="5"/>
    </row>
    <row r="9967" spans="1:1" x14ac:dyDescent="0.25">
      <c r="A9967" s="5"/>
    </row>
    <row r="9968" spans="1:1" x14ac:dyDescent="0.25">
      <c r="A9968" s="5"/>
    </row>
    <row r="9969" spans="1:1" x14ac:dyDescent="0.25">
      <c r="A9969" s="5"/>
    </row>
    <row r="9970" spans="1:1" x14ac:dyDescent="0.25">
      <c r="A9970" s="5"/>
    </row>
    <row r="9971" spans="1:1" x14ac:dyDescent="0.25">
      <c r="A9971" s="5"/>
    </row>
    <row r="9972" spans="1:1" x14ac:dyDescent="0.25">
      <c r="A9972" s="5"/>
    </row>
    <row r="9973" spans="1:1" x14ac:dyDescent="0.25">
      <c r="A9973" s="5"/>
    </row>
    <row r="9974" spans="1:1" x14ac:dyDescent="0.25">
      <c r="A9974" s="5"/>
    </row>
    <row r="9975" spans="1:1" x14ac:dyDescent="0.25">
      <c r="A9975" s="5"/>
    </row>
    <row r="9976" spans="1:1" x14ac:dyDescent="0.25">
      <c r="A9976" s="5"/>
    </row>
    <row r="9977" spans="1:1" x14ac:dyDescent="0.25">
      <c r="A9977" s="5"/>
    </row>
    <row r="9978" spans="1:1" x14ac:dyDescent="0.25">
      <c r="A9978" s="5"/>
    </row>
    <row r="9979" spans="1:1" x14ac:dyDescent="0.25">
      <c r="A9979" s="5"/>
    </row>
    <row r="9980" spans="1:1" x14ac:dyDescent="0.25">
      <c r="A9980" s="5"/>
    </row>
    <row r="9981" spans="1:1" x14ac:dyDescent="0.25">
      <c r="A9981" s="5"/>
    </row>
    <row r="9982" spans="1:1" x14ac:dyDescent="0.25">
      <c r="A9982" s="5"/>
    </row>
    <row r="9983" spans="1:1" x14ac:dyDescent="0.25">
      <c r="A9983" s="5"/>
    </row>
    <row r="9984" spans="1:1" x14ac:dyDescent="0.25">
      <c r="A9984" s="5"/>
    </row>
    <row r="9985" spans="1:1" x14ac:dyDescent="0.25">
      <c r="A9985" s="5"/>
    </row>
    <row r="9986" spans="1:1" x14ac:dyDescent="0.25">
      <c r="A9986" s="5"/>
    </row>
    <row r="9987" spans="1:1" x14ac:dyDescent="0.25">
      <c r="A9987" s="5"/>
    </row>
    <row r="9988" spans="1:1" x14ac:dyDescent="0.25">
      <c r="A9988" s="5"/>
    </row>
    <row r="9989" spans="1:1" x14ac:dyDescent="0.25">
      <c r="A9989" s="5"/>
    </row>
    <row r="9990" spans="1:1" x14ac:dyDescent="0.25">
      <c r="A9990" s="5"/>
    </row>
    <row r="9991" spans="1:1" x14ac:dyDescent="0.25">
      <c r="A9991" s="5"/>
    </row>
    <row r="9992" spans="1:1" x14ac:dyDescent="0.25">
      <c r="A9992" s="5"/>
    </row>
    <row r="9993" spans="1:1" x14ac:dyDescent="0.25">
      <c r="A9993" s="5"/>
    </row>
    <row r="9994" spans="1:1" x14ac:dyDescent="0.25">
      <c r="A9994" s="5"/>
    </row>
    <row r="9995" spans="1:1" x14ac:dyDescent="0.25">
      <c r="A9995" s="5"/>
    </row>
    <row r="9996" spans="1:1" x14ac:dyDescent="0.25">
      <c r="A9996" s="5"/>
    </row>
    <row r="9997" spans="1:1" x14ac:dyDescent="0.25">
      <c r="A9997" s="5"/>
    </row>
    <row r="9998" spans="1:1" x14ac:dyDescent="0.25">
      <c r="A9998" s="5"/>
    </row>
    <row r="9999" spans="1:1" x14ac:dyDescent="0.25">
      <c r="A9999" s="5"/>
    </row>
    <row r="10000" spans="1:1" x14ac:dyDescent="0.25">
      <c r="A10000" s="5"/>
    </row>
    <row r="10001" spans="1:1" x14ac:dyDescent="0.25">
      <c r="A10001" s="5"/>
    </row>
    <row r="10002" spans="1:1" x14ac:dyDescent="0.25">
      <c r="A10002" s="5"/>
    </row>
    <row r="10003" spans="1:1" x14ac:dyDescent="0.25">
      <c r="A10003" s="5"/>
    </row>
    <row r="10004" spans="1:1" x14ac:dyDescent="0.25">
      <c r="A10004" s="5"/>
    </row>
    <row r="10005" spans="1:1" x14ac:dyDescent="0.25">
      <c r="A10005" s="5"/>
    </row>
    <row r="10006" spans="1:1" x14ac:dyDescent="0.25">
      <c r="A10006" s="5"/>
    </row>
    <row r="10007" spans="1:1" x14ac:dyDescent="0.25">
      <c r="A10007" s="5"/>
    </row>
    <row r="10008" spans="1:1" x14ac:dyDescent="0.25">
      <c r="A10008" s="5"/>
    </row>
    <row r="10009" spans="1:1" x14ac:dyDescent="0.25">
      <c r="A10009" s="5"/>
    </row>
    <row r="10010" spans="1:1" x14ac:dyDescent="0.25">
      <c r="A10010" s="5"/>
    </row>
    <row r="10011" spans="1:1" x14ac:dyDescent="0.25">
      <c r="A10011" s="5"/>
    </row>
    <row r="10012" spans="1:1" x14ac:dyDescent="0.25">
      <c r="A10012" s="5"/>
    </row>
    <row r="10013" spans="1:1" x14ac:dyDescent="0.25">
      <c r="A10013" s="5"/>
    </row>
    <row r="10014" spans="1:1" x14ac:dyDescent="0.25">
      <c r="A10014" s="5"/>
    </row>
    <row r="10015" spans="1:1" x14ac:dyDescent="0.25">
      <c r="A10015" s="5"/>
    </row>
    <row r="10016" spans="1:1" x14ac:dyDescent="0.25">
      <c r="A10016" s="5"/>
    </row>
    <row r="10017" spans="1:1" x14ac:dyDescent="0.25">
      <c r="A10017" s="5"/>
    </row>
    <row r="10018" spans="1:1" x14ac:dyDescent="0.25">
      <c r="A10018" s="5"/>
    </row>
    <row r="10019" spans="1:1" x14ac:dyDescent="0.25">
      <c r="A10019" s="5"/>
    </row>
    <row r="10020" spans="1:1" x14ac:dyDescent="0.25">
      <c r="A10020" s="5"/>
    </row>
    <row r="10021" spans="1:1" x14ac:dyDescent="0.25">
      <c r="A10021" s="5"/>
    </row>
    <row r="10022" spans="1:1" x14ac:dyDescent="0.25">
      <c r="A10022" s="5"/>
    </row>
    <row r="10023" spans="1:1" x14ac:dyDescent="0.25">
      <c r="A10023" s="5"/>
    </row>
    <row r="10024" spans="1:1" x14ac:dyDescent="0.25">
      <c r="A10024" s="5"/>
    </row>
    <row r="10025" spans="1:1" x14ac:dyDescent="0.25">
      <c r="A10025" s="5"/>
    </row>
    <row r="10026" spans="1:1" x14ac:dyDescent="0.25">
      <c r="A10026" s="5"/>
    </row>
    <row r="10027" spans="1:1" x14ac:dyDescent="0.25">
      <c r="A10027" s="5"/>
    </row>
    <row r="10028" spans="1:1" x14ac:dyDescent="0.25">
      <c r="A10028" s="5"/>
    </row>
    <row r="10029" spans="1:1" x14ac:dyDescent="0.25">
      <c r="A10029" s="5"/>
    </row>
    <row r="10030" spans="1:1" x14ac:dyDescent="0.25">
      <c r="A10030" s="5"/>
    </row>
    <row r="10031" spans="1:1" x14ac:dyDescent="0.25">
      <c r="A10031" s="5"/>
    </row>
    <row r="10032" spans="1:1" x14ac:dyDescent="0.25">
      <c r="A10032" s="5"/>
    </row>
    <row r="10033" spans="1:1" x14ac:dyDescent="0.25">
      <c r="A10033" s="5"/>
    </row>
    <row r="10034" spans="1:1" x14ac:dyDescent="0.25">
      <c r="A10034" s="5"/>
    </row>
    <row r="10035" spans="1:1" x14ac:dyDescent="0.25">
      <c r="A10035" s="5"/>
    </row>
    <row r="10036" spans="1:1" x14ac:dyDescent="0.25">
      <c r="A10036" s="5"/>
    </row>
    <row r="10037" spans="1:1" x14ac:dyDescent="0.25">
      <c r="A10037" s="5"/>
    </row>
    <row r="10038" spans="1:1" x14ac:dyDescent="0.25">
      <c r="A10038" s="5"/>
    </row>
    <row r="10039" spans="1:1" x14ac:dyDescent="0.25">
      <c r="A10039" s="5"/>
    </row>
    <row r="10040" spans="1:1" x14ac:dyDescent="0.25">
      <c r="A10040" s="5"/>
    </row>
    <row r="10041" spans="1:1" x14ac:dyDescent="0.25">
      <c r="A10041" s="5"/>
    </row>
    <row r="10042" spans="1:1" x14ac:dyDescent="0.25">
      <c r="A10042" s="5"/>
    </row>
    <row r="10043" spans="1:1" x14ac:dyDescent="0.25">
      <c r="A10043" s="5"/>
    </row>
    <row r="10044" spans="1:1" x14ac:dyDescent="0.25">
      <c r="A10044" s="5"/>
    </row>
    <row r="10045" spans="1:1" x14ac:dyDescent="0.25">
      <c r="A10045" s="5"/>
    </row>
    <row r="10046" spans="1:1" x14ac:dyDescent="0.25">
      <c r="A10046" s="5"/>
    </row>
    <row r="10047" spans="1:1" x14ac:dyDescent="0.25">
      <c r="A10047" s="5"/>
    </row>
    <row r="10048" spans="1:1" x14ac:dyDescent="0.25">
      <c r="A10048" s="5"/>
    </row>
    <row r="10049" spans="1:1" x14ac:dyDescent="0.25">
      <c r="A10049" s="5"/>
    </row>
    <row r="10050" spans="1:1" x14ac:dyDescent="0.25">
      <c r="A10050" s="5"/>
    </row>
    <row r="10051" spans="1:1" x14ac:dyDescent="0.25">
      <c r="A10051" s="5"/>
    </row>
    <row r="10052" spans="1:1" x14ac:dyDescent="0.25">
      <c r="A10052" s="5"/>
    </row>
    <row r="10053" spans="1:1" x14ac:dyDescent="0.25">
      <c r="A10053" s="5"/>
    </row>
    <row r="10054" spans="1:1" x14ac:dyDescent="0.25">
      <c r="A10054" s="5"/>
    </row>
    <row r="10055" spans="1:1" x14ac:dyDescent="0.25">
      <c r="A10055" s="5"/>
    </row>
    <row r="10056" spans="1:1" x14ac:dyDescent="0.25">
      <c r="A10056" s="5"/>
    </row>
    <row r="10057" spans="1:1" x14ac:dyDescent="0.25">
      <c r="A10057" s="5"/>
    </row>
    <row r="10058" spans="1:1" x14ac:dyDescent="0.25">
      <c r="A10058" s="5"/>
    </row>
    <row r="10059" spans="1:1" x14ac:dyDescent="0.25">
      <c r="A10059" s="5"/>
    </row>
    <row r="10060" spans="1:1" x14ac:dyDescent="0.25">
      <c r="A10060" s="5"/>
    </row>
    <row r="10061" spans="1:1" x14ac:dyDescent="0.25">
      <c r="A10061" s="5"/>
    </row>
    <row r="10062" spans="1:1" x14ac:dyDescent="0.25">
      <c r="A10062" s="5"/>
    </row>
    <row r="10063" spans="1:1" x14ac:dyDescent="0.25">
      <c r="A10063" s="5"/>
    </row>
    <row r="10064" spans="1:1" x14ac:dyDescent="0.25">
      <c r="A10064" s="5"/>
    </row>
    <row r="10065" spans="1:1" x14ac:dyDescent="0.25">
      <c r="A10065" s="5"/>
    </row>
    <row r="10066" spans="1:1" x14ac:dyDescent="0.25">
      <c r="A10066" s="5"/>
    </row>
    <row r="10067" spans="1:1" x14ac:dyDescent="0.25">
      <c r="A10067" s="5"/>
    </row>
    <row r="10068" spans="1:1" x14ac:dyDescent="0.25">
      <c r="A10068" s="5"/>
    </row>
    <row r="10069" spans="1:1" x14ac:dyDescent="0.25">
      <c r="A10069" s="5"/>
    </row>
    <row r="10070" spans="1:1" x14ac:dyDescent="0.25">
      <c r="A10070" s="5"/>
    </row>
    <row r="10071" spans="1:1" x14ac:dyDescent="0.25">
      <c r="A10071" s="5"/>
    </row>
    <row r="10072" spans="1:1" x14ac:dyDescent="0.25">
      <c r="A10072" s="5"/>
    </row>
    <row r="10073" spans="1:1" x14ac:dyDescent="0.25">
      <c r="A10073" s="5"/>
    </row>
    <row r="10074" spans="1:1" x14ac:dyDescent="0.25">
      <c r="A10074" s="5"/>
    </row>
    <row r="10075" spans="1:1" x14ac:dyDescent="0.25">
      <c r="A10075" s="5"/>
    </row>
    <row r="10076" spans="1:1" x14ac:dyDescent="0.25">
      <c r="A10076" s="5"/>
    </row>
    <row r="10077" spans="1:1" x14ac:dyDescent="0.25">
      <c r="A10077" s="5"/>
    </row>
    <row r="10078" spans="1:1" x14ac:dyDescent="0.25">
      <c r="A10078" s="5"/>
    </row>
    <row r="10079" spans="1:1" x14ac:dyDescent="0.25">
      <c r="A10079" s="5"/>
    </row>
    <row r="10080" spans="1:1" x14ac:dyDescent="0.25">
      <c r="A10080" s="5"/>
    </row>
    <row r="10081" spans="1:1" x14ac:dyDescent="0.25">
      <c r="A10081" s="5"/>
    </row>
    <row r="10082" spans="1:1" x14ac:dyDescent="0.25">
      <c r="A10082" s="5"/>
    </row>
    <row r="10083" spans="1:1" x14ac:dyDescent="0.25">
      <c r="A10083" s="5"/>
    </row>
    <row r="10084" spans="1:1" x14ac:dyDescent="0.25">
      <c r="A10084" s="5"/>
    </row>
    <row r="10085" spans="1:1" x14ac:dyDescent="0.25">
      <c r="A10085" s="5"/>
    </row>
    <row r="10086" spans="1:1" x14ac:dyDescent="0.25">
      <c r="A10086" s="5"/>
    </row>
    <row r="10087" spans="1:1" x14ac:dyDescent="0.25">
      <c r="A10087" s="5"/>
    </row>
    <row r="10088" spans="1:1" x14ac:dyDescent="0.25">
      <c r="A10088" s="5"/>
    </row>
    <row r="10089" spans="1:1" x14ac:dyDescent="0.25">
      <c r="A10089" s="5"/>
    </row>
    <row r="10090" spans="1:1" x14ac:dyDescent="0.25">
      <c r="A10090" s="5"/>
    </row>
    <row r="10091" spans="1:1" x14ac:dyDescent="0.25">
      <c r="A10091" s="5"/>
    </row>
    <row r="10092" spans="1:1" x14ac:dyDescent="0.25">
      <c r="A10092" s="5"/>
    </row>
    <row r="10093" spans="1:1" x14ac:dyDescent="0.25">
      <c r="A10093" s="5"/>
    </row>
    <row r="10094" spans="1:1" x14ac:dyDescent="0.25">
      <c r="A10094" s="5"/>
    </row>
    <row r="10095" spans="1:1" x14ac:dyDescent="0.25">
      <c r="A10095" s="5"/>
    </row>
    <row r="10096" spans="1:1" x14ac:dyDescent="0.25">
      <c r="A10096" s="5"/>
    </row>
    <row r="10097" spans="1:1" x14ac:dyDescent="0.25">
      <c r="A10097" s="5"/>
    </row>
    <row r="10098" spans="1:1" x14ac:dyDescent="0.25">
      <c r="A10098" s="5"/>
    </row>
    <row r="10099" spans="1:1" x14ac:dyDescent="0.25">
      <c r="A10099" s="5"/>
    </row>
    <row r="10100" spans="1:1" x14ac:dyDescent="0.25">
      <c r="A10100" s="5"/>
    </row>
    <row r="10101" spans="1:1" x14ac:dyDescent="0.25">
      <c r="A10101" s="5"/>
    </row>
    <row r="10102" spans="1:1" x14ac:dyDescent="0.25">
      <c r="A10102" s="5"/>
    </row>
    <row r="10103" spans="1:1" x14ac:dyDescent="0.25">
      <c r="A10103" s="5"/>
    </row>
    <row r="10104" spans="1:1" x14ac:dyDescent="0.25">
      <c r="A10104" s="5"/>
    </row>
    <row r="10105" spans="1:1" x14ac:dyDescent="0.25">
      <c r="A10105" s="5"/>
    </row>
    <row r="10106" spans="1:1" x14ac:dyDescent="0.25">
      <c r="A10106" s="5"/>
    </row>
    <row r="10107" spans="1:1" x14ac:dyDescent="0.25">
      <c r="A10107" s="5"/>
    </row>
    <row r="10108" spans="1:1" x14ac:dyDescent="0.25">
      <c r="A10108" s="5"/>
    </row>
    <row r="10109" spans="1:1" x14ac:dyDescent="0.25">
      <c r="A10109" s="5"/>
    </row>
    <row r="10110" spans="1:1" x14ac:dyDescent="0.25">
      <c r="A10110" s="5"/>
    </row>
    <row r="10111" spans="1:1" x14ac:dyDescent="0.25">
      <c r="A10111" s="5"/>
    </row>
    <row r="10112" spans="1:1" x14ac:dyDescent="0.25">
      <c r="A10112" s="5"/>
    </row>
    <row r="10113" spans="1:1" x14ac:dyDescent="0.25">
      <c r="A10113" s="5"/>
    </row>
    <row r="10114" spans="1:1" x14ac:dyDescent="0.25">
      <c r="A10114" s="5"/>
    </row>
    <row r="10115" spans="1:1" x14ac:dyDescent="0.25">
      <c r="A10115" s="5"/>
    </row>
    <row r="10116" spans="1:1" x14ac:dyDescent="0.25">
      <c r="A10116" s="5"/>
    </row>
    <row r="10117" spans="1:1" x14ac:dyDescent="0.25">
      <c r="A10117" s="5"/>
    </row>
    <row r="10118" spans="1:1" x14ac:dyDescent="0.25">
      <c r="A10118" s="5"/>
    </row>
    <row r="10119" spans="1:1" x14ac:dyDescent="0.25">
      <c r="A10119" s="5"/>
    </row>
    <row r="10120" spans="1:1" x14ac:dyDescent="0.25">
      <c r="A10120" s="5"/>
    </row>
    <row r="10121" spans="1:1" x14ac:dyDescent="0.25">
      <c r="A10121" s="5"/>
    </row>
    <row r="10122" spans="1:1" x14ac:dyDescent="0.25">
      <c r="A10122" s="5"/>
    </row>
    <row r="10123" spans="1:1" x14ac:dyDescent="0.25">
      <c r="A10123" s="5"/>
    </row>
    <row r="10124" spans="1:1" x14ac:dyDescent="0.25">
      <c r="A10124" s="5"/>
    </row>
    <row r="10125" spans="1:1" x14ac:dyDescent="0.25">
      <c r="A10125" s="5"/>
    </row>
    <row r="10126" spans="1:1" x14ac:dyDescent="0.25">
      <c r="A10126" s="5"/>
    </row>
    <row r="10127" spans="1:1" x14ac:dyDescent="0.25">
      <c r="A10127" s="5"/>
    </row>
    <row r="10128" spans="1:1" x14ac:dyDescent="0.25">
      <c r="A10128" s="5"/>
    </row>
    <row r="10129" spans="1:1" x14ac:dyDescent="0.25">
      <c r="A10129" s="5"/>
    </row>
    <row r="10130" spans="1:1" x14ac:dyDescent="0.25">
      <c r="A10130" s="5"/>
    </row>
    <row r="10131" spans="1:1" x14ac:dyDescent="0.25">
      <c r="A10131" s="5"/>
    </row>
    <row r="10132" spans="1:1" x14ac:dyDescent="0.25">
      <c r="A10132" s="5"/>
    </row>
    <row r="10133" spans="1:1" x14ac:dyDescent="0.25">
      <c r="A10133" s="5"/>
    </row>
    <row r="10134" spans="1:1" x14ac:dyDescent="0.25">
      <c r="A10134" s="5"/>
    </row>
    <row r="10135" spans="1:1" x14ac:dyDescent="0.25">
      <c r="A10135" s="5"/>
    </row>
    <row r="10136" spans="1:1" x14ac:dyDescent="0.25">
      <c r="A10136" s="5"/>
    </row>
    <row r="10137" spans="1:1" x14ac:dyDescent="0.25">
      <c r="A10137" s="5"/>
    </row>
    <row r="10138" spans="1:1" x14ac:dyDescent="0.25">
      <c r="A10138" s="5"/>
    </row>
    <row r="10139" spans="1:1" x14ac:dyDescent="0.25">
      <c r="A10139" s="5"/>
    </row>
    <row r="10140" spans="1:1" x14ac:dyDescent="0.25">
      <c r="A10140" s="5"/>
    </row>
    <row r="10141" spans="1:1" x14ac:dyDescent="0.25">
      <c r="A10141" s="5"/>
    </row>
    <row r="10142" spans="1:1" x14ac:dyDescent="0.25">
      <c r="A10142" s="5"/>
    </row>
    <row r="10143" spans="1:1" x14ac:dyDescent="0.25">
      <c r="A10143" s="5"/>
    </row>
    <row r="10144" spans="1:1" x14ac:dyDescent="0.25">
      <c r="A10144" s="5"/>
    </row>
    <row r="10145" spans="1:1" x14ac:dyDescent="0.25">
      <c r="A10145" s="5"/>
    </row>
    <row r="10146" spans="1:1" x14ac:dyDescent="0.25">
      <c r="A10146" s="5"/>
    </row>
    <row r="10147" spans="1:1" x14ac:dyDescent="0.25">
      <c r="A10147" s="5"/>
    </row>
    <row r="10148" spans="1:1" x14ac:dyDescent="0.25">
      <c r="A10148" s="5"/>
    </row>
    <row r="10149" spans="1:1" x14ac:dyDescent="0.25">
      <c r="A10149" s="5"/>
    </row>
    <row r="10150" spans="1:1" x14ac:dyDescent="0.25">
      <c r="A10150" s="5"/>
    </row>
    <row r="10151" spans="1:1" x14ac:dyDescent="0.25">
      <c r="A10151" s="5"/>
    </row>
    <row r="10152" spans="1:1" x14ac:dyDescent="0.25">
      <c r="A10152" s="5"/>
    </row>
    <row r="10153" spans="1:1" x14ac:dyDescent="0.25">
      <c r="A10153" s="5"/>
    </row>
    <row r="10154" spans="1:1" x14ac:dyDescent="0.25">
      <c r="A10154" s="5"/>
    </row>
    <row r="10155" spans="1:1" x14ac:dyDescent="0.25">
      <c r="A10155" s="5"/>
    </row>
    <row r="10156" spans="1:1" x14ac:dyDescent="0.25">
      <c r="A10156" s="5"/>
    </row>
    <row r="10157" spans="1:1" x14ac:dyDescent="0.25">
      <c r="A10157" s="5"/>
    </row>
    <row r="10158" spans="1:1" x14ac:dyDescent="0.25">
      <c r="A10158" s="5"/>
    </row>
    <row r="10159" spans="1:1" x14ac:dyDescent="0.25">
      <c r="A10159" s="5"/>
    </row>
    <row r="10160" spans="1:1" x14ac:dyDescent="0.25">
      <c r="A10160" s="5"/>
    </row>
    <row r="10161" spans="1:1" x14ac:dyDescent="0.25">
      <c r="A10161" s="5"/>
    </row>
    <row r="10162" spans="1:1" x14ac:dyDescent="0.25">
      <c r="A10162" s="5"/>
    </row>
    <row r="10163" spans="1:1" x14ac:dyDescent="0.25">
      <c r="A10163" s="5"/>
    </row>
    <row r="10164" spans="1:1" x14ac:dyDescent="0.25">
      <c r="A10164" s="5"/>
    </row>
    <row r="10165" spans="1:1" x14ac:dyDescent="0.25">
      <c r="A10165" s="5"/>
    </row>
    <row r="10166" spans="1:1" x14ac:dyDescent="0.25">
      <c r="A10166" s="5"/>
    </row>
    <row r="10167" spans="1:1" x14ac:dyDescent="0.25">
      <c r="A10167" s="5"/>
    </row>
    <row r="10168" spans="1:1" x14ac:dyDescent="0.25">
      <c r="A10168" s="5"/>
    </row>
    <row r="10169" spans="1:1" x14ac:dyDescent="0.25">
      <c r="A10169" s="5"/>
    </row>
    <row r="10170" spans="1:1" x14ac:dyDescent="0.25">
      <c r="A10170" s="5"/>
    </row>
    <row r="10171" spans="1:1" x14ac:dyDescent="0.25">
      <c r="A10171" s="5"/>
    </row>
    <row r="10172" spans="1:1" x14ac:dyDescent="0.25">
      <c r="A10172" s="5"/>
    </row>
    <row r="10173" spans="1:1" x14ac:dyDescent="0.25">
      <c r="A10173" s="5"/>
    </row>
    <row r="10174" spans="1:1" x14ac:dyDescent="0.25">
      <c r="A10174" s="5"/>
    </row>
    <row r="10175" spans="1:1" x14ac:dyDescent="0.25">
      <c r="A10175" s="5"/>
    </row>
    <row r="10176" spans="1:1" x14ac:dyDescent="0.25">
      <c r="A10176" s="5"/>
    </row>
    <row r="10177" spans="1:1" x14ac:dyDescent="0.25">
      <c r="A10177" s="5"/>
    </row>
    <row r="10178" spans="1:1" x14ac:dyDescent="0.25">
      <c r="A10178" s="5"/>
    </row>
    <row r="10179" spans="1:1" x14ac:dyDescent="0.25">
      <c r="A10179" s="5"/>
    </row>
    <row r="10180" spans="1:1" x14ac:dyDescent="0.25">
      <c r="A10180" s="5"/>
    </row>
    <row r="10181" spans="1:1" x14ac:dyDescent="0.25">
      <c r="A10181" s="5"/>
    </row>
    <row r="10182" spans="1:1" x14ac:dyDescent="0.25">
      <c r="A10182" s="5"/>
    </row>
    <row r="10183" spans="1:1" x14ac:dyDescent="0.25">
      <c r="A10183" s="5"/>
    </row>
    <row r="10184" spans="1:1" x14ac:dyDescent="0.25">
      <c r="A10184" s="5"/>
    </row>
    <row r="10185" spans="1:1" x14ac:dyDescent="0.25">
      <c r="A10185" s="5"/>
    </row>
    <row r="10186" spans="1:1" x14ac:dyDescent="0.25">
      <c r="A10186" s="5"/>
    </row>
    <row r="10187" spans="1:1" x14ac:dyDescent="0.25">
      <c r="A10187" s="5"/>
    </row>
    <row r="10188" spans="1:1" x14ac:dyDescent="0.25">
      <c r="A10188" s="5"/>
    </row>
    <row r="10189" spans="1:1" x14ac:dyDescent="0.25">
      <c r="A10189" s="5"/>
    </row>
    <row r="10190" spans="1:1" x14ac:dyDescent="0.25">
      <c r="A10190" s="5"/>
    </row>
    <row r="10191" spans="1:1" x14ac:dyDescent="0.25">
      <c r="A10191" s="5"/>
    </row>
    <row r="10192" spans="1:1" x14ac:dyDescent="0.25">
      <c r="A10192" s="5"/>
    </row>
    <row r="10193" spans="1:1" x14ac:dyDescent="0.25">
      <c r="A10193" s="5"/>
    </row>
    <row r="10194" spans="1:1" x14ac:dyDescent="0.25">
      <c r="A10194" s="5"/>
    </row>
    <row r="10195" spans="1:1" x14ac:dyDescent="0.25">
      <c r="A10195" s="5"/>
    </row>
    <row r="10196" spans="1:1" x14ac:dyDescent="0.25">
      <c r="A10196" s="5"/>
    </row>
    <row r="10197" spans="1:1" x14ac:dyDescent="0.25">
      <c r="A10197" s="5"/>
    </row>
    <row r="10198" spans="1:1" x14ac:dyDescent="0.25">
      <c r="A10198" s="5"/>
    </row>
    <row r="10199" spans="1:1" x14ac:dyDescent="0.25">
      <c r="A10199" s="5"/>
    </row>
    <row r="10200" spans="1:1" x14ac:dyDescent="0.25">
      <c r="A10200" s="5"/>
    </row>
    <row r="10201" spans="1:1" x14ac:dyDescent="0.25">
      <c r="A10201" s="5"/>
    </row>
    <row r="10202" spans="1:1" x14ac:dyDescent="0.25">
      <c r="A10202" s="5"/>
    </row>
    <row r="10203" spans="1:1" x14ac:dyDescent="0.25">
      <c r="A10203" s="5"/>
    </row>
    <row r="10204" spans="1:1" x14ac:dyDescent="0.25">
      <c r="A10204" s="5"/>
    </row>
    <row r="10205" spans="1:1" x14ac:dyDescent="0.25">
      <c r="A10205" s="5"/>
    </row>
    <row r="10206" spans="1:1" x14ac:dyDescent="0.25">
      <c r="A10206" s="5"/>
    </row>
    <row r="10207" spans="1:1" x14ac:dyDescent="0.25">
      <c r="A10207" s="5"/>
    </row>
    <row r="10208" spans="1:1" x14ac:dyDescent="0.25">
      <c r="A10208" s="5"/>
    </row>
    <row r="10209" spans="1:1" x14ac:dyDescent="0.25">
      <c r="A10209" s="5"/>
    </row>
    <row r="10210" spans="1:1" x14ac:dyDescent="0.25">
      <c r="A10210" s="5"/>
    </row>
    <row r="10211" spans="1:1" x14ac:dyDescent="0.25">
      <c r="A10211" s="5"/>
    </row>
    <row r="10212" spans="1:1" x14ac:dyDescent="0.25">
      <c r="A10212" s="5"/>
    </row>
    <row r="10213" spans="1:1" x14ac:dyDescent="0.25">
      <c r="A10213" s="5"/>
    </row>
    <row r="10214" spans="1:1" x14ac:dyDescent="0.25">
      <c r="A10214" s="5"/>
    </row>
    <row r="10215" spans="1:1" x14ac:dyDescent="0.25">
      <c r="A10215" s="5"/>
    </row>
    <row r="10216" spans="1:1" x14ac:dyDescent="0.25">
      <c r="A10216" s="5"/>
    </row>
    <row r="10217" spans="1:1" x14ac:dyDescent="0.25">
      <c r="A10217" s="5"/>
    </row>
    <row r="10218" spans="1:1" x14ac:dyDescent="0.25">
      <c r="A10218" s="5"/>
    </row>
    <row r="10219" spans="1:1" x14ac:dyDescent="0.25">
      <c r="A10219" s="5"/>
    </row>
    <row r="10220" spans="1:1" x14ac:dyDescent="0.25">
      <c r="A10220" s="5"/>
    </row>
    <row r="10221" spans="1:1" x14ac:dyDescent="0.25">
      <c r="A10221" s="5"/>
    </row>
    <row r="10222" spans="1:1" x14ac:dyDescent="0.25">
      <c r="A10222" s="5"/>
    </row>
    <row r="10223" spans="1:1" x14ac:dyDescent="0.25">
      <c r="A10223" s="5"/>
    </row>
    <row r="10224" spans="1:1" x14ac:dyDescent="0.25">
      <c r="A10224" s="5"/>
    </row>
    <row r="10225" spans="1:1" x14ac:dyDescent="0.25">
      <c r="A10225" s="5"/>
    </row>
    <row r="10226" spans="1:1" x14ac:dyDescent="0.25">
      <c r="A10226" s="5"/>
    </row>
    <row r="10227" spans="1:1" x14ac:dyDescent="0.25">
      <c r="A10227" s="5"/>
    </row>
    <row r="10228" spans="1:1" x14ac:dyDescent="0.25">
      <c r="A10228" s="5"/>
    </row>
    <row r="10229" spans="1:1" x14ac:dyDescent="0.25">
      <c r="A10229" s="5"/>
    </row>
    <row r="10230" spans="1:1" x14ac:dyDescent="0.25">
      <c r="A10230" s="5"/>
    </row>
    <row r="10231" spans="1:1" x14ac:dyDescent="0.25">
      <c r="A10231" s="5"/>
    </row>
    <row r="10232" spans="1:1" x14ac:dyDescent="0.25">
      <c r="A10232" s="5"/>
    </row>
    <row r="10233" spans="1:1" x14ac:dyDescent="0.25">
      <c r="A10233" s="5"/>
    </row>
    <row r="10234" spans="1:1" x14ac:dyDescent="0.25">
      <c r="A10234" s="5"/>
    </row>
    <row r="10235" spans="1:1" x14ac:dyDescent="0.25">
      <c r="A10235" s="5"/>
    </row>
    <row r="10236" spans="1:1" x14ac:dyDescent="0.25">
      <c r="A10236" s="5"/>
    </row>
    <row r="10237" spans="1:1" x14ac:dyDescent="0.25">
      <c r="A10237" s="5"/>
    </row>
    <row r="10238" spans="1:1" x14ac:dyDescent="0.25">
      <c r="A10238" s="5"/>
    </row>
    <row r="10239" spans="1:1" x14ac:dyDescent="0.25">
      <c r="A10239" s="5"/>
    </row>
    <row r="10240" spans="1:1" x14ac:dyDescent="0.25">
      <c r="A10240" s="5"/>
    </row>
    <row r="10241" spans="1:1" x14ac:dyDescent="0.25">
      <c r="A10241" s="5"/>
    </row>
    <row r="10242" spans="1:1" x14ac:dyDescent="0.25">
      <c r="A10242" s="5"/>
    </row>
    <row r="10243" spans="1:1" x14ac:dyDescent="0.25">
      <c r="A10243" s="5"/>
    </row>
    <row r="10244" spans="1:1" x14ac:dyDescent="0.25">
      <c r="A10244" s="5"/>
    </row>
    <row r="10245" spans="1:1" x14ac:dyDescent="0.25">
      <c r="A10245" s="5"/>
    </row>
    <row r="10246" spans="1:1" x14ac:dyDescent="0.25">
      <c r="A10246" s="5"/>
    </row>
    <row r="10247" spans="1:1" x14ac:dyDescent="0.25">
      <c r="A10247" s="5"/>
    </row>
    <row r="10248" spans="1:1" x14ac:dyDescent="0.25">
      <c r="A10248" s="5"/>
    </row>
    <row r="10249" spans="1:1" x14ac:dyDescent="0.25">
      <c r="A10249" s="5"/>
    </row>
    <row r="10250" spans="1:1" x14ac:dyDescent="0.25">
      <c r="A10250" s="5"/>
    </row>
    <row r="10251" spans="1:1" x14ac:dyDescent="0.25">
      <c r="A10251" s="5"/>
    </row>
    <row r="10252" spans="1:1" x14ac:dyDescent="0.25">
      <c r="A10252" s="5"/>
    </row>
    <row r="10253" spans="1:1" x14ac:dyDescent="0.25">
      <c r="A10253" s="5"/>
    </row>
    <row r="10254" spans="1:1" x14ac:dyDescent="0.25">
      <c r="A10254" s="5"/>
    </row>
    <row r="10255" spans="1:1" x14ac:dyDescent="0.25">
      <c r="A10255" s="5"/>
    </row>
    <row r="10256" spans="1:1" x14ac:dyDescent="0.25">
      <c r="A10256" s="5"/>
    </row>
    <row r="10257" spans="1:1" x14ac:dyDescent="0.25">
      <c r="A10257" s="5"/>
    </row>
    <row r="10258" spans="1:1" x14ac:dyDescent="0.25">
      <c r="A10258" s="5"/>
    </row>
    <row r="10259" spans="1:1" x14ac:dyDescent="0.25">
      <c r="A10259" s="5"/>
    </row>
    <row r="10260" spans="1:1" x14ac:dyDescent="0.25">
      <c r="A10260" s="5"/>
    </row>
    <row r="10261" spans="1:1" x14ac:dyDescent="0.25">
      <c r="A10261" s="5"/>
    </row>
    <row r="10262" spans="1:1" x14ac:dyDescent="0.25">
      <c r="A10262" s="5"/>
    </row>
    <row r="10263" spans="1:1" x14ac:dyDescent="0.25">
      <c r="A10263" s="5"/>
    </row>
    <row r="10264" spans="1:1" x14ac:dyDescent="0.25">
      <c r="A10264" s="5"/>
    </row>
    <row r="10265" spans="1:1" x14ac:dyDescent="0.25">
      <c r="A10265" s="5"/>
    </row>
    <row r="10266" spans="1:1" x14ac:dyDescent="0.25">
      <c r="A10266" s="5"/>
    </row>
    <row r="10267" spans="1:1" x14ac:dyDescent="0.25">
      <c r="A10267" s="5"/>
    </row>
    <row r="10268" spans="1:1" x14ac:dyDescent="0.25">
      <c r="A10268" s="5"/>
    </row>
    <row r="10269" spans="1:1" x14ac:dyDescent="0.25">
      <c r="A10269" s="5"/>
    </row>
    <row r="10270" spans="1:1" x14ac:dyDescent="0.25">
      <c r="A10270" s="5"/>
    </row>
    <row r="10271" spans="1:1" x14ac:dyDescent="0.25">
      <c r="A10271" s="5"/>
    </row>
    <row r="10272" spans="1:1" x14ac:dyDescent="0.25">
      <c r="A10272" s="5"/>
    </row>
    <row r="10273" spans="1:1" x14ac:dyDescent="0.25">
      <c r="A10273" s="5"/>
    </row>
    <row r="10274" spans="1:1" x14ac:dyDescent="0.25">
      <c r="A10274" s="5"/>
    </row>
    <row r="10275" spans="1:1" x14ac:dyDescent="0.25">
      <c r="A10275" s="5"/>
    </row>
    <row r="10276" spans="1:1" x14ac:dyDescent="0.25">
      <c r="A10276" s="5"/>
    </row>
    <row r="10277" spans="1:1" x14ac:dyDescent="0.25">
      <c r="A10277" s="5"/>
    </row>
    <row r="10278" spans="1:1" x14ac:dyDescent="0.25">
      <c r="A10278" s="5"/>
    </row>
    <row r="10279" spans="1:1" x14ac:dyDescent="0.25">
      <c r="A10279" s="5"/>
    </row>
    <row r="10280" spans="1:1" x14ac:dyDescent="0.25">
      <c r="A10280" s="5"/>
    </row>
    <row r="10281" spans="1:1" x14ac:dyDescent="0.25">
      <c r="A10281" s="5"/>
    </row>
    <row r="10282" spans="1:1" x14ac:dyDescent="0.25">
      <c r="A10282" s="5"/>
    </row>
    <row r="10283" spans="1:1" x14ac:dyDescent="0.25">
      <c r="A10283" s="5"/>
    </row>
    <row r="10284" spans="1:1" x14ac:dyDescent="0.25">
      <c r="A10284" s="5"/>
    </row>
    <row r="10285" spans="1:1" x14ac:dyDescent="0.25">
      <c r="A10285" s="5"/>
    </row>
    <row r="10286" spans="1:1" x14ac:dyDescent="0.25">
      <c r="A10286" s="5"/>
    </row>
    <row r="10287" spans="1:1" x14ac:dyDescent="0.25">
      <c r="A10287" s="5"/>
    </row>
    <row r="10288" spans="1:1" x14ac:dyDescent="0.25">
      <c r="A10288" s="5"/>
    </row>
    <row r="10289" spans="1:1" x14ac:dyDescent="0.25">
      <c r="A10289" s="5"/>
    </row>
    <row r="10290" spans="1:1" x14ac:dyDescent="0.25">
      <c r="A10290" s="5"/>
    </row>
    <row r="10291" spans="1:1" x14ac:dyDescent="0.25">
      <c r="A10291" s="5"/>
    </row>
    <row r="10292" spans="1:1" x14ac:dyDescent="0.25">
      <c r="A10292" s="5"/>
    </row>
    <row r="10293" spans="1:1" x14ac:dyDescent="0.25">
      <c r="A10293" s="5"/>
    </row>
    <row r="10294" spans="1:1" x14ac:dyDescent="0.25">
      <c r="A10294" s="5"/>
    </row>
    <row r="10295" spans="1:1" x14ac:dyDescent="0.25">
      <c r="A10295" s="5"/>
    </row>
    <row r="10296" spans="1:1" x14ac:dyDescent="0.25">
      <c r="A10296" s="5"/>
    </row>
    <row r="10297" spans="1:1" x14ac:dyDescent="0.25">
      <c r="A10297" s="5"/>
    </row>
    <row r="10298" spans="1:1" x14ac:dyDescent="0.25">
      <c r="A10298" s="5"/>
    </row>
    <row r="10299" spans="1:1" x14ac:dyDescent="0.25">
      <c r="A10299" s="5"/>
    </row>
    <row r="10300" spans="1:1" x14ac:dyDescent="0.25">
      <c r="A10300" s="5"/>
    </row>
    <row r="10301" spans="1:1" x14ac:dyDescent="0.25">
      <c r="A10301" s="5"/>
    </row>
    <row r="10302" spans="1:1" x14ac:dyDescent="0.25">
      <c r="A10302" s="5"/>
    </row>
    <row r="10303" spans="1:1" x14ac:dyDescent="0.25">
      <c r="A10303" s="5"/>
    </row>
    <row r="10304" spans="1:1" x14ac:dyDescent="0.25">
      <c r="A10304" s="5"/>
    </row>
    <row r="10305" spans="1:1" x14ac:dyDescent="0.25">
      <c r="A10305" s="5"/>
    </row>
    <row r="10306" spans="1:1" x14ac:dyDescent="0.25">
      <c r="A10306" s="5"/>
    </row>
    <row r="10307" spans="1:1" x14ac:dyDescent="0.25">
      <c r="A10307" s="5"/>
    </row>
    <row r="10308" spans="1:1" x14ac:dyDescent="0.25">
      <c r="A10308" s="5"/>
    </row>
    <row r="10309" spans="1:1" x14ac:dyDescent="0.25">
      <c r="A10309" s="5"/>
    </row>
    <row r="10310" spans="1:1" x14ac:dyDescent="0.25">
      <c r="A10310" s="5"/>
    </row>
    <row r="10311" spans="1:1" x14ac:dyDescent="0.25">
      <c r="A10311" s="5"/>
    </row>
    <row r="10312" spans="1:1" x14ac:dyDescent="0.25">
      <c r="A10312" s="5"/>
    </row>
    <row r="10313" spans="1:1" x14ac:dyDescent="0.25">
      <c r="A10313" s="5"/>
    </row>
    <row r="10314" spans="1:1" x14ac:dyDescent="0.25">
      <c r="A10314" s="5"/>
    </row>
    <row r="10315" spans="1:1" x14ac:dyDescent="0.25">
      <c r="A10315" s="5"/>
    </row>
    <row r="10316" spans="1:1" x14ac:dyDescent="0.25">
      <c r="A10316" s="5"/>
    </row>
    <row r="10317" spans="1:1" x14ac:dyDescent="0.25">
      <c r="A10317" s="5"/>
    </row>
    <row r="10318" spans="1:1" x14ac:dyDescent="0.25">
      <c r="A10318" s="5"/>
    </row>
    <row r="10319" spans="1:1" x14ac:dyDescent="0.25">
      <c r="A10319" s="5"/>
    </row>
    <row r="10320" spans="1:1" x14ac:dyDescent="0.25">
      <c r="A10320" s="5"/>
    </row>
    <row r="10321" spans="1:1" x14ac:dyDescent="0.25">
      <c r="A10321" s="5"/>
    </row>
    <row r="10322" spans="1:1" x14ac:dyDescent="0.25">
      <c r="A10322" s="5"/>
    </row>
    <row r="10323" spans="1:1" x14ac:dyDescent="0.25">
      <c r="A10323" s="5"/>
    </row>
    <row r="10324" spans="1:1" x14ac:dyDescent="0.25">
      <c r="A10324" s="5"/>
    </row>
    <row r="10325" spans="1:1" x14ac:dyDescent="0.25">
      <c r="A10325" s="5"/>
    </row>
    <row r="10326" spans="1:1" x14ac:dyDescent="0.25">
      <c r="A10326" s="5"/>
    </row>
    <row r="10327" spans="1:1" x14ac:dyDescent="0.25">
      <c r="A10327" s="5"/>
    </row>
    <row r="10328" spans="1:1" x14ac:dyDescent="0.25">
      <c r="A10328" s="5"/>
    </row>
    <row r="10329" spans="1:1" x14ac:dyDescent="0.25">
      <c r="A10329" s="5"/>
    </row>
    <row r="10330" spans="1:1" x14ac:dyDescent="0.25">
      <c r="A10330" s="5"/>
    </row>
    <row r="10331" spans="1:1" x14ac:dyDescent="0.25">
      <c r="A10331" s="5"/>
    </row>
    <row r="10332" spans="1:1" x14ac:dyDescent="0.25">
      <c r="A10332" s="5"/>
    </row>
    <row r="10333" spans="1:1" x14ac:dyDescent="0.25">
      <c r="A10333" s="5"/>
    </row>
    <row r="10334" spans="1:1" x14ac:dyDescent="0.25">
      <c r="A10334" s="5"/>
    </row>
    <row r="10335" spans="1:1" x14ac:dyDescent="0.25">
      <c r="A10335" s="5"/>
    </row>
    <row r="10336" spans="1:1" x14ac:dyDescent="0.25">
      <c r="A10336" s="5"/>
    </row>
    <row r="10337" spans="1:1" x14ac:dyDescent="0.25">
      <c r="A10337" s="5"/>
    </row>
    <row r="10338" spans="1:1" x14ac:dyDescent="0.25">
      <c r="A10338" s="5"/>
    </row>
    <row r="10339" spans="1:1" x14ac:dyDescent="0.25">
      <c r="A10339" s="5"/>
    </row>
    <row r="10340" spans="1:1" x14ac:dyDescent="0.25">
      <c r="A10340" s="5"/>
    </row>
    <row r="10341" spans="1:1" x14ac:dyDescent="0.25">
      <c r="A10341" s="5"/>
    </row>
    <row r="10342" spans="1:1" x14ac:dyDescent="0.25">
      <c r="A10342" s="5"/>
    </row>
    <row r="10343" spans="1:1" x14ac:dyDescent="0.25">
      <c r="A10343" s="5"/>
    </row>
    <row r="10344" spans="1:1" x14ac:dyDescent="0.25">
      <c r="A10344" s="5"/>
    </row>
    <row r="10345" spans="1:1" x14ac:dyDescent="0.25">
      <c r="A10345" s="5"/>
    </row>
    <row r="10346" spans="1:1" x14ac:dyDescent="0.25">
      <c r="A10346" s="5"/>
    </row>
    <row r="10347" spans="1:1" x14ac:dyDescent="0.25">
      <c r="A10347" s="5"/>
    </row>
    <row r="10348" spans="1:1" x14ac:dyDescent="0.25">
      <c r="A10348" s="5"/>
    </row>
    <row r="10349" spans="1:1" x14ac:dyDescent="0.25">
      <c r="A10349" s="5"/>
    </row>
    <row r="10350" spans="1:1" x14ac:dyDescent="0.25">
      <c r="A10350" s="5"/>
    </row>
    <row r="10351" spans="1:1" x14ac:dyDescent="0.25">
      <c r="A10351" s="5"/>
    </row>
    <row r="10352" spans="1:1" x14ac:dyDescent="0.25">
      <c r="A10352" s="5"/>
    </row>
    <row r="10353" spans="1:1" x14ac:dyDescent="0.25">
      <c r="A10353" s="5"/>
    </row>
    <row r="10354" spans="1:1" x14ac:dyDescent="0.25">
      <c r="A10354" s="5"/>
    </row>
    <row r="10355" spans="1:1" x14ac:dyDescent="0.25">
      <c r="A10355" s="5"/>
    </row>
    <row r="10356" spans="1:1" x14ac:dyDescent="0.25">
      <c r="A10356" s="5"/>
    </row>
    <row r="10357" spans="1:1" x14ac:dyDescent="0.25">
      <c r="A10357" s="5"/>
    </row>
    <row r="10358" spans="1:1" x14ac:dyDescent="0.25">
      <c r="A10358" s="5"/>
    </row>
    <row r="10359" spans="1:1" x14ac:dyDescent="0.25">
      <c r="A10359" s="5"/>
    </row>
    <row r="10360" spans="1:1" x14ac:dyDescent="0.25">
      <c r="A10360" s="5"/>
    </row>
    <row r="10361" spans="1:1" x14ac:dyDescent="0.25">
      <c r="A10361" s="5"/>
    </row>
    <row r="10362" spans="1:1" x14ac:dyDescent="0.25">
      <c r="A10362" s="5"/>
    </row>
    <row r="10363" spans="1:1" x14ac:dyDescent="0.25">
      <c r="A10363" s="5"/>
    </row>
    <row r="10364" spans="1:1" x14ac:dyDescent="0.25">
      <c r="A10364" s="5"/>
    </row>
    <row r="10365" spans="1:1" x14ac:dyDescent="0.25">
      <c r="A10365" s="5"/>
    </row>
    <row r="10366" spans="1:1" x14ac:dyDescent="0.25">
      <c r="A10366" s="5"/>
    </row>
    <row r="10367" spans="1:1" x14ac:dyDescent="0.25">
      <c r="A10367" s="5"/>
    </row>
    <row r="10368" spans="1:1" x14ac:dyDescent="0.25">
      <c r="A10368" s="5"/>
    </row>
    <row r="10369" spans="1:1" x14ac:dyDescent="0.25">
      <c r="A10369" s="5"/>
    </row>
    <row r="10370" spans="1:1" x14ac:dyDescent="0.25">
      <c r="A10370" s="5"/>
    </row>
    <row r="10371" spans="1:1" x14ac:dyDescent="0.25">
      <c r="A10371" s="5"/>
    </row>
    <row r="10372" spans="1:1" x14ac:dyDescent="0.25">
      <c r="A10372" s="5"/>
    </row>
    <row r="10373" spans="1:1" x14ac:dyDescent="0.25">
      <c r="A10373" s="5"/>
    </row>
    <row r="10374" spans="1:1" x14ac:dyDescent="0.25">
      <c r="A10374" s="5"/>
    </row>
    <row r="10375" spans="1:1" x14ac:dyDescent="0.25">
      <c r="A10375" s="5"/>
    </row>
    <row r="10376" spans="1:1" x14ac:dyDescent="0.25">
      <c r="A10376" s="5"/>
    </row>
    <row r="10377" spans="1:1" x14ac:dyDescent="0.25">
      <c r="A10377" s="5"/>
    </row>
    <row r="10378" spans="1:1" x14ac:dyDescent="0.25">
      <c r="A10378" s="5"/>
    </row>
    <row r="10379" spans="1:1" x14ac:dyDescent="0.25">
      <c r="A10379" s="5"/>
    </row>
    <row r="10380" spans="1:1" x14ac:dyDescent="0.25">
      <c r="A10380" s="5"/>
    </row>
    <row r="10381" spans="1:1" x14ac:dyDescent="0.25">
      <c r="A10381" s="5"/>
    </row>
    <row r="10382" spans="1:1" x14ac:dyDescent="0.25">
      <c r="A10382" s="5"/>
    </row>
    <row r="10383" spans="1:1" x14ac:dyDescent="0.25">
      <c r="A10383" s="5"/>
    </row>
    <row r="10384" spans="1:1" x14ac:dyDescent="0.25">
      <c r="A10384" s="5"/>
    </row>
    <row r="10385" spans="1:1" x14ac:dyDescent="0.25">
      <c r="A10385" s="5"/>
    </row>
    <row r="10386" spans="1:1" x14ac:dyDescent="0.25">
      <c r="A10386" s="5"/>
    </row>
    <row r="10387" spans="1:1" x14ac:dyDescent="0.25">
      <c r="A10387" s="5"/>
    </row>
    <row r="10388" spans="1:1" x14ac:dyDescent="0.25">
      <c r="A10388" s="5"/>
    </row>
    <row r="10389" spans="1:1" x14ac:dyDescent="0.25">
      <c r="A10389" s="5"/>
    </row>
    <row r="10390" spans="1:1" x14ac:dyDescent="0.25">
      <c r="A10390" s="5"/>
    </row>
    <row r="10391" spans="1:1" x14ac:dyDescent="0.25">
      <c r="A10391" s="5"/>
    </row>
    <row r="10392" spans="1:1" x14ac:dyDescent="0.25">
      <c r="A10392" s="5"/>
    </row>
    <row r="10393" spans="1:1" x14ac:dyDescent="0.25">
      <c r="A10393" s="5"/>
    </row>
    <row r="10394" spans="1:1" x14ac:dyDescent="0.25">
      <c r="A10394" s="5"/>
    </row>
    <row r="10395" spans="1:1" x14ac:dyDescent="0.25">
      <c r="A10395" s="5"/>
    </row>
    <row r="10396" spans="1:1" x14ac:dyDescent="0.25">
      <c r="A10396" s="5"/>
    </row>
    <row r="10397" spans="1:1" x14ac:dyDescent="0.25">
      <c r="A10397" s="5"/>
    </row>
    <row r="10398" spans="1:1" x14ac:dyDescent="0.25">
      <c r="A10398" s="5"/>
    </row>
    <row r="10399" spans="1:1" x14ac:dyDescent="0.25">
      <c r="A10399" s="5"/>
    </row>
    <row r="10400" spans="1:1" x14ac:dyDescent="0.25">
      <c r="A10400" s="5"/>
    </row>
    <row r="10401" spans="1:1" x14ac:dyDescent="0.25">
      <c r="A10401" s="5"/>
    </row>
    <row r="10402" spans="1:1" x14ac:dyDescent="0.25">
      <c r="A10402" s="5"/>
    </row>
    <row r="10403" spans="1:1" x14ac:dyDescent="0.25">
      <c r="A10403" s="5"/>
    </row>
    <row r="10404" spans="1:1" x14ac:dyDescent="0.25">
      <c r="A10404" s="5"/>
    </row>
    <row r="10405" spans="1:1" x14ac:dyDescent="0.25">
      <c r="A10405" s="5"/>
    </row>
    <row r="10406" spans="1:1" x14ac:dyDescent="0.25">
      <c r="A10406" s="5"/>
    </row>
    <row r="10407" spans="1:1" x14ac:dyDescent="0.25">
      <c r="A10407" s="5"/>
    </row>
    <row r="10408" spans="1:1" x14ac:dyDescent="0.25">
      <c r="A10408" s="5"/>
    </row>
    <row r="10409" spans="1:1" x14ac:dyDescent="0.25">
      <c r="A10409" s="5"/>
    </row>
    <row r="10410" spans="1:1" x14ac:dyDescent="0.25">
      <c r="A10410" s="5"/>
    </row>
    <row r="10411" spans="1:1" x14ac:dyDescent="0.25">
      <c r="A10411" s="5"/>
    </row>
    <row r="10412" spans="1:1" x14ac:dyDescent="0.25">
      <c r="A10412" s="5"/>
    </row>
    <row r="10413" spans="1:1" x14ac:dyDescent="0.25">
      <c r="A10413" s="5"/>
    </row>
    <row r="10414" spans="1:1" x14ac:dyDescent="0.25">
      <c r="A10414" s="5"/>
    </row>
    <row r="10415" spans="1:1" x14ac:dyDescent="0.25">
      <c r="A10415" s="5"/>
    </row>
    <row r="10416" spans="1:1" x14ac:dyDescent="0.25">
      <c r="A10416" s="5"/>
    </row>
    <row r="10417" spans="1:1" x14ac:dyDescent="0.25">
      <c r="A10417" s="5"/>
    </row>
    <row r="10418" spans="1:1" x14ac:dyDescent="0.25">
      <c r="A10418" s="5"/>
    </row>
    <row r="10419" spans="1:1" x14ac:dyDescent="0.25">
      <c r="A10419" s="5"/>
    </row>
    <row r="10420" spans="1:1" x14ac:dyDescent="0.25">
      <c r="A10420" s="5"/>
    </row>
    <row r="10421" spans="1:1" x14ac:dyDescent="0.25">
      <c r="A10421" s="5"/>
    </row>
    <row r="10422" spans="1:1" x14ac:dyDescent="0.25">
      <c r="A10422" s="5"/>
    </row>
    <row r="10423" spans="1:1" x14ac:dyDescent="0.25">
      <c r="A10423" s="5"/>
    </row>
    <row r="10424" spans="1:1" x14ac:dyDescent="0.25">
      <c r="A10424" s="5"/>
    </row>
    <row r="10425" spans="1:1" x14ac:dyDescent="0.25">
      <c r="A10425" s="5"/>
    </row>
    <row r="10426" spans="1:1" x14ac:dyDescent="0.25">
      <c r="A10426" s="5"/>
    </row>
    <row r="10427" spans="1:1" x14ac:dyDescent="0.25">
      <c r="A10427" s="5"/>
    </row>
    <row r="10428" spans="1:1" x14ac:dyDescent="0.25">
      <c r="A10428" s="5"/>
    </row>
    <row r="10429" spans="1:1" x14ac:dyDescent="0.25">
      <c r="A10429" s="5"/>
    </row>
    <row r="10430" spans="1:1" x14ac:dyDescent="0.25">
      <c r="A10430" s="5"/>
    </row>
    <row r="10431" spans="1:1" x14ac:dyDescent="0.25">
      <c r="A10431" s="5"/>
    </row>
    <row r="10432" spans="1:1" x14ac:dyDescent="0.25">
      <c r="A10432" s="5"/>
    </row>
    <row r="10433" spans="1:1" x14ac:dyDescent="0.25">
      <c r="A10433" s="5"/>
    </row>
    <row r="10434" spans="1:1" x14ac:dyDescent="0.25">
      <c r="A10434" s="5"/>
    </row>
    <row r="10435" spans="1:1" x14ac:dyDescent="0.25">
      <c r="A10435" s="5"/>
    </row>
    <row r="10436" spans="1:1" x14ac:dyDescent="0.25">
      <c r="A10436" s="5"/>
    </row>
    <row r="10437" spans="1:1" x14ac:dyDescent="0.25">
      <c r="A10437" s="5"/>
    </row>
    <row r="10438" spans="1:1" x14ac:dyDescent="0.25">
      <c r="A10438" s="5"/>
    </row>
    <row r="10439" spans="1:1" x14ac:dyDescent="0.25">
      <c r="A10439" s="5"/>
    </row>
    <row r="10440" spans="1:1" x14ac:dyDescent="0.25">
      <c r="A10440" s="5"/>
    </row>
    <row r="10441" spans="1:1" x14ac:dyDescent="0.25">
      <c r="A10441" s="5"/>
    </row>
    <row r="10442" spans="1:1" x14ac:dyDescent="0.25">
      <c r="A10442" s="5"/>
    </row>
    <row r="10443" spans="1:1" x14ac:dyDescent="0.25">
      <c r="A10443" s="5"/>
    </row>
    <row r="10444" spans="1:1" x14ac:dyDescent="0.25">
      <c r="A10444" s="5"/>
    </row>
    <row r="10445" spans="1:1" x14ac:dyDescent="0.25">
      <c r="A10445" s="5"/>
    </row>
    <row r="10446" spans="1:1" x14ac:dyDescent="0.25">
      <c r="A10446" s="5"/>
    </row>
    <row r="10447" spans="1:1" x14ac:dyDescent="0.25">
      <c r="A10447" s="5"/>
    </row>
    <row r="10448" spans="1:1" x14ac:dyDescent="0.25">
      <c r="A10448" s="5"/>
    </row>
    <row r="10449" spans="1:1" x14ac:dyDescent="0.25">
      <c r="A10449" s="5"/>
    </row>
    <row r="10450" spans="1:1" x14ac:dyDescent="0.25">
      <c r="A10450" s="5"/>
    </row>
    <row r="10451" spans="1:1" x14ac:dyDescent="0.25">
      <c r="A10451" s="5"/>
    </row>
    <row r="10452" spans="1:1" x14ac:dyDescent="0.25">
      <c r="A10452" s="5"/>
    </row>
    <row r="10453" spans="1:1" x14ac:dyDescent="0.25">
      <c r="A10453" s="5"/>
    </row>
    <row r="10454" spans="1:1" x14ac:dyDescent="0.25">
      <c r="A10454" s="5"/>
    </row>
    <row r="10455" spans="1:1" x14ac:dyDescent="0.25">
      <c r="A10455" s="5"/>
    </row>
    <row r="10456" spans="1:1" x14ac:dyDescent="0.25">
      <c r="A10456" s="5"/>
    </row>
    <row r="10457" spans="1:1" x14ac:dyDescent="0.25">
      <c r="A10457" s="5"/>
    </row>
    <row r="10458" spans="1:1" x14ac:dyDescent="0.25">
      <c r="A10458" s="5"/>
    </row>
    <row r="10459" spans="1:1" x14ac:dyDescent="0.25">
      <c r="A10459" s="5"/>
    </row>
    <row r="10460" spans="1:1" x14ac:dyDescent="0.25">
      <c r="A10460" s="5"/>
    </row>
    <row r="10461" spans="1:1" x14ac:dyDescent="0.25">
      <c r="A10461" s="5"/>
    </row>
    <row r="10462" spans="1:1" x14ac:dyDescent="0.25">
      <c r="A10462" s="5"/>
    </row>
    <row r="10463" spans="1:1" x14ac:dyDescent="0.25">
      <c r="A10463" s="5"/>
    </row>
    <row r="10464" spans="1:1" x14ac:dyDescent="0.25">
      <c r="A10464" s="5"/>
    </row>
    <row r="10465" spans="1:1" x14ac:dyDescent="0.25">
      <c r="A10465" s="5"/>
    </row>
    <row r="10466" spans="1:1" x14ac:dyDescent="0.25">
      <c r="A10466" s="5"/>
    </row>
    <row r="10467" spans="1:1" x14ac:dyDescent="0.25">
      <c r="A10467" s="5"/>
    </row>
    <row r="10468" spans="1:1" x14ac:dyDescent="0.25">
      <c r="A10468" s="5"/>
    </row>
    <row r="10469" spans="1:1" x14ac:dyDescent="0.25">
      <c r="A10469" s="5"/>
    </row>
    <row r="10470" spans="1:1" x14ac:dyDescent="0.25">
      <c r="A10470" s="5"/>
    </row>
    <row r="10471" spans="1:1" x14ac:dyDescent="0.25">
      <c r="A10471" s="5"/>
    </row>
    <row r="10472" spans="1:1" x14ac:dyDescent="0.25">
      <c r="A10472" s="5"/>
    </row>
    <row r="10473" spans="1:1" x14ac:dyDescent="0.25">
      <c r="A10473" s="5"/>
    </row>
    <row r="10474" spans="1:1" x14ac:dyDescent="0.25">
      <c r="A10474" s="5"/>
    </row>
    <row r="10475" spans="1:1" x14ac:dyDescent="0.25">
      <c r="A10475" s="5"/>
    </row>
    <row r="10476" spans="1:1" x14ac:dyDescent="0.25">
      <c r="A10476" s="5"/>
    </row>
    <row r="10477" spans="1:1" x14ac:dyDescent="0.25">
      <c r="A10477" s="5"/>
    </row>
    <row r="10478" spans="1:1" x14ac:dyDescent="0.25">
      <c r="A10478" s="5"/>
    </row>
    <row r="10479" spans="1:1" x14ac:dyDescent="0.25">
      <c r="A10479" s="5"/>
    </row>
    <row r="10480" spans="1:1" x14ac:dyDescent="0.25">
      <c r="A10480" s="5"/>
    </row>
    <row r="10481" spans="1:1" x14ac:dyDescent="0.25">
      <c r="A10481" s="5"/>
    </row>
    <row r="10482" spans="1:1" x14ac:dyDescent="0.25">
      <c r="A10482" s="5"/>
    </row>
    <row r="10483" spans="1:1" x14ac:dyDescent="0.25">
      <c r="A10483" s="5"/>
    </row>
    <row r="10484" spans="1:1" x14ac:dyDescent="0.25">
      <c r="A10484" s="5"/>
    </row>
    <row r="10485" spans="1:1" x14ac:dyDescent="0.25">
      <c r="A10485" s="5"/>
    </row>
    <row r="10486" spans="1:1" x14ac:dyDescent="0.25">
      <c r="A10486" s="5"/>
    </row>
    <row r="10487" spans="1:1" x14ac:dyDescent="0.25">
      <c r="A10487" s="5"/>
    </row>
    <row r="10488" spans="1:1" x14ac:dyDescent="0.25">
      <c r="A10488" s="5"/>
    </row>
    <row r="10489" spans="1:1" x14ac:dyDescent="0.25">
      <c r="A10489" s="5"/>
    </row>
    <row r="10490" spans="1:1" x14ac:dyDescent="0.25">
      <c r="A10490" s="5"/>
    </row>
    <row r="10491" spans="1:1" x14ac:dyDescent="0.25">
      <c r="A10491" s="5"/>
    </row>
    <row r="10492" spans="1:1" x14ac:dyDescent="0.25">
      <c r="A10492" s="5"/>
    </row>
    <row r="10493" spans="1:1" x14ac:dyDescent="0.25">
      <c r="A10493" s="5"/>
    </row>
    <row r="10494" spans="1:1" x14ac:dyDescent="0.25">
      <c r="A10494" s="5"/>
    </row>
    <row r="10495" spans="1:1" x14ac:dyDescent="0.25">
      <c r="A10495" s="5"/>
    </row>
    <row r="10496" spans="1:1" x14ac:dyDescent="0.25">
      <c r="A10496" s="5"/>
    </row>
    <row r="10497" spans="1:1" x14ac:dyDescent="0.25">
      <c r="A10497" s="5"/>
    </row>
    <row r="10498" spans="1:1" x14ac:dyDescent="0.25">
      <c r="A10498" s="5"/>
    </row>
    <row r="10499" spans="1:1" x14ac:dyDescent="0.25">
      <c r="A10499" s="5"/>
    </row>
    <row r="10500" spans="1:1" x14ac:dyDescent="0.25">
      <c r="A10500" s="5"/>
    </row>
    <row r="10501" spans="1:1" x14ac:dyDescent="0.25">
      <c r="A10501" s="5"/>
    </row>
    <row r="10502" spans="1:1" x14ac:dyDescent="0.25">
      <c r="A10502" s="5"/>
    </row>
    <row r="10503" spans="1:1" x14ac:dyDescent="0.25">
      <c r="A10503" s="5"/>
    </row>
    <row r="10504" spans="1:1" x14ac:dyDescent="0.25">
      <c r="A10504" s="5"/>
    </row>
    <row r="10505" spans="1:1" x14ac:dyDescent="0.25">
      <c r="A10505" s="5"/>
    </row>
    <row r="10506" spans="1:1" x14ac:dyDescent="0.25">
      <c r="A10506" s="5"/>
    </row>
    <row r="10507" spans="1:1" x14ac:dyDescent="0.25">
      <c r="A10507" s="5"/>
    </row>
    <row r="10508" spans="1:1" x14ac:dyDescent="0.25">
      <c r="A10508" s="5"/>
    </row>
    <row r="10509" spans="1:1" x14ac:dyDescent="0.25">
      <c r="A10509" s="5"/>
    </row>
    <row r="10510" spans="1:1" x14ac:dyDescent="0.25">
      <c r="A10510" s="5"/>
    </row>
    <row r="10511" spans="1:1" x14ac:dyDescent="0.25">
      <c r="A10511" s="5"/>
    </row>
    <row r="10512" spans="1:1" x14ac:dyDescent="0.25">
      <c r="A10512" s="5"/>
    </row>
    <row r="10513" spans="1:1" x14ac:dyDescent="0.25">
      <c r="A10513" s="5"/>
    </row>
    <row r="10514" spans="1:1" x14ac:dyDescent="0.25">
      <c r="A10514" s="5"/>
    </row>
    <row r="10515" spans="1:1" x14ac:dyDescent="0.25">
      <c r="A10515" s="5"/>
    </row>
    <row r="10516" spans="1:1" x14ac:dyDescent="0.25">
      <c r="A10516" s="5"/>
    </row>
    <row r="10517" spans="1:1" x14ac:dyDescent="0.25">
      <c r="A10517" s="5"/>
    </row>
    <row r="10518" spans="1:1" x14ac:dyDescent="0.25">
      <c r="A10518" s="5"/>
    </row>
    <row r="10519" spans="1:1" x14ac:dyDescent="0.25">
      <c r="A10519" s="5"/>
    </row>
    <row r="10520" spans="1:1" x14ac:dyDescent="0.25">
      <c r="A10520" s="5"/>
    </row>
    <row r="10521" spans="1:1" x14ac:dyDescent="0.25">
      <c r="A10521" s="5"/>
    </row>
    <row r="10522" spans="1:1" x14ac:dyDescent="0.25">
      <c r="A10522" s="5"/>
    </row>
    <row r="10523" spans="1:1" x14ac:dyDescent="0.25">
      <c r="A10523" s="5"/>
    </row>
    <row r="10524" spans="1:1" x14ac:dyDescent="0.25">
      <c r="A10524" s="5"/>
    </row>
    <row r="10525" spans="1:1" x14ac:dyDescent="0.25">
      <c r="A10525" s="5"/>
    </row>
    <row r="10526" spans="1:1" x14ac:dyDescent="0.25">
      <c r="A10526" s="5"/>
    </row>
    <row r="10527" spans="1:1" x14ac:dyDescent="0.25">
      <c r="A10527" s="5"/>
    </row>
    <row r="10528" spans="1:1" x14ac:dyDescent="0.25">
      <c r="A10528" s="5"/>
    </row>
    <row r="10529" spans="1:1" x14ac:dyDescent="0.25">
      <c r="A10529" s="5"/>
    </row>
    <row r="10530" spans="1:1" x14ac:dyDescent="0.25">
      <c r="A10530" s="5"/>
    </row>
    <row r="10531" spans="1:1" x14ac:dyDescent="0.25">
      <c r="A10531" s="5"/>
    </row>
    <row r="10532" spans="1:1" x14ac:dyDescent="0.25">
      <c r="A10532" s="5"/>
    </row>
    <row r="10533" spans="1:1" x14ac:dyDescent="0.25">
      <c r="A10533" s="5"/>
    </row>
    <row r="10534" spans="1:1" x14ac:dyDescent="0.25">
      <c r="A10534" s="5"/>
    </row>
    <row r="10535" spans="1:1" x14ac:dyDescent="0.25">
      <c r="A10535" s="5"/>
    </row>
    <row r="10536" spans="1:1" x14ac:dyDescent="0.25">
      <c r="A10536" s="5"/>
    </row>
    <row r="10537" spans="1:1" x14ac:dyDescent="0.25">
      <c r="A10537" s="5"/>
    </row>
    <row r="10538" spans="1:1" x14ac:dyDescent="0.25">
      <c r="A10538" s="5"/>
    </row>
    <row r="10539" spans="1:1" x14ac:dyDescent="0.25">
      <c r="A10539" s="5"/>
    </row>
    <row r="10540" spans="1:1" x14ac:dyDescent="0.25">
      <c r="A10540" s="5"/>
    </row>
    <row r="10541" spans="1:1" x14ac:dyDescent="0.25">
      <c r="A10541" s="5"/>
    </row>
    <row r="10542" spans="1:1" x14ac:dyDescent="0.25">
      <c r="A10542" s="5"/>
    </row>
    <row r="10543" spans="1:1" x14ac:dyDescent="0.25">
      <c r="A10543" s="5"/>
    </row>
    <row r="10544" spans="1:1" x14ac:dyDescent="0.25">
      <c r="A10544" s="5"/>
    </row>
    <row r="10545" spans="1:1" x14ac:dyDescent="0.25">
      <c r="A10545" s="5"/>
    </row>
    <row r="10546" spans="1:1" x14ac:dyDescent="0.25">
      <c r="A10546" s="5"/>
    </row>
    <row r="10547" spans="1:1" x14ac:dyDescent="0.25">
      <c r="A10547" s="5"/>
    </row>
    <row r="10548" spans="1:1" x14ac:dyDescent="0.25">
      <c r="A10548" s="5"/>
    </row>
    <row r="10549" spans="1:1" x14ac:dyDescent="0.25">
      <c r="A10549" s="5"/>
    </row>
    <row r="10550" spans="1:1" x14ac:dyDescent="0.25">
      <c r="A10550" s="5"/>
    </row>
    <row r="10551" spans="1:1" x14ac:dyDescent="0.25">
      <c r="A10551" s="5"/>
    </row>
    <row r="10552" spans="1:1" x14ac:dyDescent="0.25">
      <c r="A10552" s="5"/>
    </row>
    <row r="10553" spans="1:1" x14ac:dyDescent="0.25">
      <c r="A10553" s="5"/>
    </row>
    <row r="10554" spans="1:1" x14ac:dyDescent="0.25">
      <c r="A10554" s="5"/>
    </row>
    <row r="10555" spans="1:1" x14ac:dyDescent="0.25">
      <c r="A10555" s="5"/>
    </row>
    <row r="10556" spans="1:1" x14ac:dyDescent="0.25">
      <c r="A10556" s="5"/>
    </row>
    <row r="10557" spans="1:1" x14ac:dyDescent="0.25">
      <c r="A10557" s="5"/>
    </row>
    <row r="10558" spans="1:1" x14ac:dyDescent="0.25">
      <c r="A10558" s="5"/>
    </row>
    <row r="10559" spans="1:1" x14ac:dyDescent="0.25">
      <c r="A10559" s="5"/>
    </row>
    <row r="10560" spans="1:1" x14ac:dyDescent="0.25">
      <c r="A10560" s="5"/>
    </row>
    <row r="10561" spans="1:1" x14ac:dyDescent="0.25">
      <c r="A10561" s="5"/>
    </row>
    <row r="10562" spans="1:1" x14ac:dyDescent="0.25">
      <c r="A10562" s="5"/>
    </row>
    <row r="10563" spans="1:1" x14ac:dyDescent="0.25">
      <c r="A10563" s="5"/>
    </row>
    <row r="10564" spans="1:1" x14ac:dyDescent="0.25">
      <c r="A10564" s="5"/>
    </row>
    <row r="10565" spans="1:1" x14ac:dyDescent="0.25">
      <c r="A10565" s="5"/>
    </row>
    <row r="10566" spans="1:1" x14ac:dyDescent="0.25">
      <c r="A10566" s="5"/>
    </row>
    <row r="10567" spans="1:1" x14ac:dyDescent="0.25">
      <c r="A10567" s="5"/>
    </row>
    <row r="10568" spans="1:1" x14ac:dyDescent="0.25">
      <c r="A10568" s="5"/>
    </row>
    <row r="10569" spans="1:1" x14ac:dyDescent="0.25">
      <c r="A10569" s="5"/>
    </row>
    <row r="10570" spans="1:1" x14ac:dyDescent="0.25">
      <c r="A10570" s="5"/>
    </row>
    <row r="10571" spans="1:1" x14ac:dyDescent="0.25">
      <c r="A10571" s="5"/>
    </row>
    <row r="10572" spans="1:1" x14ac:dyDescent="0.25">
      <c r="A10572" s="5"/>
    </row>
    <row r="10573" spans="1:1" x14ac:dyDescent="0.25">
      <c r="A10573" s="5"/>
    </row>
    <row r="10574" spans="1:1" x14ac:dyDescent="0.25">
      <c r="A10574" s="5"/>
    </row>
    <row r="10575" spans="1:1" x14ac:dyDescent="0.25">
      <c r="A10575" s="5"/>
    </row>
    <row r="10576" spans="1:1" x14ac:dyDescent="0.25">
      <c r="A10576" s="5"/>
    </row>
    <row r="10577" spans="1:1" x14ac:dyDescent="0.25">
      <c r="A10577" s="5"/>
    </row>
    <row r="10578" spans="1:1" x14ac:dyDescent="0.25">
      <c r="A10578" s="5"/>
    </row>
    <row r="10579" spans="1:1" x14ac:dyDescent="0.25">
      <c r="A10579" s="5"/>
    </row>
    <row r="10580" spans="1:1" x14ac:dyDescent="0.25">
      <c r="A10580" s="5"/>
    </row>
    <row r="10581" spans="1:1" x14ac:dyDescent="0.25">
      <c r="A10581" s="5"/>
    </row>
    <row r="10582" spans="1:1" x14ac:dyDescent="0.25">
      <c r="A10582" s="5"/>
    </row>
    <row r="10583" spans="1:1" x14ac:dyDescent="0.25">
      <c r="A10583" s="5"/>
    </row>
    <row r="10584" spans="1:1" x14ac:dyDescent="0.25">
      <c r="A10584" s="5"/>
    </row>
    <row r="10585" spans="1:1" x14ac:dyDescent="0.25">
      <c r="A10585" s="5"/>
    </row>
    <row r="10586" spans="1:1" x14ac:dyDescent="0.25">
      <c r="A10586" s="5"/>
    </row>
    <row r="10587" spans="1:1" x14ac:dyDescent="0.25">
      <c r="A10587" s="5"/>
    </row>
    <row r="10588" spans="1:1" x14ac:dyDescent="0.25">
      <c r="A10588" s="5"/>
    </row>
    <row r="10589" spans="1:1" x14ac:dyDescent="0.25">
      <c r="A10589" s="5"/>
    </row>
    <row r="10590" spans="1:1" x14ac:dyDescent="0.25">
      <c r="A10590" s="5"/>
    </row>
    <row r="10591" spans="1:1" x14ac:dyDescent="0.25">
      <c r="A10591" s="5"/>
    </row>
    <row r="10592" spans="1:1" x14ac:dyDescent="0.25">
      <c r="A10592" s="5"/>
    </row>
    <row r="10593" spans="1:1" x14ac:dyDescent="0.25">
      <c r="A10593" s="5"/>
    </row>
    <row r="10594" spans="1:1" x14ac:dyDescent="0.25">
      <c r="A10594" s="5"/>
    </row>
    <row r="10595" spans="1:1" x14ac:dyDescent="0.25">
      <c r="A10595" s="5"/>
    </row>
    <row r="10596" spans="1:1" x14ac:dyDescent="0.25">
      <c r="A10596" s="5"/>
    </row>
    <row r="10597" spans="1:1" x14ac:dyDescent="0.25">
      <c r="A10597" s="5"/>
    </row>
    <row r="10598" spans="1:1" x14ac:dyDescent="0.25">
      <c r="A10598" s="5"/>
    </row>
    <row r="10599" spans="1:1" x14ac:dyDescent="0.25">
      <c r="A10599" s="5"/>
    </row>
    <row r="10600" spans="1:1" x14ac:dyDescent="0.25">
      <c r="A10600" s="5"/>
    </row>
    <row r="10601" spans="1:1" x14ac:dyDescent="0.25">
      <c r="A10601" s="5"/>
    </row>
    <row r="10602" spans="1:1" x14ac:dyDescent="0.25">
      <c r="A10602" s="5"/>
    </row>
    <row r="10603" spans="1:1" x14ac:dyDescent="0.25">
      <c r="A10603" s="5"/>
    </row>
    <row r="10604" spans="1:1" x14ac:dyDescent="0.25">
      <c r="A10604" s="5"/>
    </row>
    <row r="10605" spans="1:1" x14ac:dyDescent="0.25">
      <c r="A10605" s="5"/>
    </row>
    <row r="10606" spans="1:1" x14ac:dyDescent="0.25">
      <c r="A10606" s="5"/>
    </row>
    <row r="10607" spans="1:1" x14ac:dyDescent="0.25">
      <c r="A10607" s="5"/>
    </row>
    <row r="10608" spans="1:1" x14ac:dyDescent="0.25">
      <c r="A10608" s="5"/>
    </row>
    <row r="10609" spans="1:1" x14ac:dyDescent="0.25">
      <c r="A10609" s="5"/>
    </row>
    <row r="10610" spans="1:1" x14ac:dyDescent="0.25">
      <c r="A10610" s="5"/>
    </row>
    <row r="10611" spans="1:1" x14ac:dyDescent="0.25">
      <c r="A10611" s="5"/>
    </row>
    <row r="10612" spans="1:1" x14ac:dyDescent="0.25">
      <c r="A10612" s="5"/>
    </row>
    <row r="10613" spans="1:1" x14ac:dyDescent="0.25">
      <c r="A10613" s="5"/>
    </row>
    <row r="10614" spans="1:1" x14ac:dyDescent="0.25">
      <c r="A10614" s="5"/>
    </row>
    <row r="10615" spans="1:1" x14ac:dyDescent="0.25">
      <c r="A10615" s="5"/>
    </row>
    <row r="10616" spans="1:1" x14ac:dyDescent="0.25">
      <c r="A10616" s="5"/>
    </row>
    <row r="10617" spans="1:1" x14ac:dyDescent="0.25">
      <c r="A10617" s="5"/>
    </row>
    <row r="10618" spans="1:1" x14ac:dyDescent="0.25">
      <c r="A10618" s="5"/>
    </row>
    <row r="10619" spans="1:1" x14ac:dyDescent="0.25">
      <c r="A10619" s="5"/>
    </row>
    <row r="10620" spans="1:1" x14ac:dyDescent="0.25">
      <c r="A10620" s="5"/>
    </row>
    <row r="10621" spans="1:1" x14ac:dyDescent="0.25">
      <c r="A10621" s="5"/>
    </row>
    <row r="10622" spans="1:1" x14ac:dyDescent="0.25">
      <c r="A10622" s="5"/>
    </row>
    <row r="10623" spans="1:1" x14ac:dyDescent="0.25">
      <c r="A10623" s="5"/>
    </row>
    <row r="10624" spans="1:1" x14ac:dyDescent="0.25">
      <c r="A10624" s="5"/>
    </row>
    <row r="10625" spans="1:1" x14ac:dyDescent="0.25">
      <c r="A10625" s="5"/>
    </row>
    <row r="10626" spans="1:1" x14ac:dyDescent="0.25">
      <c r="A10626" s="5"/>
    </row>
    <row r="10627" spans="1:1" x14ac:dyDescent="0.25">
      <c r="A10627" s="5"/>
    </row>
    <row r="10628" spans="1:1" x14ac:dyDescent="0.25">
      <c r="A10628" s="5"/>
    </row>
    <row r="10629" spans="1:1" x14ac:dyDescent="0.25">
      <c r="A10629" s="5"/>
    </row>
    <row r="10630" spans="1:1" x14ac:dyDescent="0.25">
      <c r="A10630" s="5"/>
    </row>
    <row r="10631" spans="1:1" x14ac:dyDescent="0.25">
      <c r="A10631" s="5"/>
    </row>
    <row r="10632" spans="1:1" x14ac:dyDescent="0.25">
      <c r="A10632" s="5"/>
    </row>
    <row r="10633" spans="1:1" x14ac:dyDescent="0.25">
      <c r="A10633" s="5"/>
    </row>
    <row r="10634" spans="1:1" x14ac:dyDescent="0.25">
      <c r="A10634" s="5"/>
    </row>
    <row r="10635" spans="1:1" x14ac:dyDescent="0.25">
      <c r="A10635" s="5"/>
    </row>
    <row r="10636" spans="1:1" x14ac:dyDescent="0.25">
      <c r="A10636" s="5"/>
    </row>
    <row r="10637" spans="1:1" x14ac:dyDescent="0.25">
      <c r="A10637" s="5"/>
    </row>
    <row r="10638" spans="1:1" x14ac:dyDescent="0.25">
      <c r="A10638" s="5"/>
    </row>
    <row r="10639" spans="1:1" x14ac:dyDescent="0.25">
      <c r="A10639" s="5"/>
    </row>
    <row r="10640" spans="1:1" x14ac:dyDescent="0.25">
      <c r="A10640" s="5"/>
    </row>
    <row r="10641" spans="1:1" x14ac:dyDescent="0.25">
      <c r="A10641" s="5"/>
    </row>
    <row r="10642" spans="1:1" x14ac:dyDescent="0.25">
      <c r="A10642" s="5"/>
    </row>
    <row r="10643" spans="1:1" x14ac:dyDescent="0.25">
      <c r="A10643" s="5"/>
    </row>
    <row r="10644" spans="1:1" x14ac:dyDescent="0.25">
      <c r="A10644" s="5"/>
    </row>
    <row r="10645" spans="1:1" x14ac:dyDescent="0.25">
      <c r="A10645" s="5"/>
    </row>
    <row r="10646" spans="1:1" x14ac:dyDescent="0.25">
      <c r="A10646" s="5"/>
    </row>
    <row r="10647" spans="1:1" x14ac:dyDescent="0.25">
      <c r="A10647" s="5"/>
    </row>
    <row r="10648" spans="1:1" x14ac:dyDescent="0.25">
      <c r="A10648" s="5"/>
    </row>
    <row r="10649" spans="1:1" x14ac:dyDescent="0.25">
      <c r="A10649" s="5"/>
    </row>
    <row r="10650" spans="1:1" x14ac:dyDescent="0.25">
      <c r="A10650" s="5"/>
    </row>
    <row r="10651" spans="1:1" x14ac:dyDescent="0.25">
      <c r="A10651" s="5"/>
    </row>
    <row r="10652" spans="1:1" x14ac:dyDescent="0.25">
      <c r="A10652" s="5"/>
    </row>
    <row r="10653" spans="1:1" x14ac:dyDescent="0.25">
      <c r="A10653" s="5"/>
    </row>
    <row r="10654" spans="1:1" x14ac:dyDescent="0.25">
      <c r="A10654" s="5"/>
    </row>
    <row r="10655" spans="1:1" x14ac:dyDescent="0.25">
      <c r="A10655" s="5"/>
    </row>
    <row r="10656" spans="1:1" x14ac:dyDescent="0.25">
      <c r="A10656" s="5"/>
    </row>
    <row r="10657" spans="1:1" x14ac:dyDescent="0.25">
      <c r="A10657" s="5"/>
    </row>
    <row r="10658" spans="1:1" x14ac:dyDescent="0.25">
      <c r="A10658" s="5"/>
    </row>
    <row r="10659" spans="1:1" x14ac:dyDescent="0.25">
      <c r="A10659" s="5"/>
    </row>
    <row r="10660" spans="1:1" x14ac:dyDescent="0.25">
      <c r="A10660" s="5"/>
    </row>
    <row r="10661" spans="1:1" x14ac:dyDescent="0.25">
      <c r="A10661" s="5"/>
    </row>
    <row r="10662" spans="1:1" x14ac:dyDescent="0.25">
      <c r="A10662" s="5"/>
    </row>
    <row r="10663" spans="1:1" x14ac:dyDescent="0.25">
      <c r="A10663" s="5"/>
    </row>
    <row r="10664" spans="1:1" x14ac:dyDescent="0.25">
      <c r="A10664" s="5"/>
    </row>
    <row r="10665" spans="1:1" x14ac:dyDescent="0.25">
      <c r="A10665" s="5"/>
    </row>
    <row r="10666" spans="1:1" x14ac:dyDescent="0.25">
      <c r="A10666" s="5"/>
    </row>
    <row r="10667" spans="1:1" x14ac:dyDescent="0.25">
      <c r="A10667" s="5"/>
    </row>
    <row r="10668" spans="1:1" x14ac:dyDescent="0.25">
      <c r="A10668" s="5"/>
    </row>
    <row r="10669" spans="1:1" x14ac:dyDescent="0.25">
      <c r="A10669" s="5"/>
    </row>
    <row r="10670" spans="1:1" x14ac:dyDescent="0.25">
      <c r="A10670" s="5"/>
    </row>
    <row r="10671" spans="1:1" x14ac:dyDescent="0.25">
      <c r="A10671" s="5"/>
    </row>
    <row r="10672" spans="1:1" x14ac:dyDescent="0.25">
      <c r="A10672" s="5"/>
    </row>
    <row r="10673" spans="1:1" x14ac:dyDescent="0.25">
      <c r="A10673" s="5"/>
    </row>
    <row r="10674" spans="1:1" x14ac:dyDescent="0.25">
      <c r="A10674" s="5"/>
    </row>
    <row r="10675" spans="1:1" x14ac:dyDescent="0.25">
      <c r="A10675" s="5"/>
    </row>
    <row r="10676" spans="1:1" x14ac:dyDescent="0.25">
      <c r="A10676" s="5"/>
    </row>
    <row r="10677" spans="1:1" x14ac:dyDescent="0.25">
      <c r="A10677" s="5"/>
    </row>
    <row r="10678" spans="1:1" x14ac:dyDescent="0.25">
      <c r="A10678" s="5"/>
    </row>
    <row r="10679" spans="1:1" x14ac:dyDescent="0.25">
      <c r="A10679" s="5"/>
    </row>
    <row r="10680" spans="1:1" x14ac:dyDescent="0.25">
      <c r="A10680" s="5"/>
    </row>
    <row r="10681" spans="1:1" x14ac:dyDescent="0.25">
      <c r="A10681" s="5"/>
    </row>
    <row r="10682" spans="1:1" x14ac:dyDescent="0.25">
      <c r="A10682" s="5"/>
    </row>
    <row r="10683" spans="1:1" x14ac:dyDescent="0.25">
      <c r="A10683" s="5"/>
    </row>
    <row r="10684" spans="1:1" x14ac:dyDescent="0.25">
      <c r="A10684" s="5"/>
    </row>
    <row r="10685" spans="1:1" x14ac:dyDescent="0.25">
      <c r="A10685" s="5"/>
    </row>
    <row r="10686" spans="1:1" x14ac:dyDescent="0.25">
      <c r="A10686" s="5"/>
    </row>
    <row r="10687" spans="1:1" x14ac:dyDescent="0.25">
      <c r="A10687" s="5"/>
    </row>
    <row r="10688" spans="1:1" x14ac:dyDescent="0.25">
      <c r="A10688" s="5"/>
    </row>
    <row r="10689" spans="1:1" x14ac:dyDescent="0.25">
      <c r="A10689" s="5"/>
    </row>
    <row r="10690" spans="1:1" x14ac:dyDescent="0.25">
      <c r="A10690" s="5"/>
    </row>
    <row r="10691" spans="1:1" x14ac:dyDescent="0.25">
      <c r="A10691" s="5"/>
    </row>
    <row r="10692" spans="1:1" x14ac:dyDescent="0.25">
      <c r="A10692" s="5"/>
    </row>
    <row r="10693" spans="1:1" x14ac:dyDescent="0.25">
      <c r="A10693" s="5"/>
    </row>
    <row r="10694" spans="1:1" x14ac:dyDescent="0.25">
      <c r="A10694" s="5"/>
    </row>
    <row r="10695" spans="1:1" x14ac:dyDescent="0.25">
      <c r="A10695" s="5"/>
    </row>
    <row r="10696" spans="1:1" x14ac:dyDescent="0.25">
      <c r="A10696" s="5"/>
    </row>
    <row r="10697" spans="1:1" x14ac:dyDescent="0.25">
      <c r="A10697" s="5"/>
    </row>
    <row r="10698" spans="1:1" x14ac:dyDescent="0.25">
      <c r="A10698" s="5"/>
    </row>
    <row r="10699" spans="1:1" x14ac:dyDescent="0.25">
      <c r="A10699" s="5"/>
    </row>
    <row r="10700" spans="1:1" x14ac:dyDescent="0.25">
      <c r="A10700" s="5"/>
    </row>
    <row r="10701" spans="1:1" x14ac:dyDescent="0.25">
      <c r="A10701" s="5"/>
    </row>
    <row r="10702" spans="1:1" x14ac:dyDescent="0.25">
      <c r="A10702" s="5"/>
    </row>
    <row r="10703" spans="1:1" x14ac:dyDescent="0.25">
      <c r="A10703" s="5"/>
    </row>
    <row r="10704" spans="1:1" x14ac:dyDescent="0.25">
      <c r="A10704" s="5"/>
    </row>
    <row r="10705" spans="1:1" x14ac:dyDescent="0.25">
      <c r="A10705" s="5"/>
    </row>
    <row r="10706" spans="1:1" x14ac:dyDescent="0.25">
      <c r="A10706" s="5"/>
    </row>
    <row r="10707" spans="1:1" x14ac:dyDescent="0.25">
      <c r="A10707" s="5"/>
    </row>
    <row r="10708" spans="1:1" x14ac:dyDescent="0.25">
      <c r="A10708" s="5"/>
    </row>
    <row r="10709" spans="1:1" x14ac:dyDescent="0.25">
      <c r="A10709" s="5"/>
    </row>
    <row r="10710" spans="1:1" x14ac:dyDescent="0.25">
      <c r="A10710" s="5"/>
    </row>
    <row r="10711" spans="1:1" x14ac:dyDescent="0.25">
      <c r="A10711" s="5"/>
    </row>
    <row r="10712" spans="1:1" x14ac:dyDescent="0.25">
      <c r="A10712" s="5"/>
    </row>
    <row r="10713" spans="1:1" x14ac:dyDescent="0.25">
      <c r="A10713" s="5"/>
    </row>
    <row r="10714" spans="1:1" x14ac:dyDescent="0.25">
      <c r="A10714" s="5"/>
    </row>
    <row r="10715" spans="1:1" x14ac:dyDescent="0.25">
      <c r="A10715" s="5"/>
    </row>
    <row r="10716" spans="1:1" x14ac:dyDescent="0.25">
      <c r="A10716" s="5"/>
    </row>
    <row r="10717" spans="1:1" x14ac:dyDescent="0.25">
      <c r="A10717" s="5"/>
    </row>
    <row r="10718" spans="1:1" x14ac:dyDescent="0.25">
      <c r="A10718" s="5"/>
    </row>
    <row r="10719" spans="1:1" x14ac:dyDescent="0.25">
      <c r="A10719" s="5"/>
    </row>
    <row r="10720" spans="1:1" x14ac:dyDescent="0.25">
      <c r="A10720" s="5"/>
    </row>
    <row r="10721" spans="1:1" x14ac:dyDescent="0.25">
      <c r="A10721" s="5"/>
    </row>
    <row r="10722" spans="1:1" x14ac:dyDescent="0.25">
      <c r="A10722" s="5"/>
    </row>
    <row r="10723" spans="1:1" x14ac:dyDescent="0.25">
      <c r="A10723" s="5"/>
    </row>
    <row r="10724" spans="1:1" x14ac:dyDescent="0.25">
      <c r="A10724" s="5"/>
    </row>
    <row r="10725" spans="1:1" x14ac:dyDescent="0.25">
      <c r="A10725" s="5"/>
    </row>
    <row r="10726" spans="1:1" x14ac:dyDescent="0.25">
      <c r="A10726" s="5"/>
    </row>
    <row r="10727" spans="1:1" x14ac:dyDescent="0.25">
      <c r="A10727" s="5"/>
    </row>
    <row r="10728" spans="1:1" x14ac:dyDescent="0.25">
      <c r="A10728" s="5"/>
    </row>
    <row r="10729" spans="1:1" x14ac:dyDescent="0.25">
      <c r="A10729" s="5"/>
    </row>
    <row r="10730" spans="1:1" x14ac:dyDescent="0.25">
      <c r="A10730" s="5"/>
    </row>
    <row r="10731" spans="1:1" x14ac:dyDescent="0.25">
      <c r="A10731" s="5"/>
    </row>
    <row r="10732" spans="1:1" x14ac:dyDescent="0.25">
      <c r="A10732" s="5"/>
    </row>
    <row r="10733" spans="1:1" x14ac:dyDescent="0.25">
      <c r="A10733" s="5"/>
    </row>
    <row r="10734" spans="1:1" x14ac:dyDescent="0.25">
      <c r="A10734" s="5"/>
    </row>
    <row r="10735" spans="1:1" x14ac:dyDescent="0.25">
      <c r="A10735" s="5"/>
    </row>
    <row r="10736" spans="1:1" x14ac:dyDescent="0.25">
      <c r="A10736" s="5"/>
    </row>
    <row r="10737" spans="1:1" x14ac:dyDescent="0.25">
      <c r="A10737" s="5"/>
    </row>
    <row r="10738" spans="1:1" x14ac:dyDescent="0.25">
      <c r="A10738" s="5"/>
    </row>
    <row r="10739" spans="1:1" x14ac:dyDescent="0.25">
      <c r="A10739" s="5"/>
    </row>
    <row r="10740" spans="1:1" x14ac:dyDescent="0.25">
      <c r="A10740" s="5"/>
    </row>
    <row r="10741" spans="1:1" x14ac:dyDescent="0.25">
      <c r="A10741" s="5"/>
    </row>
    <row r="10742" spans="1:1" x14ac:dyDescent="0.25">
      <c r="A10742" s="5"/>
    </row>
    <row r="10743" spans="1:1" x14ac:dyDescent="0.25">
      <c r="A10743" s="5"/>
    </row>
    <row r="10744" spans="1:1" x14ac:dyDescent="0.25">
      <c r="A10744" s="5"/>
    </row>
    <row r="10745" spans="1:1" x14ac:dyDescent="0.25">
      <c r="A10745" s="5"/>
    </row>
    <row r="10746" spans="1:1" x14ac:dyDescent="0.25">
      <c r="A10746" s="5"/>
    </row>
    <row r="10747" spans="1:1" x14ac:dyDescent="0.25">
      <c r="A10747" s="5"/>
    </row>
    <row r="10748" spans="1:1" x14ac:dyDescent="0.25">
      <c r="A10748" s="5"/>
    </row>
    <row r="10749" spans="1:1" x14ac:dyDescent="0.25">
      <c r="A10749" s="5"/>
    </row>
    <row r="10750" spans="1:1" x14ac:dyDescent="0.25">
      <c r="A10750" s="5"/>
    </row>
    <row r="10751" spans="1:1" x14ac:dyDescent="0.25">
      <c r="A10751" s="5"/>
    </row>
    <row r="10752" spans="1:1" x14ac:dyDescent="0.25">
      <c r="A10752" s="5"/>
    </row>
    <row r="10753" spans="1:1" x14ac:dyDescent="0.25">
      <c r="A10753" s="5"/>
    </row>
    <row r="10754" spans="1:1" x14ac:dyDescent="0.25">
      <c r="A10754" s="5"/>
    </row>
    <row r="10755" spans="1:1" x14ac:dyDescent="0.25">
      <c r="A10755" s="5"/>
    </row>
    <row r="10756" spans="1:1" x14ac:dyDescent="0.25">
      <c r="A10756" s="5"/>
    </row>
    <row r="10757" spans="1:1" x14ac:dyDescent="0.25">
      <c r="A10757" s="5"/>
    </row>
    <row r="10758" spans="1:1" x14ac:dyDescent="0.25">
      <c r="A10758" s="5"/>
    </row>
    <row r="10759" spans="1:1" x14ac:dyDescent="0.25">
      <c r="A10759" s="5"/>
    </row>
    <row r="10760" spans="1:1" x14ac:dyDescent="0.25">
      <c r="A10760" s="5"/>
    </row>
    <row r="10761" spans="1:1" x14ac:dyDescent="0.25">
      <c r="A10761" s="5"/>
    </row>
    <row r="10762" spans="1:1" x14ac:dyDescent="0.25">
      <c r="A10762" s="5"/>
    </row>
    <row r="10763" spans="1:1" x14ac:dyDescent="0.25">
      <c r="A10763" s="5"/>
    </row>
    <row r="10764" spans="1:1" x14ac:dyDescent="0.25">
      <c r="A10764" s="5"/>
    </row>
    <row r="10765" spans="1:1" x14ac:dyDescent="0.25">
      <c r="A10765" s="5"/>
    </row>
    <row r="10766" spans="1:1" x14ac:dyDescent="0.25">
      <c r="A10766" s="5"/>
    </row>
    <row r="10767" spans="1:1" x14ac:dyDescent="0.25">
      <c r="A10767" s="5"/>
    </row>
    <row r="10768" spans="1:1" x14ac:dyDescent="0.25">
      <c r="A10768" s="5"/>
    </row>
    <row r="10769" spans="1:1" x14ac:dyDescent="0.25">
      <c r="A10769" s="5"/>
    </row>
    <row r="10770" spans="1:1" x14ac:dyDescent="0.25">
      <c r="A10770" s="5"/>
    </row>
    <row r="10771" spans="1:1" x14ac:dyDescent="0.25">
      <c r="A10771" s="5"/>
    </row>
    <row r="10772" spans="1:1" x14ac:dyDescent="0.25">
      <c r="A10772" s="5"/>
    </row>
    <row r="10773" spans="1:1" x14ac:dyDescent="0.25">
      <c r="A10773" s="5"/>
    </row>
    <row r="10774" spans="1:1" x14ac:dyDescent="0.25">
      <c r="A10774" s="5"/>
    </row>
    <row r="10775" spans="1:1" x14ac:dyDescent="0.25">
      <c r="A10775" s="5"/>
    </row>
    <row r="10776" spans="1:1" x14ac:dyDescent="0.25">
      <c r="A10776" s="5"/>
    </row>
    <row r="10777" spans="1:1" x14ac:dyDescent="0.25">
      <c r="A10777" s="5"/>
    </row>
    <row r="10778" spans="1:1" x14ac:dyDescent="0.25">
      <c r="A10778" s="5"/>
    </row>
    <row r="10779" spans="1:1" x14ac:dyDescent="0.25">
      <c r="A10779" s="5"/>
    </row>
    <row r="10780" spans="1:1" x14ac:dyDescent="0.25">
      <c r="A10780" s="5"/>
    </row>
    <row r="10781" spans="1:1" x14ac:dyDescent="0.25">
      <c r="A10781" s="5"/>
    </row>
    <row r="10782" spans="1:1" x14ac:dyDescent="0.25">
      <c r="A10782" s="5"/>
    </row>
    <row r="10783" spans="1:1" x14ac:dyDescent="0.25">
      <c r="A10783" s="5"/>
    </row>
    <row r="10784" spans="1:1" x14ac:dyDescent="0.25">
      <c r="A10784" s="5"/>
    </row>
    <row r="10785" spans="1:1" x14ac:dyDescent="0.25">
      <c r="A10785" s="5"/>
    </row>
    <row r="10786" spans="1:1" x14ac:dyDescent="0.25">
      <c r="A10786" s="5"/>
    </row>
    <row r="10787" spans="1:1" x14ac:dyDescent="0.25">
      <c r="A10787" s="5"/>
    </row>
    <row r="10788" spans="1:1" x14ac:dyDescent="0.25">
      <c r="A10788" s="5"/>
    </row>
    <row r="10789" spans="1:1" x14ac:dyDescent="0.25">
      <c r="A10789" s="5"/>
    </row>
    <row r="10790" spans="1:1" x14ac:dyDescent="0.25">
      <c r="A10790" s="5"/>
    </row>
    <row r="10791" spans="1:1" x14ac:dyDescent="0.25">
      <c r="A10791" s="5"/>
    </row>
    <row r="10792" spans="1:1" x14ac:dyDescent="0.25">
      <c r="A10792" s="5"/>
    </row>
    <row r="10793" spans="1:1" x14ac:dyDescent="0.25">
      <c r="A10793" s="5"/>
    </row>
    <row r="10794" spans="1:1" x14ac:dyDescent="0.25">
      <c r="A10794" s="5"/>
    </row>
    <row r="10795" spans="1:1" x14ac:dyDescent="0.25">
      <c r="A10795" s="5"/>
    </row>
    <row r="10796" spans="1:1" x14ac:dyDescent="0.25">
      <c r="A10796" s="5"/>
    </row>
    <row r="10797" spans="1:1" x14ac:dyDescent="0.25">
      <c r="A10797" s="5"/>
    </row>
    <row r="10798" spans="1:1" x14ac:dyDescent="0.25">
      <c r="A10798" s="5"/>
    </row>
    <row r="10799" spans="1:1" x14ac:dyDescent="0.25">
      <c r="A10799" s="5"/>
    </row>
    <row r="10800" spans="1:1" x14ac:dyDescent="0.25">
      <c r="A10800" s="5"/>
    </row>
    <row r="10801" spans="1:1" x14ac:dyDescent="0.25">
      <c r="A10801" s="5"/>
    </row>
    <row r="10802" spans="1:1" x14ac:dyDescent="0.25">
      <c r="A10802" s="5"/>
    </row>
    <row r="10803" spans="1:1" x14ac:dyDescent="0.25">
      <c r="A10803" s="5"/>
    </row>
    <row r="10804" spans="1:1" x14ac:dyDescent="0.25">
      <c r="A10804" s="5"/>
    </row>
    <row r="10805" spans="1:1" x14ac:dyDescent="0.25">
      <c r="A10805" s="5"/>
    </row>
    <row r="10806" spans="1:1" x14ac:dyDescent="0.25">
      <c r="A10806" s="5"/>
    </row>
    <row r="10807" spans="1:1" x14ac:dyDescent="0.25">
      <c r="A10807" s="5"/>
    </row>
    <row r="10808" spans="1:1" x14ac:dyDescent="0.25">
      <c r="A10808" s="5"/>
    </row>
    <row r="10809" spans="1:1" x14ac:dyDescent="0.25">
      <c r="A10809" s="5"/>
    </row>
    <row r="10810" spans="1:1" x14ac:dyDescent="0.25">
      <c r="A10810" s="5"/>
    </row>
    <row r="10811" spans="1:1" x14ac:dyDescent="0.25">
      <c r="A10811" s="5"/>
    </row>
    <row r="10812" spans="1:1" x14ac:dyDescent="0.25">
      <c r="A10812" s="5"/>
    </row>
    <row r="10813" spans="1:1" x14ac:dyDescent="0.25">
      <c r="A10813" s="5"/>
    </row>
    <row r="10814" spans="1:1" x14ac:dyDescent="0.25">
      <c r="A10814" s="5"/>
    </row>
    <row r="10815" spans="1:1" x14ac:dyDescent="0.25">
      <c r="A10815" s="5"/>
    </row>
    <row r="10816" spans="1:1" x14ac:dyDescent="0.25">
      <c r="A10816" s="5"/>
    </row>
    <row r="10817" spans="1:1" x14ac:dyDescent="0.25">
      <c r="A10817" s="5"/>
    </row>
    <row r="10818" spans="1:1" x14ac:dyDescent="0.25">
      <c r="A10818" s="5"/>
    </row>
    <row r="10819" spans="1:1" x14ac:dyDescent="0.25">
      <c r="A10819" s="5"/>
    </row>
    <row r="10820" spans="1:1" x14ac:dyDescent="0.25">
      <c r="A10820" s="5"/>
    </row>
    <row r="10821" spans="1:1" x14ac:dyDescent="0.25">
      <c r="A10821" s="5"/>
    </row>
    <row r="10822" spans="1:1" x14ac:dyDescent="0.25">
      <c r="A10822" s="5"/>
    </row>
    <row r="10823" spans="1:1" x14ac:dyDescent="0.25">
      <c r="A10823" s="5"/>
    </row>
    <row r="10824" spans="1:1" x14ac:dyDescent="0.25">
      <c r="A10824" s="5"/>
    </row>
    <row r="10825" spans="1:1" x14ac:dyDescent="0.25">
      <c r="A10825" s="5"/>
    </row>
    <row r="10826" spans="1:1" x14ac:dyDescent="0.25">
      <c r="A10826" s="5"/>
    </row>
    <row r="10827" spans="1:1" x14ac:dyDescent="0.25">
      <c r="A10827" s="5"/>
    </row>
    <row r="10828" spans="1:1" x14ac:dyDescent="0.25">
      <c r="A10828" s="5"/>
    </row>
    <row r="10829" spans="1:1" x14ac:dyDescent="0.25">
      <c r="A10829" s="5"/>
    </row>
    <row r="10830" spans="1:1" x14ac:dyDescent="0.25">
      <c r="A10830" s="5"/>
    </row>
    <row r="10831" spans="1:1" x14ac:dyDescent="0.25">
      <c r="A10831" s="5"/>
    </row>
    <row r="10832" spans="1:1" x14ac:dyDescent="0.25">
      <c r="A10832" s="5"/>
    </row>
    <row r="10833" spans="1:1" x14ac:dyDescent="0.25">
      <c r="A10833" s="5"/>
    </row>
    <row r="10834" spans="1:1" x14ac:dyDescent="0.25">
      <c r="A10834" s="5"/>
    </row>
    <row r="10835" spans="1:1" x14ac:dyDescent="0.25">
      <c r="A10835" s="5"/>
    </row>
    <row r="10836" spans="1:1" x14ac:dyDescent="0.25">
      <c r="A10836" s="5"/>
    </row>
    <row r="10837" spans="1:1" x14ac:dyDescent="0.25">
      <c r="A10837" s="5"/>
    </row>
    <row r="10838" spans="1:1" x14ac:dyDescent="0.25">
      <c r="A10838" s="5"/>
    </row>
    <row r="10839" spans="1:1" x14ac:dyDescent="0.25">
      <c r="A10839" s="5"/>
    </row>
    <row r="10840" spans="1:1" x14ac:dyDescent="0.25">
      <c r="A10840" s="5"/>
    </row>
    <row r="10841" spans="1:1" x14ac:dyDescent="0.25">
      <c r="A10841" s="5"/>
    </row>
    <row r="10842" spans="1:1" x14ac:dyDescent="0.25">
      <c r="A10842" s="5"/>
    </row>
    <row r="10843" spans="1:1" x14ac:dyDescent="0.25">
      <c r="A10843" s="5"/>
    </row>
    <row r="10844" spans="1:1" x14ac:dyDescent="0.25">
      <c r="A10844" s="5"/>
    </row>
    <row r="10845" spans="1:1" x14ac:dyDescent="0.25">
      <c r="A10845" s="5"/>
    </row>
    <row r="10846" spans="1:1" x14ac:dyDescent="0.25">
      <c r="A10846" s="5"/>
    </row>
    <row r="10847" spans="1:1" x14ac:dyDescent="0.25">
      <c r="A10847" s="5"/>
    </row>
    <row r="10848" spans="1:1" x14ac:dyDescent="0.25">
      <c r="A10848" s="5"/>
    </row>
    <row r="10849" spans="1:1" x14ac:dyDescent="0.25">
      <c r="A10849" s="5"/>
    </row>
    <row r="10850" spans="1:1" x14ac:dyDescent="0.25">
      <c r="A10850" s="5"/>
    </row>
    <row r="10851" spans="1:1" x14ac:dyDescent="0.25">
      <c r="A10851" s="5"/>
    </row>
    <row r="10852" spans="1:1" x14ac:dyDescent="0.25">
      <c r="A10852" s="5"/>
    </row>
    <row r="10853" spans="1:1" x14ac:dyDescent="0.25">
      <c r="A10853" s="5"/>
    </row>
    <row r="10854" spans="1:1" x14ac:dyDescent="0.25">
      <c r="A10854" s="5"/>
    </row>
    <row r="10855" spans="1:1" x14ac:dyDescent="0.25">
      <c r="A10855" s="5"/>
    </row>
    <row r="10856" spans="1:1" x14ac:dyDescent="0.25">
      <c r="A10856" s="5"/>
    </row>
    <row r="10857" spans="1:1" x14ac:dyDescent="0.25">
      <c r="A10857" s="5"/>
    </row>
    <row r="10858" spans="1:1" x14ac:dyDescent="0.25">
      <c r="A10858" s="5"/>
    </row>
    <row r="10859" spans="1:1" x14ac:dyDescent="0.25">
      <c r="A10859" s="5"/>
    </row>
    <row r="10860" spans="1:1" x14ac:dyDescent="0.25">
      <c r="A10860" s="5"/>
    </row>
    <row r="10861" spans="1:1" x14ac:dyDescent="0.25">
      <c r="A10861" s="5"/>
    </row>
    <row r="10862" spans="1:1" x14ac:dyDescent="0.25">
      <c r="A10862" s="5"/>
    </row>
    <row r="10863" spans="1:1" x14ac:dyDescent="0.25">
      <c r="A10863" s="5"/>
    </row>
    <row r="10864" spans="1:1" x14ac:dyDescent="0.25">
      <c r="A10864" s="5"/>
    </row>
    <row r="10865" spans="1:1" x14ac:dyDescent="0.25">
      <c r="A10865" s="5"/>
    </row>
    <row r="10866" spans="1:1" x14ac:dyDescent="0.25">
      <c r="A10866" s="5"/>
    </row>
    <row r="10867" spans="1:1" x14ac:dyDescent="0.25">
      <c r="A10867" s="5"/>
    </row>
    <row r="10868" spans="1:1" x14ac:dyDescent="0.25">
      <c r="A10868" s="5"/>
    </row>
    <row r="10869" spans="1:1" x14ac:dyDescent="0.25">
      <c r="A10869" s="5"/>
    </row>
    <row r="10870" spans="1:1" x14ac:dyDescent="0.25">
      <c r="A10870" s="5"/>
    </row>
    <row r="10871" spans="1:1" x14ac:dyDescent="0.25">
      <c r="A10871" s="5"/>
    </row>
    <row r="10872" spans="1:1" x14ac:dyDescent="0.25">
      <c r="A10872" s="5"/>
    </row>
    <row r="10873" spans="1:1" x14ac:dyDescent="0.25">
      <c r="A10873" s="5"/>
    </row>
    <row r="10874" spans="1:1" x14ac:dyDescent="0.25">
      <c r="A10874" s="5"/>
    </row>
    <row r="10875" spans="1:1" x14ac:dyDescent="0.25">
      <c r="A10875" s="5"/>
    </row>
    <row r="10876" spans="1:1" x14ac:dyDescent="0.25">
      <c r="A10876" s="5"/>
    </row>
    <row r="10877" spans="1:1" x14ac:dyDescent="0.25">
      <c r="A10877" s="5"/>
    </row>
    <row r="10878" spans="1:1" x14ac:dyDescent="0.25">
      <c r="A10878" s="5"/>
    </row>
    <row r="10879" spans="1:1" x14ac:dyDescent="0.25">
      <c r="A10879" s="5"/>
    </row>
    <row r="10880" spans="1:1" x14ac:dyDescent="0.25">
      <c r="A10880" s="5"/>
    </row>
    <row r="10881" spans="1:1" x14ac:dyDescent="0.25">
      <c r="A10881" s="5"/>
    </row>
    <row r="10882" spans="1:1" x14ac:dyDescent="0.25">
      <c r="A10882" s="5"/>
    </row>
    <row r="10883" spans="1:1" x14ac:dyDescent="0.25">
      <c r="A10883" s="5"/>
    </row>
    <row r="10884" spans="1:1" x14ac:dyDescent="0.25">
      <c r="A10884" s="5"/>
    </row>
    <row r="10885" spans="1:1" x14ac:dyDescent="0.25">
      <c r="A10885" s="5"/>
    </row>
    <row r="10886" spans="1:1" x14ac:dyDescent="0.25">
      <c r="A10886" s="5"/>
    </row>
    <row r="10887" spans="1:1" x14ac:dyDescent="0.25">
      <c r="A10887" s="5"/>
    </row>
    <row r="10888" spans="1:1" x14ac:dyDescent="0.25">
      <c r="A10888" s="5"/>
    </row>
    <row r="10889" spans="1:1" x14ac:dyDescent="0.25">
      <c r="A10889" s="5"/>
    </row>
    <row r="10890" spans="1:1" x14ac:dyDescent="0.25">
      <c r="A10890" s="5"/>
    </row>
    <row r="10891" spans="1:1" x14ac:dyDescent="0.25">
      <c r="A10891" s="5"/>
    </row>
    <row r="10892" spans="1:1" x14ac:dyDescent="0.25">
      <c r="A10892" s="5"/>
    </row>
    <row r="10893" spans="1:1" x14ac:dyDescent="0.25">
      <c r="A10893" s="5"/>
    </row>
    <row r="10894" spans="1:1" x14ac:dyDescent="0.25">
      <c r="A10894" s="5"/>
    </row>
    <row r="10895" spans="1:1" x14ac:dyDescent="0.25">
      <c r="A10895" s="5"/>
    </row>
    <row r="10896" spans="1:1" x14ac:dyDescent="0.25">
      <c r="A10896" s="5"/>
    </row>
    <row r="10897" spans="1:1" x14ac:dyDescent="0.25">
      <c r="A10897" s="5"/>
    </row>
    <row r="10898" spans="1:1" x14ac:dyDescent="0.25">
      <c r="A10898" s="5"/>
    </row>
    <row r="10899" spans="1:1" x14ac:dyDescent="0.25">
      <c r="A10899" s="5"/>
    </row>
    <row r="10900" spans="1:1" x14ac:dyDescent="0.25">
      <c r="A10900" s="5"/>
    </row>
    <row r="10901" spans="1:1" x14ac:dyDescent="0.25">
      <c r="A10901" s="5"/>
    </row>
    <row r="10902" spans="1:1" x14ac:dyDescent="0.25">
      <c r="A10902" s="5"/>
    </row>
    <row r="10903" spans="1:1" x14ac:dyDescent="0.25">
      <c r="A10903" s="5"/>
    </row>
    <row r="10904" spans="1:1" x14ac:dyDescent="0.25">
      <c r="A10904" s="5"/>
    </row>
    <row r="10905" spans="1:1" x14ac:dyDescent="0.25">
      <c r="A10905" s="5"/>
    </row>
    <row r="10906" spans="1:1" x14ac:dyDescent="0.25">
      <c r="A10906" s="5"/>
    </row>
    <row r="10907" spans="1:1" x14ac:dyDescent="0.25">
      <c r="A10907" s="5"/>
    </row>
    <row r="10908" spans="1:1" x14ac:dyDescent="0.25">
      <c r="A10908" s="5"/>
    </row>
    <row r="10909" spans="1:1" x14ac:dyDescent="0.25">
      <c r="A10909" s="5"/>
    </row>
    <row r="10910" spans="1:1" x14ac:dyDescent="0.25">
      <c r="A10910" s="5"/>
    </row>
    <row r="10911" spans="1:1" x14ac:dyDescent="0.25">
      <c r="A10911" s="5"/>
    </row>
    <row r="10912" spans="1:1" x14ac:dyDescent="0.25">
      <c r="A10912" s="5"/>
    </row>
    <row r="10913" spans="1:1" x14ac:dyDescent="0.25">
      <c r="A10913" s="5"/>
    </row>
    <row r="10914" spans="1:1" x14ac:dyDescent="0.25">
      <c r="A10914" s="5"/>
    </row>
    <row r="10915" spans="1:1" x14ac:dyDescent="0.25">
      <c r="A10915" s="5"/>
    </row>
    <row r="10916" spans="1:1" x14ac:dyDescent="0.25">
      <c r="A10916" s="5"/>
    </row>
    <row r="10917" spans="1:1" x14ac:dyDescent="0.25">
      <c r="A10917" s="5"/>
    </row>
    <row r="10918" spans="1:1" x14ac:dyDescent="0.25">
      <c r="A10918" s="5"/>
    </row>
    <row r="10919" spans="1:1" x14ac:dyDescent="0.25">
      <c r="A10919" s="5"/>
    </row>
    <row r="10920" spans="1:1" x14ac:dyDescent="0.25">
      <c r="A10920" s="5"/>
    </row>
    <row r="10921" spans="1:1" x14ac:dyDescent="0.25">
      <c r="A10921" s="5"/>
    </row>
    <row r="10922" spans="1:1" x14ac:dyDescent="0.25">
      <c r="A10922" s="5"/>
    </row>
    <row r="10923" spans="1:1" x14ac:dyDescent="0.25">
      <c r="A10923" s="5"/>
    </row>
    <row r="10924" spans="1:1" x14ac:dyDescent="0.25">
      <c r="A10924" s="5"/>
    </row>
    <row r="10925" spans="1:1" x14ac:dyDescent="0.25">
      <c r="A10925" s="5"/>
    </row>
    <row r="10926" spans="1:1" x14ac:dyDescent="0.25">
      <c r="A10926" s="5"/>
    </row>
    <row r="10927" spans="1:1" x14ac:dyDescent="0.25">
      <c r="A10927" s="5"/>
    </row>
    <row r="10928" spans="1:1" x14ac:dyDescent="0.25">
      <c r="A10928" s="5"/>
    </row>
    <row r="10929" spans="1:1" x14ac:dyDescent="0.25">
      <c r="A10929" s="5"/>
    </row>
    <row r="10930" spans="1:1" x14ac:dyDescent="0.25">
      <c r="A10930" s="5"/>
    </row>
    <row r="10931" spans="1:1" x14ac:dyDescent="0.25">
      <c r="A10931" s="5"/>
    </row>
    <row r="10932" spans="1:1" x14ac:dyDescent="0.25">
      <c r="A10932" s="5"/>
    </row>
    <row r="10933" spans="1:1" x14ac:dyDescent="0.25">
      <c r="A10933" s="5"/>
    </row>
    <row r="10934" spans="1:1" x14ac:dyDescent="0.25">
      <c r="A10934" s="5"/>
    </row>
    <row r="10935" spans="1:1" x14ac:dyDescent="0.25">
      <c r="A10935" s="5"/>
    </row>
    <row r="10936" spans="1:1" x14ac:dyDescent="0.25">
      <c r="A10936" s="5"/>
    </row>
    <row r="10937" spans="1:1" x14ac:dyDescent="0.25">
      <c r="A10937" s="5"/>
    </row>
    <row r="10938" spans="1:1" x14ac:dyDescent="0.25">
      <c r="A10938" s="5"/>
    </row>
    <row r="10939" spans="1:1" x14ac:dyDescent="0.25">
      <c r="A10939" s="5"/>
    </row>
    <row r="10940" spans="1:1" x14ac:dyDescent="0.25">
      <c r="A10940" s="5"/>
    </row>
    <row r="10941" spans="1:1" x14ac:dyDescent="0.25">
      <c r="A10941" s="5"/>
    </row>
    <row r="10942" spans="1:1" x14ac:dyDescent="0.25">
      <c r="A10942" s="5"/>
    </row>
    <row r="10943" spans="1:1" x14ac:dyDescent="0.25">
      <c r="A10943" s="5"/>
    </row>
    <row r="10944" spans="1:1" x14ac:dyDescent="0.25">
      <c r="A10944" s="5"/>
    </row>
    <row r="10945" spans="1:1" x14ac:dyDescent="0.25">
      <c r="A10945" s="5"/>
    </row>
    <row r="10946" spans="1:1" x14ac:dyDescent="0.25">
      <c r="A10946" s="5"/>
    </row>
    <row r="10947" spans="1:1" x14ac:dyDescent="0.25">
      <c r="A10947" s="5"/>
    </row>
    <row r="10948" spans="1:1" x14ac:dyDescent="0.25">
      <c r="A10948" s="5"/>
    </row>
    <row r="10949" spans="1:1" x14ac:dyDescent="0.25">
      <c r="A10949" s="5"/>
    </row>
    <row r="10950" spans="1:1" x14ac:dyDescent="0.25">
      <c r="A10950" s="5"/>
    </row>
    <row r="10951" spans="1:1" x14ac:dyDescent="0.25">
      <c r="A10951" s="5"/>
    </row>
    <row r="10952" spans="1:1" x14ac:dyDescent="0.25">
      <c r="A10952" s="5"/>
    </row>
    <row r="10953" spans="1:1" x14ac:dyDescent="0.25">
      <c r="A10953" s="5"/>
    </row>
    <row r="10954" spans="1:1" x14ac:dyDescent="0.25">
      <c r="A10954" s="5"/>
    </row>
    <row r="10955" spans="1:1" x14ac:dyDescent="0.25">
      <c r="A10955" s="5"/>
    </row>
    <row r="10956" spans="1:1" x14ac:dyDescent="0.25">
      <c r="A10956" s="5"/>
    </row>
    <row r="10957" spans="1:1" x14ac:dyDescent="0.25">
      <c r="A10957" s="5"/>
    </row>
    <row r="10958" spans="1:1" x14ac:dyDescent="0.25">
      <c r="A10958" s="5"/>
    </row>
    <row r="10959" spans="1:1" x14ac:dyDescent="0.25">
      <c r="A10959" s="5"/>
    </row>
    <row r="10960" spans="1:1" x14ac:dyDescent="0.25">
      <c r="A10960" s="5"/>
    </row>
    <row r="10961" spans="1:1" x14ac:dyDescent="0.25">
      <c r="A10961" s="5"/>
    </row>
    <row r="10962" spans="1:1" x14ac:dyDescent="0.25">
      <c r="A10962" s="5"/>
    </row>
    <row r="10963" spans="1:1" x14ac:dyDescent="0.25">
      <c r="A10963" s="5"/>
    </row>
    <row r="10964" spans="1:1" x14ac:dyDescent="0.25">
      <c r="A10964" s="5"/>
    </row>
    <row r="10965" spans="1:1" x14ac:dyDescent="0.25">
      <c r="A10965" s="5"/>
    </row>
    <row r="10966" spans="1:1" x14ac:dyDescent="0.25">
      <c r="A10966" s="5"/>
    </row>
    <row r="10967" spans="1:1" x14ac:dyDescent="0.25">
      <c r="A10967" s="5"/>
    </row>
    <row r="10968" spans="1:1" x14ac:dyDescent="0.25">
      <c r="A10968" s="5"/>
    </row>
    <row r="10969" spans="1:1" x14ac:dyDescent="0.25">
      <c r="A10969" s="5"/>
    </row>
    <row r="10970" spans="1:1" x14ac:dyDescent="0.25">
      <c r="A10970" s="5"/>
    </row>
    <row r="10971" spans="1:1" x14ac:dyDescent="0.25">
      <c r="A10971" s="5"/>
    </row>
    <row r="10972" spans="1:1" x14ac:dyDescent="0.25">
      <c r="A10972" s="5"/>
    </row>
    <row r="10973" spans="1:1" x14ac:dyDescent="0.25">
      <c r="A10973" s="5"/>
    </row>
    <row r="10974" spans="1:1" x14ac:dyDescent="0.25">
      <c r="A10974" s="5"/>
    </row>
    <row r="10975" spans="1:1" x14ac:dyDescent="0.25">
      <c r="A10975" s="5"/>
    </row>
    <row r="10976" spans="1:1" x14ac:dyDescent="0.25">
      <c r="A10976" s="5"/>
    </row>
    <row r="10977" spans="1:1" x14ac:dyDescent="0.25">
      <c r="A10977" s="5"/>
    </row>
    <row r="10978" spans="1:1" x14ac:dyDescent="0.25">
      <c r="A10978" s="5"/>
    </row>
    <row r="10979" spans="1:1" x14ac:dyDescent="0.25">
      <c r="A10979" s="5"/>
    </row>
    <row r="10980" spans="1:1" x14ac:dyDescent="0.25">
      <c r="A10980" s="5"/>
    </row>
    <row r="10981" spans="1:1" x14ac:dyDescent="0.25">
      <c r="A10981" s="5"/>
    </row>
    <row r="10982" spans="1:1" x14ac:dyDescent="0.25">
      <c r="A10982" s="5"/>
    </row>
    <row r="10983" spans="1:1" x14ac:dyDescent="0.25">
      <c r="A10983" s="5"/>
    </row>
    <row r="10984" spans="1:1" x14ac:dyDescent="0.25">
      <c r="A10984" s="5"/>
    </row>
    <row r="10985" spans="1:1" x14ac:dyDescent="0.25">
      <c r="A10985" s="5"/>
    </row>
    <row r="10986" spans="1:1" x14ac:dyDescent="0.25">
      <c r="A10986" s="5"/>
    </row>
    <row r="10987" spans="1:1" x14ac:dyDescent="0.25">
      <c r="A10987" s="5"/>
    </row>
    <row r="10988" spans="1:1" x14ac:dyDescent="0.25">
      <c r="A10988" s="5"/>
    </row>
    <row r="10989" spans="1:1" x14ac:dyDescent="0.25">
      <c r="A10989" s="5"/>
    </row>
    <row r="10990" spans="1:1" x14ac:dyDescent="0.25">
      <c r="A10990" s="5"/>
    </row>
    <row r="10991" spans="1:1" x14ac:dyDescent="0.25">
      <c r="A10991" s="5"/>
    </row>
    <row r="10992" spans="1:1" x14ac:dyDescent="0.25">
      <c r="A10992" s="5"/>
    </row>
    <row r="10993" spans="1:1" x14ac:dyDescent="0.25">
      <c r="A10993" s="5"/>
    </row>
    <row r="10994" spans="1:1" x14ac:dyDescent="0.25">
      <c r="A10994" s="5"/>
    </row>
    <row r="10995" spans="1:1" x14ac:dyDescent="0.25">
      <c r="A10995" s="5"/>
    </row>
    <row r="10996" spans="1:1" x14ac:dyDescent="0.25">
      <c r="A10996" s="5"/>
    </row>
    <row r="10997" spans="1:1" x14ac:dyDescent="0.25">
      <c r="A10997" s="5"/>
    </row>
    <row r="10998" spans="1:1" x14ac:dyDescent="0.25">
      <c r="A10998" s="5"/>
    </row>
    <row r="10999" spans="1:1" x14ac:dyDescent="0.25">
      <c r="A10999" s="5"/>
    </row>
    <row r="11000" spans="1:1" x14ac:dyDescent="0.25">
      <c r="A11000" s="5"/>
    </row>
    <row r="11001" spans="1:1" x14ac:dyDescent="0.25">
      <c r="A11001" s="5"/>
    </row>
    <row r="11002" spans="1:1" x14ac:dyDescent="0.25">
      <c r="A11002" s="5"/>
    </row>
    <row r="11003" spans="1:1" x14ac:dyDescent="0.25">
      <c r="A11003" s="5"/>
    </row>
    <row r="11004" spans="1:1" x14ac:dyDescent="0.25">
      <c r="A11004" s="5"/>
    </row>
    <row r="11005" spans="1:1" x14ac:dyDescent="0.25">
      <c r="A11005" s="5"/>
    </row>
    <row r="11006" spans="1:1" x14ac:dyDescent="0.25">
      <c r="A11006" s="5"/>
    </row>
    <row r="11007" spans="1:1" x14ac:dyDescent="0.25">
      <c r="A11007" s="5"/>
    </row>
    <row r="11008" spans="1:1" x14ac:dyDescent="0.25">
      <c r="A11008" s="5"/>
    </row>
    <row r="11009" spans="1:1" x14ac:dyDescent="0.25">
      <c r="A11009" s="5"/>
    </row>
    <row r="11010" spans="1:1" x14ac:dyDescent="0.25">
      <c r="A11010" s="5"/>
    </row>
    <row r="11011" spans="1:1" x14ac:dyDescent="0.25">
      <c r="A11011" s="5"/>
    </row>
    <row r="11012" spans="1:1" x14ac:dyDescent="0.25">
      <c r="A11012" s="5"/>
    </row>
    <row r="11013" spans="1:1" x14ac:dyDescent="0.25">
      <c r="A11013" s="5"/>
    </row>
    <row r="11014" spans="1:1" x14ac:dyDescent="0.25">
      <c r="A11014" s="5"/>
    </row>
    <row r="11015" spans="1:1" x14ac:dyDescent="0.25">
      <c r="A11015" s="5"/>
    </row>
    <row r="11016" spans="1:1" x14ac:dyDescent="0.25">
      <c r="A11016" s="5"/>
    </row>
    <row r="11017" spans="1:1" x14ac:dyDescent="0.25">
      <c r="A11017" s="5"/>
    </row>
    <row r="11018" spans="1:1" x14ac:dyDescent="0.25">
      <c r="A11018" s="5"/>
    </row>
    <row r="11019" spans="1:1" x14ac:dyDescent="0.25">
      <c r="A11019" s="5"/>
    </row>
    <row r="11020" spans="1:1" x14ac:dyDescent="0.25">
      <c r="A11020" s="5"/>
    </row>
    <row r="11021" spans="1:1" x14ac:dyDescent="0.25">
      <c r="A11021" s="5"/>
    </row>
    <row r="11022" spans="1:1" x14ac:dyDescent="0.25">
      <c r="A11022" s="5"/>
    </row>
    <row r="11023" spans="1:1" x14ac:dyDescent="0.25">
      <c r="A11023" s="5"/>
    </row>
    <row r="11024" spans="1:1" x14ac:dyDescent="0.25">
      <c r="A11024" s="5"/>
    </row>
    <row r="11025" spans="1:1" x14ac:dyDescent="0.25">
      <c r="A11025" s="5"/>
    </row>
    <row r="11026" spans="1:1" x14ac:dyDescent="0.25">
      <c r="A11026" s="5"/>
    </row>
    <row r="11027" spans="1:1" x14ac:dyDescent="0.25">
      <c r="A11027" s="5"/>
    </row>
    <row r="11028" spans="1:1" x14ac:dyDescent="0.25">
      <c r="A11028" s="5"/>
    </row>
    <row r="11029" spans="1:1" x14ac:dyDescent="0.25">
      <c r="A11029" s="5"/>
    </row>
    <row r="11030" spans="1:1" x14ac:dyDescent="0.25">
      <c r="A11030" s="5"/>
    </row>
    <row r="11031" spans="1:1" x14ac:dyDescent="0.25">
      <c r="A11031" s="5"/>
    </row>
    <row r="11032" spans="1:1" x14ac:dyDescent="0.25">
      <c r="A11032" s="5"/>
    </row>
    <row r="11033" spans="1:1" x14ac:dyDescent="0.25">
      <c r="A11033" s="5"/>
    </row>
    <row r="11034" spans="1:1" x14ac:dyDescent="0.25">
      <c r="A11034" s="5"/>
    </row>
    <row r="11035" spans="1:1" x14ac:dyDescent="0.25">
      <c r="A11035" s="5"/>
    </row>
    <row r="11036" spans="1:1" x14ac:dyDescent="0.25">
      <c r="A11036" s="5"/>
    </row>
    <row r="11037" spans="1:1" x14ac:dyDescent="0.25">
      <c r="A11037" s="5"/>
    </row>
    <row r="11038" spans="1:1" x14ac:dyDescent="0.25">
      <c r="A11038" s="5"/>
    </row>
    <row r="11039" spans="1:1" x14ac:dyDescent="0.25">
      <c r="A11039" s="5"/>
    </row>
    <row r="11040" spans="1:1" x14ac:dyDescent="0.25">
      <c r="A11040" s="5"/>
    </row>
    <row r="11041" spans="1:1" x14ac:dyDescent="0.25">
      <c r="A11041" s="5"/>
    </row>
    <row r="11042" spans="1:1" x14ac:dyDescent="0.25">
      <c r="A11042" s="5"/>
    </row>
    <row r="11043" spans="1:1" x14ac:dyDescent="0.25">
      <c r="A11043" s="5"/>
    </row>
    <row r="11044" spans="1:1" x14ac:dyDescent="0.25">
      <c r="A11044" s="5"/>
    </row>
    <row r="11045" spans="1:1" x14ac:dyDescent="0.25">
      <c r="A11045" s="5"/>
    </row>
    <row r="11046" spans="1:1" x14ac:dyDescent="0.25">
      <c r="A11046" s="5"/>
    </row>
    <row r="11047" spans="1:1" x14ac:dyDescent="0.25">
      <c r="A11047" s="5"/>
    </row>
    <row r="11048" spans="1:1" x14ac:dyDescent="0.25">
      <c r="A11048" s="5"/>
    </row>
    <row r="11049" spans="1:1" x14ac:dyDescent="0.25">
      <c r="A11049" s="5"/>
    </row>
    <row r="11050" spans="1:1" x14ac:dyDescent="0.25">
      <c r="A11050" s="5"/>
    </row>
    <row r="11051" spans="1:1" x14ac:dyDescent="0.25">
      <c r="A11051" s="5"/>
    </row>
    <row r="11052" spans="1:1" x14ac:dyDescent="0.25">
      <c r="A11052" s="5"/>
    </row>
    <row r="11053" spans="1:1" x14ac:dyDescent="0.25">
      <c r="A11053" s="5"/>
    </row>
    <row r="11054" spans="1:1" x14ac:dyDescent="0.25">
      <c r="A11054" s="5"/>
    </row>
    <row r="11055" spans="1:1" x14ac:dyDescent="0.25">
      <c r="A11055" s="5"/>
    </row>
    <row r="11056" spans="1:1" x14ac:dyDescent="0.25">
      <c r="A11056" s="5"/>
    </row>
    <row r="11057" spans="1:1" x14ac:dyDescent="0.25">
      <c r="A11057" s="5"/>
    </row>
    <row r="11058" spans="1:1" x14ac:dyDescent="0.25">
      <c r="A11058" s="5"/>
    </row>
    <row r="11059" spans="1:1" x14ac:dyDescent="0.25">
      <c r="A11059" s="5"/>
    </row>
    <row r="11060" spans="1:1" x14ac:dyDescent="0.25">
      <c r="A11060" s="5"/>
    </row>
    <row r="11061" spans="1:1" x14ac:dyDescent="0.25">
      <c r="A11061" s="5"/>
    </row>
    <row r="11062" spans="1:1" x14ac:dyDescent="0.25">
      <c r="A11062" s="5"/>
    </row>
    <row r="11063" spans="1:1" x14ac:dyDescent="0.25">
      <c r="A11063" s="5"/>
    </row>
    <row r="11064" spans="1:1" x14ac:dyDescent="0.25">
      <c r="A11064" s="5"/>
    </row>
    <row r="11065" spans="1:1" x14ac:dyDescent="0.25">
      <c r="A11065" s="5"/>
    </row>
    <row r="11066" spans="1:1" x14ac:dyDescent="0.25">
      <c r="A11066" s="5"/>
    </row>
    <row r="11067" spans="1:1" x14ac:dyDescent="0.25">
      <c r="A11067" s="5"/>
    </row>
    <row r="11068" spans="1:1" x14ac:dyDescent="0.25">
      <c r="A11068" s="5"/>
    </row>
    <row r="11069" spans="1:1" x14ac:dyDescent="0.25">
      <c r="A11069" s="5"/>
    </row>
    <row r="11070" spans="1:1" x14ac:dyDescent="0.25">
      <c r="A11070" s="5"/>
    </row>
    <row r="11071" spans="1:1" x14ac:dyDescent="0.25">
      <c r="A11071" s="5"/>
    </row>
    <row r="11072" spans="1:1" x14ac:dyDescent="0.25">
      <c r="A11072" s="5"/>
    </row>
    <row r="11073" spans="1:1" x14ac:dyDescent="0.25">
      <c r="A11073" s="5"/>
    </row>
    <row r="11074" spans="1:1" x14ac:dyDescent="0.25">
      <c r="A11074" s="5"/>
    </row>
    <row r="11075" spans="1:1" x14ac:dyDescent="0.25">
      <c r="A11075" s="5"/>
    </row>
    <row r="11076" spans="1:1" x14ac:dyDescent="0.25">
      <c r="A11076" s="5"/>
    </row>
    <row r="11077" spans="1:1" x14ac:dyDescent="0.25">
      <c r="A11077" s="5"/>
    </row>
    <row r="11078" spans="1:1" x14ac:dyDescent="0.25">
      <c r="A11078" s="5"/>
    </row>
    <row r="11079" spans="1:1" x14ac:dyDescent="0.25">
      <c r="A11079" s="5"/>
    </row>
    <row r="11080" spans="1:1" x14ac:dyDescent="0.25">
      <c r="A11080" s="5"/>
    </row>
    <row r="11081" spans="1:1" x14ac:dyDescent="0.25">
      <c r="A11081" s="5"/>
    </row>
    <row r="11082" spans="1:1" x14ac:dyDescent="0.25">
      <c r="A11082" s="5"/>
    </row>
    <row r="11083" spans="1:1" x14ac:dyDescent="0.25">
      <c r="A11083" s="5"/>
    </row>
    <row r="11084" spans="1:1" x14ac:dyDescent="0.25">
      <c r="A11084" s="5"/>
    </row>
    <row r="11085" spans="1:1" x14ac:dyDescent="0.25">
      <c r="A11085" s="5"/>
    </row>
    <row r="11086" spans="1:1" x14ac:dyDescent="0.25">
      <c r="A11086" s="5"/>
    </row>
    <row r="11087" spans="1:1" x14ac:dyDescent="0.25">
      <c r="A11087" s="5"/>
    </row>
    <row r="11088" spans="1:1" x14ac:dyDescent="0.25">
      <c r="A11088" s="5"/>
    </row>
    <row r="11089" spans="1:1" x14ac:dyDescent="0.25">
      <c r="A11089" s="5"/>
    </row>
    <row r="11090" spans="1:1" x14ac:dyDescent="0.25">
      <c r="A11090" s="5"/>
    </row>
    <row r="11091" spans="1:1" x14ac:dyDescent="0.25">
      <c r="A11091" s="5"/>
    </row>
    <row r="11092" spans="1:1" x14ac:dyDescent="0.25">
      <c r="A11092" s="5"/>
    </row>
    <row r="11093" spans="1:1" x14ac:dyDescent="0.25">
      <c r="A11093" s="5"/>
    </row>
    <row r="11094" spans="1:1" x14ac:dyDescent="0.25">
      <c r="A11094" s="5"/>
    </row>
    <row r="11095" spans="1:1" x14ac:dyDescent="0.25">
      <c r="A11095" s="5"/>
    </row>
    <row r="11096" spans="1:1" x14ac:dyDescent="0.25">
      <c r="A11096" s="5"/>
    </row>
    <row r="11097" spans="1:1" x14ac:dyDescent="0.25">
      <c r="A11097" s="5"/>
    </row>
    <row r="11098" spans="1:1" x14ac:dyDescent="0.25">
      <c r="A11098" s="5"/>
    </row>
    <row r="11099" spans="1:1" x14ac:dyDescent="0.25">
      <c r="A11099" s="5"/>
    </row>
    <row r="11100" spans="1:1" x14ac:dyDescent="0.25">
      <c r="A11100" s="5"/>
    </row>
    <row r="11101" spans="1:1" x14ac:dyDescent="0.25">
      <c r="A11101" s="5"/>
    </row>
    <row r="11102" spans="1:1" x14ac:dyDescent="0.25">
      <c r="A11102" s="5"/>
    </row>
    <row r="11103" spans="1:1" x14ac:dyDescent="0.25">
      <c r="A11103" s="5"/>
    </row>
    <row r="11104" spans="1:1" x14ac:dyDescent="0.25">
      <c r="A11104" s="5"/>
    </row>
    <row r="11105" spans="1:1" x14ac:dyDescent="0.25">
      <c r="A11105" s="5"/>
    </row>
    <row r="11106" spans="1:1" x14ac:dyDescent="0.25">
      <c r="A11106" s="5"/>
    </row>
    <row r="11107" spans="1:1" x14ac:dyDescent="0.25">
      <c r="A11107" s="5"/>
    </row>
    <row r="11108" spans="1:1" x14ac:dyDescent="0.25">
      <c r="A11108" s="5"/>
    </row>
    <row r="11109" spans="1:1" x14ac:dyDescent="0.25">
      <c r="A11109" s="5"/>
    </row>
    <row r="11110" spans="1:1" x14ac:dyDescent="0.25">
      <c r="A11110" s="5"/>
    </row>
    <row r="11111" spans="1:1" x14ac:dyDescent="0.25">
      <c r="A11111" s="5"/>
    </row>
    <row r="11112" spans="1:1" x14ac:dyDescent="0.25">
      <c r="A11112" s="5"/>
    </row>
    <row r="11113" spans="1:1" x14ac:dyDescent="0.25">
      <c r="A11113" s="5"/>
    </row>
    <row r="11114" spans="1:1" x14ac:dyDescent="0.25">
      <c r="A11114" s="5"/>
    </row>
    <row r="11115" spans="1:1" x14ac:dyDescent="0.25">
      <c r="A11115" s="5"/>
    </row>
    <row r="11116" spans="1:1" x14ac:dyDescent="0.25">
      <c r="A11116" s="5"/>
    </row>
    <row r="11117" spans="1:1" x14ac:dyDescent="0.25">
      <c r="A11117" s="5"/>
    </row>
    <row r="11118" spans="1:1" x14ac:dyDescent="0.25">
      <c r="A11118" s="5"/>
    </row>
    <row r="11119" spans="1:1" x14ac:dyDescent="0.25">
      <c r="A11119" s="5"/>
    </row>
    <row r="11120" spans="1:1" x14ac:dyDescent="0.25">
      <c r="A11120" s="5"/>
    </row>
    <row r="11121" spans="1:1" x14ac:dyDescent="0.25">
      <c r="A11121" s="5"/>
    </row>
    <row r="11122" spans="1:1" x14ac:dyDescent="0.25">
      <c r="A11122" s="5"/>
    </row>
    <row r="11123" spans="1:1" x14ac:dyDescent="0.25">
      <c r="A11123" s="5"/>
    </row>
    <row r="11124" spans="1:1" x14ac:dyDescent="0.25">
      <c r="A11124" s="5"/>
    </row>
    <row r="11125" spans="1:1" x14ac:dyDescent="0.25">
      <c r="A11125" s="5"/>
    </row>
    <row r="11126" spans="1:1" x14ac:dyDescent="0.25">
      <c r="A11126" s="5"/>
    </row>
    <row r="11127" spans="1:1" x14ac:dyDescent="0.25">
      <c r="A11127" s="5"/>
    </row>
    <row r="11128" spans="1:1" x14ac:dyDescent="0.25">
      <c r="A11128" s="5"/>
    </row>
    <row r="11129" spans="1:1" x14ac:dyDescent="0.25">
      <c r="A11129" s="5"/>
    </row>
    <row r="11130" spans="1:1" x14ac:dyDescent="0.25">
      <c r="A11130" s="5"/>
    </row>
    <row r="11131" spans="1:1" x14ac:dyDescent="0.25">
      <c r="A11131" s="5"/>
    </row>
    <row r="11132" spans="1:1" x14ac:dyDescent="0.25">
      <c r="A11132" s="5"/>
    </row>
    <row r="11133" spans="1:1" x14ac:dyDescent="0.25">
      <c r="A11133" s="5"/>
    </row>
    <row r="11134" spans="1:1" x14ac:dyDescent="0.25">
      <c r="A11134" s="5"/>
    </row>
    <row r="11135" spans="1:1" x14ac:dyDescent="0.25">
      <c r="A11135" s="5"/>
    </row>
    <row r="11136" spans="1:1" x14ac:dyDescent="0.25">
      <c r="A11136" s="5"/>
    </row>
    <row r="11137" spans="1:1" x14ac:dyDescent="0.25">
      <c r="A11137" s="5"/>
    </row>
    <row r="11138" spans="1:1" x14ac:dyDescent="0.25">
      <c r="A11138" s="5"/>
    </row>
    <row r="11139" spans="1:1" x14ac:dyDescent="0.25">
      <c r="A11139" s="5"/>
    </row>
    <row r="11140" spans="1:1" x14ac:dyDescent="0.25">
      <c r="A11140" s="5"/>
    </row>
    <row r="11141" spans="1:1" x14ac:dyDescent="0.25">
      <c r="A11141" s="5"/>
    </row>
    <row r="11142" spans="1:1" x14ac:dyDescent="0.25">
      <c r="A11142" s="5"/>
    </row>
    <row r="11143" spans="1:1" x14ac:dyDescent="0.25">
      <c r="A11143" s="5"/>
    </row>
    <row r="11144" spans="1:1" x14ac:dyDescent="0.25">
      <c r="A11144" s="5"/>
    </row>
    <row r="11145" spans="1:1" x14ac:dyDescent="0.25">
      <c r="A11145" s="5"/>
    </row>
    <row r="11146" spans="1:1" x14ac:dyDescent="0.25">
      <c r="A11146" s="5"/>
    </row>
    <row r="11147" spans="1:1" x14ac:dyDescent="0.25">
      <c r="A11147" s="5"/>
    </row>
    <row r="11148" spans="1:1" x14ac:dyDescent="0.25">
      <c r="A11148" s="5"/>
    </row>
    <row r="11149" spans="1:1" x14ac:dyDescent="0.25">
      <c r="A11149" s="5"/>
    </row>
    <row r="11150" spans="1:1" x14ac:dyDescent="0.25">
      <c r="A11150" s="5"/>
    </row>
    <row r="11151" spans="1:1" x14ac:dyDescent="0.25">
      <c r="A11151" s="5"/>
    </row>
    <row r="11152" spans="1:1" x14ac:dyDescent="0.25">
      <c r="A11152" s="5"/>
    </row>
    <row r="11153" spans="1:1" x14ac:dyDescent="0.25">
      <c r="A11153" s="5"/>
    </row>
    <row r="11154" spans="1:1" x14ac:dyDescent="0.25">
      <c r="A11154" s="5"/>
    </row>
    <row r="11155" spans="1:1" x14ac:dyDescent="0.25">
      <c r="A11155" s="5"/>
    </row>
    <row r="11156" spans="1:1" x14ac:dyDescent="0.25">
      <c r="A11156" s="5"/>
    </row>
    <row r="11157" spans="1:1" x14ac:dyDescent="0.25">
      <c r="A11157" s="5"/>
    </row>
    <row r="11158" spans="1:1" x14ac:dyDescent="0.25">
      <c r="A11158" s="5"/>
    </row>
    <row r="11159" spans="1:1" x14ac:dyDescent="0.25">
      <c r="A11159" s="5"/>
    </row>
    <row r="11160" spans="1:1" x14ac:dyDescent="0.25">
      <c r="A11160" s="5"/>
    </row>
    <row r="11161" spans="1:1" x14ac:dyDescent="0.25">
      <c r="A11161" s="5"/>
    </row>
    <row r="11162" spans="1:1" x14ac:dyDescent="0.25">
      <c r="A11162" s="5"/>
    </row>
    <row r="11163" spans="1:1" x14ac:dyDescent="0.25">
      <c r="A11163" s="5"/>
    </row>
    <row r="11164" spans="1:1" x14ac:dyDescent="0.25">
      <c r="A11164" s="5"/>
    </row>
    <row r="11165" spans="1:1" x14ac:dyDescent="0.25">
      <c r="A11165" s="5"/>
    </row>
    <row r="11166" spans="1:1" x14ac:dyDescent="0.25">
      <c r="A11166" s="5"/>
    </row>
    <row r="11167" spans="1:1" x14ac:dyDescent="0.25">
      <c r="A11167" s="5"/>
    </row>
    <row r="11168" spans="1:1" x14ac:dyDescent="0.25">
      <c r="A11168" s="5"/>
    </row>
    <row r="11169" spans="1:1" x14ac:dyDescent="0.25">
      <c r="A11169" s="5"/>
    </row>
    <row r="11170" spans="1:1" x14ac:dyDescent="0.25">
      <c r="A11170" s="5"/>
    </row>
    <row r="11171" spans="1:1" x14ac:dyDescent="0.25">
      <c r="A11171" s="5"/>
    </row>
    <row r="11172" spans="1:1" x14ac:dyDescent="0.25">
      <c r="A11172" s="5"/>
    </row>
    <row r="11173" spans="1:1" x14ac:dyDescent="0.25">
      <c r="A11173" s="5"/>
    </row>
    <row r="11174" spans="1:1" x14ac:dyDescent="0.25">
      <c r="A11174" s="5"/>
    </row>
    <row r="11175" spans="1:1" x14ac:dyDescent="0.25">
      <c r="A11175" s="5"/>
    </row>
    <row r="11176" spans="1:1" x14ac:dyDescent="0.25">
      <c r="A11176" s="5"/>
    </row>
    <row r="11177" spans="1:1" x14ac:dyDescent="0.25">
      <c r="A11177" s="5"/>
    </row>
    <row r="11178" spans="1:1" x14ac:dyDescent="0.25">
      <c r="A11178" s="5"/>
    </row>
    <row r="11179" spans="1:1" x14ac:dyDescent="0.25">
      <c r="A11179" s="5"/>
    </row>
    <row r="11180" spans="1:1" x14ac:dyDescent="0.25">
      <c r="A11180" s="5"/>
    </row>
    <row r="11181" spans="1:1" x14ac:dyDescent="0.25">
      <c r="A11181" s="5"/>
    </row>
    <row r="11182" spans="1:1" x14ac:dyDescent="0.25">
      <c r="A11182" s="5"/>
    </row>
    <row r="11183" spans="1:1" x14ac:dyDescent="0.25">
      <c r="A11183" s="5"/>
    </row>
    <row r="11184" spans="1:1" x14ac:dyDescent="0.25">
      <c r="A11184" s="5"/>
    </row>
    <row r="11185" spans="1:1" x14ac:dyDescent="0.25">
      <c r="A11185" s="5"/>
    </row>
    <row r="11186" spans="1:1" x14ac:dyDescent="0.25">
      <c r="A11186" s="5"/>
    </row>
    <row r="11187" spans="1:1" x14ac:dyDescent="0.25">
      <c r="A11187" s="5"/>
    </row>
    <row r="11188" spans="1:1" x14ac:dyDescent="0.25">
      <c r="A11188" s="5"/>
    </row>
    <row r="11189" spans="1:1" x14ac:dyDescent="0.25">
      <c r="A11189" s="5"/>
    </row>
    <row r="11190" spans="1:1" x14ac:dyDescent="0.25">
      <c r="A11190" s="5"/>
    </row>
    <row r="11191" spans="1:1" x14ac:dyDescent="0.25">
      <c r="A11191" s="5"/>
    </row>
    <row r="11192" spans="1:1" x14ac:dyDescent="0.25">
      <c r="A11192" s="5"/>
    </row>
    <row r="11193" spans="1:1" x14ac:dyDescent="0.25">
      <c r="A11193" s="5"/>
    </row>
    <row r="11194" spans="1:1" x14ac:dyDescent="0.25">
      <c r="A11194" s="5"/>
    </row>
    <row r="11195" spans="1:1" x14ac:dyDescent="0.25">
      <c r="A11195" s="5"/>
    </row>
    <row r="11196" spans="1:1" x14ac:dyDescent="0.25">
      <c r="A11196" s="5"/>
    </row>
    <row r="11197" spans="1:1" x14ac:dyDescent="0.25">
      <c r="A11197" s="5"/>
    </row>
    <row r="11198" spans="1:1" x14ac:dyDescent="0.25">
      <c r="A11198" s="5"/>
    </row>
    <row r="11199" spans="1:1" x14ac:dyDescent="0.25">
      <c r="A11199" s="5"/>
    </row>
    <row r="11200" spans="1:1" x14ac:dyDescent="0.25">
      <c r="A11200" s="5"/>
    </row>
    <row r="11201" spans="1:1" x14ac:dyDescent="0.25">
      <c r="A11201" s="5"/>
    </row>
    <row r="11202" spans="1:1" x14ac:dyDescent="0.25">
      <c r="A11202" s="5"/>
    </row>
    <row r="11203" spans="1:1" x14ac:dyDescent="0.25">
      <c r="A11203" s="5"/>
    </row>
    <row r="11204" spans="1:1" x14ac:dyDescent="0.25">
      <c r="A11204" s="5"/>
    </row>
    <row r="11205" spans="1:1" x14ac:dyDescent="0.25">
      <c r="A11205" s="5"/>
    </row>
    <row r="11206" spans="1:1" x14ac:dyDescent="0.25">
      <c r="A11206" s="5"/>
    </row>
    <row r="11207" spans="1:1" x14ac:dyDescent="0.25">
      <c r="A11207" s="5"/>
    </row>
    <row r="11208" spans="1:1" x14ac:dyDescent="0.25">
      <c r="A11208" s="5"/>
    </row>
    <row r="11209" spans="1:1" x14ac:dyDescent="0.25">
      <c r="A11209" s="5"/>
    </row>
    <row r="11210" spans="1:1" x14ac:dyDescent="0.25">
      <c r="A11210" s="5"/>
    </row>
    <row r="11211" spans="1:1" x14ac:dyDescent="0.25">
      <c r="A11211" s="5"/>
    </row>
    <row r="11212" spans="1:1" x14ac:dyDescent="0.25">
      <c r="A11212" s="5"/>
    </row>
    <row r="11213" spans="1:1" x14ac:dyDescent="0.25">
      <c r="A11213" s="5"/>
    </row>
    <row r="11214" spans="1:1" x14ac:dyDescent="0.25">
      <c r="A11214" s="5"/>
    </row>
    <row r="11215" spans="1:1" x14ac:dyDescent="0.25">
      <c r="A11215" s="5"/>
    </row>
    <row r="11216" spans="1:1" x14ac:dyDescent="0.25">
      <c r="A11216" s="5"/>
    </row>
    <row r="11217" spans="1:1" x14ac:dyDescent="0.25">
      <c r="A11217" s="5"/>
    </row>
    <row r="11218" spans="1:1" x14ac:dyDescent="0.25">
      <c r="A11218" s="5"/>
    </row>
    <row r="11219" spans="1:1" x14ac:dyDescent="0.25">
      <c r="A11219" s="5"/>
    </row>
    <row r="11220" spans="1:1" x14ac:dyDescent="0.25">
      <c r="A11220" s="5"/>
    </row>
    <row r="11221" spans="1:1" x14ac:dyDescent="0.25">
      <c r="A11221" s="5"/>
    </row>
    <row r="11222" spans="1:1" x14ac:dyDescent="0.25">
      <c r="A11222" s="5"/>
    </row>
    <row r="11223" spans="1:1" x14ac:dyDescent="0.25">
      <c r="A11223" s="5"/>
    </row>
    <row r="11224" spans="1:1" x14ac:dyDescent="0.25">
      <c r="A11224" s="5"/>
    </row>
    <row r="11225" spans="1:1" x14ac:dyDescent="0.25">
      <c r="A11225" s="5"/>
    </row>
    <row r="11226" spans="1:1" x14ac:dyDescent="0.25">
      <c r="A11226" s="5"/>
    </row>
    <row r="11227" spans="1:1" x14ac:dyDescent="0.25">
      <c r="A11227" s="5"/>
    </row>
    <row r="11228" spans="1:1" x14ac:dyDescent="0.25">
      <c r="A11228" s="5"/>
    </row>
    <row r="11229" spans="1:1" x14ac:dyDescent="0.25">
      <c r="A11229" s="5"/>
    </row>
    <row r="11230" spans="1:1" x14ac:dyDescent="0.25">
      <c r="A11230" s="5"/>
    </row>
    <row r="11231" spans="1:1" x14ac:dyDescent="0.25">
      <c r="A11231" s="5"/>
    </row>
    <row r="11232" spans="1:1" x14ac:dyDescent="0.25">
      <c r="A11232" s="5"/>
    </row>
    <row r="11233" spans="1:1" x14ac:dyDescent="0.25">
      <c r="A11233" s="5"/>
    </row>
    <row r="11234" spans="1:1" x14ac:dyDescent="0.25">
      <c r="A11234" s="5"/>
    </row>
    <row r="11235" spans="1:1" x14ac:dyDescent="0.25">
      <c r="A11235" s="5"/>
    </row>
    <row r="11236" spans="1:1" x14ac:dyDescent="0.25">
      <c r="A11236" s="5"/>
    </row>
    <row r="11237" spans="1:1" x14ac:dyDescent="0.25">
      <c r="A11237" s="5"/>
    </row>
    <row r="11238" spans="1:1" x14ac:dyDescent="0.25">
      <c r="A11238" s="5"/>
    </row>
    <row r="11239" spans="1:1" x14ac:dyDescent="0.25">
      <c r="A11239" s="5"/>
    </row>
    <row r="11240" spans="1:1" x14ac:dyDescent="0.25">
      <c r="A11240" s="5"/>
    </row>
    <row r="11241" spans="1:1" x14ac:dyDescent="0.25">
      <c r="A11241" s="5"/>
    </row>
    <row r="11242" spans="1:1" x14ac:dyDescent="0.25">
      <c r="A11242" s="5"/>
    </row>
    <row r="11243" spans="1:1" x14ac:dyDescent="0.25">
      <c r="A11243" s="5"/>
    </row>
    <row r="11244" spans="1:1" x14ac:dyDescent="0.25">
      <c r="A11244" s="5"/>
    </row>
    <row r="11245" spans="1:1" x14ac:dyDescent="0.25">
      <c r="A11245" s="5"/>
    </row>
    <row r="11246" spans="1:1" x14ac:dyDescent="0.25">
      <c r="A11246" s="5"/>
    </row>
    <row r="11247" spans="1:1" x14ac:dyDescent="0.25">
      <c r="A11247" s="5"/>
    </row>
    <row r="11248" spans="1:1" x14ac:dyDescent="0.25">
      <c r="A11248" s="5"/>
    </row>
    <row r="11249" spans="1:1" x14ac:dyDescent="0.25">
      <c r="A11249" s="5"/>
    </row>
    <row r="11250" spans="1:1" x14ac:dyDescent="0.25">
      <c r="A11250" s="5"/>
    </row>
    <row r="11251" spans="1:1" x14ac:dyDescent="0.25">
      <c r="A11251" s="5"/>
    </row>
    <row r="11252" spans="1:1" x14ac:dyDescent="0.25">
      <c r="A11252" s="5"/>
    </row>
    <row r="11253" spans="1:1" x14ac:dyDescent="0.25">
      <c r="A11253" s="5"/>
    </row>
    <row r="11254" spans="1:1" x14ac:dyDescent="0.25">
      <c r="A11254" s="5"/>
    </row>
    <row r="11255" spans="1:1" x14ac:dyDescent="0.25">
      <c r="A11255" s="5"/>
    </row>
    <row r="11256" spans="1:1" x14ac:dyDescent="0.25">
      <c r="A11256" s="5"/>
    </row>
    <row r="11257" spans="1:1" x14ac:dyDescent="0.25">
      <c r="A11257" s="5"/>
    </row>
    <row r="11258" spans="1:1" x14ac:dyDescent="0.25">
      <c r="A11258" s="5"/>
    </row>
    <row r="11259" spans="1:1" x14ac:dyDescent="0.25">
      <c r="A11259" s="5"/>
    </row>
    <row r="11260" spans="1:1" x14ac:dyDescent="0.25">
      <c r="A11260" s="5"/>
    </row>
    <row r="11261" spans="1:1" x14ac:dyDescent="0.25">
      <c r="A11261" s="5"/>
    </row>
    <row r="11262" spans="1:1" x14ac:dyDescent="0.25">
      <c r="A11262" s="5"/>
    </row>
    <row r="11263" spans="1:1" x14ac:dyDescent="0.25">
      <c r="A11263" s="5"/>
    </row>
    <row r="11264" spans="1:1" x14ac:dyDescent="0.25">
      <c r="A11264" s="5"/>
    </row>
    <row r="11265" spans="1:1" x14ac:dyDescent="0.25">
      <c r="A11265" s="5"/>
    </row>
    <row r="11266" spans="1:1" x14ac:dyDescent="0.25">
      <c r="A11266" s="5"/>
    </row>
    <row r="11267" spans="1:1" x14ac:dyDescent="0.25">
      <c r="A11267" s="5"/>
    </row>
    <row r="11268" spans="1:1" x14ac:dyDescent="0.25">
      <c r="A11268" s="5"/>
    </row>
    <row r="11269" spans="1:1" x14ac:dyDescent="0.25">
      <c r="A11269" s="5"/>
    </row>
    <row r="11270" spans="1:1" x14ac:dyDescent="0.25">
      <c r="A11270" s="5"/>
    </row>
    <row r="11271" spans="1:1" x14ac:dyDescent="0.25">
      <c r="A11271" s="5"/>
    </row>
    <row r="11272" spans="1:1" x14ac:dyDescent="0.25">
      <c r="A11272" s="5"/>
    </row>
    <row r="11273" spans="1:1" x14ac:dyDescent="0.25">
      <c r="A11273" s="5"/>
    </row>
    <row r="11274" spans="1:1" x14ac:dyDescent="0.25">
      <c r="A11274" s="5"/>
    </row>
    <row r="11275" spans="1:1" x14ac:dyDescent="0.25">
      <c r="A11275" s="5"/>
    </row>
    <row r="11276" spans="1:1" x14ac:dyDescent="0.25">
      <c r="A11276" s="5"/>
    </row>
    <row r="11277" spans="1:1" x14ac:dyDescent="0.25">
      <c r="A11277" s="5"/>
    </row>
    <row r="11278" spans="1:1" x14ac:dyDescent="0.25">
      <c r="A11278" s="5"/>
    </row>
    <row r="11279" spans="1:1" x14ac:dyDescent="0.25">
      <c r="A11279" s="5"/>
    </row>
    <row r="11280" spans="1:1" x14ac:dyDescent="0.25">
      <c r="A11280" s="5"/>
    </row>
    <row r="11281" spans="1:1" x14ac:dyDescent="0.25">
      <c r="A11281" s="5"/>
    </row>
    <row r="11282" spans="1:1" x14ac:dyDescent="0.25">
      <c r="A11282" s="5"/>
    </row>
    <row r="11283" spans="1:1" x14ac:dyDescent="0.25">
      <c r="A11283" s="5"/>
    </row>
    <row r="11284" spans="1:1" x14ac:dyDescent="0.25">
      <c r="A11284" s="5"/>
    </row>
    <row r="11285" spans="1:1" x14ac:dyDescent="0.25">
      <c r="A11285" s="5"/>
    </row>
    <row r="11286" spans="1:1" x14ac:dyDescent="0.25">
      <c r="A11286" s="5"/>
    </row>
    <row r="11287" spans="1:1" x14ac:dyDescent="0.25">
      <c r="A11287" s="5"/>
    </row>
    <row r="11288" spans="1:1" x14ac:dyDescent="0.25">
      <c r="A11288" s="5"/>
    </row>
    <row r="11289" spans="1:1" x14ac:dyDescent="0.25">
      <c r="A11289" s="5"/>
    </row>
    <row r="11290" spans="1:1" x14ac:dyDescent="0.25">
      <c r="A11290" s="5"/>
    </row>
    <row r="11291" spans="1:1" x14ac:dyDescent="0.25">
      <c r="A11291" s="5"/>
    </row>
    <row r="11292" spans="1:1" x14ac:dyDescent="0.25">
      <c r="A11292" s="5"/>
    </row>
    <row r="11293" spans="1:1" x14ac:dyDescent="0.25">
      <c r="A11293" s="5"/>
    </row>
    <row r="11294" spans="1:1" x14ac:dyDescent="0.25">
      <c r="A11294" s="5"/>
    </row>
    <row r="11295" spans="1:1" x14ac:dyDescent="0.25">
      <c r="A11295" s="5"/>
    </row>
    <row r="11296" spans="1:1" x14ac:dyDescent="0.25">
      <c r="A11296" s="5"/>
    </row>
    <row r="11297" spans="1:1" x14ac:dyDescent="0.25">
      <c r="A11297" s="5"/>
    </row>
    <row r="11298" spans="1:1" x14ac:dyDescent="0.25">
      <c r="A11298" s="5"/>
    </row>
    <row r="11299" spans="1:1" x14ac:dyDescent="0.25">
      <c r="A11299" s="5"/>
    </row>
    <row r="11300" spans="1:1" x14ac:dyDescent="0.25">
      <c r="A11300" s="5"/>
    </row>
    <row r="11301" spans="1:1" x14ac:dyDescent="0.25">
      <c r="A11301" s="5"/>
    </row>
    <row r="11302" spans="1:1" x14ac:dyDescent="0.25">
      <c r="A11302" s="5"/>
    </row>
    <row r="11303" spans="1:1" x14ac:dyDescent="0.25">
      <c r="A11303" s="5"/>
    </row>
    <row r="11304" spans="1:1" x14ac:dyDescent="0.25">
      <c r="A11304" s="5"/>
    </row>
    <row r="11305" spans="1:1" x14ac:dyDescent="0.25">
      <c r="A11305" s="5"/>
    </row>
    <row r="11306" spans="1:1" x14ac:dyDescent="0.25">
      <c r="A11306" s="5"/>
    </row>
    <row r="11307" spans="1:1" x14ac:dyDescent="0.25">
      <c r="A11307" s="5"/>
    </row>
    <row r="11308" spans="1:1" x14ac:dyDescent="0.25">
      <c r="A11308" s="5"/>
    </row>
    <row r="11309" spans="1:1" x14ac:dyDescent="0.25">
      <c r="A11309" s="5"/>
    </row>
    <row r="11310" spans="1:1" x14ac:dyDescent="0.25">
      <c r="A11310" s="5"/>
    </row>
    <row r="11311" spans="1:1" x14ac:dyDescent="0.25">
      <c r="A11311" s="5"/>
    </row>
    <row r="11312" spans="1:1" x14ac:dyDescent="0.25">
      <c r="A11312" s="5"/>
    </row>
    <row r="11313" spans="1:1" x14ac:dyDescent="0.25">
      <c r="A11313" s="5"/>
    </row>
    <row r="11314" spans="1:1" x14ac:dyDescent="0.25">
      <c r="A11314" s="5"/>
    </row>
    <row r="11315" spans="1:1" x14ac:dyDescent="0.25">
      <c r="A11315" s="5"/>
    </row>
    <row r="11316" spans="1:1" x14ac:dyDescent="0.25">
      <c r="A11316" s="5"/>
    </row>
    <row r="11317" spans="1:1" x14ac:dyDescent="0.25">
      <c r="A11317" s="5"/>
    </row>
    <row r="11318" spans="1:1" x14ac:dyDescent="0.25">
      <c r="A11318" s="5"/>
    </row>
    <row r="11319" spans="1:1" x14ac:dyDescent="0.25">
      <c r="A11319" s="5"/>
    </row>
    <row r="11320" spans="1:1" x14ac:dyDescent="0.25">
      <c r="A11320" s="5"/>
    </row>
    <row r="11321" spans="1:1" x14ac:dyDescent="0.25">
      <c r="A11321" s="5"/>
    </row>
    <row r="11322" spans="1:1" x14ac:dyDescent="0.25">
      <c r="A11322" s="5"/>
    </row>
    <row r="11323" spans="1:1" x14ac:dyDescent="0.25">
      <c r="A11323" s="5"/>
    </row>
    <row r="11324" spans="1:1" x14ac:dyDescent="0.25">
      <c r="A11324" s="5"/>
    </row>
    <row r="11325" spans="1:1" x14ac:dyDescent="0.25">
      <c r="A11325" s="5"/>
    </row>
    <row r="11326" spans="1:1" x14ac:dyDescent="0.25">
      <c r="A11326" s="5"/>
    </row>
    <row r="11327" spans="1:1" x14ac:dyDescent="0.25">
      <c r="A11327" s="5"/>
    </row>
    <row r="11328" spans="1:1" x14ac:dyDescent="0.25">
      <c r="A11328" s="5"/>
    </row>
    <row r="11329" spans="1:1" x14ac:dyDescent="0.25">
      <c r="A11329" s="5"/>
    </row>
    <row r="11330" spans="1:1" x14ac:dyDescent="0.25">
      <c r="A11330" s="5"/>
    </row>
    <row r="11331" spans="1:1" x14ac:dyDescent="0.25">
      <c r="A11331" s="5"/>
    </row>
    <row r="11332" spans="1:1" x14ac:dyDescent="0.25">
      <c r="A11332" s="5"/>
    </row>
    <row r="11333" spans="1:1" x14ac:dyDescent="0.25">
      <c r="A11333" s="5"/>
    </row>
    <row r="11334" spans="1:1" x14ac:dyDescent="0.25">
      <c r="A11334" s="5"/>
    </row>
    <row r="11335" spans="1:1" x14ac:dyDescent="0.25">
      <c r="A11335" s="5"/>
    </row>
    <row r="11336" spans="1:1" x14ac:dyDescent="0.25">
      <c r="A11336" s="5"/>
    </row>
    <row r="11337" spans="1:1" x14ac:dyDescent="0.25">
      <c r="A11337" s="5"/>
    </row>
    <row r="11338" spans="1:1" x14ac:dyDescent="0.25">
      <c r="A11338" s="5"/>
    </row>
    <row r="11339" spans="1:1" x14ac:dyDescent="0.25">
      <c r="A11339" s="5"/>
    </row>
    <row r="11340" spans="1:1" x14ac:dyDescent="0.25">
      <c r="A11340" s="5"/>
    </row>
    <row r="11341" spans="1:1" x14ac:dyDescent="0.25">
      <c r="A11341" s="5"/>
    </row>
    <row r="11342" spans="1:1" x14ac:dyDescent="0.25">
      <c r="A11342" s="5"/>
    </row>
    <row r="11343" spans="1:1" x14ac:dyDescent="0.25">
      <c r="A11343" s="5"/>
    </row>
    <row r="11344" spans="1:1" x14ac:dyDescent="0.25">
      <c r="A11344" s="5"/>
    </row>
    <row r="11345" spans="1:1" x14ac:dyDescent="0.25">
      <c r="A11345" s="5"/>
    </row>
    <row r="11346" spans="1:1" x14ac:dyDescent="0.25">
      <c r="A11346" s="5"/>
    </row>
    <row r="11347" spans="1:1" x14ac:dyDescent="0.25">
      <c r="A11347" s="5"/>
    </row>
    <row r="11348" spans="1:1" x14ac:dyDescent="0.25">
      <c r="A11348" s="5"/>
    </row>
    <row r="11349" spans="1:1" x14ac:dyDescent="0.25">
      <c r="A11349" s="5"/>
    </row>
    <row r="11350" spans="1:1" x14ac:dyDescent="0.25">
      <c r="A11350" s="5"/>
    </row>
    <row r="11351" spans="1:1" x14ac:dyDescent="0.25">
      <c r="A11351" s="5"/>
    </row>
    <row r="11352" spans="1:1" x14ac:dyDescent="0.25">
      <c r="A11352" s="5"/>
    </row>
    <row r="11353" spans="1:1" x14ac:dyDescent="0.25">
      <c r="A11353" s="5"/>
    </row>
    <row r="11354" spans="1:1" x14ac:dyDescent="0.25">
      <c r="A11354" s="5"/>
    </row>
    <row r="11355" spans="1:1" x14ac:dyDescent="0.25">
      <c r="A11355" s="5"/>
    </row>
    <row r="11356" spans="1:1" x14ac:dyDescent="0.25">
      <c r="A11356" s="5"/>
    </row>
    <row r="11357" spans="1:1" x14ac:dyDescent="0.25">
      <c r="A11357" s="5"/>
    </row>
    <row r="11358" spans="1:1" x14ac:dyDescent="0.25">
      <c r="A11358" s="5"/>
    </row>
    <row r="11359" spans="1:1" x14ac:dyDescent="0.25">
      <c r="A11359" s="5"/>
    </row>
    <row r="11360" spans="1:1" x14ac:dyDescent="0.25">
      <c r="A11360" s="5"/>
    </row>
    <row r="11361" spans="1:1" x14ac:dyDescent="0.25">
      <c r="A11361" s="5"/>
    </row>
    <row r="11362" spans="1:1" x14ac:dyDescent="0.25">
      <c r="A11362" s="5"/>
    </row>
    <row r="11363" spans="1:1" x14ac:dyDescent="0.25">
      <c r="A11363" s="5"/>
    </row>
    <row r="11364" spans="1:1" x14ac:dyDescent="0.25">
      <c r="A11364" s="5"/>
    </row>
    <row r="11365" spans="1:1" x14ac:dyDescent="0.25">
      <c r="A11365" s="5"/>
    </row>
    <row r="11366" spans="1:1" x14ac:dyDescent="0.25">
      <c r="A11366" s="5"/>
    </row>
    <row r="11367" spans="1:1" x14ac:dyDescent="0.25">
      <c r="A11367" s="5"/>
    </row>
    <row r="11368" spans="1:1" x14ac:dyDescent="0.25">
      <c r="A11368" s="5"/>
    </row>
    <row r="11369" spans="1:1" x14ac:dyDescent="0.25">
      <c r="A11369" s="5"/>
    </row>
    <row r="11370" spans="1:1" x14ac:dyDescent="0.25">
      <c r="A11370" s="5"/>
    </row>
    <row r="11371" spans="1:1" x14ac:dyDescent="0.25">
      <c r="A11371" s="5"/>
    </row>
    <row r="11372" spans="1:1" x14ac:dyDescent="0.25">
      <c r="A11372" s="5"/>
    </row>
    <row r="11373" spans="1:1" x14ac:dyDescent="0.25">
      <c r="A11373" s="5"/>
    </row>
    <row r="11374" spans="1:1" x14ac:dyDescent="0.25">
      <c r="A11374" s="5"/>
    </row>
    <row r="11375" spans="1:1" x14ac:dyDescent="0.25">
      <c r="A11375" s="5"/>
    </row>
    <row r="11376" spans="1:1" x14ac:dyDescent="0.25">
      <c r="A11376" s="5"/>
    </row>
    <row r="11377" spans="1:1" x14ac:dyDescent="0.25">
      <c r="A11377" s="5"/>
    </row>
    <row r="11378" spans="1:1" x14ac:dyDescent="0.25">
      <c r="A11378" s="5"/>
    </row>
    <row r="11379" spans="1:1" x14ac:dyDescent="0.25">
      <c r="A11379" s="5"/>
    </row>
    <row r="11380" spans="1:1" x14ac:dyDescent="0.25">
      <c r="A11380" s="5"/>
    </row>
    <row r="11381" spans="1:1" x14ac:dyDescent="0.25">
      <c r="A11381" s="5"/>
    </row>
    <row r="11382" spans="1:1" x14ac:dyDescent="0.25">
      <c r="A11382" s="5"/>
    </row>
    <row r="11383" spans="1:1" x14ac:dyDescent="0.25">
      <c r="A11383" s="5"/>
    </row>
    <row r="11384" spans="1:1" x14ac:dyDescent="0.25">
      <c r="A11384" s="5"/>
    </row>
    <row r="11385" spans="1:1" x14ac:dyDescent="0.25">
      <c r="A11385" s="5"/>
    </row>
    <row r="11386" spans="1:1" x14ac:dyDescent="0.25">
      <c r="A11386" s="5"/>
    </row>
    <row r="11387" spans="1:1" x14ac:dyDescent="0.25">
      <c r="A11387" s="5"/>
    </row>
    <row r="11388" spans="1:1" x14ac:dyDescent="0.25">
      <c r="A11388" s="5"/>
    </row>
    <row r="11389" spans="1:1" x14ac:dyDescent="0.25">
      <c r="A11389" s="5"/>
    </row>
    <row r="11390" spans="1:1" x14ac:dyDescent="0.25">
      <c r="A11390" s="5"/>
    </row>
    <row r="11391" spans="1:1" x14ac:dyDescent="0.25">
      <c r="A11391" s="5"/>
    </row>
    <row r="11392" spans="1:1" x14ac:dyDescent="0.25">
      <c r="A11392" s="5"/>
    </row>
    <row r="11393" spans="1:1" x14ac:dyDescent="0.25">
      <c r="A11393" s="5"/>
    </row>
    <row r="11394" spans="1:1" x14ac:dyDescent="0.25">
      <c r="A11394" s="5"/>
    </row>
    <row r="11395" spans="1:1" x14ac:dyDescent="0.25">
      <c r="A11395" s="5"/>
    </row>
    <row r="11396" spans="1:1" x14ac:dyDescent="0.25">
      <c r="A11396" s="5"/>
    </row>
    <row r="11397" spans="1:1" x14ac:dyDescent="0.25">
      <c r="A11397" s="5"/>
    </row>
    <row r="11398" spans="1:1" x14ac:dyDescent="0.25">
      <c r="A11398" s="5"/>
    </row>
    <row r="11399" spans="1:1" x14ac:dyDescent="0.25">
      <c r="A11399" s="5"/>
    </row>
    <row r="11400" spans="1:1" x14ac:dyDescent="0.25">
      <c r="A11400" s="5"/>
    </row>
    <row r="11401" spans="1:1" x14ac:dyDescent="0.25">
      <c r="A11401" s="5"/>
    </row>
    <row r="11402" spans="1:1" x14ac:dyDescent="0.25">
      <c r="A11402" s="5"/>
    </row>
    <row r="11403" spans="1:1" x14ac:dyDescent="0.25">
      <c r="A11403" s="5"/>
    </row>
    <row r="11404" spans="1:1" x14ac:dyDescent="0.25">
      <c r="A11404" s="5"/>
    </row>
    <row r="11405" spans="1:1" x14ac:dyDescent="0.25">
      <c r="A11405" s="5"/>
    </row>
    <row r="11406" spans="1:1" x14ac:dyDescent="0.25">
      <c r="A11406" s="5"/>
    </row>
    <row r="11407" spans="1:1" x14ac:dyDescent="0.25">
      <c r="A11407" s="5"/>
    </row>
    <row r="11408" spans="1:1" x14ac:dyDescent="0.25">
      <c r="A11408" s="5"/>
    </row>
    <row r="11409" spans="1:1" x14ac:dyDescent="0.25">
      <c r="A11409" s="5"/>
    </row>
    <row r="11410" spans="1:1" x14ac:dyDescent="0.25">
      <c r="A11410" s="5"/>
    </row>
    <row r="11411" spans="1:1" x14ac:dyDescent="0.25">
      <c r="A11411" s="5"/>
    </row>
    <row r="11412" spans="1:1" x14ac:dyDescent="0.25">
      <c r="A11412" s="5"/>
    </row>
    <row r="11413" spans="1:1" x14ac:dyDescent="0.25">
      <c r="A11413" s="5"/>
    </row>
    <row r="11414" spans="1:1" x14ac:dyDescent="0.25">
      <c r="A11414" s="5"/>
    </row>
    <row r="11415" spans="1:1" x14ac:dyDescent="0.25">
      <c r="A11415" s="5"/>
    </row>
    <row r="11416" spans="1:1" x14ac:dyDescent="0.25">
      <c r="A11416" s="5"/>
    </row>
    <row r="11417" spans="1:1" x14ac:dyDescent="0.25">
      <c r="A11417" s="5"/>
    </row>
    <row r="11418" spans="1:1" x14ac:dyDescent="0.25">
      <c r="A11418" s="5"/>
    </row>
    <row r="11419" spans="1:1" x14ac:dyDescent="0.25">
      <c r="A11419" s="5"/>
    </row>
    <row r="11420" spans="1:1" x14ac:dyDescent="0.25">
      <c r="A11420" s="5"/>
    </row>
    <row r="11421" spans="1:1" x14ac:dyDescent="0.25">
      <c r="A11421" s="5"/>
    </row>
    <row r="11422" spans="1:1" x14ac:dyDescent="0.25">
      <c r="A11422" s="5"/>
    </row>
    <row r="11423" spans="1:1" x14ac:dyDescent="0.25">
      <c r="A11423" s="5"/>
    </row>
    <row r="11424" spans="1:1" x14ac:dyDescent="0.25">
      <c r="A11424" s="5"/>
    </row>
    <row r="11425" spans="1:1" x14ac:dyDescent="0.25">
      <c r="A11425" s="5"/>
    </row>
    <row r="11426" spans="1:1" x14ac:dyDescent="0.25">
      <c r="A11426" s="5"/>
    </row>
    <row r="11427" spans="1:1" x14ac:dyDescent="0.25">
      <c r="A11427" s="5"/>
    </row>
    <row r="11428" spans="1:1" x14ac:dyDescent="0.25">
      <c r="A11428" s="5"/>
    </row>
    <row r="11429" spans="1:1" x14ac:dyDescent="0.25">
      <c r="A11429" s="5"/>
    </row>
    <row r="11430" spans="1:1" x14ac:dyDescent="0.25">
      <c r="A11430" s="5"/>
    </row>
    <row r="11431" spans="1:1" x14ac:dyDescent="0.25">
      <c r="A11431" s="5"/>
    </row>
    <row r="11432" spans="1:1" x14ac:dyDescent="0.25">
      <c r="A11432" s="5"/>
    </row>
    <row r="11433" spans="1:1" x14ac:dyDescent="0.25">
      <c r="A11433" s="5"/>
    </row>
    <row r="11434" spans="1:1" x14ac:dyDescent="0.25">
      <c r="A11434" s="5"/>
    </row>
    <row r="11435" spans="1:1" x14ac:dyDescent="0.25">
      <c r="A11435" s="5"/>
    </row>
    <row r="11436" spans="1:1" x14ac:dyDescent="0.25">
      <c r="A11436" s="5"/>
    </row>
    <row r="11437" spans="1:1" x14ac:dyDescent="0.25">
      <c r="A11437" s="5"/>
    </row>
    <row r="11438" spans="1:1" x14ac:dyDescent="0.25">
      <c r="A11438" s="5"/>
    </row>
    <row r="11439" spans="1:1" x14ac:dyDescent="0.25">
      <c r="A11439" s="5"/>
    </row>
    <row r="11440" spans="1:1" x14ac:dyDescent="0.25">
      <c r="A11440" s="5"/>
    </row>
    <row r="11441" spans="1:1" x14ac:dyDescent="0.25">
      <c r="A11441" s="5"/>
    </row>
    <row r="11442" spans="1:1" x14ac:dyDescent="0.25">
      <c r="A11442" s="5"/>
    </row>
    <row r="11443" spans="1:1" x14ac:dyDescent="0.25">
      <c r="A11443" s="5"/>
    </row>
    <row r="11444" spans="1:1" x14ac:dyDescent="0.25">
      <c r="A11444" s="5"/>
    </row>
    <row r="11445" spans="1:1" x14ac:dyDescent="0.25">
      <c r="A11445" s="5"/>
    </row>
    <row r="11446" spans="1:1" x14ac:dyDescent="0.25">
      <c r="A11446" s="5"/>
    </row>
    <row r="11447" spans="1:1" x14ac:dyDescent="0.25">
      <c r="A11447" s="5"/>
    </row>
    <row r="11448" spans="1:1" x14ac:dyDescent="0.25">
      <c r="A11448" s="5"/>
    </row>
    <row r="11449" spans="1:1" x14ac:dyDescent="0.25">
      <c r="A11449" s="5"/>
    </row>
    <row r="11450" spans="1:1" x14ac:dyDescent="0.25">
      <c r="A11450" s="5"/>
    </row>
    <row r="11451" spans="1:1" x14ac:dyDescent="0.25">
      <c r="A11451" s="5"/>
    </row>
    <row r="11452" spans="1:1" x14ac:dyDescent="0.25">
      <c r="A11452" s="5"/>
    </row>
    <row r="11453" spans="1:1" x14ac:dyDescent="0.25">
      <c r="A11453" s="5"/>
    </row>
    <row r="11454" spans="1:1" x14ac:dyDescent="0.25">
      <c r="A11454" s="5"/>
    </row>
    <row r="11455" spans="1:1" x14ac:dyDescent="0.25">
      <c r="A11455" s="5"/>
    </row>
    <row r="11456" spans="1:1" x14ac:dyDescent="0.25">
      <c r="A11456" s="5"/>
    </row>
    <row r="11457" spans="1:1" x14ac:dyDescent="0.25">
      <c r="A11457" s="5"/>
    </row>
    <row r="11458" spans="1:1" x14ac:dyDescent="0.25">
      <c r="A11458" s="5"/>
    </row>
    <row r="11459" spans="1:1" x14ac:dyDescent="0.25">
      <c r="A11459" s="5"/>
    </row>
    <row r="11460" spans="1:1" x14ac:dyDescent="0.25">
      <c r="A11460" s="5"/>
    </row>
    <row r="11461" spans="1:1" x14ac:dyDescent="0.25">
      <c r="A11461" s="5"/>
    </row>
    <row r="11462" spans="1:1" x14ac:dyDescent="0.25">
      <c r="A11462" s="5"/>
    </row>
    <row r="11463" spans="1:1" x14ac:dyDescent="0.25">
      <c r="A11463" s="5"/>
    </row>
    <row r="11464" spans="1:1" x14ac:dyDescent="0.25">
      <c r="A11464" s="5"/>
    </row>
    <row r="11465" spans="1:1" x14ac:dyDescent="0.25">
      <c r="A11465" s="5"/>
    </row>
    <row r="11466" spans="1:1" x14ac:dyDescent="0.25">
      <c r="A11466" s="5"/>
    </row>
    <row r="11467" spans="1:1" x14ac:dyDescent="0.25">
      <c r="A11467" s="5"/>
    </row>
    <row r="11468" spans="1:1" x14ac:dyDescent="0.25">
      <c r="A11468" s="5"/>
    </row>
    <row r="11469" spans="1:1" x14ac:dyDescent="0.25">
      <c r="A11469" s="5"/>
    </row>
    <row r="11470" spans="1:1" x14ac:dyDescent="0.25">
      <c r="A11470" s="5"/>
    </row>
    <row r="11471" spans="1:1" x14ac:dyDescent="0.25">
      <c r="A11471" s="5"/>
    </row>
    <row r="11472" spans="1:1" x14ac:dyDescent="0.25">
      <c r="A11472" s="5"/>
    </row>
    <row r="11473" spans="1:1" x14ac:dyDescent="0.25">
      <c r="A11473" s="5"/>
    </row>
    <row r="11474" spans="1:1" x14ac:dyDescent="0.25">
      <c r="A11474" s="5"/>
    </row>
    <row r="11475" spans="1:1" x14ac:dyDescent="0.25">
      <c r="A11475" s="5"/>
    </row>
    <row r="11476" spans="1:1" x14ac:dyDescent="0.25">
      <c r="A11476" s="5"/>
    </row>
    <row r="11477" spans="1:1" x14ac:dyDescent="0.25">
      <c r="A11477" s="5"/>
    </row>
    <row r="11478" spans="1:1" x14ac:dyDescent="0.25">
      <c r="A11478" s="5"/>
    </row>
    <row r="11479" spans="1:1" x14ac:dyDescent="0.25">
      <c r="A11479" s="5"/>
    </row>
    <row r="11480" spans="1:1" x14ac:dyDescent="0.25">
      <c r="A11480" s="5"/>
    </row>
    <row r="11481" spans="1:1" x14ac:dyDescent="0.25">
      <c r="A11481" s="5"/>
    </row>
    <row r="11482" spans="1:1" x14ac:dyDescent="0.25">
      <c r="A11482" s="5"/>
    </row>
    <row r="11483" spans="1:1" x14ac:dyDescent="0.25">
      <c r="A11483" s="5"/>
    </row>
    <row r="11484" spans="1:1" x14ac:dyDescent="0.25">
      <c r="A11484" s="5"/>
    </row>
    <row r="11485" spans="1:1" x14ac:dyDescent="0.25">
      <c r="A11485" s="5"/>
    </row>
    <row r="11486" spans="1:1" x14ac:dyDescent="0.25">
      <c r="A11486" s="5"/>
    </row>
    <row r="11487" spans="1:1" x14ac:dyDescent="0.25">
      <c r="A11487" s="5"/>
    </row>
    <row r="11488" spans="1:1" x14ac:dyDescent="0.25">
      <c r="A11488" s="5"/>
    </row>
    <row r="11489" spans="1:1" x14ac:dyDescent="0.25">
      <c r="A11489" s="5"/>
    </row>
    <row r="11490" spans="1:1" x14ac:dyDescent="0.25">
      <c r="A11490" s="5"/>
    </row>
    <row r="11491" spans="1:1" x14ac:dyDescent="0.25">
      <c r="A11491" s="5"/>
    </row>
    <row r="11492" spans="1:1" x14ac:dyDescent="0.25">
      <c r="A11492" s="5"/>
    </row>
    <row r="11493" spans="1:1" x14ac:dyDescent="0.25">
      <c r="A11493" s="5"/>
    </row>
    <row r="11494" spans="1:1" x14ac:dyDescent="0.25">
      <c r="A11494" s="5"/>
    </row>
    <row r="11495" spans="1:1" x14ac:dyDescent="0.25">
      <c r="A11495" s="5"/>
    </row>
    <row r="11496" spans="1:1" x14ac:dyDescent="0.25">
      <c r="A11496" s="5"/>
    </row>
    <row r="11497" spans="1:1" x14ac:dyDescent="0.25">
      <c r="A11497" s="5"/>
    </row>
    <row r="11498" spans="1:1" x14ac:dyDescent="0.25">
      <c r="A11498" s="5"/>
    </row>
    <row r="11499" spans="1:1" x14ac:dyDescent="0.25">
      <c r="A11499" s="5"/>
    </row>
    <row r="11500" spans="1:1" x14ac:dyDescent="0.25">
      <c r="A11500" s="5"/>
    </row>
    <row r="11501" spans="1:1" x14ac:dyDescent="0.25">
      <c r="A11501" s="5"/>
    </row>
    <row r="11502" spans="1:1" x14ac:dyDescent="0.25">
      <c r="A11502" s="5"/>
    </row>
    <row r="11503" spans="1:1" x14ac:dyDescent="0.25">
      <c r="A11503" s="5"/>
    </row>
    <row r="11504" spans="1:1" x14ac:dyDescent="0.25">
      <c r="A11504" s="5"/>
    </row>
    <row r="11505" spans="1:1" x14ac:dyDescent="0.25">
      <c r="A11505" s="5"/>
    </row>
    <row r="11506" spans="1:1" x14ac:dyDescent="0.25">
      <c r="A11506" s="5"/>
    </row>
    <row r="11507" spans="1:1" x14ac:dyDescent="0.25">
      <c r="A11507" s="5"/>
    </row>
    <row r="11508" spans="1:1" x14ac:dyDescent="0.25">
      <c r="A11508" s="5"/>
    </row>
    <row r="11509" spans="1:1" x14ac:dyDescent="0.25">
      <c r="A11509" s="5"/>
    </row>
    <row r="11510" spans="1:1" x14ac:dyDescent="0.25">
      <c r="A11510" s="5"/>
    </row>
    <row r="11511" spans="1:1" x14ac:dyDescent="0.25">
      <c r="A11511" s="5"/>
    </row>
    <row r="11512" spans="1:1" x14ac:dyDescent="0.25">
      <c r="A11512" s="5"/>
    </row>
    <row r="11513" spans="1:1" x14ac:dyDescent="0.25">
      <c r="A11513" s="5"/>
    </row>
    <row r="11514" spans="1:1" x14ac:dyDescent="0.25">
      <c r="A11514" s="5"/>
    </row>
    <row r="11515" spans="1:1" x14ac:dyDescent="0.25">
      <c r="A11515" s="5"/>
    </row>
    <row r="11516" spans="1:1" x14ac:dyDescent="0.25">
      <c r="A11516" s="5"/>
    </row>
    <row r="11517" spans="1:1" x14ac:dyDescent="0.25">
      <c r="A11517" s="5"/>
    </row>
    <row r="11518" spans="1:1" x14ac:dyDescent="0.25">
      <c r="A11518" s="5"/>
    </row>
    <row r="11519" spans="1:1" x14ac:dyDescent="0.25">
      <c r="A11519" s="5"/>
    </row>
    <row r="11520" spans="1:1" x14ac:dyDescent="0.25">
      <c r="A11520" s="5"/>
    </row>
    <row r="11521" spans="1:1" x14ac:dyDescent="0.25">
      <c r="A11521" s="5"/>
    </row>
    <row r="11522" spans="1:1" x14ac:dyDescent="0.25">
      <c r="A11522" s="5"/>
    </row>
    <row r="11523" spans="1:1" x14ac:dyDescent="0.25">
      <c r="A11523" s="5"/>
    </row>
    <row r="11524" spans="1:1" x14ac:dyDescent="0.25">
      <c r="A11524" s="5"/>
    </row>
    <row r="11525" spans="1:1" x14ac:dyDescent="0.25">
      <c r="A11525" s="5"/>
    </row>
    <row r="11526" spans="1:1" x14ac:dyDescent="0.25">
      <c r="A11526" s="5"/>
    </row>
    <row r="11527" spans="1:1" x14ac:dyDescent="0.25">
      <c r="A11527" s="5"/>
    </row>
    <row r="11528" spans="1:1" x14ac:dyDescent="0.25">
      <c r="A11528" s="5"/>
    </row>
    <row r="11529" spans="1:1" x14ac:dyDescent="0.25">
      <c r="A11529" s="5"/>
    </row>
    <row r="11530" spans="1:1" x14ac:dyDescent="0.25">
      <c r="A11530" s="5"/>
    </row>
    <row r="11531" spans="1:1" x14ac:dyDescent="0.25">
      <c r="A11531" s="5"/>
    </row>
    <row r="11532" spans="1:1" x14ac:dyDescent="0.25">
      <c r="A11532" s="5"/>
    </row>
    <row r="11533" spans="1:1" x14ac:dyDescent="0.25">
      <c r="A11533" s="5"/>
    </row>
    <row r="11534" spans="1:1" x14ac:dyDescent="0.25">
      <c r="A11534" s="5"/>
    </row>
    <row r="11535" spans="1:1" x14ac:dyDescent="0.25">
      <c r="A11535" s="5"/>
    </row>
    <row r="11536" spans="1:1" x14ac:dyDescent="0.25">
      <c r="A11536" s="5"/>
    </row>
    <row r="11537" spans="1:1" x14ac:dyDescent="0.25">
      <c r="A11537" s="5"/>
    </row>
    <row r="11538" spans="1:1" x14ac:dyDescent="0.25">
      <c r="A11538" s="5"/>
    </row>
    <row r="11539" spans="1:1" x14ac:dyDescent="0.25">
      <c r="A11539" s="5"/>
    </row>
    <row r="11540" spans="1:1" x14ac:dyDescent="0.25">
      <c r="A11540" s="5"/>
    </row>
    <row r="11541" spans="1:1" x14ac:dyDescent="0.25">
      <c r="A11541" s="5"/>
    </row>
    <row r="11542" spans="1:1" x14ac:dyDescent="0.25">
      <c r="A11542" s="5"/>
    </row>
    <row r="11543" spans="1:1" x14ac:dyDescent="0.25">
      <c r="A11543" s="5"/>
    </row>
    <row r="11544" spans="1:1" x14ac:dyDescent="0.25">
      <c r="A11544" s="5"/>
    </row>
    <row r="11545" spans="1:1" x14ac:dyDescent="0.25">
      <c r="A11545" s="5"/>
    </row>
    <row r="11546" spans="1:1" x14ac:dyDescent="0.25">
      <c r="A11546" s="5"/>
    </row>
    <row r="11547" spans="1:1" x14ac:dyDescent="0.25">
      <c r="A11547" s="5"/>
    </row>
    <row r="11548" spans="1:1" x14ac:dyDescent="0.25">
      <c r="A11548" s="5"/>
    </row>
    <row r="11549" spans="1:1" x14ac:dyDescent="0.25">
      <c r="A11549" s="5"/>
    </row>
    <row r="11550" spans="1:1" x14ac:dyDescent="0.25">
      <c r="A11550" s="5"/>
    </row>
    <row r="11551" spans="1:1" x14ac:dyDescent="0.25">
      <c r="A11551" s="5"/>
    </row>
    <row r="11552" spans="1:1" x14ac:dyDescent="0.25">
      <c r="A11552" s="5"/>
    </row>
    <row r="11553" spans="1:1" x14ac:dyDescent="0.25">
      <c r="A11553" s="5"/>
    </row>
    <row r="11554" spans="1:1" x14ac:dyDescent="0.25">
      <c r="A11554" s="5"/>
    </row>
    <row r="11555" spans="1:1" x14ac:dyDescent="0.25">
      <c r="A11555" s="5"/>
    </row>
    <row r="11556" spans="1:1" x14ac:dyDescent="0.25">
      <c r="A11556" s="5"/>
    </row>
    <row r="11557" spans="1:1" x14ac:dyDescent="0.25">
      <c r="A11557" s="5"/>
    </row>
    <row r="11558" spans="1:1" x14ac:dyDescent="0.25">
      <c r="A11558" s="5"/>
    </row>
    <row r="11559" spans="1:1" x14ac:dyDescent="0.25">
      <c r="A11559" s="5"/>
    </row>
    <row r="11560" spans="1:1" x14ac:dyDescent="0.25">
      <c r="A11560" s="5"/>
    </row>
    <row r="11561" spans="1:1" x14ac:dyDescent="0.25">
      <c r="A11561" s="5"/>
    </row>
    <row r="11562" spans="1:1" x14ac:dyDescent="0.25">
      <c r="A11562" s="5"/>
    </row>
    <row r="11563" spans="1:1" x14ac:dyDescent="0.25">
      <c r="A11563" s="5"/>
    </row>
    <row r="11564" spans="1:1" x14ac:dyDescent="0.25">
      <c r="A11564" s="5"/>
    </row>
    <row r="11565" spans="1:1" x14ac:dyDescent="0.25">
      <c r="A11565" s="5"/>
    </row>
    <row r="11566" spans="1:1" x14ac:dyDescent="0.25">
      <c r="A11566" s="5"/>
    </row>
    <row r="11567" spans="1:1" x14ac:dyDescent="0.25">
      <c r="A11567" s="5"/>
    </row>
    <row r="11568" spans="1:1" x14ac:dyDescent="0.25">
      <c r="A11568" s="5"/>
    </row>
    <row r="11569" spans="1:1" x14ac:dyDescent="0.25">
      <c r="A11569" s="5"/>
    </row>
    <row r="11570" spans="1:1" x14ac:dyDescent="0.25">
      <c r="A11570" s="5"/>
    </row>
    <row r="11571" spans="1:1" x14ac:dyDescent="0.25">
      <c r="A11571" s="5"/>
    </row>
    <row r="11572" spans="1:1" x14ac:dyDescent="0.25">
      <c r="A11572" s="5"/>
    </row>
    <row r="11573" spans="1:1" x14ac:dyDescent="0.25">
      <c r="A11573" s="5"/>
    </row>
    <row r="11574" spans="1:1" x14ac:dyDescent="0.25">
      <c r="A11574" s="5"/>
    </row>
    <row r="11575" spans="1:1" x14ac:dyDescent="0.25">
      <c r="A11575" s="5"/>
    </row>
    <row r="11576" spans="1:1" x14ac:dyDescent="0.25">
      <c r="A11576" s="5"/>
    </row>
    <row r="11577" spans="1:1" x14ac:dyDescent="0.25">
      <c r="A11577" s="5"/>
    </row>
    <row r="11578" spans="1:1" x14ac:dyDescent="0.25">
      <c r="A11578" s="5"/>
    </row>
    <row r="11579" spans="1:1" x14ac:dyDescent="0.25">
      <c r="A11579" s="5"/>
    </row>
    <row r="11580" spans="1:1" x14ac:dyDescent="0.25">
      <c r="A11580" s="5"/>
    </row>
    <row r="11581" spans="1:1" x14ac:dyDescent="0.25">
      <c r="A11581" s="5"/>
    </row>
    <row r="11582" spans="1:1" x14ac:dyDescent="0.25">
      <c r="A11582" s="5"/>
    </row>
    <row r="11583" spans="1:1" x14ac:dyDescent="0.25">
      <c r="A11583" s="5"/>
    </row>
    <row r="11584" spans="1:1" x14ac:dyDescent="0.25">
      <c r="A11584" s="5"/>
    </row>
    <row r="11585" spans="1:1" x14ac:dyDescent="0.25">
      <c r="A11585" s="5"/>
    </row>
    <row r="11586" spans="1:1" x14ac:dyDescent="0.25">
      <c r="A11586" s="5"/>
    </row>
    <row r="11587" spans="1:1" x14ac:dyDescent="0.25">
      <c r="A11587" s="5"/>
    </row>
    <row r="11588" spans="1:1" x14ac:dyDescent="0.25">
      <c r="A11588" s="5"/>
    </row>
    <row r="11589" spans="1:1" x14ac:dyDescent="0.25">
      <c r="A11589" s="5"/>
    </row>
    <row r="11590" spans="1:1" x14ac:dyDescent="0.25">
      <c r="A11590" s="5"/>
    </row>
    <row r="11591" spans="1:1" x14ac:dyDescent="0.25">
      <c r="A11591" s="5"/>
    </row>
    <row r="11592" spans="1:1" x14ac:dyDescent="0.25">
      <c r="A11592" s="5"/>
    </row>
    <row r="11593" spans="1:1" x14ac:dyDescent="0.25">
      <c r="A11593" s="5"/>
    </row>
    <row r="11594" spans="1:1" x14ac:dyDescent="0.25">
      <c r="A11594" s="5"/>
    </row>
    <row r="11595" spans="1:1" x14ac:dyDescent="0.25">
      <c r="A11595" s="5"/>
    </row>
    <row r="11596" spans="1:1" x14ac:dyDescent="0.25">
      <c r="A11596" s="5"/>
    </row>
    <row r="11597" spans="1:1" x14ac:dyDescent="0.25">
      <c r="A11597" s="5"/>
    </row>
    <row r="11598" spans="1:1" x14ac:dyDescent="0.25">
      <c r="A11598" s="5"/>
    </row>
    <row r="11599" spans="1:1" x14ac:dyDescent="0.25">
      <c r="A11599" s="5"/>
    </row>
    <row r="11600" spans="1:1" x14ac:dyDescent="0.25">
      <c r="A11600" s="5"/>
    </row>
    <row r="11601" spans="1:1" x14ac:dyDescent="0.25">
      <c r="A11601" s="5"/>
    </row>
    <row r="11602" spans="1:1" x14ac:dyDescent="0.25">
      <c r="A11602" s="5"/>
    </row>
    <row r="11603" spans="1:1" x14ac:dyDescent="0.25">
      <c r="A11603" s="5"/>
    </row>
    <row r="11604" spans="1:1" x14ac:dyDescent="0.25">
      <c r="A11604" s="5"/>
    </row>
    <row r="11605" spans="1:1" x14ac:dyDescent="0.25">
      <c r="A11605" s="5"/>
    </row>
    <row r="11606" spans="1:1" x14ac:dyDescent="0.25">
      <c r="A11606" s="5"/>
    </row>
    <row r="11607" spans="1:1" x14ac:dyDescent="0.25">
      <c r="A11607" s="5"/>
    </row>
    <row r="11608" spans="1:1" x14ac:dyDescent="0.25">
      <c r="A11608" s="5"/>
    </row>
    <row r="11609" spans="1:1" x14ac:dyDescent="0.25">
      <c r="A11609" s="5"/>
    </row>
    <row r="11610" spans="1:1" x14ac:dyDescent="0.25">
      <c r="A11610" s="5"/>
    </row>
    <row r="11611" spans="1:1" x14ac:dyDescent="0.25">
      <c r="A11611" s="5"/>
    </row>
    <row r="11612" spans="1:1" x14ac:dyDescent="0.25">
      <c r="A11612" s="5"/>
    </row>
    <row r="11613" spans="1:1" x14ac:dyDescent="0.25">
      <c r="A11613" s="5"/>
    </row>
    <row r="11614" spans="1:1" x14ac:dyDescent="0.25">
      <c r="A11614" s="5"/>
    </row>
    <row r="11615" spans="1:1" x14ac:dyDescent="0.25">
      <c r="A11615" s="5"/>
    </row>
    <row r="11616" spans="1:1" x14ac:dyDescent="0.25">
      <c r="A11616" s="5"/>
    </row>
    <row r="11617" spans="1:1" x14ac:dyDescent="0.25">
      <c r="A11617" s="5"/>
    </row>
    <row r="11618" spans="1:1" x14ac:dyDescent="0.25">
      <c r="A11618" s="5"/>
    </row>
    <row r="11619" spans="1:1" x14ac:dyDescent="0.25">
      <c r="A11619" s="5"/>
    </row>
    <row r="11620" spans="1:1" x14ac:dyDescent="0.25">
      <c r="A11620" s="5"/>
    </row>
    <row r="11621" spans="1:1" x14ac:dyDescent="0.25">
      <c r="A11621" s="5"/>
    </row>
    <row r="11622" spans="1:1" x14ac:dyDescent="0.25">
      <c r="A11622" s="5"/>
    </row>
    <row r="11623" spans="1:1" x14ac:dyDescent="0.25">
      <c r="A11623" s="5"/>
    </row>
    <row r="11624" spans="1:1" x14ac:dyDescent="0.25">
      <c r="A11624" s="5"/>
    </row>
    <row r="11625" spans="1:1" x14ac:dyDescent="0.25">
      <c r="A11625" s="5"/>
    </row>
    <row r="11626" spans="1:1" x14ac:dyDescent="0.25">
      <c r="A11626" s="5"/>
    </row>
    <row r="11627" spans="1:1" x14ac:dyDescent="0.25">
      <c r="A11627" s="5"/>
    </row>
    <row r="11628" spans="1:1" x14ac:dyDescent="0.25">
      <c r="A11628" s="5"/>
    </row>
    <row r="11629" spans="1:1" x14ac:dyDescent="0.25">
      <c r="A11629" s="5"/>
    </row>
    <row r="11630" spans="1:1" x14ac:dyDescent="0.25">
      <c r="A11630" s="5"/>
    </row>
    <row r="11631" spans="1:1" x14ac:dyDescent="0.25">
      <c r="A11631" s="5"/>
    </row>
    <row r="11632" spans="1:1" x14ac:dyDescent="0.25">
      <c r="A11632" s="5"/>
    </row>
    <row r="11633" spans="1:1" x14ac:dyDescent="0.25">
      <c r="A11633" s="5"/>
    </row>
    <row r="11634" spans="1:1" x14ac:dyDescent="0.25">
      <c r="A11634" s="5"/>
    </row>
    <row r="11635" spans="1:1" x14ac:dyDescent="0.25">
      <c r="A11635" s="5"/>
    </row>
    <row r="11636" spans="1:1" x14ac:dyDescent="0.25">
      <c r="A11636" s="5"/>
    </row>
    <row r="11637" spans="1:1" x14ac:dyDescent="0.25">
      <c r="A11637" s="5"/>
    </row>
    <row r="11638" spans="1:1" x14ac:dyDescent="0.25">
      <c r="A11638" s="5"/>
    </row>
    <row r="11639" spans="1:1" x14ac:dyDescent="0.25">
      <c r="A11639" s="5"/>
    </row>
    <row r="11640" spans="1:1" x14ac:dyDescent="0.25">
      <c r="A11640" s="5"/>
    </row>
    <row r="11641" spans="1:1" x14ac:dyDescent="0.25">
      <c r="A11641" s="5"/>
    </row>
    <row r="11642" spans="1:1" x14ac:dyDescent="0.25">
      <c r="A11642" s="5"/>
    </row>
    <row r="11643" spans="1:1" x14ac:dyDescent="0.25">
      <c r="A11643" s="5"/>
    </row>
    <row r="11644" spans="1:1" x14ac:dyDescent="0.25">
      <c r="A11644" s="5"/>
    </row>
    <row r="11645" spans="1:1" x14ac:dyDescent="0.25">
      <c r="A11645" s="5"/>
    </row>
    <row r="11646" spans="1:1" x14ac:dyDescent="0.25">
      <c r="A11646" s="5"/>
    </row>
    <row r="11647" spans="1:1" x14ac:dyDescent="0.25">
      <c r="A11647" s="5"/>
    </row>
    <row r="11648" spans="1:1" x14ac:dyDescent="0.25">
      <c r="A11648" s="5"/>
    </row>
    <row r="11649" spans="1:1" x14ac:dyDescent="0.25">
      <c r="A11649" s="5"/>
    </row>
    <row r="11650" spans="1:1" x14ac:dyDescent="0.25">
      <c r="A11650" s="5"/>
    </row>
    <row r="11651" spans="1:1" x14ac:dyDescent="0.25">
      <c r="A11651" s="5"/>
    </row>
    <row r="11652" spans="1:1" x14ac:dyDescent="0.25">
      <c r="A11652" s="5"/>
    </row>
    <row r="11653" spans="1:1" x14ac:dyDescent="0.25">
      <c r="A11653" s="5"/>
    </row>
    <row r="11654" spans="1:1" x14ac:dyDescent="0.25">
      <c r="A11654" s="5"/>
    </row>
    <row r="11655" spans="1:1" x14ac:dyDescent="0.25">
      <c r="A11655" s="5"/>
    </row>
    <row r="11656" spans="1:1" x14ac:dyDescent="0.25">
      <c r="A11656" s="5"/>
    </row>
    <row r="11657" spans="1:1" x14ac:dyDescent="0.25">
      <c r="A11657" s="5"/>
    </row>
    <row r="11658" spans="1:1" x14ac:dyDescent="0.25">
      <c r="A11658" s="5"/>
    </row>
    <row r="11659" spans="1:1" x14ac:dyDescent="0.25">
      <c r="A11659" s="5"/>
    </row>
    <row r="11660" spans="1:1" x14ac:dyDescent="0.25">
      <c r="A11660" s="5"/>
    </row>
    <row r="11661" spans="1:1" x14ac:dyDescent="0.25">
      <c r="A11661" s="5"/>
    </row>
    <row r="11662" spans="1:1" x14ac:dyDescent="0.25">
      <c r="A11662" s="5"/>
    </row>
    <row r="11663" spans="1:1" x14ac:dyDescent="0.25">
      <c r="A11663" s="5"/>
    </row>
    <row r="11664" spans="1:1" x14ac:dyDescent="0.25">
      <c r="A11664" s="5"/>
    </row>
    <row r="11665" spans="1:1" x14ac:dyDescent="0.25">
      <c r="A11665" s="5"/>
    </row>
    <row r="11666" spans="1:1" x14ac:dyDescent="0.25">
      <c r="A11666" s="5"/>
    </row>
    <row r="11667" spans="1:1" x14ac:dyDescent="0.25">
      <c r="A11667" s="5"/>
    </row>
    <row r="11668" spans="1:1" x14ac:dyDescent="0.25">
      <c r="A11668" s="5"/>
    </row>
    <row r="11669" spans="1:1" x14ac:dyDescent="0.25">
      <c r="A11669" s="5"/>
    </row>
    <row r="11670" spans="1:1" x14ac:dyDescent="0.25">
      <c r="A11670" s="5"/>
    </row>
    <row r="11671" spans="1:1" x14ac:dyDescent="0.25">
      <c r="A11671" s="5"/>
    </row>
    <row r="11672" spans="1:1" x14ac:dyDescent="0.25">
      <c r="A11672" s="5"/>
    </row>
    <row r="11673" spans="1:1" x14ac:dyDescent="0.25">
      <c r="A11673" s="5"/>
    </row>
    <row r="11674" spans="1:1" x14ac:dyDescent="0.25">
      <c r="A11674" s="5"/>
    </row>
    <row r="11675" spans="1:1" x14ac:dyDescent="0.25">
      <c r="A11675" s="5"/>
    </row>
    <row r="11676" spans="1:1" x14ac:dyDescent="0.25">
      <c r="A11676" s="5"/>
    </row>
    <row r="11677" spans="1:1" x14ac:dyDescent="0.25">
      <c r="A11677" s="5"/>
    </row>
    <row r="11678" spans="1:1" x14ac:dyDescent="0.25">
      <c r="A11678" s="5"/>
    </row>
    <row r="11679" spans="1:1" x14ac:dyDescent="0.25">
      <c r="A11679" s="5"/>
    </row>
    <row r="11680" spans="1:1" x14ac:dyDescent="0.25">
      <c r="A11680" s="5"/>
    </row>
    <row r="11681" spans="1:1" x14ac:dyDescent="0.25">
      <c r="A11681" s="5"/>
    </row>
    <row r="11682" spans="1:1" x14ac:dyDescent="0.25">
      <c r="A11682" s="5"/>
    </row>
    <row r="11683" spans="1:1" x14ac:dyDescent="0.25">
      <c r="A11683" s="5"/>
    </row>
    <row r="11684" spans="1:1" x14ac:dyDescent="0.25">
      <c r="A11684" s="5"/>
    </row>
    <row r="11685" spans="1:1" x14ac:dyDescent="0.25">
      <c r="A11685" s="5"/>
    </row>
    <row r="11686" spans="1:1" x14ac:dyDescent="0.25">
      <c r="A11686" s="5"/>
    </row>
    <row r="11687" spans="1:1" x14ac:dyDescent="0.25">
      <c r="A11687" s="5"/>
    </row>
    <row r="11688" spans="1:1" x14ac:dyDescent="0.25">
      <c r="A11688" s="5"/>
    </row>
    <row r="11689" spans="1:1" x14ac:dyDescent="0.25">
      <c r="A11689" s="5"/>
    </row>
    <row r="11690" spans="1:1" x14ac:dyDescent="0.25">
      <c r="A11690" s="5"/>
    </row>
    <row r="11691" spans="1:1" x14ac:dyDescent="0.25">
      <c r="A11691" s="5"/>
    </row>
    <row r="11692" spans="1:1" x14ac:dyDescent="0.25">
      <c r="A11692" s="5"/>
    </row>
    <row r="11693" spans="1:1" x14ac:dyDescent="0.25">
      <c r="A11693" s="5"/>
    </row>
    <row r="11694" spans="1:1" x14ac:dyDescent="0.25">
      <c r="A11694" s="5"/>
    </row>
    <row r="11695" spans="1:1" x14ac:dyDescent="0.25">
      <c r="A11695" s="5"/>
    </row>
    <row r="11696" spans="1:1" x14ac:dyDescent="0.25">
      <c r="A11696" s="5"/>
    </row>
    <row r="11697" spans="1:1" x14ac:dyDescent="0.25">
      <c r="A11697" s="5"/>
    </row>
    <row r="11698" spans="1:1" x14ac:dyDescent="0.25">
      <c r="A11698" s="5"/>
    </row>
    <row r="11699" spans="1:1" x14ac:dyDescent="0.25">
      <c r="A11699" s="5"/>
    </row>
    <row r="11700" spans="1:1" x14ac:dyDescent="0.25">
      <c r="A11700" s="5"/>
    </row>
    <row r="11701" spans="1:1" x14ac:dyDescent="0.25">
      <c r="A11701" s="5"/>
    </row>
    <row r="11702" spans="1:1" x14ac:dyDescent="0.25">
      <c r="A11702" s="5"/>
    </row>
    <row r="11703" spans="1:1" x14ac:dyDescent="0.25">
      <c r="A11703" s="5"/>
    </row>
    <row r="11704" spans="1:1" x14ac:dyDescent="0.25">
      <c r="A11704" s="5"/>
    </row>
    <row r="11705" spans="1:1" x14ac:dyDescent="0.25">
      <c r="A11705" s="5"/>
    </row>
    <row r="11706" spans="1:1" x14ac:dyDescent="0.25">
      <c r="A11706" s="5"/>
    </row>
    <row r="11707" spans="1:1" x14ac:dyDescent="0.25">
      <c r="A11707" s="5"/>
    </row>
    <row r="11708" spans="1:1" x14ac:dyDescent="0.25">
      <c r="A11708" s="5"/>
    </row>
    <row r="11709" spans="1:1" x14ac:dyDescent="0.25">
      <c r="A11709" s="5"/>
    </row>
    <row r="11710" spans="1:1" x14ac:dyDescent="0.25">
      <c r="A11710" s="5"/>
    </row>
    <row r="11711" spans="1:1" x14ac:dyDescent="0.25">
      <c r="A11711" s="5"/>
    </row>
    <row r="11712" spans="1:1" x14ac:dyDescent="0.25">
      <c r="A11712" s="5"/>
    </row>
    <row r="11713" spans="1:1" x14ac:dyDescent="0.25">
      <c r="A11713" s="5"/>
    </row>
    <row r="11714" spans="1:1" x14ac:dyDescent="0.25">
      <c r="A11714" s="5"/>
    </row>
    <row r="11715" spans="1:1" x14ac:dyDescent="0.25">
      <c r="A11715" s="5"/>
    </row>
    <row r="11716" spans="1:1" x14ac:dyDescent="0.25">
      <c r="A11716" s="5"/>
    </row>
    <row r="11717" spans="1:1" x14ac:dyDescent="0.25">
      <c r="A11717" s="5"/>
    </row>
    <row r="11718" spans="1:1" x14ac:dyDescent="0.25">
      <c r="A11718" s="5"/>
    </row>
    <row r="11719" spans="1:1" x14ac:dyDescent="0.25">
      <c r="A11719" s="5"/>
    </row>
    <row r="11720" spans="1:1" x14ac:dyDescent="0.25">
      <c r="A11720" s="5"/>
    </row>
    <row r="11721" spans="1:1" x14ac:dyDescent="0.25">
      <c r="A11721" s="5"/>
    </row>
    <row r="11722" spans="1:1" x14ac:dyDescent="0.25">
      <c r="A11722" s="5"/>
    </row>
    <row r="11723" spans="1:1" x14ac:dyDescent="0.25">
      <c r="A11723" s="5"/>
    </row>
    <row r="11724" spans="1:1" x14ac:dyDescent="0.25">
      <c r="A11724" s="5"/>
    </row>
    <row r="11725" spans="1:1" x14ac:dyDescent="0.25">
      <c r="A11725" s="5"/>
    </row>
    <row r="11726" spans="1:1" x14ac:dyDescent="0.25">
      <c r="A11726" s="5"/>
    </row>
    <row r="11727" spans="1:1" x14ac:dyDescent="0.25">
      <c r="A11727" s="5"/>
    </row>
    <row r="11728" spans="1:1" x14ac:dyDescent="0.25">
      <c r="A11728" s="5"/>
    </row>
    <row r="11729" spans="1:1" x14ac:dyDescent="0.25">
      <c r="A11729" s="5"/>
    </row>
    <row r="11730" spans="1:1" x14ac:dyDescent="0.25">
      <c r="A11730" s="5"/>
    </row>
    <row r="11731" spans="1:1" x14ac:dyDescent="0.25">
      <c r="A11731" s="5"/>
    </row>
    <row r="11732" spans="1:1" x14ac:dyDescent="0.25">
      <c r="A11732" s="5"/>
    </row>
    <row r="11733" spans="1:1" x14ac:dyDescent="0.25">
      <c r="A11733" s="5"/>
    </row>
    <row r="11734" spans="1:1" x14ac:dyDescent="0.25">
      <c r="A11734" s="5"/>
    </row>
    <row r="11735" spans="1:1" x14ac:dyDescent="0.25">
      <c r="A11735" s="5"/>
    </row>
    <row r="11736" spans="1:1" x14ac:dyDescent="0.25">
      <c r="A11736" s="5"/>
    </row>
    <row r="11737" spans="1:1" x14ac:dyDescent="0.25">
      <c r="A11737" s="5"/>
    </row>
    <row r="11738" spans="1:1" x14ac:dyDescent="0.25">
      <c r="A11738" s="5"/>
    </row>
    <row r="11739" spans="1:1" x14ac:dyDescent="0.25">
      <c r="A11739" s="5"/>
    </row>
    <row r="11740" spans="1:1" x14ac:dyDescent="0.25">
      <c r="A11740" s="5"/>
    </row>
    <row r="11741" spans="1:1" x14ac:dyDescent="0.25">
      <c r="A11741" s="5"/>
    </row>
    <row r="11742" spans="1:1" x14ac:dyDescent="0.25">
      <c r="A11742" s="5"/>
    </row>
    <row r="11743" spans="1:1" x14ac:dyDescent="0.25">
      <c r="A11743" s="5"/>
    </row>
    <row r="11744" spans="1:1" x14ac:dyDescent="0.25">
      <c r="A11744" s="5"/>
    </row>
    <row r="11745" spans="1:1" x14ac:dyDescent="0.25">
      <c r="A11745" s="5"/>
    </row>
    <row r="11746" spans="1:1" x14ac:dyDescent="0.25">
      <c r="A11746" s="5"/>
    </row>
    <row r="11747" spans="1:1" x14ac:dyDescent="0.25">
      <c r="A11747" s="5"/>
    </row>
    <row r="11748" spans="1:1" x14ac:dyDescent="0.25">
      <c r="A11748" s="5"/>
    </row>
    <row r="11749" spans="1:1" x14ac:dyDescent="0.25">
      <c r="A11749" s="5"/>
    </row>
    <row r="11750" spans="1:1" x14ac:dyDescent="0.25">
      <c r="A11750" s="5"/>
    </row>
    <row r="11751" spans="1:1" x14ac:dyDescent="0.25">
      <c r="A11751" s="5"/>
    </row>
    <row r="11752" spans="1:1" x14ac:dyDescent="0.25">
      <c r="A11752" s="5"/>
    </row>
    <row r="11753" spans="1:1" x14ac:dyDescent="0.25">
      <c r="A11753" s="5"/>
    </row>
    <row r="11754" spans="1:1" x14ac:dyDescent="0.25">
      <c r="A11754" s="5"/>
    </row>
    <row r="11755" spans="1:1" x14ac:dyDescent="0.25">
      <c r="A11755" s="5"/>
    </row>
    <row r="11756" spans="1:1" x14ac:dyDescent="0.25">
      <c r="A11756" s="5"/>
    </row>
    <row r="11757" spans="1:1" x14ac:dyDescent="0.25">
      <c r="A11757" s="5"/>
    </row>
    <row r="11758" spans="1:1" x14ac:dyDescent="0.25">
      <c r="A11758" s="5"/>
    </row>
    <row r="11759" spans="1:1" x14ac:dyDescent="0.25">
      <c r="A11759" s="5"/>
    </row>
    <row r="11760" spans="1:1" x14ac:dyDescent="0.25">
      <c r="A11760" s="5"/>
    </row>
    <row r="11761" spans="1:1" x14ac:dyDescent="0.25">
      <c r="A11761" s="5"/>
    </row>
    <row r="11762" spans="1:1" x14ac:dyDescent="0.25">
      <c r="A11762" s="5"/>
    </row>
    <row r="11763" spans="1:1" x14ac:dyDescent="0.25">
      <c r="A11763" s="5"/>
    </row>
    <row r="11764" spans="1:1" x14ac:dyDescent="0.25">
      <c r="A11764" s="5"/>
    </row>
    <row r="11765" spans="1:1" x14ac:dyDescent="0.25">
      <c r="A11765" s="5"/>
    </row>
    <row r="11766" spans="1:1" x14ac:dyDescent="0.25">
      <c r="A11766" s="5"/>
    </row>
    <row r="11767" spans="1:1" x14ac:dyDescent="0.25">
      <c r="A11767" s="5"/>
    </row>
    <row r="11768" spans="1:1" x14ac:dyDescent="0.25">
      <c r="A11768" s="5"/>
    </row>
    <row r="11769" spans="1:1" x14ac:dyDescent="0.25">
      <c r="A11769" s="5"/>
    </row>
    <row r="11770" spans="1:1" x14ac:dyDescent="0.25">
      <c r="A11770" s="5"/>
    </row>
    <row r="11771" spans="1:1" x14ac:dyDescent="0.25">
      <c r="A11771" s="5"/>
    </row>
    <row r="11772" spans="1:1" x14ac:dyDescent="0.25">
      <c r="A11772" s="5"/>
    </row>
    <row r="11773" spans="1:1" x14ac:dyDescent="0.25">
      <c r="A11773" s="5"/>
    </row>
    <row r="11774" spans="1:1" x14ac:dyDescent="0.25">
      <c r="A11774" s="5"/>
    </row>
    <row r="11775" spans="1:1" x14ac:dyDescent="0.25">
      <c r="A11775" s="5"/>
    </row>
    <row r="11776" spans="1:1" x14ac:dyDescent="0.25">
      <c r="A11776" s="5"/>
    </row>
    <row r="11777" spans="1:1" x14ac:dyDescent="0.25">
      <c r="A11777" s="5"/>
    </row>
    <row r="11778" spans="1:1" x14ac:dyDescent="0.25">
      <c r="A11778" s="5"/>
    </row>
    <row r="11779" spans="1:1" x14ac:dyDescent="0.25">
      <c r="A11779" s="5"/>
    </row>
    <row r="11780" spans="1:1" x14ac:dyDescent="0.25">
      <c r="A11780" s="5"/>
    </row>
    <row r="11781" spans="1:1" x14ac:dyDescent="0.25">
      <c r="A11781" s="5"/>
    </row>
    <row r="11782" spans="1:1" x14ac:dyDescent="0.25">
      <c r="A11782" s="5"/>
    </row>
    <row r="11783" spans="1:1" x14ac:dyDescent="0.25">
      <c r="A11783" s="5"/>
    </row>
    <row r="11784" spans="1:1" x14ac:dyDescent="0.25">
      <c r="A11784" s="5"/>
    </row>
    <row r="11785" spans="1:1" x14ac:dyDescent="0.25">
      <c r="A11785" s="5"/>
    </row>
    <row r="11786" spans="1:1" x14ac:dyDescent="0.25">
      <c r="A11786" s="5"/>
    </row>
    <row r="11787" spans="1:1" x14ac:dyDescent="0.25">
      <c r="A11787" s="5"/>
    </row>
    <row r="11788" spans="1:1" x14ac:dyDescent="0.25">
      <c r="A11788" s="5"/>
    </row>
    <row r="11789" spans="1:1" x14ac:dyDescent="0.25">
      <c r="A11789" s="5"/>
    </row>
    <row r="11790" spans="1:1" x14ac:dyDescent="0.25">
      <c r="A11790" s="5"/>
    </row>
    <row r="11791" spans="1:1" x14ac:dyDescent="0.25">
      <c r="A11791" s="5"/>
    </row>
    <row r="11792" spans="1:1" x14ac:dyDescent="0.25">
      <c r="A11792" s="5"/>
    </row>
    <row r="11793" spans="1:1" x14ac:dyDescent="0.25">
      <c r="A11793" s="5"/>
    </row>
    <row r="11794" spans="1:1" x14ac:dyDescent="0.25">
      <c r="A11794" s="5"/>
    </row>
    <row r="11795" spans="1:1" x14ac:dyDescent="0.25">
      <c r="A11795" s="5"/>
    </row>
    <row r="11796" spans="1:1" x14ac:dyDescent="0.25">
      <c r="A11796" s="5"/>
    </row>
    <row r="11797" spans="1:1" x14ac:dyDescent="0.25">
      <c r="A11797" s="5"/>
    </row>
    <row r="11798" spans="1:1" x14ac:dyDescent="0.25">
      <c r="A11798" s="5"/>
    </row>
    <row r="11799" spans="1:1" x14ac:dyDescent="0.25">
      <c r="A11799" s="5"/>
    </row>
    <row r="11800" spans="1:1" x14ac:dyDescent="0.25">
      <c r="A11800" s="5"/>
    </row>
    <row r="11801" spans="1:1" x14ac:dyDescent="0.25">
      <c r="A11801" s="5"/>
    </row>
    <row r="11802" spans="1:1" x14ac:dyDescent="0.25">
      <c r="A11802" s="5"/>
    </row>
    <row r="11803" spans="1:1" x14ac:dyDescent="0.25">
      <c r="A11803" s="5"/>
    </row>
    <row r="11804" spans="1:1" x14ac:dyDescent="0.25">
      <c r="A11804" s="5"/>
    </row>
    <row r="11805" spans="1:1" x14ac:dyDescent="0.25">
      <c r="A11805" s="5"/>
    </row>
    <row r="11806" spans="1:1" x14ac:dyDescent="0.25">
      <c r="A11806" s="5"/>
    </row>
    <row r="11807" spans="1:1" x14ac:dyDescent="0.25">
      <c r="A11807" s="5"/>
    </row>
    <row r="11808" spans="1:1" x14ac:dyDescent="0.25">
      <c r="A11808" s="5"/>
    </row>
    <row r="11809" spans="1:1" x14ac:dyDescent="0.25">
      <c r="A11809" s="5"/>
    </row>
    <row r="11810" spans="1:1" x14ac:dyDescent="0.25">
      <c r="A11810" s="5"/>
    </row>
    <row r="11811" spans="1:1" x14ac:dyDescent="0.25">
      <c r="A11811" s="5"/>
    </row>
    <row r="11812" spans="1:1" x14ac:dyDescent="0.25">
      <c r="A11812" s="5"/>
    </row>
    <row r="11813" spans="1:1" x14ac:dyDescent="0.25">
      <c r="A11813" s="5"/>
    </row>
    <row r="11814" spans="1:1" x14ac:dyDescent="0.25">
      <c r="A11814" s="5"/>
    </row>
    <row r="11815" spans="1:1" x14ac:dyDescent="0.25">
      <c r="A11815" s="5"/>
    </row>
    <row r="11816" spans="1:1" x14ac:dyDescent="0.25">
      <c r="A11816" s="5"/>
    </row>
    <row r="11817" spans="1:1" x14ac:dyDescent="0.25">
      <c r="A11817" s="5"/>
    </row>
    <row r="11818" spans="1:1" x14ac:dyDescent="0.25">
      <c r="A11818" s="5"/>
    </row>
    <row r="11819" spans="1:1" x14ac:dyDescent="0.25">
      <c r="A11819" s="5"/>
    </row>
    <row r="11820" spans="1:1" x14ac:dyDescent="0.25">
      <c r="A11820" s="5"/>
    </row>
    <row r="11821" spans="1:1" x14ac:dyDescent="0.25">
      <c r="A11821" s="5"/>
    </row>
    <row r="11822" spans="1:1" x14ac:dyDescent="0.25">
      <c r="A11822" s="5"/>
    </row>
    <row r="11823" spans="1:1" x14ac:dyDescent="0.25">
      <c r="A11823" s="5"/>
    </row>
    <row r="11824" spans="1:1" x14ac:dyDescent="0.25">
      <c r="A11824" s="5"/>
    </row>
    <row r="11825" spans="1:1" x14ac:dyDescent="0.25">
      <c r="A11825" s="5"/>
    </row>
    <row r="11826" spans="1:1" x14ac:dyDescent="0.25">
      <c r="A11826" s="5"/>
    </row>
    <row r="11827" spans="1:1" x14ac:dyDescent="0.25">
      <c r="A11827" s="5"/>
    </row>
    <row r="11828" spans="1:1" x14ac:dyDescent="0.25">
      <c r="A11828" s="5"/>
    </row>
    <row r="11829" spans="1:1" x14ac:dyDescent="0.25">
      <c r="A11829" s="5"/>
    </row>
    <row r="11830" spans="1:1" x14ac:dyDescent="0.25">
      <c r="A11830" s="5"/>
    </row>
    <row r="11831" spans="1:1" x14ac:dyDescent="0.25">
      <c r="A11831" s="5"/>
    </row>
    <row r="11832" spans="1:1" x14ac:dyDescent="0.25">
      <c r="A11832" s="5"/>
    </row>
    <row r="11833" spans="1:1" x14ac:dyDescent="0.25">
      <c r="A11833" s="5"/>
    </row>
    <row r="11834" spans="1:1" x14ac:dyDescent="0.25">
      <c r="A11834" s="5"/>
    </row>
    <row r="11835" spans="1:1" x14ac:dyDescent="0.25">
      <c r="A11835" s="5"/>
    </row>
    <row r="11836" spans="1:1" x14ac:dyDescent="0.25">
      <c r="A11836" s="5"/>
    </row>
    <row r="11837" spans="1:1" x14ac:dyDescent="0.25">
      <c r="A11837" s="5"/>
    </row>
    <row r="11838" spans="1:1" x14ac:dyDescent="0.25">
      <c r="A11838" s="5"/>
    </row>
    <row r="11839" spans="1:1" x14ac:dyDescent="0.25">
      <c r="A11839" s="5"/>
    </row>
    <row r="11840" spans="1:1" x14ac:dyDescent="0.25">
      <c r="A11840" s="5"/>
    </row>
    <row r="11841" spans="1:1" x14ac:dyDescent="0.25">
      <c r="A11841" s="5"/>
    </row>
    <row r="11842" spans="1:1" x14ac:dyDescent="0.25">
      <c r="A11842" s="5"/>
    </row>
    <row r="11843" spans="1:1" x14ac:dyDescent="0.25">
      <c r="A11843" s="5"/>
    </row>
    <row r="11844" spans="1:1" x14ac:dyDescent="0.25">
      <c r="A11844" s="5"/>
    </row>
    <row r="11845" spans="1:1" x14ac:dyDescent="0.25">
      <c r="A11845" s="5"/>
    </row>
    <row r="11846" spans="1:1" x14ac:dyDescent="0.25">
      <c r="A11846" s="5"/>
    </row>
    <row r="11847" spans="1:1" x14ac:dyDescent="0.25">
      <c r="A11847" s="5"/>
    </row>
    <row r="11848" spans="1:1" x14ac:dyDescent="0.25">
      <c r="A11848" s="5"/>
    </row>
    <row r="11849" spans="1:1" x14ac:dyDescent="0.25">
      <c r="A11849" s="5"/>
    </row>
    <row r="11850" spans="1:1" x14ac:dyDescent="0.25">
      <c r="A11850" s="5"/>
    </row>
    <row r="11851" spans="1:1" x14ac:dyDescent="0.25">
      <c r="A11851" s="5"/>
    </row>
    <row r="11852" spans="1:1" x14ac:dyDescent="0.25">
      <c r="A11852" s="5"/>
    </row>
    <row r="11853" spans="1:1" x14ac:dyDescent="0.25">
      <c r="A11853" s="5"/>
    </row>
    <row r="11854" spans="1:1" x14ac:dyDescent="0.25">
      <c r="A11854" s="5"/>
    </row>
    <row r="11855" spans="1:1" x14ac:dyDescent="0.25">
      <c r="A11855" s="5"/>
    </row>
    <row r="11856" spans="1:1" x14ac:dyDescent="0.25">
      <c r="A11856" s="5"/>
    </row>
    <row r="11857" spans="1:1" x14ac:dyDescent="0.25">
      <c r="A11857" s="5"/>
    </row>
    <row r="11858" spans="1:1" x14ac:dyDescent="0.25">
      <c r="A11858" s="5"/>
    </row>
    <row r="11859" spans="1:1" x14ac:dyDescent="0.25">
      <c r="A11859" s="5"/>
    </row>
    <row r="11860" spans="1:1" x14ac:dyDescent="0.25">
      <c r="A11860" s="5"/>
    </row>
    <row r="11861" spans="1:1" x14ac:dyDescent="0.25">
      <c r="A11861" s="5"/>
    </row>
    <row r="11862" spans="1:1" x14ac:dyDescent="0.25">
      <c r="A11862" s="5"/>
    </row>
    <row r="11863" spans="1:1" x14ac:dyDescent="0.25">
      <c r="A11863" s="5"/>
    </row>
    <row r="11864" spans="1:1" x14ac:dyDescent="0.25">
      <c r="A11864" s="5"/>
    </row>
    <row r="11865" spans="1:1" x14ac:dyDescent="0.25">
      <c r="A11865" s="5"/>
    </row>
    <row r="11866" spans="1:1" x14ac:dyDescent="0.25">
      <c r="A11866" s="5"/>
    </row>
    <row r="11867" spans="1:1" x14ac:dyDescent="0.25">
      <c r="A11867" s="5"/>
    </row>
    <row r="11868" spans="1:1" x14ac:dyDescent="0.25">
      <c r="A11868" s="5"/>
    </row>
    <row r="11869" spans="1:1" x14ac:dyDescent="0.25">
      <c r="A11869" s="5"/>
    </row>
    <row r="11870" spans="1:1" x14ac:dyDescent="0.25">
      <c r="A11870" s="5"/>
    </row>
    <row r="11871" spans="1:1" x14ac:dyDescent="0.25">
      <c r="A11871" s="5"/>
    </row>
    <row r="11872" spans="1:1" x14ac:dyDescent="0.25">
      <c r="A11872" s="5"/>
    </row>
    <row r="11873" spans="1:1" x14ac:dyDescent="0.25">
      <c r="A11873" s="5"/>
    </row>
    <row r="11874" spans="1:1" x14ac:dyDescent="0.25">
      <c r="A11874" s="5"/>
    </row>
    <row r="11875" spans="1:1" x14ac:dyDescent="0.25">
      <c r="A11875" s="5"/>
    </row>
    <row r="11876" spans="1:1" x14ac:dyDescent="0.25">
      <c r="A11876" s="5"/>
    </row>
    <row r="11877" spans="1:1" x14ac:dyDescent="0.25">
      <c r="A11877" s="5"/>
    </row>
    <row r="11878" spans="1:1" x14ac:dyDescent="0.25">
      <c r="A11878" s="5"/>
    </row>
    <row r="11879" spans="1:1" x14ac:dyDescent="0.25">
      <c r="A11879" s="5"/>
    </row>
    <row r="11880" spans="1:1" x14ac:dyDescent="0.25">
      <c r="A11880" s="5"/>
    </row>
    <row r="11881" spans="1:1" x14ac:dyDescent="0.25">
      <c r="A11881" s="5"/>
    </row>
    <row r="11882" spans="1:1" x14ac:dyDescent="0.25">
      <c r="A11882" s="5"/>
    </row>
    <row r="11883" spans="1:1" x14ac:dyDescent="0.25">
      <c r="A11883" s="5"/>
    </row>
    <row r="11884" spans="1:1" x14ac:dyDescent="0.25">
      <c r="A11884" s="5"/>
    </row>
    <row r="11885" spans="1:1" x14ac:dyDescent="0.25">
      <c r="A11885" s="5"/>
    </row>
    <row r="11886" spans="1:1" x14ac:dyDescent="0.25">
      <c r="A11886" s="5"/>
    </row>
    <row r="11887" spans="1:1" x14ac:dyDescent="0.25">
      <c r="A11887" s="5"/>
    </row>
    <row r="11888" spans="1:1" x14ac:dyDescent="0.25">
      <c r="A11888" s="5"/>
    </row>
    <row r="11889" spans="1:1" x14ac:dyDescent="0.25">
      <c r="A11889" s="5"/>
    </row>
    <row r="11890" spans="1:1" x14ac:dyDescent="0.25">
      <c r="A11890" s="5"/>
    </row>
    <row r="11891" spans="1:1" x14ac:dyDescent="0.25">
      <c r="A11891" s="5"/>
    </row>
    <row r="11892" spans="1:1" x14ac:dyDescent="0.25">
      <c r="A11892" s="5"/>
    </row>
    <row r="11893" spans="1:1" x14ac:dyDescent="0.25">
      <c r="A11893" s="5"/>
    </row>
    <row r="11894" spans="1:1" x14ac:dyDescent="0.25">
      <c r="A11894" s="5"/>
    </row>
    <row r="11895" spans="1:1" x14ac:dyDescent="0.25">
      <c r="A11895" s="5"/>
    </row>
    <row r="11896" spans="1:1" x14ac:dyDescent="0.25">
      <c r="A11896" s="5"/>
    </row>
    <row r="11897" spans="1:1" x14ac:dyDescent="0.25">
      <c r="A11897" s="5"/>
    </row>
    <row r="11898" spans="1:1" x14ac:dyDescent="0.25">
      <c r="A11898" s="5"/>
    </row>
    <row r="11899" spans="1:1" x14ac:dyDescent="0.25">
      <c r="A11899" s="5"/>
    </row>
    <row r="11900" spans="1:1" x14ac:dyDescent="0.25">
      <c r="A11900" s="5"/>
    </row>
    <row r="11901" spans="1:1" x14ac:dyDescent="0.25">
      <c r="A11901" s="5"/>
    </row>
    <row r="11902" spans="1:1" x14ac:dyDescent="0.25">
      <c r="A11902" s="5"/>
    </row>
    <row r="11903" spans="1:1" x14ac:dyDescent="0.25">
      <c r="A11903" s="5"/>
    </row>
    <row r="11904" spans="1:1" x14ac:dyDescent="0.25">
      <c r="A11904" s="5"/>
    </row>
    <row r="11905" spans="1:1" x14ac:dyDescent="0.25">
      <c r="A11905" s="5"/>
    </row>
    <row r="11906" spans="1:1" x14ac:dyDescent="0.25">
      <c r="A11906" s="5"/>
    </row>
    <row r="11907" spans="1:1" x14ac:dyDescent="0.25">
      <c r="A11907" s="5"/>
    </row>
    <row r="11908" spans="1:1" x14ac:dyDescent="0.25">
      <c r="A11908" s="5"/>
    </row>
    <row r="11909" spans="1:1" x14ac:dyDescent="0.25">
      <c r="A11909" s="5"/>
    </row>
    <row r="11910" spans="1:1" x14ac:dyDescent="0.25">
      <c r="A11910" s="5"/>
    </row>
    <row r="11911" spans="1:1" x14ac:dyDescent="0.25">
      <c r="A11911" s="5"/>
    </row>
    <row r="11912" spans="1:1" x14ac:dyDescent="0.25">
      <c r="A11912" s="5"/>
    </row>
    <row r="11913" spans="1:1" x14ac:dyDescent="0.25">
      <c r="A11913" s="5"/>
    </row>
    <row r="11914" spans="1:1" x14ac:dyDescent="0.25">
      <c r="A11914" s="5"/>
    </row>
    <row r="11915" spans="1:1" x14ac:dyDescent="0.25">
      <c r="A11915" s="5"/>
    </row>
    <row r="11916" spans="1:1" x14ac:dyDescent="0.25">
      <c r="A11916" s="5"/>
    </row>
    <row r="11917" spans="1:1" x14ac:dyDescent="0.25">
      <c r="A11917" s="5"/>
    </row>
    <row r="11918" spans="1:1" x14ac:dyDescent="0.25">
      <c r="A11918" s="5"/>
    </row>
    <row r="11919" spans="1:1" x14ac:dyDescent="0.25">
      <c r="A11919" s="5"/>
    </row>
    <row r="11920" spans="1:1" x14ac:dyDescent="0.25">
      <c r="A11920" s="5"/>
    </row>
    <row r="11921" spans="1:1" x14ac:dyDescent="0.25">
      <c r="A11921" s="5"/>
    </row>
    <row r="11922" spans="1:1" x14ac:dyDescent="0.25">
      <c r="A11922" s="5"/>
    </row>
    <row r="11923" spans="1:1" x14ac:dyDescent="0.25">
      <c r="A11923" s="5"/>
    </row>
    <row r="11924" spans="1:1" x14ac:dyDescent="0.25">
      <c r="A11924" s="5"/>
    </row>
    <row r="11925" spans="1:1" x14ac:dyDescent="0.25">
      <c r="A11925" s="5"/>
    </row>
    <row r="11926" spans="1:1" x14ac:dyDescent="0.25">
      <c r="A11926" s="5"/>
    </row>
    <row r="11927" spans="1:1" x14ac:dyDescent="0.25">
      <c r="A11927" s="5"/>
    </row>
    <row r="11928" spans="1:1" x14ac:dyDescent="0.25">
      <c r="A11928" s="5"/>
    </row>
    <row r="11929" spans="1:1" x14ac:dyDescent="0.25">
      <c r="A11929" s="5"/>
    </row>
    <row r="11930" spans="1:1" x14ac:dyDescent="0.25">
      <c r="A11930" s="5"/>
    </row>
    <row r="11931" spans="1:1" x14ac:dyDescent="0.25">
      <c r="A11931" s="5"/>
    </row>
    <row r="11932" spans="1:1" x14ac:dyDescent="0.25">
      <c r="A11932" s="5"/>
    </row>
    <row r="11933" spans="1:1" x14ac:dyDescent="0.25">
      <c r="A11933" s="5"/>
    </row>
    <row r="11934" spans="1:1" x14ac:dyDescent="0.25">
      <c r="A11934" s="5"/>
    </row>
    <row r="11935" spans="1:1" x14ac:dyDescent="0.25">
      <c r="A11935" s="5"/>
    </row>
    <row r="11936" spans="1:1" x14ac:dyDescent="0.25">
      <c r="A11936" s="5"/>
    </row>
    <row r="11937" spans="1:1" x14ac:dyDescent="0.25">
      <c r="A11937" s="5"/>
    </row>
    <row r="11938" spans="1:1" x14ac:dyDescent="0.25">
      <c r="A11938" s="5"/>
    </row>
    <row r="11939" spans="1:1" x14ac:dyDescent="0.25">
      <c r="A11939" s="5"/>
    </row>
    <row r="11940" spans="1:1" x14ac:dyDescent="0.25">
      <c r="A11940" s="5"/>
    </row>
    <row r="11941" spans="1:1" x14ac:dyDescent="0.25">
      <c r="A11941" s="5"/>
    </row>
    <row r="11942" spans="1:1" x14ac:dyDescent="0.25">
      <c r="A11942" s="5"/>
    </row>
    <row r="11943" spans="1:1" x14ac:dyDescent="0.25">
      <c r="A11943" s="5"/>
    </row>
    <row r="11944" spans="1:1" x14ac:dyDescent="0.25">
      <c r="A11944" s="5"/>
    </row>
    <row r="11945" spans="1:1" x14ac:dyDescent="0.25">
      <c r="A11945" s="5"/>
    </row>
    <row r="11946" spans="1:1" x14ac:dyDescent="0.25">
      <c r="A11946" s="5"/>
    </row>
    <row r="11947" spans="1:1" x14ac:dyDescent="0.25">
      <c r="A11947" s="5"/>
    </row>
    <row r="11948" spans="1:1" x14ac:dyDescent="0.25">
      <c r="A11948" s="5"/>
    </row>
    <row r="11949" spans="1:1" x14ac:dyDescent="0.25">
      <c r="A11949" s="5"/>
    </row>
    <row r="11950" spans="1:1" x14ac:dyDescent="0.25">
      <c r="A11950" s="5"/>
    </row>
    <row r="11951" spans="1:1" x14ac:dyDescent="0.25">
      <c r="A11951" s="5"/>
    </row>
    <row r="11952" spans="1:1" x14ac:dyDescent="0.25">
      <c r="A11952" s="5"/>
    </row>
    <row r="11953" spans="1:1" x14ac:dyDescent="0.25">
      <c r="A11953" s="5"/>
    </row>
    <row r="11954" spans="1:1" x14ac:dyDescent="0.25">
      <c r="A11954" s="5"/>
    </row>
    <row r="11955" spans="1:1" x14ac:dyDescent="0.25">
      <c r="A11955" s="5"/>
    </row>
    <row r="11956" spans="1:1" x14ac:dyDescent="0.25">
      <c r="A11956" s="5"/>
    </row>
    <row r="11957" spans="1:1" x14ac:dyDescent="0.25">
      <c r="A11957" s="5"/>
    </row>
    <row r="11958" spans="1:1" x14ac:dyDescent="0.25">
      <c r="A11958" s="5"/>
    </row>
    <row r="11959" spans="1:1" x14ac:dyDescent="0.25">
      <c r="A11959" s="5"/>
    </row>
    <row r="11960" spans="1:1" x14ac:dyDescent="0.25">
      <c r="A11960" s="5"/>
    </row>
    <row r="11961" spans="1:1" x14ac:dyDescent="0.25">
      <c r="A11961" s="5"/>
    </row>
    <row r="11962" spans="1:1" x14ac:dyDescent="0.25">
      <c r="A11962" s="5"/>
    </row>
    <row r="11963" spans="1:1" x14ac:dyDescent="0.25">
      <c r="A11963" s="5"/>
    </row>
    <row r="11964" spans="1:1" x14ac:dyDescent="0.25">
      <c r="A11964" s="5"/>
    </row>
    <row r="11965" spans="1:1" x14ac:dyDescent="0.25">
      <c r="A11965" s="5"/>
    </row>
    <row r="11966" spans="1:1" x14ac:dyDescent="0.25">
      <c r="A11966" s="5"/>
    </row>
    <row r="11967" spans="1:1" x14ac:dyDescent="0.25">
      <c r="A11967" s="5"/>
    </row>
    <row r="11968" spans="1:1" x14ac:dyDescent="0.25">
      <c r="A11968" s="5"/>
    </row>
    <row r="11969" spans="1:1" x14ac:dyDescent="0.25">
      <c r="A11969" s="5"/>
    </row>
    <row r="11970" spans="1:1" x14ac:dyDescent="0.25">
      <c r="A11970" s="5"/>
    </row>
    <row r="11971" spans="1:1" x14ac:dyDescent="0.25">
      <c r="A11971" s="5"/>
    </row>
    <row r="11972" spans="1:1" x14ac:dyDescent="0.25">
      <c r="A11972" s="5"/>
    </row>
    <row r="11973" spans="1:1" x14ac:dyDescent="0.25">
      <c r="A11973" s="5"/>
    </row>
    <row r="11974" spans="1:1" x14ac:dyDescent="0.25">
      <c r="A11974" s="5"/>
    </row>
    <row r="11975" spans="1:1" x14ac:dyDescent="0.25">
      <c r="A11975" s="5"/>
    </row>
    <row r="11976" spans="1:1" x14ac:dyDescent="0.25">
      <c r="A11976" s="5"/>
    </row>
    <row r="11977" spans="1:1" x14ac:dyDescent="0.25">
      <c r="A11977" s="5"/>
    </row>
    <row r="11978" spans="1:1" x14ac:dyDescent="0.25">
      <c r="A11978" s="5"/>
    </row>
    <row r="11979" spans="1:1" x14ac:dyDescent="0.25">
      <c r="A11979" s="5"/>
    </row>
    <row r="11980" spans="1:1" x14ac:dyDescent="0.25">
      <c r="A11980" s="5"/>
    </row>
    <row r="11981" spans="1:1" x14ac:dyDescent="0.25">
      <c r="A11981" s="5"/>
    </row>
    <row r="11982" spans="1:1" x14ac:dyDescent="0.25">
      <c r="A11982" s="5"/>
    </row>
    <row r="11983" spans="1:1" x14ac:dyDescent="0.25">
      <c r="A11983" s="5"/>
    </row>
    <row r="11984" spans="1:1" x14ac:dyDescent="0.25">
      <c r="A11984" s="5"/>
    </row>
    <row r="11985" spans="1:1" x14ac:dyDescent="0.25">
      <c r="A11985" s="5"/>
    </row>
    <row r="11986" spans="1:1" x14ac:dyDescent="0.25">
      <c r="A11986" s="5"/>
    </row>
    <row r="11987" spans="1:1" x14ac:dyDescent="0.25">
      <c r="A11987" s="5"/>
    </row>
    <row r="11988" spans="1:1" x14ac:dyDescent="0.25">
      <c r="A11988" s="5"/>
    </row>
    <row r="11989" spans="1:1" x14ac:dyDescent="0.25">
      <c r="A11989" s="5"/>
    </row>
    <row r="11990" spans="1:1" x14ac:dyDescent="0.25">
      <c r="A11990" s="5"/>
    </row>
    <row r="11991" spans="1:1" x14ac:dyDescent="0.25">
      <c r="A11991" s="5"/>
    </row>
    <row r="11992" spans="1:1" x14ac:dyDescent="0.25">
      <c r="A11992" s="5"/>
    </row>
    <row r="11993" spans="1:1" x14ac:dyDescent="0.25">
      <c r="A11993" s="5"/>
    </row>
    <row r="11994" spans="1:1" x14ac:dyDescent="0.25">
      <c r="A11994" s="5"/>
    </row>
    <row r="11995" spans="1:1" x14ac:dyDescent="0.25">
      <c r="A11995" s="5"/>
    </row>
    <row r="11996" spans="1:1" x14ac:dyDescent="0.25">
      <c r="A11996" s="5"/>
    </row>
    <row r="11997" spans="1:1" x14ac:dyDescent="0.25">
      <c r="A11997" s="5"/>
    </row>
    <row r="11998" spans="1:1" x14ac:dyDescent="0.25">
      <c r="A11998" s="5"/>
    </row>
    <row r="11999" spans="1:1" x14ac:dyDescent="0.25">
      <c r="A11999" s="5"/>
    </row>
    <row r="12000" spans="1:1" x14ac:dyDescent="0.25">
      <c r="A12000" s="5"/>
    </row>
    <row r="12001" spans="1:1" x14ac:dyDescent="0.25">
      <c r="A12001" s="5"/>
    </row>
    <row r="12002" spans="1:1" x14ac:dyDescent="0.25">
      <c r="A12002" s="5"/>
    </row>
    <row r="12003" spans="1:1" x14ac:dyDescent="0.25">
      <c r="A12003" s="5"/>
    </row>
    <row r="12004" spans="1:1" x14ac:dyDescent="0.25">
      <c r="A12004" s="5"/>
    </row>
    <row r="12005" spans="1:1" x14ac:dyDescent="0.25">
      <c r="A12005" s="5"/>
    </row>
    <row r="12006" spans="1:1" x14ac:dyDescent="0.25">
      <c r="A12006" s="5"/>
    </row>
    <row r="12007" spans="1:1" x14ac:dyDescent="0.25">
      <c r="A12007" s="5"/>
    </row>
    <row r="12008" spans="1:1" x14ac:dyDescent="0.25">
      <c r="A12008" s="5"/>
    </row>
    <row r="12009" spans="1:1" x14ac:dyDescent="0.25">
      <c r="A12009" s="5"/>
    </row>
    <row r="12010" spans="1:1" x14ac:dyDescent="0.25">
      <c r="A12010" s="5"/>
    </row>
    <row r="12011" spans="1:1" x14ac:dyDescent="0.25">
      <c r="A12011" s="5"/>
    </row>
    <row r="12012" spans="1:1" x14ac:dyDescent="0.25">
      <c r="A12012" s="5"/>
    </row>
    <row r="12013" spans="1:1" x14ac:dyDescent="0.25">
      <c r="A12013" s="5"/>
    </row>
    <row r="12014" spans="1:1" x14ac:dyDescent="0.25">
      <c r="A12014" s="5"/>
    </row>
    <row r="12015" spans="1:1" x14ac:dyDescent="0.25">
      <c r="A12015" s="5"/>
    </row>
    <row r="12016" spans="1:1" x14ac:dyDescent="0.25">
      <c r="A12016" s="5"/>
    </row>
    <row r="12017" spans="1:1" x14ac:dyDescent="0.25">
      <c r="A12017" s="5"/>
    </row>
    <row r="12018" spans="1:1" x14ac:dyDescent="0.25">
      <c r="A12018" s="5"/>
    </row>
    <row r="12019" spans="1:1" x14ac:dyDescent="0.25">
      <c r="A12019" s="5"/>
    </row>
    <row r="12020" spans="1:1" x14ac:dyDescent="0.25">
      <c r="A12020" s="5"/>
    </row>
    <row r="12021" spans="1:1" x14ac:dyDescent="0.25">
      <c r="A12021" s="5"/>
    </row>
    <row r="12022" spans="1:1" x14ac:dyDescent="0.25">
      <c r="A12022" s="5"/>
    </row>
    <row r="12023" spans="1:1" x14ac:dyDescent="0.25">
      <c r="A12023" s="5"/>
    </row>
    <row r="12024" spans="1:1" x14ac:dyDescent="0.25">
      <c r="A12024" s="5"/>
    </row>
    <row r="12025" spans="1:1" x14ac:dyDescent="0.25">
      <c r="A12025" s="5"/>
    </row>
    <row r="12026" spans="1:1" x14ac:dyDescent="0.25">
      <c r="A12026" s="5"/>
    </row>
    <row r="12027" spans="1:1" x14ac:dyDescent="0.25">
      <c r="A12027" s="5"/>
    </row>
    <row r="12028" spans="1:1" x14ac:dyDescent="0.25">
      <c r="A12028" s="5"/>
    </row>
    <row r="12029" spans="1:1" x14ac:dyDescent="0.25">
      <c r="A12029" s="5"/>
    </row>
    <row r="12030" spans="1:1" x14ac:dyDescent="0.25">
      <c r="A12030" s="5"/>
    </row>
    <row r="12031" spans="1:1" x14ac:dyDescent="0.25">
      <c r="A12031" s="5"/>
    </row>
    <row r="12032" spans="1:1" x14ac:dyDescent="0.25">
      <c r="A12032" s="5"/>
    </row>
    <row r="12033" spans="1:1" x14ac:dyDescent="0.25">
      <c r="A12033" s="5"/>
    </row>
    <row r="12034" spans="1:1" x14ac:dyDescent="0.25">
      <c r="A12034" s="5"/>
    </row>
    <row r="12035" spans="1:1" x14ac:dyDescent="0.25">
      <c r="A12035" s="5"/>
    </row>
    <row r="12036" spans="1:1" x14ac:dyDescent="0.25">
      <c r="A12036" s="5"/>
    </row>
    <row r="12037" spans="1:1" x14ac:dyDescent="0.25">
      <c r="A12037" s="5"/>
    </row>
    <row r="12038" spans="1:1" x14ac:dyDescent="0.25">
      <c r="A12038" s="5"/>
    </row>
    <row r="12039" spans="1:1" x14ac:dyDescent="0.25">
      <c r="A12039" s="5"/>
    </row>
    <row r="12040" spans="1:1" x14ac:dyDescent="0.25">
      <c r="A12040" s="5"/>
    </row>
    <row r="12041" spans="1:1" x14ac:dyDescent="0.25">
      <c r="A12041" s="5"/>
    </row>
    <row r="12042" spans="1:1" x14ac:dyDescent="0.25">
      <c r="A12042" s="5"/>
    </row>
    <row r="12043" spans="1:1" x14ac:dyDescent="0.25">
      <c r="A12043" s="5"/>
    </row>
    <row r="12044" spans="1:1" x14ac:dyDescent="0.25">
      <c r="A12044" s="5"/>
    </row>
    <row r="12045" spans="1:1" x14ac:dyDescent="0.25">
      <c r="A12045" s="5"/>
    </row>
    <row r="12046" spans="1:1" x14ac:dyDescent="0.25">
      <c r="A12046" s="5"/>
    </row>
    <row r="12047" spans="1:1" x14ac:dyDescent="0.25">
      <c r="A12047" s="5"/>
    </row>
    <row r="12048" spans="1:1" x14ac:dyDescent="0.25">
      <c r="A12048" s="5"/>
    </row>
    <row r="12049" spans="1:1" x14ac:dyDescent="0.25">
      <c r="A12049" s="5"/>
    </row>
    <row r="12050" spans="1:1" x14ac:dyDescent="0.25">
      <c r="A12050" s="5"/>
    </row>
    <row r="12051" spans="1:1" x14ac:dyDescent="0.25">
      <c r="A12051" s="5"/>
    </row>
    <row r="12052" spans="1:1" x14ac:dyDescent="0.25">
      <c r="A12052" s="5"/>
    </row>
    <row r="12053" spans="1:1" x14ac:dyDescent="0.25">
      <c r="A12053" s="5"/>
    </row>
    <row r="12054" spans="1:1" x14ac:dyDescent="0.25">
      <c r="A12054" s="5"/>
    </row>
    <row r="12055" spans="1:1" x14ac:dyDescent="0.25">
      <c r="A12055" s="5"/>
    </row>
    <row r="12056" spans="1:1" x14ac:dyDescent="0.25">
      <c r="A12056" s="5"/>
    </row>
    <row r="12057" spans="1:1" x14ac:dyDescent="0.25">
      <c r="A12057" s="5"/>
    </row>
    <row r="12058" spans="1:1" x14ac:dyDescent="0.25">
      <c r="A12058" s="5"/>
    </row>
    <row r="12059" spans="1:1" x14ac:dyDescent="0.25">
      <c r="A12059" s="5"/>
    </row>
    <row r="12060" spans="1:1" x14ac:dyDescent="0.25">
      <c r="A12060" s="5"/>
    </row>
    <row r="12061" spans="1:1" x14ac:dyDescent="0.25">
      <c r="A12061" s="5"/>
    </row>
    <row r="12062" spans="1:1" x14ac:dyDescent="0.25">
      <c r="A12062" s="5"/>
    </row>
    <row r="12063" spans="1:1" x14ac:dyDescent="0.25">
      <c r="A12063" s="5"/>
    </row>
    <row r="12064" spans="1:1" x14ac:dyDescent="0.25">
      <c r="A12064" s="5"/>
    </row>
    <row r="12065" spans="1:1" x14ac:dyDescent="0.25">
      <c r="A12065" s="5"/>
    </row>
    <row r="12066" spans="1:1" x14ac:dyDescent="0.25">
      <c r="A12066" s="5"/>
    </row>
    <row r="12067" spans="1:1" x14ac:dyDescent="0.25">
      <c r="A12067" s="5"/>
    </row>
    <row r="12068" spans="1:1" x14ac:dyDescent="0.25">
      <c r="A12068" s="5"/>
    </row>
    <row r="12069" spans="1:1" x14ac:dyDescent="0.25">
      <c r="A12069" s="5"/>
    </row>
    <row r="12070" spans="1:1" x14ac:dyDescent="0.25">
      <c r="A12070" s="5"/>
    </row>
    <row r="12071" spans="1:1" x14ac:dyDescent="0.25">
      <c r="A12071" s="5"/>
    </row>
    <row r="12072" spans="1:1" x14ac:dyDescent="0.25">
      <c r="A12072" s="5"/>
    </row>
    <row r="12073" spans="1:1" x14ac:dyDescent="0.25">
      <c r="A12073" s="5"/>
    </row>
    <row r="12074" spans="1:1" x14ac:dyDescent="0.25">
      <c r="A12074" s="5"/>
    </row>
    <row r="12075" spans="1:1" x14ac:dyDescent="0.25">
      <c r="A12075" s="5"/>
    </row>
    <row r="12076" spans="1:1" x14ac:dyDescent="0.25">
      <c r="A12076" s="5"/>
    </row>
    <row r="12077" spans="1:1" x14ac:dyDescent="0.25">
      <c r="A12077" s="5"/>
    </row>
    <row r="12078" spans="1:1" x14ac:dyDescent="0.25">
      <c r="A12078" s="5"/>
    </row>
    <row r="12079" spans="1:1" x14ac:dyDescent="0.25">
      <c r="A12079" s="5"/>
    </row>
    <row r="12080" spans="1:1" x14ac:dyDescent="0.25">
      <c r="A12080" s="5"/>
    </row>
    <row r="12081" spans="1:1" x14ac:dyDescent="0.25">
      <c r="A12081" s="5"/>
    </row>
    <row r="12082" spans="1:1" x14ac:dyDescent="0.25">
      <c r="A12082" s="5"/>
    </row>
    <row r="12083" spans="1:1" x14ac:dyDescent="0.25">
      <c r="A12083" s="5"/>
    </row>
    <row r="12084" spans="1:1" x14ac:dyDescent="0.25">
      <c r="A12084" s="5"/>
    </row>
    <row r="12085" spans="1:1" x14ac:dyDescent="0.25">
      <c r="A12085" s="5"/>
    </row>
    <row r="12086" spans="1:1" x14ac:dyDescent="0.25">
      <c r="A12086" s="5"/>
    </row>
    <row r="12087" spans="1:1" x14ac:dyDescent="0.25">
      <c r="A12087" s="5"/>
    </row>
    <row r="12088" spans="1:1" x14ac:dyDescent="0.25">
      <c r="A12088" s="5"/>
    </row>
    <row r="12089" spans="1:1" x14ac:dyDescent="0.25">
      <c r="A12089" s="5"/>
    </row>
    <row r="12090" spans="1:1" x14ac:dyDescent="0.25">
      <c r="A12090" s="5"/>
    </row>
    <row r="12091" spans="1:1" x14ac:dyDescent="0.25">
      <c r="A12091" s="5"/>
    </row>
    <row r="12092" spans="1:1" x14ac:dyDescent="0.25">
      <c r="A12092" s="5"/>
    </row>
    <row r="12093" spans="1:1" x14ac:dyDescent="0.25">
      <c r="A12093" s="5"/>
    </row>
    <row r="12094" spans="1:1" x14ac:dyDescent="0.25">
      <c r="A12094" s="5"/>
    </row>
    <row r="12095" spans="1:1" x14ac:dyDescent="0.25">
      <c r="A12095" s="5"/>
    </row>
    <row r="12096" spans="1:1" x14ac:dyDescent="0.25">
      <c r="A12096" s="5"/>
    </row>
    <row r="12097" spans="1:1" x14ac:dyDescent="0.25">
      <c r="A12097" s="5"/>
    </row>
    <row r="12098" spans="1:1" x14ac:dyDescent="0.25">
      <c r="A12098" s="5"/>
    </row>
    <row r="12099" spans="1:1" x14ac:dyDescent="0.25">
      <c r="A12099" s="5"/>
    </row>
    <row r="12100" spans="1:1" x14ac:dyDescent="0.25">
      <c r="A12100" s="5"/>
    </row>
    <row r="12101" spans="1:1" x14ac:dyDescent="0.25">
      <c r="A12101" s="5"/>
    </row>
    <row r="12102" spans="1:1" x14ac:dyDescent="0.25">
      <c r="A12102" s="5"/>
    </row>
    <row r="12103" spans="1:1" x14ac:dyDescent="0.25">
      <c r="A12103" s="5"/>
    </row>
    <row r="12104" spans="1:1" x14ac:dyDescent="0.25">
      <c r="A12104" s="5"/>
    </row>
    <row r="12105" spans="1:1" x14ac:dyDescent="0.25">
      <c r="A12105" s="5"/>
    </row>
    <row r="12106" spans="1:1" x14ac:dyDescent="0.25">
      <c r="A12106" s="5"/>
    </row>
    <row r="12107" spans="1:1" x14ac:dyDescent="0.25">
      <c r="A12107" s="5"/>
    </row>
    <row r="12108" spans="1:1" x14ac:dyDescent="0.25">
      <c r="A12108" s="5"/>
    </row>
    <row r="12109" spans="1:1" x14ac:dyDescent="0.25">
      <c r="A12109" s="5"/>
    </row>
    <row r="12110" spans="1:1" x14ac:dyDescent="0.25">
      <c r="A12110" s="5"/>
    </row>
    <row r="12111" spans="1:1" x14ac:dyDescent="0.25">
      <c r="A12111" s="5"/>
    </row>
    <row r="12112" spans="1:1" x14ac:dyDescent="0.25">
      <c r="A12112" s="5"/>
    </row>
    <row r="12113" spans="1:1" x14ac:dyDescent="0.25">
      <c r="A12113" s="5"/>
    </row>
    <row r="12114" spans="1:1" x14ac:dyDescent="0.25">
      <c r="A12114" s="5"/>
    </row>
    <row r="12115" spans="1:1" x14ac:dyDescent="0.25">
      <c r="A12115" s="5"/>
    </row>
    <row r="12116" spans="1:1" x14ac:dyDescent="0.25">
      <c r="A12116" s="5"/>
    </row>
    <row r="12117" spans="1:1" x14ac:dyDescent="0.25">
      <c r="A12117" s="5"/>
    </row>
    <row r="12118" spans="1:1" x14ac:dyDescent="0.25">
      <c r="A12118" s="5"/>
    </row>
    <row r="12119" spans="1:1" x14ac:dyDescent="0.25">
      <c r="A12119" s="5"/>
    </row>
    <row r="12120" spans="1:1" x14ac:dyDescent="0.25">
      <c r="A12120" s="5"/>
    </row>
    <row r="12121" spans="1:1" x14ac:dyDescent="0.25">
      <c r="A12121" s="5"/>
    </row>
    <row r="12122" spans="1:1" x14ac:dyDescent="0.25">
      <c r="A12122" s="5"/>
    </row>
    <row r="12123" spans="1:1" x14ac:dyDescent="0.25">
      <c r="A12123" s="5"/>
    </row>
    <row r="12124" spans="1:1" x14ac:dyDescent="0.25">
      <c r="A12124" s="5"/>
    </row>
    <row r="12125" spans="1:1" x14ac:dyDescent="0.25">
      <c r="A12125" s="5"/>
    </row>
    <row r="12126" spans="1:1" x14ac:dyDescent="0.25">
      <c r="A12126" s="5"/>
    </row>
    <row r="12127" spans="1:1" x14ac:dyDescent="0.25">
      <c r="A12127" s="5"/>
    </row>
    <row r="12128" spans="1:1" x14ac:dyDescent="0.25">
      <c r="A12128" s="5"/>
    </row>
    <row r="12129" spans="1:1" x14ac:dyDescent="0.25">
      <c r="A12129" s="5"/>
    </row>
    <row r="12130" spans="1:1" x14ac:dyDescent="0.25">
      <c r="A12130" s="5"/>
    </row>
    <row r="12131" spans="1:1" x14ac:dyDescent="0.25">
      <c r="A12131" s="5"/>
    </row>
    <row r="12132" spans="1:1" x14ac:dyDescent="0.25">
      <c r="A12132" s="5"/>
    </row>
    <row r="12133" spans="1:1" x14ac:dyDescent="0.25">
      <c r="A12133" s="5"/>
    </row>
    <row r="12134" spans="1:1" x14ac:dyDescent="0.25">
      <c r="A12134" s="5"/>
    </row>
    <row r="12135" spans="1:1" x14ac:dyDescent="0.25">
      <c r="A12135" s="5"/>
    </row>
    <row r="12136" spans="1:1" x14ac:dyDescent="0.25">
      <c r="A12136" s="5"/>
    </row>
    <row r="12137" spans="1:1" x14ac:dyDescent="0.25">
      <c r="A12137" s="5"/>
    </row>
    <row r="12138" spans="1:1" x14ac:dyDescent="0.25">
      <c r="A12138" s="5"/>
    </row>
    <row r="12139" spans="1:1" x14ac:dyDescent="0.25">
      <c r="A12139" s="5"/>
    </row>
    <row r="12140" spans="1:1" x14ac:dyDescent="0.25">
      <c r="A12140" s="5"/>
    </row>
    <row r="12141" spans="1:1" x14ac:dyDescent="0.25">
      <c r="A12141" s="5"/>
    </row>
    <row r="12142" spans="1:1" x14ac:dyDescent="0.25">
      <c r="A12142" s="5"/>
    </row>
    <row r="12143" spans="1:1" x14ac:dyDescent="0.25">
      <c r="A12143" s="5"/>
    </row>
    <row r="12144" spans="1:1" x14ac:dyDescent="0.25">
      <c r="A12144" s="5"/>
    </row>
    <row r="12145" spans="1:1" x14ac:dyDescent="0.25">
      <c r="A12145" s="5"/>
    </row>
    <row r="12146" spans="1:1" x14ac:dyDescent="0.25">
      <c r="A12146" s="5"/>
    </row>
    <row r="12147" spans="1:1" x14ac:dyDescent="0.25">
      <c r="A12147" s="5"/>
    </row>
    <row r="12148" spans="1:1" x14ac:dyDescent="0.25">
      <c r="A12148" s="5"/>
    </row>
    <row r="12149" spans="1:1" x14ac:dyDescent="0.25">
      <c r="A12149" s="5"/>
    </row>
    <row r="12150" spans="1:1" x14ac:dyDescent="0.25">
      <c r="A12150" s="5"/>
    </row>
    <row r="12151" spans="1:1" x14ac:dyDescent="0.25">
      <c r="A12151" s="5"/>
    </row>
    <row r="12152" spans="1:1" x14ac:dyDescent="0.25">
      <c r="A12152" s="5"/>
    </row>
    <row r="12153" spans="1:1" x14ac:dyDescent="0.25">
      <c r="A12153" s="5"/>
    </row>
    <row r="12154" spans="1:1" x14ac:dyDescent="0.25">
      <c r="A12154" s="5"/>
    </row>
    <row r="12155" spans="1:1" x14ac:dyDescent="0.25">
      <c r="A12155" s="5"/>
    </row>
    <row r="12156" spans="1:1" x14ac:dyDescent="0.25">
      <c r="A12156" s="5"/>
    </row>
    <row r="12157" spans="1:1" x14ac:dyDescent="0.25">
      <c r="A12157" s="5"/>
    </row>
    <row r="12158" spans="1:1" x14ac:dyDescent="0.25">
      <c r="A12158" s="5"/>
    </row>
    <row r="12159" spans="1:1" x14ac:dyDescent="0.25">
      <c r="A12159" s="5"/>
    </row>
    <row r="12160" spans="1:1" x14ac:dyDescent="0.25">
      <c r="A12160" s="5"/>
    </row>
    <row r="12161" spans="1:1" x14ac:dyDescent="0.25">
      <c r="A12161" s="5"/>
    </row>
    <row r="12162" spans="1:1" x14ac:dyDescent="0.25">
      <c r="A12162" s="5"/>
    </row>
    <row r="12163" spans="1:1" x14ac:dyDescent="0.25">
      <c r="A12163" s="5"/>
    </row>
    <row r="12164" spans="1:1" x14ac:dyDescent="0.25">
      <c r="A12164" s="5"/>
    </row>
    <row r="12165" spans="1:1" x14ac:dyDescent="0.25">
      <c r="A12165" s="5"/>
    </row>
    <row r="12166" spans="1:1" x14ac:dyDescent="0.25">
      <c r="A12166" s="5"/>
    </row>
    <row r="12167" spans="1:1" x14ac:dyDescent="0.25">
      <c r="A12167" s="5"/>
    </row>
    <row r="12168" spans="1:1" x14ac:dyDescent="0.25">
      <c r="A12168" s="5"/>
    </row>
    <row r="12169" spans="1:1" x14ac:dyDescent="0.25">
      <c r="A12169" s="5"/>
    </row>
    <row r="12170" spans="1:1" x14ac:dyDescent="0.25">
      <c r="A12170" s="5"/>
    </row>
    <row r="12171" spans="1:1" x14ac:dyDescent="0.25">
      <c r="A12171" s="5"/>
    </row>
    <row r="12172" spans="1:1" x14ac:dyDescent="0.25">
      <c r="A12172" s="5"/>
    </row>
    <row r="12173" spans="1:1" x14ac:dyDescent="0.25">
      <c r="A12173" s="5"/>
    </row>
    <row r="12174" spans="1:1" x14ac:dyDescent="0.25">
      <c r="A12174" s="5"/>
    </row>
    <row r="12175" spans="1:1" x14ac:dyDescent="0.25">
      <c r="A12175" s="5"/>
    </row>
    <row r="12176" spans="1:1" x14ac:dyDescent="0.25">
      <c r="A12176" s="5"/>
    </row>
    <row r="12177" spans="1:1" x14ac:dyDescent="0.25">
      <c r="A12177" s="5"/>
    </row>
    <row r="12178" spans="1:1" x14ac:dyDescent="0.25">
      <c r="A12178" s="5"/>
    </row>
    <row r="12179" spans="1:1" x14ac:dyDescent="0.25">
      <c r="A12179" s="5"/>
    </row>
    <row r="12180" spans="1:1" x14ac:dyDescent="0.25">
      <c r="A12180" s="5"/>
    </row>
    <row r="12181" spans="1:1" x14ac:dyDescent="0.25">
      <c r="A12181" s="5"/>
    </row>
    <row r="12182" spans="1:1" x14ac:dyDescent="0.25">
      <c r="A12182" s="5"/>
    </row>
    <row r="12183" spans="1:1" x14ac:dyDescent="0.25">
      <c r="A12183" s="5"/>
    </row>
    <row r="12184" spans="1:1" x14ac:dyDescent="0.25">
      <c r="A12184" s="5"/>
    </row>
    <row r="12185" spans="1:1" x14ac:dyDescent="0.25">
      <c r="A12185" s="5"/>
    </row>
    <row r="12186" spans="1:1" x14ac:dyDescent="0.25">
      <c r="A12186" s="5"/>
    </row>
    <row r="12187" spans="1:1" x14ac:dyDescent="0.25">
      <c r="A12187" s="5"/>
    </row>
    <row r="12188" spans="1:1" x14ac:dyDescent="0.25">
      <c r="A12188" s="5"/>
    </row>
    <row r="12189" spans="1:1" x14ac:dyDescent="0.25">
      <c r="A12189" s="5"/>
    </row>
    <row r="12190" spans="1:1" x14ac:dyDescent="0.25">
      <c r="A12190" s="5"/>
    </row>
    <row r="12191" spans="1:1" x14ac:dyDescent="0.25">
      <c r="A12191" s="5"/>
    </row>
    <row r="12192" spans="1:1" x14ac:dyDescent="0.25">
      <c r="A12192" s="5"/>
    </row>
    <row r="12193" spans="1:1" x14ac:dyDescent="0.25">
      <c r="A12193" s="5"/>
    </row>
    <row r="12194" spans="1:1" x14ac:dyDescent="0.25">
      <c r="A12194" s="5"/>
    </row>
    <row r="12195" spans="1:1" x14ac:dyDescent="0.25">
      <c r="A12195" s="5"/>
    </row>
    <row r="12196" spans="1:1" x14ac:dyDescent="0.25">
      <c r="A12196" s="5"/>
    </row>
    <row r="12197" spans="1:1" x14ac:dyDescent="0.25">
      <c r="A12197" s="5"/>
    </row>
    <row r="12198" spans="1:1" x14ac:dyDescent="0.25">
      <c r="A12198" s="5"/>
    </row>
    <row r="12199" spans="1:1" x14ac:dyDescent="0.25">
      <c r="A12199" s="5"/>
    </row>
    <row r="12200" spans="1:1" x14ac:dyDescent="0.25">
      <c r="A12200" s="5"/>
    </row>
    <row r="12201" spans="1:1" x14ac:dyDescent="0.25">
      <c r="A12201" s="5"/>
    </row>
    <row r="12202" spans="1:1" x14ac:dyDescent="0.25">
      <c r="A12202" s="5"/>
    </row>
    <row r="12203" spans="1:1" x14ac:dyDescent="0.25">
      <c r="A12203" s="5"/>
    </row>
    <row r="12204" spans="1:1" x14ac:dyDescent="0.25">
      <c r="A12204" s="5"/>
    </row>
    <row r="12205" spans="1:1" x14ac:dyDescent="0.25">
      <c r="A12205" s="5"/>
    </row>
    <row r="12206" spans="1:1" x14ac:dyDescent="0.25">
      <c r="A12206" s="5"/>
    </row>
    <row r="12207" spans="1:1" x14ac:dyDescent="0.25">
      <c r="A12207" s="5"/>
    </row>
    <row r="12208" spans="1:1" x14ac:dyDescent="0.25">
      <c r="A12208" s="5"/>
    </row>
    <row r="12209" spans="1:1" x14ac:dyDescent="0.25">
      <c r="A12209" s="5"/>
    </row>
    <row r="12210" spans="1:1" x14ac:dyDescent="0.25">
      <c r="A12210" s="5"/>
    </row>
    <row r="12211" spans="1:1" x14ac:dyDescent="0.25">
      <c r="A12211" s="5"/>
    </row>
    <row r="12212" spans="1:1" x14ac:dyDescent="0.25">
      <c r="A12212" s="5"/>
    </row>
    <row r="12213" spans="1:1" x14ac:dyDescent="0.25">
      <c r="A12213" s="5"/>
    </row>
    <row r="12214" spans="1:1" x14ac:dyDescent="0.25">
      <c r="A12214" s="5"/>
    </row>
    <row r="12215" spans="1:1" x14ac:dyDescent="0.25">
      <c r="A12215" s="5"/>
    </row>
    <row r="12216" spans="1:1" x14ac:dyDescent="0.25">
      <c r="A12216" s="5"/>
    </row>
    <row r="12217" spans="1:1" x14ac:dyDescent="0.25">
      <c r="A12217" s="5"/>
    </row>
    <row r="12218" spans="1:1" x14ac:dyDescent="0.25">
      <c r="A12218" s="5"/>
    </row>
    <row r="12219" spans="1:1" x14ac:dyDescent="0.25">
      <c r="A12219" s="5"/>
    </row>
    <row r="12220" spans="1:1" x14ac:dyDescent="0.25">
      <c r="A12220" s="5"/>
    </row>
    <row r="12221" spans="1:1" x14ac:dyDescent="0.25">
      <c r="A12221" s="5"/>
    </row>
    <row r="12222" spans="1:1" x14ac:dyDescent="0.25">
      <c r="A12222" s="5"/>
    </row>
    <row r="12223" spans="1:1" x14ac:dyDescent="0.25">
      <c r="A12223" s="5"/>
    </row>
    <row r="12224" spans="1:1" x14ac:dyDescent="0.25">
      <c r="A12224" s="5"/>
    </row>
    <row r="12225" spans="1:1" x14ac:dyDescent="0.25">
      <c r="A12225" s="5"/>
    </row>
    <row r="12226" spans="1:1" x14ac:dyDescent="0.25">
      <c r="A12226" s="5"/>
    </row>
    <row r="12227" spans="1:1" x14ac:dyDescent="0.25">
      <c r="A12227" s="5"/>
    </row>
    <row r="12228" spans="1:1" x14ac:dyDescent="0.25">
      <c r="A12228" s="5"/>
    </row>
    <row r="12229" spans="1:1" x14ac:dyDescent="0.25">
      <c r="A12229" s="5"/>
    </row>
    <row r="12230" spans="1:1" x14ac:dyDescent="0.25">
      <c r="A12230" s="5"/>
    </row>
    <row r="12231" spans="1:1" x14ac:dyDescent="0.25">
      <c r="A12231" s="5"/>
    </row>
    <row r="12232" spans="1:1" x14ac:dyDescent="0.25">
      <c r="A12232" s="5"/>
    </row>
    <row r="12233" spans="1:1" x14ac:dyDescent="0.25">
      <c r="A12233" s="5"/>
    </row>
    <row r="12234" spans="1:1" x14ac:dyDescent="0.25">
      <c r="A12234" s="5"/>
    </row>
    <row r="12235" spans="1:1" x14ac:dyDescent="0.25">
      <c r="A12235" s="5"/>
    </row>
    <row r="12236" spans="1:1" x14ac:dyDescent="0.25">
      <c r="A12236" s="5"/>
    </row>
    <row r="12237" spans="1:1" x14ac:dyDescent="0.25">
      <c r="A12237" s="5"/>
    </row>
    <row r="12238" spans="1:1" x14ac:dyDescent="0.25">
      <c r="A12238" s="5"/>
    </row>
    <row r="12239" spans="1:1" x14ac:dyDescent="0.25">
      <c r="A12239" s="5"/>
    </row>
    <row r="12240" spans="1:1" x14ac:dyDescent="0.25">
      <c r="A12240" s="5"/>
    </row>
    <row r="12241" spans="1:1" x14ac:dyDescent="0.25">
      <c r="A12241" s="5"/>
    </row>
    <row r="12242" spans="1:1" x14ac:dyDescent="0.25">
      <c r="A12242" s="5"/>
    </row>
    <row r="12243" spans="1:1" x14ac:dyDescent="0.25">
      <c r="A12243" s="5"/>
    </row>
    <row r="12244" spans="1:1" x14ac:dyDescent="0.25">
      <c r="A12244" s="5"/>
    </row>
    <row r="12245" spans="1:1" x14ac:dyDescent="0.25">
      <c r="A12245" s="5"/>
    </row>
    <row r="12246" spans="1:1" x14ac:dyDescent="0.25">
      <c r="A12246" s="5"/>
    </row>
    <row r="12247" spans="1:1" x14ac:dyDescent="0.25">
      <c r="A12247" s="5"/>
    </row>
    <row r="12248" spans="1:1" x14ac:dyDescent="0.25">
      <c r="A12248" s="5"/>
    </row>
    <row r="12249" spans="1:1" x14ac:dyDescent="0.25">
      <c r="A12249" s="5"/>
    </row>
    <row r="12250" spans="1:1" x14ac:dyDescent="0.25">
      <c r="A12250" s="5"/>
    </row>
    <row r="12251" spans="1:1" x14ac:dyDescent="0.25">
      <c r="A12251" s="5"/>
    </row>
    <row r="12252" spans="1:1" x14ac:dyDescent="0.25">
      <c r="A12252" s="5"/>
    </row>
    <row r="12253" spans="1:1" x14ac:dyDescent="0.25">
      <c r="A12253" s="5"/>
    </row>
    <row r="12254" spans="1:1" x14ac:dyDescent="0.25">
      <c r="A12254" s="5"/>
    </row>
    <row r="12255" spans="1:1" x14ac:dyDescent="0.25">
      <c r="A12255" s="5"/>
    </row>
    <row r="12256" spans="1:1" x14ac:dyDescent="0.25">
      <c r="A12256" s="5"/>
    </row>
    <row r="12257" spans="1:1" x14ac:dyDescent="0.25">
      <c r="A12257" s="5"/>
    </row>
    <row r="12258" spans="1:1" x14ac:dyDescent="0.25">
      <c r="A12258" s="5"/>
    </row>
    <row r="12259" spans="1:1" x14ac:dyDescent="0.25">
      <c r="A12259" s="5"/>
    </row>
    <row r="12260" spans="1:1" x14ac:dyDescent="0.25">
      <c r="A12260" s="5"/>
    </row>
    <row r="12261" spans="1:1" x14ac:dyDescent="0.25">
      <c r="A12261" s="5"/>
    </row>
    <row r="12262" spans="1:1" x14ac:dyDescent="0.25">
      <c r="A12262" s="5"/>
    </row>
    <row r="12263" spans="1:1" x14ac:dyDescent="0.25">
      <c r="A12263" s="5"/>
    </row>
    <row r="12264" spans="1:1" x14ac:dyDescent="0.25">
      <c r="A12264" s="5"/>
    </row>
    <row r="12265" spans="1:1" x14ac:dyDescent="0.25">
      <c r="A12265" s="5"/>
    </row>
    <row r="12266" spans="1:1" x14ac:dyDescent="0.25">
      <c r="A12266" s="5"/>
    </row>
    <row r="12267" spans="1:1" x14ac:dyDescent="0.25">
      <c r="A12267" s="5"/>
    </row>
    <row r="12268" spans="1:1" x14ac:dyDescent="0.25">
      <c r="A12268" s="5"/>
    </row>
    <row r="12269" spans="1:1" x14ac:dyDescent="0.25">
      <c r="A12269" s="5"/>
    </row>
    <row r="12270" spans="1:1" x14ac:dyDescent="0.25">
      <c r="A12270" s="5"/>
    </row>
    <row r="12271" spans="1:1" x14ac:dyDescent="0.25">
      <c r="A12271" s="5"/>
    </row>
    <row r="12272" spans="1:1" x14ac:dyDescent="0.25">
      <c r="A12272" s="5"/>
    </row>
    <row r="12273" spans="1:1" x14ac:dyDescent="0.25">
      <c r="A12273" s="5"/>
    </row>
    <row r="12274" spans="1:1" x14ac:dyDescent="0.25">
      <c r="A12274" s="5"/>
    </row>
    <row r="12275" spans="1:1" x14ac:dyDescent="0.25">
      <c r="A12275" s="5"/>
    </row>
    <row r="12276" spans="1:1" x14ac:dyDescent="0.25">
      <c r="A12276" s="5"/>
    </row>
    <row r="12277" spans="1:1" x14ac:dyDescent="0.25">
      <c r="A12277" s="5"/>
    </row>
    <row r="12278" spans="1:1" x14ac:dyDescent="0.25">
      <c r="A12278" s="5"/>
    </row>
    <row r="12279" spans="1:1" x14ac:dyDescent="0.25">
      <c r="A12279" s="5"/>
    </row>
    <row r="12280" spans="1:1" x14ac:dyDescent="0.25">
      <c r="A12280" s="5"/>
    </row>
    <row r="12281" spans="1:1" x14ac:dyDescent="0.25">
      <c r="A12281" s="5"/>
    </row>
    <row r="12282" spans="1:1" x14ac:dyDescent="0.25">
      <c r="A12282" s="5"/>
    </row>
    <row r="12283" spans="1:1" x14ac:dyDescent="0.25">
      <c r="A12283" s="5"/>
    </row>
    <row r="12284" spans="1:1" x14ac:dyDescent="0.25">
      <c r="A12284" s="5"/>
    </row>
    <row r="12285" spans="1:1" x14ac:dyDescent="0.25">
      <c r="A12285" s="5"/>
    </row>
    <row r="12286" spans="1:1" x14ac:dyDescent="0.25">
      <c r="A12286" s="5"/>
    </row>
    <row r="12287" spans="1:1" x14ac:dyDescent="0.25">
      <c r="A12287" s="5"/>
    </row>
    <row r="12288" spans="1:1" x14ac:dyDescent="0.25">
      <c r="A12288" s="5"/>
    </row>
    <row r="12289" spans="1:1" x14ac:dyDescent="0.25">
      <c r="A12289" s="5"/>
    </row>
    <row r="12290" spans="1:1" x14ac:dyDescent="0.25">
      <c r="A12290" s="5"/>
    </row>
    <row r="12291" spans="1:1" x14ac:dyDescent="0.25">
      <c r="A12291" s="5"/>
    </row>
    <row r="12292" spans="1:1" x14ac:dyDescent="0.25">
      <c r="A12292" s="5"/>
    </row>
    <row r="12293" spans="1:1" x14ac:dyDescent="0.25">
      <c r="A12293" s="5"/>
    </row>
    <row r="12294" spans="1:1" x14ac:dyDescent="0.25">
      <c r="A12294" s="5"/>
    </row>
    <row r="12295" spans="1:1" x14ac:dyDescent="0.25">
      <c r="A12295" s="5"/>
    </row>
    <row r="12296" spans="1:1" x14ac:dyDescent="0.25">
      <c r="A12296" s="5"/>
    </row>
    <row r="12297" spans="1:1" x14ac:dyDescent="0.25">
      <c r="A12297" s="5"/>
    </row>
    <row r="12298" spans="1:1" x14ac:dyDescent="0.25">
      <c r="A12298" s="5"/>
    </row>
    <row r="12299" spans="1:1" x14ac:dyDescent="0.25">
      <c r="A12299" s="5"/>
    </row>
    <row r="12300" spans="1:1" x14ac:dyDescent="0.25">
      <c r="A12300" s="5"/>
    </row>
    <row r="12301" spans="1:1" x14ac:dyDescent="0.25">
      <c r="A12301" s="5"/>
    </row>
    <row r="12302" spans="1:1" x14ac:dyDescent="0.25">
      <c r="A12302" s="5"/>
    </row>
    <row r="12303" spans="1:1" x14ac:dyDescent="0.25">
      <c r="A12303" s="5"/>
    </row>
    <row r="12304" spans="1:1" x14ac:dyDescent="0.25">
      <c r="A12304" s="5"/>
    </row>
    <row r="12305" spans="1:1" x14ac:dyDescent="0.25">
      <c r="A12305" s="5"/>
    </row>
    <row r="12306" spans="1:1" x14ac:dyDescent="0.25">
      <c r="A12306" s="5"/>
    </row>
    <row r="12307" spans="1:1" x14ac:dyDescent="0.25">
      <c r="A12307" s="5"/>
    </row>
    <row r="12308" spans="1:1" x14ac:dyDescent="0.25">
      <c r="A12308" s="5"/>
    </row>
    <row r="12309" spans="1:1" x14ac:dyDescent="0.25">
      <c r="A12309" s="5"/>
    </row>
    <row r="12310" spans="1:1" x14ac:dyDescent="0.25">
      <c r="A12310" s="5"/>
    </row>
    <row r="12311" spans="1:1" x14ac:dyDescent="0.25">
      <c r="A12311" s="5"/>
    </row>
    <row r="12312" spans="1:1" x14ac:dyDescent="0.25">
      <c r="A12312" s="5"/>
    </row>
    <row r="12313" spans="1:1" x14ac:dyDescent="0.25">
      <c r="A12313" s="5"/>
    </row>
    <row r="12314" spans="1:1" x14ac:dyDescent="0.25">
      <c r="A12314" s="5"/>
    </row>
    <row r="12315" spans="1:1" x14ac:dyDescent="0.25">
      <c r="A12315" s="5"/>
    </row>
    <row r="12316" spans="1:1" x14ac:dyDescent="0.25">
      <c r="A12316" s="5"/>
    </row>
    <row r="12317" spans="1:1" x14ac:dyDescent="0.25">
      <c r="A12317" s="5"/>
    </row>
    <row r="12318" spans="1:1" x14ac:dyDescent="0.25">
      <c r="A12318" s="5"/>
    </row>
    <row r="12319" spans="1:1" x14ac:dyDescent="0.25">
      <c r="A12319" s="5"/>
    </row>
    <row r="12320" spans="1:1" x14ac:dyDescent="0.25">
      <c r="A12320" s="5"/>
    </row>
    <row r="12321" spans="1:1" x14ac:dyDescent="0.25">
      <c r="A12321" s="5"/>
    </row>
    <row r="12322" spans="1:1" x14ac:dyDescent="0.25">
      <c r="A12322" s="5"/>
    </row>
    <row r="12323" spans="1:1" x14ac:dyDescent="0.25">
      <c r="A12323" s="5"/>
    </row>
    <row r="12324" spans="1:1" x14ac:dyDescent="0.25">
      <c r="A12324" s="5"/>
    </row>
    <row r="12325" spans="1:1" x14ac:dyDescent="0.25">
      <c r="A12325" s="5"/>
    </row>
    <row r="12326" spans="1:1" x14ac:dyDescent="0.25">
      <c r="A12326" s="5"/>
    </row>
    <row r="12327" spans="1:1" x14ac:dyDescent="0.25">
      <c r="A12327" s="5"/>
    </row>
    <row r="12328" spans="1:1" x14ac:dyDescent="0.25">
      <c r="A12328" s="5"/>
    </row>
    <row r="12329" spans="1:1" x14ac:dyDescent="0.25">
      <c r="A12329" s="5"/>
    </row>
    <row r="12330" spans="1:1" x14ac:dyDescent="0.25">
      <c r="A12330" s="5"/>
    </row>
    <row r="12331" spans="1:1" x14ac:dyDescent="0.25">
      <c r="A12331" s="5"/>
    </row>
    <row r="12332" spans="1:1" x14ac:dyDescent="0.25">
      <c r="A12332" s="5"/>
    </row>
    <row r="12333" spans="1:1" x14ac:dyDescent="0.25">
      <c r="A12333" s="5"/>
    </row>
    <row r="12334" spans="1:1" x14ac:dyDescent="0.25">
      <c r="A12334" s="5"/>
    </row>
    <row r="12335" spans="1:1" x14ac:dyDescent="0.25">
      <c r="A12335" s="5"/>
    </row>
    <row r="12336" spans="1:1" x14ac:dyDescent="0.25">
      <c r="A12336" s="5"/>
    </row>
    <row r="12337" spans="1:1" x14ac:dyDescent="0.25">
      <c r="A12337" s="5"/>
    </row>
    <row r="12338" spans="1:1" x14ac:dyDescent="0.25">
      <c r="A12338" s="5"/>
    </row>
    <row r="12339" spans="1:1" x14ac:dyDescent="0.25">
      <c r="A12339" s="5"/>
    </row>
    <row r="12340" spans="1:1" x14ac:dyDescent="0.25">
      <c r="A12340" s="5"/>
    </row>
    <row r="12341" spans="1:1" x14ac:dyDescent="0.25">
      <c r="A12341" s="5"/>
    </row>
    <row r="12342" spans="1:1" x14ac:dyDescent="0.25">
      <c r="A12342" s="5"/>
    </row>
    <row r="12343" spans="1:1" x14ac:dyDescent="0.25">
      <c r="A12343" s="5"/>
    </row>
    <row r="12344" spans="1:1" x14ac:dyDescent="0.25">
      <c r="A12344" s="5"/>
    </row>
    <row r="12345" spans="1:1" x14ac:dyDescent="0.25">
      <c r="A12345" s="5"/>
    </row>
    <row r="12346" spans="1:1" x14ac:dyDescent="0.25">
      <c r="A12346" s="5"/>
    </row>
    <row r="12347" spans="1:1" x14ac:dyDescent="0.25">
      <c r="A12347" s="5"/>
    </row>
    <row r="12348" spans="1:1" x14ac:dyDescent="0.25">
      <c r="A12348" s="5"/>
    </row>
    <row r="12349" spans="1:1" x14ac:dyDescent="0.25">
      <c r="A12349" s="5"/>
    </row>
    <row r="12350" spans="1:1" x14ac:dyDescent="0.25">
      <c r="A12350" s="5"/>
    </row>
    <row r="12351" spans="1:1" x14ac:dyDescent="0.25">
      <c r="A12351" s="5"/>
    </row>
    <row r="12352" spans="1:1" x14ac:dyDescent="0.25">
      <c r="A12352" s="5"/>
    </row>
    <row r="12353" spans="1:1" x14ac:dyDescent="0.25">
      <c r="A12353" s="5"/>
    </row>
    <row r="12354" spans="1:1" x14ac:dyDescent="0.25">
      <c r="A12354" s="5"/>
    </row>
    <row r="12355" spans="1:1" x14ac:dyDescent="0.25">
      <c r="A12355" s="5"/>
    </row>
    <row r="12356" spans="1:1" x14ac:dyDescent="0.25">
      <c r="A12356" s="5"/>
    </row>
    <row r="12357" spans="1:1" x14ac:dyDescent="0.25">
      <c r="A12357" s="5"/>
    </row>
    <row r="12358" spans="1:1" x14ac:dyDescent="0.25">
      <c r="A12358" s="5"/>
    </row>
    <row r="12359" spans="1:1" x14ac:dyDescent="0.25">
      <c r="A12359" s="5"/>
    </row>
    <row r="12360" spans="1:1" x14ac:dyDescent="0.25">
      <c r="A12360" s="5"/>
    </row>
    <row r="12361" spans="1:1" x14ac:dyDescent="0.25">
      <c r="A12361" s="5"/>
    </row>
    <row r="12362" spans="1:1" x14ac:dyDescent="0.25">
      <c r="A12362" s="5"/>
    </row>
    <row r="12363" spans="1:1" x14ac:dyDescent="0.25">
      <c r="A12363" s="5"/>
    </row>
    <row r="12364" spans="1:1" x14ac:dyDescent="0.25">
      <c r="A12364" s="5"/>
    </row>
    <row r="12365" spans="1:1" x14ac:dyDescent="0.25">
      <c r="A12365" s="5"/>
    </row>
    <row r="12366" spans="1:1" x14ac:dyDescent="0.25">
      <c r="A12366" s="5"/>
    </row>
    <row r="12367" spans="1:1" x14ac:dyDescent="0.25">
      <c r="A12367" s="5"/>
    </row>
    <row r="12368" spans="1:1" x14ac:dyDescent="0.25">
      <c r="A12368" s="5"/>
    </row>
    <row r="12369" spans="1:1" x14ac:dyDescent="0.25">
      <c r="A12369" s="5"/>
    </row>
    <row r="12370" spans="1:1" x14ac:dyDescent="0.25">
      <c r="A12370" s="5"/>
    </row>
    <row r="12371" spans="1:1" x14ac:dyDescent="0.25">
      <c r="A12371" s="5"/>
    </row>
    <row r="12372" spans="1:1" x14ac:dyDescent="0.25">
      <c r="A12372" s="5"/>
    </row>
    <row r="12373" spans="1:1" x14ac:dyDescent="0.25">
      <c r="A12373" s="5"/>
    </row>
    <row r="12374" spans="1:1" x14ac:dyDescent="0.25">
      <c r="A12374" s="5"/>
    </row>
    <row r="12375" spans="1:1" x14ac:dyDescent="0.25">
      <c r="A12375" s="5"/>
    </row>
    <row r="12376" spans="1:1" x14ac:dyDescent="0.25">
      <c r="A12376" s="5"/>
    </row>
    <row r="12377" spans="1:1" x14ac:dyDescent="0.25">
      <c r="A12377" s="5"/>
    </row>
    <row r="12378" spans="1:1" x14ac:dyDescent="0.25">
      <c r="A12378" s="5"/>
    </row>
    <row r="12379" spans="1:1" x14ac:dyDescent="0.25">
      <c r="A12379" s="5"/>
    </row>
    <row r="12380" spans="1:1" x14ac:dyDescent="0.25">
      <c r="A12380" s="5"/>
    </row>
    <row r="12381" spans="1:1" x14ac:dyDescent="0.25">
      <c r="A12381" s="5"/>
    </row>
    <row r="12382" spans="1:1" x14ac:dyDescent="0.25">
      <c r="A12382" s="5"/>
    </row>
    <row r="12383" spans="1:1" x14ac:dyDescent="0.25">
      <c r="A12383" s="5"/>
    </row>
    <row r="12384" spans="1:1" x14ac:dyDescent="0.25">
      <c r="A12384" s="5"/>
    </row>
    <row r="12385" spans="1:1" x14ac:dyDescent="0.25">
      <c r="A12385" s="5"/>
    </row>
    <row r="12386" spans="1:1" x14ac:dyDescent="0.25">
      <c r="A12386" s="5"/>
    </row>
    <row r="12387" spans="1:1" x14ac:dyDescent="0.25">
      <c r="A12387" s="5"/>
    </row>
    <row r="12388" spans="1:1" x14ac:dyDescent="0.25">
      <c r="A12388" s="5"/>
    </row>
    <row r="12389" spans="1:1" x14ac:dyDescent="0.25">
      <c r="A12389" s="5"/>
    </row>
    <row r="12390" spans="1:1" x14ac:dyDescent="0.25">
      <c r="A12390" s="5"/>
    </row>
    <row r="12391" spans="1:1" x14ac:dyDescent="0.25">
      <c r="A12391" s="5"/>
    </row>
    <row r="12392" spans="1:1" x14ac:dyDescent="0.25">
      <c r="A12392" s="5"/>
    </row>
    <row r="12393" spans="1:1" x14ac:dyDescent="0.25">
      <c r="A12393" s="5"/>
    </row>
    <row r="12394" spans="1:1" x14ac:dyDescent="0.25">
      <c r="A12394" s="5"/>
    </row>
    <row r="12395" spans="1:1" x14ac:dyDescent="0.25">
      <c r="A12395" s="5"/>
    </row>
    <row r="12396" spans="1:1" x14ac:dyDescent="0.25">
      <c r="A12396" s="5"/>
    </row>
    <row r="12397" spans="1:1" x14ac:dyDescent="0.25">
      <c r="A12397" s="5"/>
    </row>
    <row r="12398" spans="1:1" x14ac:dyDescent="0.25">
      <c r="A12398" s="5"/>
    </row>
    <row r="12399" spans="1:1" x14ac:dyDescent="0.25">
      <c r="A12399" s="5"/>
    </row>
    <row r="12400" spans="1:1" x14ac:dyDescent="0.25">
      <c r="A12400" s="5"/>
    </row>
    <row r="12401" spans="1:1" x14ac:dyDescent="0.25">
      <c r="A12401" s="5"/>
    </row>
    <row r="12402" spans="1:1" x14ac:dyDescent="0.25">
      <c r="A12402" s="5"/>
    </row>
    <row r="12403" spans="1:1" x14ac:dyDescent="0.25">
      <c r="A12403" s="5"/>
    </row>
    <row r="12404" spans="1:1" x14ac:dyDescent="0.25">
      <c r="A12404" s="5"/>
    </row>
    <row r="12405" spans="1:1" x14ac:dyDescent="0.25">
      <c r="A12405" s="5"/>
    </row>
    <row r="12406" spans="1:1" x14ac:dyDescent="0.25">
      <c r="A12406" s="5"/>
    </row>
    <row r="12407" spans="1:1" x14ac:dyDescent="0.25">
      <c r="A12407" s="5"/>
    </row>
    <row r="12408" spans="1:1" x14ac:dyDescent="0.25">
      <c r="A12408" s="5"/>
    </row>
    <row r="12409" spans="1:1" x14ac:dyDescent="0.25">
      <c r="A12409" s="5"/>
    </row>
    <row r="12410" spans="1:1" x14ac:dyDescent="0.25">
      <c r="A12410" s="5"/>
    </row>
    <row r="12411" spans="1:1" x14ac:dyDescent="0.25">
      <c r="A12411" s="5"/>
    </row>
    <row r="12412" spans="1:1" x14ac:dyDescent="0.25">
      <c r="A12412" s="5"/>
    </row>
    <row r="12413" spans="1:1" x14ac:dyDescent="0.25">
      <c r="A12413" s="5"/>
    </row>
    <row r="12414" spans="1:1" x14ac:dyDescent="0.25">
      <c r="A12414" s="5"/>
    </row>
    <row r="12415" spans="1:1" x14ac:dyDescent="0.25">
      <c r="A12415" s="5"/>
    </row>
    <row r="12416" spans="1:1" x14ac:dyDescent="0.25">
      <c r="A12416" s="5"/>
    </row>
    <row r="12417" spans="1:1" x14ac:dyDescent="0.25">
      <c r="A12417" s="5"/>
    </row>
    <row r="12418" spans="1:1" x14ac:dyDescent="0.25">
      <c r="A12418" s="5"/>
    </row>
    <row r="12419" spans="1:1" x14ac:dyDescent="0.25">
      <c r="A12419" s="5"/>
    </row>
    <row r="12420" spans="1:1" x14ac:dyDescent="0.25">
      <c r="A12420" s="5"/>
    </row>
    <row r="12421" spans="1:1" x14ac:dyDescent="0.25">
      <c r="A12421" s="5"/>
    </row>
    <row r="12422" spans="1:1" x14ac:dyDescent="0.25">
      <c r="A12422" s="5"/>
    </row>
    <row r="12423" spans="1:1" x14ac:dyDescent="0.25">
      <c r="A12423" s="5"/>
    </row>
    <row r="12424" spans="1:1" x14ac:dyDescent="0.25">
      <c r="A12424" s="5"/>
    </row>
    <row r="12425" spans="1:1" x14ac:dyDescent="0.25">
      <c r="A12425" s="5"/>
    </row>
    <row r="12426" spans="1:1" x14ac:dyDescent="0.25">
      <c r="A12426" s="5"/>
    </row>
    <row r="12427" spans="1:1" x14ac:dyDescent="0.25">
      <c r="A12427" s="5"/>
    </row>
    <row r="12428" spans="1:1" x14ac:dyDescent="0.25">
      <c r="A12428" s="5"/>
    </row>
    <row r="12429" spans="1:1" x14ac:dyDescent="0.25">
      <c r="A12429" s="5"/>
    </row>
    <row r="12430" spans="1:1" x14ac:dyDescent="0.25">
      <c r="A12430" s="5"/>
    </row>
    <row r="12431" spans="1:1" x14ac:dyDescent="0.25">
      <c r="A12431" s="5"/>
    </row>
    <row r="12432" spans="1:1" x14ac:dyDescent="0.25">
      <c r="A12432" s="5"/>
    </row>
    <row r="12433" spans="1:1" x14ac:dyDescent="0.25">
      <c r="A12433" s="5"/>
    </row>
    <row r="12434" spans="1:1" x14ac:dyDescent="0.25">
      <c r="A12434" s="5"/>
    </row>
    <row r="12435" spans="1:1" x14ac:dyDescent="0.25">
      <c r="A12435" s="5"/>
    </row>
    <row r="12436" spans="1:1" x14ac:dyDescent="0.25">
      <c r="A12436" s="5"/>
    </row>
    <row r="12437" spans="1:1" x14ac:dyDescent="0.25">
      <c r="A12437" s="5"/>
    </row>
    <row r="12438" spans="1:1" x14ac:dyDescent="0.25">
      <c r="A12438" s="5"/>
    </row>
    <row r="12439" spans="1:1" x14ac:dyDescent="0.25">
      <c r="A12439" s="5"/>
    </row>
    <row r="12440" spans="1:1" x14ac:dyDescent="0.25">
      <c r="A12440" s="5"/>
    </row>
    <row r="12441" spans="1:1" x14ac:dyDescent="0.25">
      <c r="A12441" s="5"/>
    </row>
    <row r="12442" spans="1:1" x14ac:dyDescent="0.25">
      <c r="A12442" s="5"/>
    </row>
    <row r="12443" spans="1:1" x14ac:dyDescent="0.25">
      <c r="A12443" s="5"/>
    </row>
    <row r="12444" spans="1:1" x14ac:dyDescent="0.25">
      <c r="A12444" s="5"/>
    </row>
    <row r="12445" spans="1:1" x14ac:dyDescent="0.25">
      <c r="A12445" s="5"/>
    </row>
    <row r="12446" spans="1:1" x14ac:dyDescent="0.25">
      <c r="A12446" s="5"/>
    </row>
    <row r="12447" spans="1:1" x14ac:dyDescent="0.25">
      <c r="A12447" s="5"/>
    </row>
    <row r="12448" spans="1:1" x14ac:dyDescent="0.25">
      <c r="A12448" s="5"/>
    </row>
    <row r="12449" spans="1:1" x14ac:dyDescent="0.25">
      <c r="A12449" s="5"/>
    </row>
    <row r="12450" spans="1:1" x14ac:dyDescent="0.25">
      <c r="A12450" s="5"/>
    </row>
    <row r="12451" spans="1:1" x14ac:dyDescent="0.25">
      <c r="A12451" s="5"/>
    </row>
    <row r="12452" spans="1:1" x14ac:dyDescent="0.25">
      <c r="A12452" s="5"/>
    </row>
    <row r="12453" spans="1:1" x14ac:dyDescent="0.25">
      <c r="A12453" s="5"/>
    </row>
    <row r="12454" spans="1:1" x14ac:dyDescent="0.25">
      <c r="A12454" s="5"/>
    </row>
    <row r="12455" spans="1:1" x14ac:dyDescent="0.25">
      <c r="A12455" s="5"/>
    </row>
    <row r="12456" spans="1:1" x14ac:dyDescent="0.25">
      <c r="A12456" s="5"/>
    </row>
    <row r="12457" spans="1:1" x14ac:dyDescent="0.25">
      <c r="A12457" s="5"/>
    </row>
    <row r="12458" spans="1:1" x14ac:dyDescent="0.25">
      <c r="A12458" s="5"/>
    </row>
    <row r="12459" spans="1:1" x14ac:dyDescent="0.25">
      <c r="A12459" s="5"/>
    </row>
    <row r="12460" spans="1:1" x14ac:dyDescent="0.25">
      <c r="A12460" s="5"/>
    </row>
    <row r="12461" spans="1:1" x14ac:dyDescent="0.25">
      <c r="A12461" s="5"/>
    </row>
    <row r="12462" spans="1:1" x14ac:dyDescent="0.25">
      <c r="A12462" s="5"/>
    </row>
    <row r="12463" spans="1:1" x14ac:dyDescent="0.25">
      <c r="A12463" s="5"/>
    </row>
    <row r="12464" spans="1:1" x14ac:dyDescent="0.25">
      <c r="A12464" s="5"/>
    </row>
    <row r="12465" spans="1:1" x14ac:dyDescent="0.25">
      <c r="A12465" s="5"/>
    </row>
    <row r="12466" spans="1:1" x14ac:dyDescent="0.25">
      <c r="A12466" s="5"/>
    </row>
    <row r="12467" spans="1:1" x14ac:dyDescent="0.25">
      <c r="A12467" s="5"/>
    </row>
    <row r="12468" spans="1:1" x14ac:dyDescent="0.25">
      <c r="A12468" s="5"/>
    </row>
    <row r="12469" spans="1:1" x14ac:dyDescent="0.25">
      <c r="A12469" s="5"/>
    </row>
    <row r="12470" spans="1:1" x14ac:dyDescent="0.25">
      <c r="A12470" s="5"/>
    </row>
    <row r="12471" spans="1:1" x14ac:dyDescent="0.25">
      <c r="A12471" s="5"/>
    </row>
    <row r="12472" spans="1:1" x14ac:dyDescent="0.25">
      <c r="A12472" s="5"/>
    </row>
    <row r="12473" spans="1:1" x14ac:dyDescent="0.25">
      <c r="A12473" s="5"/>
    </row>
    <row r="12474" spans="1:1" x14ac:dyDescent="0.25">
      <c r="A12474" s="5"/>
    </row>
    <row r="12475" spans="1:1" x14ac:dyDescent="0.25">
      <c r="A12475" s="5"/>
    </row>
    <row r="12476" spans="1:1" x14ac:dyDescent="0.25">
      <c r="A12476" s="5"/>
    </row>
    <row r="12477" spans="1:1" x14ac:dyDescent="0.25">
      <c r="A12477" s="5"/>
    </row>
    <row r="12478" spans="1:1" x14ac:dyDescent="0.25">
      <c r="A12478" s="5"/>
    </row>
    <row r="12479" spans="1:1" x14ac:dyDescent="0.25">
      <c r="A12479" s="5"/>
    </row>
    <row r="12480" spans="1:1" x14ac:dyDescent="0.25">
      <c r="A12480" s="5"/>
    </row>
    <row r="12481" spans="1:1" x14ac:dyDescent="0.25">
      <c r="A12481" s="5"/>
    </row>
    <row r="12482" spans="1:1" x14ac:dyDescent="0.25">
      <c r="A12482" s="5"/>
    </row>
    <row r="12483" spans="1:1" x14ac:dyDescent="0.25">
      <c r="A12483" s="5"/>
    </row>
    <row r="12484" spans="1:1" x14ac:dyDescent="0.25">
      <c r="A12484" s="5"/>
    </row>
    <row r="12485" spans="1:1" x14ac:dyDescent="0.25">
      <c r="A12485" s="5"/>
    </row>
    <row r="12486" spans="1:1" x14ac:dyDescent="0.25">
      <c r="A12486" s="5"/>
    </row>
    <row r="12487" spans="1:1" x14ac:dyDescent="0.25">
      <c r="A12487" s="5"/>
    </row>
    <row r="12488" spans="1:1" x14ac:dyDescent="0.25">
      <c r="A12488" s="5"/>
    </row>
    <row r="12489" spans="1:1" x14ac:dyDescent="0.25">
      <c r="A12489" s="5"/>
    </row>
    <row r="12490" spans="1:1" x14ac:dyDescent="0.25">
      <c r="A12490" s="5"/>
    </row>
    <row r="12491" spans="1:1" x14ac:dyDescent="0.25">
      <c r="A12491" s="5"/>
    </row>
    <row r="12492" spans="1:1" x14ac:dyDescent="0.25">
      <c r="A12492" s="5"/>
    </row>
    <row r="12493" spans="1:1" x14ac:dyDescent="0.25">
      <c r="A12493" s="5"/>
    </row>
    <row r="12494" spans="1:1" x14ac:dyDescent="0.25">
      <c r="A12494" s="5"/>
    </row>
    <row r="12495" spans="1:1" x14ac:dyDescent="0.25">
      <c r="A12495" s="5"/>
    </row>
    <row r="12496" spans="1:1" x14ac:dyDescent="0.25">
      <c r="A12496" s="5"/>
    </row>
    <row r="12497" spans="1:1" x14ac:dyDescent="0.25">
      <c r="A12497" s="5"/>
    </row>
    <row r="12498" spans="1:1" x14ac:dyDescent="0.25">
      <c r="A12498" s="5"/>
    </row>
    <row r="12499" spans="1:1" x14ac:dyDescent="0.25">
      <c r="A12499" s="5"/>
    </row>
    <row r="12500" spans="1:1" x14ac:dyDescent="0.25">
      <c r="A12500" s="5"/>
    </row>
    <row r="12501" spans="1:1" x14ac:dyDescent="0.25">
      <c r="A12501" s="5"/>
    </row>
    <row r="12502" spans="1:1" x14ac:dyDescent="0.25">
      <c r="A12502" s="5"/>
    </row>
    <row r="12503" spans="1:1" x14ac:dyDescent="0.25">
      <c r="A12503" s="5"/>
    </row>
    <row r="12504" spans="1:1" x14ac:dyDescent="0.25">
      <c r="A12504" s="5"/>
    </row>
    <row r="12505" spans="1:1" x14ac:dyDescent="0.25">
      <c r="A12505" s="5"/>
    </row>
    <row r="12506" spans="1:1" x14ac:dyDescent="0.25">
      <c r="A12506" s="5"/>
    </row>
    <row r="12507" spans="1:1" x14ac:dyDescent="0.25">
      <c r="A12507" s="5"/>
    </row>
    <row r="12508" spans="1:1" x14ac:dyDescent="0.25">
      <c r="A12508" s="5"/>
    </row>
    <row r="12509" spans="1:1" x14ac:dyDescent="0.25">
      <c r="A12509" s="5"/>
    </row>
    <row r="12510" spans="1:1" x14ac:dyDescent="0.25">
      <c r="A12510" s="5"/>
    </row>
    <row r="12511" spans="1:1" x14ac:dyDescent="0.25">
      <c r="A12511" s="5"/>
    </row>
    <row r="12512" spans="1:1" x14ac:dyDescent="0.25">
      <c r="A12512" s="5"/>
    </row>
    <row r="12513" spans="1:1" x14ac:dyDescent="0.25">
      <c r="A12513" s="5"/>
    </row>
    <row r="12514" spans="1:1" x14ac:dyDescent="0.25">
      <c r="A12514" s="5"/>
    </row>
    <row r="12515" spans="1:1" x14ac:dyDescent="0.25">
      <c r="A12515" s="5"/>
    </row>
    <row r="12516" spans="1:1" x14ac:dyDescent="0.25">
      <c r="A12516" s="5"/>
    </row>
    <row r="12517" spans="1:1" x14ac:dyDescent="0.25">
      <c r="A12517" s="5"/>
    </row>
    <row r="12518" spans="1:1" x14ac:dyDescent="0.25">
      <c r="A12518" s="5"/>
    </row>
    <row r="12519" spans="1:1" x14ac:dyDescent="0.25">
      <c r="A12519" s="5"/>
    </row>
    <row r="12520" spans="1:1" x14ac:dyDescent="0.25">
      <c r="A12520" s="5"/>
    </row>
    <row r="12521" spans="1:1" x14ac:dyDescent="0.25">
      <c r="A12521" s="5"/>
    </row>
    <row r="12522" spans="1:1" x14ac:dyDescent="0.25">
      <c r="A12522" s="5"/>
    </row>
    <row r="12523" spans="1:1" x14ac:dyDescent="0.25">
      <c r="A12523" s="5"/>
    </row>
    <row r="12524" spans="1:1" x14ac:dyDescent="0.25">
      <c r="A12524" s="5"/>
    </row>
    <row r="12525" spans="1:1" x14ac:dyDescent="0.25">
      <c r="A12525" s="5"/>
    </row>
    <row r="12526" spans="1:1" x14ac:dyDescent="0.25">
      <c r="A12526" s="5"/>
    </row>
    <row r="12527" spans="1:1" x14ac:dyDescent="0.25">
      <c r="A12527" s="5"/>
    </row>
    <row r="12528" spans="1:1" x14ac:dyDescent="0.25">
      <c r="A12528" s="5"/>
    </row>
    <row r="12529" spans="1:1" x14ac:dyDescent="0.25">
      <c r="A12529" s="5"/>
    </row>
    <row r="12530" spans="1:1" x14ac:dyDescent="0.25">
      <c r="A12530" s="5"/>
    </row>
    <row r="12531" spans="1:1" x14ac:dyDescent="0.25">
      <c r="A12531" s="5"/>
    </row>
    <row r="12532" spans="1:1" x14ac:dyDescent="0.25">
      <c r="A12532" s="5"/>
    </row>
    <row r="12533" spans="1:1" x14ac:dyDescent="0.25">
      <c r="A12533" s="5"/>
    </row>
    <row r="12534" spans="1:1" x14ac:dyDescent="0.25">
      <c r="A12534" s="5"/>
    </row>
    <row r="12535" spans="1:1" x14ac:dyDescent="0.25">
      <c r="A12535" s="5"/>
    </row>
    <row r="12536" spans="1:1" x14ac:dyDescent="0.25">
      <c r="A12536" s="5"/>
    </row>
    <row r="12537" spans="1:1" x14ac:dyDescent="0.25">
      <c r="A12537" s="5"/>
    </row>
    <row r="12538" spans="1:1" x14ac:dyDescent="0.25">
      <c r="A12538" s="5"/>
    </row>
    <row r="12539" spans="1:1" x14ac:dyDescent="0.25">
      <c r="A12539" s="5"/>
    </row>
    <row r="12540" spans="1:1" x14ac:dyDescent="0.25">
      <c r="A12540" s="5"/>
    </row>
    <row r="12541" spans="1:1" x14ac:dyDescent="0.25">
      <c r="A12541" s="5"/>
    </row>
    <row r="12542" spans="1:1" x14ac:dyDescent="0.25">
      <c r="A12542" s="5"/>
    </row>
    <row r="12543" spans="1:1" x14ac:dyDescent="0.25">
      <c r="A12543" s="5"/>
    </row>
    <row r="12544" spans="1:1" x14ac:dyDescent="0.25">
      <c r="A12544" s="5"/>
    </row>
    <row r="12545" spans="1:1" x14ac:dyDescent="0.25">
      <c r="A12545" s="5"/>
    </row>
    <row r="12546" spans="1:1" x14ac:dyDescent="0.25">
      <c r="A12546" s="5"/>
    </row>
    <row r="12547" spans="1:1" x14ac:dyDescent="0.25">
      <c r="A12547" s="5"/>
    </row>
    <row r="12548" spans="1:1" x14ac:dyDescent="0.25">
      <c r="A12548" s="5"/>
    </row>
    <row r="12549" spans="1:1" x14ac:dyDescent="0.25">
      <c r="A12549" s="5"/>
    </row>
    <row r="12550" spans="1:1" x14ac:dyDescent="0.25">
      <c r="A12550" s="5"/>
    </row>
    <row r="12551" spans="1:1" x14ac:dyDescent="0.25">
      <c r="A12551" s="5"/>
    </row>
    <row r="12552" spans="1:1" x14ac:dyDescent="0.25">
      <c r="A12552" s="5"/>
    </row>
    <row r="12553" spans="1:1" x14ac:dyDescent="0.25">
      <c r="A12553" s="5"/>
    </row>
    <row r="12554" spans="1:1" x14ac:dyDescent="0.25">
      <c r="A12554" s="5"/>
    </row>
    <row r="12555" spans="1:1" x14ac:dyDescent="0.25">
      <c r="A12555" s="5"/>
    </row>
    <row r="12556" spans="1:1" x14ac:dyDescent="0.25">
      <c r="A12556" s="5"/>
    </row>
    <row r="12557" spans="1:1" x14ac:dyDescent="0.25">
      <c r="A12557" s="5"/>
    </row>
    <row r="12558" spans="1:1" x14ac:dyDescent="0.25">
      <c r="A12558" s="5"/>
    </row>
    <row r="12559" spans="1:1" x14ac:dyDescent="0.25">
      <c r="A12559" s="5"/>
    </row>
    <row r="12560" spans="1:1" x14ac:dyDescent="0.25">
      <c r="A12560" s="5"/>
    </row>
    <row r="12561" spans="1:1" x14ac:dyDescent="0.25">
      <c r="A12561" s="5"/>
    </row>
    <row r="12562" spans="1:1" x14ac:dyDescent="0.25">
      <c r="A12562" s="5"/>
    </row>
    <row r="12563" spans="1:1" x14ac:dyDescent="0.25">
      <c r="A12563" s="5"/>
    </row>
    <row r="12564" spans="1:1" x14ac:dyDescent="0.25">
      <c r="A12564" s="5"/>
    </row>
    <row r="12565" spans="1:1" x14ac:dyDescent="0.25">
      <c r="A12565" s="5"/>
    </row>
    <row r="12566" spans="1:1" x14ac:dyDescent="0.25">
      <c r="A12566" s="5"/>
    </row>
    <row r="12567" spans="1:1" x14ac:dyDescent="0.25">
      <c r="A12567" s="5"/>
    </row>
    <row r="12568" spans="1:1" x14ac:dyDescent="0.25">
      <c r="A12568" s="5"/>
    </row>
    <row r="12569" spans="1:1" x14ac:dyDescent="0.25">
      <c r="A12569" s="5"/>
    </row>
    <row r="12570" spans="1:1" x14ac:dyDescent="0.25">
      <c r="A12570" s="5"/>
    </row>
    <row r="12571" spans="1:1" x14ac:dyDescent="0.25">
      <c r="A12571" s="5"/>
    </row>
    <row r="12572" spans="1:1" x14ac:dyDescent="0.25">
      <c r="A12572" s="5"/>
    </row>
    <row r="12573" spans="1:1" x14ac:dyDescent="0.25">
      <c r="A12573" s="5"/>
    </row>
    <row r="12574" spans="1:1" x14ac:dyDescent="0.25">
      <c r="A12574" s="5"/>
    </row>
    <row r="12575" spans="1:1" x14ac:dyDescent="0.25">
      <c r="A12575" s="5"/>
    </row>
    <row r="12576" spans="1:1" x14ac:dyDescent="0.25">
      <c r="A12576" s="5"/>
    </row>
    <row r="12577" spans="1:1" x14ac:dyDescent="0.25">
      <c r="A12577" s="5"/>
    </row>
    <row r="12578" spans="1:1" x14ac:dyDescent="0.25">
      <c r="A12578" s="5"/>
    </row>
    <row r="12579" spans="1:1" x14ac:dyDescent="0.25">
      <c r="A12579" s="5"/>
    </row>
    <row r="12580" spans="1:1" x14ac:dyDescent="0.25">
      <c r="A12580" s="5"/>
    </row>
    <row r="12581" spans="1:1" x14ac:dyDescent="0.25">
      <c r="A12581" s="5"/>
    </row>
    <row r="12582" spans="1:1" x14ac:dyDescent="0.25">
      <c r="A12582" s="5"/>
    </row>
    <row r="12583" spans="1:1" x14ac:dyDescent="0.25">
      <c r="A12583" s="5"/>
    </row>
    <row r="12584" spans="1:1" x14ac:dyDescent="0.25">
      <c r="A12584" s="5"/>
    </row>
    <row r="12585" spans="1:1" x14ac:dyDescent="0.25">
      <c r="A12585" s="5"/>
    </row>
    <row r="12586" spans="1:1" x14ac:dyDescent="0.25">
      <c r="A12586" s="5"/>
    </row>
    <row r="12587" spans="1:1" x14ac:dyDescent="0.25">
      <c r="A12587" s="5"/>
    </row>
    <row r="12588" spans="1:1" x14ac:dyDescent="0.25">
      <c r="A12588" s="5"/>
    </row>
    <row r="12589" spans="1:1" x14ac:dyDescent="0.25">
      <c r="A12589" s="5"/>
    </row>
    <row r="12590" spans="1:1" x14ac:dyDescent="0.25">
      <c r="A12590" s="5"/>
    </row>
    <row r="12591" spans="1:1" x14ac:dyDescent="0.25">
      <c r="A12591" s="5"/>
    </row>
    <row r="12592" spans="1:1" x14ac:dyDescent="0.25">
      <c r="A12592" s="5"/>
    </row>
    <row r="12593" spans="1:1" x14ac:dyDescent="0.25">
      <c r="A12593" s="5"/>
    </row>
    <row r="12594" spans="1:1" x14ac:dyDescent="0.25">
      <c r="A12594" s="5"/>
    </row>
    <row r="12595" spans="1:1" x14ac:dyDescent="0.25">
      <c r="A12595" s="5"/>
    </row>
    <row r="12596" spans="1:1" x14ac:dyDescent="0.25">
      <c r="A12596" s="5"/>
    </row>
    <row r="12597" spans="1:1" x14ac:dyDescent="0.25">
      <c r="A12597" s="5"/>
    </row>
    <row r="12598" spans="1:1" x14ac:dyDescent="0.25">
      <c r="A12598" s="5"/>
    </row>
    <row r="12599" spans="1:1" x14ac:dyDescent="0.25">
      <c r="A12599" s="5"/>
    </row>
    <row r="12600" spans="1:1" x14ac:dyDescent="0.25">
      <c r="A12600" s="5"/>
    </row>
    <row r="12601" spans="1:1" x14ac:dyDescent="0.25">
      <c r="A12601" s="5"/>
    </row>
    <row r="12602" spans="1:1" x14ac:dyDescent="0.25">
      <c r="A12602" s="5"/>
    </row>
    <row r="12603" spans="1:1" x14ac:dyDescent="0.25">
      <c r="A12603" s="5"/>
    </row>
    <row r="12604" spans="1:1" x14ac:dyDescent="0.25">
      <c r="A12604" s="5"/>
    </row>
    <row r="12605" spans="1:1" x14ac:dyDescent="0.25">
      <c r="A12605" s="5"/>
    </row>
    <row r="12606" spans="1:1" x14ac:dyDescent="0.25">
      <c r="A12606" s="5"/>
    </row>
    <row r="12607" spans="1:1" x14ac:dyDescent="0.25">
      <c r="A12607" s="5"/>
    </row>
    <row r="12608" spans="1:1" x14ac:dyDescent="0.25">
      <c r="A12608" s="5"/>
    </row>
    <row r="12609" spans="1:1" x14ac:dyDescent="0.25">
      <c r="A12609" s="5"/>
    </row>
    <row r="12610" spans="1:1" x14ac:dyDescent="0.25">
      <c r="A12610" s="5"/>
    </row>
    <row r="12611" spans="1:1" x14ac:dyDescent="0.25">
      <c r="A12611" s="5"/>
    </row>
    <row r="12612" spans="1:1" x14ac:dyDescent="0.25">
      <c r="A12612" s="5"/>
    </row>
    <row r="12613" spans="1:1" x14ac:dyDescent="0.25">
      <c r="A12613" s="5"/>
    </row>
    <row r="12614" spans="1:1" x14ac:dyDescent="0.25">
      <c r="A12614" s="5"/>
    </row>
    <row r="12615" spans="1:1" x14ac:dyDescent="0.25">
      <c r="A12615" s="5"/>
    </row>
    <row r="12616" spans="1:1" x14ac:dyDescent="0.25">
      <c r="A12616" s="5"/>
    </row>
    <row r="12617" spans="1:1" x14ac:dyDescent="0.25">
      <c r="A12617" s="5"/>
    </row>
    <row r="12618" spans="1:1" x14ac:dyDescent="0.25">
      <c r="A12618" s="5"/>
    </row>
    <row r="12619" spans="1:1" x14ac:dyDescent="0.25">
      <c r="A12619" s="5"/>
    </row>
    <row r="12620" spans="1:1" x14ac:dyDescent="0.25">
      <c r="A12620" s="5"/>
    </row>
    <row r="12621" spans="1:1" x14ac:dyDescent="0.25">
      <c r="A12621" s="5"/>
    </row>
    <row r="12622" spans="1:1" x14ac:dyDescent="0.25">
      <c r="A12622" s="5"/>
    </row>
    <row r="12623" spans="1:1" x14ac:dyDescent="0.25">
      <c r="A12623" s="5"/>
    </row>
    <row r="12624" spans="1:1" x14ac:dyDescent="0.25">
      <c r="A12624" s="5"/>
    </row>
    <row r="12625" spans="1:1" x14ac:dyDescent="0.25">
      <c r="A12625" s="5"/>
    </row>
    <row r="12626" spans="1:1" x14ac:dyDescent="0.25">
      <c r="A12626" s="5"/>
    </row>
    <row r="12627" spans="1:1" x14ac:dyDescent="0.25">
      <c r="A12627" s="5"/>
    </row>
    <row r="12628" spans="1:1" x14ac:dyDescent="0.25">
      <c r="A12628" s="5"/>
    </row>
    <row r="12629" spans="1:1" x14ac:dyDescent="0.25">
      <c r="A12629" s="5"/>
    </row>
    <row r="12630" spans="1:1" x14ac:dyDescent="0.25">
      <c r="A12630" s="5"/>
    </row>
    <row r="12631" spans="1:1" x14ac:dyDescent="0.25">
      <c r="A12631" s="5"/>
    </row>
    <row r="12632" spans="1:1" x14ac:dyDescent="0.25">
      <c r="A12632" s="5"/>
    </row>
    <row r="12633" spans="1:1" x14ac:dyDescent="0.25">
      <c r="A12633" s="5"/>
    </row>
    <row r="12634" spans="1:1" x14ac:dyDescent="0.25">
      <c r="A12634" s="5"/>
    </row>
    <row r="12635" spans="1:1" x14ac:dyDescent="0.25">
      <c r="A12635" s="5"/>
    </row>
    <row r="12636" spans="1:1" x14ac:dyDescent="0.25">
      <c r="A12636" s="5"/>
    </row>
    <row r="12637" spans="1:1" x14ac:dyDescent="0.25">
      <c r="A12637" s="5"/>
    </row>
    <row r="12638" spans="1:1" x14ac:dyDescent="0.25">
      <c r="A12638" s="5"/>
    </row>
    <row r="12639" spans="1:1" x14ac:dyDescent="0.25">
      <c r="A12639" s="5"/>
    </row>
    <row r="12640" spans="1:1" x14ac:dyDescent="0.25">
      <c r="A12640" s="5"/>
    </row>
    <row r="12641" spans="1:1" x14ac:dyDescent="0.25">
      <c r="A12641" s="5"/>
    </row>
    <row r="12642" spans="1:1" x14ac:dyDescent="0.25">
      <c r="A12642" s="5"/>
    </row>
    <row r="12643" spans="1:1" x14ac:dyDescent="0.25">
      <c r="A12643" s="5"/>
    </row>
    <row r="12644" spans="1:1" x14ac:dyDescent="0.25">
      <c r="A12644" s="5"/>
    </row>
    <row r="12645" spans="1:1" x14ac:dyDescent="0.25">
      <c r="A12645" s="5"/>
    </row>
    <row r="12646" spans="1:1" x14ac:dyDescent="0.25">
      <c r="A12646" s="5"/>
    </row>
    <row r="12647" spans="1:1" x14ac:dyDescent="0.25">
      <c r="A12647" s="5"/>
    </row>
    <row r="12648" spans="1:1" x14ac:dyDescent="0.25">
      <c r="A12648" s="5"/>
    </row>
    <row r="12649" spans="1:1" x14ac:dyDescent="0.25">
      <c r="A12649" s="5"/>
    </row>
    <row r="12650" spans="1:1" x14ac:dyDescent="0.25">
      <c r="A12650" s="5"/>
    </row>
    <row r="12651" spans="1:1" x14ac:dyDescent="0.25">
      <c r="A12651" s="5"/>
    </row>
    <row r="12652" spans="1:1" x14ac:dyDescent="0.25">
      <c r="A12652" s="5"/>
    </row>
    <row r="12653" spans="1:1" x14ac:dyDescent="0.25">
      <c r="A12653" s="5"/>
    </row>
    <row r="12654" spans="1:1" x14ac:dyDescent="0.25">
      <c r="A12654" s="5"/>
    </row>
    <row r="12655" spans="1:1" x14ac:dyDescent="0.25">
      <c r="A12655" s="5"/>
    </row>
    <row r="12656" spans="1:1" x14ac:dyDescent="0.25">
      <c r="A12656" s="5"/>
    </row>
    <row r="12657" spans="1:1" x14ac:dyDescent="0.25">
      <c r="A12657" s="5"/>
    </row>
    <row r="12658" spans="1:1" x14ac:dyDescent="0.25">
      <c r="A12658" s="5"/>
    </row>
    <row r="12659" spans="1:1" x14ac:dyDescent="0.25">
      <c r="A12659" s="5"/>
    </row>
    <row r="12660" spans="1:1" x14ac:dyDescent="0.25">
      <c r="A12660" s="5"/>
    </row>
    <row r="12661" spans="1:1" x14ac:dyDescent="0.25">
      <c r="A12661" s="5"/>
    </row>
    <row r="12662" spans="1:1" x14ac:dyDescent="0.25">
      <c r="A12662" s="5"/>
    </row>
    <row r="12663" spans="1:1" x14ac:dyDescent="0.25">
      <c r="A12663" s="5"/>
    </row>
    <row r="12664" spans="1:1" x14ac:dyDescent="0.25">
      <c r="A12664" s="5"/>
    </row>
    <row r="12665" spans="1:1" x14ac:dyDescent="0.25">
      <c r="A12665" s="5"/>
    </row>
    <row r="12666" spans="1:1" x14ac:dyDescent="0.25">
      <c r="A12666" s="5"/>
    </row>
    <row r="12667" spans="1:1" x14ac:dyDescent="0.25">
      <c r="A12667" s="5"/>
    </row>
    <row r="12668" spans="1:1" x14ac:dyDescent="0.25">
      <c r="A12668" s="5"/>
    </row>
    <row r="12669" spans="1:1" x14ac:dyDescent="0.25">
      <c r="A12669" s="5"/>
    </row>
    <row r="12670" spans="1:1" x14ac:dyDescent="0.25">
      <c r="A12670" s="5"/>
    </row>
    <row r="12671" spans="1:1" x14ac:dyDescent="0.25">
      <c r="A12671" s="5"/>
    </row>
    <row r="12672" spans="1:1" x14ac:dyDescent="0.25">
      <c r="A12672" s="5"/>
    </row>
    <row r="12673" spans="1:1" x14ac:dyDescent="0.25">
      <c r="A12673" s="5"/>
    </row>
    <row r="12674" spans="1:1" x14ac:dyDescent="0.25">
      <c r="A12674" s="5"/>
    </row>
    <row r="12675" spans="1:1" x14ac:dyDescent="0.25">
      <c r="A12675" s="5"/>
    </row>
    <row r="12676" spans="1:1" x14ac:dyDescent="0.25">
      <c r="A12676" s="5"/>
    </row>
    <row r="12677" spans="1:1" x14ac:dyDescent="0.25">
      <c r="A12677" s="5"/>
    </row>
    <row r="12678" spans="1:1" x14ac:dyDescent="0.25">
      <c r="A12678" s="5"/>
    </row>
    <row r="12679" spans="1:1" x14ac:dyDescent="0.25">
      <c r="A12679" s="5"/>
    </row>
    <row r="12680" spans="1:1" x14ac:dyDescent="0.25">
      <c r="A12680" s="5"/>
    </row>
    <row r="12681" spans="1:1" x14ac:dyDescent="0.25">
      <c r="A12681" s="5"/>
    </row>
    <row r="12682" spans="1:1" x14ac:dyDescent="0.25">
      <c r="A12682" s="5"/>
    </row>
    <row r="12683" spans="1:1" x14ac:dyDescent="0.25">
      <c r="A12683" s="5"/>
    </row>
    <row r="12684" spans="1:1" x14ac:dyDescent="0.25">
      <c r="A12684" s="5"/>
    </row>
    <row r="12685" spans="1:1" x14ac:dyDescent="0.25">
      <c r="A12685" s="5"/>
    </row>
    <row r="12686" spans="1:1" x14ac:dyDescent="0.25">
      <c r="A12686" s="5"/>
    </row>
    <row r="12687" spans="1:1" x14ac:dyDescent="0.25">
      <c r="A12687" s="5"/>
    </row>
    <row r="12688" spans="1:1" x14ac:dyDescent="0.25">
      <c r="A12688" s="5"/>
    </row>
    <row r="12689" spans="1:1" x14ac:dyDescent="0.25">
      <c r="A12689" s="5"/>
    </row>
    <row r="12690" spans="1:1" x14ac:dyDescent="0.25">
      <c r="A12690" s="5"/>
    </row>
    <row r="12691" spans="1:1" x14ac:dyDescent="0.25">
      <c r="A12691" s="5"/>
    </row>
    <row r="12692" spans="1:1" x14ac:dyDescent="0.25">
      <c r="A12692" s="5"/>
    </row>
    <row r="12693" spans="1:1" x14ac:dyDescent="0.25">
      <c r="A12693" s="5"/>
    </row>
    <row r="12694" spans="1:1" x14ac:dyDescent="0.25">
      <c r="A12694" s="5"/>
    </row>
    <row r="12695" spans="1:1" x14ac:dyDescent="0.25">
      <c r="A12695" s="5"/>
    </row>
    <row r="12696" spans="1:1" x14ac:dyDescent="0.25">
      <c r="A12696" s="5"/>
    </row>
    <row r="12697" spans="1:1" x14ac:dyDescent="0.25">
      <c r="A12697" s="5"/>
    </row>
    <row r="12698" spans="1:1" x14ac:dyDescent="0.25">
      <c r="A12698" s="5"/>
    </row>
    <row r="12699" spans="1:1" x14ac:dyDescent="0.25">
      <c r="A12699" s="5"/>
    </row>
    <row r="12700" spans="1:1" x14ac:dyDescent="0.25">
      <c r="A12700" s="5"/>
    </row>
    <row r="12701" spans="1:1" x14ac:dyDescent="0.25">
      <c r="A12701" s="5"/>
    </row>
    <row r="12702" spans="1:1" x14ac:dyDescent="0.25">
      <c r="A12702" s="5"/>
    </row>
    <row r="12703" spans="1:1" x14ac:dyDescent="0.25">
      <c r="A12703" s="5"/>
    </row>
    <row r="12704" spans="1:1" x14ac:dyDescent="0.25">
      <c r="A12704" s="5"/>
    </row>
    <row r="12705" spans="1:1" x14ac:dyDescent="0.25">
      <c r="A12705" s="5"/>
    </row>
    <row r="12706" spans="1:1" x14ac:dyDescent="0.25">
      <c r="A12706" s="5"/>
    </row>
    <row r="12707" spans="1:1" x14ac:dyDescent="0.25">
      <c r="A12707" s="5"/>
    </row>
    <row r="12708" spans="1:1" x14ac:dyDescent="0.25">
      <c r="A12708" s="5"/>
    </row>
    <row r="12709" spans="1:1" x14ac:dyDescent="0.25">
      <c r="A12709" s="5"/>
    </row>
    <row r="12710" spans="1:1" x14ac:dyDescent="0.25">
      <c r="A12710" s="5"/>
    </row>
    <row r="12711" spans="1:1" x14ac:dyDescent="0.25">
      <c r="A12711" s="5"/>
    </row>
    <row r="12712" spans="1:1" x14ac:dyDescent="0.25">
      <c r="A12712" s="5"/>
    </row>
    <row r="12713" spans="1:1" x14ac:dyDescent="0.25">
      <c r="A12713" s="5"/>
    </row>
    <row r="12714" spans="1:1" x14ac:dyDescent="0.25">
      <c r="A12714" s="5"/>
    </row>
    <row r="12715" spans="1:1" x14ac:dyDescent="0.25">
      <c r="A12715" s="5"/>
    </row>
    <row r="12716" spans="1:1" x14ac:dyDescent="0.25">
      <c r="A12716" s="5"/>
    </row>
    <row r="12717" spans="1:1" x14ac:dyDescent="0.25">
      <c r="A12717" s="5"/>
    </row>
    <row r="12718" spans="1:1" x14ac:dyDescent="0.25">
      <c r="A12718" s="5"/>
    </row>
    <row r="12719" spans="1:1" x14ac:dyDescent="0.25">
      <c r="A12719" s="5"/>
    </row>
    <row r="12720" spans="1:1" x14ac:dyDescent="0.25">
      <c r="A12720" s="5"/>
    </row>
    <row r="12721" spans="1:1" x14ac:dyDescent="0.25">
      <c r="A12721" s="5"/>
    </row>
    <row r="12722" spans="1:1" x14ac:dyDescent="0.25">
      <c r="A12722" s="5"/>
    </row>
    <row r="12723" spans="1:1" x14ac:dyDescent="0.25">
      <c r="A12723" s="5"/>
    </row>
    <row r="12724" spans="1:1" x14ac:dyDescent="0.25">
      <c r="A12724" s="5"/>
    </row>
    <row r="12725" spans="1:1" x14ac:dyDescent="0.25">
      <c r="A12725" s="5"/>
    </row>
    <row r="12726" spans="1:1" x14ac:dyDescent="0.25">
      <c r="A12726" s="5"/>
    </row>
    <row r="12727" spans="1:1" x14ac:dyDescent="0.25">
      <c r="A12727" s="5"/>
    </row>
    <row r="12728" spans="1:1" x14ac:dyDescent="0.25">
      <c r="A12728" s="5"/>
    </row>
    <row r="12729" spans="1:1" x14ac:dyDescent="0.25">
      <c r="A12729" s="5"/>
    </row>
    <row r="12730" spans="1:1" x14ac:dyDescent="0.25">
      <c r="A12730" s="5"/>
    </row>
    <row r="12731" spans="1:1" x14ac:dyDescent="0.25">
      <c r="A12731" s="5"/>
    </row>
    <row r="12732" spans="1:1" x14ac:dyDescent="0.25">
      <c r="A12732" s="5"/>
    </row>
    <row r="12733" spans="1:1" x14ac:dyDescent="0.25">
      <c r="A12733" s="5"/>
    </row>
    <row r="12734" spans="1:1" x14ac:dyDescent="0.25">
      <c r="A12734" s="5"/>
    </row>
    <row r="12735" spans="1:1" x14ac:dyDescent="0.25">
      <c r="A12735" s="5"/>
    </row>
    <row r="12736" spans="1:1" x14ac:dyDescent="0.25">
      <c r="A12736" s="5"/>
    </row>
    <row r="12737" spans="1:1" x14ac:dyDescent="0.25">
      <c r="A12737" s="5"/>
    </row>
    <row r="12738" spans="1:1" x14ac:dyDescent="0.25">
      <c r="A12738" s="5"/>
    </row>
    <row r="12739" spans="1:1" x14ac:dyDescent="0.25">
      <c r="A12739" s="5"/>
    </row>
    <row r="12740" spans="1:1" x14ac:dyDescent="0.25">
      <c r="A12740" s="5"/>
    </row>
    <row r="12741" spans="1:1" x14ac:dyDescent="0.25">
      <c r="A12741" s="5"/>
    </row>
    <row r="12742" spans="1:1" x14ac:dyDescent="0.25">
      <c r="A12742" s="5"/>
    </row>
    <row r="12743" spans="1:1" x14ac:dyDescent="0.25">
      <c r="A12743" s="5"/>
    </row>
    <row r="12744" spans="1:1" x14ac:dyDescent="0.25">
      <c r="A12744" s="5"/>
    </row>
    <row r="12745" spans="1:1" x14ac:dyDescent="0.25">
      <c r="A12745" s="5"/>
    </row>
    <row r="12746" spans="1:1" x14ac:dyDescent="0.25">
      <c r="A12746" s="5"/>
    </row>
    <row r="12747" spans="1:1" x14ac:dyDescent="0.25">
      <c r="A12747" s="5"/>
    </row>
    <row r="12748" spans="1:1" x14ac:dyDescent="0.25">
      <c r="A12748" s="5"/>
    </row>
    <row r="12749" spans="1:1" x14ac:dyDescent="0.25">
      <c r="A12749" s="5"/>
    </row>
    <row r="12750" spans="1:1" x14ac:dyDescent="0.25">
      <c r="A12750" s="5"/>
    </row>
    <row r="12751" spans="1:1" x14ac:dyDescent="0.25">
      <c r="A12751" s="5"/>
    </row>
    <row r="12752" spans="1:1" x14ac:dyDescent="0.25">
      <c r="A12752" s="5"/>
    </row>
    <row r="12753" spans="1:1" x14ac:dyDescent="0.25">
      <c r="A12753" s="5"/>
    </row>
    <row r="12754" spans="1:1" x14ac:dyDescent="0.25">
      <c r="A12754" s="5"/>
    </row>
    <row r="12755" spans="1:1" x14ac:dyDescent="0.25">
      <c r="A12755" s="5"/>
    </row>
    <row r="12756" spans="1:1" x14ac:dyDescent="0.25">
      <c r="A12756" s="5"/>
    </row>
    <row r="12757" spans="1:1" x14ac:dyDescent="0.25">
      <c r="A12757" s="5"/>
    </row>
    <row r="12758" spans="1:1" x14ac:dyDescent="0.25">
      <c r="A12758" s="5"/>
    </row>
    <row r="12759" spans="1:1" x14ac:dyDescent="0.25">
      <c r="A12759" s="5"/>
    </row>
    <row r="12760" spans="1:1" x14ac:dyDescent="0.25">
      <c r="A12760" s="5"/>
    </row>
    <row r="12761" spans="1:1" x14ac:dyDescent="0.25">
      <c r="A12761" s="5"/>
    </row>
    <row r="12762" spans="1:1" x14ac:dyDescent="0.25">
      <c r="A12762" s="5"/>
    </row>
    <row r="12763" spans="1:1" x14ac:dyDescent="0.25">
      <c r="A12763" s="5"/>
    </row>
    <row r="12764" spans="1:1" x14ac:dyDescent="0.25">
      <c r="A12764" s="5"/>
    </row>
    <row r="12765" spans="1:1" x14ac:dyDescent="0.25">
      <c r="A12765" s="5"/>
    </row>
    <row r="12766" spans="1:1" x14ac:dyDescent="0.25">
      <c r="A12766" s="5"/>
    </row>
    <row r="12767" spans="1:1" x14ac:dyDescent="0.25">
      <c r="A12767" s="5"/>
    </row>
    <row r="12768" spans="1:1" x14ac:dyDescent="0.25">
      <c r="A12768" s="5"/>
    </row>
    <row r="12769" spans="1:1" x14ac:dyDescent="0.25">
      <c r="A12769" s="5"/>
    </row>
    <row r="12770" spans="1:1" x14ac:dyDescent="0.25">
      <c r="A12770" s="5"/>
    </row>
    <row r="12771" spans="1:1" x14ac:dyDescent="0.25">
      <c r="A12771" s="5"/>
    </row>
    <row r="12772" spans="1:1" x14ac:dyDescent="0.25">
      <c r="A12772" s="5"/>
    </row>
    <row r="12773" spans="1:1" x14ac:dyDescent="0.25">
      <c r="A12773" s="5"/>
    </row>
    <row r="12774" spans="1:1" x14ac:dyDescent="0.25">
      <c r="A12774" s="5"/>
    </row>
    <row r="12775" spans="1:1" x14ac:dyDescent="0.25">
      <c r="A12775" s="5"/>
    </row>
    <row r="12776" spans="1:1" x14ac:dyDescent="0.25">
      <c r="A12776" s="5"/>
    </row>
    <row r="12777" spans="1:1" x14ac:dyDescent="0.25">
      <c r="A12777" s="5"/>
    </row>
    <row r="12778" spans="1:1" x14ac:dyDescent="0.25">
      <c r="A12778" s="5"/>
    </row>
    <row r="12779" spans="1:1" x14ac:dyDescent="0.25">
      <c r="A12779" s="5"/>
    </row>
    <row r="12780" spans="1:1" x14ac:dyDescent="0.25">
      <c r="A12780" s="5"/>
    </row>
    <row r="12781" spans="1:1" x14ac:dyDescent="0.25">
      <c r="A12781" s="5"/>
    </row>
    <row r="12782" spans="1:1" x14ac:dyDescent="0.25">
      <c r="A12782" s="5"/>
    </row>
    <row r="12783" spans="1:1" x14ac:dyDescent="0.25">
      <c r="A12783" s="5"/>
    </row>
    <row r="12784" spans="1:1" x14ac:dyDescent="0.25">
      <c r="A12784" s="5"/>
    </row>
    <row r="12785" spans="1:1" x14ac:dyDescent="0.25">
      <c r="A12785" s="5"/>
    </row>
    <row r="12786" spans="1:1" x14ac:dyDescent="0.25">
      <c r="A12786" s="5"/>
    </row>
    <row r="12787" spans="1:1" x14ac:dyDescent="0.25">
      <c r="A12787" s="5"/>
    </row>
    <row r="12788" spans="1:1" x14ac:dyDescent="0.25">
      <c r="A12788" s="5"/>
    </row>
    <row r="12789" spans="1:1" x14ac:dyDescent="0.25">
      <c r="A12789" s="5"/>
    </row>
    <row r="12790" spans="1:1" x14ac:dyDescent="0.25">
      <c r="A12790" s="5"/>
    </row>
    <row r="12791" spans="1:1" x14ac:dyDescent="0.25">
      <c r="A12791" s="5"/>
    </row>
    <row r="12792" spans="1:1" x14ac:dyDescent="0.25">
      <c r="A12792" s="5"/>
    </row>
    <row r="12793" spans="1:1" x14ac:dyDescent="0.25">
      <c r="A12793" s="5"/>
    </row>
    <row r="12794" spans="1:1" x14ac:dyDescent="0.25">
      <c r="A12794" s="5"/>
    </row>
    <row r="12795" spans="1:1" x14ac:dyDescent="0.25">
      <c r="A12795" s="5"/>
    </row>
    <row r="12796" spans="1:1" x14ac:dyDescent="0.25">
      <c r="A12796" s="5"/>
    </row>
    <row r="12797" spans="1:1" x14ac:dyDescent="0.25">
      <c r="A12797" s="5"/>
    </row>
    <row r="12798" spans="1:1" x14ac:dyDescent="0.25">
      <c r="A12798" s="5"/>
    </row>
    <row r="12799" spans="1:1" x14ac:dyDescent="0.25">
      <c r="A12799" s="5"/>
    </row>
    <row r="12800" spans="1:1" x14ac:dyDescent="0.25">
      <c r="A12800" s="5"/>
    </row>
    <row r="12801" spans="1:1" x14ac:dyDescent="0.25">
      <c r="A12801" s="5"/>
    </row>
    <row r="12802" spans="1:1" x14ac:dyDescent="0.25">
      <c r="A12802" s="5"/>
    </row>
    <row r="12803" spans="1:1" x14ac:dyDescent="0.25">
      <c r="A12803" s="5"/>
    </row>
    <row r="12804" spans="1:1" x14ac:dyDescent="0.25">
      <c r="A12804" s="5"/>
    </row>
    <row r="12805" spans="1:1" x14ac:dyDescent="0.25">
      <c r="A12805" s="5"/>
    </row>
    <row r="12806" spans="1:1" x14ac:dyDescent="0.25">
      <c r="A12806" s="5"/>
    </row>
    <row r="12807" spans="1:1" x14ac:dyDescent="0.25">
      <c r="A12807" s="5"/>
    </row>
    <row r="12808" spans="1:1" x14ac:dyDescent="0.25">
      <c r="A12808" s="5"/>
    </row>
    <row r="12809" spans="1:1" x14ac:dyDescent="0.25">
      <c r="A12809" s="5"/>
    </row>
    <row r="12810" spans="1:1" x14ac:dyDescent="0.25">
      <c r="A12810" s="5"/>
    </row>
    <row r="12811" spans="1:1" x14ac:dyDescent="0.25">
      <c r="A12811" s="5"/>
    </row>
    <row r="12812" spans="1:1" x14ac:dyDescent="0.25">
      <c r="A12812" s="5"/>
    </row>
    <row r="12813" spans="1:1" x14ac:dyDescent="0.25">
      <c r="A12813" s="5"/>
    </row>
    <row r="12814" spans="1:1" x14ac:dyDescent="0.25">
      <c r="A12814" s="5"/>
    </row>
    <row r="12815" spans="1:1" x14ac:dyDescent="0.25">
      <c r="A12815" s="5"/>
    </row>
    <row r="12816" spans="1:1" x14ac:dyDescent="0.25">
      <c r="A12816" s="5"/>
    </row>
    <row r="12817" spans="1:1" x14ac:dyDescent="0.25">
      <c r="A12817" s="5"/>
    </row>
    <row r="12818" spans="1:1" x14ac:dyDescent="0.25">
      <c r="A12818" s="5"/>
    </row>
    <row r="12819" spans="1:1" x14ac:dyDescent="0.25">
      <c r="A12819" s="5"/>
    </row>
    <row r="12820" spans="1:1" x14ac:dyDescent="0.25">
      <c r="A12820" s="5"/>
    </row>
    <row r="12821" spans="1:1" x14ac:dyDescent="0.25">
      <c r="A12821" s="5"/>
    </row>
    <row r="12822" spans="1:1" x14ac:dyDescent="0.25">
      <c r="A12822" s="5"/>
    </row>
    <row r="12823" spans="1:1" x14ac:dyDescent="0.25">
      <c r="A12823" s="5"/>
    </row>
    <row r="12824" spans="1:1" x14ac:dyDescent="0.25">
      <c r="A12824" s="5"/>
    </row>
    <row r="12825" spans="1:1" x14ac:dyDescent="0.25">
      <c r="A12825" s="5"/>
    </row>
    <row r="12826" spans="1:1" x14ac:dyDescent="0.25">
      <c r="A12826" s="5"/>
    </row>
    <row r="12827" spans="1:1" x14ac:dyDescent="0.25">
      <c r="A12827" s="5"/>
    </row>
    <row r="12828" spans="1:1" x14ac:dyDescent="0.25">
      <c r="A12828" s="5"/>
    </row>
    <row r="12829" spans="1:1" x14ac:dyDescent="0.25">
      <c r="A12829" s="5"/>
    </row>
    <row r="12830" spans="1:1" x14ac:dyDescent="0.25">
      <c r="A12830" s="5"/>
    </row>
    <row r="12831" spans="1:1" x14ac:dyDescent="0.25">
      <c r="A12831" s="5"/>
    </row>
    <row r="12832" spans="1:1" x14ac:dyDescent="0.25">
      <c r="A12832" s="5"/>
    </row>
    <row r="12833" spans="1:1" x14ac:dyDescent="0.25">
      <c r="A12833" s="5"/>
    </row>
    <row r="12834" spans="1:1" x14ac:dyDescent="0.25">
      <c r="A12834" s="5"/>
    </row>
    <row r="12835" spans="1:1" x14ac:dyDescent="0.25">
      <c r="A12835" s="5"/>
    </row>
    <row r="12836" spans="1:1" x14ac:dyDescent="0.25">
      <c r="A12836" s="5"/>
    </row>
    <row r="12837" spans="1:1" x14ac:dyDescent="0.25">
      <c r="A12837" s="5"/>
    </row>
    <row r="12838" spans="1:1" x14ac:dyDescent="0.25">
      <c r="A12838" s="5"/>
    </row>
    <row r="12839" spans="1:1" x14ac:dyDescent="0.25">
      <c r="A12839" s="5"/>
    </row>
    <row r="12840" spans="1:1" x14ac:dyDescent="0.25">
      <c r="A12840" s="5"/>
    </row>
    <row r="12841" spans="1:1" x14ac:dyDescent="0.25">
      <c r="A12841" s="5"/>
    </row>
    <row r="12842" spans="1:1" x14ac:dyDescent="0.25">
      <c r="A12842" s="5"/>
    </row>
    <row r="12843" spans="1:1" x14ac:dyDescent="0.25">
      <c r="A12843" s="5"/>
    </row>
    <row r="12844" spans="1:1" x14ac:dyDescent="0.25">
      <c r="A12844" s="5"/>
    </row>
    <row r="12845" spans="1:1" x14ac:dyDescent="0.25">
      <c r="A12845" s="5"/>
    </row>
    <row r="12846" spans="1:1" x14ac:dyDescent="0.25">
      <c r="A12846" s="5"/>
    </row>
    <row r="12847" spans="1:1" x14ac:dyDescent="0.25">
      <c r="A12847" s="5"/>
    </row>
    <row r="12848" spans="1:1" x14ac:dyDescent="0.25">
      <c r="A12848" s="5"/>
    </row>
    <row r="12849" spans="1:1" x14ac:dyDescent="0.25">
      <c r="A12849" s="5"/>
    </row>
    <row r="12850" spans="1:1" x14ac:dyDescent="0.25">
      <c r="A12850" s="5"/>
    </row>
    <row r="12851" spans="1:1" x14ac:dyDescent="0.25">
      <c r="A12851" s="5"/>
    </row>
    <row r="12852" spans="1:1" x14ac:dyDescent="0.25">
      <c r="A12852" s="5"/>
    </row>
    <row r="12853" spans="1:1" x14ac:dyDescent="0.25">
      <c r="A12853" s="5"/>
    </row>
    <row r="12854" spans="1:1" x14ac:dyDescent="0.25">
      <c r="A12854" s="5"/>
    </row>
    <row r="12855" spans="1:1" x14ac:dyDescent="0.25">
      <c r="A12855" s="5"/>
    </row>
    <row r="12856" spans="1:1" x14ac:dyDescent="0.25">
      <c r="A12856" s="5"/>
    </row>
    <row r="12857" spans="1:1" x14ac:dyDescent="0.25">
      <c r="A12857" s="5"/>
    </row>
    <row r="12858" spans="1:1" x14ac:dyDescent="0.25">
      <c r="A12858" s="5"/>
    </row>
    <row r="12859" spans="1:1" x14ac:dyDescent="0.25">
      <c r="A12859" s="5"/>
    </row>
    <row r="12860" spans="1:1" x14ac:dyDescent="0.25">
      <c r="A12860" s="5"/>
    </row>
    <row r="12861" spans="1:1" x14ac:dyDescent="0.25">
      <c r="A12861" s="5"/>
    </row>
    <row r="12862" spans="1:1" x14ac:dyDescent="0.25">
      <c r="A12862" s="5"/>
    </row>
    <row r="12863" spans="1:1" x14ac:dyDescent="0.25">
      <c r="A12863" s="5"/>
    </row>
    <row r="12864" spans="1:1" x14ac:dyDescent="0.25">
      <c r="A12864" s="5"/>
    </row>
    <row r="12865" spans="1:1" x14ac:dyDescent="0.25">
      <c r="A12865" s="5"/>
    </row>
    <row r="12866" spans="1:1" x14ac:dyDescent="0.25">
      <c r="A12866" s="5"/>
    </row>
    <row r="12867" spans="1:1" x14ac:dyDescent="0.25">
      <c r="A12867" s="5"/>
    </row>
    <row r="12868" spans="1:1" x14ac:dyDescent="0.25">
      <c r="A12868" s="5"/>
    </row>
    <row r="12869" spans="1:1" x14ac:dyDescent="0.25">
      <c r="A12869" s="5"/>
    </row>
    <row r="12870" spans="1:1" x14ac:dyDescent="0.25">
      <c r="A12870" s="5"/>
    </row>
    <row r="12871" spans="1:1" x14ac:dyDescent="0.25">
      <c r="A12871" s="5"/>
    </row>
    <row r="12872" spans="1:1" x14ac:dyDescent="0.25">
      <c r="A12872" s="5"/>
    </row>
    <row r="12873" spans="1:1" x14ac:dyDescent="0.25">
      <c r="A12873" s="5"/>
    </row>
    <row r="12874" spans="1:1" x14ac:dyDescent="0.25">
      <c r="A12874" s="5"/>
    </row>
    <row r="12875" spans="1:1" x14ac:dyDescent="0.25">
      <c r="A12875" s="5"/>
    </row>
    <row r="12876" spans="1:1" x14ac:dyDescent="0.25">
      <c r="A12876" s="5"/>
    </row>
    <row r="12877" spans="1:1" x14ac:dyDescent="0.25">
      <c r="A12877" s="5"/>
    </row>
    <row r="12878" spans="1:1" x14ac:dyDescent="0.25">
      <c r="A12878" s="5"/>
    </row>
    <row r="12879" spans="1:1" x14ac:dyDescent="0.25">
      <c r="A12879" s="5"/>
    </row>
    <row r="12880" spans="1:1" x14ac:dyDescent="0.25">
      <c r="A12880" s="5"/>
    </row>
    <row r="12881" spans="1:1" x14ac:dyDescent="0.25">
      <c r="A12881" s="5"/>
    </row>
    <row r="12882" spans="1:1" x14ac:dyDescent="0.25">
      <c r="A12882" s="5"/>
    </row>
    <row r="12883" spans="1:1" x14ac:dyDescent="0.25">
      <c r="A12883" s="5"/>
    </row>
    <row r="12884" spans="1:1" x14ac:dyDescent="0.25">
      <c r="A12884" s="5"/>
    </row>
    <row r="12885" spans="1:1" x14ac:dyDescent="0.25">
      <c r="A12885" s="5"/>
    </row>
    <row r="12886" spans="1:1" x14ac:dyDescent="0.25">
      <c r="A12886" s="5"/>
    </row>
    <row r="12887" spans="1:1" x14ac:dyDescent="0.25">
      <c r="A12887" s="5"/>
    </row>
    <row r="12888" spans="1:1" x14ac:dyDescent="0.25">
      <c r="A12888" s="5"/>
    </row>
    <row r="12889" spans="1:1" x14ac:dyDescent="0.25">
      <c r="A12889" s="5"/>
    </row>
    <row r="12890" spans="1:1" x14ac:dyDescent="0.25">
      <c r="A12890" s="5"/>
    </row>
    <row r="12891" spans="1:1" x14ac:dyDescent="0.25">
      <c r="A12891" s="5"/>
    </row>
    <row r="12892" spans="1:1" x14ac:dyDescent="0.25">
      <c r="A12892" s="5"/>
    </row>
    <row r="12893" spans="1:1" x14ac:dyDescent="0.25">
      <c r="A12893" s="5"/>
    </row>
    <row r="12894" spans="1:1" x14ac:dyDescent="0.25">
      <c r="A12894" s="5"/>
    </row>
    <row r="12895" spans="1:1" x14ac:dyDescent="0.25">
      <c r="A12895" s="5"/>
    </row>
    <row r="12896" spans="1:1" x14ac:dyDescent="0.25">
      <c r="A12896" s="5"/>
    </row>
    <row r="12897" spans="1:1" x14ac:dyDescent="0.25">
      <c r="A12897" s="5"/>
    </row>
    <row r="12898" spans="1:1" x14ac:dyDescent="0.25">
      <c r="A12898" s="5"/>
    </row>
    <row r="12899" spans="1:1" x14ac:dyDescent="0.25">
      <c r="A12899" s="5"/>
    </row>
    <row r="12900" spans="1:1" x14ac:dyDescent="0.25">
      <c r="A12900" s="5"/>
    </row>
    <row r="12901" spans="1:1" x14ac:dyDescent="0.25">
      <c r="A12901" s="5"/>
    </row>
    <row r="12902" spans="1:1" x14ac:dyDescent="0.25">
      <c r="A12902" s="5"/>
    </row>
    <row r="12903" spans="1:1" x14ac:dyDescent="0.25">
      <c r="A12903" s="5"/>
    </row>
    <row r="12904" spans="1:1" x14ac:dyDescent="0.25">
      <c r="A12904" s="5"/>
    </row>
    <row r="12905" spans="1:1" x14ac:dyDescent="0.25">
      <c r="A12905" s="5"/>
    </row>
    <row r="12906" spans="1:1" x14ac:dyDescent="0.25">
      <c r="A12906" s="5"/>
    </row>
    <row r="12907" spans="1:1" x14ac:dyDescent="0.25">
      <c r="A12907" s="5"/>
    </row>
    <row r="12908" spans="1:1" x14ac:dyDescent="0.25">
      <c r="A12908" s="5"/>
    </row>
    <row r="12909" spans="1:1" x14ac:dyDescent="0.25">
      <c r="A12909" s="5"/>
    </row>
    <row r="12910" spans="1:1" x14ac:dyDescent="0.25">
      <c r="A12910" s="5"/>
    </row>
    <row r="12911" spans="1:1" x14ac:dyDescent="0.25">
      <c r="A12911" s="5"/>
    </row>
    <row r="12912" spans="1:1" x14ac:dyDescent="0.25">
      <c r="A12912" s="5"/>
    </row>
    <row r="12913" spans="1:1" x14ac:dyDescent="0.25">
      <c r="A12913" s="5"/>
    </row>
    <row r="12914" spans="1:1" x14ac:dyDescent="0.25">
      <c r="A12914" s="5"/>
    </row>
    <row r="12915" spans="1:1" x14ac:dyDescent="0.25">
      <c r="A12915" s="5"/>
    </row>
    <row r="12916" spans="1:1" x14ac:dyDescent="0.25">
      <c r="A12916" s="5"/>
    </row>
    <row r="12917" spans="1:1" x14ac:dyDescent="0.25">
      <c r="A12917" s="5"/>
    </row>
    <row r="12918" spans="1:1" x14ac:dyDescent="0.25">
      <c r="A12918" s="5"/>
    </row>
    <row r="12919" spans="1:1" x14ac:dyDescent="0.25">
      <c r="A12919" s="5"/>
    </row>
    <row r="12920" spans="1:1" x14ac:dyDescent="0.25">
      <c r="A12920" s="5"/>
    </row>
    <row r="12921" spans="1:1" x14ac:dyDescent="0.25">
      <c r="A12921" s="5"/>
    </row>
    <row r="12922" spans="1:1" x14ac:dyDescent="0.25">
      <c r="A12922" s="5"/>
    </row>
    <row r="12923" spans="1:1" x14ac:dyDescent="0.25">
      <c r="A12923" s="5"/>
    </row>
    <row r="12924" spans="1:1" x14ac:dyDescent="0.25">
      <c r="A12924" s="5"/>
    </row>
    <row r="12925" spans="1:1" x14ac:dyDescent="0.25">
      <c r="A12925" s="5"/>
    </row>
    <row r="12926" spans="1:1" x14ac:dyDescent="0.25">
      <c r="A12926" s="5"/>
    </row>
    <row r="12927" spans="1:1" x14ac:dyDescent="0.25">
      <c r="A12927" s="5"/>
    </row>
    <row r="12928" spans="1:1" x14ac:dyDescent="0.25">
      <c r="A12928" s="5"/>
    </row>
    <row r="12929" spans="1:1" x14ac:dyDescent="0.25">
      <c r="A12929" s="5"/>
    </row>
    <row r="12930" spans="1:1" x14ac:dyDescent="0.25">
      <c r="A12930" s="5"/>
    </row>
    <row r="12931" spans="1:1" x14ac:dyDescent="0.25">
      <c r="A12931" s="5"/>
    </row>
    <row r="12932" spans="1:1" x14ac:dyDescent="0.25">
      <c r="A12932" s="5"/>
    </row>
    <row r="12933" spans="1:1" x14ac:dyDescent="0.25">
      <c r="A12933" s="5"/>
    </row>
    <row r="12934" spans="1:1" x14ac:dyDescent="0.25">
      <c r="A12934" s="5"/>
    </row>
    <row r="12935" spans="1:1" x14ac:dyDescent="0.25">
      <c r="A12935" s="5"/>
    </row>
    <row r="12936" spans="1:1" x14ac:dyDescent="0.25">
      <c r="A12936" s="5"/>
    </row>
    <row r="12937" spans="1:1" x14ac:dyDescent="0.25">
      <c r="A12937" s="5"/>
    </row>
    <row r="12938" spans="1:1" x14ac:dyDescent="0.25">
      <c r="A12938" s="5"/>
    </row>
    <row r="12939" spans="1:1" x14ac:dyDescent="0.25">
      <c r="A12939" s="5"/>
    </row>
    <row r="12940" spans="1:1" x14ac:dyDescent="0.25">
      <c r="A12940" s="5"/>
    </row>
    <row r="12941" spans="1:1" x14ac:dyDescent="0.25">
      <c r="A12941" s="5"/>
    </row>
    <row r="12942" spans="1:1" x14ac:dyDescent="0.25">
      <c r="A12942" s="5"/>
    </row>
    <row r="12943" spans="1:1" x14ac:dyDescent="0.25">
      <c r="A12943" s="5"/>
    </row>
    <row r="12944" spans="1:1" x14ac:dyDescent="0.25">
      <c r="A12944" s="5"/>
    </row>
    <row r="12945" spans="1:1" x14ac:dyDescent="0.25">
      <c r="A12945" s="5"/>
    </row>
    <row r="12946" spans="1:1" x14ac:dyDescent="0.25">
      <c r="A12946" s="5"/>
    </row>
    <row r="12947" spans="1:1" x14ac:dyDescent="0.25">
      <c r="A12947" s="5"/>
    </row>
    <row r="12948" spans="1:1" x14ac:dyDescent="0.25">
      <c r="A12948" s="5"/>
    </row>
    <row r="12949" spans="1:1" x14ac:dyDescent="0.25">
      <c r="A12949" s="5"/>
    </row>
    <row r="12950" spans="1:1" x14ac:dyDescent="0.25">
      <c r="A12950" s="5"/>
    </row>
    <row r="12951" spans="1:1" x14ac:dyDescent="0.25">
      <c r="A12951" s="5"/>
    </row>
    <row r="12952" spans="1:1" x14ac:dyDescent="0.25">
      <c r="A12952" s="5"/>
    </row>
    <row r="12953" spans="1:1" x14ac:dyDescent="0.25">
      <c r="A12953" s="5"/>
    </row>
    <row r="12954" spans="1:1" x14ac:dyDescent="0.25">
      <c r="A12954" s="5"/>
    </row>
    <row r="12955" spans="1:1" x14ac:dyDescent="0.25">
      <c r="A12955" s="5"/>
    </row>
    <row r="12956" spans="1:1" x14ac:dyDescent="0.25">
      <c r="A12956" s="5"/>
    </row>
    <row r="12957" spans="1:1" x14ac:dyDescent="0.25">
      <c r="A12957" s="5"/>
    </row>
    <row r="12958" spans="1:1" x14ac:dyDescent="0.25">
      <c r="A12958" s="5"/>
    </row>
    <row r="12959" spans="1:1" x14ac:dyDescent="0.25">
      <c r="A12959" s="5"/>
    </row>
    <row r="12960" spans="1:1" x14ac:dyDescent="0.25">
      <c r="A12960" s="5"/>
    </row>
    <row r="12961" spans="1:1" x14ac:dyDescent="0.25">
      <c r="A12961" s="5"/>
    </row>
    <row r="12962" spans="1:1" x14ac:dyDescent="0.25">
      <c r="A12962" s="5"/>
    </row>
    <row r="12963" spans="1:1" x14ac:dyDescent="0.25">
      <c r="A12963" s="5"/>
    </row>
    <row r="12964" spans="1:1" x14ac:dyDescent="0.25">
      <c r="A12964" s="5"/>
    </row>
    <row r="12965" spans="1:1" x14ac:dyDescent="0.25">
      <c r="A12965" s="5"/>
    </row>
    <row r="12966" spans="1:1" x14ac:dyDescent="0.25">
      <c r="A12966" s="5"/>
    </row>
    <row r="12967" spans="1:1" x14ac:dyDescent="0.25">
      <c r="A12967" s="5"/>
    </row>
    <row r="12968" spans="1:1" x14ac:dyDescent="0.25">
      <c r="A12968" s="5"/>
    </row>
    <row r="12969" spans="1:1" x14ac:dyDescent="0.25">
      <c r="A12969" s="5"/>
    </row>
    <row r="12970" spans="1:1" x14ac:dyDescent="0.25">
      <c r="A12970" s="5"/>
    </row>
    <row r="12971" spans="1:1" x14ac:dyDescent="0.25">
      <c r="A12971" s="5"/>
    </row>
    <row r="12972" spans="1:1" x14ac:dyDescent="0.25">
      <c r="A12972" s="5"/>
    </row>
    <row r="12973" spans="1:1" x14ac:dyDescent="0.25">
      <c r="A12973" s="5"/>
    </row>
    <row r="12974" spans="1:1" x14ac:dyDescent="0.25">
      <c r="A12974" s="5"/>
    </row>
    <row r="12975" spans="1:1" x14ac:dyDescent="0.25">
      <c r="A12975" s="5"/>
    </row>
    <row r="12976" spans="1:1" x14ac:dyDescent="0.25">
      <c r="A12976" s="5"/>
    </row>
    <row r="12977" spans="1:1" x14ac:dyDescent="0.25">
      <c r="A12977" s="5"/>
    </row>
    <row r="12978" spans="1:1" x14ac:dyDescent="0.25">
      <c r="A12978" s="5"/>
    </row>
    <row r="12979" spans="1:1" x14ac:dyDescent="0.25">
      <c r="A12979" s="5"/>
    </row>
    <row r="12980" spans="1:1" x14ac:dyDescent="0.25">
      <c r="A12980" s="5"/>
    </row>
    <row r="12981" spans="1:1" x14ac:dyDescent="0.25">
      <c r="A12981" s="5"/>
    </row>
    <row r="12982" spans="1:1" x14ac:dyDescent="0.25">
      <c r="A12982" s="5"/>
    </row>
    <row r="12983" spans="1:1" x14ac:dyDescent="0.25">
      <c r="A12983" s="5"/>
    </row>
    <row r="12984" spans="1:1" x14ac:dyDescent="0.25">
      <c r="A12984" s="5"/>
    </row>
    <row r="12985" spans="1:1" x14ac:dyDescent="0.25">
      <c r="A12985" s="5"/>
    </row>
    <row r="12986" spans="1:1" x14ac:dyDescent="0.25">
      <c r="A12986" s="5"/>
    </row>
    <row r="12987" spans="1:1" x14ac:dyDescent="0.25">
      <c r="A12987" s="5"/>
    </row>
    <row r="12988" spans="1:1" x14ac:dyDescent="0.25">
      <c r="A12988" s="5"/>
    </row>
    <row r="12989" spans="1:1" x14ac:dyDescent="0.25">
      <c r="A12989" s="5"/>
    </row>
    <row r="12990" spans="1:1" x14ac:dyDescent="0.25">
      <c r="A12990" s="5"/>
    </row>
    <row r="12991" spans="1:1" x14ac:dyDescent="0.25">
      <c r="A12991" s="5"/>
    </row>
    <row r="12992" spans="1:1" x14ac:dyDescent="0.25">
      <c r="A12992" s="5"/>
    </row>
    <row r="12993" spans="1:1" x14ac:dyDescent="0.25">
      <c r="A12993" s="5"/>
    </row>
    <row r="12994" spans="1:1" x14ac:dyDescent="0.25">
      <c r="A12994" s="5"/>
    </row>
    <row r="12995" spans="1:1" x14ac:dyDescent="0.25">
      <c r="A12995" s="5"/>
    </row>
    <row r="12996" spans="1:1" x14ac:dyDescent="0.25">
      <c r="A12996" s="5"/>
    </row>
    <row r="12997" spans="1:1" x14ac:dyDescent="0.25">
      <c r="A12997" s="5"/>
    </row>
    <row r="12998" spans="1:1" x14ac:dyDescent="0.25">
      <c r="A12998" s="5"/>
    </row>
    <row r="12999" spans="1:1" x14ac:dyDescent="0.25">
      <c r="A12999" s="5"/>
    </row>
    <row r="13000" spans="1:1" x14ac:dyDescent="0.25">
      <c r="A13000" s="5"/>
    </row>
    <row r="13001" spans="1:1" x14ac:dyDescent="0.25">
      <c r="A13001" s="5"/>
    </row>
    <row r="13002" spans="1:1" x14ac:dyDescent="0.25">
      <c r="A13002" s="5"/>
    </row>
    <row r="13003" spans="1:1" x14ac:dyDescent="0.25">
      <c r="A13003" s="5"/>
    </row>
    <row r="13004" spans="1:1" x14ac:dyDescent="0.25">
      <c r="A13004" s="5"/>
    </row>
    <row r="13005" spans="1:1" x14ac:dyDescent="0.25">
      <c r="A13005" s="5"/>
    </row>
    <row r="13006" spans="1:1" x14ac:dyDescent="0.25">
      <c r="A13006" s="5"/>
    </row>
    <row r="13007" spans="1:1" x14ac:dyDescent="0.25">
      <c r="A13007" s="5"/>
    </row>
    <row r="13008" spans="1:1" x14ac:dyDescent="0.25">
      <c r="A13008" s="5"/>
    </row>
    <row r="13009" spans="1:1" x14ac:dyDescent="0.25">
      <c r="A13009" s="5"/>
    </row>
    <row r="13010" spans="1:1" x14ac:dyDescent="0.25">
      <c r="A13010" s="5"/>
    </row>
    <row r="13011" spans="1:1" x14ac:dyDescent="0.25">
      <c r="A13011" s="5"/>
    </row>
    <row r="13012" spans="1:1" x14ac:dyDescent="0.25">
      <c r="A13012" s="5"/>
    </row>
    <row r="13013" spans="1:1" x14ac:dyDescent="0.25">
      <c r="A13013" s="5"/>
    </row>
    <row r="13014" spans="1:1" x14ac:dyDescent="0.25">
      <c r="A13014" s="5"/>
    </row>
    <row r="13015" spans="1:1" x14ac:dyDescent="0.25">
      <c r="A13015" s="5"/>
    </row>
    <row r="13016" spans="1:1" x14ac:dyDescent="0.25">
      <c r="A13016" s="5"/>
    </row>
    <row r="13017" spans="1:1" x14ac:dyDescent="0.25">
      <c r="A13017" s="5"/>
    </row>
    <row r="13018" spans="1:1" x14ac:dyDescent="0.25">
      <c r="A13018" s="5"/>
    </row>
    <row r="13019" spans="1:1" x14ac:dyDescent="0.25">
      <c r="A13019" s="5"/>
    </row>
    <row r="13020" spans="1:1" x14ac:dyDescent="0.25">
      <c r="A13020" s="5"/>
    </row>
    <row r="13021" spans="1:1" x14ac:dyDescent="0.25">
      <c r="A13021" s="5"/>
    </row>
    <row r="13022" spans="1:1" x14ac:dyDescent="0.25">
      <c r="A13022" s="5"/>
    </row>
    <row r="13023" spans="1:1" x14ac:dyDescent="0.25">
      <c r="A13023" s="5"/>
    </row>
    <row r="13024" spans="1:1" x14ac:dyDescent="0.25">
      <c r="A13024" s="5"/>
    </row>
    <row r="13025" spans="1:1" x14ac:dyDescent="0.25">
      <c r="A13025" s="5"/>
    </row>
    <row r="13026" spans="1:1" x14ac:dyDescent="0.25">
      <c r="A13026" s="5"/>
    </row>
    <row r="13027" spans="1:1" x14ac:dyDescent="0.25">
      <c r="A13027" s="5"/>
    </row>
    <row r="13028" spans="1:1" x14ac:dyDescent="0.25">
      <c r="A13028" s="5"/>
    </row>
    <row r="13029" spans="1:1" x14ac:dyDescent="0.25">
      <c r="A13029" s="5"/>
    </row>
    <row r="13030" spans="1:1" x14ac:dyDescent="0.25">
      <c r="A13030" s="5"/>
    </row>
    <row r="13031" spans="1:1" x14ac:dyDescent="0.25">
      <c r="A13031" s="5"/>
    </row>
    <row r="13032" spans="1:1" x14ac:dyDescent="0.25">
      <c r="A13032" s="5"/>
    </row>
    <row r="13033" spans="1:1" x14ac:dyDescent="0.25">
      <c r="A13033" s="5"/>
    </row>
    <row r="13034" spans="1:1" x14ac:dyDescent="0.25">
      <c r="A13034" s="5"/>
    </row>
    <row r="13035" spans="1:1" x14ac:dyDescent="0.25">
      <c r="A13035" s="5"/>
    </row>
    <row r="13036" spans="1:1" x14ac:dyDescent="0.25">
      <c r="A13036" s="5"/>
    </row>
    <row r="13037" spans="1:1" x14ac:dyDescent="0.25">
      <c r="A13037" s="5"/>
    </row>
    <row r="13038" spans="1:1" x14ac:dyDescent="0.25">
      <c r="A13038" s="5"/>
    </row>
    <row r="13039" spans="1:1" x14ac:dyDescent="0.25">
      <c r="A13039" s="5"/>
    </row>
    <row r="13040" spans="1:1" x14ac:dyDescent="0.25">
      <c r="A13040" s="5"/>
    </row>
    <row r="13041" spans="1:1" x14ac:dyDescent="0.25">
      <c r="A13041" s="5"/>
    </row>
    <row r="13042" spans="1:1" x14ac:dyDescent="0.25">
      <c r="A13042" s="5"/>
    </row>
    <row r="13043" spans="1:1" x14ac:dyDescent="0.25">
      <c r="A13043" s="5"/>
    </row>
    <row r="13044" spans="1:1" x14ac:dyDescent="0.25">
      <c r="A13044" s="5"/>
    </row>
    <row r="13045" spans="1:1" x14ac:dyDescent="0.25">
      <c r="A13045" s="5"/>
    </row>
    <row r="13046" spans="1:1" x14ac:dyDescent="0.25">
      <c r="A13046" s="5"/>
    </row>
    <row r="13047" spans="1:1" x14ac:dyDescent="0.25">
      <c r="A13047" s="5"/>
    </row>
    <row r="13048" spans="1:1" x14ac:dyDescent="0.25">
      <c r="A13048" s="5"/>
    </row>
    <row r="13049" spans="1:1" x14ac:dyDescent="0.25">
      <c r="A13049" s="5"/>
    </row>
    <row r="13050" spans="1:1" x14ac:dyDescent="0.25">
      <c r="A13050" s="5"/>
    </row>
    <row r="13051" spans="1:1" x14ac:dyDescent="0.25">
      <c r="A13051" s="5"/>
    </row>
    <row r="13052" spans="1:1" x14ac:dyDescent="0.25">
      <c r="A13052" s="5"/>
    </row>
    <row r="13053" spans="1:1" x14ac:dyDescent="0.25">
      <c r="A13053" s="5"/>
    </row>
    <row r="13054" spans="1:1" x14ac:dyDescent="0.25">
      <c r="A13054" s="5"/>
    </row>
    <row r="13055" spans="1:1" x14ac:dyDescent="0.25">
      <c r="A13055" s="5"/>
    </row>
    <row r="13056" spans="1:1" x14ac:dyDescent="0.25">
      <c r="A13056" s="5"/>
    </row>
    <row r="13057" spans="1:1" x14ac:dyDescent="0.25">
      <c r="A13057" s="5"/>
    </row>
    <row r="13058" spans="1:1" x14ac:dyDescent="0.25">
      <c r="A13058" s="5"/>
    </row>
    <row r="13059" spans="1:1" x14ac:dyDescent="0.25">
      <c r="A13059" s="5"/>
    </row>
    <row r="13060" spans="1:1" x14ac:dyDescent="0.25">
      <c r="A13060" s="5"/>
    </row>
    <row r="13061" spans="1:1" x14ac:dyDescent="0.25">
      <c r="A13061" s="5"/>
    </row>
    <row r="13062" spans="1:1" x14ac:dyDescent="0.25">
      <c r="A13062" s="5"/>
    </row>
    <row r="13063" spans="1:1" x14ac:dyDescent="0.25">
      <c r="A13063" s="5"/>
    </row>
    <row r="13064" spans="1:1" x14ac:dyDescent="0.25">
      <c r="A13064" s="5"/>
    </row>
    <row r="13065" spans="1:1" x14ac:dyDescent="0.25">
      <c r="A13065" s="5"/>
    </row>
    <row r="13066" spans="1:1" x14ac:dyDescent="0.25">
      <c r="A13066" s="5"/>
    </row>
    <row r="13067" spans="1:1" x14ac:dyDescent="0.25">
      <c r="A13067" s="5"/>
    </row>
    <row r="13068" spans="1:1" x14ac:dyDescent="0.25">
      <c r="A13068" s="5"/>
    </row>
    <row r="13069" spans="1:1" x14ac:dyDescent="0.25">
      <c r="A13069" s="5"/>
    </row>
    <row r="13070" spans="1:1" x14ac:dyDescent="0.25">
      <c r="A13070" s="5"/>
    </row>
    <row r="13071" spans="1:1" x14ac:dyDescent="0.25">
      <c r="A13071" s="5"/>
    </row>
    <row r="13072" spans="1:1" x14ac:dyDescent="0.25">
      <c r="A13072" s="5"/>
    </row>
    <row r="13073" spans="1:1" x14ac:dyDescent="0.25">
      <c r="A13073" s="5"/>
    </row>
    <row r="13074" spans="1:1" x14ac:dyDescent="0.25">
      <c r="A13074" s="5"/>
    </row>
    <row r="13075" spans="1:1" x14ac:dyDescent="0.25">
      <c r="A13075" s="5"/>
    </row>
    <row r="13076" spans="1:1" x14ac:dyDescent="0.25">
      <c r="A13076" s="5"/>
    </row>
    <row r="13077" spans="1:1" x14ac:dyDescent="0.25">
      <c r="A13077" s="5"/>
    </row>
    <row r="13078" spans="1:1" x14ac:dyDescent="0.25">
      <c r="A13078" s="5"/>
    </row>
    <row r="13079" spans="1:1" x14ac:dyDescent="0.25">
      <c r="A13079" s="5"/>
    </row>
    <row r="13080" spans="1:1" x14ac:dyDescent="0.25">
      <c r="A13080" s="5"/>
    </row>
    <row r="13081" spans="1:1" x14ac:dyDescent="0.25">
      <c r="A13081" s="5"/>
    </row>
    <row r="13082" spans="1:1" x14ac:dyDescent="0.25">
      <c r="A13082" s="5"/>
    </row>
    <row r="13083" spans="1:1" x14ac:dyDescent="0.25">
      <c r="A13083" s="5"/>
    </row>
    <row r="13084" spans="1:1" x14ac:dyDescent="0.25">
      <c r="A13084" s="5"/>
    </row>
    <row r="13085" spans="1:1" x14ac:dyDescent="0.25">
      <c r="A13085" s="5"/>
    </row>
    <row r="13086" spans="1:1" x14ac:dyDescent="0.25">
      <c r="A13086" s="5"/>
    </row>
    <row r="13087" spans="1:1" x14ac:dyDescent="0.25">
      <c r="A13087" s="5"/>
    </row>
    <row r="13088" spans="1:1" x14ac:dyDescent="0.25">
      <c r="A13088" s="5"/>
    </row>
    <row r="13089" spans="1:1" x14ac:dyDescent="0.25">
      <c r="A13089" s="5"/>
    </row>
    <row r="13090" spans="1:1" x14ac:dyDescent="0.25">
      <c r="A13090" s="5"/>
    </row>
    <row r="13091" spans="1:1" x14ac:dyDescent="0.25">
      <c r="A13091" s="5"/>
    </row>
    <row r="13092" spans="1:1" x14ac:dyDescent="0.25">
      <c r="A13092" s="5"/>
    </row>
    <row r="13093" spans="1:1" x14ac:dyDescent="0.25">
      <c r="A13093" s="5"/>
    </row>
    <row r="13094" spans="1:1" x14ac:dyDescent="0.25">
      <c r="A13094" s="5"/>
    </row>
    <row r="13095" spans="1:1" x14ac:dyDescent="0.25">
      <c r="A13095" s="5"/>
    </row>
    <row r="13096" spans="1:1" x14ac:dyDescent="0.25">
      <c r="A13096" s="5"/>
    </row>
    <row r="13097" spans="1:1" x14ac:dyDescent="0.25">
      <c r="A13097" s="5"/>
    </row>
    <row r="13098" spans="1:1" x14ac:dyDescent="0.25">
      <c r="A13098" s="5"/>
    </row>
    <row r="13099" spans="1:1" x14ac:dyDescent="0.25">
      <c r="A13099" s="5"/>
    </row>
    <row r="13100" spans="1:1" x14ac:dyDescent="0.25">
      <c r="A13100" s="5"/>
    </row>
    <row r="13101" spans="1:1" x14ac:dyDescent="0.25">
      <c r="A13101" s="5"/>
    </row>
    <row r="13102" spans="1:1" x14ac:dyDescent="0.25">
      <c r="A13102" s="5"/>
    </row>
    <row r="13103" spans="1:1" x14ac:dyDescent="0.25">
      <c r="A13103" s="5"/>
    </row>
    <row r="13104" spans="1:1" x14ac:dyDescent="0.25">
      <c r="A13104" s="5"/>
    </row>
    <row r="13105" spans="1:1" x14ac:dyDescent="0.25">
      <c r="A13105" s="5"/>
    </row>
    <row r="13106" spans="1:1" x14ac:dyDescent="0.25">
      <c r="A13106" s="5"/>
    </row>
    <row r="13107" spans="1:1" x14ac:dyDescent="0.25">
      <c r="A13107" s="5"/>
    </row>
    <row r="13108" spans="1:1" x14ac:dyDescent="0.25">
      <c r="A13108" s="5"/>
    </row>
    <row r="13109" spans="1:1" x14ac:dyDescent="0.25">
      <c r="A13109" s="5"/>
    </row>
    <row r="13110" spans="1:1" x14ac:dyDescent="0.25">
      <c r="A13110" s="5"/>
    </row>
    <row r="13111" spans="1:1" x14ac:dyDescent="0.25">
      <c r="A13111" s="5"/>
    </row>
    <row r="13112" spans="1:1" x14ac:dyDescent="0.25">
      <c r="A13112" s="5"/>
    </row>
    <row r="13113" spans="1:1" x14ac:dyDescent="0.25">
      <c r="A13113" s="5"/>
    </row>
    <row r="13114" spans="1:1" x14ac:dyDescent="0.25">
      <c r="A13114" s="5"/>
    </row>
    <row r="13115" spans="1:1" x14ac:dyDescent="0.25">
      <c r="A13115" s="5"/>
    </row>
    <row r="13116" spans="1:1" x14ac:dyDescent="0.25">
      <c r="A13116" s="5"/>
    </row>
    <row r="13117" spans="1:1" x14ac:dyDescent="0.25">
      <c r="A13117" s="5"/>
    </row>
    <row r="13118" spans="1:1" x14ac:dyDescent="0.25">
      <c r="A13118" s="5"/>
    </row>
    <row r="13119" spans="1:1" x14ac:dyDescent="0.25">
      <c r="A13119" s="5"/>
    </row>
    <row r="13120" spans="1:1" x14ac:dyDescent="0.25">
      <c r="A13120" s="5"/>
    </row>
    <row r="13121" spans="1:1" x14ac:dyDescent="0.25">
      <c r="A13121" s="5"/>
    </row>
    <row r="13122" spans="1:1" x14ac:dyDescent="0.25">
      <c r="A13122" s="5"/>
    </row>
    <row r="13123" spans="1:1" x14ac:dyDescent="0.25">
      <c r="A13123" s="5"/>
    </row>
    <row r="13124" spans="1:1" x14ac:dyDescent="0.25">
      <c r="A13124" s="5"/>
    </row>
    <row r="13125" spans="1:1" x14ac:dyDescent="0.25">
      <c r="A13125" s="5"/>
    </row>
    <row r="13126" spans="1:1" x14ac:dyDescent="0.25">
      <c r="A13126" s="5"/>
    </row>
    <row r="13127" spans="1:1" x14ac:dyDescent="0.25">
      <c r="A13127" s="5"/>
    </row>
    <row r="13128" spans="1:1" x14ac:dyDescent="0.25">
      <c r="A13128" s="5"/>
    </row>
    <row r="13129" spans="1:1" x14ac:dyDescent="0.25">
      <c r="A13129" s="5"/>
    </row>
    <row r="13130" spans="1:1" x14ac:dyDescent="0.25">
      <c r="A13130" s="5"/>
    </row>
    <row r="13131" spans="1:1" x14ac:dyDescent="0.25">
      <c r="A13131" s="5"/>
    </row>
    <row r="13132" spans="1:1" x14ac:dyDescent="0.25">
      <c r="A13132" s="5"/>
    </row>
    <row r="13133" spans="1:1" x14ac:dyDescent="0.25">
      <c r="A13133" s="5"/>
    </row>
    <row r="13134" spans="1:1" x14ac:dyDescent="0.25">
      <c r="A13134" s="5"/>
    </row>
    <row r="13135" spans="1:1" x14ac:dyDescent="0.25">
      <c r="A13135" s="5"/>
    </row>
    <row r="13136" spans="1:1" x14ac:dyDescent="0.25">
      <c r="A13136" s="5"/>
    </row>
    <row r="13137" spans="1:1" x14ac:dyDescent="0.25">
      <c r="A13137" s="5"/>
    </row>
    <row r="13138" spans="1:1" x14ac:dyDescent="0.25">
      <c r="A13138" s="5"/>
    </row>
    <row r="13139" spans="1:1" x14ac:dyDescent="0.25">
      <c r="A13139" s="5"/>
    </row>
    <row r="13140" spans="1:1" x14ac:dyDescent="0.25">
      <c r="A13140" s="5"/>
    </row>
    <row r="13141" spans="1:1" x14ac:dyDescent="0.25">
      <c r="A13141" s="5"/>
    </row>
    <row r="13142" spans="1:1" x14ac:dyDescent="0.25">
      <c r="A13142" s="5"/>
    </row>
    <row r="13143" spans="1:1" x14ac:dyDescent="0.25">
      <c r="A13143" s="5"/>
    </row>
    <row r="13144" spans="1:1" x14ac:dyDescent="0.25">
      <c r="A13144" s="5"/>
    </row>
    <row r="13145" spans="1:1" x14ac:dyDescent="0.25">
      <c r="A13145" s="5"/>
    </row>
    <row r="13146" spans="1:1" x14ac:dyDescent="0.25">
      <c r="A13146" s="5"/>
    </row>
    <row r="13147" spans="1:1" x14ac:dyDescent="0.25">
      <c r="A13147" s="5"/>
    </row>
    <row r="13148" spans="1:1" x14ac:dyDescent="0.25">
      <c r="A13148" s="5"/>
    </row>
    <row r="13149" spans="1:1" x14ac:dyDescent="0.25">
      <c r="A13149" s="5"/>
    </row>
    <row r="13150" spans="1:1" x14ac:dyDescent="0.25">
      <c r="A13150" s="5"/>
    </row>
    <row r="13151" spans="1:1" x14ac:dyDescent="0.25">
      <c r="A13151" s="5"/>
    </row>
    <row r="13152" spans="1:1" x14ac:dyDescent="0.25">
      <c r="A13152" s="5"/>
    </row>
    <row r="13153" spans="1:1" x14ac:dyDescent="0.25">
      <c r="A13153" s="5"/>
    </row>
    <row r="13154" spans="1:1" x14ac:dyDescent="0.25">
      <c r="A13154" s="5"/>
    </row>
    <row r="13155" spans="1:1" x14ac:dyDescent="0.25">
      <c r="A13155" s="5"/>
    </row>
    <row r="13156" spans="1:1" x14ac:dyDescent="0.25">
      <c r="A13156" s="5"/>
    </row>
    <row r="13157" spans="1:1" x14ac:dyDescent="0.25">
      <c r="A13157" s="5"/>
    </row>
    <row r="13158" spans="1:1" x14ac:dyDescent="0.25">
      <c r="A13158" s="5"/>
    </row>
    <row r="13159" spans="1:1" x14ac:dyDescent="0.25">
      <c r="A13159" s="5"/>
    </row>
    <row r="13160" spans="1:1" x14ac:dyDescent="0.25">
      <c r="A13160" s="5"/>
    </row>
    <row r="13161" spans="1:1" x14ac:dyDescent="0.25">
      <c r="A13161" s="5"/>
    </row>
    <row r="13162" spans="1:1" x14ac:dyDescent="0.25">
      <c r="A13162" s="5"/>
    </row>
    <row r="13163" spans="1:1" x14ac:dyDescent="0.25">
      <c r="A13163" s="5"/>
    </row>
    <row r="13164" spans="1:1" x14ac:dyDescent="0.25">
      <c r="A13164" s="5"/>
    </row>
    <row r="13165" spans="1:1" x14ac:dyDescent="0.25">
      <c r="A13165" s="5"/>
    </row>
    <row r="13166" spans="1:1" x14ac:dyDescent="0.25">
      <c r="A13166" s="5"/>
    </row>
    <row r="13167" spans="1:1" x14ac:dyDescent="0.25">
      <c r="A13167" s="5"/>
    </row>
    <row r="13168" spans="1:1" x14ac:dyDescent="0.25">
      <c r="A13168" s="5"/>
    </row>
    <row r="13169" spans="1:1" x14ac:dyDescent="0.25">
      <c r="A13169" s="5"/>
    </row>
    <row r="13170" spans="1:1" x14ac:dyDescent="0.25">
      <c r="A13170" s="5"/>
    </row>
    <row r="13171" spans="1:1" x14ac:dyDescent="0.25">
      <c r="A13171" s="5"/>
    </row>
    <row r="13172" spans="1:1" x14ac:dyDescent="0.25">
      <c r="A13172" s="5"/>
    </row>
    <row r="13173" spans="1:1" x14ac:dyDescent="0.25">
      <c r="A13173" s="5"/>
    </row>
    <row r="13174" spans="1:1" x14ac:dyDescent="0.25">
      <c r="A13174" s="5"/>
    </row>
    <row r="13175" spans="1:1" x14ac:dyDescent="0.25">
      <c r="A13175" s="5"/>
    </row>
    <row r="13176" spans="1:1" x14ac:dyDescent="0.25">
      <c r="A13176" s="5"/>
    </row>
    <row r="13177" spans="1:1" x14ac:dyDescent="0.25">
      <c r="A13177" s="5"/>
    </row>
    <row r="13178" spans="1:1" x14ac:dyDescent="0.25">
      <c r="A13178" s="5"/>
    </row>
    <row r="13179" spans="1:1" x14ac:dyDescent="0.25">
      <c r="A13179" s="5"/>
    </row>
    <row r="13180" spans="1:1" x14ac:dyDescent="0.25">
      <c r="A13180" s="5"/>
    </row>
    <row r="13181" spans="1:1" x14ac:dyDescent="0.25">
      <c r="A13181" s="5"/>
    </row>
    <row r="13182" spans="1:1" x14ac:dyDescent="0.25">
      <c r="A13182" s="5"/>
    </row>
    <row r="13183" spans="1:1" x14ac:dyDescent="0.25">
      <c r="A13183" s="5"/>
    </row>
    <row r="13184" spans="1:1" x14ac:dyDescent="0.25">
      <c r="A13184" s="5"/>
    </row>
    <row r="13185" spans="1:1" x14ac:dyDescent="0.25">
      <c r="A13185" s="5"/>
    </row>
    <row r="13186" spans="1:1" x14ac:dyDescent="0.25">
      <c r="A13186" s="5"/>
    </row>
    <row r="13187" spans="1:1" x14ac:dyDescent="0.25">
      <c r="A13187" s="5"/>
    </row>
    <row r="13188" spans="1:1" x14ac:dyDescent="0.25">
      <c r="A13188" s="5"/>
    </row>
    <row r="13189" spans="1:1" x14ac:dyDescent="0.25">
      <c r="A13189" s="5"/>
    </row>
    <row r="13190" spans="1:1" x14ac:dyDescent="0.25">
      <c r="A13190" s="5"/>
    </row>
    <row r="13191" spans="1:1" x14ac:dyDescent="0.25">
      <c r="A13191" s="5"/>
    </row>
    <row r="13192" spans="1:1" x14ac:dyDescent="0.25">
      <c r="A13192" s="5"/>
    </row>
    <row r="13193" spans="1:1" x14ac:dyDescent="0.25">
      <c r="A13193" s="5"/>
    </row>
    <row r="13194" spans="1:1" x14ac:dyDescent="0.25">
      <c r="A13194" s="5"/>
    </row>
    <row r="13195" spans="1:1" x14ac:dyDescent="0.25">
      <c r="A13195" s="5"/>
    </row>
    <row r="13196" spans="1:1" x14ac:dyDescent="0.25">
      <c r="A13196" s="5"/>
    </row>
    <row r="13197" spans="1:1" x14ac:dyDescent="0.25">
      <c r="A13197" s="5"/>
    </row>
    <row r="13198" spans="1:1" x14ac:dyDescent="0.25">
      <c r="A13198" s="5"/>
    </row>
    <row r="13199" spans="1:1" x14ac:dyDescent="0.25">
      <c r="A13199" s="5"/>
    </row>
    <row r="13200" spans="1:1" x14ac:dyDescent="0.25">
      <c r="A13200" s="5"/>
    </row>
    <row r="13201" spans="1:1" x14ac:dyDescent="0.25">
      <c r="A13201" s="5"/>
    </row>
    <row r="13202" spans="1:1" x14ac:dyDescent="0.25">
      <c r="A13202" s="5"/>
    </row>
    <row r="13203" spans="1:1" x14ac:dyDescent="0.25">
      <c r="A13203" s="5"/>
    </row>
    <row r="13204" spans="1:1" x14ac:dyDescent="0.25">
      <c r="A13204" s="5"/>
    </row>
    <row r="13205" spans="1:1" x14ac:dyDescent="0.25">
      <c r="A13205" s="5"/>
    </row>
    <row r="13206" spans="1:1" x14ac:dyDescent="0.25">
      <c r="A13206" s="5"/>
    </row>
    <row r="13207" spans="1:1" x14ac:dyDescent="0.25">
      <c r="A13207" s="5"/>
    </row>
    <row r="13208" spans="1:1" x14ac:dyDescent="0.25">
      <c r="A13208" s="5"/>
    </row>
    <row r="13209" spans="1:1" x14ac:dyDescent="0.25">
      <c r="A13209" s="5"/>
    </row>
    <row r="13210" spans="1:1" x14ac:dyDescent="0.25">
      <c r="A13210" s="5"/>
    </row>
    <row r="13211" spans="1:1" x14ac:dyDescent="0.25">
      <c r="A13211" s="5"/>
    </row>
    <row r="13212" spans="1:1" x14ac:dyDescent="0.25">
      <c r="A13212" s="5"/>
    </row>
    <row r="13213" spans="1:1" x14ac:dyDescent="0.25">
      <c r="A13213" s="5"/>
    </row>
    <row r="13214" spans="1:1" x14ac:dyDescent="0.25">
      <c r="A13214" s="5"/>
    </row>
    <row r="13215" spans="1:1" x14ac:dyDescent="0.25">
      <c r="A13215" s="5"/>
    </row>
    <row r="13216" spans="1:1" x14ac:dyDescent="0.25">
      <c r="A13216" s="5"/>
    </row>
    <row r="13217" spans="1:1" x14ac:dyDescent="0.25">
      <c r="A13217" s="5"/>
    </row>
    <row r="13218" spans="1:1" x14ac:dyDescent="0.25">
      <c r="A13218" s="5"/>
    </row>
    <row r="13219" spans="1:1" x14ac:dyDescent="0.25">
      <c r="A13219" s="5"/>
    </row>
    <row r="13220" spans="1:1" x14ac:dyDescent="0.25">
      <c r="A13220" s="5"/>
    </row>
    <row r="13221" spans="1:1" x14ac:dyDescent="0.25">
      <c r="A13221" s="5"/>
    </row>
    <row r="13222" spans="1:1" x14ac:dyDescent="0.25">
      <c r="A13222" s="5"/>
    </row>
    <row r="13223" spans="1:1" x14ac:dyDescent="0.25">
      <c r="A13223" s="5"/>
    </row>
    <row r="13224" spans="1:1" x14ac:dyDescent="0.25">
      <c r="A13224" s="5"/>
    </row>
    <row r="13225" spans="1:1" x14ac:dyDescent="0.25">
      <c r="A13225" s="5"/>
    </row>
    <row r="13226" spans="1:1" x14ac:dyDescent="0.25">
      <c r="A13226" s="5"/>
    </row>
    <row r="13227" spans="1:1" x14ac:dyDescent="0.25">
      <c r="A13227" s="5"/>
    </row>
    <row r="13228" spans="1:1" x14ac:dyDescent="0.25">
      <c r="A13228" s="5"/>
    </row>
    <row r="13229" spans="1:1" x14ac:dyDescent="0.25">
      <c r="A13229" s="5"/>
    </row>
    <row r="13230" spans="1:1" x14ac:dyDescent="0.25">
      <c r="A13230" s="5"/>
    </row>
    <row r="13231" spans="1:1" x14ac:dyDescent="0.25">
      <c r="A13231" s="5"/>
    </row>
    <row r="13232" spans="1:1" x14ac:dyDescent="0.25">
      <c r="A13232" s="5"/>
    </row>
    <row r="13233" spans="1:1" x14ac:dyDescent="0.25">
      <c r="A13233" s="5"/>
    </row>
    <row r="13234" spans="1:1" x14ac:dyDescent="0.25">
      <c r="A13234" s="5"/>
    </row>
    <row r="13235" spans="1:1" x14ac:dyDescent="0.25">
      <c r="A13235" s="5"/>
    </row>
    <row r="13236" spans="1:1" x14ac:dyDescent="0.25">
      <c r="A13236" s="5"/>
    </row>
    <row r="13237" spans="1:1" x14ac:dyDescent="0.25">
      <c r="A13237" s="5"/>
    </row>
    <row r="13238" spans="1:1" x14ac:dyDescent="0.25">
      <c r="A13238" s="5"/>
    </row>
    <row r="13239" spans="1:1" x14ac:dyDescent="0.25">
      <c r="A13239" s="5"/>
    </row>
    <row r="13240" spans="1:1" x14ac:dyDescent="0.25">
      <c r="A13240" s="5"/>
    </row>
    <row r="13241" spans="1:1" x14ac:dyDescent="0.25">
      <c r="A13241" s="5"/>
    </row>
    <row r="13242" spans="1:1" x14ac:dyDescent="0.25">
      <c r="A13242" s="5"/>
    </row>
    <row r="13243" spans="1:1" x14ac:dyDescent="0.25">
      <c r="A13243" s="5"/>
    </row>
    <row r="13244" spans="1:1" x14ac:dyDescent="0.25">
      <c r="A13244" s="5"/>
    </row>
    <row r="13245" spans="1:1" x14ac:dyDescent="0.25">
      <c r="A13245" s="5"/>
    </row>
    <row r="13246" spans="1:1" x14ac:dyDescent="0.25">
      <c r="A13246" s="5"/>
    </row>
    <row r="13247" spans="1:1" x14ac:dyDescent="0.25">
      <c r="A13247" s="5"/>
    </row>
    <row r="13248" spans="1:1" x14ac:dyDescent="0.25">
      <c r="A13248" s="5"/>
    </row>
    <row r="13249" spans="1:1" x14ac:dyDescent="0.25">
      <c r="A13249" s="5"/>
    </row>
    <row r="13250" spans="1:1" x14ac:dyDescent="0.25">
      <c r="A13250" s="5"/>
    </row>
    <row r="13251" spans="1:1" x14ac:dyDescent="0.25">
      <c r="A13251" s="5"/>
    </row>
    <row r="13252" spans="1:1" x14ac:dyDescent="0.25">
      <c r="A13252" s="5"/>
    </row>
    <row r="13253" spans="1:1" x14ac:dyDescent="0.25">
      <c r="A13253" s="5"/>
    </row>
    <row r="13254" spans="1:1" x14ac:dyDescent="0.25">
      <c r="A13254" s="5"/>
    </row>
    <row r="13255" spans="1:1" x14ac:dyDescent="0.25">
      <c r="A13255" s="5"/>
    </row>
    <row r="13256" spans="1:1" x14ac:dyDescent="0.25">
      <c r="A13256" s="5"/>
    </row>
    <row r="13257" spans="1:1" x14ac:dyDescent="0.25">
      <c r="A13257" s="5"/>
    </row>
    <row r="13258" spans="1:1" x14ac:dyDescent="0.25">
      <c r="A13258" s="5"/>
    </row>
    <row r="13259" spans="1:1" x14ac:dyDescent="0.25">
      <c r="A13259" s="5"/>
    </row>
    <row r="13260" spans="1:1" x14ac:dyDescent="0.25">
      <c r="A13260" s="5"/>
    </row>
    <row r="13261" spans="1:1" x14ac:dyDescent="0.25">
      <c r="A13261" s="5"/>
    </row>
    <row r="13262" spans="1:1" x14ac:dyDescent="0.25">
      <c r="A13262" s="5"/>
    </row>
    <row r="13263" spans="1:1" x14ac:dyDescent="0.25">
      <c r="A13263" s="5"/>
    </row>
    <row r="13264" spans="1:1" x14ac:dyDescent="0.25">
      <c r="A13264" s="5"/>
    </row>
    <row r="13265" spans="1:1" x14ac:dyDescent="0.25">
      <c r="A13265" s="5"/>
    </row>
    <row r="13266" spans="1:1" x14ac:dyDescent="0.25">
      <c r="A13266" s="5"/>
    </row>
    <row r="13267" spans="1:1" x14ac:dyDescent="0.25">
      <c r="A13267" s="5"/>
    </row>
    <row r="13268" spans="1:1" x14ac:dyDescent="0.25">
      <c r="A13268" s="5"/>
    </row>
    <row r="13269" spans="1:1" x14ac:dyDescent="0.25">
      <c r="A13269" s="5"/>
    </row>
    <row r="13270" spans="1:1" x14ac:dyDescent="0.25">
      <c r="A13270" s="5"/>
    </row>
    <row r="13271" spans="1:1" x14ac:dyDescent="0.25">
      <c r="A13271" s="5"/>
    </row>
    <row r="13272" spans="1:1" x14ac:dyDescent="0.25">
      <c r="A13272" s="5"/>
    </row>
    <row r="13273" spans="1:1" x14ac:dyDescent="0.25">
      <c r="A13273" s="5"/>
    </row>
    <row r="13274" spans="1:1" x14ac:dyDescent="0.25">
      <c r="A13274" s="5"/>
    </row>
    <row r="13275" spans="1:1" x14ac:dyDescent="0.25">
      <c r="A13275" s="5"/>
    </row>
    <row r="13276" spans="1:1" x14ac:dyDescent="0.25">
      <c r="A13276" s="5"/>
    </row>
    <row r="13277" spans="1:1" x14ac:dyDescent="0.25">
      <c r="A13277" s="5"/>
    </row>
    <row r="13278" spans="1:1" x14ac:dyDescent="0.25">
      <c r="A13278" s="5"/>
    </row>
    <row r="13279" spans="1:1" x14ac:dyDescent="0.25">
      <c r="A13279" s="5"/>
    </row>
    <row r="13280" spans="1:1" x14ac:dyDescent="0.25">
      <c r="A13280" s="5"/>
    </row>
    <row r="13281" spans="1:1" x14ac:dyDescent="0.25">
      <c r="A13281" s="5"/>
    </row>
    <row r="13282" spans="1:1" x14ac:dyDescent="0.25">
      <c r="A13282" s="5"/>
    </row>
    <row r="13283" spans="1:1" x14ac:dyDescent="0.25">
      <c r="A13283" s="5"/>
    </row>
    <row r="13284" spans="1:1" x14ac:dyDescent="0.25">
      <c r="A13284" s="5"/>
    </row>
    <row r="13285" spans="1:1" x14ac:dyDescent="0.25">
      <c r="A13285" s="5"/>
    </row>
    <row r="13286" spans="1:1" x14ac:dyDescent="0.25">
      <c r="A13286" s="5"/>
    </row>
    <row r="13287" spans="1:1" x14ac:dyDescent="0.25">
      <c r="A13287" s="5"/>
    </row>
    <row r="13288" spans="1:1" x14ac:dyDescent="0.25">
      <c r="A13288" s="5"/>
    </row>
    <row r="13289" spans="1:1" x14ac:dyDescent="0.25">
      <c r="A13289" s="5"/>
    </row>
    <row r="13290" spans="1:1" x14ac:dyDescent="0.25">
      <c r="A13290" s="5"/>
    </row>
    <row r="13291" spans="1:1" x14ac:dyDescent="0.25">
      <c r="A13291" s="5"/>
    </row>
    <row r="13292" spans="1:1" x14ac:dyDescent="0.25">
      <c r="A13292" s="5"/>
    </row>
    <row r="13293" spans="1:1" x14ac:dyDescent="0.25">
      <c r="A13293" s="5"/>
    </row>
    <row r="13294" spans="1:1" x14ac:dyDescent="0.25">
      <c r="A13294" s="5"/>
    </row>
    <row r="13295" spans="1:1" x14ac:dyDescent="0.25">
      <c r="A13295" s="5"/>
    </row>
    <row r="13296" spans="1:1" x14ac:dyDescent="0.25">
      <c r="A13296" s="5"/>
    </row>
    <row r="13297" spans="1:1" x14ac:dyDescent="0.25">
      <c r="A13297" s="5"/>
    </row>
    <row r="13298" spans="1:1" x14ac:dyDescent="0.25">
      <c r="A13298" s="5"/>
    </row>
    <row r="13299" spans="1:1" x14ac:dyDescent="0.25">
      <c r="A13299" s="5"/>
    </row>
    <row r="13300" spans="1:1" x14ac:dyDescent="0.25">
      <c r="A13300" s="5"/>
    </row>
    <row r="13301" spans="1:1" x14ac:dyDescent="0.25">
      <c r="A13301" s="5"/>
    </row>
    <row r="13302" spans="1:1" x14ac:dyDescent="0.25">
      <c r="A13302" s="5"/>
    </row>
    <row r="13303" spans="1:1" x14ac:dyDescent="0.25">
      <c r="A13303" s="5"/>
    </row>
    <row r="13304" spans="1:1" x14ac:dyDescent="0.25">
      <c r="A13304" s="5"/>
    </row>
    <row r="13305" spans="1:1" x14ac:dyDescent="0.25">
      <c r="A13305" s="5"/>
    </row>
    <row r="13306" spans="1:1" x14ac:dyDescent="0.25">
      <c r="A13306" s="5"/>
    </row>
    <row r="13307" spans="1:1" x14ac:dyDescent="0.25">
      <c r="A13307" s="5"/>
    </row>
    <row r="13308" spans="1:1" x14ac:dyDescent="0.25">
      <c r="A13308" s="5"/>
    </row>
    <row r="13309" spans="1:1" x14ac:dyDescent="0.25">
      <c r="A13309" s="5"/>
    </row>
    <row r="13310" spans="1:1" x14ac:dyDescent="0.25">
      <c r="A13310" s="5"/>
    </row>
    <row r="13311" spans="1:1" x14ac:dyDescent="0.25">
      <c r="A13311" s="5"/>
    </row>
    <row r="13312" spans="1:1" x14ac:dyDescent="0.25">
      <c r="A13312" s="5"/>
    </row>
    <row r="13313" spans="1:1" x14ac:dyDescent="0.25">
      <c r="A13313" s="5"/>
    </row>
    <row r="13314" spans="1:1" x14ac:dyDescent="0.25">
      <c r="A13314" s="5"/>
    </row>
    <row r="13315" spans="1:1" x14ac:dyDescent="0.25">
      <c r="A13315" s="5"/>
    </row>
    <row r="13316" spans="1:1" x14ac:dyDescent="0.25">
      <c r="A13316" s="5"/>
    </row>
    <row r="13317" spans="1:1" x14ac:dyDescent="0.25">
      <c r="A13317" s="5"/>
    </row>
    <row r="13318" spans="1:1" x14ac:dyDescent="0.25">
      <c r="A13318" s="5"/>
    </row>
    <row r="13319" spans="1:1" x14ac:dyDescent="0.25">
      <c r="A13319" s="5"/>
    </row>
    <row r="13320" spans="1:1" x14ac:dyDescent="0.25">
      <c r="A13320" s="5"/>
    </row>
    <row r="13321" spans="1:1" x14ac:dyDescent="0.25">
      <c r="A13321" s="5"/>
    </row>
    <row r="13322" spans="1:1" x14ac:dyDescent="0.25">
      <c r="A13322" s="5"/>
    </row>
    <row r="13323" spans="1:1" x14ac:dyDescent="0.25">
      <c r="A13323" s="5"/>
    </row>
    <row r="13324" spans="1:1" x14ac:dyDescent="0.25">
      <c r="A13324" s="5"/>
    </row>
    <row r="13325" spans="1:1" x14ac:dyDescent="0.25">
      <c r="A13325" s="5"/>
    </row>
    <row r="13326" spans="1:1" x14ac:dyDescent="0.25">
      <c r="A13326" s="5"/>
    </row>
    <row r="13327" spans="1:1" x14ac:dyDescent="0.25">
      <c r="A13327" s="5"/>
    </row>
    <row r="13328" spans="1:1" x14ac:dyDescent="0.25">
      <c r="A13328" s="5"/>
    </row>
    <row r="13329" spans="1:1" x14ac:dyDescent="0.25">
      <c r="A13329" s="5"/>
    </row>
    <row r="13330" spans="1:1" x14ac:dyDescent="0.25">
      <c r="A13330" s="5"/>
    </row>
    <row r="13331" spans="1:1" x14ac:dyDescent="0.25">
      <c r="A13331" s="5"/>
    </row>
    <row r="13332" spans="1:1" x14ac:dyDescent="0.25">
      <c r="A13332" s="5"/>
    </row>
    <row r="13333" spans="1:1" x14ac:dyDescent="0.25">
      <c r="A13333" s="5"/>
    </row>
    <row r="13334" spans="1:1" x14ac:dyDescent="0.25">
      <c r="A13334" s="5"/>
    </row>
    <row r="13335" spans="1:1" x14ac:dyDescent="0.25">
      <c r="A13335" s="5"/>
    </row>
    <row r="13336" spans="1:1" x14ac:dyDescent="0.25">
      <c r="A13336" s="5"/>
    </row>
    <row r="13337" spans="1:1" x14ac:dyDescent="0.25">
      <c r="A13337" s="5"/>
    </row>
    <row r="13338" spans="1:1" x14ac:dyDescent="0.25">
      <c r="A13338" s="5"/>
    </row>
    <row r="13339" spans="1:1" x14ac:dyDescent="0.25">
      <c r="A13339" s="5"/>
    </row>
    <row r="13340" spans="1:1" x14ac:dyDescent="0.25">
      <c r="A13340" s="5"/>
    </row>
    <row r="13341" spans="1:1" x14ac:dyDescent="0.25">
      <c r="A13341" s="5"/>
    </row>
    <row r="13342" spans="1:1" x14ac:dyDescent="0.25">
      <c r="A13342" s="5"/>
    </row>
    <row r="13343" spans="1:1" x14ac:dyDescent="0.25">
      <c r="A13343" s="5"/>
    </row>
    <row r="13344" spans="1:1" x14ac:dyDescent="0.25">
      <c r="A13344" s="5"/>
    </row>
    <row r="13345" spans="1:1" x14ac:dyDescent="0.25">
      <c r="A13345" s="5"/>
    </row>
    <row r="13346" spans="1:1" x14ac:dyDescent="0.25">
      <c r="A13346" s="5"/>
    </row>
    <row r="13347" spans="1:1" x14ac:dyDescent="0.25">
      <c r="A13347" s="5"/>
    </row>
    <row r="13348" spans="1:1" x14ac:dyDescent="0.25">
      <c r="A13348" s="5"/>
    </row>
    <row r="13349" spans="1:1" x14ac:dyDescent="0.25">
      <c r="A13349" s="5"/>
    </row>
    <row r="13350" spans="1:1" x14ac:dyDescent="0.25">
      <c r="A13350" s="5"/>
    </row>
    <row r="13351" spans="1:1" x14ac:dyDescent="0.25">
      <c r="A13351" s="5"/>
    </row>
    <row r="13352" spans="1:1" x14ac:dyDescent="0.25">
      <c r="A13352" s="5"/>
    </row>
    <row r="13353" spans="1:1" x14ac:dyDescent="0.25">
      <c r="A13353" s="5"/>
    </row>
    <row r="13354" spans="1:1" x14ac:dyDescent="0.25">
      <c r="A13354" s="5"/>
    </row>
    <row r="13355" spans="1:1" x14ac:dyDescent="0.25">
      <c r="A13355" s="5"/>
    </row>
    <row r="13356" spans="1:1" x14ac:dyDescent="0.25">
      <c r="A13356" s="5"/>
    </row>
    <row r="13357" spans="1:1" x14ac:dyDescent="0.25">
      <c r="A13357" s="5"/>
    </row>
    <row r="13358" spans="1:1" x14ac:dyDescent="0.25">
      <c r="A13358" s="5"/>
    </row>
    <row r="13359" spans="1:1" x14ac:dyDescent="0.25">
      <c r="A13359" s="5"/>
    </row>
    <row r="13360" spans="1:1" x14ac:dyDescent="0.25">
      <c r="A13360" s="5"/>
    </row>
    <row r="13361" spans="1:1" x14ac:dyDescent="0.25">
      <c r="A13361" s="5"/>
    </row>
    <row r="13362" spans="1:1" x14ac:dyDescent="0.25">
      <c r="A13362" s="5"/>
    </row>
    <row r="13363" spans="1:1" x14ac:dyDescent="0.25">
      <c r="A13363" s="5"/>
    </row>
    <row r="13364" spans="1:1" x14ac:dyDescent="0.25">
      <c r="A13364" s="5"/>
    </row>
    <row r="13365" spans="1:1" x14ac:dyDescent="0.25">
      <c r="A13365" s="5"/>
    </row>
    <row r="13366" spans="1:1" x14ac:dyDescent="0.25">
      <c r="A13366" s="5"/>
    </row>
    <row r="13367" spans="1:1" x14ac:dyDescent="0.25">
      <c r="A13367" s="5"/>
    </row>
    <row r="13368" spans="1:1" x14ac:dyDescent="0.25">
      <c r="A13368" s="5"/>
    </row>
    <row r="13369" spans="1:1" x14ac:dyDescent="0.25">
      <c r="A13369" s="5"/>
    </row>
    <row r="13370" spans="1:1" x14ac:dyDescent="0.25">
      <c r="A13370" s="5"/>
    </row>
    <row r="13371" spans="1:1" x14ac:dyDescent="0.25">
      <c r="A13371" s="5"/>
    </row>
    <row r="13372" spans="1:1" x14ac:dyDescent="0.25">
      <c r="A13372" s="5"/>
    </row>
    <row r="13373" spans="1:1" x14ac:dyDescent="0.25">
      <c r="A13373" s="5"/>
    </row>
    <row r="13374" spans="1:1" x14ac:dyDescent="0.25">
      <c r="A13374" s="5"/>
    </row>
    <row r="13375" spans="1:1" x14ac:dyDescent="0.25">
      <c r="A13375" s="5"/>
    </row>
    <row r="13376" spans="1:1" x14ac:dyDescent="0.25">
      <c r="A13376" s="5"/>
    </row>
    <row r="13377" spans="1:1" x14ac:dyDescent="0.25">
      <c r="A13377" s="5"/>
    </row>
    <row r="13378" spans="1:1" x14ac:dyDescent="0.25">
      <c r="A13378" s="5"/>
    </row>
    <row r="13379" spans="1:1" x14ac:dyDescent="0.25">
      <c r="A13379" s="5"/>
    </row>
    <row r="13380" spans="1:1" x14ac:dyDescent="0.25">
      <c r="A13380" s="5"/>
    </row>
    <row r="13381" spans="1:1" x14ac:dyDescent="0.25">
      <c r="A13381" s="5"/>
    </row>
    <row r="13382" spans="1:1" x14ac:dyDescent="0.25">
      <c r="A13382" s="5"/>
    </row>
    <row r="13383" spans="1:1" x14ac:dyDescent="0.25">
      <c r="A13383" s="5"/>
    </row>
    <row r="13384" spans="1:1" x14ac:dyDescent="0.25">
      <c r="A13384" s="5"/>
    </row>
    <row r="13385" spans="1:1" x14ac:dyDescent="0.25">
      <c r="A13385" s="5"/>
    </row>
    <row r="13386" spans="1:1" x14ac:dyDescent="0.25">
      <c r="A13386" s="5"/>
    </row>
    <row r="13387" spans="1:1" x14ac:dyDescent="0.25">
      <c r="A13387" s="5"/>
    </row>
    <row r="13388" spans="1:1" x14ac:dyDescent="0.25">
      <c r="A13388" s="5"/>
    </row>
    <row r="13389" spans="1:1" x14ac:dyDescent="0.25">
      <c r="A13389" s="5"/>
    </row>
    <row r="13390" spans="1:1" x14ac:dyDescent="0.25">
      <c r="A13390" s="5"/>
    </row>
    <row r="13391" spans="1:1" x14ac:dyDescent="0.25">
      <c r="A13391" s="5"/>
    </row>
    <row r="13392" spans="1:1" x14ac:dyDescent="0.25">
      <c r="A13392" s="5"/>
    </row>
    <row r="13393" spans="1:1" x14ac:dyDescent="0.25">
      <c r="A13393" s="5"/>
    </row>
    <row r="13394" spans="1:1" x14ac:dyDescent="0.25">
      <c r="A13394" s="5"/>
    </row>
    <row r="13395" spans="1:1" x14ac:dyDescent="0.25">
      <c r="A13395" s="5"/>
    </row>
    <row r="13396" spans="1:1" x14ac:dyDescent="0.25">
      <c r="A13396" s="5"/>
    </row>
    <row r="13397" spans="1:1" x14ac:dyDescent="0.25">
      <c r="A13397" s="5"/>
    </row>
    <row r="13398" spans="1:1" x14ac:dyDescent="0.25">
      <c r="A13398" s="5"/>
    </row>
    <row r="13399" spans="1:1" x14ac:dyDescent="0.25">
      <c r="A13399" s="5"/>
    </row>
    <row r="13400" spans="1:1" x14ac:dyDescent="0.25">
      <c r="A13400" s="5"/>
    </row>
    <row r="13401" spans="1:1" x14ac:dyDescent="0.25">
      <c r="A13401" s="5"/>
    </row>
    <row r="13402" spans="1:1" x14ac:dyDescent="0.25">
      <c r="A13402" s="5"/>
    </row>
    <row r="13403" spans="1:1" x14ac:dyDescent="0.25">
      <c r="A13403" s="5"/>
    </row>
    <row r="13404" spans="1:1" x14ac:dyDescent="0.25">
      <c r="A13404" s="5"/>
    </row>
    <row r="13405" spans="1:1" x14ac:dyDescent="0.25">
      <c r="A13405" s="5"/>
    </row>
    <row r="13406" spans="1:1" x14ac:dyDescent="0.25">
      <c r="A13406" s="5"/>
    </row>
    <row r="13407" spans="1:1" x14ac:dyDescent="0.25">
      <c r="A13407" s="5"/>
    </row>
    <row r="13408" spans="1:1" x14ac:dyDescent="0.25">
      <c r="A13408" s="5"/>
    </row>
    <row r="13409" spans="1:1" x14ac:dyDescent="0.25">
      <c r="A13409" s="5"/>
    </row>
    <row r="13410" spans="1:1" x14ac:dyDescent="0.25">
      <c r="A13410" s="5"/>
    </row>
    <row r="13411" spans="1:1" x14ac:dyDescent="0.25">
      <c r="A13411" s="5"/>
    </row>
    <row r="13412" spans="1:1" x14ac:dyDescent="0.25">
      <c r="A13412" s="5"/>
    </row>
    <row r="13413" spans="1:1" x14ac:dyDescent="0.25">
      <c r="A13413" s="5"/>
    </row>
    <row r="13414" spans="1:1" x14ac:dyDescent="0.25">
      <c r="A13414" s="5"/>
    </row>
    <row r="13415" spans="1:1" x14ac:dyDescent="0.25">
      <c r="A13415" s="5"/>
    </row>
    <row r="13416" spans="1:1" x14ac:dyDescent="0.25">
      <c r="A13416" s="5"/>
    </row>
    <row r="13417" spans="1:1" x14ac:dyDescent="0.25">
      <c r="A13417" s="5"/>
    </row>
    <row r="13418" spans="1:1" x14ac:dyDescent="0.25">
      <c r="A13418" s="5"/>
    </row>
    <row r="13419" spans="1:1" x14ac:dyDescent="0.25">
      <c r="A13419" s="5"/>
    </row>
    <row r="13420" spans="1:1" x14ac:dyDescent="0.25">
      <c r="A13420" s="5"/>
    </row>
    <row r="13421" spans="1:1" x14ac:dyDescent="0.25">
      <c r="A13421" s="5"/>
    </row>
    <row r="13422" spans="1:1" x14ac:dyDescent="0.25">
      <c r="A13422" s="5"/>
    </row>
    <row r="13423" spans="1:1" x14ac:dyDescent="0.25">
      <c r="A13423" s="5"/>
    </row>
    <row r="13424" spans="1:1" x14ac:dyDescent="0.25">
      <c r="A13424" s="5"/>
    </row>
    <row r="13425" spans="1:1" x14ac:dyDescent="0.25">
      <c r="A13425" s="5"/>
    </row>
    <row r="13426" spans="1:1" x14ac:dyDescent="0.25">
      <c r="A13426" s="5"/>
    </row>
    <row r="13427" spans="1:1" x14ac:dyDescent="0.25">
      <c r="A13427" s="5"/>
    </row>
    <row r="13428" spans="1:1" x14ac:dyDescent="0.25">
      <c r="A13428" s="5"/>
    </row>
    <row r="13429" spans="1:1" x14ac:dyDescent="0.25">
      <c r="A13429" s="5"/>
    </row>
    <row r="13430" spans="1:1" x14ac:dyDescent="0.25">
      <c r="A13430" s="5"/>
    </row>
    <row r="13431" spans="1:1" x14ac:dyDescent="0.25">
      <c r="A13431" s="5"/>
    </row>
    <row r="13432" spans="1:1" x14ac:dyDescent="0.25">
      <c r="A13432" s="5"/>
    </row>
    <row r="13433" spans="1:1" x14ac:dyDescent="0.25">
      <c r="A13433" s="5"/>
    </row>
    <row r="13434" spans="1:1" x14ac:dyDescent="0.25">
      <c r="A13434" s="5"/>
    </row>
    <row r="13435" spans="1:1" x14ac:dyDescent="0.25">
      <c r="A13435" s="5"/>
    </row>
    <row r="13436" spans="1:1" x14ac:dyDescent="0.25">
      <c r="A13436" s="5"/>
    </row>
    <row r="13437" spans="1:1" x14ac:dyDescent="0.25">
      <c r="A13437" s="5"/>
    </row>
    <row r="13438" spans="1:1" x14ac:dyDescent="0.25">
      <c r="A13438" s="5"/>
    </row>
    <row r="13439" spans="1:1" x14ac:dyDescent="0.25">
      <c r="A13439" s="5"/>
    </row>
    <row r="13440" spans="1:1" x14ac:dyDescent="0.25">
      <c r="A13440" s="5"/>
    </row>
    <row r="13441" spans="1:1" x14ac:dyDescent="0.25">
      <c r="A13441" s="5"/>
    </row>
    <row r="13442" spans="1:1" x14ac:dyDescent="0.25">
      <c r="A13442" s="5"/>
    </row>
    <row r="13443" spans="1:1" x14ac:dyDescent="0.25">
      <c r="A13443" s="5"/>
    </row>
    <row r="13444" spans="1:1" x14ac:dyDescent="0.25">
      <c r="A13444" s="5"/>
    </row>
    <row r="13445" spans="1:1" x14ac:dyDescent="0.25">
      <c r="A13445" s="5"/>
    </row>
    <row r="13446" spans="1:1" x14ac:dyDescent="0.25">
      <c r="A13446" s="5"/>
    </row>
    <row r="13447" spans="1:1" x14ac:dyDescent="0.25">
      <c r="A13447" s="5"/>
    </row>
    <row r="13448" spans="1:1" x14ac:dyDescent="0.25">
      <c r="A13448" s="5"/>
    </row>
    <row r="13449" spans="1:1" x14ac:dyDescent="0.25">
      <c r="A13449" s="5"/>
    </row>
    <row r="13450" spans="1:1" x14ac:dyDescent="0.25">
      <c r="A13450" s="5"/>
    </row>
    <row r="13451" spans="1:1" x14ac:dyDescent="0.25">
      <c r="A13451" s="5"/>
    </row>
    <row r="13452" spans="1:1" x14ac:dyDescent="0.25">
      <c r="A13452" s="5"/>
    </row>
    <row r="13453" spans="1:1" x14ac:dyDescent="0.25">
      <c r="A13453" s="5"/>
    </row>
    <row r="13454" spans="1:1" x14ac:dyDescent="0.25">
      <c r="A13454" s="5"/>
    </row>
    <row r="13455" spans="1:1" x14ac:dyDescent="0.25">
      <c r="A13455" s="5"/>
    </row>
    <row r="13456" spans="1:1" x14ac:dyDescent="0.25">
      <c r="A13456" s="5"/>
    </row>
    <row r="13457" spans="1:1" x14ac:dyDescent="0.25">
      <c r="A13457" s="5"/>
    </row>
    <row r="13458" spans="1:1" x14ac:dyDescent="0.25">
      <c r="A13458" s="5"/>
    </row>
    <row r="13459" spans="1:1" x14ac:dyDescent="0.25">
      <c r="A13459" s="5"/>
    </row>
    <row r="13460" spans="1:1" x14ac:dyDescent="0.25">
      <c r="A13460" s="5"/>
    </row>
    <row r="13461" spans="1:1" x14ac:dyDescent="0.25">
      <c r="A13461" s="5"/>
    </row>
    <row r="13462" spans="1:1" x14ac:dyDescent="0.25">
      <c r="A13462" s="5"/>
    </row>
    <row r="13463" spans="1:1" x14ac:dyDescent="0.25">
      <c r="A13463" s="5"/>
    </row>
    <row r="13464" spans="1:1" x14ac:dyDescent="0.25">
      <c r="A13464" s="5"/>
    </row>
    <row r="13465" spans="1:1" x14ac:dyDescent="0.25">
      <c r="A13465" s="5"/>
    </row>
    <row r="13466" spans="1:1" x14ac:dyDescent="0.25">
      <c r="A13466" s="5"/>
    </row>
    <row r="13467" spans="1:1" x14ac:dyDescent="0.25">
      <c r="A13467" s="5"/>
    </row>
    <row r="13468" spans="1:1" x14ac:dyDescent="0.25">
      <c r="A13468" s="5"/>
    </row>
    <row r="13469" spans="1:1" x14ac:dyDescent="0.25">
      <c r="A13469" s="5"/>
    </row>
    <row r="13470" spans="1:1" x14ac:dyDescent="0.25">
      <c r="A13470" s="5"/>
    </row>
    <row r="13471" spans="1:1" x14ac:dyDescent="0.25">
      <c r="A13471" s="5"/>
    </row>
    <row r="13472" spans="1:1" x14ac:dyDescent="0.25">
      <c r="A13472" s="5"/>
    </row>
    <row r="13473" spans="1:1" x14ac:dyDescent="0.25">
      <c r="A13473" s="5"/>
    </row>
    <row r="13474" spans="1:1" x14ac:dyDescent="0.25">
      <c r="A13474" s="5"/>
    </row>
    <row r="13475" spans="1:1" x14ac:dyDescent="0.25">
      <c r="A13475" s="5"/>
    </row>
    <row r="13476" spans="1:1" x14ac:dyDescent="0.25">
      <c r="A13476" s="5"/>
    </row>
    <row r="13477" spans="1:1" x14ac:dyDescent="0.25">
      <c r="A13477" s="5"/>
    </row>
    <row r="13478" spans="1:1" x14ac:dyDescent="0.25">
      <c r="A13478" s="5"/>
    </row>
    <row r="13479" spans="1:1" x14ac:dyDescent="0.25">
      <c r="A13479" s="5"/>
    </row>
    <row r="13480" spans="1:1" x14ac:dyDescent="0.25">
      <c r="A13480" s="5"/>
    </row>
    <row r="13481" spans="1:1" x14ac:dyDescent="0.25">
      <c r="A13481" s="5"/>
    </row>
    <row r="13482" spans="1:1" x14ac:dyDescent="0.25">
      <c r="A13482" s="5"/>
    </row>
    <row r="13483" spans="1:1" x14ac:dyDescent="0.25">
      <c r="A13483" s="5"/>
    </row>
    <row r="13484" spans="1:1" x14ac:dyDescent="0.25">
      <c r="A13484" s="5"/>
    </row>
    <row r="13485" spans="1:1" x14ac:dyDescent="0.25">
      <c r="A13485" s="5"/>
    </row>
    <row r="13486" spans="1:1" x14ac:dyDescent="0.25">
      <c r="A13486" s="5"/>
    </row>
    <row r="13487" spans="1:1" x14ac:dyDescent="0.25">
      <c r="A13487" s="5"/>
    </row>
    <row r="13488" spans="1:1" x14ac:dyDescent="0.25">
      <c r="A13488" s="5"/>
    </row>
    <row r="13489" spans="1:1" x14ac:dyDescent="0.25">
      <c r="A13489" s="5"/>
    </row>
    <row r="13490" spans="1:1" x14ac:dyDescent="0.25">
      <c r="A13490" s="5"/>
    </row>
    <row r="13491" spans="1:1" x14ac:dyDescent="0.25">
      <c r="A13491" s="5"/>
    </row>
    <row r="13492" spans="1:1" x14ac:dyDescent="0.25">
      <c r="A13492" s="5"/>
    </row>
    <row r="13493" spans="1:1" x14ac:dyDescent="0.25">
      <c r="A13493" s="5"/>
    </row>
    <row r="13494" spans="1:1" x14ac:dyDescent="0.25">
      <c r="A13494" s="5"/>
    </row>
    <row r="13495" spans="1:1" x14ac:dyDescent="0.25">
      <c r="A13495" s="5"/>
    </row>
    <row r="13496" spans="1:1" x14ac:dyDescent="0.25">
      <c r="A13496" s="5"/>
    </row>
    <row r="13497" spans="1:1" x14ac:dyDescent="0.25">
      <c r="A13497" s="5"/>
    </row>
    <row r="13498" spans="1:1" x14ac:dyDescent="0.25">
      <c r="A13498" s="5"/>
    </row>
    <row r="13499" spans="1:1" x14ac:dyDescent="0.25">
      <c r="A13499" s="5"/>
    </row>
    <row r="13500" spans="1:1" x14ac:dyDescent="0.25">
      <c r="A13500" s="5"/>
    </row>
    <row r="13501" spans="1:1" x14ac:dyDescent="0.25">
      <c r="A13501" s="5"/>
    </row>
    <row r="13502" spans="1:1" x14ac:dyDescent="0.25">
      <c r="A13502" s="5"/>
    </row>
    <row r="13503" spans="1:1" x14ac:dyDescent="0.25">
      <c r="A13503" s="5"/>
    </row>
    <row r="13504" spans="1:1" x14ac:dyDescent="0.25">
      <c r="A13504" s="5"/>
    </row>
    <row r="13505" spans="1:1" x14ac:dyDescent="0.25">
      <c r="A13505" s="5"/>
    </row>
    <row r="13506" spans="1:1" x14ac:dyDescent="0.25">
      <c r="A13506" s="5"/>
    </row>
    <row r="13507" spans="1:1" x14ac:dyDescent="0.25">
      <c r="A13507" s="5"/>
    </row>
    <row r="13508" spans="1:1" x14ac:dyDescent="0.25">
      <c r="A13508" s="5"/>
    </row>
    <row r="13509" spans="1:1" x14ac:dyDescent="0.25">
      <c r="A13509" s="5"/>
    </row>
    <row r="13510" spans="1:1" x14ac:dyDescent="0.25">
      <c r="A13510" s="5"/>
    </row>
    <row r="13511" spans="1:1" x14ac:dyDescent="0.25">
      <c r="A13511" s="5"/>
    </row>
    <row r="13512" spans="1:1" x14ac:dyDescent="0.25">
      <c r="A13512" s="5"/>
    </row>
    <row r="13513" spans="1:1" x14ac:dyDescent="0.25">
      <c r="A13513" s="5"/>
    </row>
    <row r="13514" spans="1:1" x14ac:dyDescent="0.25">
      <c r="A13514" s="5"/>
    </row>
    <row r="13515" spans="1:1" x14ac:dyDescent="0.25">
      <c r="A13515" s="5"/>
    </row>
    <row r="13516" spans="1:1" x14ac:dyDescent="0.25">
      <c r="A13516" s="5"/>
    </row>
    <row r="13517" spans="1:1" x14ac:dyDescent="0.25">
      <c r="A13517" s="5"/>
    </row>
    <row r="13518" spans="1:1" x14ac:dyDescent="0.25">
      <c r="A13518" s="5"/>
    </row>
    <row r="13519" spans="1:1" x14ac:dyDescent="0.25">
      <c r="A13519" s="5"/>
    </row>
    <row r="13520" spans="1:1" x14ac:dyDescent="0.25">
      <c r="A13520" s="5"/>
    </row>
    <row r="13521" spans="1:1" x14ac:dyDescent="0.25">
      <c r="A13521" s="5"/>
    </row>
    <row r="13522" spans="1:1" x14ac:dyDescent="0.25">
      <c r="A13522" s="5"/>
    </row>
    <row r="13523" spans="1:1" x14ac:dyDescent="0.25">
      <c r="A13523" s="5"/>
    </row>
    <row r="13524" spans="1:1" x14ac:dyDescent="0.25">
      <c r="A13524" s="5"/>
    </row>
    <row r="13525" spans="1:1" x14ac:dyDescent="0.25">
      <c r="A13525" s="5"/>
    </row>
    <row r="13526" spans="1:1" x14ac:dyDescent="0.25">
      <c r="A13526" s="5"/>
    </row>
    <row r="13527" spans="1:1" x14ac:dyDescent="0.25">
      <c r="A13527" s="5"/>
    </row>
    <row r="13528" spans="1:1" x14ac:dyDescent="0.25">
      <c r="A13528" s="5"/>
    </row>
    <row r="13529" spans="1:1" x14ac:dyDescent="0.25">
      <c r="A13529" s="5"/>
    </row>
    <row r="13530" spans="1:1" x14ac:dyDescent="0.25">
      <c r="A13530" s="5"/>
    </row>
    <row r="13531" spans="1:1" x14ac:dyDescent="0.25">
      <c r="A13531" s="5"/>
    </row>
    <row r="13532" spans="1:1" x14ac:dyDescent="0.25">
      <c r="A13532" s="5"/>
    </row>
    <row r="13533" spans="1:1" x14ac:dyDescent="0.25">
      <c r="A13533" s="5"/>
    </row>
    <row r="13534" spans="1:1" x14ac:dyDescent="0.25">
      <c r="A13534" s="5"/>
    </row>
    <row r="13535" spans="1:1" x14ac:dyDescent="0.25">
      <c r="A13535" s="5"/>
    </row>
    <row r="13536" spans="1:1" x14ac:dyDescent="0.25">
      <c r="A13536" s="5"/>
    </row>
    <row r="13537" spans="1:1" x14ac:dyDescent="0.25">
      <c r="A13537" s="5"/>
    </row>
    <row r="13538" spans="1:1" x14ac:dyDescent="0.25">
      <c r="A13538" s="5"/>
    </row>
    <row r="13539" spans="1:1" x14ac:dyDescent="0.25">
      <c r="A13539" s="5"/>
    </row>
    <row r="13540" spans="1:1" x14ac:dyDescent="0.25">
      <c r="A13540" s="5"/>
    </row>
    <row r="13541" spans="1:1" x14ac:dyDescent="0.25">
      <c r="A13541" s="5"/>
    </row>
    <row r="13542" spans="1:1" x14ac:dyDescent="0.25">
      <c r="A13542" s="5"/>
    </row>
    <row r="13543" spans="1:1" x14ac:dyDescent="0.25">
      <c r="A13543" s="5"/>
    </row>
    <row r="13544" spans="1:1" x14ac:dyDescent="0.25">
      <c r="A13544" s="5"/>
    </row>
    <row r="13545" spans="1:1" x14ac:dyDescent="0.25">
      <c r="A13545" s="5"/>
    </row>
    <row r="13546" spans="1:1" x14ac:dyDescent="0.25">
      <c r="A13546" s="5"/>
    </row>
    <row r="13547" spans="1:1" x14ac:dyDescent="0.25">
      <c r="A13547" s="5"/>
    </row>
    <row r="13548" spans="1:1" x14ac:dyDescent="0.25">
      <c r="A13548" s="5"/>
    </row>
    <row r="13549" spans="1:1" x14ac:dyDescent="0.25">
      <c r="A13549" s="5"/>
    </row>
    <row r="13550" spans="1:1" x14ac:dyDescent="0.25">
      <c r="A13550" s="5"/>
    </row>
    <row r="13551" spans="1:1" x14ac:dyDescent="0.25">
      <c r="A13551" s="5"/>
    </row>
    <row r="13552" spans="1:1" x14ac:dyDescent="0.25">
      <c r="A13552" s="5"/>
    </row>
    <row r="13553" spans="1:1" x14ac:dyDescent="0.25">
      <c r="A13553" s="5"/>
    </row>
    <row r="13554" spans="1:1" x14ac:dyDescent="0.25">
      <c r="A13554" s="5"/>
    </row>
    <row r="13555" spans="1:1" x14ac:dyDescent="0.25">
      <c r="A13555" s="5"/>
    </row>
    <row r="13556" spans="1:1" x14ac:dyDescent="0.25">
      <c r="A13556" s="5"/>
    </row>
    <row r="13557" spans="1:1" x14ac:dyDescent="0.25">
      <c r="A13557" s="5"/>
    </row>
    <row r="13558" spans="1:1" x14ac:dyDescent="0.25">
      <c r="A13558" s="5"/>
    </row>
    <row r="13559" spans="1:1" x14ac:dyDescent="0.25">
      <c r="A13559" s="5"/>
    </row>
    <row r="13560" spans="1:1" x14ac:dyDescent="0.25">
      <c r="A13560" s="5"/>
    </row>
    <row r="13561" spans="1:1" x14ac:dyDescent="0.25">
      <c r="A13561" s="5"/>
    </row>
    <row r="13562" spans="1:1" x14ac:dyDescent="0.25">
      <c r="A13562" s="5"/>
    </row>
    <row r="13563" spans="1:1" x14ac:dyDescent="0.25">
      <c r="A13563" s="5"/>
    </row>
    <row r="13564" spans="1:1" x14ac:dyDescent="0.25">
      <c r="A13564" s="5"/>
    </row>
    <row r="13565" spans="1:1" x14ac:dyDescent="0.25">
      <c r="A13565" s="5"/>
    </row>
    <row r="13566" spans="1:1" x14ac:dyDescent="0.25">
      <c r="A13566" s="5"/>
    </row>
    <row r="13567" spans="1:1" x14ac:dyDescent="0.25">
      <c r="A13567" s="5"/>
    </row>
    <row r="13568" spans="1:1" x14ac:dyDescent="0.25">
      <c r="A13568" s="5"/>
    </row>
    <row r="13569" spans="1:1" x14ac:dyDescent="0.25">
      <c r="A13569" s="5"/>
    </row>
    <row r="13570" spans="1:1" x14ac:dyDescent="0.25">
      <c r="A13570" s="5"/>
    </row>
    <row r="13571" spans="1:1" x14ac:dyDescent="0.25">
      <c r="A13571" s="5"/>
    </row>
    <row r="13572" spans="1:1" x14ac:dyDescent="0.25">
      <c r="A13572" s="5"/>
    </row>
    <row r="13573" spans="1:1" x14ac:dyDescent="0.25">
      <c r="A13573" s="5"/>
    </row>
    <row r="13574" spans="1:1" x14ac:dyDescent="0.25">
      <c r="A13574" s="5"/>
    </row>
    <row r="13575" spans="1:1" x14ac:dyDescent="0.25">
      <c r="A13575" s="5"/>
    </row>
    <row r="13576" spans="1:1" x14ac:dyDescent="0.25">
      <c r="A13576" s="5"/>
    </row>
    <row r="13577" spans="1:1" x14ac:dyDescent="0.25">
      <c r="A13577" s="5"/>
    </row>
    <row r="13578" spans="1:1" x14ac:dyDescent="0.25">
      <c r="A13578" s="5"/>
    </row>
    <row r="13579" spans="1:1" x14ac:dyDescent="0.25">
      <c r="A13579" s="5"/>
    </row>
    <row r="13580" spans="1:1" x14ac:dyDescent="0.25">
      <c r="A13580" s="5"/>
    </row>
    <row r="13581" spans="1:1" x14ac:dyDescent="0.25">
      <c r="A13581" s="5"/>
    </row>
    <row r="13582" spans="1:1" x14ac:dyDescent="0.25">
      <c r="A13582" s="5"/>
    </row>
    <row r="13583" spans="1:1" x14ac:dyDescent="0.25">
      <c r="A13583" s="5"/>
    </row>
    <row r="13584" spans="1:1" x14ac:dyDescent="0.25">
      <c r="A13584" s="5"/>
    </row>
    <row r="13585" spans="1:1" x14ac:dyDescent="0.25">
      <c r="A13585" s="5"/>
    </row>
    <row r="13586" spans="1:1" x14ac:dyDescent="0.25">
      <c r="A13586" s="5"/>
    </row>
    <row r="13587" spans="1:1" x14ac:dyDescent="0.25">
      <c r="A13587" s="5"/>
    </row>
    <row r="13588" spans="1:1" x14ac:dyDescent="0.25">
      <c r="A13588" s="5"/>
    </row>
    <row r="13589" spans="1:1" x14ac:dyDescent="0.25">
      <c r="A13589" s="5"/>
    </row>
    <row r="13590" spans="1:1" x14ac:dyDescent="0.25">
      <c r="A13590" s="5"/>
    </row>
    <row r="13591" spans="1:1" x14ac:dyDescent="0.25">
      <c r="A13591" s="5"/>
    </row>
    <row r="13592" spans="1:1" x14ac:dyDescent="0.25">
      <c r="A13592" s="5"/>
    </row>
    <row r="13593" spans="1:1" x14ac:dyDescent="0.25">
      <c r="A13593" s="5"/>
    </row>
    <row r="13594" spans="1:1" x14ac:dyDescent="0.25">
      <c r="A13594" s="5"/>
    </row>
    <row r="13595" spans="1:1" x14ac:dyDescent="0.25">
      <c r="A13595" s="5"/>
    </row>
    <row r="13596" spans="1:1" x14ac:dyDescent="0.25">
      <c r="A13596" s="5"/>
    </row>
    <row r="13597" spans="1:1" x14ac:dyDescent="0.25">
      <c r="A13597" s="5"/>
    </row>
    <row r="13598" spans="1:1" x14ac:dyDescent="0.25">
      <c r="A13598" s="5"/>
    </row>
    <row r="13599" spans="1:1" x14ac:dyDescent="0.25">
      <c r="A13599" s="5"/>
    </row>
    <row r="13600" spans="1:1" x14ac:dyDescent="0.25">
      <c r="A13600" s="5"/>
    </row>
    <row r="13601" spans="1:1" x14ac:dyDescent="0.25">
      <c r="A13601" s="5"/>
    </row>
    <row r="13602" spans="1:1" x14ac:dyDescent="0.25">
      <c r="A13602" s="5"/>
    </row>
    <row r="13603" spans="1:1" x14ac:dyDescent="0.25">
      <c r="A13603" s="5"/>
    </row>
    <row r="13604" spans="1:1" x14ac:dyDescent="0.25">
      <c r="A13604" s="5"/>
    </row>
    <row r="13605" spans="1:1" x14ac:dyDescent="0.25">
      <c r="A13605" s="5"/>
    </row>
    <row r="13606" spans="1:1" x14ac:dyDescent="0.25">
      <c r="A13606" s="5"/>
    </row>
    <row r="13607" spans="1:1" x14ac:dyDescent="0.25">
      <c r="A13607" s="5"/>
    </row>
    <row r="13608" spans="1:1" x14ac:dyDescent="0.25">
      <c r="A13608" s="5"/>
    </row>
    <row r="13609" spans="1:1" x14ac:dyDescent="0.25">
      <c r="A13609" s="5"/>
    </row>
    <row r="13610" spans="1:1" x14ac:dyDescent="0.25">
      <c r="A13610" s="5"/>
    </row>
    <row r="13611" spans="1:1" x14ac:dyDescent="0.25">
      <c r="A13611" s="5"/>
    </row>
    <row r="13612" spans="1:1" x14ac:dyDescent="0.25">
      <c r="A13612" s="5"/>
    </row>
    <row r="13613" spans="1:1" x14ac:dyDescent="0.25">
      <c r="A13613" s="5"/>
    </row>
    <row r="13614" spans="1:1" x14ac:dyDescent="0.25">
      <c r="A13614" s="5"/>
    </row>
    <row r="13615" spans="1:1" x14ac:dyDescent="0.25">
      <c r="A13615" s="5"/>
    </row>
    <row r="13616" spans="1:1" x14ac:dyDescent="0.25">
      <c r="A13616" s="5"/>
    </row>
    <row r="13617" spans="1:1" x14ac:dyDescent="0.25">
      <c r="A13617" s="5"/>
    </row>
    <row r="13618" spans="1:1" x14ac:dyDescent="0.25">
      <c r="A13618" s="5"/>
    </row>
    <row r="13619" spans="1:1" x14ac:dyDescent="0.25">
      <c r="A13619" s="5"/>
    </row>
    <row r="13620" spans="1:1" x14ac:dyDescent="0.25">
      <c r="A13620" s="5"/>
    </row>
    <row r="13621" spans="1:1" x14ac:dyDescent="0.25">
      <c r="A13621" s="5"/>
    </row>
    <row r="13622" spans="1:1" x14ac:dyDescent="0.25">
      <c r="A13622" s="5"/>
    </row>
    <row r="13623" spans="1:1" x14ac:dyDescent="0.25">
      <c r="A13623" s="5"/>
    </row>
    <row r="13624" spans="1:1" x14ac:dyDescent="0.25">
      <c r="A13624" s="5"/>
    </row>
    <row r="13625" spans="1:1" x14ac:dyDescent="0.25">
      <c r="A13625" s="5"/>
    </row>
    <row r="13626" spans="1:1" x14ac:dyDescent="0.25">
      <c r="A13626" s="5"/>
    </row>
    <row r="13627" spans="1:1" x14ac:dyDescent="0.25">
      <c r="A13627" s="5"/>
    </row>
    <row r="13628" spans="1:1" x14ac:dyDescent="0.25">
      <c r="A13628" s="5"/>
    </row>
    <row r="13629" spans="1:1" x14ac:dyDescent="0.25">
      <c r="A13629" s="5"/>
    </row>
    <row r="13630" spans="1:1" x14ac:dyDescent="0.25">
      <c r="A13630" s="5"/>
    </row>
    <row r="13631" spans="1:1" x14ac:dyDescent="0.25">
      <c r="A13631" s="5"/>
    </row>
    <row r="13632" spans="1:1" x14ac:dyDescent="0.25">
      <c r="A13632" s="5"/>
    </row>
    <row r="13633" spans="1:1" x14ac:dyDescent="0.25">
      <c r="A13633" s="5"/>
    </row>
    <row r="13634" spans="1:1" x14ac:dyDescent="0.25">
      <c r="A13634" s="5"/>
    </row>
    <row r="13635" spans="1:1" x14ac:dyDescent="0.25">
      <c r="A13635" s="5"/>
    </row>
    <row r="13636" spans="1:1" x14ac:dyDescent="0.25">
      <c r="A13636" s="5"/>
    </row>
    <row r="13637" spans="1:1" x14ac:dyDescent="0.25">
      <c r="A13637" s="5"/>
    </row>
    <row r="13638" spans="1:1" x14ac:dyDescent="0.25">
      <c r="A13638" s="5"/>
    </row>
    <row r="13639" spans="1:1" x14ac:dyDescent="0.25">
      <c r="A13639" s="5"/>
    </row>
    <row r="13640" spans="1:1" x14ac:dyDescent="0.25">
      <c r="A13640" s="5"/>
    </row>
    <row r="13641" spans="1:1" x14ac:dyDescent="0.25">
      <c r="A13641" s="5"/>
    </row>
    <row r="13642" spans="1:1" x14ac:dyDescent="0.25">
      <c r="A13642" s="5"/>
    </row>
    <row r="13643" spans="1:1" x14ac:dyDescent="0.25">
      <c r="A13643" s="5"/>
    </row>
    <row r="13644" spans="1:1" x14ac:dyDescent="0.25">
      <c r="A13644" s="5"/>
    </row>
    <row r="13645" spans="1:1" x14ac:dyDescent="0.25">
      <c r="A13645" s="5"/>
    </row>
    <row r="13646" spans="1:1" x14ac:dyDescent="0.25">
      <c r="A13646" s="5"/>
    </row>
    <row r="13647" spans="1:1" x14ac:dyDescent="0.25">
      <c r="A13647" s="5"/>
    </row>
    <row r="13648" spans="1:1" x14ac:dyDescent="0.25">
      <c r="A13648" s="5"/>
    </row>
    <row r="13649" spans="1:1" x14ac:dyDescent="0.25">
      <c r="A13649" s="5"/>
    </row>
    <row r="13650" spans="1:1" x14ac:dyDescent="0.25">
      <c r="A13650" s="5"/>
    </row>
    <row r="13651" spans="1:1" x14ac:dyDescent="0.25">
      <c r="A13651" s="5"/>
    </row>
    <row r="13652" spans="1:1" x14ac:dyDescent="0.25">
      <c r="A13652" s="5"/>
    </row>
    <row r="13653" spans="1:1" x14ac:dyDescent="0.25">
      <c r="A13653" s="5"/>
    </row>
    <row r="13654" spans="1:1" x14ac:dyDescent="0.25">
      <c r="A13654" s="5"/>
    </row>
    <row r="13655" spans="1:1" x14ac:dyDescent="0.25">
      <c r="A13655" s="5"/>
    </row>
    <row r="13656" spans="1:1" x14ac:dyDescent="0.25">
      <c r="A13656" s="5"/>
    </row>
    <row r="13657" spans="1:1" x14ac:dyDescent="0.25">
      <c r="A13657" s="5"/>
    </row>
    <row r="13658" spans="1:1" x14ac:dyDescent="0.25">
      <c r="A13658" s="5"/>
    </row>
    <row r="13659" spans="1:1" x14ac:dyDescent="0.25">
      <c r="A13659" s="5"/>
    </row>
    <row r="13660" spans="1:1" x14ac:dyDescent="0.25">
      <c r="A13660" s="5"/>
    </row>
    <row r="13661" spans="1:1" x14ac:dyDescent="0.25">
      <c r="A13661" s="5"/>
    </row>
    <row r="13662" spans="1:1" x14ac:dyDescent="0.25">
      <c r="A13662" s="5"/>
    </row>
    <row r="13663" spans="1:1" x14ac:dyDescent="0.25">
      <c r="A13663" s="5"/>
    </row>
    <row r="13664" spans="1:1" x14ac:dyDescent="0.25">
      <c r="A13664" s="5"/>
    </row>
    <row r="13665" spans="1:1" x14ac:dyDescent="0.25">
      <c r="A13665" s="5"/>
    </row>
    <row r="13666" spans="1:1" x14ac:dyDescent="0.25">
      <c r="A13666" s="5"/>
    </row>
    <row r="13667" spans="1:1" x14ac:dyDescent="0.25">
      <c r="A13667" s="5"/>
    </row>
    <row r="13668" spans="1:1" x14ac:dyDescent="0.25">
      <c r="A13668" s="5"/>
    </row>
    <row r="13669" spans="1:1" x14ac:dyDescent="0.25">
      <c r="A13669" s="5"/>
    </row>
    <row r="13670" spans="1:1" x14ac:dyDescent="0.25">
      <c r="A13670" s="5"/>
    </row>
    <row r="13671" spans="1:1" x14ac:dyDescent="0.25">
      <c r="A13671" s="5"/>
    </row>
    <row r="13672" spans="1:1" x14ac:dyDescent="0.25">
      <c r="A13672" s="5"/>
    </row>
    <row r="13673" spans="1:1" x14ac:dyDescent="0.25">
      <c r="A13673" s="5"/>
    </row>
    <row r="13674" spans="1:1" x14ac:dyDescent="0.25">
      <c r="A13674" s="5"/>
    </row>
    <row r="13675" spans="1:1" x14ac:dyDescent="0.25">
      <c r="A13675" s="5"/>
    </row>
    <row r="13676" spans="1:1" x14ac:dyDescent="0.25">
      <c r="A13676" s="5"/>
    </row>
    <row r="13677" spans="1:1" x14ac:dyDescent="0.25">
      <c r="A13677" s="5"/>
    </row>
    <row r="13678" spans="1:1" x14ac:dyDescent="0.25">
      <c r="A13678" s="5"/>
    </row>
    <row r="13679" spans="1:1" x14ac:dyDescent="0.25">
      <c r="A13679" s="5"/>
    </row>
    <row r="13680" spans="1:1" x14ac:dyDescent="0.25">
      <c r="A13680" s="5"/>
    </row>
    <row r="13681" spans="1:1" x14ac:dyDescent="0.25">
      <c r="A13681" s="5"/>
    </row>
    <row r="13682" spans="1:1" x14ac:dyDescent="0.25">
      <c r="A13682" s="5"/>
    </row>
    <row r="13683" spans="1:1" x14ac:dyDescent="0.25">
      <c r="A13683" s="5"/>
    </row>
    <row r="13684" spans="1:1" x14ac:dyDescent="0.25">
      <c r="A13684" s="5"/>
    </row>
    <row r="13685" spans="1:1" x14ac:dyDescent="0.25">
      <c r="A13685" s="5"/>
    </row>
    <row r="13686" spans="1:1" x14ac:dyDescent="0.25">
      <c r="A13686" s="5"/>
    </row>
    <row r="13687" spans="1:1" x14ac:dyDescent="0.25">
      <c r="A13687" s="5"/>
    </row>
    <row r="13688" spans="1:1" x14ac:dyDescent="0.25">
      <c r="A13688" s="5"/>
    </row>
    <row r="13689" spans="1:1" x14ac:dyDescent="0.25">
      <c r="A13689" s="5"/>
    </row>
    <row r="13690" spans="1:1" x14ac:dyDescent="0.25">
      <c r="A13690" s="5"/>
    </row>
    <row r="13691" spans="1:1" x14ac:dyDescent="0.25">
      <c r="A13691" s="5"/>
    </row>
    <row r="13692" spans="1:1" x14ac:dyDescent="0.25">
      <c r="A13692" s="5"/>
    </row>
    <row r="13693" spans="1:1" x14ac:dyDescent="0.25">
      <c r="A13693" s="5"/>
    </row>
    <row r="13694" spans="1:1" x14ac:dyDescent="0.25">
      <c r="A13694" s="5"/>
    </row>
    <row r="13695" spans="1:1" x14ac:dyDescent="0.25">
      <c r="A13695" s="5"/>
    </row>
    <row r="13696" spans="1:1" x14ac:dyDescent="0.25">
      <c r="A13696" s="5"/>
    </row>
    <row r="13697" spans="1:1" x14ac:dyDescent="0.25">
      <c r="A13697" s="5"/>
    </row>
    <row r="13698" spans="1:1" x14ac:dyDescent="0.25">
      <c r="A13698" s="5"/>
    </row>
    <row r="13699" spans="1:1" x14ac:dyDescent="0.25">
      <c r="A13699" s="5"/>
    </row>
    <row r="13700" spans="1:1" x14ac:dyDescent="0.25">
      <c r="A13700" s="5"/>
    </row>
    <row r="13701" spans="1:1" x14ac:dyDescent="0.25">
      <c r="A13701" s="5"/>
    </row>
    <row r="13702" spans="1:1" x14ac:dyDescent="0.25">
      <c r="A13702" s="5"/>
    </row>
    <row r="13703" spans="1:1" x14ac:dyDescent="0.25">
      <c r="A13703" s="5"/>
    </row>
    <row r="13704" spans="1:1" x14ac:dyDescent="0.25">
      <c r="A13704" s="5"/>
    </row>
    <row r="13705" spans="1:1" x14ac:dyDescent="0.25">
      <c r="A13705" s="5"/>
    </row>
    <row r="13706" spans="1:1" x14ac:dyDescent="0.25">
      <c r="A13706" s="5"/>
    </row>
    <row r="13707" spans="1:1" x14ac:dyDescent="0.25">
      <c r="A13707" s="5"/>
    </row>
    <row r="13708" spans="1:1" x14ac:dyDescent="0.25">
      <c r="A13708" s="5"/>
    </row>
    <row r="13709" spans="1:1" x14ac:dyDescent="0.25">
      <c r="A13709" s="5"/>
    </row>
    <row r="13710" spans="1:1" x14ac:dyDescent="0.25">
      <c r="A13710" s="5"/>
    </row>
    <row r="13711" spans="1:1" x14ac:dyDescent="0.25">
      <c r="A13711" s="5"/>
    </row>
    <row r="13712" spans="1:1" x14ac:dyDescent="0.25">
      <c r="A13712" s="5"/>
    </row>
    <row r="13713" spans="1:1" x14ac:dyDescent="0.25">
      <c r="A13713" s="5"/>
    </row>
    <row r="13714" spans="1:1" x14ac:dyDescent="0.25">
      <c r="A13714" s="5"/>
    </row>
    <row r="13715" spans="1:1" x14ac:dyDescent="0.25">
      <c r="A13715" s="5"/>
    </row>
    <row r="13716" spans="1:1" x14ac:dyDescent="0.25">
      <c r="A13716" s="5"/>
    </row>
    <row r="13717" spans="1:1" x14ac:dyDescent="0.25">
      <c r="A13717" s="5"/>
    </row>
    <row r="13718" spans="1:1" x14ac:dyDescent="0.25">
      <c r="A13718" s="5"/>
    </row>
    <row r="13719" spans="1:1" x14ac:dyDescent="0.25">
      <c r="A13719" s="5"/>
    </row>
    <row r="13720" spans="1:1" x14ac:dyDescent="0.25">
      <c r="A13720" s="5"/>
    </row>
    <row r="13721" spans="1:1" x14ac:dyDescent="0.25">
      <c r="A13721" s="5"/>
    </row>
    <row r="13722" spans="1:1" x14ac:dyDescent="0.25">
      <c r="A13722" s="5"/>
    </row>
    <row r="13723" spans="1:1" x14ac:dyDescent="0.25">
      <c r="A13723" s="5"/>
    </row>
    <row r="13724" spans="1:1" x14ac:dyDescent="0.25">
      <c r="A13724" s="5"/>
    </row>
    <row r="13725" spans="1:1" x14ac:dyDescent="0.25">
      <c r="A13725" s="5"/>
    </row>
    <row r="13726" spans="1:1" x14ac:dyDescent="0.25">
      <c r="A13726" s="5"/>
    </row>
    <row r="13727" spans="1:1" x14ac:dyDescent="0.25">
      <c r="A13727" s="5"/>
    </row>
    <row r="13728" spans="1:1" x14ac:dyDescent="0.25">
      <c r="A13728" s="5"/>
    </row>
    <row r="13729" spans="1:1" x14ac:dyDescent="0.25">
      <c r="A13729" s="5"/>
    </row>
    <row r="13730" spans="1:1" x14ac:dyDescent="0.25">
      <c r="A13730" s="5"/>
    </row>
    <row r="13731" spans="1:1" x14ac:dyDescent="0.25">
      <c r="A13731" s="5"/>
    </row>
    <row r="13732" spans="1:1" x14ac:dyDescent="0.25">
      <c r="A13732" s="5"/>
    </row>
    <row r="13733" spans="1:1" x14ac:dyDescent="0.25">
      <c r="A13733" s="5"/>
    </row>
    <row r="13734" spans="1:1" x14ac:dyDescent="0.25">
      <c r="A13734" s="5"/>
    </row>
    <row r="13735" spans="1:1" x14ac:dyDescent="0.25">
      <c r="A13735" s="5"/>
    </row>
    <row r="13736" spans="1:1" x14ac:dyDescent="0.25">
      <c r="A13736" s="5"/>
    </row>
    <row r="13737" spans="1:1" x14ac:dyDescent="0.25">
      <c r="A13737" s="5"/>
    </row>
    <row r="13738" spans="1:1" x14ac:dyDescent="0.25">
      <c r="A13738" s="5"/>
    </row>
    <row r="13739" spans="1:1" x14ac:dyDescent="0.25">
      <c r="A13739" s="5"/>
    </row>
    <row r="13740" spans="1:1" x14ac:dyDescent="0.25">
      <c r="A13740" s="5"/>
    </row>
    <row r="13741" spans="1:1" x14ac:dyDescent="0.25">
      <c r="A13741" s="5"/>
    </row>
    <row r="13742" spans="1:1" x14ac:dyDescent="0.25">
      <c r="A13742" s="5"/>
    </row>
    <row r="13743" spans="1:1" x14ac:dyDescent="0.25">
      <c r="A13743" s="5"/>
    </row>
    <row r="13744" spans="1:1" x14ac:dyDescent="0.25">
      <c r="A13744" s="5"/>
    </row>
    <row r="13745" spans="1:1" x14ac:dyDescent="0.25">
      <c r="A13745" s="5"/>
    </row>
    <row r="13746" spans="1:1" x14ac:dyDescent="0.25">
      <c r="A13746" s="5"/>
    </row>
    <row r="13747" spans="1:1" x14ac:dyDescent="0.25">
      <c r="A13747" s="5"/>
    </row>
    <row r="13748" spans="1:1" x14ac:dyDescent="0.25">
      <c r="A13748" s="5"/>
    </row>
    <row r="13749" spans="1:1" x14ac:dyDescent="0.25">
      <c r="A13749" s="5"/>
    </row>
    <row r="13750" spans="1:1" x14ac:dyDescent="0.25">
      <c r="A13750" s="5"/>
    </row>
    <row r="13751" spans="1:1" x14ac:dyDescent="0.25">
      <c r="A13751" s="5"/>
    </row>
    <row r="13752" spans="1:1" x14ac:dyDescent="0.25">
      <c r="A13752" s="5"/>
    </row>
    <row r="13753" spans="1:1" x14ac:dyDescent="0.25">
      <c r="A13753" s="5"/>
    </row>
    <row r="13754" spans="1:1" x14ac:dyDescent="0.25">
      <c r="A13754" s="5"/>
    </row>
    <row r="13755" spans="1:1" x14ac:dyDescent="0.25">
      <c r="A13755" s="5"/>
    </row>
    <row r="13756" spans="1:1" x14ac:dyDescent="0.25">
      <c r="A13756" s="5"/>
    </row>
    <row r="13757" spans="1:1" x14ac:dyDescent="0.25">
      <c r="A13757" s="5"/>
    </row>
    <row r="13758" spans="1:1" x14ac:dyDescent="0.25">
      <c r="A13758" s="5"/>
    </row>
    <row r="13759" spans="1:1" x14ac:dyDescent="0.25">
      <c r="A13759" s="5"/>
    </row>
    <row r="13760" spans="1:1" x14ac:dyDescent="0.25">
      <c r="A13760" s="5"/>
    </row>
    <row r="13761" spans="1:1" x14ac:dyDescent="0.25">
      <c r="A13761" s="5"/>
    </row>
    <row r="13762" spans="1:1" x14ac:dyDescent="0.25">
      <c r="A13762" s="5"/>
    </row>
    <row r="13763" spans="1:1" x14ac:dyDescent="0.25">
      <c r="A13763" s="5"/>
    </row>
    <row r="13764" spans="1:1" x14ac:dyDescent="0.25">
      <c r="A13764" s="5"/>
    </row>
    <row r="13765" spans="1:1" x14ac:dyDescent="0.25">
      <c r="A13765" s="5"/>
    </row>
    <row r="13766" spans="1:1" x14ac:dyDescent="0.25">
      <c r="A13766" s="5"/>
    </row>
    <row r="13767" spans="1:1" x14ac:dyDescent="0.25">
      <c r="A13767" s="5"/>
    </row>
    <row r="13768" spans="1:1" x14ac:dyDescent="0.25">
      <c r="A13768" s="5"/>
    </row>
    <row r="13769" spans="1:1" x14ac:dyDescent="0.25">
      <c r="A13769" s="5"/>
    </row>
    <row r="13770" spans="1:1" x14ac:dyDescent="0.25">
      <c r="A13770" s="5"/>
    </row>
    <row r="13771" spans="1:1" x14ac:dyDescent="0.25">
      <c r="A13771" s="5"/>
    </row>
    <row r="13772" spans="1:1" x14ac:dyDescent="0.25">
      <c r="A13772" s="5"/>
    </row>
    <row r="13773" spans="1:1" x14ac:dyDescent="0.25">
      <c r="A13773" s="5"/>
    </row>
    <row r="13774" spans="1:1" x14ac:dyDescent="0.25">
      <c r="A13774" s="5"/>
    </row>
    <row r="13775" spans="1:1" x14ac:dyDescent="0.25">
      <c r="A13775" s="5"/>
    </row>
    <row r="13776" spans="1:1" x14ac:dyDescent="0.25">
      <c r="A13776" s="5"/>
    </row>
    <row r="13777" spans="1:1" x14ac:dyDescent="0.25">
      <c r="A13777" s="5"/>
    </row>
    <row r="13778" spans="1:1" x14ac:dyDescent="0.25">
      <c r="A13778" s="5"/>
    </row>
    <row r="13779" spans="1:1" x14ac:dyDescent="0.25">
      <c r="A13779" s="5"/>
    </row>
    <row r="13780" spans="1:1" x14ac:dyDescent="0.25">
      <c r="A13780" s="5"/>
    </row>
    <row r="13781" spans="1:1" x14ac:dyDescent="0.25">
      <c r="A13781" s="5"/>
    </row>
    <row r="13782" spans="1:1" x14ac:dyDescent="0.25">
      <c r="A13782" s="5"/>
    </row>
    <row r="13783" spans="1:1" x14ac:dyDescent="0.25">
      <c r="A13783" s="5"/>
    </row>
    <row r="13784" spans="1:1" x14ac:dyDescent="0.25">
      <c r="A13784" s="5"/>
    </row>
    <row r="13785" spans="1:1" x14ac:dyDescent="0.25">
      <c r="A13785" s="5"/>
    </row>
    <row r="13786" spans="1:1" x14ac:dyDescent="0.25">
      <c r="A13786" s="5"/>
    </row>
    <row r="13787" spans="1:1" x14ac:dyDescent="0.25">
      <c r="A13787" s="5"/>
    </row>
    <row r="13788" spans="1:1" x14ac:dyDescent="0.25">
      <c r="A13788" s="5"/>
    </row>
    <row r="13789" spans="1:1" x14ac:dyDescent="0.25">
      <c r="A13789" s="5"/>
    </row>
    <row r="13790" spans="1:1" x14ac:dyDescent="0.25">
      <c r="A13790" s="5"/>
    </row>
    <row r="13791" spans="1:1" x14ac:dyDescent="0.25">
      <c r="A13791" s="5"/>
    </row>
    <row r="13792" spans="1:1" x14ac:dyDescent="0.25">
      <c r="A13792" s="5"/>
    </row>
    <row r="13793" spans="1:1" x14ac:dyDescent="0.25">
      <c r="A13793" s="5"/>
    </row>
    <row r="13794" spans="1:1" x14ac:dyDescent="0.25">
      <c r="A13794" s="5"/>
    </row>
    <row r="13795" spans="1:1" x14ac:dyDescent="0.25">
      <c r="A13795" s="5"/>
    </row>
    <row r="13796" spans="1:1" x14ac:dyDescent="0.25">
      <c r="A13796" s="5"/>
    </row>
    <row r="13797" spans="1:1" x14ac:dyDescent="0.25">
      <c r="A13797" s="5"/>
    </row>
    <row r="13798" spans="1:1" x14ac:dyDescent="0.25">
      <c r="A13798" s="5"/>
    </row>
    <row r="13799" spans="1:1" x14ac:dyDescent="0.25">
      <c r="A13799" s="5"/>
    </row>
    <row r="13800" spans="1:1" x14ac:dyDescent="0.25">
      <c r="A13800" s="5"/>
    </row>
    <row r="13801" spans="1:1" x14ac:dyDescent="0.25">
      <c r="A13801" s="5"/>
    </row>
    <row r="13802" spans="1:1" x14ac:dyDescent="0.25">
      <c r="A13802" s="5"/>
    </row>
    <row r="13803" spans="1:1" x14ac:dyDescent="0.25">
      <c r="A13803" s="5"/>
    </row>
    <row r="13804" spans="1:1" x14ac:dyDescent="0.25">
      <c r="A13804" s="5"/>
    </row>
    <row r="13805" spans="1:1" x14ac:dyDescent="0.25">
      <c r="A13805" s="5"/>
    </row>
    <row r="13806" spans="1:1" x14ac:dyDescent="0.25">
      <c r="A13806" s="5"/>
    </row>
    <row r="13807" spans="1:1" x14ac:dyDescent="0.25">
      <c r="A13807" s="5"/>
    </row>
    <row r="13808" spans="1:1" x14ac:dyDescent="0.25">
      <c r="A13808" s="5"/>
    </row>
    <row r="13809" spans="1:1" x14ac:dyDescent="0.25">
      <c r="A13809" s="5"/>
    </row>
    <row r="13810" spans="1:1" x14ac:dyDescent="0.25">
      <c r="A13810" s="5"/>
    </row>
    <row r="13811" spans="1:1" x14ac:dyDescent="0.25">
      <c r="A13811" s="5"/>
    </row>
    <row r="13812" spans="1:1" x14ac:dyDescent="0.25">
      <c r="A13812" s="5"/>
    </row>
    <row r="13813" spans="1:1" x14ac:dyDescent="0.25">
      <c r="A13813" s="5"/>
    </row>
    <row r="13814" spans="1:1" x14ac:dyDescent="0.25">
      <c r="A13814" s="5"/>
    </row>
    <row r="13815" spans="1:1" x14ac:dyDescent="0.25">
      <c r="A13815" s="5"/>
    </row>
    <row r="13816" spans="1:1" x14ac:dyDescent="0.25">
      <c r="A13816" s="5"/>
    </row>
    <row r="13817" spans="1:1" x14ac:dyDescent="0.25">
      <c r="A13817" s="5"/>
    </row>
    <row r="13818" spans="1:1" x14ac:dyDescent="0.25">
      <c r="A13818" s="5"/>
    </row>
    <row r="13819" spans="1:1" x14ac:dyDescent="0.25">
      <c r="A13819" s="5"/>
    </row>
    <row r="13820" spans="1:1" x14ac:dyDescent="0.25">
      <c r="A13820" s="5"/>
    </row>
    <row r="13821" spans="1:1" x14ac:dyDescent="0.25">
      <c r="A13821" s="5"/>
    </row>
    <row r="13822" spans="1:1" x14ac:dyDescent="0.25">
      <c r="A13822" s="5"/>
    </row>
    <row r="13823" spans="1:1" x14ac:dyDescent="0.25">
      <c r="A13823" s="5"/>
    </row>
    <row r="13824" spans="1:1" x14ac:dyDescent="0.25">
      <c r="A13824" s="5"/>
    </row>
    <row r="13825" spans="1:1" x14ac:dyDescent="0.25">
      <c r="A13825" s="5"/>
    </row>
    <row r="13826" spans="1:1" x14ac:dyDescent="0.25">
      <c r="A13826" s="5"/>
    </row>
    <row r="13827" spans="1:1" x14ac:dyDescent="0.25">
      <c r="A13827" s="5"/>
    </row>
    <row r="13828" spans="1:1" x14ac:dyDescent="0.25">
      <c r="A13828" s="5"/>
    </row>
    <row r="13829" spans="1:1" x14ac:dyDescent="0.25">
      <c r="A13829" s="5"/>
    </row>
    <row r="13830" spans="1:1" x14ac:dyDescent="0.25">
      <c r="A13830" s="5"/>
    </row>
    <row r="13831" spans="1:1" x14ac:dyDescent="0.25">
      <c r="A13831" s="5"/>
    </row>
    <row r="13832" spans="1:1" x14ac:dyDescent="0.25">
      <c r="A13832" s="5"/>
    </row>
    <row r="13833" spans="1:1" x14ac:dyDescent="0.25">
      <c r="A13833" s="5"/>
    </row>
    <row r="13834" spans="1:1" x14ac:dyDescent="0.25">
      <c r="A13834" s="5"/>
    </row>
    <row r="13835" spans="1:1" x14ac:dyDescent="0.25">
      <c r="A13835" s="5"/>
    </row>
    <row r="13836" spans="1:1" x14ac:dyDescent="0.25">
      <c r="A13836" s="5"/>
    </row>
    <row r="13837" spans="1:1" x14ac:dyDescent="0.25">
      <c r="A13837" s="5"/>
    </row>
    <row r="13838" spans="1:1" x14ac:dyDescent="0.25">
      <c r="A13838" s="5"/>
    </row>
    <row r="13839" spans="1:1" x14ac:dyDescent="0.25">
      <c r="A13839" s="5"/>
    </row>
    <row r="13840" spans="1:1" x14ac:dyDescent="0.25">
      <c r="A13840" s="5"/>
    </row>
    <row r="13841" spans="1:1" x14ac:dyDescent="0.25">
      <c r="A13841" s="5"/>
    </row>
    <row r="13842" spans="1:1" x14ac:dyDescent="0.25">
      <c r="A13842" s="5"/>
    </row>
    <row r="13843" spans="1:1" x14ac:dyDescent="0.25">
      <c r="A13843" s="5"/>
    </row>
    <row r="13844" spans="1:1" x14ac:dyDescent="0.25">
      <c r="A13844" s="5"/>
    </row>
    <row r="13845" spans="1:1" x14ac:dyDescent="0.25">
      <c r="A13845" s="5"/>
    </row>
    <row r="13846" spans="1:1" x14ac:dyDescent="0.25">
      <c r="A13846" s="5"/>
    </row>
    <row r="13847" spans="1:1" x14ac:dyDescent="0.25">
      <c r="A13847" s="5"/>
    </row>
    <row r="13848" spans="1:1" x14ac:dyDescent="0.25">
      <c r="A13848" s="5"/>
    </row>
    <row r="13849" spans="1:1" x14ac:dyDescent="0.25">
      <c r="A13849" s="5"/>
    </row>
    <row r="13850" spans="1:1" x14ac:dyDescent="0.25">
      <c r="A13850" s="5"/>
    </row>
    <row r="13851" spans="1:1" x14ac:dyDescent="0.25">
      <c r="A13851" s="5"/>
    </row>
    <row r="13852" spans="1:1" x14ac:dyDescent="0.25">
      <c r="A13852" s="5"/>
    </row>
    <row r="13853" spans="1:1" x14ac:dyDescent="0.25">
      <c r="A13853" s="5"/>
    </row>
    <row r="13854" spans="1:1" x14ac:dyDescent="0.25">
      <c r="A13854" s="5"/>
    </row>
    <row r="13855" spans="1:1" x14ac:dyDescent="0.25">
      <c r="A13855" s="5"/>
    </row>
    <row r="13856" spans="1:1" x14ac:dyDescent="0.25">
      <c r="A13856" s="5"/>
    </row>
    <row r="13857" spans="1:1" x14ac:dyDescent="0.25">
      <c r="A13857" s="5"/>
    </row>
    <row r="13858" spans="1:1" x14ac:dyDescent="0.25">
      <c r="A13858" s="5"/>
    </row>
    <row r="13859" spans="1:1" x14ac:dyDescent="0.25">
      <c r="A13859" s="5"/>
    </row>
    <row r="13860" spans="1:1" x14ac:dyDescent="0.25">
      <c r="A13860" s="5"/>
    </row>
    <row r="13861" spans="1:1" x14ac:dyDescent="0.25">
      <c r="A13861" s="5"/>
    </row>
    <row r="13862" spans="1:1" x14ac:dyDescent="0.25">
      <c r="A13862" s="5"/>
    </row>
    <row r="13863" spans="1:1" x14ac:dyDescent="0.25">
      <c r="A13863" s="5"/>
    </row>
    <row r="13864" spans="1:1" x14ac:dyDescent="0.25">
      <c r="A13864" s="5"/>
    </row>
    <row r="13865" spans="1:1" x14ac:dyDescent="0.25">
      <c r="A13865" s="5"/>
    </row>
    <row r="13866" spans="1:1" x14ac:dyDescent="0.25">
      <c r="A13866" s="5"/>
    </row>
    <row r="13867" spans="1:1" x14ac:dyDescent="0.25">
      <c r="A13867" s="5"/>
    </row>
    <row r="13868" spans="1:1" x14ac:dyDescent="0.25">
      <c r="A13868" s="5"/>
    </row>
    <row r="13869" spans="1:1" x14ac:dyDescent="0.25">
      <c r="A13869" s="5"/>
    </row>
    <row r="13870" spans="1:1" x14ac:dyDescent="0.25">
      <c r="A13870" s="5"/>
    </row>
    <row r="13871" spans="1:1" x14ac:dyDescent="0.25">
      <c r="A13871" s="5"/>
    </row>
    <row r="13872" spans="1:1" x14ac:dyDescent="0.25">
      <c r="A13872" s="5"/>
    </row>
    <row r="13873" spans="1:1" x14ac:dyDescent="0.25">
      <c r="A13873" s="5"/>
    </row>
    <row r="13874" spans="1:1" x14ac:dyDescent="0.25">
      <c r="A13874" s="5"/>
    </row>
    <row r="13875" spans="1:1" x14ac:dyDescent="0.25">
      <c r="A13875" s="5"/>
    </row>
    <row r="13876" spans="1:1" x14ac:dyDescent="0.25">
      <c r="A13876" s="5"/>
    </row>
    <row r="13877" spans="1:1" x14ac:dyDescent="0.25">
      <c r="A13877" s="5"/>
    </row>
    <row r="13878" spans="1:1" x14ac:dyDescent="0.25">
      <c r="A13878" s="5"/>
    </row>
    <row r="13879" spans="1:1" x14ac:dyDescent="0.25">
      <c r="A13879" s="5"/>
    </row>
    <row r="13880" spans="1:1" x14ac:dyDescent="0.25">
      <c r="A13880" s="5"/>
    </row>
    <row r="13881" spans="1:1" x14ac:dyDescent="0.25">
      <c r="A13881" s="5"/>
    </row>
    <row r="13882" spans="1:1" x14ac:dyDescent="0.25">
      <c r="A13882" s="5"/>
    </row>
    <row r="13883" spans="1:1" x14ac:dyDescent="0.25">
      <c r="A13883" s="5"/>
    </row>
    <row r="13884" spans="1:1" x14ac:dyDescent="0.25">
      <c r="A13884" s="5"/>
    </row>
    <row r="13885" spans="1:1" x14ac:dyDescent="0.25">
      <c r="A13885" s="5"/>
    </row>
    <row r="13886" spans="1:1" x14ac:dyDescent="0.25">
      <c r="A13886" s="5"/>
    </row>
    <row r="13887" spans="1:1" x14ac:dyDescent="0.25">
      <c r="A13887" s="5"/>
    </row>
    <row r="13888" spans="1:1" x14ac:dyDescent="0.25">
      <c r="A13888" s="5"/>
    </row>
    <row r="13889" spans="1:1" x14ac:dyDescent="0.25">
      <c r="A13889" s="5"/>
    </row>
    <row r="13890" spans="1:1" x14ac:dyDescent="0.25">
      <c r="A13890" s="5"/>
    </row>
    <row r="13891" spans="1:1" x14ac:dyDescent="0.25">
      <c r="A13891" s="5"/>
    </row>
    <row r="13892" spans="1:1" x14ac:dyDescent="0.25">
      <c r="A13892" s="5"/>
    </row>
    <row r="13893" spans="1:1" x14ac:dyDescent="0.25">
      <c r="A13893" s="5"/>
    </row>
    <row r="13894" spans="1:1" x14ac:dyDescent="0.25">
      <c r="A13894" s="5"/>
    </row>
    <row r="13895" spans="1:1" x14ac:dyDescent="0.25">
      <c r="A13895" s="5"/>
    </row>
    <row r="13896" spans="1:1" x14ac:dyDescent="0.25">
      <c r="A13896" s="5"/>
    </row>
    <row r="13897" spans="1:1" x14ac:dyDescent="0.25">
      <c r="A13897" s="5"/>
    </row>
    <row r="13898" spans="1:1" x14ac:dyDescent="0.25">
      <c r="A13898" s="5"/>
    </row>
    <row r="13899" spans="1:1" x14ac:dyDescent="0.25">
      <c r="A13899" s="5"/>
    </row>
    <row r="13900" spans="1:1" x14ac:dyDescent="0.25">
      <c r="A13900" s="5"/>
    </row>
    <row r="13901" spans="1:1" x14ac:dyDescent="0.25">
      <c r="A13901" s="5"/>
    </row>
    <row r="13902" spans="1:1" x14ac:dyDescent="0.25">
      <c r="A13902" s="5"/>
    </row>
    <row r="13903" spans="1:1" x14ac:dyDescent="0.25">
      <c r="A13903" s="5"/>
    </row>
    <row r="13904" spans="1:1" x14ac:dyDescent="0.25">
      <c r="A13904" s="5"/>
    </row>
    <row r="13905" spans="1:1" x14ac:dyDescent="0.25">
      <c r="A13905" s="5"/>
    </row>
    <row r="13906" spans="1:1" x14ac:dyDescent="0.25">
      <c r="A13906" s="5"/>
    </row>
    <row r="13907" spans="1:1" x14ac:dyDescent="0.25">
      <c r="A13907" s="5"/>
    </row>
    <row r="13908" spans="1:1" x14ac:dyDescent="0.25">
      <c r="A13908" s="5"/>
    </row>
    <row r="13909" spans="1:1" x14ac:dyDescent="0.25">
      <c r="A13909" s="5"/>
    </row>
    <row r="13910" spans="1:1" x14ac:dyDescent="0.25">
      <c r="A13910" s="5"/>
    </row>
    <row r="13911" spans="1:1" x14ac:dyDescent="0.25">
      <c r="A13911" s="5"/>
    </row>
    <row r="13912" spans="1:1" x14ac:dyDescent="0.25">
      <c r="A13912" s="5"/>
    </row>
    <row r="13913" spans="1:1" x14ac:dyDescent="0.25">
      <c r="A13913" s="5"/>
    </row>
    <row r="13914" spans="1:1" x14ac:dyDescent="0.25">
      <c r="A13914" s="5"/>
    </row>
    <row r="13915" spans="1:1" x14ac:dyDescent="0.25">
      <c r="A13915" s="5"/>
    </row>
    <row r="13916" spans="1:1" x14ac:dyDescent="0.25">
      <c r="A13916" s="5"/>
    </row>
    <row r="13917" spans="1:1" x14ac:dyDescent="0.25">
      <c r="A13917" s="5"/>
    </row>
    <row r="13918" spans="1:1" x14ac:dyDescent="0.25">
      <c r="A13918" s="5"/>
    </row>
    <row r="13919" spans="1:1" x14ac:dyDescent="0.25">
      <c r="A13919" s="5"/>
    </row>
    <row r="13920" spans="1:1" x14ac:dyDescent="0.25">
      <c r="A13920" s="5"/>
    </row>
    <row r="13921" spans="1:1" x14ac:dyDescent="0.25">
      <c r="A13921" s="5"/>
    </row>
    <row r="13922" spans="1:1" x14ac:dyDescent="0.25">
      <c r="A13922" s="5"/>
    </row>
    <row r="13923" spans="1:1" x14ac:dyDescent="0.25">
      <c r="A13923" s="5"/>
    </row>
    <row r="13924" spans="1:1" x14ac:dyDescent="0.25">
      <c r="A13924" s="5"/>
    </row>
    <row r="13925" spans="1:1" x14ac:dyDescent="0.25">
      <c r="A13925" s="5"/>
    </row>
    <row r="13926" spans="1:1" x14ac:dyDescent="0.25">
      <c r="A13926" s="5"/>
    </row>
    <row r="13927" spans="1:1" x14ac:dyDescent="0.25">
      <c r="A13927" s="5"/>
    </row>
    <row r="13928" spans="1:1" x14ac:dyDescent="0.25">
      <c r="A13928" s="5"/>
    </row>
    <row r="13929" spans="1:1" x14ac:dyDescent="0.25">
      <c r="A13929" s="5"/>
    </row>
    <row r="13930" spans="1:1" x14ac:dyDescent="0.25">
      <c r="A13930" s="5"/>
    </row>
    <row r="13931" spans="1:1" x14ac:dyDescent="0.25">
      <c r="A13931" s="5"/>
    </row>
    <row r="13932" spans="1:1" x14ac:dyDescent="0.25">
      <c r="A13932" s="5"/>
    </row>
    <row r="13933" spans="1:1" x14ac:dyDescent="0.25">
      <c r="A13933" s="5"/>
    </row>
    <row r="13934" spans="1:1" x14ac:dyDescent="0.25">
      <c r="A13934" s="5"/>
    </row>
    <row r="13935" spans="1:1" x14ac:dyDescent="0.25">
      <c r="A13935" s="5"/>
    </row>
    <row r="13936" spans="1:1" x14ac:dyDescent="0.25">
      <c r="A13936" s="5"/>
    </row>
    <row r="13937" spans="1:1" x14ac:dyDescent="0.25">
      <c r="A13937" s="5"/>
    </row>
    <row r="13938" spans="1:1" x14ac:dyDescent="0.25">
      <c r="A13938" s="5"/>
    </row>
    <row r="13939" spans="1:1" x14ac:dyDescent="0.25">
      <c r="A13939" s="5"/>
    </row>
    <row r="13940" spans="1:1" x14ac:dyDescent="0.25">
      <c r="A13940" s="5"/>
    </row>
    <row r="13941" spans="1:1" x14ac:dyDescent="0.25">
      <c r="A13941" s="5"/>
    </row>
    <row r="13942" spans="1:1" x14ac:dyDescent="0.25">
      <c r="A13942" s="5"/>
    </row>
    <row r="13943" spans="1:1" x14ac:dyDescent="0.25">
      <c r="A13943" s="5"/>
    </row>
    <row r="13944" spans="1:1" x14ac:dyDescent="0.25">
      <c r="A13944" s="5"/>
    </row>
    <row r="13945" spans="1:1" x14ac:dyDescent="0.25">
      <c r="A13945" s="5"/>
    </row>
    <row r="13946" spans="1:1" x14ac:dyDescent="0.25">
      <c r="A13946" s="5"/>
    </row>
    <row r="13947" spans="1:1" x14ac:dyDescent="0.25">
      <c r="A13947" s="5"/>
    </row>
    <row r="13948" spans="1:1" x14ac:dyDescent="0.25">
      <c r="A13948" s="5"/>
    </row>
    <row r="13949" spans="1:1" x14ac:dyDescent="0.25">
      <c r="A13949" s="5"/>
    </row>
    <row r="13950" spans="1:1" x14ac:dyDescent="0.25">
      <c r="A13950" s="5"/>
    </row>
    <row r="13951" spans="1:1" x14ac:dyDescent="0.25">
      <c r="A13951" s="5"/>
    </row>
    <row r="13952" spans="1:1" x14ac:dyDescent="0.25">
      <c r="A13952" s="5"/>
    </row>
    <row r="13953" spans="1:1" x14ac:dyDescent="0.25">
      <c r="A13953" s="5"/>
    </row>
    <row r="13954" spans="1:1" x14ac:dyDescent="0.25">
      <c r="A13954" s="5"/>
    </row>
    <row r="13955" spans="1:1" x14ac:dyDescent="0.25">
      <c r="A13955" s="5"/>
    </row>
    <row r="13956" spans="1:1" x14ac:dyDescent="0.25">
      <c r="A13956" s="5"/>
    </row>
    <row r="13957" spans="1:1" x14ac:dyDescent="0.25">
      <c r="A13957" s="5"/>
    </row>
    <row r="13958" spans="1:1" x14ac:dyDescent="0.25">
      <c r="A13958" s="5"/>
    </row>
    <row r="13959" spans="1:1" x14ac:dyDescent="0.25">
      <c r="A13959" s="5"/>
    </row>
    <row r="13960" spans="1:1" x14ac:dyDescent="0.25">
      <c r="A13960" s="5"/>
    </row>
    <row r="13961" spans="1:1" x14ac:dyDescent="0.25">
      <c r="A13961" s="5"/>
    </row>
    <row r="13962" spans="1:1" x14ac:dyDescent="0.25">
      <c r="A13962" s="5"/>
    </row>
    <row r="13963" spans="1:1" x14ac:dyDescent="0.25">
      <c r="A13963" s="5"/>
    </row>
    <row r="13964" spans="1:1" x14ac:dyDescent="0.25">
      <c r="A13964" s="5"/>
    </row>
    <row r="13965" spans="1:1" x14ac:dyDescent="0.25">
      <c r="A13965" s="5"/>
    </row>
    <row r="13966" spans="1:1" x14ac:dyDescent="0.25">
      <c r="A13966" s="5"/>
    </row>
    <row r="13967" spans="1:1" x14ac:dyDescent="0.25">
      <c r="A13967" s="5"/>
    </row>
    <row r="13968" spans="1:1" x14ac:dyDescent="0.25">
      <c r="A13968" s="5"/>
    </row>
    <row r="13969" spans="1:1" x14ac:dyDescent="0.25">
      <c r="A13969" s="5"/>
    </row>
    <row r="13970" spans="1:1" x14ac:dyDescent="0.25">
      <c r="A13970" s="5"/>
    </row>
    <row r="13971" spans="1:1" x14ac:dyDescent="0.25">
      <c r="A13971" s="5"/>
    </row>
    <row r="13972" spans="1:1" x14ac:dyDescent="0.25">
      <c r="A13972" s="5"/>
    </row>
    <row r="13973" spans="1:1" x14ac:dyDescent="0.25">
      <c r="A13973" s="5"/>
    </row>
    <row r="13974" spans="1:1" x14ac:dyDescent="0.25">
      <c r="A13974" s="5"/>
    </row>
    <row r="13975" spans="1:1" x14ac:dyDescent="0.25">
      <c r="A13975" s="5"/>
    </row>
    <row r="13976" spans="1:1" x14ac:dyDescent="0.25">
      <c r="A13976" s="5"/>
    </row>
    <row r="13977" spans="1:1" x14ac:dyDescent="0.25">
      <c r="A13977" s="5"/>
    </row>
    <row r="13978" spans="1:1" x14ac:dyDescent="0.25">
      <c r="A13978" s="5"/>
    </row>
    <row r="13979" spans="1:1" x14ac:dyDescent="0.25">
      <c r="A13979" s="5"/>
    </row>
    <row r="13980" spans="1:1" x14ac:dyDescent="0.25">
      <c r="A13980" s="5"/>
    </row>
    <row r="13981" spans="1:1" x14ac:dyDescent="0.25">
      <c r="A13981" s="5"/>
    </row>
    <row r="13982" spans="1:1" x14ac:dyDescent="0.25">
      <c r="A13982" s="5"/>
    </row>
    <row r="13983" spans="1:1" x14ac:dyDescent="0.25">
      <c r="A13983" s="5"/>
    </row>
    <row r="13984" spans="1:1" x14ac:dyDescent="0.25">
      <c r="A13984" s="5"/>
    </row>
    <row r="13985" spans="1:1" x14ac:dyDescent="0.25">
      <c r="A13985" s="5"/>
    </row>
    <row r="13986" spans="1:1" x14ac:dyDescent="0.25">
      <c r="A13986" s="5"/>
    </row>
    <row r="13987" spans="1:1" x14ac:dyDescent="0.25">
      <c r="A13987" s="5"/>
    </row>
    <row r="13988" spans="1:1" x14ac:dyDescent="0.25">
      <c r="A13988" s="5"/>
    </row>
    <row r="13989" spans="1:1" x14ac:dyDescent="0.25">
      <c r="A13989" s="5"/>
    </row>
    <row r="13990" spans="1:1" x14ac:dyDescent="0.25">
      <c r="A13990" s="5"/>
    </row>
    <row r="13991" spans="1:1" x14ac:dyDescent="0.25">
      <c r="A13991" s="5"/>
    </row>
    <row r="13992" spans="1:1" x14ac:dyDescent="0.25">
      <c r="A13992" s="5"/>
    </row>
    <row r="13993" spans="1:1" x14ac:dyDescent="0.25">
      <c r="A13993" s="5"/>
    </row>
    <row r="13994" spans="1:1" x14ac:dyDescent="0.25">
      <c r="A13994" s="5"/>
    </row>
    <row r="13995" spans="1:1" x14ac:dyDescent="0.25">
      <c r="A13995" s="5"/>
    </row>
    <row r="13996" spans="1:1" x14ac:dyDescent="0.25">
      <c r="A13996" s="5"/>
    </row>
    <row r="13997" spans="1:1" x14ac:dyDescent="0.25">
      <c r="A13997" s="5"/>
    </row>
    <row r="13998" spans="1:1" x14ac:dyDescent="0.25">
      <c r="A13998" s="5"/>
    </row>
    <row r="13999" spans="1:1" x14ac:dyDescent="0.25">
      <c r="A13999" s="5"/>
    </row>
    <row r="14000" spans="1:1" x14ac:dyDescent="0.25">
      <c r="A14000" s="5"/>
    </row>
    <row r="14001" spans="1:1" x14ac:dyDescent="0.25">
      <c r="A14001" s="5"/>
    </row>
    <row r="14002" spans="1:1" x14ac:dyDescent="0.25">
      <c r="A14002" s="5"/>
    </row>
    <row r="14003" spans="1:1" x14ac:dyDescent="0.25">
      <c r="A14003" s="5"/>
    </row>
    <row r="14004" spans="1:1" x14ac:dyDescent="0.25">
      <c r="A14004" s="5"/>
    </row>
    <row r="14005" spans="1:1" x14ac:dyDescent="0.25">
      <c r="A14005" s="5"/>
    </row>
    <row r="14006" spans="1:1" x14ac:dyDescent="0.25">
      <c r="A14006" s="5"/>
    </row>
    <row r="14007" spans="1:1" x14ac:dyDescent="0.25">
      <c r="A14007" s="5"/>
    </row>
    <row r="14008" spans="1:1" x14ac:dyDescent="0.25">
      <c r="A14008" s="5"/>
    </row>
    <row r="14009" spans="1:1" x14ac:dyDescent="0.25">
      <c r="A14009" s="5"/>
    </row>
    <row r="14010" spans="1:1" x14ac:dyDescent="0.25">
      <c r="A14010" s="5"/>
    </row>
    <row r="14011" spans="1:1" x14ac:dyDescent="0.25">
      <c r="A14011" s="5"/>
    </row>
    <row r="14012" spans="1:1" x14ac:dyDescent="0.25">
      <c r="A14012" s="5"/>
    </row>
    <row r="14013" spans="1:1" x14ac:dyDescent="0.25">
      <c r="A14013" s="5"/>
    </row>
    <row r="14014" spans="1:1" x14ac:dyDescent="0.25">
      <c r="A14014" s="5"/>
    </row>
    <row r="14015" spans="1:1" x14ac:dyDescent="0.25">
      <c r="A14015" s="5"/>
    </row>
    <row r="14016" spans="1:1" x14ac:dyDescent="0.25">
      <c r="A14016" s="5"/>
    </row>
    <row r="14017" spans="1:1" x14ac:dyDescent="0.25">
      <c r="A14017" s="5"/>
    </row>
    <row r="14018" spans="1:1" x14ac:dyDescent="0.25">
      <c r="A14018" s="5"/>
    </row>
    <row r="14019" spans="1:1" x14ac:dyDescent="0.25">
      <c r="A14019" s="5"/>
    </row>
    <row r="14020" spans="1:1" x14ac:dyDescent="0.25">
      <c r="A14020" s="5"/>
    </row>
    <row r="14021" spans="1:1" x14ac:dyDescent="0.25">
      <c r="A14021" s="5"/>
    </row>
    <row r="14022" spans="1:1" x14ac:dyDescent="0.25">
      <c r="A14022" s="5"/>
    </row>
    <row r="14023" spans="1:1" x14ac:dyDescent="0.25">
      <c r="A14023" s="5"/>
    </row>
    <row r="14024" spans="1:1" x14ac:dyDescent="0.25">
      <c r="A14024" s="5"/>
    </row>
    <row r="14025" spans="1:1" x14ac:dyDescent="0.25">
      <c r="A14025" s="5"/>
    </row>
    <row r="14026" spans="1:1" x14ac:dyDescent="0.25">
      <c r="A14026" s="5"/>
    </row>
    <row r="14027" spans="1:1" x14ac:dyDescent="0.25">
      <c r="A14027" s="5"/>
    </row>
    <row r="14028" spans="1:1" x14ac:dyDescent="0.25">
      <c r="A14028" s="5"/>
    </row>
    <row r="14029" spans="1:1" x14ac:dyDescent="0.25">
      <c r="A14029" s="5"/>
    </row>
    <row r="14030" spans="1:1" x14ac:dyDescent="0.25">
      <c r="A14030" s="5"/>
    </row>
    <row r="14031" spans="1:1" x14ac:dyDescent="0.25">
      <c r="A14031" s="5"/>
    </row>
    <row r="14032" spans="1:1" x14ac:dyDescent="0.25">
      <c r="A14032" s="5"/>
    </row>
    <row r="14033" spans="1:1" x14ac:dyDescent="0.25">
      <c r="A14033" s="5"/>
    </row>
    <row r="14034" spans="1:1" x14ac:dyDescent="0.25">
      <c r="A14034" s="5"/>
    </row>
    <row r="14035" spans="1:1" x14ac:dyDescent="0.25">
      <c r="A14035" s="5"/>
    </row>
    <row r="14036" spans="1:1" x14ac:dyDescent="0.25">
      <c r="A14036" s="5"/>
    </row>
    <row r="14037" spans="1:1" x14ac:dyDescent="0.25">
      <c r="A14037" s="5"/>
    </row>
    <row r="14038" spans="1:1" x14ac:dyDescent="0.25">
      <c r="A14038" s="5"/>
    </row>
    <row r="14039" spans="1:1" x14ac:dyDescent="0.25">
      <c r="A14039" s="5"/>
    </row>
    <row r="14040" spans="1:1" x14ac:dyDescent="0.25">
      <c r="A14040" s="5"/>
    </row>
    <row r="14041" spans="1:1" x14ac:dyDescent="0.25">
      <c r="A14041" s="5"/>
    </row>
    <row r="14042" spans="1:1" x14ac:dyDescent="0.25">
      <c r="A14042" s="5"/>
    </row>
    <row r="14043" spans="1:1" x14ac:dyDescent="0.25">
      <c r="A14043" s="5"/>
    </row>
    <row r="14044" spans="1:1" x14ac:dyDescent="0.25">
      <c r="A14044" s="5"/>
    </row>
    <row r="14045" spans="1:1" x14ac:dyDescent="0.25">
      <c r="A14045" s="5"/>
    </row>
    <row r="14046" spans="1:1" x14ac:dyDescent="0.25">
      <c r="A14046" s="5"/>
    </row>
    <row r="14047" spans="1:1" x14ac:dyDescent="0.25">
      <c r="A14047" s="5"/>
    </row>
    <row r="14048" spans="1:1" x14ac:dyDescent="0.25">
      <c r="A14048" s="5"/>
    </row>
    <row r="14049" spans="1:1" x14ac:dyDescent="0.25">
      <c r="A14049" s="5"/>
    </row>
    <row r="14050" spans="1:1" x14ac:dyDescent="0.25">
      <c r="A14050" s="5"/>
    </row>
    <row r="14051" spans="1:1" x14ac:dyDescent="0.25">
      <c r="A14051" s="5"/>
    </row>
    <row r="14052" spans="1:1" x14ac:dyDescent="0.25">
      <c r="A14052" s="5"/>
    </row>
    <row r="14053" spans="1:1" x14ac:dyDescent="0.25">
      <c r="A14053" s="5"/>
    </row>
    <row r="14054" spans="1:1" x14ac:dyDescent="0.25">
      <c r="A14054" s="5"/>
    </row>
    <row r="14055" spans="1:1" x14ac:dyDescent="0.25">
      <c r="A14055" s="5"/>
    </row>
    <row r="14056" spans="1:1" x14ac:dyDescent="0.25">
      <c r="A14056" s="5"/>
    </row>
    <row r="14057" spans="1:1" x14ac:dyDescent="0.25">
      <c r="A14057" s="5"/>
    </row>
    <row r="14058" spans="1:1" x14ac:dyDescent="0.25">
      <c r="A14058" s="5"/>
    </row>
    <row r="14059" spans="1:1" x14ac:dyDescent="0.25">
      <c r="A14059" s="5"/>
    </row>
    <row r="14060" spans="1:1" x14ac:dyDescent="0.25">
      <c r="A14060" s="5"/>
    </row>
    <row r="14061" spans="1:1" x14ac:dyDescent="0.25">
      <c r="A14061" s="5"/>
    </row>
    <row r="14062" spans="1:1" x14ac:dyDescent="0.25">
      <c r="A14062" s="5"/>
    </row>
    <row r="14063" spans="1:1" x14ac:dyDescent="0.25">
      <c r="A14063" s="5"/>
    </row>
    <row r="14064" spans="1:1" x14ac:dyDescent="0.25">
      <c r="A14064" s="5"/>
    </row>
    <row r="14065" spans="1:1" x14ac:dyDescent="0.25">
      <c r="A14065" s="5"/>
    </row>
    <row r="14066" spans="1:1" x14ac:dyDescent="0.25">
      <c r="A14066" s="5"/>
    </row>
    <row r="14067" spans="1:1" x14ac:dyDescent="0.25">
      <c r="A14067" s="5"/>
    </row>
    <row r="14068" spans="1:1" x14ac:dyDescent="0.25">
      <c r="A14068" s="5"/>
    </row>
    <row r="14069" spans="1:1" x14ac:dyDescent="0.25">
      <c r="A14069" s="5"/>
    </row>
    <row r="14070" spans="1:1" x14ac:dyDescent="0.25">
      <c r="A14070" s="5"/>
    </row>
    <row r="14071" spans="1:1" x14ac:dyDescent="0.25">
      <c r="A14071" s="5"/>
    </row>
    <row r="14072" spans="1:1" x14ac:dyDescent="0.25">
      <c r="A14072" s="5"/>
    </row>
    <row r="14073" spans="1:1" x14ac:dyDescent="0.25">
      <c r="A14073" s="5"/>
    </row>
    <row r="14074" spans="1:1" x14ac:dyDescent="0.25">
      <c r="A14074" s="5"/>
    </row>
    <row r="14075" spans="1:1" x14ac:dyDescent="0.25">
      <c r="A14075" s="5"/>
    </row>
    <row r="14076" spans="1:1" x14ac:dyDescent="0.25">
      <c r="A14076" s="5"/>
    </row>
    <row r="14077" spans="1:1" x14ac:dyDescent="0.25">
      <c r="A14077" s="5"/>
    </row>
    <row r="14078" spans="1:1" x14ac:dyDescent="0.25">
      <c r="A14078" s="5"/>
    </row>
    <row r="14079" spans="1:1" x14ac:dyDescent="0.25">
      <c r="A14079" s="5"/>
    </row>
    <row r="14080" spans="1:1" x14ac:dyDescent="0.25">
      <c r="A14080" s="5"/>
    </row>
    <row r="14081" spans="1:1" x14ac:dyDescent="0.25">
      <c r="A14081" s="5"/>
    </row>
    <row r="14082" spans="1:1" x14ac:dyDescent="0.25">
      <c r="A14082" s="5"/>
    </row>
    <row r="14083" spans="1:1" x14ac:dyDescent="0.25">
      <c r="A14083" s="5"/>
    </row>
    <row r="14084" spans="1:1" x14ac:dyDescent="0.25">
      <c r="A14084" s="5"/>
    </row>
    <row r="14085" spans="1:1" x14ac:dyDescent="0.25">
      <c r="A14085" s="5"/>
    </row>
    <row r="14086" spans="1:1" x14ac:dyDescent="0.25">
      <c r="A14086" s="5"/>
    </row>
    <row r="14087" spans="1:1" x14ac:dyDescent="0.25">
      <c r="A14087" s="5"/>
    </row>
    <row r="14088" spans="1:1" x14ac:dyDescent="0.25">
      <c r="A14088" s="5"/>
    </row>
    <row r="14089" spans="1:1" x14ac:dyDescent="0.25">
      <c r="A14089" s="5"/>
    </row>
    <row r="14090" spans="1:1" x14ac:dyDescent="0.25">
      <c r="A14090" s="5"/>
    </row>
    <row r="14091" spans="1:1" x14ac:dyDescent="0.25">
      <c r="A14091" s="5"/>
    </row>
    <row r="14092" spans="1:1" x14ac:dyDescent="0.25">
      <c r="A14092" s="5"/>
    </row>
    <row r="14093" spans="1:1" x14ac:dyDescent="0.25">
      <c r="A14093" s="5"/>
    </row>
    <row r="14094" spans="1:1" x14ac:dyDescent="0.25">
      <c r="A14094" s="5"/>
    </row>
    <row r="14095" spans="1:1" x14ac:dyDescent="0.25">
      <c r="A14095" s="5"/>
    </row>
    <row r="14096" spans="1:1" x14ac:dyDescent="0.25">
      <c r="A14096" s="5"/>
    </row>
    <row r="14097" spans="1:1" x14ac:dyDescent="0.25">
      <c r="A14097" s="5"/>
    </row>
    <row r="14098" spans="1:1" x14ac:dyDescent="0.25">
      <c r="A14098" s="5"/>
    </row>
    <row r="14099" spans="1:1" x14ac:dyDescent="0.25">
      <c r="A14099" s="5"/>
    </row>
    <row r="14100" spans="1:1" x14ac:dyDescent="0.25">
      <c r="A14100" s="5"/>
    </row>
    <row r="14101" spans="1:1" x14ac:dyDescent="0.25">
      <c r="A14101" s="5"/>
    </row>
    <row r="14102" spans="1:1" x14ac:dyDescent="0.25">
      <c r="A14102" s="5"/>
    </row>
    <row r="14103" spans="1:1" x14ac:dyDescent="0.25">
      <c r="A14103" s="5"/>
    </row>
    <row r="14104" spans="1:1" x14ac:dyDescent="0.25">
      <c r="A14104" s="5"/>
    </row>
    <row r="14105" spans="1:1" x14ac:dyDescent="0.25">
      <c r="A14105" s="5"/>
    </row>
    <row r="14106" spans="1:1" x14ac:dyDescent="0.25">
      <c r="A14106" s="5"/>
    </row>
    <row r="14107" spans="1:1" x14ac:dyDescent="0.25">
      <c r="A14107" s="5"/>
    </row>
    <row r="14108" spans="1:1" x14ac:dyDescent="0.25">
      <c r="A14108" s="5"/>
    </row>
    <row r="14109" spans="1:1" x14ac:dyDescent="0.25">
      <c r="A14109" s="5"/>
    </row>
    <row r="14110" spans="1:1" x14ac:dyDescent="0.25">
      <c r="A14110" s="5"/>
    </row>
    <row r="14111" spans="1:1" x14ac:dyDescent="0.25">
      <c r="A14111" s="5"/>
    </row>
    <row r="14112" spans="1:1" x14ac:dyDescent="0.25">
      <c r="A14112" s="5"/>
    </row>
    <row r="14113" spans="1:1" x14ac:dyDescent="0.25">
      <c r="A14113" s="5"/>
    </row>
    <row r="14114" spans="1:1" x14ac:dyDescent="0.25">
      <c r="A14114" s="5"/>
    </row>
    <row r="14115" spans="1:1" x14ac:dyDescent="0.25">
      <c r="A14115" s="5"/>
    </row>
    <row r="14116" spans="1:1" x14ac:dyDescent="0.25">
      <c r="A14116" s="5"/>
    </row>
    <row r="14117" spans="1:1" x14ac:dyDescent="0.25">
      <c r="A14117" s="5"/>
    </row>
    <row r="14118" spans="1:1" x14ac:dyDescent="0.25">
      <c r="A14118" s="5"/>
    </row>
    <row r="14119" spans="1:1" x14ac:dyDescent="0.25">
      <c r="A14119" s="5"/>
    </row>
    <row r="14120" spans="1:1" x14ac:dyDescent="0.25">
      <c r="A14120" s="5"/>
    </row>
    <row r="14121" spans="1:1" x14ac:dyDescent="0.25">
      <c r="A14121" s="5"/>
    </row>
    <row r="14122" spans="1:1" x14ac:dyDescent="0.25">
      <c r="A14122" s="5"/>
    </row>
    <row r="14123" spans="1:1" x14ac:dyDescent="0.25">
      <c r="A14123" s="5"/>
    </row>
    <row r="14124" spans="1:1" x14ac:dyDescent="0.25">
      <c r="A14124" s="5"/>
    </row>
    <row r="14125" spans="1:1" x14ac:dyDescent="0.25">
      <c r="A14125" s="5"/>
    </row>
    <row r="14126" spans="1:1" x14ac:dyDescent="0.25">
      <c r="A14126" s="5"/>
    </row>
    <row r="14127" spans="1:1" x14ac:dyDescent="0.25">
      <c r="A14127" s="5"/>
    </row>
    <row r="14128" spans="1:1" x14ac:dyDescent="0.25">
      <c r="A14128" s="5"/>
    </row>
    <row r="14129" spans="1:1" x14ac:dyDescent="0.25">
      <c r="A14129" s="5"/>
    </row>
    <row r="14130" spans="1:1" x14ac:dyDescent="0.25">
      <c r="A14130" s="5"/>
    </row>
    <row r="14131" spans="1:1" x14ac:dyDescent="0.25">
      <c r="A14131" s="5"/>
    </row>
    <row r="14132" spans="1:1" x14ac:dyDescent="0.25">
      <c r="A14132" s="5"/>
    </row>
    <row r="14133" spans="1:1" x14ac:dyDescent="0.25">
      <c r="A14133" s="5"/>
    </row>
    <row r="14134" spans="1:1" x14ac:dyDescent="0.25">
      <c r="A14134" s="5"/>
    </row>
    <row r="14135" spans="1:1" x14ac:dyDescent="0.25">
      <c r="A14135" s="5"/>
    </row>
    <row r="14136" spans="1:1" x14ac:dyDescent="0.25">
      <c r="A14136" s="5"/>
    </row>
    <row r="14137" spans="1:1" x14ac:dyDescent="0.25">
      <c r="A14137" s="5"/>
    </row>
    <row r="14138" spans="1:1" x14ac:dyDescent="0.25">
      <c r="A14138" s="5"/>
    </row>
    <row r="14139" spans="1:1" x14ac:dyDescent="0.25">
      <c r="A14139" s="5"/>
    </row>
    <row r="14140" spans="1:1" x14ac:dyDescent="0.25">
      <c r="A14140" s="5"/>
    </row>
    <row r="14141" spans="1:1" x14ac:dyDescent="0.25">
      <c r="A14141" s="5"/>
    </row>
    <row r="14142" spans="1:1" x14ac:dyDescent="0.25">
      <c r="A14142" s="5"/>
    </row>
    <row r="14143" spans="1:1" x14ac:dyDescent="0.25">
      <c r="A14143" s="5"/>
    </row>
    <row r="14144" spans="1:1" x14ac:dyDescent="0.25">
      <c r="A14144" s="5"/>
    </row>
    <row r="14145" spans="1:1" x14ac:dyDescent="0.25">
      <c r="A14145" s="5"/>
    </row>
    <row r="14146" spans="1:1" x14ac:dyDescent="0.25">
      <c r="A14146" s="5"/>
    </row>
    <row r="14147" spans="1:1" x14ac:dyDescent="0.25">
      <c r="A14147" s="5"/>
    </row>
    <row r="14148" spans="1:1" x14ac:dyDescent="0.25">
      <c r="A14148" s="5"/>
    </row>
    <row r="14149" spans="1:1" x14ac:dyDescent="0.25">
      <c r="A14149" s="5"/>
    </row>
    <row r="14150" spans="1:1" x14ac:dyDescent="0.25">
      <c r="A14150" s="5"/>
    </row>
    <row r="14151" spans="1:1" x14ac:dyDescent="0.25">
      <c r="A14151" s="5"/>
    </row>
    <row r="14152" spans="1:1" x14ac:dyDescent="0.25">
      <c r="A14152" s="5"/>
    </row>
    <row r="14153" spans="1:1" x14ac:dyDescent="0.25">
      <c r="A14153" s="5"/>
    </row>
    <row r="14154" spans="1:1" x14ac:dyDescent="0.25">
      <c r="A14154" s="5"/>
    </row>
    <row r="14155" spans="1:1" x14ac:dyDescent="0.25">
      <c r="A14155" s="5"/>
    </row>
    <row r="14156" spans="1:1" x14ac:dyDescent="0.25">
      <c r="A14156" s="5"/>
    </row>
    <row r="14157" spans="1:1" x14ac:dyDescent="0.25">
      <c r="A14157" s="5"/>
    </row>
    <row r="14158" spans="1:1" x14ac:dyDescent="0.25">
      <c r="A14158" s="5"/>
    </row>
    <row r="14159" spans="1:1" x14ac:dyDescent="0.25">
      <c r="A14159" s="5"/>
    </row>
    <row r="14160" spans="1:1" x14ac:dyDescent="0.25">
      <c r="A14160" s="5"/>
    </row>
    <row r="14161" spans="1:1" x14ac:dyDescent="0.25">
      <c r="A14161" s="5"/>
    </row>
    <row r="14162" spans="1:1" x14ac:dyDescent="0.25">
      <c r="A14162" s="5"/>
    </row>
    <row r="14163" spans="1:1" x14ac:dyDescent="0.25">
      <c r="A14163" s="5"/>
    </row>
    <row r="14164" spans="1:1" x14ac:dyDescent="0.25">
      <c r="A14164" s="5"/>
    </row>
    <row r="14165" spans="1:1" x14ac:dyDescent="0.25">
      <c r="A14165" s="5"/>
    </row>
    <row r="14166" spans="1:1" x14ac:dyDescent="0.25">
      <c r="A14166" s="5"/>
    </row>
    <row r="14167" spans="1:1" x14ac:dyDescent="0.25">
      <c r="A14167" s="5"/>
    </row>
    <row r="14168" spans="1:1" x14ac:dyDescent="0.25">
      <c r="A14168" s="5"/>
    </row>
    <row r="14169" spans="1:1" x14ac:dyDescent="0.25">
      <c r="A14169" s="5"/>
    </row>
    <row r="14170" spans="1:1" x14ac:dyDescent="0.25">
      <c r="A14170" s="5"/>
    </row>
    <row r="14171" spans="1:1" x14ac:dyDescent="0.25">
      <c r="A14171" s="5"/>
    </row>
    <row r="14172" spans="1:1" x14ac:dyDescent="0.25">
      <c r="A14172" s="5"/>
    </row>
    <row r="14173" spans="1:1" x14ac:dyDescent="0.25">
      <c r="A14173" s="5"/>
    </row>
    <row r="14174" spans="1:1" x14ac:dyDescent="0.25">
      <c r="A14174" s="5"/>
    </row>
    <row r="14175" spans="1:1" x14ac:dyDescent="0.25">
      <c r="A14175" s="5"/>
    </row>
    <row r="14176" spans="1:1" x14ac:dyDescent="0.25">
      <c r="A14176" s="5"/>
    </row>
    <row r="14177" spans="1:1" x14ac:dyDescent="0.25">
      <c r="A14177" s="5"/>
    </row>
    <row r="14178" spans="1:1" x14ac:dyDescent="0.25">
      <c r="A14178" s="5"/>
    </row>
    <row r="14179" spans="1:1" x14ac:dyDescent="0.25">
      <c r="A14179" s="5"/>
    </row>
    <row r="14180" spans="1:1" x14ac:dyDescent="0.25">
      <c r="A14180" s="5"/>
    </row>
    <row r="14181" spans="1:1" x14ac:dyDescent="0.25">
      <c r="A14181" s="5"/>
    </row>
    <row r="14182" spans="1:1" x14ac:dyDescent="0.25">
      <c r="A14182" s="5"/>
    </row>
    <row r="14183" spans="1:1" x14ac:dyDescent="0.25">
      <c r="A14183" s="5"/>
    </row>
    <row r="14184" spans="1:1" x14ac:dyDescent="0.25">
      <c r="A14184" s="5"/>
    </row>
    <row r="14185" spans="1:1" x14ac:dyDescent="0.25">
      <c r="A14185" s="5"/>
    </row>
    <row r="14186" spans="1:1" x14ac:dyDescent="0.25">
      <c r="A14186" s="5"/>
    </row>
    <row r="14187" spans="1:1" x14ac:dyDescent="0.25">
      <c r="A14187" s="5"/>
    </row>
    <row r="14188" spans="1:1" x14ac:dyDescent="0.25">
      <c r="A14188" s="5"/>
    </row>
    <row r="14189" spans="1:1" x14ac:dyDescent="0.25">
      <c r="A14189" s="5"/>
    </row>
    <row r="14190" spans="1:1" x14ac:dyDescent="0.25">
      <c r="A14190" s="5"/>
    </row>
    <row r="14191" spans="1:1" x14ac:dyDescent="0.25">
      <c r="A14191" s="5"/>
    </row>
    <row r="14192" spans="1:1" x14ac:dyDescent="0.25">
      <c r="A14192" s="5"/>
    </row>
    <row r="14193" spans="1:1" x14ac:dyDescent="0.25">
      <c r="A14193" s="5"/>
    </row>
    <row r="14194" spans="1:1" x14ac:dyDescent="0.25">
      <c r="A14194" s="5"/>
    </row>
    <row r="14195" spans="1:1" x14ac:dyDescent="0.25">
      <c r="A14195" s="5"/>
    </row>
    <row r="14196" spans="1:1" x14ac:dyDescent="0.25">
      <c r="A14196" s="5"/>
    </row>
    <row r="14197" spans="1:1" x14ac:dyDescent="0.25">
      <c r="A14197" s="5"/>
    </row>
    <row r="14198" spans="1:1" x14ac:dyDescent="0.25">
      <c r="A14198" s="5"/>
    </row>
    <row r="14199" spans="1:1" x14ac:dyDescent="0.25">
      <c r="A14199" s="5"/>
    </row>
    <row r="14200" spans="1:1" x14ac:dyDescent="0.25">
      <c r="A14200" s="5"/>
    </row>
    <row r="14201" spans="1:1" x14ac:dyDescent="0.25">
      <c r="A14201" s="5"/>
    </row>
    <row r="14202" spans="1:1" x14ac:dyDescent="0.25">
      <c r="A14202" s="5"/>
    </row>
    <row r="14203" spans="1:1" x14ac:dyDescent="0.25">
      <c r="A14203" s="5"/>
    </row>
    <row r="14204" spans="1:1" x14ac:dyDescent="0.25">
      <c r="A14204" s="5"/>
    </row>
    <row r="14205" spans="1:1" x14ac:dyDescent="0.25">
      <c r="A14205" s="5"/>
    </row>
    <row r="14206" spans="1:1" x14ac:dyDescent="0.25">
      <c r="A14206" s="5"/>
    </row>
    <row r="14207" spans="1:1" x14ac:dyDescent="0.25">
      <c r="A14207" s="5"/>
    </row>
    <row r="14208" spans="1:1" x14ac:dyDescent="0.25">
      <c r="A14208" s="5"/>
    </row>
    <row r="14209" spans="1:1" x14ac:dyDescent="0.25">
      <c r="A14209" s="5"/>
    </row>
    <row r="14210" spans="1:1" x14ac:dyDescent="0.25">
      <c r="A14210" s="5"/>
    </row>
    <row r="14211" spans="1:1" x14ac:dyDescent="0.25">
      <c r="A14211" s="5"/>
    </row>
    <row r="14212" spans="1:1" x14ac:dyDescent="0.25">
      <c r="A14212" s="5"/>
    </row>
    <row r="14213" spans="1:1" x14ac:dyDescent="0.25">
      <c r="A14213" s="5"/>
    </row>
    <row r="14214" spans="1:1" x14ac:dyDescent="0.25">
      <c r="A14214" s="5"/>
    </row>
    <row r="14215" spans="1:1" x14ac:dyDescent="0.25">
      <c r="A14215" s="5"/>
    </row>
    <row r="14216" spans="1:1" x14ac:dyDescent="0.25">
      <c r="A14216" s="5"/>
    </row>
    <row r="14217" spans="1:1" x14ac:dyDescent="0.25">
      <c r="A14217" s="5"/>
    </row>
    <row r="14218" spans="1:1" x14ac:dyDescent="0.25">
      <c r="A14218" s="5"/>
    </row>
    <row r="14219" spans="1:1" x14ac:dyDescent="0.25">
      <c r="A14219" s="5"/>
    </row>
    <row r="14220" spans="1:1" x14ac:dyDescent="0.25">
      <c r="A14220" s="5"/>
    </row>
    <row r="14221" spans="1:1" x14ac:dyDescent="0.25">
      <c r="A14221" s="5"/>
    </row>
    <row r="14222" spans="1:1" x14ac:dyDescent="0.25">
      <c r="A14222" s="5"/>
    </row>
    <row r="14223" spans="1:1" x14ac:dyDescent="0.25">
      <c r="A14223" s="5"/>
    </row>
    <row r="14224" spans="1:1" x14ac:dyDescent="0.25">
      <c r="A14224" s="5"/>
    </row>
    <row r="14225" spans="1:1" x14ac:dyDescent="0.25">
      <c r="A14225" s="5"/>
    </row>
    <row r="14226" spans="1:1" x14ac:dyDescent="0.25">
      <c r="A14226" s="5"/>
    </row>
    <row r="14227" spans="1:1" x14ac:dyDescent="0.25">
      <c r="A14227" s="5"/>
    </row>
    <row r="14228" spans="1:1" x14ac:dyDescent="0.25">
      <c r="A14228" s="5"/>
    </row>
    <row r="14229" spans="1:1" x14ac:dyDescent="0.25">
      <c r="A14229" s="5"/>
    </row>
    <row r="14230" spans="1:1" x14ac:dyDescent="0.25">
      <c r="A14230" s="5"/>
    </row>
    <row r="14231" spans="1:1" x14ac:dyDescent="0.25">
      <c r="A14231" s="5"/>
    </row>
    <row r="14232" spans="1:1" x14ac:dyDescent="0.25">
      <c r="A14232" s="5"/>
    </row>
    <row r="14233" spans="1:1" x14ac:dyDescent="0.25">
      <c r="A14233" s="5"/>
    </row>
    <row r="14234" spans="1:1" x14ac:dyDescent="0.25">
      <c r="A14234" s="5"/>
    </row>
    <row r="14235" spans="1:1" x14ac:dyDescent="0.25">
      <c r="A14235" s="5"/>
    </row>
    <row r="14236" spans="1:1" x14ac:dyDescent="0.25">
      <c r="A14236" s="5"/>
    </row>
    <row r="14237" spans="1:1" x14ac:dyDescent="0.25">
      <c r="A14237" s="5"/>
    </row>
    <row r="14238" spans="1:1" x14ac:dyDescent="0.25">
      <c r="A14238" s="5"/>
    </row>
    <row r="14239" spans="1:1" x14ac:dyDescent="0.25">
      <c r="A14239" s="5"/>
    </row>
    <row r="14240" spans="1:1" x14ac:dyDescent="0.25">
      <c r="A14240" s="5"/>
    </row>
    <row r="14241" spans="1:1" x14ac:dyDescent="0.25">
      <c r="A14241" s="5"/>
    </row>
    <row r="14242" spans="1:1" x14ac:dyDescent="0.25">
      <c r="A14242" s="5"/>
    </row>
    <row r="14243" spans="1:1" x14ac:dyDescent="0.25">
      <c r="A14243" s="5"/>
    </row>
    <row r="14244" spans="1:1" x14ac:dyDescent="0.25">
      <c r="A14244" s="5"/>
    </row>
    <row r="14245" spans="1:1" x14ac:dyDescent="0.25">
      <c r="A14245" s="5"/>
    </row>
    <row r="14246" spans="1:1" x14ac:dyDescent="0.25">
      <c r="A14246" s="5"/>
    </row>
    <row r="14247" spans="1:1" x14ac:dyDescent="0.25">
      <c r="A14247" s="5"/>
    </row>
    <row r="14248" spans="1:1" x14ac:dyDescent="0.25">
      <c r="A14248" s="5"/>
    </row>
    <row r="14249" spans="1:1" x14ac:dyDescent="0.25">
      <c r="A14249" s="5"/>
    </row>
    <row r="14250" spans="1:1" x14ac:dyDescent="0.25">
      <c r="A14250" s="5"/>
    </row>
    <row r="14251" spans="1:1" x14ac:dyDescent="0.25">
      <c r="A14251" s="5"/>
    </row>
    <row r="14252" spans="1:1" x14ac:dyDescent="0.25">
      <c r="A14252" s="5"/>
    </row>
    <row r="14253" spans="1:1" x14ac:dyDescent="0.25">
      <c r="A14253" s="5"/>
    </row>
    <row r="14254" spans="1:1" x14ac:dyDescent="0.25">
      <c r="A14254" s="5"/>
    </row>
    <row r="14255" spans="1:1" x14ac:dyDescent="0.25">
      <c r="A14255" s="5"/>
    </row>
    <row r="14256" spans="1:1" x14ac:dyDescent="0.25">
      <c r="A14256" s="5"/>
    </row>
    <row r="14257" spans="1:1" x14ac:dyDescent="0.25">
      <c r="A14257" s="5"/>
    </row>
    <row r="14258" spans="1:1" x14ac:dyDescent="0.25">
      <c r="A14258" s="5"/>
    </row>
    <row r="14259" spans="1:1" x14ac:dyDescent="0.25">
      <c r="A14259" s="5"/>
    </row>
    <row r="14260" spans="1:1" x14ac:dyDescent="0.25">
      <c r="A14260" s="5"/>
    </row>
    <row r="14261" spans="1:1" x14ac:dyDescent="0.25">
      <c r="A14261" s="5"/>
    </row>
    <row r="14262" spans="1:1" x14ac:dyDescent="0.25">
      <c r="A14262" s="5"/>
    </row>
    <row r="14263" spans="1:1" x14ac:dyDescent="0.25">
      <c r="A14263" s="5"/>
    </row>
    <row r="14264" spans="1:1" x14ac:dyDescent="0.25">
      <c r="A14264" s="5"/>
    </row>
    <row r="14265" spans="1:1" x14ac:dyDescent="0.25">
      <c r="A14265" s="5"/>
    </row>
    <row r="14266" spans="1:1" x14ac:dyDescent="0.25">
      <c r="A14266" s="5"/>
    </row>
    <row r="14267" spans="1:1" x14ac:dyDescent="0.25">
      <c r="A14267" s="5"/>
    </row>
    <row r="14268" spans="1:1" x14ac:dyDescent="0.25">
      <c r="A14268" s="5"/>
    </row>
    <row r="14269" spans="1:1" x14ac:dyDescent="0.25">
      <c r="A14269" s="5"/>
    </row>
    <row r="14270" spans="1:1" x14ac:dyDescent="0.25">
      <c r="A14270" s="5"/>
    </row>
    <row r="14271" spans="1:1" x14ac:dyDescent="0.25">
      <c r="A14271" s="5"/>
    </row>
    <row r="14272" spans="1:1" x14ac:dyDescent="0.25">
      <c r="A14272" s="5"/>
    </row>
    <row r="14273" spans="1:1" x14ac:dyDescent="0.25">
      <c r="A14273" s="5"/>
    </row>
    <row r="14274" spans="1:1" x14ac:dyDescent="0.25">
      <c r="A14274" s="5"/>
    </row>
    <row r="14275" spans="1:1" x14ac:dyDescent="0.25">
      <c r="A14275" s="5"/>
    </row>
    <row r="14276" spans="1:1" x14ac:dyDescent="0.25">
      <c r="A14276" s="5"/>
    </row>
    <row r="14277" spans="1:1" x14ac:dyDescent="0.25">
      <c r="A14277" s="5"/>
    </row>
    <row r="14278" spans="1:1" x14ac:dyDescent="0.25">
      <c r="A14278" s="5"/>
    </row>
    <row r="14279" spans="1:1" x14ac:dyDescent="0.25">
      <c r="A14279" s="5"/>
    </row>
    <row r="14280" spans="1:1" x14ac:dyDescent="0.25">
      <c r="A14280" s="5"/>
    </row>
    <row r="14281" spans="1:1" x14ac:dyDescent="0.25">
      <c r="A14281" s="5"/>
    </row>
    <row r="14282" spans="1:1" x14ac:dyDescent="0.25">
      <c r="A14282" s="5"/>
    </row>
    <row r="14283" spans="1:1" x14ac:dyDescent="0.25">
      <c r="A14283" s="5"/>
    </row>
    <row r="14284" spans="1:1" x14ac:dyDescent="0.25">
      <c r="A14284" s="5"/>
    </row>
    <row r="14285" spans="1:1" x14ac:dyDescent="0.25">
      <c r="A14285" s="5"/>
    </row>
    <row r="14286" spans="1:1" x14ac:dyDescent="0.25">
      <c r="A14286" s="5"/>
    </row>
    <row r="14287" spans="1:1" x14ac:dyDescent="0.25">
      <c r="A14287" s="5"/>
    </row>
    <row r="14288" spans="1:1" x14ac:dyDescent="0.25">
      <c r="A14288" s="5"/>
    </row>
    <row r="14289" spans="1:1" x14ac:dyDescent="0.25">
      <c r="A14289" s="5"/>
    </row>
    <row r="14290" spans="1:1" x14ac:dyDescent="0.25">
      <c r="A14290" s="5"/>
    </row>
    <row r="14291" spans="1:1" x14ac:dyDescent="0.25">
      <c r="A14291" s="5"/>
    </row>
    <row r="14292" spans="1:1" x14ac:dyDescent="0.25">
      <c r="A14292" s="5"/>
    </row>
    <row r="14293" spans="1:1" x14ac:dyDescent="0.25">
      <c r="A14293" s="5"/>
    </row>
    <row r="14294" spans="1:1" x14ac:dyDescent="0.25">
      <c r="A14294" s="5"/>
    </row>
    <row r="14295" spans="1:1" x14ac:dyDescent="0.25">
      <c r="A14295" s="5"/>
    </row>
    <row r="14296" spans="1:1" x14ac:dyDescent="0.25">
      <c r="A14296" s="5"/>
    </row>
    <row r="14297" spans="1:1" x14ac:dyDescent="0.25">
      <c r="A14297" s="5"/>
    </row>
    <row r="14298" spans="1:1" x14ac:dyDescent="0.25">
      <c r="A14298" s="5"/>
    </row>
    <row r="14299" spans="1:1" x14ac:dyDescent="0.25">
      <c r="A14299" s="5"/>
    </row>
    <row r="14300" spans="1:1" x14ac:dyDescent="0.25">
      <c r="A14300" s="5"/>
    </row>
    <row r="14301" spans="1:1" x14ac:dyDescent="0.25">
      <c r="A14301" s="5"/>
    </row>
    <row r="14302" spans="1:1" x14ac:dyDescent="0.25">
      <c r="A14302" s="5"/>
    </row>
    <row r="14303" spans="1:1" x14ac:dyDescent="0.25">
      <c r="A14303" s="5"/>
    </row>
    <row r="14304" spans="1:1" x14ac:dyDescent="0.25">
      <c r="A14304" s="5"/>
    </row>
    <row r="14305" spans="1:1" x14ac:dyDescent="0.25">
      <c r="A14305" s="5"/>
    </row>
    <row r="14306" spans="1:1" x14ac:dyDescent="0.25">
      <c r="A14306" s="5"/>
    </row>
    <row r="14307" spans="1:1" x14ac:dyDescent="0.25">
      <c r="A14307" s="5"/>
    </row>
    <row r="14308" spans="1:1" x14ac:dyDescent="0.25">
      <c r="A14308" s="5"/>
    </row>
    <row r="14309" spans="1:1" x14ac:dyDescent="0.25">
      <c r="A14309" s="5"/>
    </row>
    <row r="14310" spans="1:1" x14ac:dyDescent="0.25">
      <c r="A14310" s="5"/>
    </row>
    <row r="14311" spans="1:1" x14ac:dyDescent="0.25">
      <c r="A14311" s="5"/>
    </row>
    <row r="14312" spans="1:1" x14ac:dyDescent="0.25">
      <c r="A14312" s="5"/>
    </row>
    <row r="14313" spans="1:1" x14ac:dyDescent="0.25">
      <c r="A14313" s="5"/>
    </row>
    <row r="14314" spans="1:1" x14ac:dyDescent="0.25">
      <c r="A14314" s="5"/>
    </row>
    <row r="14315" spans="1:1" x14ac:dyDescent="0.25">
      <c r="A14315" s="5"/>
    </row>
    <row r="14316" spans="1:1" x14ac:dyDescent="0.25">
      <c r="A14316" s="5"/>
    </row>
    <row r="14317" spans="1:1" x14ac:dyDescent="0.25">
      <c r="A14317" s="5"/>
    </row>
    <row r="14318" spans="1:1" x14ac:dyDescent="0.25">
      <c r="A14318" s="5"/>
    </row>
    <row r="14319" spans="1:1" x14ac:dyDescent="0.25">
      <c r="A14319" s="5"/>
    </row>
    <row r="14320" spans="1:1" x14ac:dyDescent="0.25">
      <c r="A14320" s="5"/>
    </row>
    <row r="14321" spans="1:1" x14ac:dyDescent="0.25">
      <c r="A14321" s="5"/>
    </row>
    <row r="14322" spans="1:1" x14ac:dyDescent="0.25">
      <c r="A14322" s="5"/>
    </row>
    <row r="14323" spans="1:1" x14ac:dyDescent="0.25">
      <c r="A14323" s="5"/>
    </row>
    <row r="14324" spans="1:1" x14ac:dyDescent="0.25">
      <c r="A14324" s="5"/>
    </row>
    <row r="14325" spans="1:1" x14ac:dyDescent="0.25">
      <c r="A14325" s="5"/>
    </row>
    <row r="14326" spans="1:1" x14ac:dyDescent="0.25">
      <c r="A14326" s="5"/>
    </row>
    <row r="14327" spans="1:1" x14ac:dyDescent="0.25">
      <c r="A14327" s="5"/>
    </row>
    <row r="14328" spans="1:1" x14ac:dyDescent="0.25">
      <c r="A14328" s="5"/>
    </row>
    <row r="14329" spans="1:1" x14ac:dyDescent="0.25">
      <c r="A14329" s="5"/>
    </row>
    <row r="14330" spans="1:1" x14ac:dyDescent="0.25">
      <c r="A14330" s="5"/>
    </row>
    <row r="14331" spans="1:1" x14ac:dyDescent="0.25">
      <c r="A14331" s="5"/>
    </row>
    <row r="14332" spans="1:1" x14ac:dyDescent="0.25">
      <c r="A14332" s="5"/>
    </row>
    <row r="14333" spans="1:1" x14ac:dyDescent="0.25">
      <c r="A14333" s="5"/>
    </row>
    <row r="14334" spans="1:1" x14ac:dyDescent="0.25">
      <c r="A14334" s="5"/>
    </row>
    <row r="14335" spans="1:1" x14ac:dyDescent="0.25">
      <c r="A14335" s="5"/>
    </row>
    <row r="14336" spans="1:1" x14ac:dyDescent="0.25">
      <c r="A14336" s="5"/>
    </row>
    <row r="14337" spans="1:1" x14ac:dyDescent="0.25">
      <c r="A14337" s="5"/>
    </row>
    <row r="14338" spans="1:1" x14ac:dyDescent="0.25">
      <c r="A14338" s="5"/>
    </row>
    <row r="14339" spans="1:1" x14ac:dyDescent="0.25">
      <c r="A14339" s="5"/>
    </row>
    <row r="14340" spans="1:1" x14ac:dyDescent="0.25">
      <c r="A14340" s="5"/>
    </row>
    <row r="14341" spans="1:1" x14ac:dyDescent="0.25">
      <c r="A14341" s="5"/>
    </row>
    <row r="14342" spans="1:1" x14ac:dyDescent="0.25">
      <c r="A14342" s="5"/>
    </row>
    <row r="14343" spans="1:1" x14ac:dyDescent="0.25">
      <c r="A14343" s="5"/>
    </row>
    <row r="14344" spans="1:1" x14ac:dyDescent="0.25">
      <c r="A14344" s="5"/>
    </row>
    <row r="14345" spans="1:1" x14ac:dyDescent="0.25">
      <c r="A14345" s="5"/>
    </row>
    <row r="14346" spans="1:1" x14ac:dyDescent="0.25">
      <c r="A14346" s="5"/>
    </row>
    <row r="14347" spans="1:1" x14ac:dyDescent="0.25">
      <c r="A14347" s="5"/>
    </row>
    <row r="14348" spans="1:1" x14ac:dyDescent="0.25">
      <c r="A14348" s="5"/>
    </row>
    <row r="14349" spans="1:1" x14ac:dyDescent="0.25">
      <c r="A14349" s="5"/>
    </row>
    <row r="14350" spans="1:1" x14ac:dyDescent="0.25">
      <c r="A14350" s="5"/>
    </row>
    <row r="14351" spans="1:1" x14ac:dyDescent="0.25">
      <c r="A14351" s="5"/>
    </row>
    <row r="14352" spans="1:1" x14ac:dyDescent="0.25">
      <c r="A14352" s="5"/>
    </row>
    <row r="14353" spans="1:1" x14ac:dyDescent="0.25">
      <c r="A14353" s="5"/>
    </row>
    <row r="14354" spans="1:1" x14ac:dyDescent="0.25">
      <c r="A14354" s="5"/>
    </row>
    <row r="14355" spans="1:1" x14ac:dyDescent="0.25">
      <c r="A14355" s="5"/>
    </row>
    <row r="14356" spans="1:1" x14ac:dyDescent="0.25">
      <c r="A14356" s="5"/>
    </row>
    <row r="14357" spans="1:1" x14ac:dyDescent="0.25">
      <c r="A14357" s="5"/>
    </row>
    <row r="14358" spans="1:1" x14ac:dyDescent="0.25">
      <c r="A14358" s="5"/>
    </row>
    <row r="14359" spans="1:1" x14ac:dyDescent="0.25">
      <c r="A14359" s="5"/>
    </row>
    <row r="14360" spans="1:1" x14ac:dyDescent="0.25">
      <c r="A14360" s="5"/>
    </row>
    <row r="14361" spans="1:1" x14ac:dyDescent="0.25">
      <c r="A14361" s="5"/>
    </row>
    <row r="14362" spans="1:1" x14ac:dyDescent="0.25">
      <c r="A14362" s="5"/>
    </row>
    <row r="14363" spans="1:1" x14ac:dyDescent="0.25">
      <c r="A14363" s="5"/>
    </row>
    <row r="14364" spans="1:1" x14ac:dyDescent="0.25">
      <c r="A14364" s="5"/>
    </row>
    <row r="14365" spans="1:1" x14ac:dyDescent="0.25">
      <c r="A14365" s="5"/>
    </row>
    <row r="14366" spans="1:1" x14ac:dyDescent="0.25">
      <c r="A14366" s="5"/>
    </row>
    <row r="14367" spans="1:1" x14ac:dyDescent="0.25">
      <c r="A14367" s="5"/>
    </row>
    <row r="14368" spans="1:1" x14ac:dyDescent="0.25">
      <c r="A14368" s="5"/>
    </row>
    <row r="14369" spans="1:1" x14ac:dyDescent="0.25">
      <c r="A14369" s="5"/>
    </row>
    <row r="14370" spans="1:1" x14ac:dyDescent="0.25">
      <c r="A14370" s="5"/>
    </row>
    <row r="14371" spans="1:1" x14ac:dyDescent="0.25">
      <c r="A14371" s="5"/>
    </row>
    <row r="14372" spans="1:1" x14ac:dyDescent="0.25">
      <c r="A14372" s="5"/>
    </row>
    <row r="14373" spans="1:1" x14ac:dyDescent="0.25">
      <c r="A14373" s="5"/>
    </row>
    <row r="14374" spans="1:1" x14ac:dyDescent="0.25">
      <c r="A14374" s="5"/>
    </row>
    <row r="14375" spans="1:1" x14ac:dyDescent="0.25">
      <c r="A14375" s="5"/>
    </row>
    <row r="14376" spans="1:1" x14ac:dyDescent="0.25">
      <c r="A14376" s="5"/>
    </row>
    <row r="14377" spans="1:1" x14ac:dyDescent="0.25">
      <c r="A14377" s="5"/>
    </row>
    <row r="14378" spans="1:1" x14ac:dyDescent="0.25">
      <c r="A14378" s="5"/>
    </row>
    <row r="14379" spans="1:1" x14ac:dyDescent="0.25">
      <c r="A14379" s="5"/>
    </row>
    <row r="14380" spans="1:1" x14ac:dyDescent="0.25">
      <c r="A14380" s="5"/>
    </row>
    <row r="14381" spans="1:1" x14ac:dyDescent="0.25">
      <c r="A14381" s="5"/>
    </row>
    <row r="14382" spans="1:1" x14ac:dyDescent="0.25">
      <c r="A14382" s="5"/>
    </row>
    <row r="14383" spans="1:1" x14ac:dyDescent="0.25">
      <c r="A14383" s="5"/>
    </row>
    <row r="14384" spans="1:1" x14ac:dyDescent="0.25">
      <c r="A14384" s="5"/>
    </row>
    <row r="14385" spans="1:1" x14ac:dyDescent="0.25">
      <c r="A14385" s="5"/>
    </row>
    <row r="14386" spans="1:1" x14ac:dyDescent="0.25">
      <c r="A14386" s="5"/>
    </row>
    <row r="14387" spans="1:1" x14ac:dyDescent="0.25">
      <c r="A14387" s="5"/>
    </row>
    <row r="14388" spans="1:1" x14ac:dyDescent="0.25">
      <c r="A14388" s="5"/>
    </row>
    <row r="14389" spans="1:1" x14ac:dyDescent="0.25">
      <c r="A14389" s="5"/>
    </row>
    <row r="14390" spans="1:1" x14ac:dyDescent="0.25">
      <c r="A14390" s="5"/>
    </row>
    <row r="14391" spans="1:1" x14ac:dyDescent="0.25">
      <c r="A14391" s="5"/>
    </row>
    <row r="14392" spans="1:1" x14ac:dyDescent="0.25">
      <c r="A14392" s="5"/>
    </row>
    <row r="14393" spans="1:1" x14ac:dyDescent="0.25">
      <c r="A14393" s="5"/>
    </row>
    <row r="14394" spans="1:1" x14ac:dyDescent="0.25">
      <c r="A14394" s="5"/>
    </row>
    <row r="14395" spans="1:1" x14ac:dyDescent="0.25">
      <c r="A14395" s="5"/>
    </row>
    <row r="14396" spans="1:1" x14ac:dyDescent="0.25">
      <c r="A14396" s="5"/>
    </row>
    <row r="14397" spans="1:1" x14ac:dyDescent="0.25">
      <c r="A14397" s="5"/>
    </row>
    <row r="14398" spans="1:1" x14ac:dyDescent="0.25">
      <c r="A14398" s="5"/>
    </row>
    <row r="14399" spans="1:1" x14ac:dyDescent="0.25">
      <c r="A14399" s="5"/>
    </row>
    <row r="14400" spans="1:1" x14ac:dyDescent="0.25">
      <c r="A14400" s="5"/>
    </row>
    <row r="14401" spans="1:1" x14ac:dyDescent="0.25">
      <c r="A14401" s="5"/>
    </row>
    <row r="14402" spans="1:1" x14ac:dyDescent="0.25">
      <c r="A14402" s="5"/>
    </row>
    <row r="14403" spans="1:1" x14ac:dyDescent="0.25">
      <c r="A14403" s="5"/>
    </row>
    <row r="14404" spans="1:1" x14ac:dyDescent="0.25">
      <c r="A14404" s="5"/>
    </row>
    <row r="14405" spans="1:1" x14ac:dyDescent="0.25">
      <c r="A14405" s="5"/>
    </row>
    <row r="14406" spans="1:1" x14ac:dyDescent="0.25">
      <c r="A14406" s="5"/>
    </row>
    <row r="14407" spans="1:1" x14ac:dyDescent="0.25">
      <c r="A14407" s="5"/>
    </row>
    <row r="14408" spans="1:1" x14ac:dyDescent="0.25">
      <c r="A14408" s="5"/>
    </row>
    <row r="14409" spans="1:1" x14ac:dyDescent="0.25">
      <c r="A14409" s="5"/>
    </row>
    <row r="14410" spans="1:1" x14ac:dyDescent="0.25">
      <c r="A14410" s="5"/>
    </row>
    <row r="14411" spans="1:1" x14ac:dyDescent="0.25">
      <c r="A14411" s="5"/>
    </row>
    <row r="14412" spans="1:1" x14ac:dyDescent="0.25">
      <c r="A14412" s="5"/>
    </row>
    <row r="14413" spans="1:1" x14ac:dyDescent="0.25">
      <c r="A14413" s="5"/>
    </row>
    <row r="14414" spans="1:1" x14ac:dyDescent="0.25">
      <c r="A14414" s="5"/>
    </row>
    <row r="14415" spans="1:1" x14ac:dyDescent="0.25">
      <c r="A14415" s="5"/>
    </row>
    <row r="14416" spans="1:1" x14ac:dyDescent="0.25">
      <c r="A14416" s="5"/>
    </row>
    <row r="14417" spans="1:1" x14ac:dyDescent="0.25">
      <c r="A14417" s="5"/>
    </row>
    <row r="14418" spans="1:1" x14ac:dyDescent="0.25">
      <c r="A14418" s="5"/>
    </row>
    <row r="14419" spans="1:1" x14ac:dyDescent="0.25">
      <c r="A14419" s="5"/>
    </row>
    <row r="14420" spans="1:1" x14ac:dyDescent="0.25">
      <c r="A14420" s="5"/>
    </row>
    <row r="14421" spans="1:1" x14ac:dyDescent="0.25">
      <c r="A14421" s="5"/>
    </row>
    <row r="14422" spans="1:1" x14ac:dyDescent="0.25">
      <c r="A14422" s="5"/>
    </row>
    <row r="14423" spans="1:1" x14ac:dyDescent="0.25">
      <c r="A14423" s="5"/>
    </row>
    <row r="14424" spans="1:1" x14ac:dyDescent="0.25">
      <c r="A14424" s="5"/>
    </row>
    <row r="14425" spans="1:1" x14ac:dyDescent="0.25">
      <c r="A14425" s="5"/>
    </row>
    <row r="14426" spans="1:1" x14ac:dyDescent="0.25">
      <c r="A14426" s="5"/>
    </row>
    <row r="14427" spans="1:1" x14ac:dyDescent="0.25">
      <c r="A14427" s="5"/>
    </row>
    <row r="14428" spans="1:1" x14ac:dyDescent="0.25">
      <c r="A14428" s="5"/>
    </row>
    <row r="14429" spans="1:1" x14ac:dyDescent="0.25">
      <c r="A14429" s="5"/>
    </row>
    <row r="14430" spans="1:1" x14ac:dyDescent="0.25">
      <c r="A14430" s="5"/>
    </row>
    <row r="14431" spans="1:1" x14ac:dyDescent="0.25">
      <c r="A14431" s="5"/>
    </row>
    <row r="14432" spans="1:1" x14ac:dyDescent="0.25">
      <c r="A14432" s="5"/>
    </row>
    <row r="14433" spans="1:1" x14ac:dyDescent="0.25">
      <c r="A14433" s="5"/>
    </row>
    <row r="14434" spans="1:1" x14ac:dyDescent="0.25">
      <c r="A14434" s="5"/>
    </row>
    <row r="14435" spans="1:1" x14ac:dyDescent="0.25">
      <c r="A14435" s="5"/>
    </row>
    <row r="14436" spans="1:1" x14ac:dyDescent="0.25">
      <c r="A14436" s="5"/>
    </row>
    <row r="14437" spans="1:1" x14ac:dyDescent="0.25">
      <c r="A14437" s="5"/>
    </row>
    <row r="14438" spans="1:1" x14ac:dyDescent="0.25">
      <c r="A14438" s="5"/>
    </row>
    <row r="14439" spans="1:1" x14ac:dyDescent="0.25">
      <c r="A14439" s="5"/>
    </row>
    <row r="14440" spans="1:1" x14ac:dyDescent="0.25">
      <c r="A14440" s="5"/>
    </row>
    <row r="14441" spans="1:1" x14ac:dyDescent="0.25">
      <c r="A14441" s="5"/>
    </row>
    <row r="14442" spans="1:1" x14ac:dyDescent="0.25">
      <c r="A14442" s="5"/>
    </row>
    <row r="14443" spans="1:1" x14ac:dyDescent="0.25">
      <c r="A14443" s="5"/>
    </row>
    <row r="14444" spans="1:1" x14ac:dyDescent="0.25">
      <c r="A14444" s="5"/>
    </row>
    <row r="14445" spans="1:1" x14ac:dyDescent="0.25">
      <c r="A14445" s="5"/>
    </row>
    <row r="14446" spans="1:1" x14ac:dyDescent="0.25">
      <c r="A14446" s="5"/>
    </row>
    <row r="14447" spans="1:1" x14ac:dyDescent="0.25">
      <c r="A14447" s="5"/>
    </row>
    <row r="14448" spans="1:1" x14ac:dyDescent="0.25">
      <c r="A14448" s="5"/>
    </row>
    <row r="14449" spans="1:1" x14ac:dyDescent="0.25">
      <c r="A14449" s="5"/>
    </row>
    <row r="14450" spans="1:1" x14ac:dyDescent="0.25">
      <c r="A14450" s="5"/>
    </row>
    <row r="14451" spans="1:1" x14ac:dyDescent="0.25">
      <c r="A14451" s="5"/>
    </row>
    <row r="14452" spans="1:1" x14ac:dyDescent="0.25">
      <c r="A14452" s="5"/>
    </row>
    <row r="14453" spans="1:1" x14ac:dyDescent="0.25">
      <c r="A14453" s="5"/>
    </row>
    <row r="14454" spans="1:1" x14ac:dyDescent="0.25">
      <c r="A14454" s="5"/>
    </row>
    <row r="14455" spans="1:1" x14ac:dyDescent="0.25">
      <c r="A14455" s="5"/>
    </row>
    <row r="14456" spans="1:1" x14ac:dyDescent="0.25">
      <c r="A14456" s="5"/>
    </row>
    <row r="14457" spans="1:1" x14ac:dyDescent="0.25">
      <c r="A14457" s="5"/>
    </row>
    <row r="14458" spans="1:1" x14ac:dyDescent="0.25">
      <c r="A14458" s="5"/>
    </row>
    <row r="14459" spans="1:1" x14ac:dyDescent="0.25">
      <c r="A14459" s="5"/>
    </row>
    <row r="14460" spans="1:1" x14ac:dyDescent="0.25">
      <c r="A14460" s="5"/>
    </row>
    <row r="14461" spans="1:1" x14ac:dyDescent="0.25">
      <c r="A14461" s="5"/>
    </row>
    <row r="14462" spans="1:1" x14ac:dyDescent="0.25">
      <c r="A14462" s="5"/>
    </row>
    <row r="14463" spans="1:1" x14ac:dyDescent="0.25">
      <c r="A14463" s="5"/>
    </row>
    <row r="14464" spans="1:1" x14ac:dyDescent="0.25">
      <c r="A14464" s="5"/>
    </row>
    <row r="14465" spans="1:1" x14ac:dyDescent="0.25">
      <c r="A14465" s="5"/>
    </row>
    <row r="14466" spans="1:1" x14ac:dyDescent="0.25">
      <c r="A14466" s="5"/>
    </row>
    <row r="14467" spans="1:1" x14ac:dyDescent="0.25">
      <c r="A14467" s="5"/>
    </row>
    <row r="14468" spans="1:1" x14ac:dyDescent="0.25">
      <c r="A14468" s="5"/>
    </row>
    <row r="14469" spans="1:1" x14ac:dyDescent="0.25">
      <c r="A14469" s="5"/>
    </row>
    <row r="14470" spans="1:1" x14ac:dyDescent="0.25">
      <c r="A14470" s="5"/>
    </row>
    <row r="14471" spans="1:1" x14ac:dyDescent="0.25">
      <c r="A14471" s="5"/>
    </row>
    <row r="14472" spans="1:1" x14ac:dyDescent="0.25">
      <c r="A14472" s="5"/>
    </row>
    <row r="14473" spans="1:1" x14ac:dyDescent="0.25">
      <c r="A14473" s="5"/>
    </row>
    <row r="14474" spans="1:1" x14ac:dyDescent="0.25">
      <c r="A14474" s="5"/>
    </row>
    <row r="14475" spans="1:1" x14ac:dyDescent="0.25">
      <c r="A14475" s="5"/>
    </row>
    <row r="14476" spans="1:1" x14ac:dyDescent="0.25">
      <c r="A14476" s="5"/>
    </row>
    <row r="14477" spans="1:1" x14ac:dyDescent="0.25">
      <c r="A14477" s="5"/>
    </row>
    <row r="14478" spans="1:1" x14ac:dyDescent="0.25">
      <c r="A14478" s="5"/>
    </row>
    <row r="14479" spans="1:1" x14ac:dyDescent="0.25">
      <c r="A14479" s="5"/>
    </row>
    <row r="14480" spans="1:1" x14ac:dyDescent="0.25">
      <c r="A14480" s="5"/>
    </row>
    <row r="14481" spans="1:1" x14ac:dyDescent="0.25">
      <c r="A14481" s="5"/>
    </row>
    <row r="14482" spans="1:1" x14ac:dyDescent="0.25">
      <c r="A14482" s="5"/>
    </row>
    <row r="14483" spans="1:1" x14ac:dyDescent="0.25">
      <c r="A14483" s="5"/>
    </row>
    <row r="14484" spans="1:1" x14ac:dyDescent="0.25">
      <c r="A14484" s="5"/>
    </row>
    <row r="14485" spans="1:1" x14ac:dyDescent="0.25">
      <c r="A14485" s="5"/>
    </row>
    <row r="14486" spans="1:1" x14ac:dyDescent="0.25">
      <c r="A14486" s="5"/>
    </row>
    <row r="14487" spans="1:1" x14ac:dyDescent="0.25">
      <c r="A14487" s="5"/>
    </row>
    <row r="14488" spans="1:1" x14ac:dyDescent="0.25">
      <c r="A14488" s="5"/>
    </row>
    <row r="14489" spans="1:1" x14ac:dyDescent="0.25">
      <c r="A14489" s="5"/>
    </row>
    <row r="14490" spans="1:1" x14ac:dyDescent="0.25">
      <c r="A14490" s="5"/>
    </row>
    <row r="14491" spans="1:1" x14ac:dyDescent="0.25">
      <c r="A14491" s="5"/>
    </row>
    <row r="14492" spans="1:1" x14ac:dyDescent="0.25">
      <c r="A14492" s="5"/>
    </row>
    <row r="14493" spans="1:1" x14ac:dyDescent="0.25">
      <c r="A14493" s="5"/>
    </row>
    <row r="14494" spans="1:1" x14ac:dyDescent="0.25">
      <c r="A14494" s="5"/>
    </row>
    <row r="14495" spans="1:1" x14ac:dyDescent="0.25">
      <c r="A14495" s="5"/>
    </row>
    <row r="14496" spans="1:1" x14ac:dyDescent="0.25">
      <c r="A14496" s="5"/>
    </row>
    <row r="14497" spans="1:1" x14ac:dyDescent="0.25">
      <c r="A14497" s="5"/>
    </row>
    <row r="14498" spans="1:1" x14ac:dyDescent="0.25">
      <c r="A14498" s="5"/>
    </row>
    <row r="14499" spans="1:1" x14ac:dyDescent="0.25">
      <c r="A14499" s="5"/>
    </row>
    <row r="14500" spans="1:1" x14ac:dyDescent="0.25">
      <c r="A14500" s="5"/>
    </row>
    <row r="14501" spans="1:1" x14ac:dyDescent="0.25">
      <c r="A14501" s="5"/>
    </row>
    <row r="14502" spans="1:1" x14ac:dyDescent="0.25">
      <c r="A14502" s="5"/>
    </row>
    <row r="14503" spans="1:1" x14ac:dyDescent="0.25">
      <c r="A14503" s="5"/>
    </row>
    <row r="14504" spans="1:1" x14ac:dyDescent="0.25">
      <c r="A14504" s="5"/>
    </row>
    <row r="14505" spans="1:1" x14ac:dyDescent="0.25">
      <c r="A14505" s="5"/>
    </row>
    <row r="14506" spans="1:1" x14ac:dyDescent="0.25">
      <c r="A14506" s="5"/>
    </row>
    <row r="14507" spans="1:1" x14ac:dyDescent="0.25">
      <c r="A14507" s="5"/>
    </row>
    <row r="14508" spans="1:1" x14ac:dyDescent="0.25">
      <c r="A14508" s="5"/>
    </row>
    <row r="14509" spans="1:1" x14ac:dyDescent="0.25">
      <c r="A14509" s="5"/>
    </row>
    <row r="14510" spans="1:1" x14ac:dyDescent="0.25">
      <c r="A14510" s="5"/>
    </row>
    <row r="14511" spans="1:1" x14ac:dyDescent="0.25">
      <c r="A14511" s="5"/>
    </row>
    <row r="14512" spans="1:1" x14ac:dyDescent="0.25">
      <c r="A14512" s="5"/>
    </row>
    <row r="14513" spans="1:1" x14ac:dyDescent="0.25">
      <c r="A14513" s="5"/>
    </row>
    <row r="14514" spans="1:1" x14ac:dyDescent="0.25">
      <c r="A14514" s="5"/>
    </row>
    <row r="14515" spans="1:1" x14ac:dyDescent="0.25">
      <c r="A14515" s="5"/>
    </row>
    <row r="14516" spans="1:1" x14ac:dyDescent="0.25">
      <c r="A14516" s="5"/>
    </row>
    <row r="14517" spans="1:1" x14ac:dyDescent="0.25">
      <c r="A14517" s="5"/>
    </row>
    <row r="14518" spans="1:1" x14ac:dyDescent="0.25">
      <c r="A14518" s="5"/>
    </row>
    <row r="14519" spans="1:1" x14ac:dyDescent="0.25">
      <c r="A14519" s="5"/>
    </row>
    <row r="14520" spans="1:1" x14ac:dyDescent="0.25">
      <c r="A14520" s="5"/>
    </row>
    <row r="14521" spans="1:1" x14ac:dyDescent="0.25">
      <c r="A14521" s="5"/>
    </row>
    <row r="14522" spans="1:1" x14ac:dyDescent="0.25">
      <c r="A14522" s="5"/>
    </row>
    <row r="14523" spans="1:1" x14ac:dyDescent="0.25">
      <c r="A14523" s="5"/>
    </row>
    <row r="14524" spans="1:1" x14ac:dyDescent="0.25">
      <c r="A14524" s="5"/>
    </row>
    <row r="14525" spans="1:1" x14ac:dyDescent="0.25">
      <c r="A14525" s="5"/>
    </row>
    <row r="14526" spans="1:1" x14ac:dyDescent="0.25">
      <c r="A14526" s="5"/>
    </row>
    <row r="14527" spans="1:1" x14ac:dyDescent="0.25">
      <c r="A14527" s="5"/>
    </row>
    <row r="14528" spans="1:1" x14ac:dyDescent="0.25">
      <c r="A14528" s="5"/>
    </row>
    <row r="14529" spans="1:1" x14ac:dyDescent="0.25">
      <c r="A14529" s="5"/>
    </row>
    <row r="14530" spans="1:1" x14ac:dyDescent="0.25">
      <c r="A14530" s="5"/>
    </row>
    <row r="14531" spans="1:1" x14ac:dyDescent="0.25">
      <c r="A14531" s="5"/>
    </row>
    <row r="14532" spans="1:1" x14ac:dyDescent="0.25">
      <c r="A14532" s="5"/>
    </row>
    <row r="14533" spans="1:1" x14ac:dyDescent="0.25">
      <c r="A14533" s="5"/>
    </row>
    <row r="14534" spans="1:1" x14ac:dyDescent="0.25">
      <c r="A14534" s="5"/>
    </row>
    <row r="14535" spans="1:1" x14ac:dyDescent="0.25">
      <c r="A14535" s="5"/>
    </row>
    <row r="14536" spans="1:1" x14ac:dyDescent="0.25">
      <c r="A14536" s="5"/>
    </row>
    <row r="14537" spans="1:1" x14ac:dyDescent="0.25">
      <c r="A14537" s="5"/>
    </row>
    <row r="14538" spans="1:1" x14ac:dyDescent="0.25">
      <c r="A14538" s="5"/>
    </row>
    <row r="14539" spans="1:1" x14ac:dyDescent="0.25">
      <c r="A14539" s="5"/>
    </row>
    <row r="14540" spans="1:1" x14ac:dyDescent="0.25">
      <c r="A14540" s="5"/>
    </row>
    <row r="14541" spans="1:1" x14ac:dyDescent="0.25">
      <c r="A14541" s="5"/>
    </row>
    <row r="14542" spans="1:1" x14ac:dyDescent="0.25">
      <c r="A14542" s="5"/>
    </row>
    <row r="14543" spans="1:1" x14ac:dyDescent="0.25">
      <c r="A14543" s="5"/>
    </row>
    <row r="14544" spans="1:1" x14ac:dyDescent="0.25">
      <c r="A14544" s="5"/>
    </row>
    <row r="14545" spans="1:1" x14ac:dyDescent="0.25">
      <c r="A14545" s="5"/>
    </row>
    <row r="14546" spans="1:1" x14ac:dyDescent="0.25">
      <c r="A14546" s="5"/>
    </row>
    <row r="14547" spans="1:1" x14ac:dyDescent="0.25">
      <c r="A14547" s="5"/>
    </row>
    <row r="14548" spans="1:1" x14ac:dyDescent="0.25">
      <c r="A14548" s="5"/>
    </row>
    <row r="14549" spans="1:1" x14ac:dyDescent="0.25">
      <c r="A14549" s="5"/>
    </row>
    <row r="14550" spans="1:1" x14ac:dyDescent="0.25">
      <c r="A14550" s="5"/>
    </row>
    <row r="14551" spans="1:1" x14ac:dyDescent="0.25">
      <c r="A14551" s="5"/>
    </row>
    <row r="14552" spans="1:1" x14ac:dyDescent="0.25">
      <c r="A14552" s="5"/>
    </row>
    <row r="14553" spans="1:1" x14ac:dyDescent="0.25">
      <c r="A14553" s="5"/>
    </row>
    <row r="14554" spans="1:1" x14ac:dyDescent="0.25">
      <c r="A14554" s="5"/>
    </row>
    <row r="14555" spans="1:1" x14ac:dyDescent="0.25">
      <c r="A14555" s="5"/>
    </row>
    <row r="14556" spans="1:1" x14ac:dyDescent="0.25">
      <c r="A14556" s="5"/>
    </row>
    <row r="14557" spans="1:1" x14ac:dyDescent="0.25">
      <c r="A14557" s="5"/>
    </row>
    <row r="14558" spans="1:1" x14ac:dyDescent="0.25">
      <c r="A14558" s="5"/>
    </row>
    <row r="14559" spans="1:1" x14ac:dyDescent="0.25">
      <c r="A14559" s="5"/>
    </row>
    <row r="14560" spans="1:1" x14ac:dyDescent="0.25">
      <c r="A14560" s="5"/>
    </row>
    <row r="14561" spans="1:1" x14ac:dyDescent="0.25">
      <c r="A14561" s="5"/>
    </row>
    <row r="14562" spans="1:1" x14ac:dyDescent="0.25">
      <c r="A14562" s="5"/>
    </row>
    <row r="14563" spans="1:1" x14ac:dyDescent="0.25">
      <c r="A14563" s="5"/>
    </row>
    <row r="14564" spans="1:1" x14ac:dyDescent="0.25">
      <c r="A14564" s="5"/>
    </row>
    <row r="14565" spans="1:1" x14ac:dyDescent="0.25">
      <c r="A14565" s="5"/>
    </row>
    <row r="14566" spans="1:1" x14ac:dyDescent="0.25">
      <c r="A14566" s="5"/>
    </row>
    <row r="14567" spans="1:1" x14ac:dyDescent="0.25">
      <c r="A14567" s="5"/>
    </row>
    <row r="14568" spans="1:1" x14ac:dyDescent="0.25">
      <c r="A14568" s="5"/>
    </row>
    <row r="14569" spans="1:1" x14ac:dyDescent="0.25">
      <c r="A14569" s="5"/>
    </row>
    <row r="14570" spans="1:1" x14ac:dyDescent="0.25">
      <c r="A14570" s="5"/>
    </row>
    <row r="14571" spans="1:1" x14ac:dyDescent="0.25">
      <c r="A14571" s="5"/>
    </row>
    <row r="14572" spans="1:1" x14ac:dyDescent="0.25">
      <c r="A14572" s="5"/>
    </row>
    <row r="14573" spans="1:1" x14ac:dyDescent="0.25">
      <c r="A14573" s="5"/>
    </row>
    <row r="14574" spans="1:1" x14ac:dyDescent="0.25">
      <c r="A14574" s="5"/>
    </row>
    <row r="14575" spans="1:1" x14ac:dyDescent="0.25">
      <c r="A14575" s="5"/>
    </row>
    <row r="14576" spans="1:1" x14ac:dyDescent="0.25">
      <c r="A14576" s="5"/>
    </row>
    <row r="14577" spans="1:1" x14ac:dyDescent="0.25">
      <c r="A14577" s="5"/>
    </row>
    <row r="14578" spans="1:1" x14ac:dyDescent="0.25">
      <c r="A14578" s="5"/>
    </row>
    <row r="14579" spans="1:1" x14ac:dyDescent="0.25">
      <c r="A14579" s="5"/>
    </row>
    <row r="14580" spans="1:1" x14ac:dyDescent="0.25">
      <c r="A14580" s="5"/>
    </row>
    <row r="14581" spans="1:1" x14ac:dyDescent="0.25">
      <c r="A14581" s="5"/>
    </row>
    <row r="14582" spans="1:1" x14ac:dyDescent="0.25">
      <c r="A14582" s="5"/>
    </row>
    <row r="14583" spans="1:1" x14ac:dyDescent="0.25">
      <c r="A14583" s="5"/>
    </row>
    <row r="14584" spans="1:1" x14ac:dyDescent="0.25">
      <c r="A14584" s="5"/>
    </row>
    <row r="14585" spans="1:1" x14ac:dyDescent="0.25">
      <c r="A14585" s="5"/>
    </row>
    <row r="14586" spans="1:1" x14ac:dyDescent="0.25">
      <c r="A14586" s="5"/>
    </row>
    <row r="14587" spans="1:1" x14ac:dyDescent="0.25">
      <c r="A14587" s="5"/>
    </row>
    <row r="14588" spans="1:1" x14ac:dyDescent="0.25">
      <c r="A14588" s="5"/>
    </row>
    <row r="14589" spans="1:1" x14ac:dyDescent="0.25">
      <c r="A14589" s="5"/>
    </row>
    <row r="14590" spans="1:1" x14ac:dyDescent="0.25">
      <c r="A14590" s="5"/>
    </row>
    <row r="14591" spans="1:1" x14ac:dyDescent="0.25">
      <c r="A14591" s="5"/>
    </row>
    <row r="14592" spans="1:1" x14ac:dyDescent="0.25">
      <c r="A14592" s="5"/>
    </row>
    <row r="14593" spans="1:1" x14ac:dyDescent="0.25">
      <c r="A14593" s="5"/>
    </row>
    <row r="14594" spans="1:1" x14ac:dyDescent="0.25">
      <c r="A14594" s="5"/>
    </row>
    <row r="14595" spans="1:1" x14ac:dyDescent="0.25">
      <c r="A14595" s="5"/>
    </row>
    <row r="14596" spans="1:1" x14ac:dyDescent="0.25">
      <c r="A14596" s="5"/>
    </row>
    <row r="14597" spans="1:1" x14ac:dyDescent="0.25">
      <c r="A14597" s="5"/>
    </row>
    <row r="14598" spans="1:1" x14ac:dyDescent="0.25">
      <c r="A14598" s="5"/>
    </row>
    <row r="14599" spans="1:1" x14ac:dyDescent="0.25">
      <c r="A14599" s="5"/>
    </row>
    <row r="14600" spans="1:1" x14ac:dyDescent="0.25">
      <c r="A14600" s="5"/>
    </row>
    <row r="14601" spans="1:1" x14ac:dyDescent="0.25">
      <c r="A14601" s="5"/>
    </row>
    <row r="14602" spans="1:1" x14ac:dyDescent="0.25">
      <c r="A14602" s="5"/>
    </row>
    <row r="14603" spans="1:1" x14ac:dyDescent="0.25">
      <c r="A14603" s="5"/>
    </row>
    <row r="14604" spans="1:1" x14ac:dyDescent="0.25">
      <c r="A14604" s="5"/>
    </row>
    <row r="14605" spans="1:1" x14ac:dyDescent="0.25">
      <c r="A14605" s="5"/>
    </row>
    <row r="14606" spans="1:1" x14ac:dyDescent="0.25">
      <c r="A14606" s="5"/>
    </row>
    <row r="14607" spans="1:1" x14ac:dyDescent="0.25">
      <c r="A14607" s="5"/>
    </row>
    <row r="14608" spans="1:1" x14ac:dyDescent="0.25">
      <c r="A14608" s="5"/>
    </row>
    <row r="14609" spans="1:1" x14ac:dyDescent="0.25">
      <c r="A14609" s="5"/>
    </row>
    <row r="14610" spans="1:1" x14ac:dyDescent="0.25">
      <c r="A14610" s="5"/>
    </row>
    <row r="14611" spans="1:1" x14ac:dyDescent="0.25">
      <c r="A14611" s="5"/>
    </row>
    <row r="14612" spans="1:1" x14ac:dyDescent="0.25">
      <c r="A14612" s="5"/>
    </row>
    <row r="14613" spans="1:1" x14ac:dyDescent="0.25">
      <c r="A14613" s="5"/>
    </row>
    <row r="14614" spans="1:1" x14ac:dyDescent="0.25">
      <c r="A14614" s="5"/>
    </row>
    <row r="14615" spans="1:1" x14ac:dyDescent="0.25">
      <c r="A14615" s="5"/>
    </row>
    <row r="14616" spans="1:1" x14ac:dyDescent="0.25">
      <c r="A14616" s="5"/>
    </row>
    <row r="14617" spans="1:1" x14ac:dyDescent="0.25">
      <c r="A14617" s="5"/>
    </row>
    <row r="14618" spans="1:1" x14ac:dyDescent="0.25">
      <c r="A14618" s="5"/>
    </row>
    <row r="14619" spans="1:1" x14ac:dyDescent="0.25">
      <c r="A14619" s="5"/>
    </row>
    <row r="14620" spans="1:1" x14ac:dyDescent="0.25">
      <c r="A14620" s="5"/>
    </row>
    <row r="14621" spans="1:1" x14ac:dyDescent="0.25">
      <c r="A14621" s="5"/>
    </row>
    <row r="14622" spans="1:1" x14ac:dyDescent="0.25">
      <c r="A14622" s="5"/>
    </row>
    <row r="14623" spans="1:1" x14ac:dyDescent="0.25">
      <c r="A14623" s="5"/>
    </row>
    <row r="14624" spans="1:1" x14ac:dyDescent="0.25">
      <c r="A14624" s="5"/>
    </row>
    <row r="14625" spans="1:1" x14ac:dyDescent="0.25">
      <c r="A14625" s="5"/>
    </row>
    <row r="14626" spans="1:1" x14ac:dyDescent="0.25">
      <c r="A14626" s="5"/>
    </row>
    <row r="14627" spans="1:1" x14ac:dyDescent="0.25">
      <c r="A14627" s="5"/>
    </row>
    <row r="14628" spans="1:1" x14ac:dyDescent="0.25">
      <c r="A14628" s="5"/>
    </row>
    <row r="14629" spans="1:1" x14ac:dyDescent="0.25">
      <c r="A14629" s="5"/>
    </row>
    <row r="14630" spans="1:1" x14ac:dyDescent="0.25">
      <c r="A14630" s="5"/>
    </row>
    <row r="14631" spans="1:1" x14ac:dyDescent="0.25">
      <c r="A14631" s="5"/>
    </row>
    <row r="14632" spans="1:1" x14ac:dyDescent="0.25">
      <c r="A14632" s="5"/>
    </row>
    <row r="14633" spans="1:1" x14ac:dyDescent="0.25">
      <c r="A14633" s="5"/>
    </row>
    <row r="14634" spans="1:1" x14ac:dyDescent="0.25">
      <c r="A14634" s="5"/>
    </row>
    <row r="14635" spans="1:1" x14ac:dyDescent="0.25">
      <c r="A14635" s="5"/>
    </row>
    <row r="14636" spans="1:1" x14ac:dyDescent="0.25">
      <c r="A14636" s="5"/>
    </row>
    <row r="14637" spans="1:1" x14ac:dyDescent="0.25">
      <c r="A14637" s="5"/>
    </row>
    <row r="14638" spans="1:1" x14ac:dyDescent="0.25">
      <c r="A14638" s="5"/>
    </row>
    <row r="14639" spans="1:1" x14ac:dyDescent="0.25">
      <c r="A14639" s="5"/>
    </row>
    <row r="14640" spans="1:1" x14ac:dyDescent="0.25">
      <c r="A14640" s="5"/>
    </row>
    <row r="14641" spans="1:1" x14ac:dyDescent="0.25">
      <c r="A14641" s="5"/>
    </row>
    <row r="14642" spans="1:1" x14ac:dyDescent="0.25">
      <c r="A14642" s="5"/>
    </row>
    <row r="14643" spans="1:1" x14ac:dyDescent="0.25">
      <c r="A14643" s="5"/>
    </row>
    <row r="14644" spans="1:1" x14ac:dyDescent="0.25">
      <c r="A14644" s="5"/>
    </row>
    <row r="14645" spans="1:1" x14ac:dyDescent="0.25">
      <c r="A14645" s="5"/>
    </row>
    <row r="14646" spans="1:1" x14ac:dyDescent="0.25">
      <c r="A14646" s="5"/>
    </row>
    <row r="14647" spans="1:1" x14ac:dyDescent="0.25">
      <c r="A14647" s="5"/>
    </row>
    <row r="14648" spans="1:1" x14ac:dyDescent="0.25">
      <c r="A14648" s="5"/>
    </row>
    <row r="14649" spans="1:1" x14ac:dyDescent="0.25">
      <c r="A14649" s="5"/>
    </row>
    <row r="14650" spans="1:1" x14ac:dyDescent="0.25">
      <c r="A14650" s="5"/>
    </row>
    <row r="14651" spans="1:1" x14ac:dyDescent="0.25">
      <c r="A14651" s="5"/>
    </row>
    <row r="14652" spans="1:1" x14ac:dyDescent="0.25">
      <c r="A14652" s="5"/>
    </row>
    <row r="14653" spans="1:1" x14ac:dyDescent="0.25">
      <c r="A14653" s="5"/>
    </row>
    <row r="14654" spans="1:1" x14ac:dyDescent="0.25">
      <c r="A14654" s="5"/>
    </row>
    <row r="14655" spans="1:1" x14ac:dyDescent="0.25">
      <c r="A14655" s="5"/>
    </row>
    <row r="14656" spans="1:1" x14ac:dyDescent="0.25">
      <c r="A14656" s="5"/>
    </row>
    <row r="14657" spans="1:1" x14ac:dyDescent="0.25">
      <c r="A14657" s="5"/>
    </row>
    <row r="14658" spans="1:1" x14ac:dyDescent="0.25">
      <c r="A14658" s="5"/>
    </row>
    <row r="14659" spans="1:1" x14ac:dyDescent="0.25">
      <c r="A14659" s="5"/>
    </row>
    <row r="14660" spans="1:1" x14ac:dyDescent="0.25">
      <c r="A14660" s="5"/>
    </row>
    <row r="14661" spans="1:1" x14ac:dyDescent="0.25">
      <c r="A14661" s="5"/>
    </row>
    <row r="14662" spans="1:1" x14ac:dyDescent="0.25">
      <c r="A14662" s="5"/>
    </row>
    <row r="14663" spans="1:1" x14ac:dyDescent="0.25">
      <c r="A14663" s="5"/>
    </row>
    <row r="14664" spans="1:1" x14ac:dyDescent="0.25">
      <c r="A14664" s="5"/>
    </row>
    <row r="14665" spans="1:1" x14ac:dyDescent="0.25">
      <c r="A14665" s="5"/>
    </row>
    <row r="14666" spans="1:1" x14ac:dyDescent="0.25">
      <c r="A14666" s="5"/>
    </row>
    <row r="14667" spans="1:1" x14ac:dyDescent="0.25">
      <c r="A14667" s="5"/>
    </row>
    <row r="14668" spans="1:1" x14ac:dyDescent="0.25">
      <c r="A14668" s="5"/>
    </row>
    <row r="14669" spans="1:1" x14ac:dyDescent="0.25">
      <c r="A14669" s="5"/>
    </row>
    <row r="14670" spans="1:1" x14ac:dyDescent="0.25">
      <c r="A14670" s="5"/>
    </row>
    <row r="14671" spans="1:1" x14ac:dyDescent="0.25">
      <c r="A14671" s="5"/>
    </row>
    <row r="14672" spans="1:1" x14ac:dyDescent="0.25">
      <c r="A14672" s="5"/>
    </row>
    <row r="14673" spans="1:1" x14ac:dyDescent="0.25">
      <c r="A14673" s="5"/>
    </row>
    <row r="14674" spans="1:1" x14ac:dyDescent="0.25">
      <c r="A14674" s="5"/>
    </row>
    <row r="14675" spans="1:1" x14ac:dyDescent="0.25">
      <c r="A14675" s="5"/>
    </row>
    <row r="14676" spans="1:1" x14ac:dyDescent="0.25">
      <c r="A14676" s="5"/>
    </row>
    <row r="14677" spans="1:1" x14ac:dyDescent="0.25">
      <c r="A14677" s="5"/>
    </row>
    <row r="14678" spans="1:1" x14ac:dyDescent="0.25">
      <c r="A14678" s="5"/>
    </row>
    <row r="14679" spans="1:1" x14ac:dyDescent="0.25">
      <c r="A14679" s="5"/>
    </row>
    <row r="14680" spans="1:1" x14ac:dyDescent="0.25">
      <c r="A14680" s="5"/>
    </row>
    <row r="14681" spans="1:1" x14ac:dyDescent="0.25">
      <c r="A14681" s="5"/>
    </row>
    <row r="14682" spans="1:1" x14ac:dyDescent="0.25">
      <c r="A14682" s="5"/>
    </row>
    <row r="14683" spans="1:1" x14ac:dyDescent="0.25">
      <c r="A14683" s="5"/>
    </row>
    <row r="14684" spans="1:1" x14ac:dyDescent="0.25">
      <c r="A14684" s="5"/>
    </row>
    <row r="14685" spans="1:1" x14ac:dyDescent="0.25">
      <c r="A14685" s="5"/>
    </row>
    <row r="14686" spans="1:1" x14ac:dyDescent="0.25">
      <c r="A14686" s="5"/>
    </row>
    <row r="14687" spans="1:1" x14ac:dyDescent="0.25">
      <c r="A14687" s="5"/>
    </row>
    <row r="14688" spans="1:1" x14ac:dyDescent="0.25">
      <c r="A14688" s="5"/>
    </row>
    <row r="14689" spans="1:1" x14ac:dyDescent="0.25">
      <c r="A14689" s="5"/>
    </row>
    <row r="14690" spans="1:1" x14ac:dyDescent="0.25">
      <c r="A14690" s="5"/>
    </row>
    <row r="14691" spans="1:1" x14ac:dyDescent="0.25">
      <c r="A14691" s="5"/>
    </row>
    <row r="14692" spans="1:1" x14ac:dyDescent="0.25">
      <c r="A14692" s="5"/>
    </row>
    <row r="14693" spans="1:1" x14ac:dyDescent="0.25">
      <c r="A14693" s="5"/>
    </row>
    <row r="14694" spans="1:1" x14ac:dyDescent="0.25">
      <c r="A14694" s="5"/>
    </row>
    <row r="14695" spans="1:1" x14ac:dyDescent="0.25">
      <c r="A14695" s="5"/>
    </row>
    <row r="14696" spans="1:1" x14ac:dyDescent="0.25">
      <c r="A14696" s="5"/>
    </row>
    <row r="14697" spans="1:1" x14ac:dyDescent="0.25">
      <c r="A14697" s="5"/>
    </row>
    <row r="14698" spans="1:1" x14ac:dyDescent="0.25">
      <c r="A14698" s="5"/>
    </row>
    <row r="14699" spans="1:1" x14ac:dyDescent="0.25">
      <c r="A14699" s="5"/>
    </row>
    <row r="14700" spans="1:1" x14ac:dyDescent="0.25">
      <c r="A14700" s="5"/>
    </row>
    <row r="14701" spans="1:1" x14ac:dyDescent="0.25">
      <c r="A14701" s="5"/>
    </row>
    <row r="14702" spans="1:1" x14ac:dyDescent="0.25">
      <c r="A14702" s="5"/>
    </row>
    <row r="14703" spans="1:1" x14ac:dyDescent="0.25">
      <c r="A14703" s="5"/>
    </row>
    <row r="14704" spans="1:1" x14ac:dyDescent="0.25">
      <c r="A14704" s="5"/>
    </row>
    <row r="14705" spans="1:1" x14ac:dyDescent="0.25">
      <c r="A14705" s="5"/>
    </row>
    <row r="14706" spans="1:1" x14ac:dyDescent="0.25">
      <c r="A14706" s="5"/>
    </row>
    <row r="14707" spans="1:1" x14ac:dyDescent="0.25">
      <c r="A14707" s="5"/>
    </row>
    <row r="14708" spans="1:1" x14ac:dyDescent="0.25">
      <c r="A14708" s="5"/>
    </row>
    <row r="14709" spans="1:1" x14ac:dyDescent="0.25">
      <c r="A14709" s="5"/>
    </row>
    <row r="14710" spans="1:1" x14ac:dyDescent="0.25">
      <c r="A14710" s="5"/>
    </row>
    <row r="14711" spans="1:1" x14ac:dyDescent="0.25">
      <c r="A14711" s="5"/>
    </row>
    <row r="14712" spans="1:1" x14ac:dyDescent="0.25">
      <c r="A14712" s="5"/>
    </row>
    <row r="14713" spans="1:1" x14ac:dyDescent="0.25">
      <c r="A14713" s="5"/>
    </row>
    <row r="14714" spans="1:1" x14ac:dyDescent="0.25">
      <c r="A14714" s="5"/>
    </row>
    <row r="14715" spans="1:1" x14ac:dyDescent="0.25">
      <c r="A14715" s="5"/>
    </row>
    <row r="14716" spans="1:1" x14ac:dyDescent="0.25">
      <c r="A14716" s="5"/>
    </row>
    <row r="14717" spans="1:1" x14ac:dyDescent="0.25">
      <c r="A14717" s="5"/>
    </row>
    <row r="14718" spans="1:1" x14ac:dyDescent="0.25">
      <c r="A14718" s="5"/>
    </row>
    <row r="14719" spans="1:1" x14ac:dyDescent="0.25">
      <c r="A14719" s="5"/>
    </row>
    <row r="14720" spans="1:1" x14ac:dyDescent="0.25">
      <c r="A14720" s="5"/>
    </row>
    <row r="14721" spans="1:1" x14ac:dyDescent="0.25">
      <c r="A14721" s="5"/>
    </row>
    <row r="14722" spans="1:1" x14ac:dyDescent="0.25">
      <c r="A14722" s="5"/>
    </row>
    <row r="14723" spans="1:1" x14ac:dyDescent="0.25">
      <c r="A14723" s="5"/>
    </row>
    <row r="14724" spans="1:1" x14ac:dyDescent="0.25">
      <c r="A14724" s="5"/>
    </row>
    <row r="14725" spans="1:1" x14ac:dyDescent="0.25">
      <c r="A14725" s="5"/>
    </row>
    <row r="14726" spans="1:1" x14ac:dyDescent="0.25">
      <c r="A14726" s="5"/>
    </row>
    <row r="14727" spans="1:1" x14ac:dyDescent="0.25">
      <c r="A14727" s="5"/>
    </row>
    <row r="14728" spans="1:1" x14ac:dyDescent="0.25">
      <c r="A14728" s="5"/>
    </row>
    <row r="14729" spans="1:1" x14ac:dyDescent="0.25">
      <c r="A14729" s="5"/>
    </row>
    <row r="14730" spans="1:1" x14ac:dyDescent="0.25">
      <c r="A14730" s="5"/>
    </row>
    <row r="14731" spans="1:1" x14ac:dyDescent="0.25">
      <c r="A14731" s="5"/>
    </row>
    <row r="14732" spans="1:1" x14ac:dyDescent="0.25">
      <c r="A14732" s="5"/>
    </row>
    <row r="14733" spans="1:1" x14ac:dyDescent="0.25">
      <c r="A14733" s="5"/>
    </row>
    <row r="14734" spans="1:1" x14ac:dyDescent="0.25">
      <c r="A14734" s="5"/>
    </row>
    <row r="14735" spans="1:1" x14ac:dyDescent="0.25">
      <c r="A14735" s="5"/>
    </row>
    <row r="14736" spans="1:1" x14ac:dyDescent="0.25">
      <c r="A14736" s="5"/>
    </row>
    <row r="14737" spans="1:1" x14ac:dyDescent="0.25">
      <c r="A14737" s="5"/>
    </row>
    <row r="14738" spans="1:1" x14ac:dyDescent="0.25">
      <c r="A14738" s="5"/>
    </row>
    <row r="14739" spans="1:1" x14ac:dyDescent="0.25">
      <c r="A14739" s="5"/>
    </row>
    <row r="14740" spans="1:1" x14ac:dyDescent="0.25">
      <c r="A14740" s="5"/>
    </row>
    <row r="14741" spans="1:1" x14ac:dyDescent="0.25">
      <c r="A14741" s="5"/>
    </row>
    <row r="14742" spans="1:1" x14ac:dyDescent="0.25">
      <c r="A14742" s="5"/>
    </row>
    <row r="14743" spans="1:1" x14ac:dyDescent="0.25">
      <c r="A14743" s="5"/>
    </row>
    <row r="14744" spans="1:1" x14ac:dyDescent="0.25">
      <c r="A14744" s="5"/>
    </row>
    <row r="14745" spans="1:1" x14ac:dyDescent="0.25">
      <c r="A14745" s="5"/>
    </row>
    <row r="14746" spans="1:1" x14ac:dyDescent="0.25">
      <c r="A14746" s="5"/>
    </row>
    <row r="14747" spans="1:1" x14ac:dyDescent="0.25">
      <c r="A14747" s="5"/>
    </row>
    <row r="14748" spans="1:1" x14ac:dyDescent="0.25">
      <c r="A14748" s="5"/>
    </row>
    <row r="14749" spans="1:1" x14ac:dyDescent="0.25">
      <c r="A14749" s="5"/>
    </row>
    <row r="14750" spans="1:1" x14ac:dyDescent="0.25">
      <c r="A14750" s="5"/>
    </row>
    <row r="14751" spans="1:1" x14ac:dyDescent="0.25">
      <c r="A14751" s="5"/>
    </row>
    <row r="14752" spans="1:1" x14ac:dyDescent="0.25">
      <c r="A14752" s="5"/>
    </row>
    <row r="14753" spans="1:1" x14ac:dyDescent="0.25">
      <c r="A14753" s="5"/>
    </row>
    <row r="14754" spans="1:1" x14ac:dyDescent="0.25">
      <c r="A14754" s="5"/>
    </row>
    <row r="14755" spans="1:1" x14ac:dyDescent="0.25">
      <c r="A14755" s="5"/>
    </row>
    <row r="14756" spans="1:1" x14ac:dyDescent="0.25">
      <c r="A14756" s="5"/>
    </row>
    <row r="14757" spans="1:1" x14ac:dyDescent="0.25">
      <c r="A14757" s="5"/>
    </row>
    <row r="14758" spans="1:1" x14ac:dyDescent="0.25">
      <c r="A14758" s="5"/>
    </row>
    <row r="14759" spans="1:1" x14ac:dyDescent="0.25">
      <c r="A14759" s="5"/>
    </row>
    <row r="14760" spans="1:1" x14ac:dyDescent="0.25">
      <c r="A14760" s="5"/>
    </row>
    <row r="14761" spans="1:1" x14ac:dyDescent="0.25">
      <c r="A14761" s="5"/>
    </row>
    <row r="14762" spans="1:1" x14ac:dyDescent="0.25">
      <c r="A14762" s="5"/>
    </row>
    <row r="14763" spans="1:1" x14ac:dyDescent="0.25">
      <c r="A14763" s="5"/>
    </row>
    <row r="14764" spans="1:1" x14ac:dyDescent="0.25">
      <c r="A14764" s="5"/>
    </row>
    <row r="14765" spans="1:1" x14ac:dyDescent="0.25">
      <c r="A14765" s="5"/>
    </row>
    <row r="14766" spans="1:1" x14ac:dyDescent="0.25">
      <c r="A14766" s="5"/>
    </row>
    <row r="14767" spans="1:1" x14ac:dyDescent="0.25">
      <c r="A14767" s="5"/>
    </row>
    <row r="14768" spans="1:1" x14ac:dyDescent="0.25">
      <c r="A14768" s="5"/>
    </row>
    <row r="14769" spans="1:1" x14ac:dyDescent="0.25">
      <c r="A14769" s="5"/>
    </row>
    <row r="14770" spans="1:1" x14ac:dyDescent="0.25">
      <c r="A14770" s="5"/>
    </row>
    <row r="14771" spans="1:1" x14ac:dyDescent="0.25">
      <c r="A14771" s="5"/>
    </row>
    <row r="14772" spans="1:1" x14ac:dyDescent="0.25">
      <c r="A14772" s="5"/>
    </row>
    <row r="14773" spans="1:1" x14ac:dyDescent="0.25">
      <c r="A14773" s="5"/>
    </row>
    <row r="14774" spans="1:1" x14ac:dyDescent="0.25">
      <c r="A14774" s="5"/>
    </row>
    <row r="14775" spans="1:1" x14ac:dyDescent="0.25">
      <c r="A14775" s="5"/>
    </row>
    <row r="14776" spans="1:1" x14ac:dyDescent="0.25">
      <c r="A14776" s="5"/>
    </row>
    <row r="14777" spans="1:1" x14ac:dyDescent="0.25">
      <c r="A14777" s="5"/>
    </row>
    <row r="14778" spans="1:1" x14ac:dyDescent="0.25">
      <c r="A14778" s="5"/>
    </row>
    <row r="14779" spans="1:1" x14ac:dyDescent="0.25">
      <c r="A14779" s="5"/>
    </row>
    <row r="14780" spans="1:1" x14ac:dyDescent="0.25">
      <c r="A14780" s="5"/>
    </row>
    <row r="14781" spans="1:1" x14ac:dyDescent="0.25">
      <c r="A14781" s="5"/>
    </row>
    <row r="14782" spans="1:1" x14ac:dyDescent="0.25">
      <c r="A14782" s="5"/>
    </row>
    <row r="14783" spans="1:1" x14ac:dyDescent="0.25">
      <c r="A14783" s="5"/>
    </row>
    <row r="14784" spans="1:1" x14ac:dyDescent="0.25">
      <c r="A14784" s="5"/>
    </row>
    <row r="14785" spans="1:1" x14ac:dyDescent="0.25">
      <c r="A14785" s="5"/>
    </row>
    <row r="14786" spans="1:1" x14ac:dyDescent="0.25">
      <c r="A14786" s="5"/>
    </row>
    <row r="14787" spans="1:1" x14ac:dyDescent="0.25">
      <c r="A14787" s="5"/>
    </row>
    <row r="14788" spans="1:1" x14ac:dyDescent="0.25">
      <c r="A14788" s="5"/>
    </row>
    <row r="14789" spans="1:1" x14ac:dyDescent="0.25">
      <c r="A14789" s="5"/>
    </row>
    <row r="14790" spans="1:1" x14ac:dyDescent="0.25">
      <c r="A14790" s="5"/>
    </row>
    <row r="14791" spans="1:1" x14ac:dyDescent="0.25">
      <c r="A14791" s="5"/>
    </row>
    <row r="14792" spans="1:1" x14ac:dyDescent="0.25">
      <c r="A14792" s="5"/>
    </row>
    <row r="14793" spans="1:1" x14ac:dyDescent="0.25">
      <c r="A14793" s="5"/>
    </row>
    <row r="14794" spans="1:1" x14ac:dyDescent="0.25">
      <c r="A14794" s="5"/>
    </row>
    <row r="14795" spans="1:1" x14ac:dyDescent="0.25">
      <c r="A14795" s="5"/>
    </row>
    <row r="14796" spans="1:1" x14ac:dyDescent="0.25">
      <c r="A14796" s="5"/>
    </row>
    <row r="14797" spans="1:1" x14ac:dyDescent="0.25">
      <c r="A14797" s="5"/>
    </row>
    <row r="14798" spans="1:1" x14ac:dyDescent="0.25">
      <c r="A14798" s="5"/>
    </row>
    <row r="14799" spans="1:1" x14ac:dyDescent="0.25">
      <c r="A14799" s="5"/>
    </row>
    <row r="14800" spans="1:1" x14ac:dyDescent="0.25">
      <c r="A14800" s="5"/>
    </row>
    <row r="14801" spans="1:1" x14ac:dyDescent="0.25">
      <c r="A14801" s="5"/>
    </row>
    <row r="14802" spans="1:1" x14ac:dyDescent="0.25">
      <c r="A14802" s="5"/>
    </row>
    <row r="14803" spans="1:1" x14ac:dyDescent="0.25">
      <c r="A14803" s="5"/>
    </row>
    <row r="14804" spans="1:1" x14ac:dyDescent="0.25">
      <c r="A14804" s="5"/>
    </row>
    <row r="14805" spans="1:1" x14ac:dyDescent="0.25">
      <c r="A14805" s="5"/>
    </row>
    <row r="14806" spans="1:1" x14ac:dyDescent="0.25">
      <c r="A14806" s="5"/>
    </row>
    <row r="14807" spans="1:1" x14ac:dyDescent="0.25">
      <c r="A14807" s="5"/>
    </row>
    <row r="14808" spans="1:1" x14ac:dyDescent="0.25">
      <c r="A14808" s="5"/>
    </row>
    <row r="14809" spans="1:1" x14ac:dyDescent="0.25">
      <c r="A14809" s="5"/>
    </row>
    <row r="14810" spans="1:1" x14ac:dyDescent="0.25">
      <c r="A14810" s="5"/>
    </row>
    <row r="14811" spans="1:1" x14ac:dyDescent="0.25">
      <c r="A14811" s="5"/>
    </row>
    <row r="14812" spans="1:1" x14ac:dyDescent="0.25">
      <c r="A14812" s="5"/>
    </row>
    <row r="14813" spans="1:1" x14ac:dyDescent="0.25">
      <c r="A14813" s="5"/>
    </row>
    <row r="14814" spans="1:1" x14ac:dyDescent="0.25">
      <c r="A14814" s="5"/>
    </row>
    <row r="14815" spans="1:1" x14ac:dyDescent="0.25">
      <c r="A14815" s="5"/>
    </row>
    <row r="14816" spans="1:1" x14ac:dyDescent="0.25">
      <c r="A14816" s="5"/>
    </row>
    <row r="14817" spans="1:1" x14ac:dyDescent="0.25">
      <c r="A14817" s="5"/>
    </row>
    <row r="14818" spans="1:1" x14ac:dyDescent="0.25">
      <c r="A14818" s="5"/>
    </row>
    <row r="14819" spans="1:1" x14ac:dyDescent="0.25">
      <c r="A14819" s="5"/>
    </row>
    <row r="14820" spans="1:1" x14ac:dyDescent="0.25">
      <c r="A14820" s="5"/>
    </row>
    <row r="14821" spans="1:1" x14ac:dyDescent="0.25">
      <c r="A14821" s="5"/>
    </row>
    <row r="14822" spans="1:1" x14ac:dyDescent="0.25">
      <c r="A14822" s="5"/>
    </row>
    <row r="14823" spans="1:1" x14ac:dyDescent="0.25">
      <c r="A14823" s="5"/>
    </row>
    <row r="14824" spans="1:1" x14ac:dyDescent="0.25">
      <c r="A14824" s="5"/>
    </row>
    <row r="14825" spans="1:1" x14ac:dyDescent="0.25">
      <c r="A14825" s="5"/>
    </row>
    <row r="14826" spans="1:1" x14ac:dyDescent="0.25">
      <c r="A14826" s="5"/>
    </row>
    <row r="14827" spans="1:1" x14ac:dyDescent="0.25">
      <c r="A14827" s="5"/>
    </row>
    <row r="14828" spans="1:1" x14ac:dyDescent="0.25">
      <c r="A14828" s="5"/>
    </row>
    <row r="14829" spans="1:1" x14ac:dyDescent="0.25">
      <c r="A14829" s="5"/>
    </row>
    <row r="14830" spans="1:1" x14ac:dyDescent="0.25">
      <c r="A14830" s="5"/>
    </row>
    <row r="14831" spans="1:1" x14ac:dyDescent="0.25">
      <c r="A14831" s="5"/>
    </row>
    <row r="14832" spans="1:1" x14ac:dyDescent="0.25">
      <c r="A14832" s="5"/>
    </row>
    <row r="14833" spans="1:1" x14ac:dyDescent="0.25">
      <c r="A14833" s="5"/>
    </row>
    <row r="14834" spans="1:1" x14ac:dyDescent="0.25">
      <c r="A14834" s="5"/>
    </row>
    <row r="14835" spans="1:1" x14ac:dyDescent="0.25">
      <c r="A14835" s="5"/>
    </row>
    <row r="14836" spans="1:1" x14ac:dyDescent="0.25">
      <c r="A14836" s="5"/>
    </row>
    <row r="14837" spans="1:1" x14ac:dyDescent="0.25">
      <c r="A14837" s="5"/>
    </row>
    <row r="14838" spans="1:1" x14ac:dyDescent="0.25">
      <c r="A14838" s="5"/>
    </row>
    <row r="14839" spans="1:1" x14ac:dyDescent="0.25">
      <c r="A14839" s="5"/>
    </row>
    <row r="14840" spans="1:1" x14ac:dyDescent="0.25">
      <c r="A14840" s="5"/>
    </row>
    <row r="14841" spans="1:1" x14ac:dyDescent="0.25">
      <c r="A14841" s="5"/>
    </row>
    <row r="14842" spans="1:1" x14ac:dyDescent="0.25">
      <c r="A14842" s="5"/>
    </row>
    <row r="14843" spans="1:1" x14ac:dyDescent="0.25">
      <c r="A14843" s="5"/>
    </row>
    <row r="14844" spans="1:1" x14ac:dyDescent="0.25">
      <c r="A14844" s="5"/>
    </row>
    <row r="14845" spans="1:1" x14ac:dyDescent="0.25">
      <c r="A14845" s="5"/>
    </row>
    <row r="14846" spans="1:1" x14ac:dyDescent="0.25">
      <c r="A14846" s="5"/>
    </row>
    <row r="14847" spans="1:1" x14ac:dyDescent="0.25">
      <c r="A14847" s="5"/>
    </row>
    <row r="14848" spans="1:1" x14ac:dyDescent="0.25">
      <c r="A14848" s="5"/>
    </row>
    <row r="14849" spans="1:1" x14ac:dyDescent="0.25">
      <c r="A14849" s="5"/>
    </row>
    <row r="14850" spans="1:1" x14ac:dyDescent="0.25">
      <c r="A14850" s="5"/>
    </row>
    <row r="14851" spans="1:1" x14ac:dyDescent="0.25">
      <c r="A14851" s="5"/>
    </row>
    <row r="14852" spans="1:1" x14ac:dyDescent="0.25">
      <c r="A14852" s="5"/>
    </row>
    <row r="14853" spans="1:1" x14ac:dyDescent="0.25">
      <c r="A14853" s="5"/>
    </row>
    <row r="14854" spans="1:1" x14ac:dyDescent="0.25">
      <c r="A14854" s="5"/>
    </row>
    <row r="14855" spans="1:1" x14ac:dyDescent="0.25">
      <c r="A14855" s="5"/>
    </row>
    <row r="14856" spans="1:1" x14ac:dyDescent="0.25">
      <c r="A14856" s="5"/>
    </row>
    <row r="14857" spans="1:1" x14ac:dyDescent="0.25">
      <c r="A14857" s="5"/>
    </row>
    <row r="14858" spans="1:1" x14ac:dyDescent="0.25">
      <c r="A14858" s="5"/>
    </row>
    <row r="14859" spans="1:1" x14ac:dyDescent="0.25">
      <c r="A14859" s="5"/>
    </row>
    <row r="14860" spans="1:1" x14ac:dyDescent="0.25">
      <c r="A14860" s="5"/>
    </row>
    <row r="14861" spans="1:1" x14ac:dyDescent="0.25">
      <c r="A14861" s="5"/>
    </row>
    <row r="14862" spans="1:1" x14ac:dyDescent="0.25">
      <c r="A14862" s="5"/>
    </row>
    <row r="14863" spans="1:1" x14ac:dyDescent="0.25">
      <c r="A14863" s="5"/>
    </row>
    <row r="14864" spans="1:1" x14ac:dyDescent="0.25">
      <c r="A14864" s="5"/>
    </row>
    <row r="14865" spans="1:1" x14ac:dyDescent="0.25">
      <c r="A14865" s="5"/>
    </row>
    <row r="14866" spans="1:1" x14ac:dyDescent="0.25">
      <c r="A14866" s="5"/>
    </row>
    <row r="14867" spans="1:1" x14ac:dyDescent="0.25">
      <c r="A14867" s="5"/>
    </row>
    <row r="14868" spans="1:1" x14ac:dyDescent="0.25">
      <c r="A14868" s="5"/>
    </row>
    <row r="14869" spans="1:1" x14ac:dyDescent="0.25">
      <c r="A14869" s="5"/>
    </row>
    <row r="14870" spans="1:1" x14ac:dyDescent="0.25">
      <c r="A14870" s="5"/>
    </row>
    <row r="14871" spans="1:1" x14ac:dyDescent="0.25">
      <c r="A14871" s="5"/>
    </row>
    <row r="14872" spans="1:1" x14ac:dyDescent="0.25">
      <c r="A14872" s="5"/>
    </row>
    <row r="14873" spans="1:1" x14ac:dyDescent="0.25">
      <c r="A14873" s="5"/>
    </row>
    <row r="14874" spans="1:1" x14ac:dyDescent="0.25">
      <c r="A14874" s="5"/>
    </row>
    <row r="14875" spans="1:1" x14ac:dyDescent="0.25">
      <c r="A14875" s="5"/>
    </row>
    <row r="14876" spans="1:1" x14ac:dyDescent="0.25">
      <c r="A14876" s="5"/>
    </row>
    <row r="14877" spans="1:1" x14ac:dyDescent="0.25">
      <c r="A14877" s="5"/>
    </row>
    <row r="14878" spans="1:1" x14ac:dyDescent="0.25">
      <c r="A14878" s="5"/>
    </row>
    <row r="14879" spans="1:1" x14ac:dyDescent="0.25">
      <c r="A14879" s="5"/>
    </row>
    <row r="14880" spans="1:1" x14ac:dyDescent="0.25">
      <c r="A14880" s="5"/>
    </row>
    <row r="14881" spans="1:1" x14ac:dyDescent="0.25">
      <c r="A14881" s="5"/>
    </row>
    <row r="14882" spans="1:1" x14ac:dyDescent="0.25">
      <c r="A14882" s="5"/>
    </row>
    <row r="14883" spans="1:1" x14ac:dyDescent="0.25">
      <c r="A14883" s="5"/>
    </row>
    <row r="14884" spans="1:1" x14ac:dyDescent="0.25">
      <c r="A14884" s="5"/>
    </row>
    <row r="14885" spans="1:1" x14ac:dyDescent="0.25">
      <c r="A14885" s="5"/>
    </row>
    <row r="14886" spans="1:1" x14ac:dyDescent="0.25">
      <c r="A14886" s="5"/>
    </row>
    <row r="14887" spans="1:1" x14ac:dyDescent="0.25">
      <c r="A14887" s="5"/>
    </row>
    <row r="14888" spans="1:1" x14ac:dyDescent="0.25">
      <c r="A14888" s="5"/>
    </row>
    <row r="14889" spans="1:1" x14ac:dyDescent="0.25">
      <c r="A14889" s="5"/>
    </row>
    <row r="14890" spans="1:1" x14ac:dyDescent="0.25">
      <c r="A14890" s="5"/>
    </row>
    <row r="14891" spans="1:1" x14ac:dyDescent="0.25">
      <c r="A14891" s="5"/>
    </row>
    <row r="14892" spans="1:1" x14ac:dyDescent="0.25">
      <c r="A14892" s="5"/>
    </row>
    <row r="14893" spans="1:1" x14ac:dyDescent="0.25">
      <c r="A14893" s="5"/>
    </row>
    <row r="14894" spans="1:1" x14ac:dyDescent="0.25">
      <c r="A14894" s="5"/>
    </row>
    <row r="14895" spans="1:1" x14ac:dyDescent="0.25">
      <c r="A14895" s="5"/>
    </row>
    <row r="14896" spans="1:1" x14ac:dyDescent="0.25">
      <c r="A14896" s="5"/>
    </row>
    <row r="14897" spans="1:1" x14ac:dyDescent="0.25">
      <c r="A14897" s="5"/>
    </row>
    <row r="14898" spans="1:1" x14ac:dyDescent="0.25">
      <c r="A14898" s="5"/>
    </row>
    <row r="14899" spans="1:1" x14ac:dyDescent="0.25">
      <c r="A14899" s="5"/>
    </row>
    <row r="14900" spans="1:1" x14ac:dyDescent="0.25">
      <c r="A14900" s="5"/>
    </row>
    <row r="14901" spans="1:1" x14ac:dyDescent="0.25">
      <c r="A14901" s="5"/>
    </row>
    <row r="14902" spans="1:1" x14ac:dyDescent="0.25">
      <c r="A14902" s="5"/>
    </row>
    <row r="14903" spans="1:1" x14ac:dyDescent="0.25">
      <c r="A14903" s="5"/>
    </row>
    <row r="14904" spans="1:1" x14ac:dyDescent="0.25">
      <c r="A14904" s="5"/>
    </row>
    <row r="14905" spans="1:1" x14ac:dyDescent="0.25">
      <c r="A14905" s="5"/>
    </row>
    <row r="14906" spans="1:1" x14ac:dyDescent="0.25">
      <c r="A14906" s="5"/>
    </row>
    <row r="14907" spans="1:1" x14ac:dyDescent="0.25">
      <c r="A14907" s="5"/>
    </row>
    <row r="14908" spans="1:1" x14ac:dyDescent="0.25">
      <c r="A14908" s="5"/>
    </row>
    <row r="14909" spans="1:1" x14ac:dyDescent="0.25">
      <c r="A14909" s="5"/>
    </row>
    <row r="14910" spans="1:1" x14ac:dyDescent="0.25">
      <c r="A14910" s="5"/>
    </row>
    <row r="14911" spans="1:1" x14ac:dyDescent="0.25">
      <c r="A14911" s="5"/>
    </row>
    <row r="14912" spans="1:1" x14ac:dyDescent="0.25">
      <c r="A14912" s="5"/>
    </row>
    <row r="14913" spans="1:1" x14ac:dyDescent="0.25">
      <c r="A14913" s="5"/>
    </row>
    <row r="14914" spans="1:1" x14ac:dyDescent="0.25">
      <c r="A14914" s="5"/>
    </row>
    <row r="14915" spans="1:1" x14ac:dyDescent="0.25">
      <c r="A14915" s="5"/>
    </row>
    <row r="14916" spans="1:1" x14ac:dyDescent="0.25">
      <c r="A14916" s="5"/>
    </row>
    <row r="14917" spans="1:1" x14ac:dyDescent="0.25">
      <c r="A14917" s="5"/>
    </row>
    <row r="14918" spans="1:1" x14ac:dyDescent="0.25">
      <c r="A14918" s="5"/>
    </row>
    <row r="14919" spans="1:1" x14ac:dyDescent="0.25">
      <c r="A14919" s="5"/>
    </row>
    <row r="14920" spans="1:1" x14ac:dyDescent="0.25">
      <c r="A14920" s="5"/>
    </row>
    <row r="14921" spans="1:1" x14ac:dyDescent="0.25">
      <c r="A14921" s="5"/>
    </row>
    <row r="14922" spans="1:1" x14ac:dyDescent="0.25">
      <c r="A14922" s="5"/>
    </row>
    <row r="14923" spans="1:1" x14ac:dyDescent="0.25">
      <c r="A14923" s="5"/>
    </row>
    <row r="14924" spans="1:1" x14ac:dyDescent="0.25">
      <c r="A14924" s="5"/>
    </row>
    <row r="14925" spans="1:1" x14ac:dyDescent="0.25">
      <c r="A14925" s="5"/>
    </row>
    <row r="14926" spans="1:1" x14ac:dyDescent="0.25">
      <c r="A14926" s="5"/>
    </row>
    <row r="14927" spans="1:1" x14ac:dyDescent="0.25">
      <c r="A14927" s="5"/>
    </row>
    <row r="14928" spans="1:1" x14ac:dyDescent="0.25">
      <c r="A14928" s="5"/>
    </row>
    <row r="14929" spans="1:1" x14ac:dyDescent="0.25">
      <c r="A14929" s="5"/>
    </row>
    <row r="14930" spans="1:1" x14ac:dyDescent="0.25">
      <c r="A14930" s="5"/>
    </row>
    <row r="14931" spans="1:1" x14ac:dyDescent="0.25">
      <c r="A14931" s="5"/>
    </row>
    <row r="14932" spans="1:1" x14ac:dyDescent="0.25">
      <c r="A14932" s="5"/>
    </row>
    <row r="14933" spans="1:1" x14ac:dyDescent="0.25">
      <c r="A14933" s="5"/>
    </row>
    <row r="14934" spans="1:1" x14ac:dyDescent="0.25">
      <c r="A14934" s="5"/>
    </row>
    <row r="14935" spans="1:1" x14ac:dyDescent="0.25">
      <c r="A14935" s="5"/>
    </row>
    <row r="14936" spans="1:1" x14ac:dyDescent="0.25">
      <c r="A14936" s="5"/>
    </row>
    <row r="14937" spans="1:1" x14ac:dyDescent="0.25">
      <c r="A14937" s="5"/>
    </row>
    <row r="14938" spans="1:1" x14ac:dyDescent="0.25">
      <c r="A14938" s="5"/>
    </row>
    <row r="14939" spans="1:1" x14ac:dyDescent="0.25">
      <c r="A14939" s="5"/>
    </row>
    <row r="14940" spans="1:1" x14ac:dyDescent="0.25">
      <c r="A14940" s="5"/>
    </row>
    <row r="14941" spans="1:1" x14ac:dyDescent="0.25">
      <c r="A14941" s="5"/>
    </row>
    <row r="14942" spans="1:1" x14ac:dyDescent="0.25">
      <c r="A14942" s="5"/>
    </row>
    <row r="14943" spans="1:1" x14ac:dyDescent="0.25">
      <c r="A14943" s="5"/>
    </row>
    <row r="14944" spans="1:1" x14ac:dyDescent="0.25">
      <c r="A14944" s="5"/>
    </row>
    <row r="14945" spans="1:1" x14ac:dyDescent="0.25">
      <c r="A14945" s="5"/>
    </row>
    <row r="14946" spans="1:1" x14ac:dyDescent="0.25">
      <c r="A14946" s="5"/>
    </row>
    <row r="14947" spans="1:1" x14ac:dyDescent="0.25">
      <c r="A14947" s="5"/>
    </row>
    <row r="14948" spans="1:1" x14ac:dyDescent="0.25">
      <c r="A14948" s="5"/>
    </row>
    <row r="14949" spans="1:1" x14ac:dyDescent="0.25">
      <c r="A14949" s="5"/>
    </row>
    <row r="14950" spans="1:1" x14ac:dyDescent="0.25">
      <c r="A14950" s="5"/>
    </row>
    <row r="14951" spans="1:1" x14ac:dyDescent="0.25">
      <c r="A14951" s="5"/>
    </row>
    <row r="14952" spans="1:1" x14ac:dyDescent="0.25">
      <c r="A14952" s="5"/>
    </row>
    <row r="14953" spans="1:1" x14ac:dyDescent="0.25">
      <c r="A14953" s="5"/>
    </row>
    <row r="14954" spans="1:1" x14ac:dyDescent="0.25">
      <c r="A14954" s="5"/>
    </row>
    <row r="14955" spans="1:1" x14ac:dyDescent="0.25">
      <c r="A14955" s="5"/>
    </row>
    <row r="14956" spans="1:1" x14ac:dyDescent="0.25">
      <c r="A14956" s="5"/>
    </row>
    <row r="14957" spans="1:1" x14ac:dyDescent="0.25">
      <c r="A14957" s="5"/>
    </row>
    <row r="14958" spans="1:1" x14ac:dyDescent="0.25">
      <c r="A14958" s="5"/>
    </row>
    <row r="14959" spans="1:1" x14ac:dyDescent="0.25">
      <c r="A14959" s="5"/>
    </row>
    <row r="14960" spans="1:1" x14ac:dyDescent="0.25">
      <c r="A14960" s="5"/>
    </row>
    <row r="14961" spans="1:1" x14ac:dyDescent="0.25">
      <c r="A14961" s="5"/>
    </row>
    <row r="14962" spans="1:1" x14ac:dyDescent="0.25">
      <c r="A14962" s="5"/>
    </row>
    <row r="14963" spans="1:1" x14ac:dyDescent="0.25">
      <c r="A14963" s="5"/>
    </row>
    <row r="14964" spans="1:1" x14ac:dyDescent="0.25">
      <c r="A14964" s="5"/>
    </row>
    <row r="14965" spans="1:1" x14ac:dyDescent="0.25">
      <c r="A14965" s="5"/>
    </row>
    <row r="14966" spans="1:1" x14ac:dyDescent="0.25">
      <c r="A14966" s="5"/>
    </row>
    <row r="14967" spans="1:1" x14ac:dyDescent="0.25">
      <c r="A14967" s="5"/>
    </row>
    <row r="14968" spans="1:1" x14ac:dyDescent="0.25">
      <c r="A14968" s="5"/>
    </row>
    <row r="14969" spans="1:1" x14ac:dyDescent="0.25">
      <c r="A14969" s="5"/>
    </row>
    <row r="14970" spans="1:1" x14ac:dyDescent="0.25">
      <c r="A14970" s="5"/>
    </row>
    <row r="14971" spans="1:1" x14ac:dyDescent="0.25">
      <c r="A14971" s="5"/>
    </row>
    <row r="14972" spans="1:1" x14ac:dyDescent="0.25">
      <c r="A14972" s="5"/>
    </row>
    <row r="14973" spans="1:1" x14ac:dyDescent="0.25">
      <c r="A14973" s="5"/>
    </row>
    <row r="14974" spans="1:1" x14ac:dyDescent="0.25">
      <c r="A14974" s="5"/>
    </row>
    <row r="14975" spans="1:1" x14ac:dyDescent="0.25">
      <c r="A14975" s="5"/>
    </row>
    <row r="14976" spans="1:1" x14ac:dyDescent="0.25">
      <c r="A14976" s="5"/>
    </row>
    <row r="14977" spans="1:1" x14ac:dyDescent="0.25">
      <c r="A14977" s="5"/>
    </row>
    <row r="14978" spans="1:1" x14ac:dyDescent="0.25">
      <c r="A14978" s="5"/>
    </row>
    <row r="14979" spans="1:1" x14ac:dyDescent="0.25">
      <c r="A14979" s="5"/>
    </row>
    <row r="14980" spans="1:1" x14ac:dyDescent="0.25">
      <c r="A14980" s="5"/>
    </row>
    <row r="14981" spans="1:1" x14ac:dyDescent="0.25">
      <c r="A14981" s="5"/>
    </row>
    <row r="14982" spans="1:1" x14ac:dyDescent="0.25">
      <c r="A14982" s="5"/>
    </row>
    <row r="14983" spans="1:1" x14ac:dyDescent="0.25">
      <c r="A14983" s="5"/>
    </row>
    <row r="14984" spans="1:1" x14ac:dyDescent="0.25">
      <c r="A14984" s="5"/>
    </row>
    <row r="14985" spans="1:1" x14ac:dyDescent="0.25">
      <c r="A14985" s="5"/>
    </row>
    <row r="14986" spans="1:1" x14ac:dyDescent="0.25">
      <c r="A14986" s="5"/>
    </row>
    <row r="14987" spans="1:1" x14ac:dyDescent="0.25">
      <c r="A14987" s="5"/>
    </row>
    <row r="14988" spans="1:1" x14ac:dyDescent="0.25">
      <c r="A14988" s="5"/>
    </row>
    <row r="14989" spans="1:1" x14ac:dyDescent="0.25">
      <c r="A14989" s="5"/>
    </row>
    <row r="14990" spans="1:1" x14ac:dyDescent="0.25">
      <c r="A14990" s="5"/>
    </row>
    <row r="14991" spans="1:1" x14ac:dyDescent="0.25">
      <c r="A14991" s="5"/>
    </row>
    <row r="14992" spans="1:1" x14ac:dyDescent="0.25">
      <c r="A14992" s="5"/>
    </row>
    <row r="14993" spans="1:1" x14ac:dyDescent="0.25">
      <c r="A14993" s="5"/>
    </row>
    <row r="14994" spans="1:1" x14ac:dyDescent="0.25">
      <c r="A14994" s="5"/>
    </row>
    <row r="14995" spans="1:1" x14ac:dyDescent="0.25">
      <c r="A14995" s="5"/>
    </row>
    <row r="14996" spans="1:1" x14ac:dyDescent="0.25">
      <c r="A14996" s="5"/>
    </row>
    <row r="14997" spans="1:1" x14ac:dyDescent="0.25">
      <c r="A14997" s="5"/>
    </row>
    <row r="14998" spans="1:1" x14ac:dyDescent="0.25">
      <c r="A14998" s="5"/>
    </row>
    <row r="14999" spans="1:1" x14ac:dyDescent="0.25">
      <c r="A14999" s="5"/>
    </row>
    <row r="15000" spans="1:1" x14ac:dyDescent="0.25">
      <c r="A15000" s="5"/>
    </row>
    <row r="15001" spans="1:1" x14ac:dyDescent="0.25">
      <c r="A15001" s="5"/>
    </row>
    <row r="15002" spans="1:1" x14ac:dyDescent="0.25">
      <c r="A15002" s="5"/>
    </row>
    <row r="15003" spans="1:1" x14ac:dyDescent="0.25">
      <c r="A15003" s="5"/>
    </row>
    <row r="15004" spans="1:1" x14ac:dyDescent="0.25">
      <c r="A15004" s="5"/>
    </row>
    <row r="15005" spans="1:1" x14ac:dyDescent="0.25">
      <c r="A15005" s="5"/>
    </row>
    <row r="15006" spans="1:1" x14ac:dyDescent="0.25">
      <c r="A15006" s="5"/>
    </row>
    <row r="15007" spans="1:1" x14ac:dyDescent="0.25">
      <c r="A15007" s="5"/>
    </row>
    <row r="15008" spans="1:1" x14ac:dyDescent="0.25">
      <c r="A15008" s="5"/>
    </row>
    <row r="15009" spans="1:1" x14ac:dyDescent="0.25">
      <c r="A15009" s="5"/>
    </row>
    <row r="15010" spans="1:1" x14ac:dyDescent="0.25">
      <c r="A15010" s="5"/>
    </row>
    <row r="15011" spans="1:1" x14ac:dyDescent="0.25">
      <c r="A15011" s="5"/>
    </row>
    <row r="15012" spans="1:1" x14ac:dyDescent="0.25">
      <c r="A15012" s="5"/>
    </row>
    <row r="15013" spans="1:1" x14ac:dyDescent="0.25">
      <c r="A15013" s="5"/>
    </row>
    <row r="15014" spans="1:1" x14ac:dyDescent="0.25">
      <c r="A15014" s="5"/>
    </row>
    <row r="15015" spans="1:1" x14ac:dyDescent="0.25">
      <c r="A15015" s="5"/>
    </row>
    <row r="15016" spans="1:1" x14ac:dyDescent="0.25">
      <c r="A15016" s="5"/>
    </row>
    <row r="15017" spans="1:1" x14ac:dyDescent="0.25">
      <c r="A15017" s="5"/>
    </row>
    <row r="15018" spans="1:1" x14ac:dyDescent="0.25">
      <c r="A15018" s="5"/>
    </row>
    <row r="15019" spans="1:1" x14ac:dyDescent="0.25">
      <c r="A15019" s="5"/>
    </row>
    <row r="15020" spans="1:1" x14ac:dyDescent="0.25">
      <c r="A15020" s="5"/>
    </row>
    <row r="15021" spans="1:1" x14ac:dyDescent="0.25">
      <c r="A15021" s="5"/>
    </row>
    <row r="15022" spans="1:1" x14ac:dyDescent="0.25">
      <c r="A15022" s="5"/>
    </row>
    <row r="15023" spans="1:1" x14ac:dyDescent="0.25">
      <c r="A15023" s="5"/>
    </row>
    <row r="15024" spans="1:1" x14ac:dyDescent="0.25">
      <c r="A15024" s="5"/>
    </row>
    <row r="15025" spans="1:1" x14ac:dyDescent="0.25">
      <c r="A15025" s="5"/>
    </row>
    <row r="15026" spans="1:1" x14ac:dyDescent="0.25">
      <c r="A15026" s="5"/>
    </row>
    <row r="15027" spans="1:1" x14ac:dyDescent="0.25">
      <c r="A15027" s="5"/>
    </row>
    <row r="15028" spans="1:1" x14ac:dyDescent="0.25">
      <c r="A15028" s="5"/>
    </row>
    <row r="15029" spans="1:1" x14ac:dyDescent="0.25">
      <c r="A15029" s="5"/>
    </row>
    <row r="15030" spans="1:1" x14ac:dyDescent="0.25">
      <c r="A15030" s="5"/>
    </row>
    <row r="15031" spans="1:1" x14ac:dyDescent="0.25">
      <c r="A15031" s="5"/>
    </row>
    <row r="15032" spans="1:1" x14ac:dyDescent="0.25">
      <c r="A15032" s="5"/>
    </row>
    <row r="15033" spans="1:1" x14ac:dyDescent="0.25">
      <c r="A15033" s="5"/>
    </row>
    <row r="15034" spans="1:1" x14ac:dyDescent="0.25">
      <c r="A15034" s="5"/>
    </row>
    <row r="15035" spans="1:1" x14ac:dyDescent="0.25">
      <c r="A15035" s="5"/>
    </row>
    <row r="15036" spans="1:1" x14ac:dyDescent="0.25">
      <c r="A15036" s="5"/>
    </row>
    <row r="15037" spans="1:1" x14ac:dyDescent="0.25">
      <c r="A15037" s="5"/>
    </row>
    <row r="15038" spans="1:1" x14ac:dyDescent="0.25">
      <c r="A15038" s="5"/>
    </row>
    <row r="15039" spans="1:1" x14ac:dyDescent="0.25">
      <c r="A15039" s="5"/>
    </row>
    <row r="15040" spans="1:1" x14ac:dyDescent="0.25">
      <c r="A15040" s="5"/>
    </row>
    <row r="15041" spans="1:1" x14ac:dyDescent="0.25">
      <c r="A15041" s="5"/>
    </row>
    <row r="15042" spans="1:1" x14ac:dyDescent="0.25">
      <c r="A15042" s="5"/>
    </row>
    <row r="15043" spans="1:1" x14ac:dyDescent="0.25">
      <c r="A15043" s="5"/>
    </row>
    <row r="15044" spans="1:1" x14ac:dyDescent="0.25">
      <c r="A15044" s="5"/>
    </row>
    <row r="15045" spans="1:1" x14ac:dyDescent="0.25">
      <c r="A15045" s="5"/>
    </row>
    <row r="15046" spans="1:1" x14ac:dyDescent="0.25">
      <c r="A15046" s="5"/>
    </row>
    <row r="15047" spans="1:1" x14ac:dyDescent="0.25">
      <c r="A15047" s="5"/>
    </row>
    <row r="15048" spans="1:1" x14ac:dyDescent="0.25">
      <c r="A15048" s="5"/>
    </row>
    <row r="15049" spans="1:1" x14ac:dyDescent="0.25">
      <c r="A15049" s="5"/>
    </row>
    <row r="15050" spans="1:1" x14ac:dyDescent="0.25">
      <c r="A15050" s="5"/>
    </row>
    <row r="15051" spans="1:1" x14ac:dyDescent="0.25">
      <c r="A15051" s="5"/>
    </row>
    <row r="15052" spans="1:1" x14ac:dyDescent="0.25">
      <c r="A15052" s="5"/>
    </row>
    <row r="15053" spans="1:1" x14ac:dyDescent="0.25">
      <c r="A15053" s="5"/>
    </row>
    <row r="15054" spans="1:1" x14ac:dyDescent="0.25">
      <c r="A15054" s="5"/>
    </row>
    <row r="15055" spans="1:1" x14ac:dyDescent="0.25">
      <c r="A15055" s="5"/>
    </row>
    <row r="15056" spans="1:1" x14ac:dyDescent="0.25">
      <c r="A15056" s="5"/>
    </row>
    <row r="15057" spans="1:1" x14ac:dyDescent="0.25">
      <c r="A15057" s="5"/>
    </row>
    <row r="15058" spans="1:1" x14ac:dyDescent="0.25">
      <c r="A15058" s="5"/>
    </row>
    <row r="15059" spans="1:1" x14ac:dyDescent="0.25">
      <c r="A15059" s="5"/>
    </row>
    <row r="15060" spans="1:1" x14ac:dyDescent="0.25">
      <c r="A15060" s="5"/>
    </row>
    <row r="15061" spans="1:1" x14ac:dyDescent="0.25">
      <c r="A15061" s="5"/>
    </row>
    <row r="15062" spans="1:1" x14ac:dyDescent="0.25">
      <c r="A15062" s="5"/>
    </row>
    <row r="15063" spans="1:1" x14ac:dyDescent="0.25">
      <c r="A15063" s="5"/>
    </row>
    <row r="15064" spans="1:1" x14ac:dyDescent="0.25">
      <c r="A15064" s="5"/>
    </row>
    <row r="15065" spans="1:1" x14ac:dyDescent="0.25">
      <c r="A15065" s="5"/>
    </row>
    <row r="15066" spans="1:1" x14ac:dyDescent="0.25">
      <c r="A15066" s="5"/>
    </row>
    <row r="15067" spans="1:1" x14ac:dyDescent="0.25">
      <c r="A15067" s="5"/>
    </row>
    <row r="15068" spans="1:1" x14ac:dyDescent="0.25">
      <c r="A15068" s="5"/>
    </row>
    <row r="15069" spans="1:1" x14ac:dyDescent="0.25">
      <c r="A15069" s="5"/>
    </row>
    <row r="15070" spans="1:1" x14ac:dyDescent="0.25">
      <c r="A15070" s="5"/>
    </row>
    <row r="15071" spans="1:1" x14ac:dyDescent="0.25">
      <c r="A15071" s="5"/>
    </row>
    <row r="15072" spans="1:1" x14ac:dyDescent="0.25">
      <c r="A15072" s="5"/>
    </row>
    <row r="15073" spans="1:1" x14ac:dyDescent="0.25">
      <c r="A15073" s="5"/>
    </row>
    <row r="15074" spans="1:1" x14ac:dyDescent="0.25">
      <c r="A15074" s="5"/>
    </row>
    <row r="15075" spans="1:1" x14ac:dyDescent="0.25">
      <c r="A15075" s="5"/>
    </row>
    <row r="15076" spans="1:1" x14ac:dyDescent="0.25">
      <c r="A15076" s="5"/>
    </row>
    <row r="15077" spans="1:1" x14ac:dyDescent="0.25">
      <c r="A15077" s="5"/>
    </row>
    <row r="15078" spans="1:1" x14ac:dyDescent="0.25">
      <c r="A15078" s="5"/>
    </row>
    <row r="15079" spans="1:1" x14ac:dyDescent="0.25">
      <c r="A15079" s="5"/>
    </row>
    <row r="15080" spans="1:1" x14ac:dyDescent="0.25">
      <c r="A15080" s="5"/>
    </row>
    <row r="15081" spans="1:1" x14ac:dyDescent="0.25">
      <c r="A15081" s="5"/>
    </row>
    <row r="15082" spans="1:1" x14ac:dyDescent="0.25">
      <c r="A15082" s="5"/>
    </row>
    <row r="15083" spans="1:1" x14ac:dyDescent="0.25">
      <c r="A15083" s="5"/>
    </row>
    <row r="15084" spans="1:1" x14ac:dyDescent="0.25">
      <c r="A15084" s="5"/>
    </row>
    <row r="15085" spans="1:1" x14ac:dyDescent="0.25">
      <c r="A15085" s="5"/>
    </row>
    <row r="15086" spans="1:1" x14ac:dyDescent="0.25">
      <c r="A15086" s="5"/>
    </row>
    <row r="15087" spans="1:1" x14ac:dyDescent="0.25">
      <c r="A15087" s="5"/>
    </row>
    <row r="15088" spans="1:1" x14ac:dyDescent="0.25">
      <c r="A15088" s="5"/>
    </row>
    <row r="15089" spans="1:1" x14ac:dyDescent="0.25">
      <c r="A15089" s="5"/>
    </row>
    <row r="15090" spans="1:1" x14ac:dyDescent="0.25">
      <c r="A15090" s="5"/>
    </row>
    <row r="15091" spans="1:1" x14ac:dyDescent="0.25">
      <c r="A15091" s="5"/>
    </row>
    <row r="15092" spans="1:1" x14ac:dyDescent="0.25">
      <c r="A15092" s="5"/>
    </row>
    <row r="15093" spans="1:1" x14ac:dyDescent="0.25">
      <c r="A15093" s="5"/>
    </row>
    <row r="15094" spans="1:1" x14ac:dyDescent="0.25">
      <c r="A15094" s="5"/>
    </row>
    <row r="15095" spans="1:1" x14ac:dyDescent="0.25">
      <c r="A15095" s="5"/>
    </row>
    <row r="15096" spans="1:1" x14ac:dyDescent="0.25">
      <c r="A15096" s="5"/>
    </row>
    <row r="15097" spans="1:1" x14ac:dyDescent="0.25">
      <c r="A15097" s="5"/>
    </row>
    <row r="15098" spans="1:1" x14ac:dyDescent="0.25">
      <c r="A15098" s="5"/>
    </row>
    <row r="15099" spans="1:1" x14ac:dyDescent="0.25">
      <c r="A15099" s="5"/>
    </row>
    <row r="15100" spans="1:1" x14ac:dyDescent="0.25">
      <c r="A15100" s="5"/>
    </row>
    <row r="15101" spans="1:1" x14ac:dyDescent="0.25">
      <c r="A15101" s="5"/>
    </row>
    <row r="15102" spans="1:1" x14ac:dyDescent="0.25">
      <c r="A15102" s="5"/>
    </row>
    <row r="15103" spans="1:1" x14ac:dyDescent="0.25">
      <c r="A15103" s="5"/>
    </row>
    <row r="15104" spans="1:1" x14ac:dyDescent="0.25">
      <c r="A15104" s="5"/>
    </row>
    <row r="15105" spans="1:1" x14ac:dyDescent="0.25">
      <c r="A15105" s="5"/>
    </row>
    <row r="15106" spans="1:1" x14ac:dyDescent="0.25">
      <c r="A15106" s="5"/>
    </row>
    <row r="15107" spans="1:1" x14ac:dyDescent="0.25">
      <c r="A15107" s="5"/>
    </row>
    <row r="15108" spans="1:1" x14ac:dyDescent="0.25">
      <c r="A15108" s="5"/>
    </row>
    <row r="15109" spans="1:1" x14ac:dyDescent="0.25">
      <c r="A15109" s="5"/>
    </row>
    <row r="15110" spans="1:1" x14ac:dyDescent="0.25">
      <c r="A15110" s="5"/>
    </row>
    <row r="15111" spans="1:1" x14ac:dyDescent="0.25">
      <c r="A15111" s="5"/>
    </row>
    <row r="15112" spans="1:1" x14ac:dyDescent="0.25">
      <c r="A15112" s="5"/>
    </row>
    <row r="15113" spans="1:1" x14ac:dyDescent="0.25">
      <c r="A15113" s="5"/>
    </row>
    <row r="15114" spans="1:1" x14ac:dyDescent="0.25">
      <c r="A15114" s="5"/>
    </row>
    <row r="15115" spans="1:1" x14ac:dyDescent="0.25">
      <c r="A15115" s="5"/>
    </row>
    <row r="15116" spans="1:1" x14ac:dyDescent="0.25">
      <c r="A15116" s="5"/>
    </row>
    <row r="15117" spans="1:1" x14ac:dyDescent="0.25">
      <c r="A15117" s="5"/>
    </row>
    <row r="15118" spans="1:1" x14ac:dyDescent="0.25">
      <c r="A15118" s="5"/>
    </row>
    <row r="15119" spans="1:1" x14ac:dyDescent="0.25">
      <c r="A15119" s="5"/>
    </row>
    <row r="15120" spans="1:1" x14ac:dyDescent="0.25">
      <c r="A15120" s="5"/>
    </row>
    <row r="15121" spans="1:1" x14ac:dyDescent="0.25">
      <c r="A15121" s="5"/>
    </row>
    <row r="15122" spans="1:1" x14ac:dyDescent="0.25">
      <c r="A15122" s="5"/>
    </row>
    <row r="15123" spans="1:1" x14ac:dyDescent="0.25">
      <c r="A15123" s="5"/>
    </row>
    <row r="15124" spans="1:1" x14ac:dyDescent="0.25">
      <c r="A15124" s="5"/>
    </row>
    <row r="15125" spans="1:1" x14ac:dyDescent="0.25">
      <c r="A15125" s="5"/>
    </row>
    <row r="15126" spans="1:1" x14ac:dyDescent="0.25">
      <c r="A15126" s="5"/>
    </row>
    <row r="15127" spans="1:1" x14ac:dyDescent="0.25">
      <c r="A15127" s="5"/>
    </row>
    <row r="15128" spans="1:1" x14ac:dyDescent="0.25">
      <c r="A15128" s="5"/>
    </row>
    <row r="15129" spans="1:1" x14ac:dyDescent="0.25">
      <c r="A15129" s="5"/>
    </row>
    <row r="15130" spans="1:1" x14ac:dyDescent="0.25">
      <c r="A15130" s="5"/>
    </row>
    <row r="15131" spans="1:1" x14ac:dyDescent="0.25">
      <c r="A15131" s="5"/>
    </row>
    <row r="15132" spans="1:1" x14ac:dyDescent="0.25">
      <c r="A15132" s="5"/>
    </row>
    <row r="15133" spans="1:1" x14ac:dyDescent="0.25">
      <c r="A15133" s="5"/>
    </row>
    <row r="15134" spans="1:1" x14ac:dyDescent="0.25">
      <c r="A15134" s="5"/>
    </row>
    <row r="15135" spans="1:1" x14ac:dyDescent="0.25">
      <c r="A15135" s="5"/>
    </row>
    <row r="15136" spans="1:1" x14ac:dyDescent="0.25">
      <c r="A15136" s="5"/>
    </row>
    <row r="15137" spans="1:1" x14ac:dyDescent="0.25">
      <c r="A15137" s="5"/>
    </row>
    <row r="15138" spans="1:1" x14ac:dyDescent="0.25">
      <c r="A15138" s="5"/>
    </row>
    <row r="15139" spans="1:1" x14ac:dyDescent="0.25">
      <c r="A15139" s="5"/>
    </row>
    <row r="15140" spans="1:1" x14ac:dyDescent="0.25">
      <c r="A15140" s="5"/>
    </row>
    <row r="15141" spans="1:1" x14ac:dyDescent="0.25">
      <c r="A15141" s="5"/>
    </row>
    <row r="15142" spans="1:1" x14ac:dyDescent="0.25">
      <c r="A15142" s="5"/>
    </row>
    <row r="15143" spans="1:1" x14ac:dyDescent="0.25">
      <c r="A15143" s="5"/>
    </row>
    <row r="15144" spans="1:1" x14ac:dyDescent="0.25">
      <c r="A15144" s="5"/>
    </row>
    <row r="15145" spans="1:1" x14ac:dyDescent="0.25">
      <c r="A15145" s="5"/>
    </row>
    <row r="15146" spans="1:1" x14ac:dyDescent="0.25">
      <c r="A15146" s="5"/>
    </row>
    <row r="15147" spans="1:1" x14ac:dyDescent="0.25">
      <c r="A15147" s="5"/>
    </row>
    <row r="15148" spans="1:1" x14ac:dyDescent="0.25">
      <c r="A15148" s="5"/>
    </row>
    <row r="15149" spans="1:1" x14ac:dyDescent="0.25">
      <c r="A15149" s="5"/>
    </row>
    <row r="15150" spans="1:1" x14ac:dyDescent="0.25">
      <c r="A15150" s="5"/>
    </row>
    <row r="15151" spans="1:1" x14ac:dyDescent="0.25">
      <c r="A15151" s="5"/>
    </row>
    <row r="15152" spans="1:1" x14ac:dyDescent="0.25">
      <c r="A15152" s="5"/>
    </row>
    <row r="15153" spans="1:1" x14ac:dyDescent="0.25">
      <c r="A15153" s="5"/>
    </row>
    <row r="15154" spans="1:1" x14ac:dyDescent="0.25">
      <c r="A15154" s="5"/>
    </row>
    <row r="15155" spans="1:1" x14ac:dyDescent="0.25">
      <c r="A15155" s="5"/>
    </row>
    <row r="15156" spans="1:1" x14ac:dyDescent="0.25">
      <c r="A15156" s="5"/>
    </row>
    <row r="15157" spans="1:1" x14ac:dyDescent="0.25">
      <c r="A15157" s="5"/>
    </row>
    <row r="15158" spans="1:1" x14ac:dyDescent="0.25">
      <c r="A15158" s="5"/>
    </row>
    <row r="15159" spans="1:1" x14ac:dyDescent="0.25">
      <c r="A15159" s="5"/>
    </row>
    <row r="15160" spans="1:1" x14ac:dyDescent="0.25">
      <c r="A15160" s="5"/>
    </row>
    <row r="15161" spans="1:1" x14ac:dyDescent="0.25">
      <c r="A15161" s="5"/>
    </row>
    <row r="15162" spans="1:1" x14ac:dyDescent="0.25">
      <c r="A15162" s="5"/>
    </row>
    <row r="15163" spans="1:1" x14ac:dyDescent="0.25">
      <c r="A15163" s="5"/>
    </row>
    <row r="15164" spans="1:1" x14ac:dyDescent="0.25">
      <c r="A15164" s="5"/>
    </row>
    <row r="15165" spans="1:1" x14ac:dyDescent="0.25">
      <c r="A15165" s="5"/>
    </row>
    <row r="15166" spans="1:1" x14ac:dyDescent="0.25">
      <c r="A15166" s="5"/>
    </row>
    <row r="15167" spans="1:1" x14ac:dyDescent="0.25">
      <c r="A15167" s="5"/>
    </row>
    <row r="15168" spans="1:1" x14ac:dyDescent="0.25">
      <c r="A15168" s="5"/>
    </row>
    <row r="15169" spans="1:1" x14ac:dyDescent="0.25">
      <c r="A15169" s="5"/>
    </row>
    <row r="15170" spans="1:1" x14ac:dyDescent="0.25">
      <c r="A15170" s="5"/>
    </row>
    <row r="15171" spans="1:1" x14ac:dyDescent="0.25">
      <c r="A15171" s="5"/>
    </row>
    <row r="15172" spans="1:1" x14ac:dyDescent="0.25">
      <c r="A15172" s="5"/>
    </row>
    <row r="15173" spans="1:1" x14ac:dyDescent="0.25">
      <c r="A15173" s="5"/>
    </row>
    <row r="15174" spans="1:1" x14ac:dyDescent="0.25">
      <c r="A15174" s="5"/>
    </row>
    <row r="15175" spans="1:1" x14ac:dyDescent="0.25">
      <c r="A15175" s="5"/>
    </row>
    <row r="15176" spans="1:1" x14ac:dyDescent="0.25">
      <c r="A15176" s="5"/>
    </row>
    <row r="15177" spans="1:1" x14ac:dyDescent="0.25">
      <c r="A15177" s="5"/>
    </row>
    <row r="15178" spans="1:1" x14ac:dyDescent="0.25">
      <c r="A15178" s="5"/>
    </row>
    <row r="15179" spans="1:1" x14ac:dyDescent="0.25">
      <c r="A15179" s="5"/>
    </row>
    <row r="15180" spans="1:1" x14ac:dyDescent="0.25">
      <c r="A15180" s="5"/>
    </row>
    <row r="15181" spans="1:1" x14ac:dyDescent="0.25">
      <c r="A15181" s="5"/>
    </row>
    <row r="15182" spans="1:1" x14ac:dyDescent="0.25">
      <c r="A15182" s="5"/>
    </row>
    <row r="15183" spans="1:1" x14ac:dyDescent="0.25">
      <c r="A15183" s="5"/>
    </row>
    <row r="15184" spans="1:1" x14ac:dyDescent="0.25">
      <c r="A15184" s="5"/>
    </row>
    <row r="15185" spans="1:1" x14ac:dyDescent="0.25">
      <c r="A15185" s="5"/>
    </row>
    <row r="15186" spans="1:1" x14ac:dyDescent="0.25">
      <c r="A15186" s="5"/>
    </row>
    <row r="15187" spans="1:1" x14ac:dyDescent="0.25">
      <c r="A15187" s="5"/>
    </row>
    <row r="15188" spans="1:1" x14ac:dyDescent="0.25">
      <c r="A15188" s="5"/>
    </row>
    <row r="15189" spans="1:1" x14ac:dyDescent="0.25">
      <c r="A15189" s="5"/>
    </row>
    <row r="15190" spans="1:1" x14ac:dyDescent="0.25">
      <c r="A15190" s="5"/>
    </row>
    <row r="15191" spans="1:1" x14ac:dyDescent="0.25">
      <c r="A15191" s="5"/>
    </row>
    <row r="15192" spans="1:1" x14ac:dyDescent="0.25">
      <c r="A15192" s="5"/>
    </row>
    <row r="15193" spans="1:1" x14ac:dyDescent="0.25">
      <c r="A15193" s="5"/>
    </row>
    <row r="15194" spans="1:1" x14ac:dyDescent="0.25">
      <c r="A15194" s="5"/>
    </row>
    <row r="15195" spans="1:1" x14ac:dyDescent="0.25">
      <c r="A15195" s="5"/>
    </row>
    <row r="15196" spans="1:1" x14ac:dyDescent="0.25">
      <c r="A15196" s="5"/>
    </row>
    <row r="15197" spans="1:1" x14ac:dyDescent="0.25">
      <c r="A15197" s="5"/>
    </row>
    <row r="15198" spans="1:1" x14ac:dyDescent="0.25">
      <c r="A15198" s="5"/>
    </row>
    <row r="15199" spans="1:1" x14ac:dyDescent="0.25">
      <c r="A15199" s="5"/>
    </row>
    <row r="15200" spans="1:1" x14ac:dyDescent="0.25">
      <c r="A15200" s="5"/>
    </row>
    <row r="15201" spans="1:1" x14ac:dyDescent="0.25">
      <c r="A15201" s="5"/>
    </row>
    <row r="15202" spans="1:1" x14ac:dyDescent="0.25">
      <c r="A15202" s="5"/>
    </row>
    <row r="15203" spans="1:1" x14ac:dyDescent="0.25">
      <c r="A15203" s="5"/>
    </row>
    <row r="15204" spans="1:1" x14ac:dyDescent="0.25">
      <c r="A15204" s="5"/>
    </row>
    <row r="15205" spans="1:1" x14ac:dyDescent="0.25">
      <c r="A15205" s="5"/>
    </row>
    <row r="15206" spans="1:1" x14ac:dyDescent="0.25">
      <c r="A15206" s="5"/>
    </row>
    <row r="15207" spans="1:1" x14ac:dyDescent="0.25">
      <c r="A15207" s="5"/>
    </row>
    <row r="15208" spans="1:1" x14ac:dyDescent="0.25">
      <c r="A15208" s="5"/>
    </row>
    <row r="15209" spans="1:1" x14ac:dyDescent="0.25">
      <c r="A15209" s="5"/>
    </row>
    <row r="15210" spans="1:1" x14ac:dyDescent="0.25">
      <c r="A15210" s="5"/>
    </row>
    <row r="15211" spans="1:1" x14ac:dyDescent="0.25">
      <c r="A15211" s="5"/>
    </row>
    <row r="15212" spans="1:1" x14ac:dyDescent="0.25">
      <c r="A15212" s="5"/>
    </row>
    <row r="15213" spans="1:1" x14ac:dyDescent="0.25">
      <c r="A15213" s="5"/>
    </row>
    <row r="15214" spans="1:1" x14ac:dyDescent="0.25">
      <c r="A15214" s="5"/>
    </row>
    <row r="15215" spans="1:1" x14ac:dyDescent="0.25">
      <c r="A15215" s="5"/>
    </row>
    <row r="15216" spans="1:1" x14ac:dyDescent="0.25">
      <c r="A15216" s="5"/>
    </row>
    <row r="15217" spans="1:1" x14ac:dyDescent="0.25">
      <c r="A15217" s="5"/>
    </row>
    <row r="15218" spans="1:1" x14ac:dyDescent="0.25">
      <c r="A15218" s="5"/>
    </row>
    <row r="15219" spans="1:1" x14ac:dyDescent="0.25">
      <c r="A15219" s="5"/>
    </row>
    <row r="15220" spans="1:1" x14ac:dyDescent="0.25">
      <c r="A15220" s="5"/>
    </row>
    <row r="15221" spans="1:1" x14ac:dyDescent="0.25">
      <c r="A15221" s="5"/>
    </row>
    <row r="15222" spans="1:1" x14ac:dyDescent="0.25">
      <c r="A15222" s="5"/>
    </row>
    <row r="15223" spans="1:1" x14ac:dyDescent="0.25">
      <c r="A15223" s="5"/>
    </row>
    <row r="15224" spans="1:1" x14ac:dyDescent="0.25">
      <c r="A15224" s="5"/>
    </row>
    <row r="15225" spans="1:1" x14ac:dyDescent="0.25">
      <c r="A15225" s="5"/>
    </row>
    <row r="15226" spans="1:1" x14ac:dyDescent="0.25">
      <c r="A15226" s="5"/>
    </row>
    <row r="15227" spans="1:1" x14ac:dyDescent="0.25">
      <c r="A15227" s="5"/>
    </row>
    <row r="15228" spans="1:1" x14ac:dyDescent="0.25">
      <c r="A15228" s="5"/>
    </row>
    <row r="15229" spans="1:1" x14ac:dyDescent="0.25">
      <c r="A15229" s="5"/>
    </row>
    <row r="15230" spans="1:1" x14ac:dyDescent="0.25">
      <c r="A15230" s="5"/>
    </row>
    <row r="15231" spans="1:1" x14ac:dyDescent="0.25">
      <c r="A15231" s="5"/>
    </row>
    <row r="15232" spans="1:1" x14ac:dyDescent="0.25">
      <c r="A15232" s="5"/>
    </row>
    <row r="15233" spans="1:1" x14ac:dyDescent="0.25">
      <c r="A15233" s="5"/>
    </row>
    <row r="15234" spans="1:1" x14ac:dyDescent="0.25">
      <c r="A15234" s="5"/>
    </row>
    <row r="15235" spans="1:1" x14ac:dyDescent="0.25">
      <c r="A15235" s="5"/>
    </row>
    <row r="15236" spans="1:1" x14ac:dyDescent="0.25">
      <c r="A15236" s="5"/>
    </row>
    <row r="15237" spans="1:1" x14ac:dyDescent="0.25">
      <c r="A15237" s="5"/>
    </row>
    <row r="15238" spans="1:1" x14ac:dyDescent="0.25">
      <c r="A15238" s="5"/>
    </row>
    <row r="15239" spans="1:1" x14ac:dyDescent="0.25">
      <c r="A15239" s="5"/>
    </row>
    <row r="15240" spans="1:1" x14ac:dyDescent="0.25">
      <c r="A15240" s="5"/>
    </row>
    <row r="15241" spans="1:1" x14ac:dyDescent="0.25">
      <c r="A15241" s="5"/>
    </row>
    <row r="15242" spans="1:1" x14ac:dyDescent="0.25">
      <c r="A15242" s="5"/>
    </row>
    <row r="15243" spans="1:1" x14ac:dyDescent="0.25">
      <c r="A15243" s="5"/>
    </row>
    <row r="15244" spans="1:1" x14ac:dyDescent="0.25">
      <c r="A15244" s="5"/>
    </row>
    <row r="15245" spans="1:1" x14ac:dyDescent="0.25">
      <c r="A15245" s="5"/>
    </row>
    <row r="15246" spans="1:1" x14ac:dyDescent="0.25">
      <c r="A15246" s="5"/>
    </row>
    <row r="15247" spans="1:1" x14ac:dyDescent="0.25">
      <c r="A15247" s="5"/>
    </row>
    <row r="15248" spans="1:1" x14ac:dyDescent="0.25">
      <c r="A15248" s="5"/>
    </row>
    <row r="15249" spans="1:1" x14ac:dyDescent="0.25">
      <c r="A15249" s="5"/>
    </row>
    <row r="15250" spans="1:1" x14ac:dyDescent="0.25">
      <c r="A15250" s="5"/>
    </row>
    <row r="15251" spans="1:1" x14ac:dyDescent="0.25">
      <c r="A15251" s="5"/>
    </row>
    <row r="15252" spans="1:1" x14ac:dyDescent="0.25">
      <c r="A15252" s="5"/>
    </row>
    <row r="15253" spans="1:1" x14ac:dyDescent="0.25">
      <c r="A15253" s="5"/>
    </row>
    <row r="15254" spans="1:1" x14ac:dyDescent="0.25">
      <c r="A15254" s="5"/>
    </row>
    <row r="15255" spans="1:1" x14ac:dyDescent="0.25">
      <c r="A15255" s="5"/>
    </row>
    <row r="15256" spans="1:1" x14ac:dyDescent="0.25">
      <c r="A15256" s="5"/>
    </row>
    <row r="15257" spans="1:1" x14ac:dyDescent="0.25">
      <c r="A15257" s="5"/>
    </row>
    <row r="15258" spans="1:1" x14ac:dyDescent="0.25">
      <c r="A15258" s="5"/>
    </row>
    <row r="15259" spans="1:1" x14ac:dyDescent="0.25">
      <c r="A15259" s="5"/>
    </row>
    <row r="15260" spans="1:1" x14ac:dyDescent="0.25">
      <c r="A15260" s="5"/>
    </row>
    <row r="15261" spans="1:1" x14ac:dyDescent="0.25">
      <c r="A15261" s="5"/>
    </row>
    <row r="15262" spans="1:1" x14ac:dyDescent="0.25">
      <c r="A15262" s="5"/>
    </row>
    <row r="15263" spans="1:1" x14ac:dyDescent="0.25">
      <c r="A15263" s="5"/>
    </row>
    <row r="15264" spans="1:1" x14ac:dyDescent="0.25">
      <c r="A15264" s="5"/>
    </row>
    <row r="15265" spans="1:1" x14ac:dyDescent="0.25">
      <c r="A15265" s="5"/>
    </row>
    <row r="15266" spans="1:1" x14ac:dyDescent="0.25">
      <c r="A15266" s="5"/>
    </row>
    <row r="15267" spans="1:1" x14ac:dyDescent="0.25">
      <c r="A15267" s="5"/>
    </row>
    <row r="15268" spans="1:1" x14ac:dyDescent="0.25">
      <c r="A15268" s="5"/>
    </row>
    <row r="15269" spans="1:1" x14ac:dyDescent="0.25">
      <c r="A15269" s="5"/>
    </row>
    <row r="15270" spans="1:1" x14ac:dyDescent="0.25">
      <c r="A15270" s="5"/>
    </row>
    <row r="15271" spans="1:1" x14ac:dyDescent="0.25">
      <c r="A15271" s="5"/>
    </row>
    <row r="15272" spans="1:1" x14ac:dyDescent="0.25">
      <c r="A15272" s="5"/>
    </row>
    <row r="15273" spans="1:1" x14ac:dyDescent="0.25">
      <c r="A15273" s="5"/>
    </row>
    <row r="15274" spans="1:1" x14ac:dyDescent="0.25">
      <c r="A15274" s="5"/>
    </row>
    <row r="15275" spans="1:1" x14ac:dyDescent="0.25">
      <c r="A15275" s="5"/>
    </row>
    <row r="15276" spans="1:1" x14ac:dyDescent="0.25">
      <c r="A15276" s="5"/>
    </row>
    <row r="15277" spans="1:1" x14ac:dyDescent="0.25">
      <c r="A15277" s="5"/>
    </row>
    <row r="15278" spans="1:1" x14ac:dyDescent="0.25">
      <c r="A15278" s="5"/>
    </row>
    <row r="15279" spans="1:1" x14ac:dyDescent="0.25">
      <c r="A15279" s="5"/>
    </row>
    <row r="15280" spans="1:1" x14ac:dyDescent="0.25">
      <c r="A15280" s="5"/>
    </row>
    <row r="15281" spans="1:1" x14ac:dyDescent="0.25">
      <c r="A15281" s="5"/>
    </row>
    <row r="15282" spans="1:1" x14ac:dyDescent="0.25">
      <c r="A15282" s="5"/>
    </row>
    <row r="15283" spans="1:1" x14ac:dyDescent="0.25">
      <c r="A15283" s="5"/>
    </row>
    <row r="15284" spans="1:1" x14ac:dyDescent="0.25">
      <c r="A15284" s="5"/>
    </row>
    <row r="15285" spans="1:1" x14ac:dyDescent="0.25">
      <c r="A15285" s="5"/>
    </row>
    <row r="15286" spans="1:1" x14ac:dyDescent="0.25">
      <c r="A15286" s="5"/>
    </row>
    <row r="15287" spans="1:1" x14ac:dyDescent="0.25">
      <c r="A15287" s="5"/>
    </row>
    <row r="15288" spans="1:1" x14ac:dyDescent="0.25">
      <c r="A15288" s="5"/>
    </row>
    <row r="15289" spans="1:1" x14ac:dyDescent="0.25">
      <c r="A15289" s="5"/>
    </row>
    <row r="15290" spans="1:1" x14ac:dyDescent="0.25">
      <c r="A15290" s="5"/>
    </row>
    <row r="15291" spans="1:1" x14ac:dyDescent="0.25">
      <c r="A15291" s="5"/>
    </row>
    <row r="15292" spans="1:1" x14ac:dyDescent="0.25">
      <c r="A15292" s="5"/>
    </row>
    <row r="15293" spans="1:1" x14ac:dyDescent="0.25">
      <c r="A15293" s="5"/>
    </row>
    <row r="15294" spans="1:1" x14ac:dyDescent="0.25">
      <c r="A15294" s="5"/>
    </row>
    <row r="15295" spans="1:1" x14ac:dyDescent="0.25">
      <c r="A15295" s="5"/>
    </row>
    <row r="15296" spans="1:1" x14ac:dyDescent="0.25">
      <c r="A15296" s="5"/>
    </row>
    <row r="15297" spans="1:1" x14ac:dyDescent="0.25">
      <c r="A15297" s="5"/>
    </row>
    <row r="15298" spans="1:1" x14ac:dyDescent="0.25">
      <c r="A15298" s="5"/>
    </row>
    <row r="15299" spans="1:1" x14ac:dyDescent="0.25">
      <c r="A15299" s="5"/>
    </row>
    <row r="15300" spans="1:1" x14ac:dyDescent="0.25">
      <c r="A15300" s="5"/>
    </row>
    <row r="15301" spans="1:1" x14ac:dyDescent="0.25">
      <c r="A15301" s="5"/>
    </row>
    <row r="15302" spans="1:1" x14ac:dyDescent="0.25">
      <c r="A15302" s="5"/>
    </row>
    <row r="15303" spans="1:1" x14ac:dyDescent="0.25">
      <c r="A15303" s="5"/>
    </row>
    <row r="15304" spans="1:1" x14ac:dyDescent="0.25">
      <c r="A15304" s="5"/>
    </row>
    <row r="15305" spans="1:1" x14ac:dyDescent="0.25">
      <c r="A15305" s="5"/>
    </row>
    <row r="15306" spans="1:1" x14ac:dyDescent="0.25">
      <c r="A15306" s="5"/>
    </row>
    <row r="15307" spans="1:1" x14ac:dyDescent="0.25">
      <c r="A15307" s="5"/>
    </row>
    <row r="15308" spans="1:1" x14ac:dyDescent="0.25">
      <c r="A15308" s="5"/>
    </row>
    <row r="15309" spans="1:1" x14ac:dyDescent="0.25">
      <c r="A15309" s="5"/>
    </row>
    <row r="15310" spans="1:1" x14ac:dyDescent="0.25">
      <c r="A15310" s="5"/>
    </row>
    <row r="15311" spans="1:1" x14ac:dyDescent="0.25">
      <c r="A15311" s="5"/>
    </row>
    <row r="15312" spans="1:1" x14ac:dyDescent="0.25">
      <c r="A15312" s="5"/>
    </row>
    <row r="15313" spans="1:1" x14ac:dyDescent="0.25">
      <c r="A15313" s="5"/>
    </row>
    <row r="15314" spans="1:1" x14ac:dyDescent="0.25">
      <c r="A15314" s="5"/>
    </row>
    <row r="15315" spans="1:1" x14ac:dyDescent="0.25">
      <c r="A15315" s="5"/>
    </row>
    <row r="15316" spans="1:1" x14ac:dyDescent="0.25">
      <c r="A15316" s="5"/>
    </row>
    <row r="15317" spans="1:1" x14ac:dyDescent="0.25">
      <c r="A15317" s="5"/>
    </row>
    <row r="15318" spans="1:1" x14ac:dyDescent="0.25">
      <c r="A15318" s="5"/>
    </row>
    <row r="15319" spans="1:1" x14ac:dyDescent="0.25">
      <c r="A15319" s="5"/>
    </row>
    <row r="15320" spans="1:1" x14ac:dyDescent="0.25">
      <c r="A15320" s="5"/>
    </row>
    <row r="15321" spans="1:1" x14ac:dyDescent="0.25">
      <c r="A15321" s="5"/>
    </row>
    <row r="15322" spans="1:1" x14ac:dyDescent="0.25">
      <c r="A15322" s="5"/>
    </row>
    <row r="15323" spans="1:1" x14ac:dyDescent="0.25">
      <c r="A15323" s="5"/>
    </row>
    <row r="15324" spans="1:1" x14ac:dyDescent="0.25">
      <c r="A15324" s="5"/>
    </row>
    <row r="15325" spans="1:1" x14ac:dyDescent="0.25">
      <c r="A15325" s="5"/>
    </row>
    <row r="15326" spans="1:1" x14ac:dyDescent="0.25">
      <c r="A15326" s="5"/>
    </row>
    <row r="15327" spans="1:1" x14ac:dyDescent="0.25">
      <c r="A15327" s="5"/>
    </row>
    <row r="15328" spans="1:1" x14ac:dyDescent="0.25">
      <c r="A15328" s="5"/>
    </row>
    <row r="15329" spans="1:1" x14ac:dyDescent="0.25">
      <c r="A15329" s="5"/>
    </row>
    <row r="15330" spans="1:1" x14ac:dyDescent="0.25">
      <c r="A15330" s="5"/>
    </row>
    <row r="15331" spans="1:1" x14ac:dyDescent="0.25">
      <c r="A15331" s="5"/>
    </row>
    <row r="15332" spans="1:1" x14ac:dyDescent="0.25">
      <c r="A15332" s="5"/>
    </row>
    <row r="15333" spans="1:1" x14ac:dyDescent="0.25">
      <c r="A15333" s="5"/>
    </row>
    <row r="15334" spans="1:1" x14ac:dyDescent="0.25">
      <c r="A15334" s="5"/>
    </row>
    <row r="15335" spans="1:1" x14ac:dyDescent="0.25">
      <c r="A15335" s="5"/>
    </row>
    <row r="15336" spans="1:1" x14ac:dyDescent="0.25">
      <c r="A15336" s="5"/>
    </row>
    <row r="15337" spans="1:1" x14ac:dyDescent="0.25">
      <c r="A15337" s="5"/>
    </row>
    <row r="15338" spans="1:1" x14ac:dyDescent="0.25">
      <c r="A15338" s="5"/>
    </row>
    <row r="15339" spans="1:1" x14ac:dyDescent="0.25">
      <c r="A15339" s="5"/>
    </row>
    <row r="15340" spans="1:1" x14ac:dyDescent="0.25">
      <c r="A15340" s="5"/>
    </row>
    <row r="15341" spans="1:1" x14ac:dyDescent="0.25">
      <c r="A15341" s="5"/>
    </row>
    <row r="15342" spans="1:1" x14ac:dyDescent="0.25">
      <c r="A15342" s="5"/>
    </row>
    <row r="15343" spans="1:1" x14ac:dyDescent="0.25">
      <c r="A15343" s="5"/>
    </row>
    <row r="15344" spans="1:1" x14ac:dyDescent="0.25">
      <c r="A15344" s="5"/>
    </row>
    <row r="15345" spans="1:1" x14ac:dyDescent="0.25">
      <c r="A15345" s="5"/>
    </row>
    <row r="15346" spans="1:1" x14ac:dyDescent="0.25">
      <c r="A15346" s="5"/>
    </row>
    <row r="15347" spans="1:1" x14ac:dyDescent="0.25">
      <c r="A15347" s="5"/>
    </row>
    <row r="15348" spans="1:1" x14ac:dyDescent="0.25">
      <c r="A15348" s="5"/>
    </row>
    <row r="15349" spans="1:1" x14ac:dyDescent="0.25">
      <c r="A15349" s="5"/>
    </row>
    <row r="15350" spans="1:1" x14ac:dyDescent="0.25">
      <c r="A15350" s="5"/>
    </row>
    <row r="15351" spans="1:1" x14ac:dyDescent="0.25">
      <c r="A15351" s="5"/>
    </row>
    <row r="15352" spans="1:1" x14ac:dyDescent="0.25">
      <c r="A15352" s="5"/>
    </row>
    <row r="15353" spans="1:1" x14ac:dyDescent="0.25">
      <c r="A15353" s="5"/>
    </row>
    <row r="15354" spans="1:1" x14ac:dyDescent="0.25">
      <c r="A15354" s="5"/>
    </row>
    <row r="15355" spans="1:1" x14ac:dyDescent="0.25">
      <c r="A15355" s="5"/>
    </row>
    <row r="15356" spans="1:1" x14ac:dyDescent="0.25">
      <c r="A15356" s="5"/>
    </row>
    <row r="15357" spans="1:1" x14ac:dyDescent="0.25">
      <c r="A15357" s="5"/>
    </row>
    <row r="15358" spans="1:1" x14ac:dyDescent="0.25">
      <c r="A15358" s="5"/>
    </row>
    <row r="15359" spans="1:1" x14ac:dyDescent="0.25">
      <c r="A15359" s="5"/>
    </row>
    <row r="15360" spans="1:1" x14ac:dyDescent="0.25">
      <c r="A15360" s="5"/>
    </row>
    <row r="15361" spans="1:1" x14ac:dyDescent="0.25">
      <c r="A15361" s="5"/>
    </row>
    <row r="15362" spans="1:1" x14ac:dyDescent="0.25">
      <c r="A15362" s="5"/>
    </row>
    <row r="15363" spans="1:1" x14ac:dyDescent="0.25">
      <c r="A15363" s="5"/>
    </row>
    <row r="15364" spans="1:1" x14ac:dyDescent="0.25">
      <c r="A15364" s="5"/>
    </row>
    <row r="15365" spans="1:1" x14ac:dyDescent="0.25">
      <c r="A15365" s="5"/>
    </row>
    <row r="15366" spans="1:1" x14ac:dyDescent="0.25">
      <c r="A15366" s="5"/>
    </row>
    <row r="15367" spans="1:1" x14ac:dyDescent="0.25">
      <c r="A15367" s="5"/>
    </row>
    <row r="15368" spans="1:1" x14ac:dyDescent="0.25">
      <c r="A15368" s="5"/>
    </row>
    <row r="15369" spans="1:1" x14ac:dyDescent="0.25">
      <c r="A15369" s="5"/>
    </row>
    <row r="15370" spans="1:1" x14ac:dyDescent="0.25">
      <c r="A15370" s="5"/>
    </row>
    <row r="15371" spans="1:1" x14ac:dyDescent="0.25">
      <c r="A15371" s="5"/>
    </row>
    <row r="15372" spans="1:1" x14ac:dyDescent="0.25">
      <c r="A15372" s="5"/>
    </row>
    <row r="15373" spans="1:1" x14ac:dyDescent="0.25">
      <c r="A15373" s="5"/>
    </row>
    <row r="15374" spans="1:1" x14ac:dyDescent="0.25">
      <c r="A15374" s="5"/>
    </row>
    <row r="15375" spans="1:1" x14ac:dyDescent="0.25">
      <c r="A15375" s="5"/>
    </row>
    <row r="15376" spans="1:1" x14ac:dyDescent="0.25">
      <c r="A15376" s="5"/>
    </row>
    <row r="15377" spans="1:1" x14ac:dyDescent="0.25">
      <c r="A15377" s="5"/>
    </row>
    <row r="15378" spans="1:1" x14ac:dyDescent="0.25">
      <c r="A15378" s="5"/>
    </row>
    <row r="15379" spans="1:1" x14ac:dyDescent="0.25">
      <c r="A15379" s="5"/>
    </row>
    <row r="15380" spans="1:1" x14ac:dyDescent="0.25">
      <c r="A15380" s="5"/>
    </row>
    <row r="15381" spans="1:1" x14ac:dyDescent="0.25">
      <c r="A15381" s="5"/>
    </row>
    <row r="15382" spans="1:1" x14ac:dyDescent="0.25">
      <c r="A15382" s="5"/>
    </row>
    <row r="15383" spans="1:1" x14ac:dyDescent="0.25">
      <c r="A15383" s="5"/>
    </row>
    <row r="15384" spans="1:1" x14ac:dyDescent="0.25">
      <c r="A15384" s="5"/>
    </row>
    <row r="15385" spans="1:1" x14ac:dyDescent="0.25">
      <c r="A15385" s="5"/>
    </row>
    <row r="15386" spans="1:1" x14ac:dyDescent="0.25">
      <c r="A15386" s="5"/>
    </row>
    <row r="15387" spans="1:1" x14ac:dyDescent="0.25">
      <c r="A15387" s="5"/>
    </row>
    <row r="15388" spans="1:1" x14ac:dyDescent="0.25">
      <c r="A15388" s="5"/>
    </row>
    <row r="15389" spans="1:1" x14ac:dyDescent="0.25">
      <c r="A15389" s="5"/>
    </row>
    <row r="15390" spans="1:1" x14ac:dyDescent="0.25">
      <c r="A15390" s="5"/>
    </row>
    <row r="15391" spans="1:1" x14ac:dyDescent="0.25">
      <c r="A15391" s="5"/>
    </row>
    <row r="15392" spans="1:1" x14ac:dyDescent="0.25">
      <c r="A15392" s="5"/>
    </row>
    <row r="15393" spans="1:1" x14ac:dyDescent="0.25">
      <c r="A15393" s="5"/>
    </row>
    <row r="15394" spans="1:1" x14ac:dyDescent="0.25">
      <c r="A15394" s="5"/>
    </row>
    <row r="15395" spans="1:1" x14ac:dyDescent="0.25">
      <c r="A15395" s="5"/>
    </row>
    <row r="15396" spans="1:1" x14ac:dyDescent="0.25">
      <c r="A15396" s="5"/>
    </row>
    <row r="15397" spans="1:1" x14ac:dyDescent="0.25">
      <c r="A15397" s="5"/>
    </row>
    <row r="15398" spans="1:1" x14ac:dyDescent="0.25">
      <c r="A15398" s="5"/>
    </row>
    <row r="15399" spans="1:1" x14ac:dyDescent="0.25">
      <c r="A15399" s="5"/>
    </row>
    <row r="15400" spans="1:1" x14ac:dyDescent="0.25">
      <c r="A15400" s="5"/>
    </row>
    <row r="15401" spans="1:1" x14ac:dyDescent="0.25">
      <c r="A15401" s="5"/>
    </row>
    <row r="15402" spans="1:1" x14ac:dyDescent="0.25">
      <c r="A15402" s="5"/>
    </row>
    <row r="15403" spans="1:1" x14ac:dyDescent="0.25">
      <c r="A15403" s="5"/>
    </row>
    <row r="15404" spans="1:1" x14ac:dyDescent="0.25">
      <c r="A15404" s="5"/>
    </row>
    <row r="15405" spans="1:1" x14ac:dyDescent="0.25">
      <c r="A15405" s="5"/>
    </row>
    <row r="15406" spans="1:1" x14ac:dyDescent="0.25">
      <c r="A15406" s="5"/>
    </row>
    <row r="15407" spans="1:1" x14ac:dyDescent="0.25">
      <c r="A15407" s="5"/>
    </row>
    <row r="15408" spans="1:1" x14ac:dyDescent="0.25">
      <c r="A15408" s="5"/>
    </row>
    <row r="15409" spans="1:1" x14ac:dyDescent="0.25">
      <c r="A15409" s="5"/>
    </row>
    <row r="15410" spans="1:1" x14ac:dyDescent="0.25">
      <c r="A15410" s="5"/>
    </row>
    <row r="15411" spans="1:1" x14ac:dyDescent="0.25">
      <c r="A15411" s="5"/>
    </row>
    <row r="15412" spans="1:1" x14ac:dyDescent="0.25">
      <c r="A15412" s="5"/>
    </row>
    <row r="15413" spans="1:1" x14ac:dyDescent="0.25">
      <c r="A15413" s="5"/>
    </row>
    <row r="15414" spans="1:1" x14ac:dyDescent="0.25">
      <c r="A15414" s="5"/>
    </row>
    <row r="15415" spans="1:1" x14ac:dyDescent="0.25">
      <c r="A15415" s="5"/>
    </row>
    <row r="15416" spans="1:1" x14ac:dyDescent="0.25">
      <c r="A15416" s="5"/>
    </row>
    <row r="15417" spans="1:1" x14ac:dyDescent="0.25">
      <c r="A15417" s="5"/>
    </row>
    <row r="15418" spans="1:1" x14ac:dyDescent="0.25">
      <c r="A15418" s="5"/>
    </row>
    <row r="15419" spans="1:1" x14ac:dyDescent="0.25">
      <c r="A15419" s="5"/>
    </row>
    <row r="15420" spans="1:1" x14ac:dyDescent="0.25">
      <c r="A15420" s="5"/>
    </row>
    <row r="15421" spans="1:1" x14ac:dyDescent="0.25">
      <c r="A15421" s="5"/>
    </row>
    <row r="15422" spans="1:1" x14ac:dyDescent="0.25">
      <c r="A15422" s="5"/>
    </row>
    <row r="15423" spans="1:1" x14ac:dyDescent="0.25">
      <c r="A15423" s="5"/>
    </row>
    <row r="15424" spans="1:1" x14ac:dyDescent="0.25">
      <c r="A15424" s="5"/>
    </row>
    <row r="15425" spans="1:1" x14ac:dyDescent="0.25">
      <c r="A15425" s="5"/>
    </row>
    <row r="15426" spans="1:1" x14ac:dyDescent="0.25">
      <c r="A15426" s="5"/>
    </row>
    <row r="15427" spans="1:1" x14ac:dyDescent="0.25">
      <c r="A15427" s="5"/>
    </row>
    <row r="15428" spans="1:1" x14ac:dyDescent="0.25">
      <c r="A15428" s="5"/>
    </row>
    <row r="15429" spans="1:1" x14ac:dyDescent="0.25">
      <c r="A15429" s="5"/>
    </row>
    <row r="15430" spans="1:1" x14ac:dyDescent="0.25">
      <c r="A15430" s="5"/>
    </row>
    <row r="15431" spans="1:1" x14ac:dyDescent="0.25">
      <c r="A15431" s="5"/>
    </row>
    <row r="15432" spans="1:1" x14ac:dyDescent="0.25">
      <c r="A15432" s="5"/>
    </row>
    <row r="15433" spans="1:1" x14ac:dyDescent="0.25">
      <c r="A15433" s="5"/>
    </row>
    <row r="15434" spans="1:1" x14ac:dyDescent="0.25">
      <c r="A15434" s="5"/>
    </row>
    <row r="15435" spans="1:1" x14ac:dyDescent="0.25">
      <c r="A15435" s="5"/>
    </row>
    <row r="15436" spans="1:1" x14ac:dyDescent="0.25">
      <c r="A15436" s="5"/>
    </row>
    <row r="15437" spans="1:1" x14ac:dyDescent="0.25">
      <c r="A15437" s="5"/>
    </row>
    <row r="15438" spans="1:1" x14ac:dyDescent="0.25">
      <c r="A15438" s="5"/>
    </row>
    <row r="15439" spans="1:1" x14ac:dyDescent="0.25">
      <c r="A15439" s="5"/>
    </row>
    <row r="15440" spans="1:1" x14ac:dyDescent="0.25">
      <c r="A15440" s="5"/>
    </row>
    <row r="15441" spans="1:1" x14ac:dyDescent="0.25">
      <c r="A15441" s="5"/>
    </row>
    <row r="15442" spans="1:1" x14ac:dyDescent="0.25">
      <c r="A15442" s="5"/>
    </row>
    <row r="15443" spans="1:1" x14ac:dyDescent="0.25">
      <c r="A15443" s="5"/>
    </row>
    <row r="15444" spans="1:1" x14ac:dyDescent="0.25">
      <c r="A15444" s="5"/>
    </row>
    <row r="15445" spans="1:1" x14ac:dyDescent="0.25">
      <c r="A15445" s="5"/>
    </row>
    <row r="15446" spans="1:1" x14ac:dyDescent="0.25">
      <c r="A15446" s="5"/>
    </row>
    <row r="15447" spans="1:1" x14ac:dyDescent="0.25">
      <c r="A15447" s="5"/>
    </row>
    <row r="15448" spans="1:1" x14ac:dyDescent="0.25">
      <c r="A15448" s="5"/>
    </row>
    <row r="15449" spans="1:1" x14ac:dyDescent="0.25">
      <c r="A15449" s="5"/>
    </row>
    <row r="15450" spans="1:1" x14ac:dyDescent="0.25">
      <c r="A15450" s="5"/>
    </row>
    <row r="15451" spans="1:1" x14ac:dyDescent="0.25">
      <c r="A15451" s="5"/>
    </row>
    <row r="15452" spans="1:1" x14ac:dyDescent="0.25">
      <c r="A15452" s="5"/>
    </row>
    <row r="15453" spans="1:1" x14ac:dyDescent="0.25">
      <c r="A15453" s="5"/>
    </row>
    <row r="15454" spans="1:1" x14ac:dyDescent="0.25">
      <c r="A15454" s="5"/>
    </row>
    <row r="15455" spans="1:1" x14ac:dyDescent="0.25">
      <c r="A15455" s="5"/>
    </row>
    <row r="15456" spans="1:1" x14ac:dyDescent="0.25">
      <c r="A15456" s="5"/>
    </row>
    <row r="15457" spans="1:1" x14ac:dyDescent="0.25">
      <c r="A15457" s="5"/>
    </row>
    <row r="15458" spans="1:1" x14ac:dyDescent="0.25">
      <c r="A15458" s="5"/>
    </row>
    <row r="15459" spans="1:1" x14ac:dyDescent="0.25">
      <c r="A15459" s="5"/>
    </row>
    <row r="15460" spans="1:1" x14ac:dyDescent="0.25">
      <c r="A15460" s="5"/>
    </row>
    <row r="15461" spans="1:1" x14ac:dyDescent="0.25">
      <c r="A15461" s="5"/>
    </row>
    <row r="15462" spans="1:1" x14ac:dyDescent="0.25">
      <c r="A15462" s="5"/>
    </row>
    <row r="15463" spans="1:1" x14ac:dyDescent="0.25">
      <c r="A15463" s="5"/>
    </row>
    <row r="15464" spans="1:1" x14ac:dyDescent="0.25">
      <c r="A15464" s="5"/>
    </row>
    <row r="15465" spans="1:1" x14ac:dyDescent="0.25">
      <c r="A15465" s="5"/>
    </row>
    <row r="15466" spans="1:1" x14ac:dyDescent="0.25">
      <c r="A15466" s="5"/>
    </row>
    <row r="15467" spans="1:1" x14ac:dyDescent="0.25">
      <c r="A15467" s="5"/>
    </row>
    <row r="15468" spans="1:1" x14ac:dyDescent="0.25">
      <c r="A15468" s="5"/>
    </row>
    <row r="15469" spans="1:1" x14ac:dyDescent="0.25">
      <c r="A15469" s="5"/>
    </row>
    <row r="15470" spans="1:1" x14ac:dyDescent="0.25">
      <c r="A15470" s="5"/>
    </row>
    <row r="15471" spans="1:1" x14ac:dyDescent="0.25">
      <c r="A15471" s="5"/>
    </row>
    <row r="15472" spans="1:1" x14ac:dyDescent="0.25">
      <c r="A15472" s="5"/>
    </row>
    <row r="15473" spans="1:1" x14ac:dyDescent="0.25">
      <c r="A15473" s="5"/>
    </row>
    <row r="15474" spans="1:1" x14ac:dyDescent="0.25">
      <c r="A15474" s="5"/>
    </row>
    <row r="15475" spans="1:1" x14ac:dyDescent="0.25">
      <c r="A15475" s="5"/>
    </row>
    <row r="15476" spans="1:1" x14ac:dyDescent="0.25">
      <c r="A15476" s="5"/>
    </row>
    <row r="15477" spans="1:1" x14ac:dyDescent="0.25">
      <c r="A15477" s="5"/>
    </row>
    <row r="15478" spans="1:1" x14ac:dyDescent="0.25">
      <c r="A15478" s="5"/>
    </row>
    <row r="15479" spans="1:1" x14ac:dyDescent="0.25">
      <c r="A15479" s="5"/>
    </row>
    <row r="15480" spans="1:1" x14ac:dyDescent="0.25">
      <c r="A15480" s="5"/>
    </row>
    <row r="15481" spans="1:1" x14ac:dyDescent="0.25">
      <c r="A15481" s="5"/>
    </row>
    <row r="15482" spans="1:1" x14ac:dyDescent="0.25">
      <c r="A15482" s="5"/>
    </row>
    <row r="15483" spans="1:1" x14ac:dyDescent="0.25">
      <c r="A15483" s="5"/>
    </row>
    <row r="15484" spans="1:1" x14ac:dyDescent="0.25">
      <c r="A15484" s="5"/>
    </row>
    <row r="15485" spans="1:1" x14ac:dyDescent="0.25">
      <c r="A15485" s="5"/>
    </row>
    <row r="15486" spans="1:1" x14ac:dyDescent="0.25">
      <c r="A15486" s="5"/>
    </row>
    <row r="15487" spans="1:1" x14ac:dyDescent="0.25">
      <c r="A15487" s="5"/>
    </row>
    <row r="15488" spans="1:1" x14ac:dyDescent="0.25">
      <c r="A15488" s="5"/>
    </row>
    <row r="15489" spans="1:1" x14ac:dyDescent="0.25">
      <c r="A15489" s="5"/>
    </row>
    <row r="15490" spans="1:1" x14ac:dyDescent="0.25">
      <c r="A15490" s="5"/>
    </row>
    <row r="15491" spans="1:1" x14ac:dyDescent="0.25">
      <c r="A15491" s="5"/>
    </row>
    <row r="15492" spans="1:1" x14ac:dyDescent="0.25">
      <c r="A15492" s="5"/>
    </row>
    <row r="15493" spans="1:1" x14ac:dyDescent="0.25">
      <c r="A15493" s="5"/>
    </row>
    <row r="15494" spans="1:1" x14ac:dyDescent="0.25">
      <c r="A15494" s="5"/>
    </row>
    <row r="15495" spans="1:1" x14ac:dyDescent="0.25">
      <c r="A15495" s="5"/>
    </row>
    <row r="15496" spans="1:1" x14ac:dyDescent="0.25">
      <c r="A15496" s="5"/>
    </row>
    <row r="15497" spans="1:1" x14ac:dyDescent="0.25">
      <c r="A15497" s="5"/>
    </row>
    <row r="15498" spans="1:1" x14ac:dyDescent="0.25">
      <c r="A15498" s="5"/>
    </row>
    <row r="15499" spans="1:1" x14ac:dyDescent="0.25">
      <c r="A15499" s="5"/>
    </row>
    <row r="15500" spans="1:1" x14ac:dyDescent="0.25">
      <c r="A15500" s="5"/>
    </row>
    <row r="15501" spans="1:1" x14ac:dyDescent="0.25">
      <c r="A15501" s="5"/>
    </row>
    <row r="15502" spans="1:1" x14ac:dyDescent="0.25">
      <c r="A15502" s="5"/>
    </row>
    <row r="15503" spans="1:1" x14ac:dyDescent="0.25">
      <c r="A15503" s="5"/>
    </row>
    <row r="15504" spans="1:1" x14ac:dyDescent="0.25">
      <c r="A15504" s="5"/>
    </row>
    <row r="15505" spans="1:1" x14ac:dyDescent="0.25">
      <c r="A15505" s="5"/>
    </row>
    <row r="15506" spans="1:1" x14ac:dyDescent="0.25">
      <c r="A15506" s="5"/>
    </row>
    <row r="15507" spans="1:1" x14ac:dyDescent="0.25">
      <c r="A15507" s="5"/>
    </row>
    <row r="15508" spans="1:1" x14ac:dyDescent="0.25">
      <c r="A15508" s="5"/>
    </row>
    <row r="15509" spans="1:1" x14ac:dyDescent="0.25">
      <c r="A15509" s="5"/>
    </row>
    <row r="15510" spans="1:1" x14ac:dyDescent="0.25">
      <c r="A15510" s="5"/>
    </row>
    <row r="15511" spans="1:1" x14ac:dyDescent="0.25">
      <c r="A15511" s="5"/>
    </row>
    <row r="15512" spans="1:1" x14ac:dyDescent="0.25">
      <c r="A15512" s="5"/>
    </row>
    <row r="15513" spans="1:1" x14ac:dyDescent="0.25">
      <c r="A15513" s="5"/>
    </row>
    <row r="15514" spans="1:1" x14ac:dyDescent="0.25">
      <c r="A15514" s="5"/>
    </row>
    <row r="15515" spans="1:1" x14ac:dyDescent="0.25">
      <c r="A15515" s="5"/>
    </row>
    <row r="15516" spans="1:1" x14ac:dyDescent="0.25">
      <c r="A15516" s="5"/>
    </row>
    <row r="15517" spans="1:1" x14ac:dyDescent="0.25">
      <c r="A15517" s="5"/>
    </row>
    <row r="15518" spans="1:1" x14ac:dyDescent="0.25">
      <c r="A15518" s="5"/>
    </row>
    <row r="15519" spans="1:1" x14ac:dyDescent="0.25">
      <c r="A15519" s="5"/>
    </row>
    <row r="15520" spans="1:1" x14ac:dyDescent="0.25">
      <c r="A15520" s="5"/>
    </row>
    <row r="15521" spans="1:1" x14ac:dyDescent="0.25">
      <c r="A15521" s="5"/>
    </row>
    <row r="15522" spans="1:1" x14ac:dyDescent="0.25">
      <c r="A15522" s="5"/>
    </row>
    <row r="15523" spans="1:1" x14ac:dyDescent="0.25">
      <c r="A15523" s="5"/>
    </row>
    <row r="15524" spans="1:1" x14ac:dyDescent="0.25">
      <c r="A15524" s="5"/>
    </row>
    <row r="15525" spans="1:1" x14ac:dyDescent="0.25">
      <c r="A15525" s="5"/>
    </row>
    <row r="15526" spans="1:1" x14ac:dyDescent="0.25">
      <c r="A15526" s="5"/>
    </row>
    <row r="15527" spans="1:1" x14ac:dyDescent="0.25">
      <c r="A15527" s="5"/>
    </row>
    <row r="15528" spans="1:1" x14ac:dyDescent="0.25">
      <c r="A15528" s="5"/>
    </row>
    <row r="15529" spans="1:1" x14ac:dyDescent="0.25">
      <c r="A15529" s="5"/>
    </row>
    <row r="15530" spans="1:1" x14ac:dyDescent="0.25">
      <c r="A15530" s="5"/>
    </row>
    <row r="15531" spans="1:1" x14ac:dyDescent="0.25">
      <c r="A15531" s="5"/>
    </row>
    <row r="15532" spans="1:1" x14ac:dyDescent="0.25">
      <c r="A15532" s="5"/>
    </row>
    <row r="15533" spans="1:1" x14ac:dyDescent="0.25">
      <c r="A15533" s="5"/>
    </row>
    <row r="15534" spans="1:1" x14ac:dyDescent="0.25">
      <c r="A15534" s="5"/>
    </row>
    <row r="15535" spans="1:1" x14ac:dyDescent="0.25">
      <c r="A15535" s="5"/>
    </row>
    <row r="15536" spans="1:1" x14ac:dyDescent="0.25">
      <c r="A15536" s="5"/>
    </row>
    <row r="15537" spans="1:1" x14ac:dyDescent="0.25">
      <c r="A15537" s="5"/>
    </row>
    <row r="15538" spans="1:1" x14ac:dyDescent="0.25">
      <c r="A15538" s="5"/>
    </row>
    <row r="15539" spans="1:1" x14ac:dyDescent="0.25">
      <c r="A15539" s="5"/>
    </row>
    <row r="15540" spans="1:1" x14ac:dyDescent="0.25">
      <c r="A15540" s="5"/>
    </row>
    <row r="15541" spans="1:1" x14ac:dyDescent="0.25">
      <c r="A15541" s="5"/>
    </row>
    <row r="15542" spans="1:1" x14ac:dyDescent="0.25">
      <c r="A15542" s="5"/>
    </row>
    <row r="15543" spans="1:1" x14ac:dyDescent="0.25">
      <c r="A15543" s="5"/>
    </row>
    <row r="15544" spans="1:1" x14ac:dyDescent="0.25">
      <c r="A15544" s="5"/>
    </row>
    <row r="15545" spans="1:1" x14ac:dyDescent="0.25">
      <c r="A15545" s="5"/>
    </row>
    <row r="15546" spans="1:1" x14ac:dyDescent="0.25">
      <c r="A15546" s="5"/>
    </row>
    <row r="15547" spans="1:1" x14ac:dyDescent="0.25">
      <c r="A15547" s="5"/>
    </row>
    <row r="15548" spans="1:1" x14ac:dyDescent="0.25">
      <c r="A15548" s="5"/>
    </row>
    <row r="15549" spans="1:1" x14ac:dyDescent="0.25">
      <c r="A15549" s="5"/>
    </row>
    <row r="15550" spans="1:1" x14ac:dyDescent="0.25">
      <c r="A15550" s="5"/>
    </row>
    <row r="15551" spans="1:1" x14ac:dyDescent="0.25">
      <c r="A15551" s="5"/>
    </row>
    <row r="15552" spans="1:1" x14ac:dyDescent="0.25">
      <c r="A15552" s="5"/>
    </row>
    <row r="15553" spans="1:1" x14ac:dyDescent="0.25">
      <c r="A15553" s="5"/>
    </row>
    <row r="15554" spans="1:1" x14ac:dyDescent="0.25">
      <c r="A15554" s="5"/>
    </row>
    <row r="15555" spans="1:1" x14ac:dyDescent="0.25">
      <c r="A15555" s="5"/>
    </row>
    <row r="15556" spans="1:1" x14ac:dyDescent="0.25">
      <c r="A15556" s="5"/>
    </row>
    <row r="15557" spans="1:1" x14ac:dyDescent="0.25">
      <c r="A15557" s="5"/>
    </row>
    <row r="15558" spans="1:1" x14ac:dyDescent="0.25">
      <c r="A15558" s="5"/>
    </row>
    <row r="15559" spans="1:1" x14ac:dyDescent="0.25">
      <c r="A15559" s="5"/>
    </row>
    <row r="15560" spans="1:1" x14ac:dyDescent="0.25">
      <c r="A15560" s="5"/>
    </row>
    <row r="15561" spans="1:1" x14ac:dyDescent="0.25">
      <c r="A15561" s="5"/>
    </row>
    <row r="15562" spans="1:1" x14ac:dyDescent="0.25">
      <c r="A15562" s="5"/>
    </row>
    <row r="15563" spans="1:1" x14ac:dyDescent="0.25">
      <c r="A15563" s="5"/>
    </row>
    <row r="15564" spans="1:1" x14ac:dyDescent="0.25">
      <c r="A15564" s="5"/>
    </row>
    <row r="15565" spans="1:1" x14ac:dyDescent="0.25">
      <c r="A15565" s="5"/>
    </row>
    <row r="15566" spans="1:1" x14ac:dyDescent="0.25">
      <c r="A15566" s="5"/>
    </row>
    <row r="15567" spans="1:1" x14ac:dyDescent="0.25">
      <c r="A15567" s="5"/>
    </row>
    <row r="15568" spans="1:1" x14ac:dyDescent="0.25">
      <c r="A15568" s="5"/>
    </row>
    <row r="15569" spans="1:1" x14ac:dyDescent="0.25">
      <c r="A15569" s="5"/>
    </row>
    <row r="15570" spans="1:1" x14ac:dyDescent="0.25">
      <c r="A15570" s="5"/>
    </row>
    <row r="15571" spans="1:1" x14ac:dyDescent="0.25">
      <c r="A15571" s="5"/>
    </row>
    <row r="15572" spans="1:1" x14ac:dyDescent="0.25">
      <c r="A15572" s="5"/>
    </row>
    <row r="15573" spans="1:1" x14ac:dyDescent="0.25">
      <c r="A15573" s="5"/>
    </row>
    <row r="15574" spans="1:1" x14ac:dyDescent="0.25">
      <c r="A15574" s="5"/>
    </row>
    <row r="15575" spans="1:1" x14ac:dyDescent="0.25">
      <c r="A15575" s="5"/>
    </row>
    <row r="15576" spans="1:1" x14ac:dyDescent="0.25">
      <c r="A15576" s="5"/>
    </row>
    <row r="15577" spans="1:1" x14ac:dyDescent="0.25">
      <c r="A15577" s="5"/>
    </row>
    <row r="15578" spans="1:1" x14ac:dyDescent="0.25">
      <c r="A15578" s="5"/>
    </row>
    <row r="15579" spans="1:1" x14ac:dyDescent="0.25">
      <c r="A15579" s="5"/>
    </row>
    <row r="15580" spans="1:1" x14ac:dyDescent="0.25">
      <c r="A15580" s="5"/>
    </row>
    <row r="15581" spans="1:1" x14ac:dyDescent="0.25">
      <c r="A15581" s="5"/>
    </row>
    <row r="15582" spans="1:1" x14ac:dyDescent="0.25">
      <c r="A15582" s="5"/>
    </row>
    <row r="15583" spans="1:1" x14ac:dyDescent="0.25">
      <c r="A15583" s="5"/>
    </row>
    <row r="15584" spans="1:1" x14ac:dyDescent="0.25">
      <c r="A15584" s="5"/>
    </row>
    <row r="15585" spans="1:1" x14ac:dyDescent="0.25">
      <c r="A15585" s="5"/>
    </row>
    <row r="15586" spans="1:1" x14ac:dyDescent="0.25">
      <c r="A15586" s="5"/>
    </row>
    <row r="15587" spans="1:1" x14ac:dyDescent="0.25">
      <c r="A15587" s="5"/>
    </row>
    <row r="15588" spans="1:1" x14ac:dyDescent="0.25">
      <c r="A15588" s="5"/>
    </row>
    <row r="15589" spans="1:1" x14ac:dyDescent="0.25">
      <c r="A15589" s="5"/>
    </row>
    <row r="15590" spans="1:1" x14ac:dyDescent="0.25">
      <c r="A15590" s="5"/>
    </row>
    <row r="15591" spans="1:1" x14ac:dyDescent="0.25">
      <c r="A15591" s="5"/>
    </row>
    <row r="15592" spans="1:1" x14ac:dyDescent="0.25">
      <c r="A15592" s="5"/>
    </row>
    <row r="15593" spans="1:1" x14ac:dyDescent="0.25">
      <c r="A15593" s="5"/>
    </row>
    <row r="15594" spans="1:1" x14ac:dyDescent="0.25">
      <c r="A15594" s="5"/>
    </row>
    <row r="15595" spans="1:1" x14ac:dyDescent="0.25">
      <c r="A15595" s="5"/>
    </row>
    <row r="15596" spans="1:1" x14ac:dyDescent="0.25">
      <c r="A15596" s="5"/>
    </row>
    <row r="15597" spans="1:1" x14ac:dyDescent="0.25">
      <c r="A15597" s="5"/>
    </row>
    <row r="15598" spans="1:1" x14ac:dyDescent="0.25">
      <c r="A15598" s="5"/>
    </row>
    <row r="15599" spans="1:1" x14ac:dyDescent="0.25">
      <c r="A15599" s="5"/>
    </row>
    <row r="15600" spans="1:1" x14ac:dyDescent="0.25">
      <c r="A15600" s="5"/>
    </row>
    <row r="15601" spans="1:1" x14ac:dyDescent="0.25">
      <c r="A15601" s="5"/>
    </row>
    <row r="15602" spans="1:1" x14ac:dyDescent="0.25">
      <c r="A15602" s="5"/>
    </row>
    <row r="15603" spans="1:1" x14ac:dyDescent="0.25">
      <c r="A15603" s="5"/>
    </row>
    <row r="15604" spans="1:1" x14ac:dyDescent="0.25">
      <c r="A15604" s="5"/>
    </row>
    <row r="15605" spans="1:1" x14ac:dyDescent="0.25">
      <c r="A15605" s="5"/>
    </row>
    <row r="15606" spans="1:1" x14ac:dyDescent="0.25">
      <c r="A15606" s="5"/>
    </row>
    <row r="15607" spans="1:1" x14ac:dyDescent="0.25">
      <c r="A15607" s="5"/>
    </row>
    <row r="15608" spans="1:1" x14ac:dyDescent="0.25">
      <c r="A15608" s="5"/>
    </row>
    <row r="15609" spans="1:1" x14ac:dyDescent="0.25">
      <c r="A15609" s="5"/>
    </row>
    <row r="15610" spans="1:1" x14ac:dyDescent="0.25">
      <c r="A15610" s="5"/>
    </row>
    <row r="15611" spans="1:1" x14ac:dyDescent="0.25">
      <c r="A15611" s="5"/>
    </row>
    <row r="15612" spans="1:1" x14ac:dyDescent="0.25">
      <c r="A15612" s="5"/>
    </row>
    <row r="15613" spans="1:1" x14ac:dyDescent="0.25">
      <c r="A15613" s="5"/>
    </row>
    <row r="15614" spans="1:1" x14ac:dyDescent="0.25">
      <c r="A15614" s="5"/>
    </row>
    <row r="15615" spans="1:1" x14ac:dyDescent="0.25">
      <c r="A15615" s="5"/>
    </row>
    <row r="15616" spans="1:1" x14ac:dyDescent="0.25">
      <c r="A15616" s="5"/>
    </row>
    <row r="15617" spans="1:1" x14ac:dyDescent="0.25">
      <c r="A15617" s="5"/>
    </row>
    <row r="15618" spans="1:1" x14ac:dyDescent="0.25">
      <c r="A15618" s="5"/>
    </row>
    <row r="15619" spans="1:1" x14ac:dyDescent="0.25">
      <c r="A15619" s="5"/>
    </row>
    <row r="15620" spans="1:1" x14ac:dyDescent="0.25">
      <c r="A15620" s="5"/>
    </row>
    <row r="15621" spans="1:1" x14ac:dyDescent="0.25">
      <c r="A15621" s="5"/>
    </row>
    <row r="15622" spans="1:1" x14ac:dyDescent="0.25">
      <c r="A15622" s="5"/>
    </row>
    <row r="15623" spans="1:1" x14ac:dyDescent="0.25">
      <c r="A15623" s="5"/>
    </row>
    <row r="15624" spans="1:1" x14ac:dyDescent="0.25">
      <c r="A15624" s="5"/>
    </row>
    <row r="15625" spans="1:1" x14ac:dyDescent="0.25">
      <c r="A15625" s="5"/>
    </row>
    <row r="15626" spans="1:1" x14ac:dyDescent="0.25">
      <c r="A15626" s="5"/>
    </row>
    <row r="15627" spans="1:1" x14ac:dyDescent="0.25">
      <c r="A15627" s="5"/>
    </row>
    <row r="15628" spans="1:1" x14ac:dyDescent="0.25">
      <c r="A15628" s="5"/>
    </row>
    <row r="15629" spans="1:1" x14ac:dyDescent="0.25">
      <c r="A15629" s="5"/>
    </row>
    <row r="15630" spans="1:1" x14ac:dyDescent="0.25">
      <c r="A15630" s="5"/>
    </row>
    <row r="15631" spans="1:1" x14ac:dyDescent="0.25">
      <c r="A15631" s="5"/>
    </row>
    <row r="15632" spans="1:1" x14ac:dyDescent="0.25">
      <c r="A15632" s="5"/>
    </row>
    <row r="15633" spans="1:1" x14ac:dyDescent="0.25">
      <c r="A15633" s="5"/>
    </row>
    <row r="15634" spans="1:1" x14ac:dyDescent="0.25">
      <c r="A15634" s="5"/>
    </row>
    <row r="15635" spans="1:1" x14ac:dyDescent="0.25">
      <c r="A15635" s="5"/>
    </row>
    <row r="15636" spans="1:1" x14ac:dyDescent="0.25">
      <c r="A15636" s="5"/>
    </row>
    <row r="15637" spans="1:1" x14ac:dyDescent="0.25">
      <c r="A15637" s="5"/>
    </row>
    <row r="15638" spans="1:1" x14ac:dyDescent="0.25">
      <c r="A15638" s="5"/>
    </row>
    <row r="15639" spans="1:1" x14ac:dyDescent="0.25">
      <c r="A15639" s="5"/>
    </row>
    <row r="15640" spans="1:1" x14ac:dyDescent="0.25">
      <c r="A15640" s="5"/>
    </row>
    <row r="15641" spans="1:1" x14ac:dyDescent="0.25">
      <c r="A15641" s="5"/>
    </row>
    <row r="15642" spans="1:1" x14ac:dyDescent="0.25">
      <c r="A15642" s="5"/>
    </row>
    <row r="15643" spans="1:1" x14ac:dyDescent="0.25">
      <c r="A15643" s="5"/>
    </row>
    <row r="15644" spans="1:1" x14ac:dyDescent="0.25">
      <c r="A15644" s="5"/>
    </row>
    <row r="15645" spans="1:1" x14ac:dyDescent="0.25">
      <c r="A15645" s="5"/>
    </row>
    <row r="15646" spans="1:1" x14ac:dyDescent="0.25">
      <c r="A15646" s="5"/>
    </row>
    <row r="15647" spans="1:1" x14ac:dyDescent="0.25">
      <c r="A15647" s="5"/>
    </row>
    <row r="15648" spans="1:1" x14ac:dyDescent="0.25">
      <c r="A15648" s="5"/>
    </row>
    <row r="15649" spans="1:1" x14ac:dyDescent="0.25">
      <c r="A15649" s="5"/>
    </row>
    <row r="15650" spans="1:1" x14ac:dyDescent="0.25">
      <c r="A15650" s="5"/>
    </row>
    <row r="15651" spans="1:1" x14ac:dyDescent="0.25">
      <c r="A15651" s="5"/>
    </row>
    <row r="15652" spans="1:1" x14ac:dyDescent="0.25">
      <c r="A15652" s="5"/>
    </row>
    <row r="15653" spans="1:1" x14ac:dyDescent="0.25">
      <c r="A15653" s="5"/>
    </row>
    <row r="15654" spans="1:1" x14ac:dyDescent="0.25">
      <c r="A15654" s="5"/>
    </row>
    <row r="15655" spans="1:1" x14ac:dyDescent="0.25">
      <c r="A15655" s="5"/>
    </row>
    <row r="15656" spans="1:1" x14ac:dyDescent="0.25">
      <c r="A15656" s="5"/>
    </row>
    <row r="15657" spans="1:1" x14ac:dyDescent="0.25">
      <c r="A15657" s="5"/>
    </row>
    <row r="15658" spans="1:1" x14ac:dyDescent="0.25">
      <c r="A15658" s="5"/>
    </row>
    <row r="15659" spans="1:1" x14ac:dyDescent="0.25">
      <c r="A15659" s="5"/>
    </row>
    <row r="15660" spans="1:1" x14ac:dyDescent="0.25">
      <c r="A15660" s="5"/>
    </row>
    <row r="15661" spans="1:1" x14ac:dyDescent="0.25">
      <c r="A15661" s="5"/>
    </row>
    <row r="15662" spans="1:1" x14ac:dyDescent="0.25">
      <c r="A15662" s="5"/>
    </row>
    <row r="15663" spans="1:1" x14ac:dyDescent="0.25">
      <c r="A15663" s="5"/>
    </row>
    <row r="15664" spans="1:1" x14ac:dyDescent="0.25">
      <c r="A15664" s="5"/>
    </row>
    <row r="15665" spans="1:1" x14ac:dyDescent="0.25">
      <c r="A15665" s="5"/>
    </row>
    <row r="15666" spans="1:1" x14ac:dyDescent="0.25">
      <c r="A15666" s="5"/>
    </row>
    <row r="15667" spans="1:1" x14ac:dyDescent="0.25">
      <c r="A15667" s="5"/>
    </row>
    <row r="15668" spans="1:1" x14ac:dyDescent="0.25">
      <c r="A15668" s="5"/>
    </row>
    <row r="15669" spans="1:1" x14ac:dyDescent="0.25">
      <c r="A15669" s="5"/>
    </row>
    <row r="15670" spans="1:1" x14ac:dyDescent="0.25">
      <c r="A15670" s="5"/>
    </row>
    <row r="15671" spans="1:1" x14ac:dyDescent="0.25">
      <c r="A15671" s="5"/>
    </row>
    <row r="15672" spans="1:1" x14ac:dyDescent="0.25">
      <c r="A15672" s="5"/>
    </row>
    <row r="15673" spans="1:1" x14ac:dyDescent="0.25">
      <c r="A15673" s="5"/>
    </row>
    <row r="15674" spans="1:1" x14ac:dyDescent="0.25">
      <c r="A15674" s="5"/>
    </row>
    <row r="15675" spans="1:1" x14ac:dyDescent="0.25">
      <c r="A15675" s="5"/>
    </row>
    <row r="15676" spans="1:1" x14ac:dyDescent="0.25">
      <c r="A15676" s="5"/>
    </row>
    <row r="15677" spans="1:1" x14ac:dyDescent="0.25">
      <c r="A15677" s="5"/>
    </row>
    <row r="15678" spans="1:1" x14ac:dyDescent="0.25">
      <c r="A15678" s="5"/>
    </row>
    <row r="15679" spans="1:1" x14ac:dyDescent="0.25">
      <c r="A15679" s="5"/>
    </row>
    <row r="15680" spans="1:1" x14ac:dyDescent="0.25">
      <c r="A15680" s="5"/>
    </row>
    <row r="15681" spans="1:1" x14ac:dyDescent="0.25">
      <c r="A15681" s="5"/>
    </row>
    <row r="15682" spans="1:1" x14ac:dyDescent="0.25">
      <c r="A15682" s="5"/>
    </row>
    <row r="15683" spans="1:1" x14ac:dyDescent="0.25">
      <c r="A15683" s="5"/>
    </row>
    <row r="15684" spans="1:1" x14ac:dyDescent="0.25">
      <c r="A15684" s="5"/>
    </row>
    <row r="15685" spans="1:1" x14ac:dyDescent="0.25">
      <c r="A15685" s="5"/>
    </row>
    <row r="15686" spans="1:1" x14ac:dyDescent="0.25">
      <c r="A15686" s="5"/>
    </row>
    <row r="15687" spans="1:1" x14ac:dyDescent="0.25">
      <c r="A15687" s="5"/>
    </row>
    <row r="15688" spans="1:1" x14ac:dyDescent="0.25">
      <c r="A15688" s="5"/>
    </row>
    <row r="15689" spans="1:1" x14ac:dyDescent="0.25">
      <c r="A15689" s="5"/>
    </row>
    <row r="15690" spans="1:1" x14ac:dyDescent="0.25">
      <c r="A15690" s="5"/>
    </row>
    <row r="15691" spans="1:1" x14ac:dyDescent="0.25">
      <c r="A15691" s="5"/>
    </row>
    <row r="15692" spans="1:1" x14ac:dyDescent="0.25">
      <c r="A15692" s="5"/>
    </row>
    <row r="15693" spans="1:1" x14ac:dyDescent="0.25">
      <c r="A15693" s="5"/>
    </row>
    <row r="15694" spans="1:1" x14ac:dyDescent="0.25">
      <c r="A15694" s="5"/>
    </row>
    <row r="15695" spans="1:1" x14ac:dyDescent="0.25">
      <c r="A15695" s="5"/>
    </row>
    <row r="15696" spans="1:1" x14ac:dyDescent="0.25">
      <c r="A15696" s="5"/>
    </row>
    <row r="15697" spans="1:1" x14ac:dyDescent="0.25">
      <c r="A15697" s="5"/>
    </row>
    <row r="15698" spans="1:1" x14ac:dyDescent="0.25">
      <c r="A15698" s="5"/>
    </row>
    <row r="15699" spans="1:1" x14ac:dyDescent="0.25">
      <c r="A15699" s="5"/>
    </row>
    <row r="15700" spans="1:1" x14ac:dyDescent="0.25">
      <c r="A15700" s="5"/>
    </row>
    <row r="15701" spans="1:1" x14ac:dyDescent="0.25">
      <c r="A15701" s="5"/>
    </row>
    <row r="15702" spans="1:1" x14ac:dyDescent="0.25">
      <c r="A15702" s="5"/>
    </row>
    <row r="15703" spans="1:1" x14ac:dyDescent="0.25">
      <c r="A15703" s="5"/>
    </row>
    <row r="15704" spans="1:1" x14ac:dyDescent="0.25">
      <c r="A15704" s="5"/>
    </row>
    <row r="15705" spans="1:1" x14ac:dyDescent="0.25">
      <c r="A15705" s="5"/>
    </row>
    <row r="15706" spans="1:1" x14ac:dyDescent="0.25">
      <c r="A15706" s="5"/>
    </row>
    <row r="15707" spans="1:1" x14ac:dyDescent="0.25">
      <c r="A15707" s="5"/>
    </row>
    <row r="15708" spans="1:1" x14ac:dyDescent="0.25">
      <c r="A15708" s="5"/>
    </row>
    <row r="15709" spans="1:1" x14ac:dyDescent="0.25">
      <c r="A15709" s="5"/>
    </row>
    <row r="15710" spans="1:1" x14ac:dyDescent="0.25">
      <c r="A15710" s="5"/>
    </row>
    <row r="15711" spans="1:1" x14ac:dyDescent="0.25">
      <c r="A15711" s="5"/>
    </row>
    <row r="15712" spans="1:1" x14ac:dyDescent="0.25">
      <c r="A15712" s="5"/>
    </row>
    <row r="15713" spans="1:1" x14ac:dyDescent="0.25">
      <c r="A15713" s="5"/>
    </row>
    <row r="15714" spans="1:1" x14ac:dyDescent="0.25">
      <c r="A15714" s="5"/>
    </row>
    <row r="15715" spans="1:1" x14ac:dyDescent="0.25">
      <c r="A15715" s="5"/>
    </row>
    <row r="15716" spans="1:1" x14ac:dyDescent="0.25">
      <c r="A15716" s="5"/>
    </row>
    <row r="15717" spans="1:1" x14ac:dyDescent="0.25">
      <c r="A15717" s="5"/>
    </row>
    <row r="15718" spans="1:1" x14ac:dyDescent="0.25">
      <c r="A15718" s="5"/>
    </row>
    <row r="15719" spans="1:1" x14ac:dyDescent="0.25">
      <c r="A15719" s="5"/>
    </row>
    <row r="15720" spans="1:1" x14ac:dyDescent="0.25">
      <c r="A15720" s="5"/>
    </row>
    <row r="15721" spans="1:1" x14ac:dyDescent="0.25">
      <c r="A15721" s="5"/>
    </row>
    <row r="15722" spans="1:1" x14ac:dyDescent="0.25">
      <c r="A15722" s="5"/>
    </row>
    <row r="15723" spans="1:1" x14ac:dyDescent="0.25">
      <c r="A15723" s="5"/>
    </row>
    <row r="15724" spans="1:1" x14ac:dyDescent="0.25">
      <c r="A15724" s="5"/>
    </row>
    <row r="15725" spans="1:1" x14ac:dyDescent="0.25">
      <c r="A15725" s="5"/>
    </row>
    <row r="15726" spans="1:1" x14ac:dyDescent="0.25">
      <c r="A15726" s="5"/>
    </row>
    <row r="15727" spans="1:1" x14ac:dyDescent="0.25">
      <c r="A15727" s="5"/>
    </row>
    <row r="15728" spans="1:1" x14ac:dyDescent="0.25">
      <c r="A15728" s="5"/>
    </row>
    <row r="15729" spans="1:1" x14ac:dyDescent="0.25">
      <c r="A15729" s="5"/>
    </row>
    <row r="15730" spans="1:1" x14ac:dyDescent="0.25">
      <c r="A15730" s="5"/>
    </row>
    <row r="15731" spans="1:1" x14ac:dyDescent="0.25">
      <c r="A15731" s="5"/>
    </row>
    <row r="15732" spans="1:1" x14ac:dyDescent="0.25">
      <c r="A15732" s="5"/>
    </row>
    <row r="15733" spans="1:1" x14ac:dyDescent="0.25">
      <c r="A15733" s="5"/>
    </row>
    <row r="15734" spans="1:1" x14ac:dyDescent="0.25">
      <c r="A15734" s="5"/>
    </row>
    <row r="15735" spans="1:1" x14ac:dyDescent="0.25">
      <c r="A15735" s="5"/>
    </row>
    <row r="15736" spans="1:1" x14ac:dyDescent="0.25">
      <c r="A15736" s="5"/>
    </row>
    <row r="15737" spans="1:1" x14ac:dyDescent="0.25">
      <c r="A15737" s="5"/>
    </row>
    <row r="15738" spans="1:1" x14ac:dyDescent="0.25">
      <c r="A15738" s="5"/>
    </row>
    <row r="15739" spans="1:1" x14ac:dyDescent="0.25">
      <c r="A15739" s="5"/>
    </row>
    <row r="15740" spans="1:1" x14ac:dyDescent="0.25">
      <c r="A15740" s="5"/>
    </row>
    <row r="15741" spans="1:1" x14ac:dyDescent="0.25">
      <c r="A15741" s="5"/>
    </row>
    <row r="15742" spans="1:1" x14ac:dyDescent="0.25">
      <c r="A15742" s="5"/>
    </row>
    <row r="15743" spans="1:1" x14ac:dyDescent="0.25">
      <c r="A15743" s="5"/>
    </row>
    <row r="15744" spans="1:1" x14ac:dyDescent="0.25">
      <c r="A15744" s="5"/>
    </row>
    <row r="15745" spans="1:1" x14ac:dyDescent="0.25">
      <c r="A15745" s="5"/>
    </row>
    <row r="15746" spans="1:1" x14ac:dyDescent="0.25">
      <c r="A15746" s="5"/>
    </row>
    <row r="15747" spans="1:1" x14ac:dyDescent="0.25">
      <c r="A15747" s="5"/>
    </row>
    <row r="15748" spans="1:1" x14ac:dyDescent="0.25">
      <c r="A15748" s="5"/>
    </row>
    <row r="15749" spans="1:1" x14ac:dyDescent="0.25">
      <c r="A15749" s="5"/>
    </row>
    <row r="15750" spans="1:1" x14ac:dyDescent="0.25">
      <c r="A15750" s="5"/>
    </row>
    <row r="15751" spans="1:1" x14ac:dyDescent="0.25">
      <c r="A15751" s="5"/>
    </row>
    <row r="15752" spans="1:1" x14ac:dyDescent="0.25">
      <c r="A15752" s="5"/>
    </row>
    <row r="15753" spans="1:1" x14ac:dyDescent="0.25">
      <c r="A15753" s="5"/>
    </row>
    <row r="15754" spans="1:1" x14ac:dyDescent="0.25">
      <c r="A15754" s="5"/>
    </row>
    <row r="15755" spans="1:1" x14ac:dyDescent="0.25">
      <c r="A15755" s="5"/>
    </row>
    <row r="15756" spans="1:1" x14ac:dyDescent="0.25">
      <c r="A15756" s="5"/>
    </row>
    <row r="15757" spans="1:1" x14ac:dyDescent="0.25">
      <c r="A15757" s="5"/>
    </row>
    <row r="15758" spans="1:1" x14ac:dyDescent="0.25">
      <c r="A15758" s="5"/>
    </row>
    <row r="15759" spans="1:1" x14ac:dyDescent="0.25">
      <c r="A15759" s="5"/>
    </row>
    <row r="15760" spans="1:1" x14ac:dyDescent="0.25">
      <c r="A15760" s="5"/>
    </row>
    <row r="15761" spans="1:1" x14ac:dyDescent="0.25">
      <c r="A15761" s="5"/>
    </row>
    <row r="15762" spans="1:1" x14ac:dyDescent="0.25">
      <c r="A15762" s="5"/>
    </row>
    <row r="15763" spans="1:1" x14ac:dyDescent="0.25">
      <c r="A15763" s="5"/>
    </row>
    <row r="15764" spans="1:1" x14ac:dyDescent="0.25">
      <c r="A15764" s="5"/>
    </row>
    <row r="15765" spans="1:1" x14ac:dyDescent="0.25">
      <c r="A15765" s="5"/>
    </row>
    <row r="15766" spans="1:1" x14ac:dyDescent="0.25">
      <c r="A15766" s="5"/>
    </row>
    <row r="15767" spans="1:1" x14ac:dyDescent="0.25">
      <c r="A15767" s="5"/>
    </row>
    <row r="15768" spans="1:1" x14ac:dyDescent="0.25">
      <c r="A15768" s="5"/>
    </row>
    <row r="15769" spans="1:1" x14ac:dyDescent="0.25">
      <c r="A15769" s="5"/>
    </row>
    <row r="15770" spans="1:1" x14ac:dyDescent="0.25">
      <c r="A15770" s="5"/>
    </row>
    <row r="15771" spans="1:1" x14ac:dyDescent="0.25">
      <c r="A15771" s="5"/>
    </row>
    <row r="15772" spans="1:1" x14ac:dyDescent="0.25">
      <c r="A15772" s="5"/>
    </row>
    <row r="15773" spans="1:1" x14ac:dyDescent="0.25">
      <c r="A15773" s="5"/>
    </row>
    <row r="15774" spans="1:1" x14ac:dyDescent="0.25">
      <c r="A15774" s="5"/>
    </row>
    <row r="15775" spans="1:1" x14ac:dyDescent="0.25">
      <c r="A15775" s="5"/>
    </row>
    <row r="15776" spans="1:1" x14ac:dyDescent="0.25">
      <c r="A15776" s="5"/>
    </row>
    <row r="15777" spans="1:1" x14ac:dyDescent="0.25">
      <c r="A15777" s="5"/>
    </row>
    <row r="15778" spans="1:1" x14ac:dyDescent="0.25">
      <c r="A15778" s="5"/>
    </row>
    <row r="15779" spans="1:1" x14ac:dyDescent="0.25">
      <c r="A15779" s="5"/>
    </row>
    <row r="15780" spans="1:1" x14ac:dyDescent="0.25">
      <c r="A15780" s="5"/>
    </row>
    <row r="15781" spans="1:1" x14ac:dyDescent="0.25">
      <c r="A15781" s="5"/>
    </row>
    <row r="15782" spans="1:1" x14ac:dyDescent="0.25">
      <c r="A15782" s="5"/>
    </row>
    <row r="15783" spans="1:1" x14ac:dyDescent="0.25">
      <c r="A15783" s="5"/>
    </row>
    <row r="15784" spans="1:1" x14ac:dyDescent="0.25">
      <c r="A15784" s="5"/>
    </row>
    <row r="15785" spans="1:1" x14ac:dyDescent="0.25">
      <c r="A15785" s="5"/>
    </row>
    <row r="15786" spans="1:1" x14ac:dyDescent="0.25">
      <c r="A15786" s="5"/>
    </row>
    <row r="15787" spans="1:1" x14ac:dyDescent="0.25">
      <c r="A15787" s="5"/>
    </row>
    <row r="15788" spans="1:1" x14ac:dyDescent="0.25">
      <c r="A15788" s="5"/>
    </row>
    <row r="15789" spans="1:1" x14ac:dyDescent="0.25">
      <c r="A15789" s="5"/>
    </row>
    <row r="15790" spans="1:1" x14ac:dyDescent="0.25">
      <c r="A15790" s="5"/>
    </row>
    <row r="15791" spans="1:1" x14ac:dyDescent="0.25">
      <c r="A15791" s="5"/>
    </row>
    <row r="15792" spans="1:1" x14ac:dyDescent="0.25">
      <c r="A15792" s="5"/>
    </row>
    <row r="15793" spans="1:1" x14ac:dyDescent="0.25">
      <c r="A15793" s="5"/>
    </row>
    <row r="15794" spans="1:1" x14ac:dyDescent="0.25">
      <c r="A15794" s="5"/>
    </row>
    <row r="15795" spans="1:1" x14ac:dyDescent="0.25">
      <c r="A15795" s="5"/>
    </row>
    <row r="15796" spans="1:1" x14ac:dyDescent="0.25">
      <c r="A15796" s="5"/>
    </row>
    <row r="15797" spans="1:1" x14ac:dyDescent="0.25">
      <c r="A15797" s="5"/>
    </row>
    <row r="15798" spans="1:1" x14ac:dyDescent="0.25">
      <c r="A15798" s="5"/>
    </row>
    <row r="15799" spans="1:1" x14ac:dyDescent="0.25">
      <c r="A15799" s="5"/>
    </row>
    <row r="15800" spans="1:1" x14ac:dyDescent="0.25">
      <c r="A15800" s="5"/>
    </row>
    <row r="15801" spans="1:1" x14ac:dyDescent="0.25">
      <c r="A15801" s="5"/>
    </row>
    <row r="15802" spans="1:1" x14ac:dyDescent="0.25">
      <c r="A15802" s="5"/>
    </row>
    <row r="15803" spans="1:1" x14ac:dyDescent="0.25">
      <c r="A15803" s="5"/>
    </row>
    <row r="15804" spans="1:1" x14ac:dyDescent="0.25">
      <c r="A15804" s="5"/>
    </row>
    <row r="15805" spans="1:1" x14ac:dyDescent="0.25">
      <c r="A15805" s="5"/>
    </row>
    <row r="15806" spans="1:1" x14ac:dyDescent="0.25">
      <c r="A15806" s="5"/>
    </row>
    <row r="15807" spans="1:1" x14ac:dyDescent="0.25">
      <c r="A15807" s="5"/>
    </row>
    <row r="15808" spans="1:1" x14ac:dyDescent="0.25">
      <c r="A15808" s="5"/>
    </row>
    <row r="15809" spans="1:1" x14ac:dyDescent="0.25">
      <c r="A15809" s="5"/>
    </row>
    <row r="15810" spans="1:1" x14ac:dyDescent="0.25">
      <c r="A15810" s="5"/>
    </row>
    <row r="15811" spans="1:1" x14ac:dyDescent="0.25">
      <c r="A15811" s="5"/>
    </row>
    <row r="15812" spans="1:1" x14ac:dyDescent="0.25">
      <c r="A15812" s="5"/>
    </row>
    <row r="15813" spans="1:1" x14ac:dyDescent="0.25">
      <c r="A15813" s="5"/>
    </row>
    <row r="15814" spans="1:1" x14ac:dyDescent="0.25">
      <c r="A15814" s="5"/>
    </row>
    <row r="15815" spans="1:1" x14ac:dyDescent="0.25">
      <c r="A15815" s="5"/>
    </row>
    <row r="15816" spans="1:1" x14ac:dyDescent="0.25">
      <c r="A15816" s="5"/>
    </row>
    <row r="15817" spans="1:1" x14ac:dyDescent="0.25">
      <c r="A15817" s="5"/>
    </row>
    <row r="15818" spans="1:1" x14ac:dyDescent="0.25">
      <c r="A15818" s="5"/>
    </row>
    <row r="15819" spans="1:1" x14ac:dyDescent="0.25">
      <c r="A15819" s="5"/>
    </row>
    <row r="15820" spans="1:1" x14ac:dyDescent="0.25">
      <c r="A15820" s="5"/>
    </row>
    <row r="15821" spans="1:1" x14ac:dyDescent="0.25">
      <c r="A15821" s="5"/>
    </row>
    <row r="15822" spans="1:1" x14ac:dyDescent="0.25">
      <c r="A15822" s="5"/>
    </row>
    <row r="15823" spans="1:1" x14ac:dyDescent="0.25">
      <c r="A15823" s="5"/>
    </row>
    <row r="15824" spans="1:1" x14ac:dyDescent="0.25">
      <c r="A15824" s="5"/>
    </row>
    <row r="15825" spans="1:1" x14ac:dyDescent="0.25">
      <c r="A15825" s="5"/>
    </row>
    <row r="15826" spans="1:1" x14ac:dyDescent="0.25">
      <c r="A15826" s="5"/>
    </row>
    <row r="15827" spans="1:1" x14ac:dyDescent="0.25">
      <c r="A15827" s="5"/>
    </row>
    <row r="15828" spans="1:1" x14ac:dyDescent="0.25">
      <c r="A15828" s="5"/>
    </row>
    <row r="15829" spans="1:1" x14ac:dyDescent="0.25">
      <c r="A15829" s="5"/>
    </row>
    <row r="15830" spans="1:1" x14ac:dyDescent="0.25">
      <c r="A15830" s="5"/>
    </row>
    <row r="15831" spans="1:1" x14ac:dyDescent="0.25">
      <c r="A15831" s="5"/>
    </row>
    <row r="15832" spans="1:1" x14ac:dyDescent="0.25">
      <c r="A15832" s="5"/>
    </row>
    <row r="15833" spans="1:1" x14ac:dyDescent="0.25">
      <c r="A15833" s="5"/>
    </row>
    <row r="15834" spans="1:1" x14ac:dyDescent="0.25">
      <c r="A15834" s="5"/>
    </row>
    <row r="15835" spans="1:1" x14ac:dyDescent="0.25">
      <c r="A15835" s="5"/>
    </row>
    <row r="15836" spans="1:1" x14ac:dyDescent="0.25">
      <c r="A15836" s="5"/>
    </row>
    <row r="15837" spans="1:1" x14ac:dyDescent="0.25">
      <c r="A15837" s="5"/>
    </row>
    <row r="15838" spans="1:1" x14ac:dyDescent="0.25">
      <c r="A15838" s="5"/>
    </row>
    <row r="15839" spans="1:1" x14ac:dyDescent="0.25">
      <c r="A15839" s="5"/>
    </row>
    <row r="15840" spans="1:1" x14ac:dyDescent="0.25">
      <c r="A15840" s="5"/>
    </row>
    <row r="15841" spans="1:1" x14ac:dyDescent="0.25">
      <c r="A15841" s="5"/>
    </row>
    <row r="15842" spans="1:1" x14ac:dyDescent="0.25">
      <c r="A15842" s="5"/>
    </row>
    <row r="15843" spans="1:1" x14ac:dyDescent="0.25">
      <c r="A15843" s="5"/>
    </row>
    <row r="15844" spans="1:1" x14ac:dyDescent="0.25">
      <c r="A15844" s="5"/>
    </row>
    <row r="15845" spans="1:1" x14ac:dyDescent="0.25">
      <c r="A15845" s="5"/>
    </row>
    <row r="15846" spans="1:1" x14ac:dyDescent="0.25">
      <c r="A15846" s="5"/>
    </row>
    <row r="15847" spans="1:1" x14ac:dyDescent="0.25">
      <c r="A15847" s="5"/>
    </row>
    <row r="15848" spans="1:1" x14ac:dyDescent="0.25">
      <c r="A15848" s="5"/>
    </row>
    <row r="15849" spans="1:1" x14ac:dyDescent="0.25">
      <c r="A15849" s="5"/>
    </row>
    <row r="15850" spans="1:1" x14ac:dyDescent="0.25">
      <c r="A15850" s="5"/>
    </row>
    <row r="15851" spans="1:1" x14ac:dyDescent="0.25">
      <c r="A15851" s="5"/>
    </row>
    <row r="15852" spans="1:1" x14ac:dyDescent="0.25">
      <c r="A15852" s="5"/>
    </row>
    <row r="15853" spans="1:1" x14ac:dyDescent="0.25">
      <c r="A15853" s="5"/>
    </row>
    <row r="15854" spans="1:1" x14ac:dyDescent="0.25">
      <c r="A15854" s="5"/>
    </row>
    <row r="15855" spans="1:1" x14ac:dyDescent="0.25">
      <c r="A15855" s="5"/>
    </row>
    <row r="15856" spans="1:1" x14ac:dyDescent="0.25">
      <c r="A15856" s="5"/>
    </row>
    <row r="15857" spans="1:1" x14ac:dyDescent="0.25">
      <c r="A15857" s="5"/>
    </row>
    <row r="15858" spans="1:1" x14ac:dyDescent="0.25">
      <c r="A15858" s="5"/>
    </row>
    <row r="15859" spans="1:1" x14ac:dyDescent="0.25">
      <c r="A15859" s="5"/>
    </row>
    <row r="15860" spans="1:1" x14ac:dyDescent="0.25">
      <c r="A15860" s="5"/>
    </row>
    <row r="15861" spans="1:1" x14ac:dyDescent="0.25">
      <c r="A15861" s="5"/>
    </row>
    <row r="15862" spans="1:1" x14ac:dyDescent="0.25">
      <c r="A15862" s="5"/>
    </row>
    <row r="15863" spans="1:1" x14ac:dyDescent="0.25">
      <c r="A15863" s="5"/>
    </row>
    <row r="15864" spans="1:1" x14ac:dyDescent="0.25">
      <c r="A15864" s="5"/>
    </row>
    <row r="15865" spans="1:1" x14ac:dyDescent="0.25">
      <c r="A15865" s="5"/>
    </row>
    <row r="15866" spans="1:1" x14ac:dyDescent="0.25">
      <c r="A15866" s="5"/>
    </row>
    <row r="15867" spans="1:1" x14ac:dyDescent="0.25">
      <c r="A15867" s="5"/>
    </row>
    <row r="15868" spans="1:1" x14ac:dyDescent="0.25">
      <c r="A15868" s="5"/>
    </row>
    <row r="15869" spans="1:1" x14ac:dyDescent="0.25">
      <c r="A15869" s="5"/>
    </row>
    <row r="15870" spans="1:1" x14ac:dyDescent="0.25">
      <c r="A15870" s="5"/>
    </row>
    <row r="15871" spans="1:1" x14ac:dyDescent="0.25">
      <c r="A15871" s="5"/>
    </row>
    <row r="15872" spans="1:1" x14ac:dyDescent="0.25">
      <c r="A15872" s="5"/>
    </row>
    <row r="15873" spans="1:1" x14ac:dyDescent="0.25">
      <c r="A15873" s="5"/>
    </row>
    <row r="15874" spans="1:1" x14ac:dyDescent="0.25">
      <c r="A15874" s="5"/>
    </row>
    <row r="15875" spans="1:1" x14ac:dyDescent="0.25">
      <c r="A15875" s="5"/>
    </row>
    <row r="15876" spans="1:1" x14ac:dyDescent="0.25">
      <c r="A15876" s="5"/>
    </row>
    <row r="15877" spans="1:1" x14ac:dyDescent="0.25">
      <c r="A15877" s="5"/>
    </row>
    <row r="15878" spans="1:1" x14ac:dyDescent="0.25">
      <c r="A15878" s="5"/>
    </row>
    <row r="15879" spans="1:1" x14ac:dyDescent="0.25">
      <c r="A15879" s="5"/>
    </row>
    <row r="15880" spans="1:1" x14ac:dyDescent="0.25">
      <c r="A15880" s="5"/>
    </row>
    <row r="15881" spans="1:1" x14ac:dyDescent="0.25">
      <c r="A15881" s="5"/>
    </row>
    <row r="15882" spans="1:1" x14ac:dyDescent="0.25">
      <c r="A15882" s="5"/>
    </row>
    <row r="15883" spans="1:1" x14ac:dyDescent="0.25">
      <c r="A15883" s="5"/>
    </row>
    <row r="15884" spans="1:1" x14ac:dyDescent="0.25">
      <c r="A15884" s="5"/>
    </row>
    <row r="15885" spans="1:1" x14ac:dyDescent="0.25">
      <c r="A15885" s="5"/>
    </row>
    <row r="15886" spans="1:1" x14ac:dyDescent="0.25">
      <c r="A15886" s="5"/>
    </row>
    <row r="15887" spans="1:1" x14ac:dyDescent="0.25">
      <c r="A15887" s="5"/>
    </row>
    <row r="15888" spans="1:1" x14ac:dyDescent="0.25">
      <c r="A15888" s="5"/>
    </row>
    <row r="15889" spans="1:1" x14ac:dyDescent="0.25">
      <c r="A15889" s="5"/>
    </row>
    <row r="15890" spans="1:1" x14ac:dyDescent="0.25">
      <c r="A15890" s="5"/>
    </row>
    <row r="15891" spans="1:1" x14ac:dyDescent="0.25">
      <c r="A15891" s="5"/>
    </row>
    <row r="15892" spans="1:1" x14ac:dyDescent="0.25">
      <c r="A15892" s="5"/>
    </row>
    <row r="15893" spans="1:1" x14ac:dyDescent="0.25">
      <c r="A15893" s="5"/>
    </row>
    <row r="15894" spans="1:1" x14ac:dyDescent="0.25">
      <c r="A15894" s="5"/>
    </row>
    <row r="15895" spans="1:1" x14ac:dyDescent="0.25">
      <c r="A15895" s="5"/>
    </row>
    <row r="15896" spans="1:1" x14ac:dyDescent="0.25">
      <c r="A15896" s="5"/>
    </row>
    <row r="15897" spans="1:1" x14ac:dyDescent="0.25">
      <c r="A15897" s="5"/>
    </row>
    <row r="15898" spans="1:1" x14ac:dyDescent="0.25">
      <c r="A15898" s="5"/>
    </row>
    <row r="15899" spans="1:1" x14ac:dyDescent="0.25">
      <c r="A15899" s="5"/>
    </row>
    <row r="15900" spans="1:1" x14ac:dyDescent="0.25">
      <c r="A15900" s="5"/>
    </row>
    <row r="15901" spans="1:1" x14ac:dyDescent="0.25">
      <c r="A15901" s="5"/>
    </row>
    <row r="15902" spans="1:1" x14ac:dyDescent="0.25">
      <c r="A15902" s="5"/>
    </row>
    <row r="15903" spans="1:1" x14ac:dyDescent="0.25">
      <c r="A15903" s="5"/>
    </row>
    <row r="15904" spans="1:1" x14ac:dyDescent="0.25">
      <c r="A15904" s="5"/>
    </row>
    <row r="15905" spans="1:1" x14ac:dyDescent="0.25">
      <c r="A15905" s="5"/>
    </row>
    <row r="15906" spans="1:1" x14ac:dyDescent="0.25">
      <c r="A15906" s="5"/>
    </row>
    <row r="15907" spans="1:1" x14ac:dyDescent="0.25">
      <c r="A15907" s="5"/>
    </row>
    <row r="15908" spans="1:1" x14ac:dyDescent="0.25">
      <c r="A15908" s="5"/>
    </row>
    <row r="15909" spans="1:1" x14ac:dyDescent="0.25">
      <c r="A15909" s="5"/>
    </row>
    <row r="15910" spans="1:1" x14ac:dyDescent="0.25">
      <c r="A15910" s="5"/>
    </row>
    <row r="15911" spans="1:1" x14ac:dyDescent="0.25">
      <c r="A15911" s="5"/>
    </row>
    <row r="15912" spans="1:1" x14ac:dyDescent="0.25">
      <c r="A15912" s="5"/>
    </row>
    <row r="15913" spans="1:1" x14ac:dyDescent="0.25">
      <c r="A15913" s="5"/>
    </row>
    <row r="15914" spans="1:1" x14ac:dyDescent="0.25">
      <c r="A15914" s="5"/>
    </row>
    <row r="15915" spans="1:1" x14ac:dyDescent="0.25">
      <c r="A15915" s="5"/>
    </row>
    <row r="15916" spans="1:1" x14ac:dyDescent="0.25">
      <c r="A15916" s="5"/>
    </row>
    <row r="15917" spans="1:1" x14ac:dyDescent="0.25">
      <c r="A15917" s="5"/>
    </row>
    <row r="15918" spans="1:1" x14ac:dyDescent="0.25">
      <c r="A15918" s="5"/>
    </row>
    <row r="15919" spans="1:1" x14ac:dyDescent="0.25">
      <c r="A15919" s="5"/>
    </row>
    <row r="15920" spans="1:1" x14ac:dyDescent="0.25">
      <c r="A15920" s="5"/>
    </row>
    <row r="15921" spans="1:1" x14ac:dyDescent="0.25">
      <c r="A15921" s="5"/>
    </row>
    <row r="15922" spans="1:1" x14ac:dyDescent="0.25">
      <c r="A15922" s="5"/>
    </row>
    <row r="15923" spans="1:1" x14ac:dyDescent="0.25">
      <c r="A15923" s="5"/>
    </row>
    <row r="15924" spans="1:1" x14ac:dyDescent="0.25">
      <c r="A15924" s="5"/>
    </row>
    <row r="15925" spans="1:1" x14ac:dyDescent="0.25">
      <c r="A15925" s="5"/>
    </row>
    <row r="15926" spans="1:1" x14ac:dyDescent="0.25">
      <c r="A15926" s="5"/>
    </row>
    <row r="15927" spans="1:1" x14ac:dyDescent="0.25">
      <c r="A15927" s="5"/>
    </row>
    <row r="15928" spans="1:1" x14ac:dyDescent="0.25">
      <c r="A15928" s="5"/>
    </row>
    <row r="15929" spans="1:1" x14ac:dyDescent="0.25">
      <c r="A15929" s="5"/>
    </row>
    <row r="15930" spans="1:1" x14ac:dyDescent="0.25">
      <c r="A15930" s="5"/>
    </row>
    <row r="15931" spans="1:1" x14ac:dyDescent="0.25">
      <c r="A15931" s="5"/>
    </row>
    <row r="15932" spans="1:1" x14ac:dyDescent="0.25">
      <c r="A15932" s="5"/>
    </row>
    <row r="15933" spans="1:1" x14ac:dyDescent="0.25">
      <c r="A15933" s="5"/>
    </row>
    <row r="15934" spans="1:1" x14ac:dyDescent="0.25">
      <c r="A15934" s="5"/>
    </row>
    <row r="15935" spans="1:1" x14ac:dyDescent="0.25">
      <c r="A15935" s="5"/>
    </row>
    <row r="15936" spans="1:1" x14ac:dyDescent="0.25">
      <c r="A15936" s="5"/>
    </row>
    <row r="15937" spans="1:1" x14ac:dyDescent="0.25">
      <c r="A15937" s="5"/>
    </row>
    <row r="15938" spans="1:1" x14ac:dyDescent="0.25">
      <c r="A15938" s="5"/>
    </row>
    <row r="15939" spans="1:1" x14ac:dyDescent="0.25">
      <c r="A15939" s="5"/>
    </row>
    <row r="15940" spans="1:1" x14ac:dyDescent="0.25">
      <c r="A15940" s="5"/>
    </row>
    <row r="15941" spans="1:1" x14ac:dyDescent="0.25">
      <c r="A15941" s="5"/>
    </row>
    <row r="15942" spans="1:1" x14ac:dyDescent="0.25">
      <c r="A15942" s="5"/>
    </row>
    <row r="15943" spans="1:1" x14ac:dyDescent="0.25">
      <c r="A15943" s="5"/>
    </row>
    <row r="15944" spans="1:1" x14ac:dyDescent="0.25">
      <c r="A15944" s="5"/>
    </row>
    <row r="15945" spans="1:1" x14ac:dyDescent="0.25">
      <c r="A15945" s="5"/>
    </row>
    <row r="15946" spans="1:1" x14ac:dyDescent="0.25">
      <c r="A15946" s="5"/>
    </row>
    <row r="15947" spans="1:1" x14ac:dyDescent="0.25">
      <c r="A15947" s="5"/>
    </row>
    <row r="15948" spans="1:1" x14ac:dyDescent="0.25">
      <c r="A15948" s="5"/>
    </row>
    <row r="15949" spans="1:1" x14ac:dyDescent="0.25">
      <c r="A15949" s="5"/>
    </row>
    <row r="15950" spans="1:1" x14ac:dyDescent="0.25">
      <c r="A15950" s="5"/>
    </row>
    <row r="15951" spans="1:1" x14ac:dyDescent="0.25">
      <c r="A15951" s="5"/>
    </row>
    <row r="15952" spans="1:1" x14ac:dyDescent="0.25">
      <c r="A15952" s="5"/>
    </row>
    <row r="15953" spans="1:1" x14ac:dyDescent="0.25">
      <c r="A15953" s="5"/>
    </row>
    <row r="15954" spans="1:1" x14ac:dyDescent="0.25">
      <c r="A15954" s="5"/>
    </row>
    <row r="15955" spans="1:1" x14ac:dyDescent="0.25">
      <c r="A15955" s="5"/>
    </row>
    <row r="15956" spans="1:1" x14ac:dyDescent="0.25">
      <c r="A15956" s="5"/>
    </row>
    <row r="15957" spans="1:1" x14ac:dyDescent="0.25">
      <c r="A15957" s="5"/>
    </row>
    <row r="15958" spans="1:1" x14ac:dyDescent="0.25">
      <c r="A15958" s="5"/>
    </row>
    <row r="15959" spans="1:1" x14ac:dyDescent="0.25">
      <c r="A15959" s="5"/>
    </row>
    <row r="15960" spans="1:1" x14ac:dyDescent="0.25">
      <c r="A15960" s="5"/>
    </row>
    <row r="15961" spans="1:1" x14ac:dyDescent="0.25">
      <c r="A15961" s="5"/>
    </row>
    <row r="15962" spans="1:1" x14ac:dyDescent="0.25">
      <c r="A15962" s="5"/>
    </row>
    <row r="15963" spans="1:1" x14ac:dyDescent="0.25">
      <c r="A15963" s="5"/>
    </row>
    <row r="15964" spans="1:1" x14ac:dyDescent="0.25">
      <c r="A15964" s="5"/>
    </row>
    <row r="15965" spans="1:1" x14ac:dyDescent="0.25">
      <c r="A15965" s="5"/>
    </row>
    <row r="15966" spans="1:1" x14ac:dyDescent="0.25">
      <c r="A15966" s="5"/>
    </row>
    <row r="15967" spans="1:1" x14ac:dyDescent="0.25">
      <c r="A15967" s="5"/>
    </row>
    <row r="15968" spans="1:1" x14ac:dyDescent="0.25">
      <c r="A15968" s="5"/>
    </row>
    <row r="15969" spans="1:1" x14ac:dyDescent="0.25">
      <c r="A15969" s="5"/>
    </row>
    <row r="15970" spans="1:1" x14ac:dyDescent="0.25">
      <c r="A15970" s="5"/>
    </row>
    <row r="15971" spans="1:1" x14ac:dyDescent="0.25">
      <c r="A15971" s="5"/>
    </row>
    <row r="15972" spans="1:1" x14ac:dyDescent="0.25">
      <c r="A15972" s="5"/>
    </row>
    <row r="15973" spans="1:1" x14ac:dyDescent="0.25">
      <c r="A15973" s="5"/>
    </row>
    <row r="15974" spans="1:1" x14ac:dyDescent="0.25">
      <c r="A15974" s="5"/>
    </row>
    <row r="15975" spans="1:1" x14ac:dyDescent="0.25">
      <c r="A15975" s="5"/>
    </row>
    <row r="15976" spans="1:1" x14ac:dyDescent="0.25">
      <c r="A15976" s="5"/>
    </row>
    <row r="15977" spans="1:1" x14ac:dyDescent="0.25">
      <c r="A15977" s="5"/>
    </row>
    <row r="15978" spans="1:1" x14ac:dyDescent="0.25">
      <c r="A15978" s="5"/>
    </row>
    <row r="15979" spans="1:1" x14ac:dyDescent="0.25">
      <c r="A15979" s="5"/>
    </row>
    <row r="15980" spans="1:1" x14ac:dyDescent="0.25">
      <c r="A15980" s="5"/>
    </row>
    <row r="15981" spans="1:1" x14ac:dyDescent="0.25">
      <c r="A15981" s="5"/>
    </row>
    <row r="15982" spans="1:1" x14ac:dyDescent="0.25">
      <c r="A15982" s="5"/>
    </row>
    <row r="15983" spans="1:1" x14ac:dyDescent="0.25">
      <c r="A15983" s="5"/>
    </row>
    <row r="15984" spans="1:1" x14ac:dyDescent="0.25">
      <c r="A15984" s="5"/>
    </row>
    <row r="15985" spans="1:1" x14ac:dyDescent="0.25">
      <c r="A15985" s="5"/>
    </row>
    <row r="15986" spans="1:1" x14ac:dyDescent="0.25">
      <c r="A15986" s="5"/>
    </row>
    <row r="15987" spans="1:1" x14ac:dyDescent="0.25">
      <c r="A15987" s="5"/>
    </row>
    <row r="15988" spans="1:1" x14ac:dyDescent="0.25">
      <c r="A15988" s="5"/>
    </row>
    <row r="15989" spans="1:1" x14ac:dyDescent="0.25">
      <c r="A15989" s="5"/>
    </row>
    <row r="15990" spans="1:1" x14ac:dyDescent="0.25">
      <c r="A15990" s="5"/>
    </row>
    <row r="15991" spans="1:1" x14ac:dyDescent="0.25">
      <c r="A15991" s="5"/>
    </row>
    <row r="15992" spans="1:1" x14ac:dyDescent="0.25">
      <c r="A15992" s="5"/>
    </row>
    <row r="15993" spans="1:1" x14ac:dyDescent="0.25">
      <c r="A15993" s="5"/>
    </row>
    <row r="15994" spans="1:1" x14ac:dyDescent="0.25">
      <c r="A15994" s="5"/>
    </row>
    <row r="15995" spans="1:1" x14ac:dyDescent="0.25">
      <c r="A15995" s="5"/>
    </row>
    <row r="15996" spans="1:1" x14ac:dyDescent="0.25">
      <c r="A15996" s="5"/>
    </row>
    <row r="15997" spans="1:1" x14ac:dyDescent="0.25">
      <c r="A15997" s="5"/>
    </row>
    <row r="15998" spans="1:1" x14ac:dyDescent="0.25">
      <c r="A15998" s="5"/>
    </row>
    <row r="15999" spans="1:1" x14ac:dyDescent="0.25">
      <c r="A15999" s="5"/>
    </row>
    <row r="16000" spans="1:1" x14ac:dyDescent="0.25">
      <c r="A16000" s="5"/>
    </row>
    <row r="16001" spans="1:1" x14ac:dyDescent="0.25">
      <c r="A16001" s="5"/>
    </row>
    <row r="16002" spans="1:1" x14ac:dyDescent="0.25">
      <c r="A16002" s="5"/>
    </row>
    <row r="16003" spans="1:1" x14ac:dyDescent="0.25">
      <c r="A16003" s="5"/>
    </row>
    <row r="16004" spans="1:1" x14ac:dyDescent="0.25">
      <c r="A16004" s="5"/>
    </row>
    <row r="16005" spans="1:1" x14ac:dyDescent="0.25">
      <c r="A16005" s="5"/>
    </row>
    <row r="16006" spans="1:1" x14ac:dyDescent="0.25">
      <c r="A16006" s="5"/>
    </row>
    <row r="16007" spans="1:1" x14ac:dyDescent="0.25">
      <c r="A16007" s="5"/>
    </row>
    <row r="16008" spans="1:1" x14ac:dyDescent="0.25">
      <c r="A16008" s="5"/>
    </row>
    <row r="16009" spans="1:1" x14ac:dyDescent="0.25">
      <c r="A16009" s="5"/>
    </row>
    <row r="16010" spans="1:1" x14ac:dyDescent="0.25">
      <c r="A16010" s="5"/>
    </row>
    <row r="16011" spans="1:1" x14ac:dyDescent="0.25">
      <c r="A16011" s="5"/>
    </row>
    <row r="16012" spans="1:1" x14ac:dyDescent="0.25">
      <c r="A16012" s="5"/>
    </row>
    <row r="16013" spans="1:1" x14ac:dyDescent="0.25">
      <c r="A16013" s="5"/>
    </row>
    <row r="16014" spans="1:1" x14ac:dyDescent="0.25">
      <c r="A16014" s="5"/>
    </row>
    <row r="16015" spans="1:1" x14ac:dyDescent="0.25">
      <c r="A16015" s="5"/>
    </row>
    <row r="16016" spans="1:1" x14ac:dyDescent="0.25">
      <c r="A16016" s="5"/>
    </row>
    <row r="16017" spans="1:1" x14ac:dyDescent="0.25">
      <c r="A16017" s="5"/>
    </row>
    <row r="16018" spans="1:1" x14ac:dyDescent="0.25">
      <c r="A16018" s="5"/>
    </row>
    <row r="16019" spans="1:1" x14ac:dyDescent="0.25">
      <c r="A16019" s="5"/>
    </row>
    <row r="16020" spans="1:1" x14ac:dyDescent="0.25">
      <c r="A16020" s="5"/>
    </row>
    <row r="16021" spans="1:1" x14ac:dyDescent="0.25">
      <c r="A16021" s="5"/>
    </row>
    <row r="16022" spans="1:1" x14ac:dyDescent="0.25">
      <c r="A16022" s="5"/>
    </row>
    <row r="16023" spans="1:1" x14ac:dyDescent="0.25">
      <c r="A16023" s="5"/>
    </row>
    <row r="16024" spans="1:1" x14ac:dyDescent="0.25">
      <c r="A16024" s="5"/>
    </row>
    <row r="16025" spans="1:1" x14ac:dyDescent="0.25">
      <c r="A16025" s="5"/>
    </row>
    <row r="16026" spans="1:1" x14ac:dyDescent="0.25">
      <c r="A16026" s="5"/>
    </row>
    <row r="16027" spans="1:1" x14ac:dyDescent="0.25">
      <c r="A16027" s="5"/>
    </row>
    <row r="16028" spans="1:1" x14ac:dyDescent="0.25">
      <c r="A16028" s="5"/>
    </row>
    <row r="16029" spans="1:1" x14ac:dyDescent="0.25">
      <c r="A16029" s="5"/>
    </row>
    <row r="16030" spans="1:1" x14ac:dyDescent="0.25">
      <c r="A16030" s="5"/>
    </row>
    <row r="16031" spans="1:1" x14ac:dyDescent="0.25">
      <c r="A16031" s="5"/>
    </row>
    <row r="16032" spans="1:1" x14ac:dyDescent="0.25">
      <c r="A16032" s="5"/>
    </row>
    <row r="16033" spans="1:1" x14ac:dyDescent="0.25">
      <c r="A16033" s="5"/>
    </row>
    <row r="16034" spans="1:1" x14ac:dyDescent="0.25">
      <c r="A16034" s="5"/>
    </row>
    <row r="16035" spans="1:1" x14ac:dyDescent="0.25">
      <c r="A16035" s="5"/>
    </row>
    <row r="16036" spans="1:1" x14ac:dyDescent="0.25">
      <c r="A16036" s="5"/>
    </row>
    <row r="16037" spans="1:1" x14ac:dyDescent="0.25">
      <c r="A16037" s="5"/>
    </row>
    <row r="16038" spans="1:1" x14ac:dyDescent="0.25">
      <c r="A16038" s="5"/>
    </row>
    <row r="16039" spans="1:1" x14ac:dyDescent="0.25">
      <c r="A16039" s="5"/>
    </row>
    <row r="16040" spans="1:1" x14ac:dyDescent="0.25">
      <c r="A16040" s="5"/>
    </row>
    <row r="16041" spans="1:1" x14ac:dyDescent="0.25">
      <c r="A16041" s="5"/>
    </row>
    <row r="16042" spans="1:1" x14ac:dyDescent="0.25">
      <c r="A16042" s="5"/>
    </row>
    <row r="16043" spans="1:1" x14ac:dyDescent="0.25">
      <c r="A16043" s="5"/>
    </row>
    <row r="16044" spans="1:1" x14ac:dyDescent="0.25">
      <c r="A16044" s="5"/>
    </row>
    <row r="16045" spans="1:1" x14ac:dyDescent="0.25">
      <c r="A16045" s="5"/>
    </row>
    <row r="16046" spans="1:1" x14ac:dyDescent="0.25">
      <c r="A16046" s="5"/>
    </row>
    <row r="16047" spans="1:1" x14ac:dyDescent="0.25">
      <c r="A16047" s="5"/>
    </row>
    <row r="16048" spans="1:1" x14ac:dyDescent="0.25">
      <c r="A16048" s="5"/>
    </row>
    <row r="16049" spans="1:1" x14ac:dyDescent="0.25">
      <c r="A16049" s="5"/>
    </row>
    <row r="16050" spans="1:1" x14ac:dyDescent="0.25">
      <c r="A16050" s="5"/>
    </row>
    <row r="16051" spans="1:1" x14ac:dyDescent="0.25">
      <c r="A16051" s="5"/>
    </row>
    <row r="16052" spans="1:1" x14ac:dyDescent="0.25">
      <c r="A16052" s="5"/>
    </row>
    <row r="16053" spans="1:1" x14ac:dyDescent="0.25">
      <c r="A16053" s="5"/>
    </row>
    <row r="16054" spans="1:1" x14ac:dyDescent="0.25">
      <c r="A16054" s="5"/>
    </row>
    <row r="16055" spans="1:1" x14ac:dyDescent="0.25">
      <c r="A16055" s="5"/>
    </row>
    <row r="16056" spans="1:1" x14ac:dyDescent="0.25">
      <c r="A16056" s="5"/>
    </row>
    <row r="16057" spans="1:1" x14ac:dyDescent="0.25">
      <c r="A16057" s="5"/>
    </row>
    <row r="16058" spans="1:1" x14ac:dyDescent="0.25">
      <c r="A16058" s="5"/>
    </row>
    <row r="16059" spans="1:1" x14ac:dyDescent="0.25">
      <c r="A16059" s="5"/>
    </row>
    <row r="16060" spans="1:1" x14ac:dyDescent="0.25">
      <c r="A16060" s="5"/>
    </row>
    <row r="16061" spans="1:1" x14ac:dyDescent="0.25">
      <c r="A16061" s="5"/>
    </row>
    <row r="16062" spans="1:1" x14ac:dyDescent="0.25">
      <c r="A16062" s="5"/>
    </row>
    <row r="16063" spans="1:1" x14ac:dyDescent="0.25">
      <c r="A16063" s="5"/>
    </row>
    <row r="16064" spans="1:1" x14ac:dyDescent="0.25">
      <c r="A16064" s="5"/>
    </row>
    <row r="16065" spans="1:1" x14ac:dyDescent="0.25">
      <c r="A16065" s="5"/>
    </row>
    <row r="16066" spans="1:1" x14ac:dyDescent="0.25">
      <c r="A16066" s="5"/>
    </row>
    <row r="16067" spans="1:1" x14ac:dyDescent="0.25">
      <c r="A16067" s="5"/>
    </row>
    <row r="16068" spans="1:1" x14ac:dyDescent="0.25">
      <c r="A16068" s="5"/>
    </row>
    <row r="16069" spans="1:1" x14ac:dyDescent="0.25">
      <c r="A16069" s="5"/>
    </row>
    <row r="16070" spans="1:1" x14ac:dyDescent="0.25">
      <c r="A16070" s="5"/>
    </row>
    <row r="16071" spans="1:1" x14ac:dyDescent="0.25">
      <c r="A16071" s="5"/>
    </row>
    <row r="16072" spans="1:1" x14ac:dyDescent="0.25">
      <c r="A16072" s="5"/>
    </row>
    <row r="16073" spans="1:1" x14ac:dyDescent="0.25">
      <c r="A16073" s="5"/>
    </row>
    <row r="16074" spans="1:1" x14ac:dyDescent="0.25">
      <c r="A16074" s="5"/>
    </row>
    <row r="16075" spans="1:1" x14ac:dyDescent="0.25">
      <c r="A16075" s="5"/>
    </row>
    <row r="16076" spans="1:1" x14ac:dyDescent="0.25">
      <c r="A16076" s="5"/>
    </row>
    <row r="16077" spans="1:1" x14ac:dyDescent="0.25">
      <c r="A16077" s="5"/>
    </row>
    <row r="16078" spans="1:1" x14ac:dyDescent="0.25">
      <c r="A16078" s="5"/>
    </row>
    <row r="16079" spans="1:1" x14ac:dyDescent="0.25">
      <c r="A16079" s="5"/>
    </row>
    <row r="16080" spans="1:1" x14ac:dyDescent="0.25">
      <c r="A16080" s="5"/>
    </row>
    <row r="16081" spans="1:1" x14ac:dyDescent="0.25">
      <c r="A16081" s="5"/>
    </row>
    <row r="16082" spans="1:1" x14ac:dyDescent="0.25">
      <c r="A16082" s="5"/>
    </row>
    <row r="16083" spans="1:1" x14ac:dyDescent="0.25">
      <c r="A16083" s="5"/>
    </row>
    <row r="16084" spans="1:1" x14ac:dyDescent="0.25">
      <c r="A16084" s="5"/>
    </row>
    <row r="16085" spans="1:1" x14ac:dyDescent="0.25">
      <c r="A16085" s="5"/>
    </row>
    <row r="16086" spans="1:1" x14ac:dyDescent="0.25">
      <c r="A16086" s="5"/>
    </row>
    <row r="16087" spans="1:1" x14ac:dyDescent="0.25">
      <c r="A16087" s="5"/>
    </row>
    <row r="16088" spans="1:1" x14ac:dyDescent="0.25">
      <c r="A16088" s="5"/>
    </row>
    <row r="16089" spans="1:1" x14ac:dyDescent="0.25">
      <c r="A16089" s="5"/>
    </row>
    <row r="16090" spans="1:1" x14ac:dyDescent="0.25">
      <c r="A16090" s="5"/>
    </row>
    <row r="16091" spans="1:1" x14ac:dyDescent="0.25">
      <c r="A16091" s="5"/>
    </row>
    <row r="16092" spans="1:1" x14ac:dyDescent="0.25">
      <c r="A16092" s="5"/>
    </row>
    <row r="16093" spans="1:1" x14ac:dyDescent="0.25">
      <c r="A16093" s="5"/>
    </row>
    <row r="16094" spans="1:1" x14ac:dyDescent="0.25">
      <c r="A16094" s="5"/>
    </row>
    <row r="16095" spans="1:1" x14ac:dyDescent="0.25">
      <c r="A16095" s="5"/>
    </row>
    <row r="16096" spans="1:1" x14ac:dyDescent="0.25">
      <c r="A16096" s="5"/>
    </row>
    <row r="16097" spans="1:1" x14ac:dyDescent="0.25">
      <c r="A16097" s="5"/>
    </row>
    <row r="16098" spans="1:1" x14ac:dyDescent="0.25">
      <c r="A16098" s="5"/>
    </row>
    <row r="16099" spans="1:1" x14ac:dyDescent="0.25">
      <c r="A16099" s="5"/>
    </row>
    <row r="16100" spans="1:1" x14ac:dyDescent="0.25">
      <c r="A16100" s="5"/>
    </row>
    <row r="16101" spans="1:1" x14ac:dyDescent="0.25">
      <c r="A16101" s="5"/>
    </row>
    <row r="16102" spans="1:1" x14ac:dyDescent="0.25">
      <c r="A16102" s="5"/>
    </row>
    <row r="16103" spans="1:1" x14ac:dyDescent="0.25">
      <c r="A16103" s="5"/>
    </row>
    <row r="16104" spans="1:1" x14ac:dyDescent="0.25">
      <c r="A16104" s="5"/>
    </row>
    <row r="16105" spans="1:1" x14ac:dyDescent="0.25">
      <c r="A16105" s="5"/>
    </row>
    <row r="16106" spans="1:1" x14ac:dyDescent="0.25">
      <c r="A16106" s="5"/>
    </row>
    <row r="16107" spans="1:1" x14ac:dyDescent="0.25">
      <c r="A16107" s="5"/>
    </row>
    <row r="16108" spans="1:1" x14ac:dyDescent="0.25">
      <c r="A16108" s="5"/>
    </row>
    <row r="16109" spans="1:1" x14ac:dyDescent="0.25">
      <c r="A16109" s="5"/>
    </row>
    <row r="16110" spans="1:1" x14ac:dyDescent="0.25">
      <c r="A16110" s="5"/>
    </row>
    <row r="16111" spans="1:1" x14ac:dyDescent="0.25">
      <c r="A16111" s="5"/>
    </row>
    <row r="16112" spans="1:1" x14ac:dyDescent="0.25">
      <c r="A16112" s="5"/>
    </row>
    <row r="16113" spans="1:1" x14ac:dyDescent="0.25">
      <c r="A16113" s="5"/>
    </row>
    <row r="16114" spans="1:1" x14ac:dyDescent="0.25">
      <c r="A16114" s="5"/>
    </row>
    <row r="16115" spans="1:1" x14ac:dyDescent="0.25">
      <c r="A16115" s="5"/>
    </row>
    <row r="16116" spans="1:1" x14ac:dyDescent="0.25">
      <c r="A16116" s="5"/>
    </row>
    <row r="16117" spans="1:1" x14ac:dyDescent="0.25">
      <c r="A16117" s="5"/>
    </row>
    <row r="16118" spans="1:1" x14ac:dyDescent="0.25">
      <c r="A16118" s="5"/>
    </row>
    <row r="16119" spans="1:1" x14ac:dyDescent="0.25">
      <c r="A16119" s="5"/>
    </row>
    <row r="16120" spans="1:1" x14ac:dyDescent="0.25">
      <c r="A16120" s="5"/>
    </row>
    <row r="16121" spans="1:1" x14ac:dyDescent="0.25">
      <c r="A16121" s="5"/>
    </row>
    <row r="16122" spans="1:1" x14ac:dyDescent="0.25">
      <c r="A16122" s="5"/>
    </row>
    <row r="16123" spans="1:1" x14ac:dyDescent="0.25">
      <c r="A16123" s="5"/>
    </row>
    <row r="16124" spans="1:1" x14ac:dyDescent="0.25">
      <c r="A16124" s="5"/>
    </row>
    <row r="16125" spans="1:1" x14ac:dyDescent="0.25">
      <c r="A16125" s="5"/>
    </row>
    <row r="16126" spans="1:1" x14ac:dyDescent="0.25">
      <c r="A16126" s="5"/>
    </row>
    <row r="16127" spans="1:1" x14ac:dyDescent="0.25">
      <c r="A16127" s="5"/>
    </row>
    <row r="16128" spans="1:1" x14ac:dyDescent="0.25">
      <c r="A16128" s="5"/>
    </row>
    <row r="16129" spans="1:1" x14ac:dyDescent="0.25">
      <c r="A16129" s="5"/>
    </row>
    <row r="16130" spans="1:1" x14ac:dyDescent="0.25">
      <c r="A16130" s="5"/>
    </row>
    <row r="16131" spans="1:1" x14ac:dyDescent="0.25">
      <c r="A16131" s="5"/>
    </row>
    <row r="16132" spans="1:1" x14ac:dyDescent="0.25">
      <c r="A16132" s="5"/>
    </row>
    <row r="16133" spans="1:1" x14ac:dyDescent="0.25">
      <c r="A16133" s="5"/>
    </row>
    <row r="16134" spans="1:1" x14ac:dyDescent="0.25">
      <c r="A16134" s="5"/>
    </row>
    <row r="16135" spans="1:1" x14ac:dyDescent="0.25">
      <c r="A16135" s="5"/>
    </row>
    <row r="16136" spans="1:1" x14ac:dyDescent="0.25">
      <c r="A16136" s="5"/>
    </row>
    <row r="16137" spans="1:1" x14ac:dyDescent="0.25">
      <c r="A16137" s="5"/>
    </row>
    <row r="16138" spans="1:1" x14ac:dyDescent="0.25">
      <c r="A16138" s="5"/>
    </row>
    <row r="16139" spans="1:1" x14ac:dyDescent="0.25">
      <c r="A16139" s="5"/>
    </row>
    <row r="16140" spans="1:1" x14ac:dyDescent="0.25">
      <c r="A16140" s="5"/>
    </row>
    <row r="16141" spans="1:1" x14ac:dyDescent="0.25">
      <c r="A16141" s="5"/>
    </row>
    <row r="16142" spans="1:1" x14ac:dyDescent="0.25">
      <c r="A16142" s="5"/>
    </row>
    <row r="16143" spans="1:1" x14ac:dyDescent="0.25">
      <c r="A16143" s="5"/>
    </row>
    <row r="16144" spans="1:1" x14ac:dyDescent="0.25">
      <c r="A16144" s="5"/>
    </row>
    <row r="16145" spans="1:1" x14ac:dyDescent="0.25">
      <c r="A16145" s="5"/>
    </row>
    <row r="16146" spans="1:1" x14ac:dyDescent="0.25">
      <c r="A16146" s="5"/>
    </row>
    <row r="16147" spans="1:1" x14ac:dyDescent="0.25">
      <c r="A16147" s="5"/>
    </row>
    <row r="16148" spans="1:1" x14ac:dyDescent="0.25">
      <c r="A16148" s="5"/>
    </row>
    <row r="16149" spans="1:1" x14ac:dyDescent="0.25">
      <c r="A16149" s="5"/>
    </row>
    <row r="16150" spans="1:1" x14ac:dyDescent="0.25">
      <c r="A16150" s="5"/>
    </row>
    <row r="16151" spans="1:1" x14ac:dyDescent="0.25">
      <c r="A16151" s="5"/>
    </row>
    <row r="16152" spans="1:1" x14ac:dyDescent="0.25">
      <c r="A16152" s="5"/>
    </row>
    <row r="16153" spans="1:1" x14ac:dyDescent="0.25">
      <c r="A16153" s="5"/>
    </row>
    <row r="16154" spans="1:1" x14ac:dyDescent="0.25">
      <c r="A16154" s="5"/>
    </row>
    <row r="16155" spans="1:1" x14ac:dyDescent="0.25">
      <c r="A16155" s="5"/>
    </row>
    <row r="16156" spans="1:1" x14ac:dyDescent="0.25">
      <c r="A16156" s="5"/>
    </row>
    <row r="16157" spans="1:1" x14ac:dyDescent="0.25">
      <c r="A16157" s="5"/>
    </row>
    <row r="16158" spans="1:1" x14ac:dyDescent="0.25">
      <c r="A16158" s="5"/>
    </row>
    <row r="16159" spans="1:1" x14ac:dyDescent="0.25">
      <c r="A16159" s="5"/>
    </row>
    <row r="16160" spans="1:1" x14ac:dyDescent="0.25">
      <c r="A16160" s="5"/>
    </row>
    <row r="16161" spans="1:1" x14ac:dyDescent="0.25">
      <c r="A16161" s="5"/>
    </row>
    <row r="16162" spans="1:1" x14ac:dyDescent="0.25">
      <c r="A16162" s="5"/>
    </row>
    <row r="16163" spans="1:1" x14ac:dyDescent="0.25">
      <c r="A16163" s="5"/>
    </row>
    <row r="16164" spans="1:1" x14ac:dyDescent="0.25">
      <c r="A16164" s="5"/>
    </row>
    <row r="16165" spans="1:1" x14ac:dyDescent="0.25">
      <c r="A16165" s="5"/>
    </row>
    <row r="16166" spans="1:1" x14ac:dyDescent="0.25">
      <c r="A16166" s="5"/>
    </row>
    <row r="16167" spans="1:1" x14ac:dyDescent="0.25">
      <c r="A16167" s="5"/>
    </row>
    <row r="16168" spans="1:1" x14ac:dyDescent="0.25">
      <c r="A16168" s="5"/>
    </row>
    <row r="16169" spans="1:1" x14ac:dyDescent="0.25">
      <c r="A16169" s="5"/>
    </row>
    <row r="16170" spans="1:1" x14ac:dyDescent="0.25">
      <c r="A16170" s="5"/>
    </row>
    <row r="16171" spans="1:1" x14ac:dyDescent="0.25">
      <c r="A16171" s="5"/>
    </row>
    <row r="16172" spans="1:1" x14ac:dyDescent="0.25">
      <c r="A16172" s="5"/>
    </row>
    <row r="16173" spans="1:1" x14ac:dyDescent="0.25">
      <c r="A16173" s="5"/>
    </row>
    <row r="16174" spans="1:1" x14ac:dyDescent="0.25">
      <c r="A16174" s="5"/>
    </row>
    <row r="16175" spans="1:1" x14ac:dyDescent="0.25">
      <c r="A16175" s="5"/>
    </row>
    <row r="16176" spans="1:1" x14ac:dyDescent="0.25">
      <c r="A16176" s="5"/>
    </row>
    <row r="16177" spans="1:1" x14ac:dyDescent="0.25">
      <c r="A16177" s="5"/>
    </row>
    <row r="16178" spans="1:1" x14ac:dyDescent="0.25">
      <c r="A16178" s="5"/>
    </row>
    <row r="16179" spans="1:1" x14ac:dyDescent="0.25">
      <c r="A16179" s="5"/>
    </row>
    <row r="16180" spans="1:1" x14ac:dyDescent="0.25">
      <c r="A16180" s="5"/>
    </row>
    <row r="16181" spans="1:1" x14ac:dyDescent="0.25">
      <c r="A16181" s="5"/>
    </row>
    <row r="16182" spans="1:1" x14ac:dyDescent="0.25">
      <c r="A16182" s="5"/>
    </row>
    <row r="16183" spans="1:1" x14ac:dyDescent="0.25">
      <c r="A16183" s="5"/>
    </row>
    <row r="16184" spans="1:1" x14ac:dyDescent="0.25">
      <c r="A16184" s="5"/>
    </row>
    <row r="16185" spans="1:1" x14ac:dyDescent="0.25">
      <c r="A16185" s="5"/>
    </row>
    <row r="16186" spans="1:1" x14ac:dyDescent="0.25">
      <c r="A16186" s="5"/>
    </row>
    <row r="16187" spans="1:1" x14ac:dyDescent="0.25">
      <c r="A16187" s="5"/>
    </row>
    <row r="16188" spans="1:1" x14ac:dyDescent="0.25">
      <c r="A16188" s="5"/>
    </row>
    <row r="16189" spans="1:1" x14ac:dyDescent="0.25">
      <c r="A16189" s="5"/>
    </row>
    <row r="16190" spans="1:1" x14ac:dyDescent="0.25">
      <c r="A16190" s="5"/>
    </row>
    <row r="16191" spans="1:1" x14ac:dyDescent="0.25">
      <c r="A16191" s="5"/>
    </row>
    <row r="16192" spans="1:1" x14ac:dyDescent="0.25">
      <c r="A16192" s="5"/>
    </row>
    <row r="16193" spans="1:1" x14ac:dyDescent="0.25">
      <c r="A16193" s="5"/>
    </row>
    <row r="16194" spans="1:1" x14ac:dyDescent="0.25">
      <c r="A16194" s="5"/>
    </row>
    <row r="16195" spans="1:1" x14ac:dyDescent="0.25">
      <c r="A16195" s="5"/>
    </row>
    <row r="16196" spans="1:1" x14ac:dyDescent="0.25">
      <c r="A16196" s="5"/>
    </row>
    <row r="16197" spans="1:1" x14ac:dyDescent="0.25">
      <c r="A16197" s="5"/>
    </row>
    <row r="16198" spans="1:1" x14ac:dyDescent="0.25">
      <c r="A16198" s="5"/>
    </row>
    <row r="16199" spans="1:1" x14ac:dyDescent="0.25">
      <c r="A16199" s="5"/>
    </row>
    <row r="16200" spans="1:1" x14ac:dyDescent="0.25">
      <c r="A16200" s="5"/>
    </row>
    <row r="16201" spans="1:1" x14ac:dyDescent="0.25">
      <c r="A16201" s="5"/>
    </row>
    <row r="16202" spans="1:1" x14ac:dyDescent="0.25">
      <c r="A16202" s="5"/>
    </row>
    <row r="16203" spans="1:1" x14ac:dyDescent="0.25">
      <c r="A16203" s="5"/>
    </row>
    <row r="16204" spans="1:1" x14ac:dyDescent="0.25">
      <c r="A16204" s="5"/>
    </row>
    <row r="16205" spans="1:1" x14ac:dyDescent="0.25">
      <c r="A16205" s="5"/>
    </row>
    <row r="16206" spans="1:1" x14ac:dyDescent="0.25">
      <c r="A16206" s="5"/>
    </row>
    <row r="16207" spans="1:1" x14ac:dyDescent="0.25">
      <c r="A16207" s="5"/>
    </row>
    <row r="16208" spans="1:1" x14ac:dyDescent="0.25">
      <c r="A16208" s="5"/>
    </row>
    <row r="16209" spans="1:1" x14ac:dyDescent="0.25">
      <c r="A16209" s="5"/>
    </row>
    <row r="16210" spans="1:1" x14ac:dyDescent="0.25">
      <c r="A16210" s="5"/>
    </row>
    <row r="16211" spans="1:1" x14ac:dyDescent="0.25">
      <c r="A16211" s="5"/>
    </row>
    <row r="16212" spans="1:1" x14ac:dyDescent="0.25">
      <c r="A16212" s="5"/>
    </row>
    <row r="16213" spans="1:1" x14ac:dyDescent="0.25">
      <c r="A16213" s="5"/>
    </row>
    <row r="16214" spans="1:1" x14ac:dyDescent="0.25">
      <c r="A16214" s="5"/>
    </row>
    <row r="16215" spans="1:1" x14ac:dyDescent="0.25">
      <c r="A16215" s="5"/>
    </row>
    <row r="16216" spans="1:1" x14ac:dyDescent="0.25">
      <c r="A16216" s="5"/>
    </row>
    <row r="16217" spans="1:1" x14ac:dyDescent="0.25">
      <c r="A16217" s="5"/>
    </row>
    <row r="16218" spans="1:1" x14ac:dyDescent="0.25">
      <c r="A16218" s="5"/>
    </row>
    <row r="16219" spans="1:1" x14ac:dyDescent="0.25">
      <c r="A16219" s="5"/>
    </row>
    <row r="16220" spans="1:1" x14ac:dyDescent="0.25">
      <c r="A16220" s="5"/>
    </row>
    <row r="16221" spans="1:1" x14ac:dyDescent="0.25">
      <c r="A16221" s="5"/>
    </row>
    <row r="16222" spans="1:1" x14ac:dyDescent="0.25">
      <c r="A16222" s="5"/>
    </row>
    <row r="16223" spans="1:1" x14ac:dyDescent="0.25">
      <c r="A16223" s="5"/>
    </row>
    <row r="16224" spans="1:1" x14ac:dyDescent="0.25">
      <c r="A16224" s="5"/>
    </row>
    <row r="16225" spans="1:1" x14ac:dyDescent="0.25">
      <c r="A16225" s="5"/>
    </row>
    <row r="16226" spans="1:1" x14ac:dyDescent="0.25">
      <c r="A16226" s="5"/>
    </row>
    <row r="16227" spans="1:1" x14ac:dyDescent="0.25">
      <c r="A16227" s="5"/>
    </row>
    <row r="16228" spans="1:1" x14ac:dyDescent="0.25">
      <c r="A16228" s="5"/>
    </row>
    <row r="16229" spans="1:1" x14ac:dyDescent="0.25">
      <c r="A16229" s="5"/>
    </row>
    <row r="16230" spans="1:1" x14ac:dyDescent="0.25">
      <c r="A16230" s="5"/>
    </row>
    <row r="16231" spans="1:1" x14ac:dyDescent="0.25">
      <c r="A16231" s="5"/>
    </row>
    <row r="16232" spans="1:1" x14ac:dyDescent="0.25">
      <c r="A16232" s="5"/>
    </row>
    <row r="16233" spans="1:1" x14ac:dyDescent="0.25">
      <c r="A16233" s="5"/>
    </row>
    <row r="16234" spans="1:1" x14ac:dyDescent="0.25">
      <c r="A16234" s="5"/>
    </row>
    <row r="16235" spans="1:1" x14ac:dyDescent="0.25">
      <c r="A16235" s="5"/>
    </row>
    <row r="16236" spans="1:1" x14ac:dyDescent="0.25">
      <c r="A16236" s="5"/>
    </row>
    <row r="16237" spans="1:1" x14ac:dyDescent="0.25">
      <c r="A16237" s="5"/>
    </row>
    <row r="16238" spans="1:1" x14ac:dyDescent="0.25">
      <c r="A16238" s="5"/>
    </row>
    <row r="16239" spans="1:1" x14ac:dyDescent="0.25">
      <c r="A16239" s="5"/>
    </row>
    <row r="16240" spans="1:1" x14ac:dyDescent="0.25">
      <c r="A16240" s="5"/>
    </row>
    <row r="16241" spans="1:1" x14ac:dyDescent="0.25">
      <c r="A16241" s="5"/>
    </row>
    <row r="16242" spans="1:1" x14ac:dyDescent="0.25">
      <c r="A16242" s="5"/>
    </row>
    <row r="16243" spans="1:1" x14ac:dyDescent="0.25">
      <c r="A16243" s="5"/>
    </row>
    <row r="16244" spans="1:1" x14ac:dyDescent="0.25">
      <c r="A16244" s="5"/>
    </row>
    <row r="16245" spans="1:1" x14ac:dyDescent="0.25">
      <c r="A16245" s="5"/>
    </row>
    <row r="16246" spans="1:1" x14ac:dyDescent="0.25">
      <c r="A16246" s="5"/>
    </row>
    <row r="16247" spans="1:1" x14ac:dyDescent="0.25">
      <c r="A16247" s="5"/>
    </row>
    <row r="16248" spans="1:1" x14ac:dyDescent="0.25">
      <c r="A16248" s="5"/>
    </row>
    <row r="16249" spans="1:1" x14ac:dyDescent="0.25">
      <c r="A16249" s="5"/>
    </row>
    <row r="16250" spans="1:1" x14ac:dyDescent="0.25">
      <c r="A16250" s="5"/>
    </row>
    <row r="16251" spans="1:1" x14ac:dyDescent="0.25">
      <c r="A16251" s="5"/>
    </row>
    <row r="16252" spans="1:1" x14ac:dyDescent="0.25">
      <c r="A16252" s="5"/>
    </row>
    <row r="16253" spans="1:1" x14ac:dyDescent="0.25">
      <c r="A16253" s="5"/>
    </row>
    <row r="16254" spans="1:1" x14ac:dyDescent="0.25">
      <c r="A16254" s="5"/>
    </row>
    <row r="16255" spans="1:1" x14ac:dyDescent="0.25">
      <c r="A16255" s="5"/>
    </row>
    <row r="16256" spans="1:1" x14ac:dyDescent="0.25">
      <c r="A16256" s="5"/>
    </row>
    <row r="16257" spans="1:1" x14ac:dyDescent="0.25">
      <c r="A16257" s="5"/>
    </row>
    <row r="16258" spans="1:1" x14ac:dyDescent="0.25">
      <c r="A16258" s="5"/>
    </row>
    <row r="16259" spans="1:1" x14ac:dyDescent="0.25">
      <c r="A16259" s="5"/>
    </row>
    <row r="16260" spans="1:1" x14ac:dyDescent="0.25">
      <c r="A16260" s="5"/>
    </row>
    <row r="16261" spans="1:1" x14ac:dyDescent="0.25">
      <c r="A16261" s="5"/>
    </row>
    <row r="16262" spans="1:1" x14ac:dyDescent="0.25">
      <c r="A16262" s="5"/>
    </row>
    <row r="16263" spans="1:1" x14ac:dyDescent="0.25">
      <c r="A16263" s="5"/>
    </row>
    <row r="16264" spans="1:1" x14ac:dyDescent="0.25">
      <c r="A16264" s="5"/>
    </row>
    <row r="16265" spans="1:1" x14ac:dyDescent="0.25">
      <c r="A16265" s="5"/>
    </row>
    <row r="16266" spans="1:1" x14ac:dyDescent="0.25">
      <c r="A16266" s="5"/>
    </row>
    <row r="16267" spans="1:1" x14ac:dyDescent="0.25">
      <c r="A16267" s="5"/>
    </row>
    <row r="16268" spans="1:1" x14ac:dyDescent="0.25">
      <c r="A16268" s="5"/>
    </row>
    <row r="16269" spans="1:1" x14ac:dyDescent="0.25">
      <c r="A16269" s="5"/>
    </row>
    <row r="16270" spans="1:1" x14ac:dyDescent="0.25">
      <c r="A16270" s="5"/>
    </row>
    <row r="16271" spans="1:1" x14ac:dyDescent="0.25">
      <c r="A16271" s="5"/>
    </row>
    <row r="16272" spans="1:1" x14ac:dyDescent="0.25">
      <c r="A16272" s="5"/>
    </row>
    <row r="16273" spans="1:1" x14ac:dyDescent="0.25">
      <c r="A16273" s="5"/>
    </row>
    <row r="16274" spans="1:1" x14ac:dyDescent="0.25">
      <c r="A16274" s="5"/>
    </row>
    <row r="16275" spans="1:1" x14ac:dyDescent="0.25">
      <c r="A16275" s="5"/>
    </row>
    <row r="16276" spans="1:1" x14ac:dyDescent="0.25">
      <c r="A16276" s="5"/>
    </row>
    <row r="16277" spans="1:1" x14ac:dyDescent="0.25">
      <c r="A16277" s="5"/>
    </row>
    <row r="16278" spans="1:1" x14ac:dyDescent="0.25">
      <c r="A16278" s="5"/>
    </row>
    <row r="16279" spans="1:1" x14ac:dyDescent="0.25">
      <c r="A16279" s="5"/>
    </row>
    <row r="16280" spans="1:1" x14ac:dyDescent="0.25">
      <c r="A16280" s="5"/>
    </row>
    <row r="16281" spans="1:1" x14ac:dyDescent="0.25">
      <c r="A16281" s="5"/>
    </row>
    <row r="16282" spans="1:1" x14ac:dyDescent="0.25">
      <c r="A16282" s="5"/>
    </row>
    <row r="16283" spans="1:1" x14ac:dyDescent="0.25">
      <c r="A16283" s="5"/>
    </row>
    <row r="16284" spans="1:1" x14ac:dyDescent="0.25">
      <c r="A16284" s="5"/>
    </row>
    <row r="16285" spans="1:1" x14ac:dyDescent="0.25">
      <c r="A16285" s="5"/>
    </row>
    <row r="16286" spans="1:1" x14ac:dyDescent="0.25">
      <c r="A16286" s="5"/>
    </row>
    <row r="16287" spans="1:1" x14ac:dyDescent="0.25">
      <c r="A16287" s="5"/>
    </row>
    <row r="16288" spans="1:1" x14ac:dyDescent="0.25">
      <c r="A16288" s="5"/>
    </row>
    <row r="16289" spans="1:1" x14ac:dyDescent="0.25">
      <c r="A16289" s="5"/>
    </row>
    <row r="16290" spans="1:1" x14ac:dyDescent="0.25">
      <c r="A16290" s="5"/>
    </row>
    <row r="16291" spans="1:1" x14ac:dyDescent="0.25">
      <c r="A16291" s="5"/>
    </row>
    <row r="16292" spans="1:1" x14ac:dyDescent="0.25">
      <c r="A16292" s="5"/>
    </row>
    <row r="16293" spans="1:1" x14ac:dyDescent="0.25">
      <c r="A16293" s="5"/>
    </row>
    <row r="16294" spans="1:1" x14ac:dyDescent="0.25">
      <c r="A16294" s="5"/>
    </row>
    <row r="16295" spans="1:1" x14ac:dyDescent="0.25">
      <c r="A16295" s="5"/>
    </row>
    <row r="16296" spans="1:1" x14ac:dyDescent="0.25">
      <c r="A16296" s="5"/>
    </row>
    <row r="16297" spans="1:1" x14ac:dyDescent="0.25">
      <c r="A16297" s="5"/>
    </row>
    <row r="16298" spans="1:1" x14ac:dyDescent="0.25">
      <c r="A16298" s="5"/>
    </row>
    <row r="16299" spans="1:1" x14ac:dyDescent="0.25">
      <c r="A16299" s="5"/>
    </row>
    <row r="16300" spans="1:1" x14ac:dyDescent="0.25">
      <c r="A16300" s="5"/>
    </row>
    <row r="16301" spans="1:1" x14ac:dyDescent="0.25">
      <c r="A16301" s="5"/>
    </row>
    <row r="16302" spans="1:1" x14ac:dyDescent="0.25">
      <c r="A16302" s="5"/>
    </row>
    <row r="16303" spans="1:1" x14ac:dyDescent="0.25">
      <c r="A16303" s="5"/>
    </row>
    <row r="16304" spans="1:1" x14ac:dyDescent="0.25">
      <c r="A16304" s="5"/>
    </row>
    <row r="16305" spans="1:1" x14ac:dyDescent="0.25">
      <c r="A16305" s="5"/>
    </row>
    <row r="16306" spans="1:1" x14ac:dyDescent="0.25">
      <c r="A16306" s="5"/>
    </row>
    <row r="16307" spans="1:1" x14ac:dyDescent="0.25">
      <c r="A16307" s="5"/>
    </row>
    <row r="16308" spans="1:1" x14ac:dyDescent="0.25">
      <c r="A16308" s="5"/>
    </row>
    <row r="16309" spans="1:1" x14ac:dyDescent="0.25">
      <c r="A16309" s="5"/>
    </row>
    <row r="16310" spans="1:1" x14ac:dyDescent="0.25">
      <c r="A16310" s="5"/>
    </row>
    <row r="16311" spans="1:1" x14ac:dyDescent="0.25">
      <c r="A16311" s="5"/>
    </row>
    <row r="16312" spans="1:1" x14ac:dyDescent="0.25">
      <c r="A16312" s="5"/>
    </row>
    <row r="16313" spans="1:1" x14ac:dyDescent="0.25">
      <c r="A16313" s="5"/>
    </row>
    <row r="16314" spans="1:1" x14ac:dyDescent="0.25">
      <c r="A16314" s="5"/>
    </row>
    <row r="16315" spans="1:1" x14ac:dyDescent="0.25">
      <c r="A16315" s="5"/>
    </row>
    <row r="16316" spans="1:1" x14ac:dyDescent="0.25">
      <c r="A16316" s="5"/>
    </row>
    <row r="16317" spans="1:1" x14ac:dyDescent="0.25">
      <c r="A16317" s="5"/>
    </row>
    <row r="16318" spans="1:1" x14ac:dyDescent="0.25">
      <c r="A16318" s="5"/>
    </row>
    <row r="16319" spans="1:1" x14ac:dyDescent="0.25">
      <c r="A16319" s="5"/>
    </row>
    <row r="16320" spans="1:1" x14ac:dyDescent="0.25">
      <c r="A16320" s="5"/>
    </row>
    <row r="16321" spans="1:1" x14ac:dyDescent="0.25">
      <c r="A16321" s="5"/>
    </row>
    <row r="16322" spans="1:1" x14ac:dyDescent="0.25">
      <c r="A16322" s="5"/>
    </row>
    <row r="16323" spans="1:1" x14ac:dyDescent="0.25">
      <c r="A16323" s="5"/>
    </row>
    <row r="16324" spans="1:1" x14ac:dyDescent="0.25">
      <c r="A16324" s="5"/>
    </row>
    <row r="16325" spans="1:1" x14ac:dyDescent="0.25">
      <c r="A16325" s="5"/>
    </row>
    <row r="16326" spans="1:1" x14ac:dyDescent="0.25">
      <c r="A16326" s="5"/>
    </row>
    <row r="16327" spans="1:1" x14ac:dyDescent="0.25">
      <c r="A16327" s="5"/>
    </row>
    <row r="16328" spans="1:1" x14ac:dyDescent="0.25">
      <c r="A16328" s="5"/>
    </row>
    <row r="16329" spans="1:1" x14ac:dyDescent="0.25">
      <c r="A16329" s="5"/>
    </row>
    <row r="16330" spans="1:1" x14ac:dyDescent="0.25">
      <c r="A16330" s="5"/>
    </row>
    <row r="16331" spans="1:1" x14ac:dyDescent="0.25">
      <c r="A16331" s="5"/>
    </row>
    <row r="16332" spans="1:1" x14ac:dyDescent="0.25">
      <c r="A16332" s="5"/>
    </row>
    <row r="16333" spans="1:1" x14ac:dyDescent="0.25">
      <c r="A16333" s="5"/>
    </row>
    <row r="16334" spans="1:1" x14ac:dyDescent="0.25">
      <c r="A16334" s="5"/>
    </row>
    <row r="16335" spans="1:1" x14ac:dyDescent="0.25">
      <c r="A16335" s="5"/>
    </row>
    <row r="16336" spans="1:1" x14ac:dyDescent="0.25">
      <c r="A16336" s="5"/>
    </row>
    <row r="16337" spans="1:1" x14ac:dyDescent="0.25">
      <c r="A16337" s="5"/>
    </row>
    <row r="16338" spans="1:1" x14ac:dyDescent="0.25">
      <c r="A16338" s="5"/>
    </row>
    <row r="16339" spans="1:1" x14ac:dyDescent="0.25">
      <c r="A16339" s="5"/>
    </row>
    <row r="16340" spans="1:1" x14ac:dyDescent="0.25">
      <c r="A16340" s="5"/>
    </row>
    <row r="16341" spans="1:1" x14ac:dyDescent="0.25">
      <c r="A16341" s="5"/>
    </row>
    <row r="16342" spans="1:1" x14ac:dyDescent="0.25">
      <c r="A16342" s="5"/>
    </row>
    <row r="16343" spans="1:1" x14ac:dyDescent="0.25">
      <c r="A16343" s="5"/>
    </row>
    <row r="16344" spans="1:1" x14ac:dyDescent="0.25">
      <c r="A16344" s="5"/>
    </row>
    <row r="16345" spans="1:1" x14ac:dyDescent="0.25">
      <c r="A16345" s="5"/>
    </row>
    <row r="16346" spans="1:1" x14ac:dyDescent="0.25">
      <c r="A16346" s="5"/>
    </row>
    <row r="16347" spans="1:1" x14ac:dyDescent="0.25">
      <c r="A16347" s="5"/>
    </row>
    <row r="16348" spans="1:1" x14ac:dyDescent="0.25">
      <c r="A16348" s="5"/>
    </row>
    <row r="16349" spans="1:1" x14ac:dyDescent="0.25">
      <c r="A16349" s="5"/>
    </row>
    <row r="16350" spans="1:1" x14ac:dyDescent="0.25">
      <c r="A16350" s="5"/>
    </row>
    <row r="16351" spans="1:1" x14ac:dyDescent="0.25">
      <c r="A16351" s="5"/>
    </row>
    <row r="16352" spans="1:1" x14ac:dyDescent="0.25">
      <c r="A16352" s="5"/>
    </row>
    <row r="16353" spans="1:1" x14ac:dyDescent="0.25">
      <c r="A16353" s="5"/>
    </row>
    <row r="16354" spans="1:1" x14ac:dyDescent="0.25">
      <c r="A16354" s="5"/>
    </row>
    <row r="16355" spans="1:1" x14ac:dyDescent="0.25">
      <c r="A16355" s="5"/>
    </row>
    <row r="16356" spans="1:1" x14ac:dyDescent="0.25">
      <c r="A16356" s="5"/>
    </row>
    <row r="16357" spans="1:1" x14ac:dyDescent="0.25">
      <c r="A16357" s="5"/>
    </row>
    <row r="16358" spans="1:1" x14ac:dyDescent="0.25">
      <c r="A16358" s="5"/>
    </row>
    <row r="16359" spans="1:1" x14ac:dyDescent="0.25">
      <c r="A16359" s="5"/>
    </row>
    <row r="16360" spans="1:1" x14ac:dyDescent="0.25">
      <c r="A16360" s="5"/>
    </row>
    <row r="16361" spans="1:1" x14ac:dyDescent="0.25">
      <c r="A16361" s="5"/>
    </row>
    <row r="16362" spans="1:1" x14ac:dyDescent="0.25">
      <c r="A16362" s="5"/>
    </row>
    <row r="16363" spans="1:1" x14ac:dyDescent="0.25">
      <c r="A16363" s="5"/>
    </row>
    <row r="16364" spans="1:1" x14ac:dyDescent="0.25">
      <c r="A16364" s="5"/>
    </row>
    <row r="16365" spans="1:1" x14ac:dyDescent="0.25">
      <c r="A16365" s="5"/>
    </row>
    <row r="16366" spans="1:1" x14ac:dyDescent="0.25">
      <c r="A16366" s="5"/>
    </row>
    <row r="16367" spans="1:1" x14ac:dyDescent="0.25">
      <c r="A16367" s="5"/>
    </row>
    <row r="16368" spans="1:1" x14ac:dyDescent="0.25">
      <c r="A16368" s="5"/>
    </row>
    <row r="16369" spans="1:1" x14ac:dyDescent="0.25">
      <c r="A16369" s="5"/>
    </row>
    <row r="16370" spans="1:1" x14ac:dyDescent="0.25">
      <c r="A16370" s="5"/>
    </row>
  </sheetData>
  <sheetProtection algorithmName="SHA-512" hashValue="iNi5fOSZ1qXTdMMbvxvVIapNKttryk+emtqG1ZogdSw+XojrNmHB0CxCrpOjMlTTKaeUc7rSrJ1JOlra/4IGNg==" saltValue="bneKm9c/LTzsvhCI1UZPDA=="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STANDARDS - OPEN SOLO TRICYCLE</oddHeader>
    <oddFooter>&amp;L&amp;F&amp;CPage &amp;P of &amp;N&amp;R&amp;D</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355DC-2299-4C9D-800A-D2E4A1C6F0B6}">
  <sheetPr codeName="Sheet25">
    <pageSetUpPr fitToPage="1"/>
  </sheetPr>
  <dimension ref="A1:T16370"/>
  <sheetViews>
    <sheetView zoomScale="75" zoomScaleNormal="75" workbookViewId="0"/>
  </sheetViews>
  <sheetFormatPr defaultRowHeight="15" x14ac:dyDescent="0.25"/>
  <cols>
    <col min="1" max="1" width="4.5703125" style="3" customWidth="1"/>
    <col min="2" max="9" width="8.5703125" customWidth="1"/>
    <col min="10" max="11" width="4.5703125" customWidth="1"/>
    <col min="12" max="19" width="8.5703125" customWidth="1"/>
  </cols>
  <sheetData>
    <row r="1" spans="1:19" s="11" customFormat="1" x14ac:dyDescent="0.25">
      <c r="A1" s="9" t="s">
        <v>1</v>
      </c>
      <c r="B1" s="10" t="s">
        <v>13</v>
      </c>
      <c r="C1" s="10" t="s">
        <v>14</v>
      </c>
      <c r="D1" s="10" t="s">
        <v>15</v>
      </c>
      <c r="E1" s="10" t="s">
        <v>16</v>
      </c>
      <c r="F1" s="10" t="s">
        <v>17</v>
      </c>
      <c r="G1" s="10" t="s">
        <v>18</v>
      </c>
      <c r="H1" s="10" t="s">
        <v>19</v>
      </c>
      <c r="I1" s="10" t="s">
        <v>20</v>
      </c>
      <c r="J1" s="12"/>
      <c r="K1" s="9" t="s">
        <v>1</v>
      </c>
      <c r="L1" s="10" t="s">
        <v>13</v>
      </c>
      <c r="M1" s="10" t="s">
        <v>14</v>
      </c>
      <c r="N1" s="10" t="s">
        <v>15</v>
      </c>
      <c r="O1" s="10" t="s">
        <v>16</v>
      </c>
      <c r="P1" s="10" t="s">
        <v>17</v>
      </c>
      <c r="Q1" s="10" t="s">
        <v>18</v>
      </c>
      <c r="R1" s="10" t="s">
        <v>19</v>
      </c>
      <c r="S1" s="10" t="s">
        <v>20</v>
      </c>
    </row>
    <row r="2" spans="1:19" x14ac:dyDescent="0.25">
      <c r="A2" s="4">
        <f>'All Solo Standards'!A33</f>
        <v>40</v>
      </c>
      <c r="B2" s="3" t="str">
        <f>'All Solo Standards'!Z33</f>
        <v>30:47</v>
      </c>
      <c r="C2" s="3" t="str">
        <f>'All Solo Standards'!AA33</f>
        <v>46:20</v>
      </c>
      <c r="D2" s="3" t="str">
        <f>'All Solo Standards'!AB33</f>
        <v>1:17:45</v>
      </c>
      <c r="E2" s="3" t="str">
        <f>'All Solo Standards'!AC33</f>
        <v>1:33:37</v>
      </c>
      <c r="F2" s="3" t="str">
        <f>'All Solo Standards'!AD33</f>
        <v>2:38:14</v>
      </c>
      <c r="G2" s="3" t="str">
        <f>'All Solo Standards'!AE33</f>
        <v>5:28:01</v>
      </c>
      <c r="H2" s="46" t="str">
        <f>'All Solo Standards'!AF33</f>
        <v>175.75</v>
      </c>
      <c r="I2" s="46" t="str">
        <f>'All Solo Standards'!AG33</f>
        <v>303.54</v>
      </c>
      <c r="K2" s="59">
        <f>'All Solo Standards'!A61</f>
        <v>68</v>
      </c>
      <c r="L2" s="3" t="str">
        <f>'All Solo Standards'!Z61</f>
        <v>34:37</v>
      </c>
      <c r="M2" s="3" t="str">
        <f>'All Solo Standards'!AA61</f>
        <v>52:10</v>
      </c>
      <c r="N2" s="3" t="str">
        <f>'All Solo Standards'!AB61</f>
        <v>1:27:42</v>
      </c>
      <c r="O2" s="3" t="str">
        <f>'All Solo Standards'!AC61</f>
        <v>1:45:43</v>
      </c>
      <c r="P2" s="3" t="str">
        <f>'All Solo Standards'!AD61</f>
        <v>2:59:24</v>
      </c>
      <c r="Q2" s="3" t="str">
        <f>'All Solo Standards'!AE61</f>
        <v>6:16:09</v>
      </c>
      <c r="R2" s="47" t="str">
        <f>'All Solo Standards'!AF61</f>
        <v>136.29</v>
      </c>
      <c r="S2" s="47" t="str">
        <f>'All Solo Standards'!AG61</f>
        <v>225.64</v>
      </c>
    </row>
    <row r="3" spans="1:19" x14ac:dyDescent="0.25">
      <c r="A3" s="4">
        <f>'All Solo Standards'!A34</f>
        <v>41</v>
      </c>
      <c r="B3" s="3" t="str">
        <f>'All Solo Standards'!Z34</f>
        <v>30:48</v>
      </c>
      <c r="C3" s="3" t="str">
        <f>'All Solo Standards'!AA34</f>
        <v>46:22</v>
      </c>
      <c r="D3" s="3" t="str">
        <f>'All Solo Standards'!AB34</f>
        <v>1:17:48</v>
      </c>
      <c r="E3" s="3" t="str">
        <f>'All Solo Standards'!AC34</f>
        <v>1:33:41</v>
      </c>
      <c r="F3" s="3" t="str">
        <f>'All Solo Standards'!AD34</f>
        <v>2:38:21</v>
      </c>
      <c r="G3" s="3" t="str">
        <f>'All Solo Standards'!AE34</f>
        <v>5:28:19</v>
      </c>
      <c r="H3" s="46" t="str">
        <f>'All Solo Standards'!AF34</f>
        <v>175.39</v>
      </c>
      <c r="I3" s="46" t="str">
        <f>'All Solo Standards'!AG34</f>
        <v>302.71</v>
      </c>
      <c r="K3" s="59">
        <f>'All Solo Standards'!A62</f>
        <v>69</v>
      </c>
      <c r="L3" s="45" t="str">
        <f>'All Solo Standards'!Z62</f>
        <v>34:52</v>
      </c>
      <c r="M3" s="45" t="str">
        <f>'All Solo Standards'!AA62</f>
        <v>52:33</v>
      </c>
      <c r="N3" s="45" t="str">
        <f>'All Solo Standards'!AB62</f>
        <v>1:28:22</v>
      </c>
      <c r="O3" s="45" t="str">
        <f>'All Solo Standards'!AC62</f>
        <v>1:46:31</v>
      </c>
      <c r="P3" s="45" t="str">
        <f>'All Solo Standards'!AD62</f>
        <v>3:00:49</v>
      </c>
      <c r="Q3" s="45" t="str">
        <f>'All Solo Standards'!AE62</f>
        <v>6:19:26</v>
      </c>
      <c r="R3" s="49" t="str">
        <f>'All Solo Standards'!AF62</f>
        <v>134.10</v>
      </c>
      <c r="S3" s="49" t="str">
        <f>'All Solo Standards'!AG62</f>
        <v>221.41</v>
      </c>
    </row>
    <row r="4" spans="1:19" x14ac:dyDescent="0.25">
      <c r="A4" s="4">
        <f>'All Solo Standards'!A35</f>
        <v>42</v>
      </c>
      <c r="B4" s="3" t="str">
        <f>'All Solo Standards'!Z35</f>
        <v>30:49</v>
      </c>
      <c r="C4" s="3" t="str">
        <f>'All Solo Standards'!AA35</f>
        <v>46:24</v>
      </c>
      <c r="D4" s="3" t="str">
        <f>'All Solo Standards'!AB35</f>
        <v>1:17:52</v>
      </c>
      <c r="E4" s="3" t="str">
        <f>'All Solo Standards'!AC35</f>
        <v>1:33:46</v>
      </c>
      <c r="F4" s="3" t="str">
        <f>'All Solo Standards'!AD35</f>
        <v>2:38:29</v>
      </c>
      <c r="G4" s="3" t="str">
        <f>'All Solo Standards'!AE35</f>
        <v>5:28:39</v>
      </c>
      <c r="H4" s="46" t="str">
        <f>'All Solo Standards'!AF35</f>
        <v>175.00</v>
      </c>
      <c r="I4" s="46" t="str">
        <f>'All Solo Standards'!AG35</f>
        <v>301.80</v>
      </c>
      <c r="K4" s="59">
        <f>'All Solo Standards'!A63</f>
        <v>70</v>
      </c>
      <c r="L4" s="3" t="str">
        <f>'All Solo Standards'!Z63</f>
        <v>35:08</v>
      </c>
      <c r="M4" s="3" t="str">
        <f>'All Solo Standards'!AA63</f>
        <v>52:56</v>
      </c>
      <c r="N4" s="3" t="str">
        <f>'All Solo Standards'!AB63</f>
        <v>1:29:01</v>
      </c>
      <c r="O4" s="3" t="str">
        <f>'All Solo Standards'!AC63</f>
        <v>1:47:19</v>
      </c>
      <c r="P4" s="3" t="str">
        <f>'All Solo Standards'!AD63</f>
        <v>3:02:14</v>
      </c>
      <c r="Q4" s="3" t="str">
        <f>'All Solo Standards'!AE63</f>
        <v>6:22:44</v>
      </c>
      <c r="R4" s="47" t="str">
        <f>'All Solo Standards'!AF63</f>
        <v>131.93</v>
      </c>
      <c r="S4" s="47" t="str">
        <f>'All Solo Standards'!AG63</f>
        <v>217.17</v>
      </c>
    </row>
    <row r="5" spans="1:19" x14ac:dyDescent="0.25">
      <c r="A5" s="4">
        <f>'All Solo Standards'!A36</f>
        <v>43</v>
      </c>
      <c r="B5" s="3" t="str">
        <f>'All Solo Standards'!Z36</f>
        <v>30:51</v>
      </c>
      <c r="C5" s="3" t="str">
        <f>'All Solo Standards'!AA36</f>
        <v>46:26</v>
      </c>
      <c r="D5" s="3" t="str">
        <f>'All Solo Standards'!AB36</f>
        <v>1:17:56</v>
      </c>
      <c r="E5" s="3" t="str">
        <f>'All Solo Standards'!AC36</f>
        <v>1:33:50</v>
      </c>
      <c r="F5" s="3" t="str">
        <f>'All Solo Standards'!AD36</f>
        <v>2:38:38</v>
      </c>
      <c r="G5" s="3" t="str">
        <f>'All Solo Standards'!AE36</f>
        <v>5:28:59</v>
      </c>
      <c r="H5" s="46" t="str">
        <f>'All Solo Standards'!AF36</f>
        <v>174.59</v>
      </c>
      <c r="I5" s="46" t="str">
        <f>'All Solo Standards'!AG36</f>
        <v>300.79</v>
      </c>
      <c r="K5" s="59">
        <f>'All Solo Standards'!A64</f>
        <v>71</v>
      </c>
      <c r="L5" s="3" t="str">
        <f>'All Solo Standards'!Z64</f>
        <v>35:23</v>
      </c>
      <c r="M5" s="3" t="str">
        <f>'All Solo Standards'!AA64</f>
        <v>53:20</v>
      </c>
      <c r="N5" s="3" t="str">
        <f>'All Solo Standards'!AB64</f>
        <v>1:29:43</v>
      </c>
      <c r="O5" s="3" t="str">
        <f>'All Solo Standards'!AC64</f>
        <v>1:48:09</v>
      </c>
      <c r="P5" s="3" t="str">
        <f>'All Solo Standards'!AD64</f>
        <v>3:03:43</v>
      </c>
      <c r="Q5" s="3" t="str">
        <f>'All Solo Standards'!AE64</f>
        <v>6:26:12</v>
      </c>
      <c r="R5" s="47" t="str">
        <f>'All Solo Standards'!AF64</f>
        <v>129.71</v>
      </c>
      <c r="S5" s="47" t="str">
        <f>'All Solo Standards'!AG64</f>
        <v>212.85</v>
      </c>
    </row>
    <row r="6" spans="1:19" x14ac:dyDescent="0.25">
      <c r="A6" s="4">
        <f>'All Solo Standards'!A37</f>
        <v>44</v>
      </c>
      <c r="B6" s="3" t="str">
        <f>'All Solo Standards'!Z37</f>
        <v>30:52</v>
      </c>
      <c r="C6" s="3" t="str">
        <f>'All Solo Standards'!AA37</f>
        <v>46:28</v>
      </c>
      <c r="D6" s="3" t="str">
        <f>'All Solo Standards'!AB37</f>
        <v>1:18:00</v>
      </c>
      <c r="E6" s="3" t="str">
        <f>'All Solo Standards'!AC37</f>
        <v>1:33:55</v>
      </c>
      <c r="F6" s="3" t="str">
        <f>'All Solo Standards'!AD37</f>
        <v>2:38:47</v>
      </c>
      <c r="G6" s="3" t="str">
        <f>'All Solo Standards'!AE37</f>
        <v>5:29:22</v>
      </c>
      <c r="H6" s="46" t="str">
        <f>'All Solo Standards'!AF37</f>
        <v>174.13</v>
      </c>
      <c r="I6" s="46" t="str">
        <f>'All Solo Standards'!AG37</f>
        <v>299.69</v>
      </c>
      <c r="K6" s="59">
        <f>'All Solo Standards'!A65</f>
        <v>72</v>
      </c>
      <c r="L6" s="3" t="str">
        <f>'All Solo Standards'!Z65</f>
        <v>35:40</v>
      </c>
      <c r="M6" s="3" t="str">
        <f>'All Solo Standards'!AA65</f>
        <v>53:45</v>
      </c>
      <c r="N6" s="3" t="str">
        <f>'All Solo Standards'!AB65</f>
        <v>1:30:25</v>
      </c>
      <c r="O6" s="3" t="str">
        <f>'All Solo Standards'!AC65</f>
        <v>1:49:02</v>
      </c>
      <c r="P6" s="3" t="str">
        <f>'All Solo Standards'!AD65</f>
        <v>3:05:16</v>
      </c>
      <c r="Q6" s="3" t="str">
        <f>'All Solo Standards'!AE65</f>
        <v>6:29:49</v>
      </c>
      <c r="R6" s="47" t="str">
        <f>'All Solo Standards'!AF65</f>
        <v>127.45</v>
      </c>
      <c r="S6" s="47" t="str">
        <f>'All Solo Standards'!AG65</f>
        <v>208.46</v>
      </c>
    </row>
    <row r="7" spans="1:19" x14ac:dyDescent="0.25">
      <c r="A7" s="4">
        <f>'All Solo Standards'!A38</f>
        <v>45</v>
      </c>
      <c r="B7" s="3" t="str">
        <f>'All Solo Standards'!Z38</f>
        <v>30:54</v>
      </c>
      <c r="C7" s="3" t="str">
        <f>'All Solo Standards'!AA38</f>
        <v>46:31</v>
      </c>
      <c r="D7" s="3" t="str">
        <f>'All Solo Standards'!AB38</f>
        <v>1:18:04</v>
      </c>
      <c r="E7" s="3" t="str">
        <f>'All Solo Standards'!AC38</f>
        <v>1:34:01</v>
      </c>
      <c r="F7" s="3" t="str">
        <f>'All Solo Standards'!AD38</f>
        <v>2:38:57</v>
      </c>
      <c r="G7" s="3" t="str">
        <f>'All Solo Standards'!AE38</f>
        <v>5:29:46</v>
      </c>
      <c r="H7" s="46" t="str">
        <f>'All Solo Standards'!AF38</f>
        <v>173.63</v>
      </c>
      <c r="I7" s="46" t="str">
        <f>'All Solo Standards'!AG38</f>
        <v>298.48</v>
      </c>
      <c r="K7" s="59">
        <f>'All Solo Standards'!A66</f>
        <v>73</v>
      </c>
      <c r="L7" s="3" t="str">
        <f>'All Solo Standards'!Z66</f>
        <v>35:57</v>
      </c>
      <c r="M7" s="3" t="str">
        <f>'All Solo Standards'!AA66</f>
        <v>54:11</v>
      </c>
      <c r="N7" s="3" t="str">
        <f>'All Solo Standards'!AB66</f>
        <v>1:31:10</v>
      </c>
      <c r="O7" s="3" t="str">
        <f>'All Solo Standards'!AC66</f>
        <v>1:49:56</v>
      </c>
      <c r="P7" s="3" t="str">
        <f>'All Solo Standards'!AD66</f>
        <v>3:06:52</v>
      </c>
      <c r="Q7" s="3" t="str">
        <f>'All Solo Standards'!AE66</f>
        <v>6:33:36</v>
      </c>
      <c r="R7" s="47" t="str">
        <f>'All Solo Standards'!AF66</f>
        <v>125.15</v>
      </c>
      <c r="S7" s="47" t="str">
        <f>'All Solo Standards'!AG66</f>
        <v>203.98</v>
      </c>
    </row>
    <row r="8" spans="1:19" x14ac:dyDescent="0.25">
      <c r="A8" s="4">
        <f>'All Solo Standards'!A39</f>
        <v>46</v>
      </c>
      <c r="B8" s="3" t="str">
        <f>'All Solo Standards'!Z39</f>
        <v>30:56</v>
      </c>
      <c r="C8" s="3" t="str">
        <f>'All Solo Standards'!AA39</f>
        <v>46:34</v>
      </c>
      <c r="D8" s="3" t="str">
        <f>'All Solo Standards'!AB39</f>
        <v>1:18:09</v>
      </c>
      <c r="E8" s="3" t="str">
        <f>'All Solo Standards'!AC39</f>
        <v>1:34:07</v>
      </c>
      <c r="F8" s="3" t="str">
        <f>'All Solo Standards'!AD39</f>
        <v>2:39:08</v>
      </c>
      <c r="G8" s="3" t="str">
        <f>'All Solo Standards'!AE39</f>
        <v>5:30:14</v>
      </c>
      <c r="H8" s="46" t="str">
        <f>'All Solo Standards'!AF39</f>
        <v>173.08</v>
      </c>
      <c r="I8" s="46" t="str">
        <f>'All Solo Standards'!AG39</f>
        <v>297.16</v>
      </c>
      <c r="K8" s="59">
        <f>'All Solo Standards'!A67</f>
        <v>74</v>
      </c>
      <c r="L8" s="3" t="str">
        <f>'All Solo Standards'!Z67</f>
        <v>36:15</v>
      </c>
      <c r="M8" s="3" t="str">
        <f>'All Solo Standards'!AA67</f>
        <v>54:38</v>
      </c>
      <c r="N8" s="3" t="str">
        <f>'All Solo Standards'!AB67</f>
        <v>1:31:56</v>
      </c>
      <c r="O8" s="3" t="str">
        <f>'All Solo Standards'!AC67</f>
        <v>1:50:53</v>
      </c>
      <c r="P8" s="3" t="str">
        <f>'All Solo Standards'!AD67</f>
        <v>3:08:32</v>
      </c>
      <c r="Q8" s="3" t="str">
        <f>'All Solo Standards'!AE67</f>
        <v>6:37:34</v>
      </c>
      <c r="R8" s="47" t="str">
        <f>'All Solo Standards'!AF67</f>
        <v>122.80</v>
      </c>
      <c r="S8" s="47" t="str">
        <f>'All Solo Standards'!AG67</f>
        <v>199.43</v>
      </c>
    </row>
    <row r="9" spans="1:19" x14ac:dyDescent="0.25">
      <c r="A9" s="4">
        <f>'All Solo Standards'!A40</f>
        <v>47</v>
      </c>
      <c r="B9" s="3" t="str">
        <f>'All Solo Standards'!Z40</f>
        <v>30:58</v>
      </c>
      <c r="C9" s="3" t="str">
        <f>'All Solo Standards'!AA40</f>
        <v>46:37</v>
      </c>
      <c r="D9" s="3" t="str">
        <f>'All Solo Standards'!AB40</f>
        <v>1:18:15</v>
      </c>
      <c r="E9" s="3" t="str">
        <f>'All Solo Standards'!AC40</f>
        <v>1:34:14</v>
      </c>
      <c r="F9" s="3" t="str">
        <f>'All Solo Standards'!AD40</f>
        <v>2:39:21</v>
      </c>
      <c r="G9" s="3" t="str">
        <f>'All Solo Standards'!AE40</f>
        <v>5:30:45</v>
      </c>
      <c r="H9" s="46" t="str">
        <f>'All Solo Standards'!AF40</f>
        <v>172.47</v>
      </c>
      <c r="I9" s="46" t="str">
        <f>'All Solo Standards'!AG40</f>
        <v>295.72</v>
      </c>
      <c r="K9" s="59">
        <f>'All Solo Standards'!A68</f>
        <v>75</v>
      </c>
      <c r="L9" s="3" t="str">
        <f>'All Solo Standards'!Z68</f>
        <v>36:33</v>
      </c>
      <c r="M9" s="3" t="str">
        <f>'All Solo Standards'!AA68</f>
        <v>55:06</v>
      </c>
      <c r="N9" s="3" t="str">
        <f>'All Solo Standards'!AB68</f>
        <v>1:32:45</v>
      </c>
      <c r="O9" s="3" t="str">
        <f>'All Solo Standards'!AC68</f>
        <v>1:51:51</v>
      </c>
      <c r="P9" s="3" t="str">
        <f>'All Solo Standards'!AD68</f>
        <v>3:10:17</v>
      </c>
      <c r="Q9" s="3" t="str">
        <f>'All Solo Standards'!AE68</f>
        <v>6:41:42</v>
      </c>
      <c r="R9" s="47" t="str">
        <f>'All Solo Standards'!AF68</f>
        <v>120.40</v>
      </c>
      <c r="S9" s="47" t="str">
        <f>'All Solo Standards'!AG68</f>
        <v>194.79</v>
      </c>
    </row>
    <row r="10" spans="1:19" x14ac:dyDescent="0.25">
      <c r="A10" s="4">
        <f>'All Solo Standards'!A41</f>
        <v>48</v>
      </c>
      <c r="B10" s="3" t="str">
        <f>'All Solo Standards'!Z41</f>
        <v>31:01</v>
      </c>
      <c r="C10" s="3" t="str">
        <f>'All Solo Standards'!AA41</f>
        <v>46:41</v>
      </c>
      <c r="D10" s="3" t="str">
        <f>'All Solo Standards'!AB41</f>
        <v>1:18:22</v>
      </c>
      <c r="E10" s="3" t="str">
        <f>'All Solo Standards'!AC41</f>
        <v>1:34:22</v>
      </c>
      <c r="F10" s="3" t="str">
        <f>'All Solo Standards'!AD41</f>
        <v>2:39:35</v>
      </c>
      <c r="G10" s="3" t="str">
        <f>'All Solo Standards'!AE41</f>
        <v>5:31:20</v>
      </c>
      <c r="H10" s="46" t="str">
        <f>'All Solo Standards'!AF41</f>
        <v>171.80</v>
      </c>
      <c r="I10" s="46" t="str">
        <f>'All Solo Standards'!AG41</f>
        <v>294.15</v>
      </c>
      <c r="K10" s="59">
        <f>'All Solo Standards'!A69</f>
        <v>76</v>
      </c>
      <c r="L10" s="3" t="str">
        <f>'All Solo Standards'!Z69</f>
        <v>36:52</v>
      </c>
      <c r="M10" s="3" t="str">
        <f>'All Solo Standards'!AA69</f>
        <v>55:35</v>
      </c>
      <c r="N10" s="3" t="str">
        <f>'All Solo Standards'!AB69</f>
        <v>1:33:35</v>
      </c>
      <c r="O10" s="3" t="str">
        <f>'All Solo Standards'!AC69</f>
        <v>1:52:53</v>
      </c>
      <c r="P10" s="3" t="str">
        <f>'All Solo Standards'!AD69</f>
        <v>3:12:07</v>
      </c>
      <c r="Q10" s="3" t="str">
        <f>'All Solo Standards'!AE69</f>
        <v>6:46:03</v>
      </c>
      <c r="R10" s="47" t="str">
        <f>'All Solo Standards'!AF69</f>
        <v>117.97</v>
      </c>
      <c r="S10" s="47" t="str">
        <f>'All Solo Standards'!AG69</f>
        <v>190.08</v>
      </c>
    </row>
    <row r="11" spans="1:19" x14ac:dyDescent="0.25">
      <c r="A11" s="4">
        <f>'All Solo Standards'!A42</f>
        <v>49</v>
      </c>
      <c r="B11" s="45" t="str">
        <f>'All Solo Standards'!Z42</f>
        <v>31:03</v>
      </c>
      <c r="C11" s="45" t="str">
        <f>'All Solo Standards'!AA42</f>
        <v>46:45</v>
      </c>
      <c r="D11" s="45" t="str">
        <f>'All Solo Standards'!AB42</f>
        <v>1:18:29</v>
      </c>
      <c r="E11" s="45" t="str">
        <f>'All Solo Standards'!AC42</f>
        <v>1:34:32</v>
      </c>
      <c r="F11" s="45" t="str">
        <f>'All Solo Standards'!AD42</f>
        <v>2:39:52</v>
      </c>
      <c r="G11" s="45" t="str">
        <f>'All Solo Standards'!AE42</f>
        <v>5:32:00</v>
      </c>
      <c r="H11" s="48" t="str">
        <f>'All Solo Standards'!AF42</f>
        <v>171.05</v>
      </c>
      <c r="I11" s="48" t="str">
        <f>'All Solo Standards'!AG42</f>
        <v>292.44</v>
      </c>
      <c r="K11" s="59">
        <f>'All Solo Standards'!A70</f>
        <v>77</v>
      </c>
      <c r="L11" s="3" t="str">
        <f>'All Solo Standards'!Z70</f>
        <v>37:12</v>
      </c>
      <c r="M11" s="3" t="str">
        <f>'All Solo Standards'!AA70</f>
        <v>56:06</v>
      </c>
      <c r="N11" s="3" t="str">
        <f>'All Solo Standards'!AB70</f>
        <v>1:34:28</v>
      </c>
      <c r="O11" s="3" t="str">
        <f>'All Solo Standards'!AC70</f>
        <v>1:53:57</v>
      </c>
      <c r="P11" s="3" t="str">
        <f>'All Solo Standards'!AD70</f>
        <v>3:14:01</v>
      </c>
      <c r="Q11" s="3" t="str">
        <f>'All Solo Standards'!AE70</f>
        <v>6:50:37</v>
      </c>
      <c r="R11" s="47" t="str">
        <f>'All Solo Standards'!AF70</f>
        <v>115.48</v>
      </c>
      <c r="S11" s="47" t="str">
        <f>'All Solo Standards'!AG70</f>
        <v>185.29</v>
      </c>
    </row>
    <row r="12" spans="1:19" x14ac:dyDescent="0.25">
      <c r="A12" s="4">
        <f>'All Solo Standards'!A43</f>
        <v>50</v>
      </c>
      <c r="B12" s="3" t="str">
        <f>'All Solo Standards'!Z43</f>
        <v>31:07</v>
      </c>
      <c r="C12" s="3" t="str">
        <f>'All Solo Standards'!AA43</f>
        <v>46:50</v>
      </c>
      <c r="D12" s="3" t="str">
        <f>'All Solo Standards'!AB43</f>
        <v>1:18:38</v>
      </c>
      <c r="E12" s="3" t="str">
        <f>'All Solo Standards'!AC43</f>
        <v>1:34:42</v>
      </c>
      <c r="F12" s="3" t="str">
        <f>'All Solo Standards'!AD43</f>
        <v>2:40:11</v>
      </c>
      <c r="G12" s="3" t="str">
        <f>'All Solo Standards'!AE43</f>
        <v>5:32:45</v>
      </c>
      <c r="H12" s="46" t="str">
        <f>'All Solo Standards'!AF43</f>
        <v>170.24</v>
      </c>
      <c r="I12" s="46" t="str">
        <f>'All Solo Standards'!AG43</f>
        <v>290.59</v>
      </c>
      <c r="K12" s="59">
        <f>'All Solo Standards'!A71</f>
        <v>78</v>
      </c>
      <c r="L12" s="3" t="str">
        <f>'All Solo Standards'!Z71</f>
        <v>37:33</v>
      </c>
      <c r="M12" s="3" t="str">
        <f>'All Solo Standards'!AA71</f>
        <v>56:37</v>
      </c>
      <c r="N12" s="3" t="str">
        <f>'All Solo Standards'!AB71</f>
        <v>1:35:23</v>
      </c>
      <c r="O12" s="3" t="str">
        <f>'All Solo Standards'!AC71</f>
        <v>1:55:04</v>
      </c>
      <c r="P12" s="3" t="str">
        <f>'All Solo Standards'!AD71</f>
        <v>3:16:01</v>
      </c>
      <c r="Q12" s="3" t="str">
        <f>'All Solo Standards'!AE71</f>
        <v>6:55:25</v>
      </c>
      <c r="R12" s="47" t="str">
        <f>'All Solo Standards'!AF71</f>
        <v>112.95</v>
      </c>
      <c r="S12" s="47" t="str">
        <f>'All Solo Standards'!AG71</f>
        <v>180.42</v>
      </c>
    </row>
    <row r="13" spans="1:19" x14ac:dyDescent="0.25">
      <c r="A13" s="4">
        <f>'All Solo Standards'!A44</f>
        <v>51</v>
      </c>
      <c r="B13" s="3" t="str">
        <f>'All Solo Standards'!Z44</f>
        <v>31:11</v>
      </c>
      <c r="C13" s="3" t="str">
        <f>'All Solo Standards'!AA44</f>
        <v>46:56</v>
      </c>
      <c r="D13" s="3" t="str">
        <f>'All Solo Standards'!AB44</f>
        <v>1:18:48</v>
      </c>
      <c r="E13" s="3" t="str">
        <f>'All Solo Standards'!AC44</f>
        <v>1:34:54</v>
      </c>
      <c r="F13" s="3" t="str">
        <f>'All Solo Standards'!AD44</f>
        <v>2:40:32</v>
      </c>
      <c r="G13" s="3" t="str">
        <f>'All Solo Standards'!AE44</f>
        <v>5:33:35</v>
      </c>
      <c r="H13" s="46" t="str">
        <f>'All Solo Standards'!AF44</f>
        <v>169.34</v>
      </c>
      <c r="I13" s="46" t="str">
        <f>'All Solo Standards'!AG44</f>
        <v>288.59</v>
      </c>
      <c r="K13" s="59">
        <f>'All Solo Standards'!A72</f>
        <v>79</v>
      </c>
      <c r="L13" s="45" t="str">
        <f>'All Solo Standards'!Z72</f>
        <v>37:55</v>
      </c>
      <c r="M13" s="45" t="str">
        <f>'All Solo Standards'!AA72</f>
        <v>57:11</v>
      </c>
      <c r="N13" s="45" t="str">
        <f>'All Solo Standards'!AB72</f>
        <v>1:36:20</v>
      </c>
      <c r="O13" s="45" t="str">
        <f>'All Solo Standards'!AC72</f>
        <v>1:56:14</v>
      </c>
      <c r="P13" s="45" t="str">
        <f>'All Solo Standards'!AD72</f>
        <v>3:18:06</v>
      </c>
      <c r="Q13" s="45" t="str">
        <f>'All Solo Standards'!AE72</f>
        <v>7:00:27</v>
      </c>
      <c r="R13" s="49" t="str">
        <f>'All Solo Standards'!AF72</f>
        <v>110.37</v>
      </c>
      <c r="S13" s="49" t="str">
        <f>'All Solo Standards'!AG72</f>
        <v>175.47</v>
      </c>
    </row>
    <row r="14" spans="1:19" x14ac:dyDescent="0.25">
      <c r="A14" s="4">
        <f>'All Solo Standards'!A45</f>
        <v>52</v>
      </c>
      <c r="B14" s="3" t="str">
        <f>'All Solo Standards'!Z45</f>
        <v>31:15</v>
      </c>
      <c r="C14" s="3" t="str">
        <f>'All Solo Standards'!AA45</f>
        <v>47:03</v>
      </c>
      <c r="D14" s="3" t="str">
        <f>'All Solo Standards'!AB45</f>
        <v>1:18:59</v>
      </c>
      <c r="E14" s="3" t="str">
        <f>'All Solo Standards'!AC45</f>
        <v>1:35:08</v>
      </c>
      <c r="F14" s="3" t="str">
        <f>'All Solo Standards'!AD45</f>
        <v>2:40:57</v>
      </c>
      <c r="G14" s="3" t="str">
        <f>'All Solo Standards'!AE45</f>
        <v>5:34:33</v>
      </c>
      <c r="H14" s="46" t="str">
        <f>'All Solo Standards'!AF45</f>
        <v>168.35</v>
      </c>
      <c r="I14" s="46" t="str">
        <f>'All Solo Standards'!AG45</f>
        <v>286.43</v>
      </c>
      <c r="K14" s="59">
        <f>'All Solo Standards'!A73</f>
        <v>80</v>
      </c>
      <c r="L14" s="3" t="str">
        <f>'All Solo Standards'!Z73</f>
        <v>38:18</v>
      </c>
      <c r="M14" s="3" t="str">
        <f>'All Solo Standards'!AA73</f>
        <v>57:45</v>
      </c>
      <c r="N14" s="3" t="str">
        <f>'All Solo Standards'!AB73</f>
        <v>1:37:20</v>
      </c>
      <c r="O14" s="3" t="str">
        <f>'All Solo Standards'!AC73</f>
        <v>1:57:27</v>
      </c>
      <c r="P14" s="3" t="str">
        <f>'All Solo Standards'!AD73</f>
        <v>3:20:17</v>
      </c>
      <c r="Q14" s="3" t="str">
        <f>'All Solo Standards'!AE73</f>
        <v>7:05:45</v>
      </c>
      <c r="R14" s="47" t="str">
        <f>'All Solo Standards'!AF73</f>
        <v>107.75</v>
      </c>
      <c r="S14" s="47" t="str">
        <f>'All Solo Standards'!AG73</f>
        <v>170.43</v>
      </c>
    </row>
    <row r="15" spans="1:19" x14ac:dyDescent="0.25">
      <c r="A15" s="4">
        <f>'All Solo Standards'!A46</f>
        <v>53</v>
      </c>
      <c r="B15" s="3" t="str">
        <f>'All Solo Standards'!Z46</f>
        <v>31:20</v>
      </c>
      <c r="C15" s="3" t="str">
        <f>'All Solo Standards'!AA46</f>
        <v>47:10</v>
      </c>
      <c r="D15" s="3" t="str">
        <f>'All Solo Standards'!AB46</f>
        <v>1:19:12</v>
      </c>
      <c r="E15" s="3" t="str">
        <f>'All Solo Standards'!AC46</f>
        <v>1:35:24</v>
      </c>
      <c r="F15" s="3" t="str">
        <f>'All Solo Standards'!AD46</f>
        <v>2:41:24</v>
      </c>
      <c r="G15" s="3" t="str">
        <f>'All Solo Standards'!AE46</f>
        <v>5:35:37</v>
      </c>
      <c r="H15" s="46" t="str">
        <f>'All Solo Standards'!AF46</f>
        <v>167.26</v>
      </c>
      <c r="I15" s="46" t="str">
        <f>'All Solo Standards'!AG46</f>
        <v>284.10</v>
      </c>
      <c r="K15" s="59">
        <f>'All Solo Standards'!A74</f>
        <v>81</v>
      </c>
      <c r="L15" s="3" t="str">
        <f>'All Solo Standards'!Z74</f>
        <v>38:41</v>
      </c>
      <c r="M15" s="3" t="str">
        <f>'All Solo Standards'!AA74</f>
        <v>58:21</v>
      </c>
      <c r="N15" s="3" t="str">
        <f>'All Solo Standards'!AB74</f>
        <v>1:38:22</v>
      </c>
      <c r="O15" s="3" t="str">
        <f>'All Solo Standards'!AC74</f>
        <v>1:58:43</v>
      </c>
      <c r="P15" s="3" t="str">
        <f>'All Solo Standards'!AD74</f>
        <v>3:22:34</v>
      </c>
      <c r="Q15" s="3" t="str">
        <f>'All Solo Standards'!AE74</f>
        <v>7:11:20</v>
      </c>
      <c r="R15" s="47" t="str">
        <f>'All Solo Standards'!AF74</f>
        <v>105.08</v>
      </c>
      <c r="S15" s="47" t="str">
        <f>'All Solo Standards'!AG74</f>
        <v>165.32</v>
      </c>
    </row>
    <row r="16" spans="1:19" x14ac:dyDescent="0.25">
      <c r="A16" s="4">
        <f>'All Solo Standards'!A47</f>
        <v>54</v>
      </c>
      <c r="B16" s="3" t="str">
        <f>'All Solo Standards'!Z47</f>
        <v>31:25</v>
      </c>
      <c r="C16" s="3" t="str">
        <f>'All Solo Standards'!AA47</f>
        <v>47:19</v>
      </c>
      <c r="D16" s="3" t="str">
        <f>'All Solo Standards'!AB47</f>
        <v>1:19:26</v>
      </c>
      <c r="E16" s="3" t="str">
        <f>'All Solo Standards'!AC47</f>
        <v>1:35:41</v>
      </c>
      <c r="F16" s="3" t="str">
        <f>'All Solo Standards'!AD47</f>
        <v>2:41:56</v>
      </c>
      <c r="G16" s="3" t="str">
        <f>'All Solo Standards'!AE47</f>
        <v>5:36:50</v>
      </c>
      <c r="H16" s="46" t="str">
        <f>'All Solo Standards'!AF47</f>
        <v>166.08</v>
      </c>
      <c r="I16" s="46" t="str">
        <f>'All Solo Standards'!AG47</f>
        <v>281.60</v>
      </c>
      <c r="K16" s="59">
        <f>'All Solo Standards'!A75</f>
        <v>82</v>
      </c>
      <c r="L16" s="3" t="str">
        <f>'All Solo Standards'!Z75</f>
        <v>39:06</v>
      </c>
      <c r="M16" s="3" t="str">
        <f>'All Solo Standards'!AA75</f>
        <v>58:59</v>
      </c>
      <c r="N16" s="3" t="str">
        <f>'All Solo Standards'!AB75</f>
        <v>1:39:28</v>
      </c>
      <c r="O16" s="3" t="str">
        <f>'All Solo Standards'!AC75</f>
        <v>2:00:03</v>
      </c>
      <c r="P16" s="3" t="str">
        <f>'All Solo Standards'!AD75</f>
        <v>3:24:58</v>
      </c>
      <c r="Q16" s="3" t="str">
        <f>'All Solo Standards'!AE75</f>
        <v>7:17:15</v>
      </c>
      <c r="R16" s="47" t="str">
        <f>'All Solo Standards'!AF75</f>
        <v>102.36</v>
      </c>
      <c r="S16" s="47" t="str">
        <f>'All Solo Standards'!AG75</f>
        <v>160.12</v>
      </c>
    </row>
    <row r="17" spans="1:20" x14ac:dyDescent="0.25">
      <c r="A17" s="4">
        <f>'All Solo Standards'!A48</f>
        <v>55</v>
      </c>
      <c r="B17" s="3" t="str">
        <f>'All Solo Standards'!Z48</f>
        <v>31:32</v>
      </c>
      <c r="C17" s="3" t="str">
        <f>'All Solo Standards'!AA48</f>
        <v>47:28</v>
      </c>
      <c r="D17" s="3" t="str">
        <f>'All Solo Standards'!AB48</f>
        <v>1:19:43</v>
      </c>
      <c r="E17" s="3" t="str">
        <f>'All Solo Standards'!AC48</f>
        <v>1:36:01</v>
      </c>
      <c r="F17" s="3" t="str">
        <f>'All Solo Standards'!AD48</f>
        <v>2:42:31</v>
      </c>
      <c r="G17" s="3" t="str">
        <f>'All Solo Standards'!AE48</f>
        <v>5:38:11</v>
      </c>
      <c r="H17" s="46" t="str">
        <f>'All Solo Standards'!AF48</f>
        <v>164.79</v>
      </c>
      <c r="I17" s="46" t="str">
        <f>'All Solo Standards'!AG48</f>
        <v>278.92</v>
      </c>
      <c r="K17" s="59">
        <f>'All Solo Standards'!A76</f>
        <v>83</v>
      </c>
      <c r="L17" s="3" t="str">
        <f>'All Solo Standards'!Z76</f>
        <v>39:32</v>
      </c>
      <c r="M17" s="3" t="str">
        <f>'All Solo Standards'!AA76</f>
        <v>59:39</v>
      </c>
      <c r="N17" s="3" t="str">
        <f>'All Solo Standards'!AB76</f>
        <v>1:40:36</v>
      </c>
      <c r="O17" s="3" t="str">
        <f>'All Solo Standards'!AC76</f>
        <v>2:01:27</v>
      </c>
      <c r="P17" s="3" t="str">
        <f>'All Solo Standards'!AD76</f>
        <v>3:27:29</v>
      </c>
      <c r="Q17" s="3" t="str">
        <f>'All Solo Standards'!AE76</f>
        <v>7:23:29</v>
      </c>
      <c r="R17" s="47" t="str">
        <f>'All Solo Standards'!AF76</f>
        <v>99.58</v>
      </c>
      <c r="S17" s="47" t="str">
        <f>'All Solo Standards'!AG76</f>
        <v>154.84</v>
      </c>
    </row>
    <row r="18" spans="1:20" x14ac:dyDescent="0.25">
      <c r="A18" s="4">
        <f>'All Solo Standards'!A49</f>
        <v>56</v>
      </c>
      <c r="B18" s="3" t="str">
        <f>'All Solo Standards'!Z49</f>
        <v>31:39</v>
      </c>
      <c r="C18" s="3" t="str">
        <f>'All Solo Standards'!AA49</f>
        <v>47:39</v>
      </c>
      <c r="D18" s="3" t="str">
        <f>'All Solo Standards'!AB49</f>
        <v>1:20:01</v>
      </c>
      <c r="E18" s="3" t="str">
        <f>'All Solo Standards'!AC49</f>
        <v>1:36:24</v>
      </c>
      <c r="F18" s="3" t="str">
        <f>'All Solo Standards'!AD49</f>
        <v>2:43:10</v>
      </c>
      <c r="G18" s="3" t="str">
        <f>'All Solo Standards'!AE49</f>
        <v>5:39:41</v>
      </c>
      <c r="H18" s="46" t="str">
        <f>'All Solo Standards'!AF49</f>
        <v>163.39</v>
      </c>
      <c r="I18" s="46" t="str">
        <f>'All Solo Standards'!AG49</f>
        <v>276.05</v>
      </c>
      <c r="K18" s="59">
        <f>'All Solo Standards'!A77</f>
        <v>84</v>
      </c>
      <c r="L18" s="3" t="str">
        <f>'All Solo Standards'!Z77</f>
        <v>39:59</v>
      </c>
      <c r="M18" s="3" t="str">
        <f>'All Solo Standards'!AA77</f>
        <v>1:00:20</v>
      </c>
      <c r="N18" s="3" t="str">
        <f>'All Solo Standards'!AB77</f>
        <v>1:41:48</v>
      </c>
      <c r="O18" s="3" t="str">
        <f>'All Solo Standards'!AC77</f>
        <v>2:02:55</v>
      </c>
      <c r="P18" s="3" t="str">
        <f>'All Solo Standards'!AD77</f>
        <v>3:30:08</v>
      </c>
      <c r="Q18" s="3" t="str">
        <f>'All Solo Standards'!AE77</f>
        <v>7:30:05</v>
      </c>
      <c r="R18" s="47" t="str">
        <f>'All Solo Standards'!AF77</f>
        <v>96.76</v>
      </c>
      <c r="S18" s="47" t="str">
        <f>'All Solo Standards'!AG77</f>
        <v>149.48</v>
      </c>
    </row>
    <row r="19" spans="1:20" x14ac:dyDescent="0.25">
      <c r="A19" s="4">
        <f>'All Solo Standards'!A50</f>
        <v>57</v>
      </c>
      <c r="B19" s="3" t="str">
        <f>'All Solo Standards'!Z50</f>
        <v>31:47</v>
      </c>
      <c r="C19" s="3" t="str">
        <f>'All Solo Standards'!AA50</f>
        <v>47:51</v>
      </c>
      <c r="D19" s="3" t="str">
        <f>'All Solo Standards'!AB50</f>
        <v>1:20:22</v>
      </c>
      <c r="E19" s="3" t="str">
        <f>'All Solo Standards'!AC50</f>
        <v>1:36:49</v>
      </c>
      <c r="F19" s="3" t="str">
        <f>'All Solo Standards'!AD50</f>
        <v>2:43:54</v>
      </c>
      <c r="G19" s="3" t="str">
        <f>'All Solo Standards'!AE50</f>
        <v>5:41:22</v>
      </c>
      <c r="H19" s="46" t="str">
        <f>'All Solo Standards'!AF50</f>
        <v>161.87</v>
      </c>
      <c r="I19" s="46" t="str">
        <f>'All Solo Standards'!AG50</f>
        <v>273.00</v>
      </c>
      <c r="K19" s="59">
        <f>'All Solo Standards'!A78</f>
        <v>85</v>
      </c>
      <c r="L19" s="3" t="str">
        <f>'All Solo Standards'!Z78</f>
        <v>40:28</v>
      </c>
      <c r="M19" s="3" t="str">
        <f>'All Solo Standards'!AA78</f>
        <v>1:01:04</v>
      </c>
      <c r="N19" s="3" t="str">
        <f>'All Solo Standards'!AB78</f>
        <v>1:43:04</v>
      </c>
      <c r="O19" s="3" t="str">
        <f>'All Solo Standards'!AC78</f>
        <v>2:04:28</v>
      </c>
      <c r="P19" s="3" t="str">
        <f>'All Solo Standards'!AD78</f>
        <v>3:32:56</v>
      </c>
      <c r="Q19" s="3" t="str">
        <f>'All Solo Standards'!AE78</f>
        <v>7:37:06</v>
      </c>
      <c r="R19" s="47" t="str">
        <f>'All Solo Standards'!AF78</f>
        <v>93.89</v>
      </c>
      <c r="S19" s="47" t="str">
        <f>'All Solo Standards'!AG78</f>
        <v>144.03</v>
      </c>
    </row>
    <row r="20" spans="1:20" x14ac:dyDescent="0.25">
      <c r="A20" s="4">
        <f>'All Solo Standards'!A51</f>
        <v>58</v>
      </c>
      <c r="B20" s="3" t="str">
        <f>'All Solo Standards'!Z51</f>
        <v>31:56</v>
      </c>
      <c r="C20" s="3" t="str">
        <f>'All Solo Standards'!AA51</f>
        <v>48:05</v>
      </c>
      <c r="D20" s="3" t="str">
        <f>'All Solo Standards'!AB51</f>
        <v>1:20:45</v>
      </c>
      <c r="E20" s="3" t="str">
        <f>'All Solo Standards'!AC51</f>
        <v>1:37:17</v>
      </c>
      <c r="F20" s="3" t="str">
        <f>'All Solo Standards'!AD51</f>
        <v>2:44:44</v>
      </c>
      <c r="G20" s="3" t="str">
        <f>'All Solo Standards'!AE51</f>
        <v>5:43:14</v>
      </c>
      <c r="H20" s="46" t="str">
        <f>'All Solo Standards'!AF51</f>
        <v>160.24</v>
      </c>
      <c r="I20" s="46" t="str">
        <f>'All Solo Standards'!AG51</f>
        <v>269.74</v>
      </c>
      <c r="K20" s="59">
        <f>'All Solo Standards'!A79</f>
        <v>86</v>
      </c>
      <c r="L20" s="3" t="str">
        <f>'All Solo Standards'!Z79</f>
        <v>40:57</v>
      </c>
      <c r="M20" s="3" t="str">
        <f>'All Solo Standards'!AA79</f>
        <v>1:01:50</v>
      </c>
      <c r="N20" s="3" t="str">
        <f>'All Solo Standards'!AB79</f>
        <v>1:44:23</v>
      </c>
      <c r="O20" s="3" t="str">
        <f>'All Solo Standards'!AC79</f>
        <v>2:06:05</v>
      </c>
      <c r="P20" s="3" t="str">
        <f>'All Solo Standards'!AD79</f>
        <v>3:35:53</v>
      </c>
      <c r="Q20" s="3" t="str">
        <f>'All Solo Standards'!AE79</f>
        <v>7:44:33</v>
      </c>
      <c r="R20" s="47" t="str">
        <f>'All Solo Standards'!AF79</f>
        <v>90.96</v>
      </c>
      <c r="S20" s="47" t="str">
        <f>'All Solo Standards'!AG79</f>
        <v>138.49</v>
      </c>
    </row>
    <row r="21" spans="1:20" x14ac:dyDescent="0.25">
      <c r="A21" s="4">
        <f>'All Solo Standards'!A52</f>
        <v>59</v>
      </c>
      <c r="B21" s="45" t="str">
        <f>'All Solo Standards'!Z52</f>
        <v>32:06</v>
      </c>
      <c r="C21" s="45" t="str">
        <f>'All Solo Standards'!AA52</f>
        <v>48:20</v>
      </c>
      <c r="D21" s="45" t="str">
        <f>'All Solo Standards'!AB52</f>
        <v>1:21:11</v>
      </c>
      <c r="E21" s="45" t="str">
        <f>'All Solo Standards'!AC52</f>
        <v>1:37:48</v>
      </c>
      <c r="F21" s="45" t="str">
        <f>'All Solo Standards'!AD52</f>
        <v>2:45:38</v>
      </c>
      <c r="G21" s="45" t="str">
        <f>'All Solo Standards'!AE52</f>
        <v>5:45:18</v>
      </c>
      <c r="H21" s="48" t="str">
        <f>'All Solo Standards'!AF52</f>
        <v>158.47</v>
      </c>
      <c r="I21" s="48" t="str">
        <f>'All Solo Standards'!AG52</f>
        <v>266.29</v>
      </c>
      <c r="K21" s="59">
        <f>'All Solo Standards'!A80</f>
        <v>87</v>
      </c>
      <c r="L21" s="3" t="str">
        <f>'All Solo Standards'!Z80</f>
        <v>41:29</v>
      </c>
      <c r="M21" s="3" t="str">
        <f>'All Solo Standards'!AA80</f>
        <v>1:02:38</v>
      </c>
      <c r="N21" s="3" t="str">
        <f>'All Solo Standards'!AB80</f>
        <v>1:45:47</v>
      </c>
      <c r="O21" s="3" t="str">
        <f>'All Solo Standards'!AC80</f>
        <v>2:07:48</v>
      </c>
      <c r="P21" s="3" t="str">
        <f>'All Solo Standards'!AD80</f>
        <v>3:39:00</v>
      </c>
      <c r="Q21" s="3" t="str">
        <f>'All Solo Standards'!AE80</f>
        <v>7:52:30</v>
      </c>
      <c r="R21" s="47" t="str">
        <f>'All Solo Standards'!AF80</f>
        <v>87.98</v>
      </c>
      <c r="S21" s="47" t="str">
        <f>'All Solo Standards'!AG80</f>
        <v>132.87</v>
      </c>
    </row>
    <row r="22" spans="1:20" x14ac:dyDescent="0.25">
      <c r="A22" s="4">
        <f>'All Solo Standards'!A53</f>
        <v>60</v>
      </c>
      <c r="B22" s="3" t="str">
        <f>'All Solo Standards'!Z53</f>
        <v>32:17</v>
      </c>
      <c r="C22" s="3" t="str">
        <f>'All Solo Standards'!AA53</f>
        <v>48:36</v>
      </c>
      <c r="D22" s="3" t="str">
        <f>'All Solo Standards'!AB53</f>
        <v>1:21:39</v>
      </c>
      <c r="E22" s="3" t="str">
        <f>'All Solo Standards'!AC53</f>
        <v>1:38:23</v>
      </c>
      <c r="F22" s="3" t="str">
        <f>'All Solo Standards'!AD53</f>
        <v>2:46:39</v>
      </c>
      <c r="G22" s="3" t="str">
        <f>'All Solo Standards'!AE53</f>
        <v>5:47:35</v>
      </c>
      <c r="H22" s="46" t="str">
        <f>'All Solo Standards'!AF53</f>
        <v>156.58</v>
      </c>
      <c r="I22" s="46" t="str">
        <f>'All Solo Standards'!AG53</f>
        <v>262.63</v>
      </c>
      <c r="K22" s="59">
        <f>'All Solo Standards'!A81</f>
        <v>88</v>
      </c>
      <c r="L22" s="3" t="str">
        <f>'All Solo Standards'!Z81</f>
        <v>42:02</v>
      </c>
      <c r="M22" s="3" t="str">
        <f>'All Solo Standards'!AA81</f>
        <v>1:03:28</v>
      </c>
      <c r="N22" s="3" t="str">
        <f>'All Solo Standards'!AB81</f>
        <v>1:47:15</v>
      </c>
      <c r="O22" s="3" t="str">
        <f>'All Solo Standards'!AC81</f>
        <v>2:09:36</v>
      </c>
      <c r="P22" s="3" t="str">
        <f>'All Solo Standards'!AD81</f>
        <v>3:42:17</v>
      </c>
      <c r="Q22" s="3" t="str">
        <f>'All Solo Standards'!AE81</f>
        <v>8:00:59</v>
      </c>
      <c r="R22" s="47" t="str">
        <f>'All Solo Standards'!AF81</f>
        <v>84.94</v>
      </c>
      <c r="S22" s="47" t="str">
        <f>'All Solo Standards'!AG81</f>
        <v>127.15</v>
      </c>
    </row>
    <row r="23" spans="1:20" x14ac:dyDescent="0.25">
      <c r="A23" s="4">
        <f>'All Solo Standards'!A54</f>
        <v>61</v>
      </c>
      <c r="B23" s="3" t="str">
        <f>'All Solo Standards'!Z54</f>
        <v>32:29</v>
      </c>
      <c r="C23" s="3" t="str">
        <f>'All Solo Standards'!AA54</f>
        <v>48:55</v>
      </c>
      <c r="D23" s="3" t="str">
        <f>'All Solo Standards'!AB54</f>
        <v>1:22:11</v>
      </c>
      <c r="E23" s="3" t="str">
        <f>'All Solo Standards'!AC54</f>
        <v>1:39:01</v>
      </c>
      <c r="F23" s="3" t="str">
        <f>'All Solo Standards'!AD54</f>
        <v>2:47:46</v>
      </c>
      <c r="G23" s="3" t="str">
        <f>'All Solo Standards'!AE54</f>
        <v>5:50:06</v>
      </c>
      <c r="H23" s="46" t="str">
        <f>'All Solo Standards'!AF54</f>
        <v>154.55</v>
      </c>
      <c r="I23" s="46" t="str">
        <f>'All Solo Standards'!AG54</f>
        <v>258.77</v>
      </c>
      <c r="K23" s="59">
        <f>'All Solo Standards'!A82</f>
        <v>89</v>
      </c>
      <c r="L23" s="45" t="str">
        <f>'All Solo Standards'!Z82</f>
        <v>42:37</v>
      </c>
      <c r="M23" s="45" t="str">
        <f>'All Solo Standards'!AA82</f>
        <v>1:04:22</v>
      </c>
      <c r="N23" s="45" t="str">
        <f>'All Solo Standards'!AB82</f>
        <v>1:48:48</v>
      </c>
      <c r="O23" s="45" t="str">
        <f>'All Solo Standards'!AC82</f>
        <v>2:11:30</v>
      </c>
      <c r="P23" s="45" t="str">
        <f>'All Solo Standards'!AD82</f>
        <v>3:45:47</v>
      </c>
      <c r="Q23" s="45" t="str">
        <f>'All Solo Standards'!AE82</f>
        <v>8:10:04</v>
      </c>
      <c r="R23" s="49" t="str">
        <f>'All Solo Standards'!AF82</f>
        <v>81.84</v>
      </c>
      <c r="S23" s="49" t="str">
        <f>'All Solo Standards'!AG82</f>
        <v>121.35</v>
      </c>
    </row>
    <row r="24" spans="1:20" x14ac:dyDescent="0.25">
      <c r="A24" s="4">
        <f>'All Solo Standards'!A55</f>
        <v>62</v>
      </c>
      <c r="B24" s="3" t="str">
        <f>'All Solo Standards'!Z55</f>
        <v>32:42</v>
      </c>
      <c r="C24" s="3" t="str">
        <f>'All Solo Standards'!AA55</f>
        <v>49:16</v>
      </c>
      <c r="D24" s="3" t="str">
        <f>'All Solo Standards'!AB55</f>
        <v>1:22:46</v>
      </c>
      <c r="E24" s="3" t="str">
        <f>'All Solo Standards'!AC55</f>
        <v>1:39:44</v>
      </c>
      <c r="F24" s="3" t="str">
        <f>'All Solo Standards'!AD55</f>
        <v>2:49:00</v>
      </c>
      <c r="G24" s="3" t="str">
        <f>'All Solo Standards'!AE55</f>
        <v>5:52:52</v>
      </c>
      <c r="H24" s="46" t="str">
        <f>'All Solo Standards'!AF55</f>
        <v>152.38</v>
      </c>
      <c r="I24" s="46" t="str">
        <f>'All Solo Standards'!AG55</f>
        <v>254.69</v>
      </c>
      <c r="K24" s="59">
        <f>'All Solo Standards'!A83</f>
        <v>90</v>
      </c>
      <c r="L24" s="3" t="str">
        <f>'All Solo Standards'!Z83</f>
        <v>43:13</v>
      </c>
      <c r="M24" s="3" t="str">
        <f>'All Solo Standards'!AA83</f>
        <v>1:05:18</v>
      </c>
      <c r="N24" s="3" t="str">
        <f>'All Solo Standards'!AB83</f>
        <v>1:50:26</v>
      </c>
      <c r="O24" s="3" t="str">
        <f>'All Solo Standards'!AC83</f>
        <v>2:13:31</v>
      </c>
      <c r="P24" s="3" t="str">
        <f>'All Solo Standards'!AD83</f>
        <v>3:49:30</v>
      </c>
      <c r="Q24" s="3" t="str">
        <f>'All Solo Standards'!AE83</f>
        <v>8:19:49</v>
      </c>
      <c r="R24" s="47" t="str">
        <f>'All Solo Standards'!AF83</f>
        <v>78.68</v>
      </c>
      <c r="S24" s="47" t="str">
        <f>'All Solo Standards'!AG83</f>
        <v>115.45</v>
      </c>
    </row>
    <row r="25" spans="1:20" x14ac:dyDescent="0.25">
      <c r="A25" s="4">
        <f>'All Solo Standards'!A56</f>
        <v>63</v>
      </c>
      <c r="B25" s="3" t="str">
        <f>'All Solo Standards'!Z56</f>
        <v>32:57</v>
      </c>
      <c r="C25" s="3" t="str">
        <f>'All Solo Standards'!AA56</f>
        <v>49:38</v>
      </c>
      <c r="D25" s="3" t="str">
        <f>'All Solo Standards'!AB56</f>
        <v>1:23:25</v>
      </c>
      <c r="E25" s="3" t="str">
        <f>'All Solo Standards'!AC56</f>
        <v>1:40:30</v>
      </c>
      <c r="F25" s="3" t="str">
        <f>'All Solo Standards'!AD56</f>
        <v>2:50:21</v>
      </c>
      <c r="G25" s="3" t="str">
        <f>'All Solo Standards'!AE56</f>
        <v>5:55:55</v>
      </c>
      <c r="H25" s="46" t="str">
        <f>'All Solo Standards'!AF56</f>
        <v>150.07</v>
      </c>
      <c r="I25" s="46" t="str">
        <f>'All Solo Standards'!AG56</f>
        <v>250.40</v>
      </c>
      <c r="K25" s="59">
        <f>'All Solo Standards'!A84</f>
        <v>91</v>
      </c>
      <c r="L25" s="3" t="str">
        <f>'All Solo Standards'!Z84</f>
        <v>43:52</v>
      </c>
      <c r="M25" s="3" t="str">
        <f>'All Solo Standards'!AA84</f>
        <v>1:06:18</v>
      </c>
      <c r="N25" s="3" t="str">
        <f>'All Solo Standards'!AB84</f>
        <v>1:52:11</v>
      </c>
      <c r="O25" s="3" t="str">
        <f>'All Solo Standards'!AC84</f>
        <v>2:15:39</v>
      </c>
      <c r="P25" s="3" t="str">
        <f>'All Solo Standards'!AD84</f>
        <v>3:53:27</v>
      </c>
      <c r="Q25" s="3" t="str">
        <f>'All Solo Standards'!AE84</f>
        <v>8:30:20</v>
      </c>
      <c r="R25" s="47" t="str">
        <f>'All Solo Standards'!AF84</f>
        <v>75.46</v>
      </c>
      <c r="S25" s="47" t="str">
        <f>'All Solo Standards'!AG84</f>
        <v>109.45</v>
      </c>
    </row>
    <row r="26" spans="1:20" x14ac:dyDescent="0.25">
      <c r="A26" s="4">
        <f>'All Solo Standards'!A57</f>
        <v>64</v>
      </c>
      <c r="B26" s="3" t="str">
        <f>'All Solo Standards'!Z57</f>
        <v>33:14</v>
      </c>
      <c r="C26" s="3" t="str">
        <f>'All Solo Standards'!AA57</f>
        <v>50:03</v>
      </c>
      <c r="D26" s="3" t="str">
        <f>'All Solo Standards'!AB57</f>
        <v>1:24:07</v>
      </c>
      <c r="E26" s="3" t="str">
        <f>'All Solo Standards'!AC57</f>
        <v>1:41:22</v>
      </c>
      <c r="F26" s="3" t="str">
        <f>'All Solo Standards'!AD57</f>
        <v>2:51:51</v>
      </c>
      <c r="G26" s="3" t="str">
        <f>'All Solo Standards'!AE57</f>
        <v>5:59:15</v>
      </c>
      <c r="H26" s="46" t="str">
        <f>'All Solo Standards'!AF57</f>
        <v>147.62</v>
      </c>
      <c r="I26" s="46" t="str">
        <f>'All Solo Standards'!AG57</f>
        <v>245.89</v>
      </c>
      <c r="K26" s="59">
        <f>'All Solo Standards'!A85</f>
        <v>92</v>
      </c>
      <c r="L26" s="3" t="str">
        <f>'All Solo Standards'!Z85</f>
        <v>44:33</v>
      </c>
      <c r="M26" s="3" t="str">
        <f>'All Solo Standards'!AA85</f>
        <v>1:07:21</v>
      </c>
      <c r="N26" s="3" t="str">
        <f>'All Solo Standards'!AB85</f>
        <v>1:54:01</v>
      </c>
      <c r="O26" s="3" t="str">
        <f>'All Solo Standards'!AC85</f>
        <v>2:17:56</v>
      </c>
      <c r="P26" s="3" t="str">
        <f>'All Solo Standards'!AD85</f>
        <v>3:57:40</v>
      </c>
      <c r="Q26" s="3" t="str">
        <f>'All Solo Standards'!AE85</f>
        <v>8:41:43</v>
      </c>
      <c r="R26" s="47" t="str">
        <f>'All Solo Standards'!AF85</f>
        <v>72.17</v>
      </c>
      <c r="S26" s="47" t="str">
        <f>'All Solo Standards'!AG85</f>
        <v>103.36</v>
      </c>
    </row>
    <row r="27" spans="1:20" x14ac:dyDescent="0.25">
      <c r="A27" s="4">
        <f>'All Solo Standards'!A58</f>
        <v>65</v>
      </c>
      <c r="B27" s="3" t="str">
        <f>'All Solo Standards'!Z58</f>
        <v>33:32</v>
      </c>
      <c r="C27" s="3" t="str">
        <f>'All Solo Standards'!AA58</f>
        <v>50:30</v>
      </c>
      <c r="D27" s="3" t="str">
        <f>'All Solo Standards'!AB58</f>
        <v>1:24:54</v>
      </c>
      <c r="E27" s="3" t="str">
        <f>'All Solo Standards'!AC58</f>
        <v>1:42:18</v>
      </c>
      <c r="F27" s="3" t="str">
        <f>'All Solo Standards'!AD58</f>
        <v>2:53:29</v>
      </c>
      <c r="G27" s="3" t="str">
        <f>'All Solo Standards'!AE58</f>
        <v>6:02:55</v>
      </c>
      <c r="H27" s="46" t="str">
        <f>'All Solo Standards'!AF58</f>
        <v>145.02</v>
      </c>
      <c r="I27" s="46" t="str">
        <f>'All Solo Standards'!AG58</f>
        <v>241.16</v>
      </c>
      <c r="K27" s="59">
        <f>'All Solo Standards'!A86</f>
        <v>93</v>
      </c>
      <c r="L27" s="3" t="str">
        <f>'All Solo Standards'!Z86</f>
        <v>45:17</v>
      </c>
      <c r="M27" s="3" t="str">
        <f>'All Solo Standards'!AA86</f>
        <v>1:08:28</v>
      </c>
      <c r="N27" s="3" t="str">
        <f>'All Solo Standards'!AB86</f>
        <v>1:55:59</v>
      </c>
      <c r="O27" s="3" t="str">
        <f>'All Solo Standards'!AC86</f>
        <v>2:20:21</v>
      </c>
      <c r="P27" s="3" t="str">
        <f>'All Solo Standards'!AD86</f>
        <v>4:02:11</v>
      </c>
      <c r="Q27" s="3" t="str">
        <f>'All Solo Standards'!AE86</f>
        <v>8:54:04</v>
      </c>
      <c r="R27" s="47" t="str">
        <f>'All Solo Standards'!AF86</f>
        <v>68.82</v>
      </c>
      <c r="S27" s="47" t="str">
        <f>'All Solo Standards'!AG86</f>
        <v>97.17</v>
      </c>
    </row>
    <row r="28" spans="1:20" x14ac:dyDescent="0.25">
      <c r="A28" s="4">
        <f>'All Solo Standards'!A59</f>
        <v>66</v>
      </c>
      <c r="B28" s="3" t="str">
        <f>'All Solo Standards'!Z59</f>
        <v>33:52</v>
      </c>
      <c r="C28" s="3" t="str">
        <f>'All Solo Standards'!AA59</f>
        <v>51:00</v>
      </c>
      <c r="D28" s="3" t="str">
        <f>'All Solo Standards'!AB59</f>
        <v>1:25:45</v>
      </c>
      <c r="E28" s="3" t="str">
        <f>'All Solo Standards'!AC59</f>
        <v>1:43:20</v>
      </c>
      <c r="F28" s="3" t="str">
        <f>'All Solo Standards'!AD59</f>
        <v>2:55:17</v>
      </c>
      <c r="G28" s="3" t="str">
        <f>'All Solo Standards'!AE59</f>
        <v>6:06:56</v>
      </c>
      <c r="H28" s="46" t="str">
        <f>'All Solo Standards'!AF59</f>
        <v>142.26</v>
      </c>
      <c r="I28" s="46" t="str">
        <f>'All Solo Standards'!AG59</f>
        <v>236.21</v>
      </c>
      <c r="K28" s="59">
        <f>'All Solo Standards'!A87</f>
        <v>94</v>
      </c>
      <c r="L28" s="3" t="str">
        <f>'All Solo Standards'!Z87</f>
        <v>46:03</v>
      </c>
      <c r="M28" s="3" t="str">
        <f>'All Solo Standards'!AA87</f>
        <v>1:09:40</v>
      </c>
      <c r="N28" s="3" t="str">
        <f>'All Solo Standards'!AB87</f>
        <v>1:58:05</v>
      </c>
      <c r="O28" s="3" t="str">
        <f>'All Solo Standards'!AC87</f>
        <v>2:22:57</v>
      </c>
      <c r="P28" s="3" t="str">
        <f>'All Solo Standards'!AD87</f>
        <v>4:07:01</v>
      </c>
      <c r="Q28" s="3" t="str">
        <f>'All Solo Standards'!AE87</f>
        <v>9:07:32</v>
      </c>
      <c r="R28" s="47" t="str">
        <f>'All Solo Standards'!AF87</f>
        <v>65.40</v>
      </c>
      <c r="S28" s="47" t="str">
        <f>'All Solo Standards'!AG87</f>
        <v>90.87</v>
      </c>
    </row>
    <row r="29" spans="1:20" x14ac:dyDescent="0.25">
      <c r="A29" s="4">
        <f>'All Solo Standards'!A60</f>
        <v>67</v>
      </c>
      <c r="B29" s="3" t="str">
        <f>'All Solo Standards'!Z60</f>
        <v>34:13</v>
      </c>
      <c r="C29" s="3" t="str">
        <f>'All Solo Standards'!AA60</f>
        <v>51:33</v>
      </c>
      <c r="D29" s="3" t="str">
        <f>'All Solo Standards'!AB60</f>
        <v>1:26:41</v>
      </c>
      <c r="E29" s="3" t="str">
        <f>'All Solo Standards'!AC60</f>
        <v>1:44:28</v>
      </c>
      <c r="F29" s="3" t="str">
        <f>'All Solo Standards'!AD60</f>
        <v>2:57:15</v>
      </c>
      <c r="G29" s="3" t="str">
        <f>'All Solo Standards'!AE60</f>
        <v>6:11:20</v>
      </c>
      <c r="H29" s="46" t="str">
        <f>'All Solo Standards'!AF60</f>
        <v>139.36</v>
      </c>
      <c r="I29" s="46" t="str">
        <f>'All Solo Standards'!AG60</f>
        <v>231.04</v>
      </c>
      <c r="K29" s="59">
        <f>'All Solo Standards'!A88</f>
        <v>95</v>
      </c>
      <c r="L29" s="3" t="str">
        <f>'All Solo Standards'!Z88</f>
        <v>46:53</v>
      </c>
      <c r="M29" s="3" t="str">
        <f>'All Solo Standards'!AA88</f>
        <v>1:10:56</v>
      </c>
      <c r="N29" s="3" t="str">
        <f>'All Solo Standards'!AB88</f>
        <v>2:00:20</v>
      </c>
      <c r="O29" s="3" t="str">
        <f>'All Solo Standards'!AC88</f>
        <v>2:25:43</v>
      </c>
      <c r="P29" s="3" t="str">
        <f>'All Solo Standards'!AD88</f>
        <v>4:12:14</v>
      </c>
      <c r="Q29" s="3" t="str">
        <f>'All Solo Standards'!AE88</f>
        <v>9:22:17</v>
      </c>
      <c r="R29" s="47" t="str">
        <f>'All Solo Standards'!AF88</f>
        <v>61.90</v>
      </c>
      <c r="S29" s="47" t="str">
        <f>'All Solo Standards'!AG88</f>
        <v>84.47</v>
      </c>
      <c r="T29" s="29">
        <f>Revision</f>
        <v>2024</v>
      </c>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row r="73" spans="1:1" x14ac:dyDescent="0.25">
      <c r="A73" s="5"/>
    </row>
    <row r="74" spans="1:1" x14ac:dyDescent="0.25">
      <c r="A74" s="5"/>
    </row>
    <row r="75" spans="1:1" x14ac:dyDescent="0.25">
      <c r="A75" s="5"/>
    </row>
    <row r="76" spans="1:1" x14ac:dyDescent="0.25">
      <c r="A76" s="5"/>
    </row>
    <row r="77" spans="1:1" x14ac:dyDescent="0.25">
      <c r="A77" s="5"/>
    </row>
    <row r="78" spans="1:1" x14ac:dyDescent="0.25">
      <c r="A78" s="5"/>
    </row>
    <row r="79" spans="1:1" x14ac:dyDescent="0.25">
      <c r="A79" s="5"/>
    </row>
    <row r="80" spans="1:1" x14ac:dyDescent="0.25">
      <c r="A80" s="5"/>
    </row>
    <row r="81" spans="1:1" x14ac:dyDescent="0.25">
      <c r="A81" s="5"/>
    </row>
    <row r="82" spans="1:1" x14ac:dyDescent="0.25">
      <c r="A82" s="5"/>
    </row>
    <row r="83" spans="1:1" x14ac:dyDescent="0.25">
      <c r="A83" s="5"/>
    </row>
    <row r="84" spans="1:1" x14ac:dyDescent="0.25">
      <c r="A84" s="5"/>
    </row>
    <row r="85" spans="1:1" x14ac:dyDescent="0.25">
      <c r="A85" s="5"/>
    </row>
    <row r="86" spans="1:1" x14ac:dyDescent="0.25">
      <c r="A86" s="5"/>
    </row>
    <row r="87" spans="1:1" x14ac:dyDescent="0.25">
      <c r="A87" s="5"/>
    </row>
    <row r="88" spans="1:1" x14ac:dyDescent="0.25">
      <c r="A88" s="5"/>
    </row>
    <row r="89" spans="1:1" x14ac:dyDescent="0.25">
      <c r="A89" s="5"/>
    </row>
    <row r="90" spans="1:1" x14ac:dyDescent="0.25">
      <c r="A90" s="5"/>
    </row>
    <row r="91" spans="1:1" x14ac:dyDescent="0.25">
      <c r="A91" s="5"/>
    </row>
    <row r="92" spans="1:1" x14ac:dyDescent="0.25">
      <c r="A92" s="5"/>
    </row>
    <row r="93" spans="1:1" x14ac:dyDescent="0.25">
      <c r="A93" s="5"/>
    </row>
    <row r="94" spans="1:1" x14ac:dyDescent="0.25">
      <c r="A94" s="5"/>
    </row>
    <row r="95" spans="1:1" x14ac:dyDescent="0.25">
      <c r="A95" s="5"/>
    </row>
    <row r="96" spans="1:1" x14ac:dyDescent="0.25">
      <c r="A96" s="5"/>
    </row>
    <row r="97" spans="1:1" x14ac:dyDescent="0.25">
      <c r="A97" s="5"/>
    </row>
    <row r="98" spans="1:1" x14ac:dyDescent="0.25">
      <c r="A98" s="5"/>
    </row>
    <row r="99" spans="1:1" x14ac:dyDescent="0.25">
      <c r="A99" s="5"/>
    </row>
    <row r="100" spans="1:1" x14ac:dyDescent="0.25">
      <c r="A100" s="5"/>
    </row>
    <row r="101" spans="1:1" x14ac:dyDescent="0.25">
      <c r="A101" s="5"/>
    </row>
    <row r="102" spans="1:1" x14ac:dyDescent="0.25">
      <c r="A102" s="5"/>
    </row>
    <row r="103" spans="1:1" x14ac:dyDescent="0.25">
      <c r="A103" s="5"/>
    </row>
    <row r="104" spans="1:1" x14ac:dyDescent="0.25">
      <c r="A104" s="5"/>
    </row>
    <row r="105" spans="1:1" x14ac:dyDescent="0.25">
      <c r="A105" s="5"/>
    </row>
    <row r="106" spans="1:1" x14ac:dyDescent="0.25">
      <c r="A106" s="5"/>
    </row>
    <row r="107" spans="1:1" x14ac:dyDescent="0.25">
      <c r="A107" s="5"/>
    </row>
    <row r="108" spans="1:1" x14ac:dyDescent="0.25">
      <c r="A108" s="5"/>
    </row>
    <row r="109" spans="1:1" x14ac:dyDescent="0.25">
      <c r="A109" s="5"/>
    </row>
    <row r="110" spans="1:1" x14ac:dyDescent="0.25">
      <c r="A110" s="5"/>
    </row>
    <row r="111" spans="1:1" x14ac:dyDescent="0.25">
      <c r="A111" s="5"/>
    </row>
    <row r="112" spans="1:1" x14ac:dyDescent="0.25">
      <c r="A112" s="5"/>
    </row>
    <row r="113" spans="1:1" x14ac:dyDescent="0.25">
      <c r="A113" s="5"/>
    </row>
    <row r="114" spans="1:1" x14ac:dyDescent="0.25">
      <c r="A114" s="5"/>
    </row>
    <row r="115" spans="1:1" x14ac:dyDescent="0.25">
      <c r="A115" s="5"/>
    </row>
    <row r="116" spans="1:1" x14ac:dyDescent="0.25">
      <c r="A116" s="5"/>
    </row>
    <row r="117" spans="1:1" x14ac:dyDescent="0.25">
      <c r="A117" s="5"/>
    </row>
    <row r="118" spans="1:1" x14ac:dyDescent="0.25">
      <c r="A118" s="5"/>
    </row>
    <row r="119" spans="1:1" x14ac:dyDescent="0.25">
      <c r="A119" s="5"/>
    </row>
    <row r="120" spans="1:1" x14ac:dyDescent="0.25">
      <c r="A120" s="5"/>
    </row>
    <row r="121" spans="1:1" x14ac:dyDescent="0.25">
      <c r="A121" s="5"/>
    </row>
    <row r="122" spans="1:1" x14ac:dyDescent="0.25">
      <c r="A122" s="5"/>
    </row>
    <row r="123" spans="1:1" x14ac:dyDescent="0.25">
      <c r="A123" s="5"/>
    </row>
    <row r="124" spans="1:1" x14ac:dyDescent="0.25">
      <c r="A124" s="5"/>
    </row>
    <row r="125" spans="1:1" x14ac:dyDescent="0.25">
      <c r="A125" s="5"/>
    </row>
    <row r="126" spans="1:1" x14ac:dyDescent="0.25">
      <c r="A126" s="5"/>
    </row>
    <row r="127" spans="1:1" x14ac:dyDescent="0.25">
      <c r="A127" s="5"/>
    </row>
    <row r="128" spans="1:1" x14ac:dyDescent="0.25">
      <c r="A128" s="5"/>
    </row>
    <row r="129" spans="1:1" x14ac:dyDescent="0.25">
      <c r="A129" s="5"/>
    </row>
    <row r="130" spans="1:1" x14ac:dyDescent="0.25">
      <c r="A130" s="5"/>
    </row>
    <row r="131" spans="1:1" x14ac:dyDescent="0.25">
      <c r="A131" s="5"/>
    </row>
    <row r="132" spans="1:1" x14ac:dyDescent="0.25">
      <c r="A132" s="5"/>
    </row>
    <row r="133" spans="1:1" x14ac:dyDescent="0.25">
      <c r="A133" s="5"/>
    </row>
    <row r="134" spans="1:1" x14ac:dyDescent="0.25">
      <c r="A134" s="5"/>
    </row>
    <row r="135" spans="1:1" x14ac:dyDescent="0.25">
      <c r="A135" s="5"/>
    </row>
    <row r="136" spans="1:1" x14ac:dyDescent="0.25">
      <c r="A136" s="5"/>
    </row>
    <row r="137" spans="1:1" x14ac:dyDescent="0.25">
      <c r="A137" s="5"/>
    </row>
    <row r="138" spans="1:1" x14ac:dyDescent="0.25">
      <c r="A138" s="5"/>
    </row>
    <row r="139" spans="1:1" x14ac:dyDescent="0.25">
      <c r="A139" s="5"/>
    </row>
    <row r="140" spans="1:1" x14ac:dyDescent="0.25">
      <c r="A140" s="5"/>
    </row>
    <row r="141" spans="1:1" x14ac:dyDescent="0.25">
      <c r="A141" s="5"/>
    </row>
    <row r="142" spans="1:1" x14ac:dyDescent="0.25">
      <c r="A142" s="5"/>
    </row>
    <row r="143" spans="1:1" x14ac:dyDescent="0.25">
      <c r="A143" s="5"/>
    </row>
    <row r="144" spans="1:1" x14ac:dyDescent="0.25">
      <c r="A144" s="5"/>
    </row>
    <row r="145" spans="1:1" x14ac:dyDescent="0.25">
      <c r="A145" s="5"/>
    </row>
    <row r="146" spans="1:1" x14ac:dyDescent="0.25">
      <c r="A146" s="5"/>
    </row>
    <row r="147" spans="1:1" x14ac:dyDescent="0.25">
      <c r="A147" s="5"/>
    </row>
    <row r="148" spans="1:1" x14ac:dyDescent="0.25">
      <c r="A148" s="5"/>
    </row>
    <row r="149" spans="1:1" x14ac:dyDescent="0.25">
      <c r="A149" s="5"/>
    </row>
    <row r="150" spans="1:1" x14ac:dyDescent="0.25">
      <c r="A150" s="5"/>
    </row>
    <row r="151" spans="1:1" x14ac:dyDescent="0.25">
      <c r="A151" s="5"/>
    </row>
    <row r="152" spans="1:1" x14ac:dyDescent="0.25">
      <c r="A152" s="5"/>
    </row>
    <row r="153" spans="1:1" x14ac:dyDescent="0.25">
      <c r="A153" s="5"/>
    </row>
    <row r="154" spans="1:1" x14ac:dyDescent="0.25">
      <c r="A154" s="5"/>
    </row>
    <row r="155" spans="1:1" x14ac:dyDescent="0.25">
      <c r="A155" s="5"/>
    </row>
    <row r="156" spans="1:1" x14ac:dyDescent="0.25">
      <c r="A156" s="5"/>
    </row>
    <row r="157" spans="1:1" x14ac:dyDescent="0.25">
      <c r="A157" s="5"/>
    </row>
    <row r="158" spans="1:1" x14ac:dyDescent="0.25">
      <c r="A158" s="5"/>
    </row>
    <row r="159" spans="1:1" x14ac:dyDescent="0.25">
      <c r="A159" s="5"/>
    </row>
    <row r="160" spans="1:1" x14ac:dyDescent="0.25">
      <c r="A160" s="5"/>
    </row>
    <row r="161" spans="1:1" x14ac:dyDescent="0.25">
      <c r="A161" s="5"/>
    </row>
    <row r="162" spans="1:1" x14ac:dyDescent="0.25">
      <c r="A162" s="5"/>
    </row>
    <row r="163" spans="1:1" x14ac:dyDescent="0.25">
      <c r="A163" s="5"/>
    </row>
    <row r="164" spans="1:1" x14ac:dyDescent="0.25">
      <c r="A164" s="5"/>
    </row>
    <row r="165" spans="1:1" x14ac:dyDescent="0.25">
      <c r="A165" s="5"/>
    </row>
    <row r="166" spans="1:1" x14ac:dyDescent="0.25">
      <c r="A166" s="5"/>
    </row>
    <row r="167" spans="1:1" x14ac:dyDescent="0.25">
      <c r="A167" s="5"/>
    </row>
    <row r="168" spans="1:1" x14ac:dyDescent="0.25">
      <c r="A168" s="5"/>
    </row>
    <row r="169" spans="1:1" x14ac:dyDescent="0.25">
      <c r="A169" s="5"/>
    </row>
    <row r="170" spans="1:1" x14ac:dyDescent="0.25">
      <c r="A170" s="5"/>
    </row>
    <row r="171" spans="1:1" x14ac:dyDescent="0.25">
      <c r="A171" s="5"/>
    </row>
    <row r="172" spans="1:1" x14ac:dyDescent="0.25">
      <c r="A172" s="5"/>
    </row>
    <row r="173" spans="1:1" x14ac:dyDescent="0.25">
      <c r="A173" s="5"/>
    </row>
    <row r="174" spans="1:1" x14ac:dyDescent="0.25">
      <c r="A174" s="5"/>
    </row>
    <row r="175" spans="1:1" x14ac:dyDescent="0.25">
      <c r="A175" s="5"/>
    </row>
    <row r="176" spans="1:1" x14ac:dyDescent="0.25">
      <c r="A176" s="5"/>
    </row>
    <row r="177" spans="1:1" x14ac:dyDescent="0.25">
      <c r="A177" s="5"/>
    </row>
    <row r="178" spans="1:1" x14ac:dyDescent="0.25">
      <c r="A178" s="5"/>
    </row>
    <row r="179" spans="1:1" x14ac:dyDescent="0.25">
      <c r="A179" s="5"/>
    </row>
    <row r="180" spans="1:1" x14ac:dyDescent="0.25">
      <c r="A180" s="5"/>
    </row>
    <row r="181" spans="1:1" x14ac:dyDescent="0.25">
      <c r="A181" s="5"/>
    </row>
    <row r="182" spans="1:1" x14ac:dyDescent="0.25">
      <c r="A182" s="5"/>
    </row>
    <row r="183" spans="1:1" x14ac:dyDescent="0.25">
      <c r="A183" s="5"/>
    </row>
    <row r="184" spans="1:1" x14ac:dyDescent="0.25">
      <c r="A184" s="5"/>
    </row>
    <row r="185" spans="1:1" x14ac:dyDescent="0.25">
      <c r="A185" s="5"/>
    </row>
    <row r="186" spans="1:1" x14ac:dyDescent="0.25">
      <c r="A186" s="5"/>
    </row>
    <row r="187" spans="1:1" x14ac:dyDescent="0.25">
      <c r="A187" s="5"/>
    </row>
    <row r="188" spans="1:1" x14ac:dyDescent="0.25">
      <c r="A188" s="5"/>
    </row>
    <row r="189" spans="1:1" x14ac:dyDescent="0.25">
      <c r="A189" s="5"/>
    </row>
    <row r="190" spans="1:1" x14ac:dyDescent="0.25">
      <c r="A190" s="5"/>
    </row>
    <row r="191" spans="1:1" x14ac:dyDescent="0.25">
      <c r="A191" s="5"/>
    </row>
    <row r="192" spans="1:1" x14ac:dyDescent="0.25">
      <c r="A192" s="5"/>
    </row>
    <row r="193" spans="1:1" x14ac:dyDescent="0.25">
      <c r="A193" s="5"/>
    </row>
    <row r="194" spans="1:1" x14ac:dyDescent="0.25">
      <c r="A194" s="5"/>
    </row>
    <row r="195" spans="1:1" x14ac:dyDescent="0.25">
      <c r="A195" s="5"/>
    </row>
    <row r="196" spans="1:1" x14ac:dyDescent="0.25">
      <c r="A196" s="5"/>
    </row>
    <row r="197" spans="1:1" x14ac:dyDescent="0.25">
      <c r="A197" s="5"/>
    </row>
    <row r="198" spans="1:1" x14ac:dyDescent="0.25">
      <c r="A198" s="5"/>
    </row>
    <row r="199" spans="1:1" x14ac:dyDescent="0.25">
      <c r="A199" s="5"/>
    </row>
    <row r="200" spans="1:1" x14ac:dyDescent="0.25">
      <c r="A200" s="5"/>
    </row>
    <row r="201" spans="1:1" x14ac:dyDescent="0.25">
      <c r="A201" s="5"/>
    </row>
    <row r="202" spans="1:1" x14ac:dyDescent="0.25">
      <c r="A202" s="5"/>
    </row>
    <row r="203" spans="1:1" x14ac:dyDescent="0.25">
      <c r="A203" s="5"/>
    </row>
    <row r="204" spans="1:1" x14ac:dyDescent="0.25">
      <c r="A204" s="5"/>
    </row>
    <row r="205" spans="1:1" x14ac:dyDescent="0.25">
      <c r="A205" s="5"/>
    </row>
    <row r="206" spans="1:1" x14ac:dyDescent="0.25">
      <c r="A206" s="5"/>
    </row>
    <row r="207" spans="1:1" x14ac:dyDescent="0.25">
      <c r="A207" s="5"/>
    </row>
    <row r="208" spans="1:1" x14ac:dyDescent="0.25">
      <c r="A208" s="5"/>
    </row>
    <row r="209" spans="1:1" x14ac:dyDescent="0.25">
      <c r="A209" s="5"/>
    </row>
    <row r="210" spans="1:1" x14ac:dyDescent="0.25">
      <c r="A210" s="5"/>
    </row>
    <row r="211" spans="1:1" x14ac:dyDescent="0.25">
      <c r="A211" s="5"/>
    </row>
    <row r="212" spans="1:1" x14ac:dyDescent="0.25">
      <c r="A212" s="5"/>
    </row>
    <row r="213" spans="1:1" x14ac:dyDescent="0.25">
      <c r="A213" s="5"/>
    </row>
    <row r="214" spans="1:1" x14ac:dyDescent="0.25">
      <c r="A214" s="5"/>
    </row>
    <row r="215" spans="1:1" x14ac:dyDescent="0.25">
      <c r="A215" s="5"/>
    </row>
    <row r="216" spans="1:1" x14ac:dyDescent="0.25">
      <c r="A216" s="5"/>
    </row>
    <row r="217" spans="1:1" x14ac:dyDescent="0.25">
      <c r="A217" s="5"/>
    </row>
    <row r="218" spans="1:1" x14ac:dyDescent="0.25">
      <c r="A218" s="5"/>
    </row>
    <row r="219" spans="1:1" x14ac:dyDescent="0.25">
      <c r="A219" s="5"/>
    </row>
    <row r="220" spans="1:1" x14ac:dyDescent="0.25">
      <c r="A220" s="5"/>
    </row>
    <row r="221" spans="1:1" x14ac:dyDescent="0.25">
      <c r="A221" s="5"/>
    </row>
    <row r="222" spans="1:1" x14ac:dyDescent="0.25">
      <c r="A222" s="5"/>
    </row>
    <row r="223" spans="1:1" x14ac:dyDescent="0.25">
      <c r="A223" s="5"/>
    </row>
    <row r="224" spans="1:1" x14ac:dyDescent="0.25">
      <c r="A224" s="5"/>
    </row>
    <row r="225" spans="1:1" x14ac:dyDescent="0.25">
      <c r="A225" s="5"/>
    </row>
    <row r="226" spans="1:1" x14ac:dyDescent="0.25">
      <c r="A226" s="5"/>
    </row>
    <row r="227" spans="1:1" x14ac:dyDescent="0.25">
      <c r="A227" s="5"/>
    </row>
    <row r="228" spans="1:1" x14ac:dyDescent="0.25">
      <c r="A228" s="5"/>
    </row>
    <row r="229" spans="1:1" x14ac:dyDescent="0.25">
      <c r="A229" s="5"/>
    </row>
    <row r="230" spans="1:1" x14ac:dyDescent="0.25">
      <c r="A230" s="5"/>
    </row>
    <row r="231" spans="1:1" x14ac:dyDescent="0.25">
      <c r="A231" s="5"/>
    </row>
    <row r="232" spans="1:1" x14ac:dyDescent="0.25">
      <c r="A232" s="5"/>
    </row>
    <row r="233" spans="1:1" x14ac:dyDescent="0.25">
      <c r="A233" s="5"/>
    </row>
    <row r="234" spans="1:1" x14ac:dyDescent="0.25">
      <c r="A234" s="5"/>
    </row>
    <row r="235" spans="1:1" x14ac:dyDescent="0.25">
      <c r="A235" s="5"/>
    </row>
    <row r="236" spans="1:1" x14ac:dyDescent="0.25">
      <c r="A236" s="5"/>
    </row>
    <row r="237" spans="1:1" x14ac:dyDescent="0.25">
      <c r="A237" s="5"/>
    </row>
    <row r="238" spans="1:1" x14ac:dyDescent="0.25">
      <c r="A238" s="5"/>
    </row>
    <row r="239" spans="1:1" x14ac:dyDescent="0.25">
      <c r="A239" s="5"/>
    </row>
    <row r="240" spans="1:1" x14ac:dyDescent="0.25">
      <c r="A240" s="5"/>
    </row>
    <row r="241" spans="1:1" x14ac:dyDescent="0.25">
      <c r="A241" s="5"/>
    </row>
    <row r="242" spans="1:1" x14ac:dyDescent="0.25">
      <c r="A242" s="5"/>
    </row>
    <row r="243" spans="1:1" x14ac:dyDescent="0.25">
      <c r="A243" s="5"/>
    </row>
    <row r="244" spans="1:1" x14ac:dyDescent="0.25">
      <c r="A244" s="5"/>
    </row>
    <row r="245" spans="1:1" x14ac:dyDescent="0.25">
      <c r="A245" s="5"/>
    </row>
    <row r="246" spans="1:1" x14ac:dyDescent="0.25">
      <c r="A246" s="5"/>
    </row>
    <row r="247" spans="1:1" x14ac:dyDescent="0.25">
      <c r="A247" s="5"/>
    </row>
    <row r="248" spans="1:1" x14ac:dyDescent="0.25">
      <c r="A248" s="5"/>
    </row>
    <row r="249" spans="1:1" x14ac:dyDescent="0.25">
      <c r="A249" s="5"/>
    </row>
    <row r="250" spans="1:1" x14ac:dyDescent="0.25">
      <c r="A250" s="5"/>
    </row>
    <row r="251" spans="1:1" x14ac:dyDescent="0.25">
      <c r="A251" s="5"/>
    </row>
    <row r="252" spans="1:1" x14ac:dyDescent="0.25">
      <c r="A252" s="5"/>
    </row>
    <row r="253" spans="1:1" x14ac:dyDescent="0.25">
      <c r="A253" s="5"/>
    </row>
    <row r="254" spans="1:1" x14ac:dyDescent="0.25">
      <c r="A254" s="5"/>
    </row>
    <row r="255" spans="1:1" x14ac:dyDescent="0.25">
      <c r="A255" s="5"/>
    </row>
    <row r="256" spans="1:1" x14ac:dyDescent="0.25">
      <c r="A256" s="5"/>
    </row>
    <row r="257" spans="1:1" x14ac:dyDescent="0.25">
      <c r="A257" s="5"/>
    </row>
    <row r="258" spans="1:1" x14ac:dyDescent="0.25">
      <c r="A258" s="5"/>
    </row>
    <row r="259" spans="1:1" x14ac:dyDescent="0.25">
      <c r="A259" s="5"/>
    </row>
    <row r="260" spans="1:1" x14ac:dyDescent="0.25">
      <c r="A260" s="5"/>
    </row>
    <row r="261" spans="1:1" x14ac:dyDescent="0.25">
      <c r="A261" s="5"/>
    </row>
    <row r="262" spans="1:1" x14ac:dyDescent="0.25">
      <c r="A262" s="5"/>
    </row>
    <row r="263" spans="1:1" x14ac:dyDescent="0.25">
      <c r="A263" s="5"/>
    </row>
    <row r="264" spans="1:1" x14ac:dyDescent="0.25">
      <c r="A264" s="5"/>
    </row>
    <row r="265" spans="1:1" x14ac:dyDescent="0.25">
      <c r="A265" s="5"/>
    </row>
    <row r="266" spans="1:1" x14ac:dyDescent="0.25">
      <c r="A266" s="5"/>
    </row>
    <row r="267" spans="1:1" x14ac:dyDescent="0.25">
      <c r="A267" s="5"/>
    </row>
    <row r="268" spans="1:1" x14ac:dyDescent="0.25">
      <c r="A268" s="5"/>
    </row>
    <row r="269" spans="1:1" x14ac:dyDescent="0.25">
      <c r="A269" s="5"/>
    </row>
    <row r="270" spans="1:1" x14ac:dyDescent="0.25">
      <c r="A270" s="5"/>
    </row>
    <row r="271" spans="1:1" x14ac:dyDescent="0.25">
      <c r="A271" s="5"/>
    </row>
    <row r="272" spans="1:1" x14ac:dyDescent="0.25">
      <c r="A272" s="5"/>
    </row>
    <row r="273" spans="1:1" x14ac:dyDescent="0.25">
      <c r="A273" s="5"/>
    </row>
    <row r="274" spans="1:1" x14ac:dyDescent="0.25">
      <c r="A274" s="5"/>
    </row>
    <row r="275" spans="1:1" x14ac:dyDescent="0.25">
      <c r="A275" s="5"/>
    </row>
    <row r="276" spans="1:1" x14ac:dyDescent="0.25">
      <c r="A276" s="5"/>
    </row>
    <row r="277" spans="1:1" x14ac:dyDescent="0.25">
      <c r="A277" s="5"/>
    </row>
    <row r="278" spans="1:1" x14ac:dyDescent="0.25">
      <c r="A278" s="5"/>
    </row>
    <row r="279" spans="1:1" x14ac:dyDescent="0.25">
      <c r="A279" s="5"/>
    </row>
    <row r="280" spans="1:1" x14ac:dyDescent="0.25">
      <c r="A280" s="5"/>
    </row>
    <row r="281" spans="1:1" x14ac:dyDescent="0.25">
      <c r="A281" s="5"/>
    </row>
    <row r="282" spans="1:1" x14ac:dyDescent="0.25">
      <c r="A282" s="5"/>
    </row>
    <row r="283" spans="1:1" x14ac:dyDescent="0.25">
      <c r="A283" s="5"/>
    </row>
    <row r="284" spans="1:1" x14ac:dyDescent="0.25">
      <c r="A284" s="5"/>
    </row>
    <row r="285" spans="1:1" x14ac:dyDescent="0.25">
      <c r="A285" s="5"/>
    </row>
    <row r="286" spans="1:1" x14ac:dyDescent="0.25">
      <c r="A286" s="5"/>
    </row>
    <row r="287" spans="1:1" x14ac:dyDescent="0.25">
      <c r="A287" s="5"/>
    </row>
    <row r="288" spans="1:1" x14ac:dyDescent="0.25">
      <c r="A288" s="5"/>
    </row>
    <row r="289" spans="1:1" x14ac:dyDescent="0.25">
      <c r="A289" s="5"/>
    </row>
    <row r="290" spans="1:1" x14ac:dyDescent="0.25">
      <c r="A290" s="5"/>
    </row>
    <row r="291" spans="1:1" x14ac:dyDescent="0.25">
      <c r="A291" s="5"/>
    </row>
    <row r="292" spans="1:1" x14ac:dyDescent="0.25">
      <c r="A292" s="5"/>
    </row>
    <row r="293" spans="1:1" x14ac:dyDescent="0.25">
      <c r="A293" s="5"/>
    </row>
    <row r="294" spans="1:1" x14ac:dyDescent="0.25">
      <c r="A294" s="5"/>
    </row>
    <row r="295" spans="1:1" x14ac:dyDescent="0.25">
      <c r="A295" s="5"/>
    </row>
    <row r="296" spans="1:1" x14ac:dyDescent="0.25">
      <c r="A296" s="5"/>
    </row>
    <row r="297" spans="1:1" x14ac:dyDescent="0.25">
      <c r="A297" s="5"/>
    </row>
    <row r="298" spans="1:1" x14ac:dyDescent="0.25">
      <c r="A298" s="5"/>
    </row>
    <row r="299" spans="1:1" x14ac:dyDescent="0.25">
      <c r="A299" s="5"/>
    </row>
    <row r="300" spans="1:1" x14ac:dyDescent="0.25">
      <c r="A300" s="5"/>
    </row>
    <row r="301" spans="1:1" x14ac:dyDescent="0.25">
      <c r="A301" s="5"/>
    </row>
    <row r="302" spans="1:1" x14ac:dyDescent="0.25">
      <c r="A302" s="5"/>
    </row>
    <row r="303" spans="1:1" x14ac:dyDescent="0.25">
      <c r="A303" s="5"/>
    </row>
    <row r="304" spans="1:1" x14ac:dyDescent="0.25">
      <c r="A304" s="5"/>
    </row>
    <row r="305" spans="1:1" x14ac:dyDescent="0.25">
      <c r="A305" s="5"/>
    </row>
    <row r="306" spans="1:1" x14ac:dyDescent="0.25">
      <c r="A306" s="5"/>
    </row>
    <row r="307" spans="1:1" x14ac:dyDescent="0.25">
      <c r="A307" s="5"/>
    </row>
    <row r="308" spans="1:1" x14ac:dyDescent="0.25">
      <c r="A308" s="5"/>
    </row>
    <row r="309" spans="1:1" x14ac:dyDescent="0.25">
      <c r="A309" s="5"/>
    </row>
    <row r="310" spans="1:1" x14ac:dyDescent="0.25">
      <c r="A310" s="5"/>
    </row>
    <row r="311" spans="1:1" x14ac:dyDescent="0.25">
      <c r="A311" s="5"/>
    </row>
    <row r="312" spans="1:1" x14ac:dyDescent="0.25">
      <c r="A312" s="5"/>
    </row>
    <row r="313" spans="1:1" x14ac:dyDescent="0.25">
      <c r="A313" s="5"/>
    </row>
    <row r="314" spans="1:1" x14ac:dyDescent="0.25">
      <c r="A314" s="5"/>
    </row>
    <row r="315" spans="1:1" x14ac:dyDescent="0.25">
      <c r="A315" s="5"/>
    </row>
    <row r="316" spans="1:1" x14ac:dyDescent="0.25">
      <c r="A316" s="5"/>
    </row>
    <row r="317" spans="1:1" x14ac:dyDescent="0.25">
      <c r="A317" s="5"/>
    </row>
    <row r="318" spans="1:1" x14ac:dyDescent="0.25">
      <c r="A318" s="5"/>
    </row>
    <row r="319" spans="1:1" x14ac:dyDescent="0.25">
      <c r="A319" s="5"/>
    </row>
    <row r="320" spans="1:1" x14ac:dyDescent="0.25">
      <c r="A320" s="5"/>
    </row>
    <row r="321" spans="1:1" x14ac:dyDescent="0.25">
      <c r="A321" s="5"/>
    </row>
    <row r="322" spans="1:1" x14ac:dyDescent="0.25">
      <c r="A322" s="5"/>
    </row>
    <row r="323" spans="1:1" x14ac:dyDescent="0.25">
      <c r="A323" s="5"/>
    </row>
    <row r="324" spans="1:1" x14ac:dyDescent="0.25">
      <c r="A324" s="5"/>
    </row>
    <row r="325" spans="1:1" x14ac:dyDescent="0.25">
      <c r="A325" s="5"/>
    </row>
    <row r="326" spans="1:1" x14ac:dyDescent="0.25">
      <c r="A326" s="5"/>
    </row>
    <row r="327" spans="1:1" x14ac:dyDescent="0.25">
      <c r="A327" s="5"/>
    </row>
    <row r="328" spans="1:1" x14ac:dyDescent="0.25">
      <c r="A328" s="5"/>
    </row>
    <row r="329" spans="1:1" x14ac:dyDescent="0.25">
      <c r="A329" s="5"/>
    </row>
    <row r="330" spans="1:1" x14ac:dyDescent="0.25">
      <c r="A330" s="5"/>
    </row>
    <row r="331" spans="1:1" x14ac:dyDescent="0.25">
      <c r="A331" s="5"/>
    </row>
    <row r="332" spans="1:1" x14ac:dyDescent="0.25">
      <c r="A332" s="5"/>
    </row>
    <row r="333" spans="1:1" x14ac:dyDescent="0.25">
      <c r="A333" s="5"/>
    </row>
    <row r="334" spans="1:1" x14ac:dyDescent="0.25">
      <c r="A334" s="5"/>
    </row>
    <row r="335" spans="1:1" x14ac:dyDescent="0.25">
      <c r="A335" s="5"/>
    </row>
    <row r="336" spans="1:1" x14ac:dyDescent="0.25">
      <c r="A336" s="5"/>
    </row>
    <row r="337" spans="1:1" x14ac:dyDescent="0.25">
      <c r="A337" s="5"/>
    </row>
    <row r="338" spans="1:1" x14ac:dyDescent="0.25">
      <c r="A338" s="5"/>
    </row>
    <row r="339" spans="1:1" x14ac:dyDescent="0.25">
      <c r="A339" s="5"/>
    </row>
    <row r="340" spans="1:1" x14ac:dyDescent="0.25">
      <c r="A340" s="5"/>
    </row>
    <row r="341" spans="1:1" x14ac:dyDescent="0.25">
      <c r="A341" s="5"/>
    </row>
    <row r="342" spans="1:1" x14ac:dyDescent="0.25">
      <c r="A342" s="5"/>
    </row>
    <row r="343" spans="1:1" x14ac:dyDescent="0.25">
      <c r="A343" s="5"/>
    </row>
    <row r="344" spans="1:1" x14ac:dyDescent="0.25">
      <c r="A344" s="5"/>
    </row>
    <row r="345" spans="1:1" x14ac:dyDescent="0.25">
      <c r="A345" s="5"/>
    </row>
    <row r="346" spans="1:1" x14ac:dyDescent="0.25">
      <c r="A346" s="5"/>
    </row>
    <row r="347" spans="1:1" x14ac:dyDescent="0.25">
      <c r="A347" s="5"/>
    </row>
    <row r="348" spans="1:1" x14ac:dyDescent="0.25">
      <c r="A348" s="5"/>
    </row>
    <row r="349" spans="1:1" x14ac:dyDescent="0.25">
      <c r="A349" s="5"/>
    </row>
    <row r="350" spans="1:1" x14ac:dyDescent="0.25">
      <c r="A350" s="5"/>
    </row>
    <row r="351" spans="1:1" x14ac:dyDescent="0.25">
      <c r="A351" s="5"/>
    </row>
    <row r="352" spans="1:1" x14ac:dyDescent="0.25">
      <c r="A352" s="5"/>
    </row>
    <row r="353" spans="1:1" x14ac:dyDescent="0.25">
      <c r="A353" s="5"/>
    </row>
    <row r="354" spans="1:1" x14ac:dyDescent="0.25">
      <c r="A354" s="5"/>
    </row>
    <row r="355" spans="1:1" x14ac:dyDescent="0.25">
      <c r="A355" s="5"/>
    </row>
    <row r="356" spans="1:1" x14ac:dyDescent="0.25">
      <c r="A356" s="5"/>
    </row>
    <row r="357" spans="1:1" x14ac:dyDescent="0.25">
      <c r="A357" s="5"/>
    </row>
    <row r="358" spans="1:1" x14ac:dyDescent="0.25">
      <c r="A358" s="5"/>
    </row>
    <row r="359" spans="1:1" x14ac:dyDescent="0.25">
      <c r="A359" s="5"/>
    </row>
    <row r="360" spans="1:1" x14ac:dyDescent="0.25">
      <c r="A360" s="5"/>
    </row>
    <row r="361" spans="1:1" x14ac:dyDescent="0.25">
      <c r="A361" s="5"/>
    </row>
    <row r="362" spans="1:1" x14ac:dyDescent="0.25">
      <c r="A362" s="5"/>
    </row>
    <row r="363" spans="1:1" x14ac:dyDescent="0.25">
      <c r="A363" s="5"/>
    </row>
    <row r="364" spans="1:1" x14ac:dyDescent="0.25">
      <c r="A364" s="5"/>
    </row>
    <row r="365" spans="1:1" x14ac:dyDescent="0.25">
      <c r="A365" s="5"/>
    </row>
    <row r="366" spans="1:1" x14ac:dyDescent="0.25">
      <c r="A366" s="5"/>
    </row>
    <row r="367" spans="1:1" x14ac:dyDescent="0.25">
      <c r="A367" s="5"/>
    </row>
    <row r="368" spans="1:1" x14ac:dyDescent="0.25">
      <c r="A368" s="5"/>
    </row>
    <row r="369" spans="1:1" x14ac:dyDescent="0.25">
      <c r="A369" s="5"/>
    </row>
    <row r="370" spans="1:1" x14ac:dyDescent="0.25">
      <c r="A370" s="5"/>
    </row>
    <row r="371" spans="1:1" x14ac:dyDescent="0.25">
      <c r="A371" s="5"/>
    </row>
    <row r="372" spans="1:1" x14ac:dyDescent="0.25">
      <c r="A372" s="5"/>
    </row>
    <row r="373" spans="1:1" x14ac:dyDescent="0.25">
      <c r="A373" s="5"/>
    </row>
    <row r="374" spans="1:1" x14ac:dyDescent="0.25">
      <c r="A374" s="5"/>
    </row>
    <row r="375" spans="1:1" x14ac:dyDescent="0.25">
      <c r="A375" s="5"/>
    </row>
    <row r="376" spans="1:1" x14ac:dyDescent="0.25">
      <c r="A376" s="5"/>
    </row>
    <row r="377" spans="1:1" x14ac:dyDescent="0.25">
      <c r="A377" s="5"/>
    </row>
    <row r="378" spans="1:1" x14ac:dyDescent="0.25">
      <c r="A378" s="5"/>
    </row>
    <row r="379" spans="1:1" x14ac:dyDescent="0.25">
      <c r="A379" s="5"/>
    </row>
    <row r="380" spans="1:1" x14ac:dyDescent="0.25">
      <c r="A380" s="5"/>
    </row>
    <row r="381" spans="1:1" x14ac:dyDescent="0.25">
      <c r="A381" s="5"/>
    </row>
    <row r="382" spans="1:1" x14ac:dyDescent="0.25">
      <c r="A382" s="5"/>
    </row>
    <row r="383" spans="1:1" x14ac:dyDescent="0.25">
      <c r="A383" s="5"/>
    </row>
    <row r="384" spans="1:1" x14ac:dyDescent="0.25">
      <c r="A384" s="5"/>
    </row>
    <row r="385" spans="1:1" x14ac:dyDescent="0.25">
      <c r="A385" s="5"/>
    </row>
    <row r="386" spans="1:1" x14ac:dyDescent="0.25">
      <c r="A386" s="5"/>
    </row>
    <row r="387" spans="1:1" x14ac:dyDescent="0.25">
      <c r="A387" s="5"/>
    </row>
    <row r="388" spans="1:1" x14ac:dyDescent="0.25">
      <c r="A388" s="5"/>
    </row>
    <row r="389" spans="1:1" x14ac:dyDescent="0.25">
      <c r="A389" s="5"/>
    </row>
    <row r="390" spans="1:1" x14ac:dyDescent="0.25">
      <c r="A390" s="5"/>
    </row>
    <row r="391" spans="1:1" x14ac:dyDescent="0.25">
      <c r="A391" s="5"/>
    </row>
    <row r="392" spans="1:1" x14ac:dyDescent="0.25">
      <c r="A392" s="5"/>
    </row>
    <row r="393" spans="1:1" x14ac:dyDescent="0.25">
      <c r="A393" s="5"/>
    </row>
    <row r="394" spans="1:1" x14ac:dyDescent="0.25">
      <c r="A394" s="5"/>
    </row>
    <row r="395" spans="1:1" x14ac:dyDescent="0.25">
      <c r="A395" s="5"/>
    </row>
    <row r="396" spans="1:1" x14ac:dyDescent="0.25">
      <c r="A396" s="5"/>
    </row>
    <row r="397" spans="1:1" x14ac:dyDescent="0.25">
      <c r="A397" s="5"/>
    </row>
    <row r="398" spans="1:1" x14ac:dyDescent="0.25">
      <c r="A398" s="5"/>
    </row>
    <row r="399" spans="1:1" x14ac:dyDescent="0.25">
      <c r="A399" s="5"/>
    </row>
    <row r="400" spans="1:1" x14ac:dyDescent="0.25">
      <c r="A400" s="5"/>
    </row>
    <row r="401" spans="1:1" x14ac:dyDescent="0.25">
      <c r="A401" s="5"/>
    </row>
    <row r="402" spans="1:1" x14ac:dyDescent="0.25">
      <c r="A402" s="5"/>
    </row>
    <row r="403" spans="1:1" x14ac:dyDescent="0.25">
      <c r="A403" s="5"/>
    </row>
    <row r="404" spans="1:1" x14ac:dyDescent="0.25">
      <c r="A404" s="5"/>
    </row>
    <row r="405" spans="1:1" x14ac:dyDescent="0.25">
      <c r="A405" s="5"/>
    </row>
    <row r="406" spans="1:1" x14ac:dyDescent="0.25">
      <c r="A406" s="5"/>
    </row>
    <row r="407" spans="1:1" x14ac:dyDescent="0.25">
      <c r="A407" s="5"/>
    </row>
    <row r="408" spans="1:1" x14ac:dyDescent="0.25">
      <c r="A408" s="5"/>
    </row>
    <row r="409" spans="1:1" x14ac:dyDescent="0.25">
      <c r="A409" s="5"/>
    </row>
    <row r="410" spans="1:1" x14ac:dyDescent="0.25">
      <c r="A410" s="5"/>
    </row>
    <row r="411" spans="1:1" x14ac:dyDescent="0.25">
      <c r="A411" s="5"/>
    </row>
    <row r="412" spans="1:1" x14ac:dyDescent="0.25">
      <c r="A412" s="5"/>
    </row>
    <row r="413" spans="1:1" x14ac:dyDescent="0.25">
      <c r="A413" s="5"/>
    </row>
    <row r="414" spans="1:1" x14ac:dyDescent="0.25">
      <c r="A414" s="5"/>
    </row>
    <row r="415" spans="1:1" x14ac:dyDescent="0.25">
      <c r="A415" s="5"/>
    </row>
    <row r="416" spans="1:1" x14ac:dyDescent="0.25">
      <c r="A416" s="5"/>
    </row>
    <row r="417" spans="1:1" x14ac:dyDescent="0.25">
      <c r="A417" s="5"/>
    </row>
    <row r="418" spans="1:1" x14ac:dyDescent="0.25">
      <c r="A418" s="5"/>
    </row>
    <row r="419" spans="1:1" x14ac:dyDescent="0.25">
      <c r="A419" s="5"/>
    </row>
    <row r="420" spans="1:1" x14ac:dyDescent="0.25">
      <c r="A420" s="5"/>
    </row>
    <row r="421" spans="1:1" x14ac:dyDescent="0.25">
      <c r="A421" s="5"/>
    </row>
    <row r="422" spans="1:1" x14ac:dyDescent="0.25">
      <c r="A422" s="5"/>
    </row>
    <row r="423" spans="1:1" x14ac:dyDescent="0.25">
      <c r="A423" s="5"/>
    </row>
    <row r="424" spans="1:1" x14ac:dyDescent="0.25">
      <c r="A424" s="5"/>
    </row>
    <row r="425" spans="1:1" x14ac:dyDescent="0.25">
      <c r="A425" s="5"/>
    </row>
    <row r="426" spans="1:1" x14ac:dyDescent="0.25">
      <c r="A426" s="5"/>
    </row>
    <row r="427" spans="1:1" x14ac:dyDescent="0.25">
      <c r="A427" s="5"/>
    </row>
    <row r="428" spans="1:1" x14ac:dyDescent="0.25">
      <c r="A428" s="5"/>
    </row>
    <row r="429" spans="1:1" x14ac:dyDescent="0.25">
      <c r="A429" s="5"/>
    </row>
    <row r="430" spans="1:1" x14ac:dyDescent="0.25">
      <c r="A430" s="5"/>
    </row>
    <row r="431" spans="1:1" x14ac:dyDescent="0.25">
      <c r="A431" s="5"/>
    </row>
    <row r="432" spans="1:1" x14ac:dyDescent="0.25">
      <c r="A432" s="5"/>
    </row>
    <row r="433" spans="1:1" x14ac:dyDescent="0.25">
      <c r="A433" s="5"/>
    </row>
    <row r="434" spans="1:1" x14ac:dyDescent="0.25">
      <c r="A434" s="5"/>
    </row>
    <row r="435" spans="1:1" x14ac:dyDescent="0.25">
      <c r="A435" s="5"/>
    </row>
    <row r="436" spans="1:1" x14ac:dyDescent="0.25">
      <c r="A436" s="5"/>
    </row>
    <row r="437" spans="1:1" x14ac:dyDescent="0.25">
      <c r="A437" s="5"/>
    </row>
    <row r="438" spans="1:1" x14ac:dyDescent="0.25">
      <c r="A438" s="5"/>
    </row>
    <row r="439" spans="1:1" x14ac:dyDescent="0.25">
      <c r="A439" s="5"/>
    </row>
    <row r="440" spans="1:1" x14ac:dyDescent="0.25">
      <c r="A440" s="5"/>
    </row>
    <row r="441" spans="1:1" x14ac:dyDescent="0.25">
      <c r="A441" s="5"/>
    </row>
    <row r="442" spans="1:1" x14ac:dyDescent="0.25">
      <c r="A442" s="5"/>
    </row>
    <row r="443" spans="1:1" x14ac:dyDescent="0.25">
      <c r="A443" s="5"/>
    </row>
    <row r="444" spans="1:1" x14ac:dyDescent="0.25">
      <c r="A444" s="5"/>
    </row>
    <row r="445" spans="1:1" x14ac:dyDescent="0.25">
      <c r="A445" s="5"/>
    </row>
    <row r="446" spans="1:1" x14ac:dyDescent="0.25">
      <c r="A446" s="5"/>
    </row>
    <row r="447" spans="1:1" x14ac:dyDescent="0.25">
      <c r="A447" s="5"/>
    </row>
    <row r="448" spans="1:1" x14ac:dyDescent="0.25">
      <c r="A448" s="5"/>
    </row>
    <row r="449" spans="1:1" x14ac:dyDescent="0.25">
      <c r="A449" s="5"/>
    </row>
    <row r="450" spans="1:1" x14ac:dyDescent="0.25">
      <c r="A450" s="5"/>
    </row>
    <row r="451" spans="1:1" x14ac:dyDescent="0.25">
      <c r="A451" s="5"/>
    </row>
    <row r="452" spans="1:1" x14ac:dyDescent="0.25">
      <c r="A452" s="5"/>
    </row>
    <row r="453" spans="1:1" x14ac:dyDescent="0.25">
      <c r="A453" s="5"/>
    </row>
    <row r="454" spans="1:1" x14ac:dyDescent="0.25">
      <c r="A454" s="5"/>
    </row>
    <row r="455" spans="1:1" x14ac:dyDescent="0.25">
      <c r="A455" s="5"/>
    </row>
    <row r="456" spans="1:1" x14ac:dyDescent="0.25">
      <c r="A456" s="5"/>
    </row>
    <row r="457" spans="1:1" x14ac:dyDescent="0.25">
      <c r="A457" s="5"/>
    </row>
    <row r="458" spans="1:1" x14ac:dyDescent="0.25">
      <c r="A458" s="5"/>
    </row>
    <row r="459" spans="1:1" x14ac:dyDescent="0.25">
      <c r="A459" s="5"/>
    </row>
    <row r="460" spans="1:1" x14ac:dyDescent="0.25">
      <c r="A460" s="5"/>
    </row>
    <row r="461" spans="1:1" x14ac:dyDescent="0.25">
      <c r="A461" s="5"/>
    </row>
    <row r="462" spans="1:1" x14ac:dyDescent="0.25">
      <c r="A462" s="5"/>
    </row>
    <row r="463" spans="1:1" x14ac:dyDescent="0.25">
      <c r="A463" s="5"/>
    </row>
    <row r="464" spans="1:1" x14ac:dyDescent="0.25">
      <c r="A464" s="5"/>
    </row>
    <row r="465" spans="1:1" x14ac:dyDescent="0.25">
      <c r="A465" s="5"/>
    </row>
    <row r="466" spans="1:1" x14ac:dyDescent="0.25">
      <c r="A466" s="5"/>
    </row>
    <row r="467" spans="1:1" x14ac:dyDescent="0.25">
      <c r="A467" s="5"/>
    </row>
    <row r="468" spans="1:1" x14ac:dyDescent="0.25">
      <c r="A468" s="5"/>
    </row>
    <row r="469" spans="1:1" x14ac:dyDescent="0.25">
      <c r="A469" s="5"/>
    </row>
    <row r="470" spans="1:1" x14ac:dyDescent="0.25">
      <c r="A470" s="5"/>
    </row>
    <row r="471" spans="1:1" x14ac:dyDescent="0.25">
      <c r="A471" s="5"/>
    </row>
    <row r="472" spans="1:1" x14ac:dyDescent="0.25">
      <c r="A472" s="5"/>
    </row>
    <row r="473" spans="1:1" x14ac:dyDescent="0.25">
      <c r="A473" s="5"/>
    </row>
    <row r="474" spans="1:1" x14ac:dyDescent="0.25">
      <c r="A474" s="5"/>
    </row>
    <row r="475" spans="1:1" x14ac:dyDescent="0.25">
      <c r="A475" s="5"/>
    </row>
    <row r="476" spans="1:1" x14ac:dyDescent="0.25">
      <c r="A476" s="5"/>
    </row>
    <row r="477" spans="1:1" x14ac:dyDescent="0.25">
      <c r="A477" s="5"/>
    </row>
    <row r="478" spans="1:1" x14ac:dyDescent="0.25">
      <c r="A478" s="5"/>
    </row>
    <row r="479" spans="1:1" x14ac:dyDescent="0.25">
      <c r="A479" s="5"/>
    </row>
    <row r="480" spans="1:1" x14ac:dyDescent="0.25">
      <c r="A480" s="5"/>
    </row>
    <row r="481" spans="1:1" x14ac:dyDescent="0.25">
      <c r="A481" s="5"/>
    </row>
    <row r="482" spans="1:1" x14ac:dyDescent="0.25">
      <c r="A482" s="5"/>
    </row>
    <row r="483" spans="1:1" x14ac:dyDescent="0.25">
      <c r="A483" s="5"/>
    </row>
    <row r="484" spans="1:1" x14ac:dyDescent="0.25">
      <c r="A484" s="5"/>
    </row>
    <row r="485" spans="1:1" x14ac:dyDescent="0.25">
      <c r="A485" s="5"/>
    </row>
    <row r="486" spans="1:1" x14ac:dyDescent="0.25">
      <c r="A486" s="5"/>
    </row>
    <row r="487" spans="1:1" x14ac:dyDescent="0.25">
      <c r="A487" s="5"/>
    </row>
    <row r="488" spans="1:1" x14ac:dyDescent="0.25">
      <c r="A488" s="5"/>
    </row>
    <row r="489" spans="1:1" x14ac:dyDescent="0.25">
      <c r="A489" s="5"/>
    </row>
    <row r="490" spans="1:1" x14ac:dyDescent="0.25">
      <c r="A490" s="5"/>
    </row>
    <row r="491" spans="1:1" x14ac:dyDescent="0.25">
      <c r="A491" s="5"/>
    </row>
    <row r="492" spans="1:1" x14ac:dyDescent="0.25">
      <c r="A492" s="5"/>
    </row>
    <row r="493" spans="1:1" x14ac:dyDescent="0.25">
      <c r="A493" s="5"/>
    </row>
    <row r="494" spans="1:1" x14ac:dyDescent="0.25">
      <c r="A494" s="5"/>
    </row>
    <row r="495" spans="1:1" x14ac:dyDescent="0.25">
      <c r="A495" s="5"/>
    </row>
    <row r="496" spans="1:1" x14ac:dyDescent="0.25">
      <c r="A496" s="5"/>
    </row>
    <row r="497" spans="1:1" x14ac:dyDescent="0.25">
      <c r="A497" s="5"/>
    </row>
    <row r="498" spans="1:1" x14ac:dyDescent="0.25">
      <c r="A498" s="5"/>
    </row>
    <row r="499" spans="1:1" x14ac:dyDescent="0.25">
      <c r="A499" s="5"/>
    </row>
    <row r="500" spans="1:1" x14ac:dyDescent="0.25">
      <c r="A500" s="5"/>
    </row>
    <row r="501" spans="1:1" x14ac:dyDescent="0.25">
      <c r="A501" s="5"/>
    </row>
    <row r="502" spans="1:1" x14ac:dyDescent="0.25">
      <c r="A502" s="5"/>
    </row>
    <row r="503" spans="1:1" x14ac:dyDescent="0.25">
      <c r="A503" s="5"/>
    </row>
    <row r="504" spans="1:1" x14ac:dyDescent="0.25">
      <c r="A504" s="5"/>
    </row>
    <row r="505" spans="1:1" x14ac:dyDescent="0.25">
      <c r="A505" s="5"/>
    </row>
    <row r="506" spans="1:1" x14ac:dyDescent="0.25">
      <c r="A506" s="5"/>
    </row>
    <row r="507" spans="1:1" x14ac:dyDescent="0.25">
      <c r="A507" s="5"/>
    </row>
    <row r="508" spans="1:1" x14ac:dyDescent="0.25">
      <c r="A508" s="5"/>
    </row>
    <row r="509" spans="1:1" x14ac:dyDescent="0.25">
      <c r="A509" s="5"/>
    </row>
    <row r="510" spans="1:1" x14ac:dyDescent="0.25">
      <c r="A510" s="5"/>
    </row>
    <row r="511" spans="1:1" x14ac:dyDescent="0.25">
      <c r="A511" s="5"/>
    </row>
    <row r="512" spans="1:1" x14ac:dyDescent="0.25">
      <c r="A512" s="5"/>
    </row>
    <row r="513" spans="1:1" x14ac:dyDescent="0.25">
      <c r="A513" s="5"/>
    </row>
    <row r="514" spans="1:1" x14ac:dyDescent="0.25">
      <c r="A514" s="5"/>
    </row>
    <row r="515" spans="1:1" x14ac:dyDescent="0.25">
      <c r="A515" s="5"/>
    </row>
    <row r="516" spans="1:1" x14ac:dyDescent="0.25">
      <c r="A516" s="5"/>
    </row>
    <row r="517" spans="1:1" x14ac:dyDescent="0.25">
      <c r="A517" s="5"/>
    </row>
    <row r="518" spans="1:1" x14ac:dyDescent="0.25">
      <c r="A518" s="5"/>
    </row>
    <row r="519" spans="1:1" x14ac:dyDescent="0.25">
      <c r="A519" s="5"/>
    </row>
    <row r="520" spans="1:1" x14ac:dyDescent="0.25">
      <c r="A520" s="5"/>
    </row>
    <row r="521" spans="1:1" x14ac:dyDescent="0.25">
      <c r="A521" s="5"/>
    </row>
    <row r="522" spans="1:1" x14ac:dyDescent="0.25">
      <c r="A522" s="5"/>
    </row>
    <row r="523" spans="1:1" x14ac:dyDescent="0.25">
      <c r="A523" s="5"/>
    </row>
    <row r="524" spans="1:1" x14ac:dyDescent="0.25">
      <c r="A524" s="5"/>
    </row>
    <row r="525" spans="1:1" x14ac:dyDescent="0.25">
      <c r="A525" s="5"/>
    </row>
    <row r="526" spans="1:1" x14ac:dyDescent="0.25">
      <c r="A526" s="5"/>
    </row>
    <row r="527" spans="1:1" x14ac:dyDescent="0.25">
      <c r="A527" s="5"/>
    </row>
    <row r="528" spans="1:1" x14ac:dyDescent="0.25">
      <c r="A528" s="5"/>
    </row>
    <row r="529" spans="1:1" x14ac:dyDescent="0.25">
      <c r="A529" s="5"/>
    </row>
    <row r="530" spans="1:1" x14ac:dyDescent="0.25">
      <c r="A530" s="5"/>
    </row>
    <row r="531" spans="1:1" x14ac:dyDescent="0.25">
      <c r="A531" s="5"/>
    </row>
    <row r="532" spans="1:1" x14ac:dyDescent="0.25">
      <c r="A532" s="5"/>
    </row>
    <row r="533" spans="1:1" x14ac:dyDescent="0.25">
      <c r="A533" s="5"/>
    </row>
    <row r="534" spans="1:1" x14ac:dyDescent="0.25">
      <c r="A534" s="5"/>
    </row>
    <row r="535" spans="1:1" x14ac:dyDescent="0.25">
      <c r="A535" s="5"/>
    </row>
    <row r="536" spans="1:1" x14ac:dyDescent="0.25">
      <c r="A536" s="5"/>
    </row>
    <row r="537" spans="1:1" x14ac:dyDescent="0.25">
      <c r="A537" s="5"/>
    </row>
    <row r="538" spans="1:1" x14ac:dyDescent="0.25">
      <c r="A538" s="5"/>
    </row>
    <row r="539" spans="1:1" x14ac:dyDescent="0.25">
      <c r="A539" s="5"/>
    </row>
    <row r="540" spans="1:1" x14ac:dyDescent="0.25">
      <c r="A540" s="5"/>
    </row>
    <row r="541" spans="1:1" x14ac:dyDescent="0.25">
      <c r="A541" s="5"/>
    </row>
    <row r="542" spans="1:1" x14ac:dyDescent="0.25">
      <c r="A542" s="5"/>
    </row>
    <row r="543" spans="1:1" x14ac:dyDescent="0.25">
      <c r="A543" s="5"/>
    </row>
    <row r="544" spans="1:1" x14ac:dyDescent="0.25">
      <c r="A544" s="5"/>
    </row>
    <row r="545" spans="1:1" x14ac:dyDescent="0.25">
      <c r="A545" s="5"/>
    </row>
    <row r="546" spans="1:1" x14ac:dyDescent="0.25">
      <c r="A546" s="5"/>
    </row>
    <row r="547" spans="1:1" x14ac:dyDescent="0.25">
      <c r="A547" s="5"/>
    </row>
    <row r="548" spans="1:1" x14ac:dyDescent="0.25">
      <c r="A548" s="5"/>
    </row>
    <row r="549" spans="1:1" x14ac:dyDescent="0.25">
      <c r="A549" s="5"/>
    </row>
    <row r="550" spans="1:1" x14ac:dyDescent="0.25">
      <c r="A550" s="5"/>
    </row>
    <row r="551" spans="1:1" x14ac:dyDescent="0.25">
      <c r="A551" s="5"/>
    </row>
    <row r="552" spans="1:1" x14ac:dyDescent="0.25">
      <c r="A552" s="5"/>
    </row>
    <row r="553" spans="1:1" x14ac:dyDescent="0.25">
      <c r="A553" s="5"/>
    </row>
    <row r="554" spans="1:1" x14ac:dyDescent="0.25">
      <c r="A554" s="5"/>
    </row>
    <row r="555" spans="1:1" x14ac:dyDescent="0.25">
      <c r="A555" s="5"/>
    </row>
    <row r="556" spans="1:1" x14ac:dyDescent="0.25">
      <c r="A556" s="5"/>
    </row>
    <row r="557" spans="1:1" x14ac:dyDescent="0.25">
      <c r="A557" s="5"/>
    </row>
    <row r="558" spans="1:1" x14ac:dyDescent="0.25">
      <c r="A558" s="5"/>
    </row>
    <row r="559" spans="1:1" x14ac:dyDescent="0.25">
      <c r="A559" s="5"/>
    </row>
    <row r="560" spans="1:1" x14ac:dyDescent="0.25">
      <c r="A560" s="5"/>
    </row>
    <row r="561" spans="1:1" x14ac:dyDescent="0.25">
      <c r="A561" s="5"/>
    </row>
    <row r="562" spans="1:1" x14ac:dyDescent="0.25">
      <c r="A562" s="5"/>
    </row>
    <row r="563" spans="1:1" x14ac:dyDescent="0.25">
      <c r="A563" s="5"/>
    </row>
    <row r="564" spans="1:1" x14ac:dyDescent="0.25">
      <c r="A564" s="5"/>
    </row>
    <row r="565" spans="1:1" x14ac:dyDescent="0.25">
      <c r="A565" s="5"/>
    </row>
    <row r="566" spans="1:1" x14ac:dyDescent="0.25">
      <c r="A566" s="5"/>
    </row>
    <row r="567" spans="1:1" x14ac:dyDescent="0.25">
      <c r="A567" s="5"/>
    </row>
    <row r="568" spans="1:1" x14ac:dyDescent="0.25">
      <c r="A568" s="5"/>
    </row>
    <row r="569" spans="1:1" x14ac:dyDescent="0.25">
      <c r="A569" s="5"/>
    </row>
    <row r="570" spans="1:1" x14ac:dyDescent="0.25">
      <c r="A570" s="5"/>
    </row>
    <row r="571" spans="1:1" x14ac:dyDescent="0.25">
      <c r="A571" s="5"/>
    </row>
    <row r="572" spans="1:1" x14ac:dyDescent="0.25">
      <c r="A572" s="5"/>
    </row>
    <row r="573" spans="1:1" x14ac:dyDescent="0.25">
      <c r="A573" s="5"/>
    </row>
    <row r="574" spans="1:1" x14ac:dyDescent="0.25">
      <c r="A574" s="5"/>
    </row>
    <row r="575" spans="1:1" x14ac:dyDescent="0.25">
      <c r="A575" s="5"/>
    </row>
    <row r="576" spans="1:1" x14ac:dyDescent="0.25">
      <c r="A576" s="5"/>
    </row>
    <row r="577" spans="1:1" x14ac:dyDescent="0.25">
      <c r="A577" s="5"/>
    </row>
    <row r="578" spans="1:1" x14ac:dyDescent="0.25">
      <c r="A578" s="5"/>
    </row>
    <row r="579" spans="1:1" x14ac:dyDescent="0.25">
      <c r="A579" s="5"/>
    </row>
    <row r="580" spans="1:1" x14ac:dyDescent="0.25">
      <c r="A580" s="5"/>
    </row>
    <row r="581" spans="1:1" x14ac:dyDescent="0.25">
      <c r="A581" s="5"/>
    </row>
    <row r="582" spans="1:1" x14ac:dyDescent="0.25">
      <c r="A582" s="5"/>
    </row>
    <row r="583" spans="1:1" x14ac:dyDescent="0.25">
      <c r="A583" s="5"/>
    </row>
    <row r="584" spans="1:1" x14ac:dyDescent="0.25">
      <c r="A584" s="5"/>
    </row>
    <row r="585" spans="1:1" x14ac:dyDescent="0.25">
      <c r="A585" s="5"/>
    </row>
    <row r="586" spans="1:1" x14ac:dyDescent="0.25">
      <c r="A586" s="5"/>
    </row>
    <row r="587" spans="1:1" x14ac:dyDescent="0.25">
      <c r="A587" s="5"/>
    </row>
    <row r="588" spans="1:1" x14ac:dyDescent="0.25">
      <c r="A588" s="5"/>
    </row>
    <row r="589" spans="1:1" x14ac:dyDescent="0.25">
      <c r="A589" s="5"/>
    </row>
    <row r="590" spans="1:1" x14ac:dyDescent="0.25">
      <c r="A590" s="5"/>
    </row>
    <row r="591" spans="1:1" x14ac:dyDescent="0.25">
      <c r="A591" s="5"/>
    </row>
    <row r="592" spans="1:1" x14ac:dyDescent="0.25">
      <c r="A592" s="5"/>
    </row>
    <row r="593" spans="1:1" x14ac:dyDescent="0.25">
      <c r="A593" s="5"/>
    </row>
    <row r="594" spans="1:1" x14ac:dyDescent="0.25">
      <c r="A594" s="5"/>
    </row>
    <row r="595" spans="1:1" x14ac:dyDescent="0.25">
      <c r="A595" s="5"/>
    </row>
    <row r="596" spans="1:1" x14ac:dyDescent="0.25">
      <c r="A596" s="5"/>
    </row>
    <row r="597" spans="1:1" x14ac:dyDescent="0.25">
      <c r="A597" s="5"/>
    </row>
    <row r="598" spans="1:1" x14ac:dyDescent="0.25">
      <c r="A598" s="5"/>
    </row>
    <row r="599" spans="1:1" x14ac:dyDescent="0.25">
      <c r="A599" s="5"/>
    </row>
    <row r="600" spans="1:1" x14ac:dyDescent="0.25">
      <c r="A600" s="5"/>
    </row>
    <row r="601" spans="1:1" x14ac:dyDescent="0.25">
      <c r="A601" s="5"/>
    </row>
    <row r="602" spans="1:1" x14ac:dyDescent="0.25">
      <c r="A602" s="5"/>
    </row>
    <row r="603" spans="1:1" x14ac:dyDescent="0.25">
      <c r="A603" s="5"/>
    </row>
    <row r="604" spans="1:1" x14ac:dyDescent="0.25">
      <c r="A604" s="5"/>
    </row>
    <row r="605" spans="1:1" x14ac:dyDescent="0.25">
      <c r="A605" s="5"/>
    </row>
    <row r="606" spans="1:1" x14ac:dyDescent="0.25">
      <c r="A606" s="5"/>
    </row>
    <row r="607" spans="1:1" x14ac:dyDescent="0.25">
      <c r="A607" s="5"/>
    </row>
    <row r="608" spans="1:1" x14ac:dyDescent="0.25">
      <c r="A608" s="5"/>
    </row>
    <row r="609" spans="1:1" x14ac:dyDescent="0.25">
      <c r="A609" s="5"/>
    </row>
    <row r="610" spans="1:1" x14ac:dyDescent="0.25">
      <c r="A610" s="5"/>
    </row>
    <row r="611" spans="1:1" x14ac:dyDescent="0.25">
      <c r="A611" s="5"/>
    </row>
    <row r="612" spans="1:1" x14ac:dyDescent="0.25">
      <c r="A612" s="5"/>
    </row>
    <row r="613" spans="1:1" x14ac:dyDescent="0.25">
      <c r="A613" s="5"/>
    </row>
    <row r="614" spans="1:1" x14ac:dyDescent="0.25">
      <c r="A614" s="5"/>
    </row>
    <row r="615" spans="1:1" x14ac:dyDescent="0.25">
      <c r="A615" s="5"/>
    </row>
    <row r="616" spans="1:1" x14ac:dyDescent="0.25">
      <c r="A616" s="5"/>
    </row>
    <row r="617" spans="1:1" x14ac:dyDescent="0.25">
      <c r="A617" s="5"/>
    </row>
    <row r="618" spans="1:1" x14ac:dyDescent="0.25">
      <c r="A618" s="5"/>
    </row>
    <row r="619" spans="1:1" x14ac:dyDescent="0.25">
      <c r="A619" s="5"/>
    </row>
    <row r="620" spans="1:1" x14ac:dyDescent="0.25">
      <c r="A620" s="5"/>
    </row>
    <row r="621" spans="1:1" x14ac:dyDescent="0.25">
      <c r="A621" s="5"/>
    </row>
    <row r="622" spans="1:1" x14ac:dyDescent="0.25">
      <c r="A622" s="5"/>
    </row>
    <row r="623" spans="1:1" x14ac:dyDescent="0.25">
      <c r="A623" s="5"/>
    </row>
    <row r="624" spans="1:1" x14ac:dyDescent="0.25">
      <c r="A624" s="5"/>
    </row>
    <row r="625" spans="1:1" x14ac:dyDescent="0.25">
      <c r="A625" s="5"/>
    </row>
    <row r="626" spans="1:1" x14ac:dyDescent="0.25">
      <c r="A626" s="5"/>
    </row>
    <row r="627" spans="1:1" x14ac:dyDescent="0.25">
      <c r="A627" s="5"/>
    </row>
    <row r="628" spans="1:1" x14ac:dyDescent="0.25">
      <c r="A628" s="5"/>
    </row>
    <row r="629" spans="1:1" x14ac:dyDescent="0.25">
      <c r="A629" s="5"/>
    </row>
    <row r="630" spans="1:1" x14ac:dyDescent="0.25">
      <c r="A630" s="5"/>
    </row>
    <row r="631" spans="1:1" x14ac:dyDescent="0.25">
      <c r="A631" s="5"/>
    </row>
    <row r="632" spans="1:1" x14ac:dyDescent="0.25">
      <c r="A632" s="5"/>
    </row>
    <row r="633" spans="1:1" x14ac:dyDescent="0.25">
      <c r="A633" s="5"/>
    </row>
    <row r="634" spans="1:1" x14ac:dyDescent="0.25">
      <c r="A634" s="5"/>
    </row>
    <row r="635" spans="1:1" x14ac:dyDescent="0.25">
      <c r="A635" s="5"/>
    </row>
    <row r="636" spans="1:1" x14ac:dyDescent="0.25">
      <c r="A636" s="5"/>
    </row>
    <row r="637" spans="1:1" x14ac:dyDescent="0.25">
      <c r="A637" s="5"/>
    </row>
    <row r="638" spans="1:1" x14ac:dyDescent="0.25">
      <c r="A638" s="5"/>
    </row>
    <row r="639" spans="1:1" x14ac:dyDescent="0.25">
      <c r="A639" s="5"/>
    </row>
    <row r="640" spans="1:1" x14ac:dyDescent="0.25">
      <c r="A640" s="5"/>
    </row>
    <row r="641" spans="1:1" x14ac:dyDescent="0.25">
      <c r="A641" s="5"/>
    </row>
    <row r="642" spans="1:1" x14ac:dyDescent="0.25">
      <c r="A642" s="5"/>
    </row>
    <row r="643" spans="1:1" x14ac:dyDescent="0.25">
      <c r="A643" s="5"/>
    </row>
    <row r="644" spans="1:1" x14ac:dyDescent="0.25">
      <c r="A644" s="5"/>
    </row>
    <row r="645" spans="1:1" x14ac:dyDescent="0.25">
      <c r="A645" s="5"/>
    </row>
    <row r="646" spans="1:1" x14ac:dyDescent="0.25">
      <c r="A646" s="5"/>
    </row>
    <row r="647" spans="1:1" x14ac:dyDescent="0.25">
      <c r="A647" s="5"/>
    </row>
    <row r="648" spans="1:1" x14ac:dyDescent="0.25">
      <c r="A648" s="5"/>
    </row>
    <row r="649" spans="1:1" x14ac:dyDescent="0.25">
      <c r="A649" s="5"/>
    </row>
    <row r="650" spans="1:1" x14ac:dyDescent="0.25">
      <c r="A650" s="5"/>
    </row>
    <row r="651" spans="1:1" x14ac:dyDescent="0.25">
      <c r="A651" s="5"/>
    </row>
    <row r="652" spans="1:1" x14ac:dyDescent="0.25">
      <c r="A652" s="5"/>
    </row>
    <row r="653" spans="1:1" x14ac:dyDescent="0.25">
      <c r="A653" s="5"/>
    </row>
    <row r="654" spans="1:1" x14ac:dyDescent="0.25">
      <c r="A654" s="5"/>
    </row>
    <row r="655" spans="1:1" x14ac:dyDescent="0.25">
      <c r="A655" s="5"/>
    </row>
    <row r="656" spans="1:1" x14ac:dyDescent="0.25">
      <c r="A656" s="5"/>
    </row>
    <row r="657" spans="1:1" x14ac:dyDescent="0.25">
      <c r="A657" s="5"/>
    </row>
    <row r="658" spans="1:1" x14ac:dyDescent="0.25">
      <c r="A658" s="5"/>
    </row>
    <row r="659" spans="1:1" x14ac:dyDescent="0.25">
      <c r="A659" s="5"/>
    </row>
    <row r="660" spans="1:1" x14ac:dyDescent="0.25">
      <c r="A660" s="5"/>
    </row>
    <row r="661" spans="1:1" x14ac:dyDescent="0.25">
      <c r="A661" s="5"/>
    </row>
    <row r="662" spans="1:1" x14ac:dyDescent="0.25">
      <c r="A662" s="5"/>
    </row>
    <row r="663" spans="1:1" x14ac:dyDescent="0.25">
      <c r="A663" s="5"/>
    </row>
    <row r="664" spans="1:1" x14ac:dyDescent="0.25">
      <c r="A664" s="5"/>
    </row>
    <row r="665" spans="1:1" x14ac:dyDescent="0.25">
      <c r="A665" s="5"/>
    </row>
    <row r="666" spans="1:1" x14ac:dyDescent="0.25">
      <c r="A666" s="5"/>
    </row>
    <row r="667" spans="1:1" x14ac:dyDescent="0.25">
      <c r="A667" s="5"/>
    </row>
    <row r="668" spans="1:1" x14ac:dyDescent="0.25">
      <c r="A668" s="5"/>
    </row>
    <row r="669" spans="1:1" x14ac:dyDescent="0.25">
      <c r="A669" s="5"/>
    </row>
    <row r="670" spans="1:1" x14ac:dyDescent="0.25">
      <c r="A670" s="5"/>
    </row>
    <row r="671" spans="1:1" x14ac:dyDescent="0.25">
      <c r="A671" s="5"/>
    </row>
    <row r="672" spans="1:1" x14ac:dyDescent="0.25">
      <c r="A672" s="5"/>
    </row>
    <row r="673" spans="1:1" x14ac:dyDescent="0.25">
      <c r="A673" s="5"/>
    </row>
    <row r="674" spans="1:1" x14ac:dyDescent="0.25">
      <c r="A674" s="5"/>
    </row>
    <row r="675" spans="1:1" x14ac:dyDescent="0.25">
      <c r="A675" s="5"/>
    </row>
    <row r="676" spans="1:1" x14ac:dyDescent="0.25">
      <c r="A676" s="5"/>
    </row>
    <row r="677" spans="1:1" x14ac:dyDescent="0.25">
      <c r="A677" s="5"/>
    </row>
    <row r="678" spans="1:1" x14ac:dyDescent="0.25">
      <c r="A678" s="5"/>
    </row>
    <row r="679" spans="1:1" x14ac:dyDescent="0.25">
      <c r="A679" s="5"/>
    </row>
    <row r="680" spans="1:1" x14ac:dyDescent="0.25">
      <c r="A680" s="5"/>
    </row>
    <row r="681" spans="1:1" x14ac:dyDescent="0.25">
      <c r="A681" s="5"/>
    </row>
    <row r="682" spans="1:1" x14ac:dyDescent="0.25">
      <c r="A682" s="5"/>
    </row>
    <row r="683" spans="1:1" x14ac:dyDescent="0.25">
      <c r="A683" s="5"/>
    </row>
    <row r="684" spans="1:1" x14ac:dyDescent="0.25">
      <c r="A684" s="5"/>
    </row>
    <row r="685" spans="1:1" x14ac:dyDescent="0.25">
      <c r="A685" s="5"/>
    </row>
    <row r="686" spans="1:1" x14ac:dyDescent="0.25">
      <c r="A686" s="5"/>
    </row>
    <row r="687" spans="1:1" x14ac:dyDescent="0.25">
      <c r="A687" s="5"/>
    </row>
    <row r="688" spans="1:1" x14ac:dyDescent="0.25">
      <c r="A688" s="5"/>
    </row>
    <row r="689" spans="1:1" x14ac:dyDescent="0.25">
      <c r="A689" s="5"/>
    </row>
    <row r="690" spans="1:1" x14ac:dyDescent="0.25">
      <c r="A690" s="5"/>
    </row>
    <row r="691" spans="1:1" x14ac:dyDescent="0.25">
      <c r="A691" s="5"/>
    </row>
    <row r="692" spans="1:1" x14ac:dyDescent="0.25">
      <c r="A692" s="5"/>
    </row>
    <row r="693" spans="1:1" x14ac:dyDescent="0.25">
      <c r="A693" s="5"/>
    </row>
    <row r="694" spans="1:1" x14ac:dyDescent="0.25">
      <c r="A694" s="5"/>
    </row>
    <row r="695" spans="1:1" x14ac:dyDescent="0.25">
      <c r="A695" s="5"/>
    </row>
    <row r="696" spans="1:1" x14ac:dyDescent="0.25">
      <c r="A696" s="5"/>
    </row>
    <row r="697" spans="1:1" x14ac:dyDescent="0.25">
      <c r="A697" s="5"/>
    </row>
    <row r="698" spans="1:1" x14ac:dyDescent="0.25">
      <c r="A698" s="5"/>
    </row>
    <row r="699" spans="1:1" x14ac:dyDescent="0.25">
      <c r="A699" s="5"/>
    </row>
    <row r="700" spans="1:1" x14ac:dyDescent="0.25">
      <c r="A700" s="5"/>
    </row>
    <row r="701" spans="1:1" x14ac:dyDescent="0.25">
      <c r="A701" s="5"/>
    </row>
    <row r="702" spans="1:1" x14ac:dyDescent="0.25">
      <c r="A702" s="5"/>
    </row>
    <row r="703" spans="1:1" x14ac:dyDescent="0.25">
      <c r="A703" s="5"/>
    </row>
    <row r="704" spans="1:1" x14ac:dyDescent="0.25">
      <c r="A704" s="5"/>
    </row>
    <row r="705" spans="1:1" x14ac:dyDescent="0.25">
      <c r="A705" s="5"/>
    </row>
    <row r="706" spans="1:1" x14ac:dyDescent="0.25">
      <c r="A706" s="5"/>
    </row>
    <row r="707" spans="1:1" x14ac:dyDescent="0.25">
      <c r="A707" s="5"/>
    </row>
    <row r="708" spans="1:1" x14ac:dyDescent="0.25">
      <c r="A708" s="5"/>
    </row>
    <row r="709" spans="1:1" x14ac:dyDescent="0.25">
      <c r="A709" s="5"/>
    </row>
    <row r="710" spans="1:1" x14ac:dyDescent="0.25">
      <c r="A710" s="5"/>
    </row>
    <row r="711" spans="1:1" x14ac:dyDescent="0.25">
      <c r="A711" s="5"/>
    </row>
    <row r="712" spans="1:1" x14ac:dyDescent="0.25">
      <c r="A712" s="5"/>
    </row>
    <row r="713" spans="1:1" x14ac:dyDescent="0.25">
      <c r="A713" s="5"/>
    </row>
    <row r="714" spans="1:1" x14ac:dyDescent="0.25">
      <c r="A714" s="5"/>
    </row>
    <row r="715" spans="1:1" x14ac:dyDescent="0.25">
      <c r="A715" s="5"/>
    </row>
    <row r="716" spans="1:1" x14ac:dyDescent="0.25">
      <c r="A716" s="5"/>
    </row>
    <row r="717" spans="1:1" x14ac:dyDescent="0.25">
      <c r="A717" s="5"/>
    </row>
    <row r="718" spans="1:1" x14ac:dyDescent="0.25">
      <c r="A718" s="5"/>
    </row>
    <row r="719" spans="1:1" x14ac:dyDescent="0.25">
      <c r="A719" s="5"/>
    </row>
    <row r="720" spans="1:1" x14ac:dyDescent="0.25">
      <c r="A720" s="5"/>
    </row>
    <row r="721" spans="1:1" x14ac:dyDescent="0.25">
      <c r="A721" s="5"/>
    </row>
    <row r="722" spans="1:1" x14ac:dyDescent="0.25">
      <c r="A722" s="5"/>
    </row>
    <row r="723" spans="1:1" x14ac:dyDescent="0.25">
      <c r="A723" s="5"/>
    </row>
    <row r="724" spans="1:1" x14ac:dyDescent="0.25">
      <c r="A724" s="5"/>
    </row>
    <row r="725" spans="1:1" x14ac:dyDescent="0.25">
      <c r="A725" s="5"/>
    </row>
    <row r="726" spans="1:1" x14ac:dyDescent="0.25">
      <c r="A726" s="5"/>
    </row>
    <row r="727" spans="1:1" x14ac:dyDescent="0.25">
      <c r="A727" s="5"/>
    </row>
    <row r="728" spans="1:1" x14ac:dyDescent="0.25">
      <c r="A728" s="5"/>
    </row>
    <row r="729" spans="1:1" x14ac:dyDescent="0.25">
      <c r="A729" s="5"/>
    </row>
    <row r="730" spans="1:1" x14ac:dyDescent="0.25">
      <c r="A730" s="5"/>
    </row>
    <row r="731" spans="1:1" x14ac:dyDescent="0.25">
      <c r="A731" s="5"/>
    </row>
    <row r="732" spans="1:1" x14ac:dyDescent="0.25">
      <c r="A732" s="5"/>
    </row>
    <row r="733" spans="1:1" x14ac:dyDescent="0.25">
      <c r="A733" s="5"/>
    </row>
    <row r="734" spans="1:1" x14ac:dyDescent="0.25">
      <c r="A734" s="5"/>
    </row>
    <row r="735" spans="1:1" x14ac:dyDescent="0.25">
      <c r="A735" s="5"/>
    </row>
    <row r="736" spans="1:1" x14ac:dyDescent="0.25">
      <c r="A736" s="5"/>
    </row>
    <row r="737" spans="1:1" x14ac:dyDescent="0.25">
      <c r="A737" s="5"/>
    </row>
    <row r="738" spans="1:1" x14ac:dyDescent="0.25">
      <c r="A738" s="5"/>
    </row>
    <row r="739" spans="1:1" x14ac:dyDescent="0.25">
      <c r="A739" s="5"/>
    </row>
    <row r="740" spans="1:1" x14ac:dyDescent="0.25">
      <c r="A740" s="5"/>
    </row>
    <row r="741" spans="1:1" x14ac:dyDescent="0.25">
      <c r="A741" s="5"/>
    </row>
    <row r="742" spans="1:1" x14ac:dyDescent="0.25">
      <c r="A742" s="5"/>
    </row>
    <row r="743" spans="1:1" x14ac:dyDescent="0.25">
      <c r="A743" s="5"/>
    </row>
    <row r="744" spans="1:1" x14ac:dyDescent="0.25">
      <c r="A744" s="5"/>
    </row>
    <row r="745" spans="1:1" x14ac:dyDescent="0.25">
      <c r="A745" s="5"/>
    </row>
    <row r="746" spans="1:1" x14ac:dyDescent="0.25">
      <c r="A746" s="5"/>
    </row>
    <row r="747" spans="1:1" x14ac:dyDescent="0.25">
      <c r="A747" s="5"/>
    </row>
    <row r="748" spans="1:1" x14ac:dyDescent="0.25">
      <c r="A748" s="5"/>
    </row>
    <row r="749" spans="1:1" x14ac:dyDescent="0.25">
      <c r="A749" s="5"/>
    </row>
    <row r="750" spans="1:1" x14ac:dyDescent="0.25">
      <c r="A750" s="5"/>
    </row>
    <row r="751" spans="1:1" x14ac:dyDescent="0.25">
      <c r="A751" s="5"/>
    </row>
    <row r="752" spans="1:1" x14ac:dyDescent="0.25">
      <c r="A752" s="5"/>
    </row>
    <row r="753" spans="1:1" x14ac:dyDescent="0.25">
      <c r="A753" s="5"/>
    </row>
    <row r="754" spans="1:1" x14ac:dyDescent="0.25">
      <c r="A754" s="5"/>
    </row>
    <row r="755" spans="1:1" x14ac:dyDescent="0.25">
      <c r="A755" s="5"/>
    </row>
    <row r="756" spans="1:1" x14ac:dyDescent="0.25">
      <c r="A756" s="5"/>
    </row>
    <row r="757" spans="1:1" x14ac:dyDescent="0.25">
      <c r="A757" s="5"/>
    </row>
    <row r="758" spans="1:1" x14ac:dyDescent="0.25">
      <c r="A758" s="5"/>
    </row>
    <row r="759" spans="1:1" x14ac:dyDescent="0.25">
      <c r="A759" s="5"/>
    </row>
    <row r="760" spans="1:1" x14ac:dyDescent="0.25">
      <c r="A760" s="5"/>
    </row>
    <row r="761" spans="1:1" x14ac:dyDescent="0.25">
      <c r="A761" s="5"/>
    </row>
    <row r="762" spans="1:1" x14ac:dyDescent="0.25">
      <c r="A762" s="5"/>
    </row>
    <row r="763" spans="1:1" x14ac:dyDescent="0.25">
      <c r="A763" s="5"/>
    </row>
    <row r="764" spans="1:1" x14ac:dyDescent="0.25">
      <c r="A764" s="5"/>
    </row>
    <row r="765" spans="1:1" x14ac:dyDescent="0.25">
      <c r="A765" s="5"/>
    </row>
    <row r="766" spans="1:1" x14ac:dyDescent="0.25">
      <c r="A766" s="5"/>
    </row>
    <row r="767" spans="1:1" x14ac:dyDescent="0.25">
      <c r="A767" s="5"/>
    </row>
    <row r="768" spans="1:1" x14ac:dyDescent="0.25">
      <c r="A768" s="5"/>
    </row>
    <row r="769" spans="1:1" x14ac:dyDescent="0.25">
      <c r="A769" s="5"/>
    </row>
    <row r="770" spans="1:1" x14ac:dyDescent="0.25">
      <c r="A770" s="5"/>
    </row>
    <row r="771" spans="1:1" x14ac:dyDescent="0.25">
      <c r="A771" s="5"/>
    </row>
    <row r="772" spans="1:1" x14ac:dyDescent="0.25">
      <c r="A772" s="5"/>
    </row>
    <row r="773" spans="1:1" x14ac:dyDescent="0.25">
      <c r="A773" s="5"/>
    </row>
    <row r="774" spans="1:1" x14ac:dyDescent="0.25">
      <c r="A774" s="5"/>
    </row>
    <row r="775" spans="1:1" x14ac:dyDescent="0.25">
      <c r="A775" s="5"/>
    </row>
    <row r="776" spans="1:1" x14ac:dyDescent="0.25">
      <c r="A776" s="5"/>
    </row>
    <row r="777" spans="1:1" x14ac:dyDescent="0.25">
      <c r="A777" s="5"/>
    </row>
    <row r="778" spans="1:1" x14ac:dyDescent="0.25">
      <c r="A778" s="5"/>
    </row>
    <row r="779" spans="1:1" x14ac:dyDescent="0.25">
      <c r="A779" s="5"/>
    </row>
    <row r="780" spans="1:1" x14ac:dyDescent="0.25">
      <c r="A780" s="5"/>
    </row>
    <row r="781" spans="1:1" x14ac:dyDescent="0.25">
      <c r="A781" s="5"/>
    </row>
    <row r="782" spans="1:1" x14ac:dyDescent="0.25">
      <c r="A782" s="5"/>
    </row>
    <row r="783" spans="1:1" x14ac:dyDescent="0.25">
      <c r="A783" s="5"/>
    </row>
    <row r="784" spans="1:1" x14ac:dyDescent="0.25">
      <c r="A784" s="5"/>
    </row>
    <row r="785" spans="1:1" x14ac:dyDescent="0.25">
      <c r="A785" s="5"/>
    </row>
    <row r="786" spans="1:1" x14ac:dyDescent="0.25">
      <c r="A786" s="5"/>
    </row>
    <row r="787" spans="1:1" x14ac:dyDescent="0.25">
      <c r="A787" s="5"/>
    </row>
    <row r="788" spans="1:1" x14ac:dyDescent="0.25">
      <c r="A788" s="5"/>
    </row>
    <row r="789" spans="1:1" x14ac:dyDescent="0.25">
      <c r="A789" s="5"/>
    </row>
    <row r="790" spans="1:1" x14ac:dyDescent="0.25">
      <c r="A790" s="5"/>
    </row>
    <row r="791" spans="1:1" x14ac:dyDescent="0.25">
      <c r="A791" s="5"/>
    </row>
    <row r="792" spans="1:1" x14ac:dyDescent="0.25">
      <c r="A792" s="5"/>
    </row>
    <row r="793" spans="1:1" x14ac:dyDescent="0.25">
      <c r="A793" s="5"/>
    </row>
    <row r="794" spans="1:1" x14ac:dyDescent="0.25">
      <c r="A794" s="5"/>
    </row>
    <row r="795" spans="1:1" x14ac:dyDescent="0.25">
      <c r="A795" s="5"/>
    </row>
    <row r="796" spans="1:1" x14ac:dyDescent="0.25">
      <c r="A796" s="5"/>
    </row>
    <row r="797" spans="1:1" x14ac:dyDescent="0.25">
      <c r="A797" s="5"/>
    </row>
    <row r="798" spans="1:1" x14ac:dyDescent="0.25">
      <c r="A798" s="5"/>
    </row>
    <row r="799" spans="1:1" x14ac:dyDescent="0.25">
      <c r="A799" s="5"/>
    </row>
    <row r="800" spans="1:1" x14ac:dyDescent="0.25">
      <c r="A800" s="5"/>
    </row>
    <row r="801" spans="1:1" x14ac:dyDescent="0.25">
      <c r="A801" s="5"/>
    </row>
    <row r="802" spans="1:1" x14ac:dyDescent="0.25">
      <c r="A802" s="5"/>
    </row>
    <row r="803" spans="1:1" x14ac:dyDescent="0.25">
      <c r="A803" s="5"/>
    </row>
    <row r="804" spans="1:1" x14ac:dyDescent="0.25">
      <c r="A804" s="5"/>
    </row>
    <row r="805" spans="1:1" x14ac:dyDescent="0.25">
      <c r="A805" s="5"/>
    </row>
    <row r="806" spans="1:1" x14ac:dyDescent="0.25">
      <c r="A806" s="5"/>
    </row>
    <row r="807" spans="1:1" x14ac:dyDescent="0.25">
      <c r="A807" s="5"/>
    </row>
    <row r="808" spans="1:1" x14ac:dyDescent="0.25">
      <c r="A808" s="5"/>
    </row>
    <row r="809" spans="1:1" x14ac:dyDescent="0.25">
      <c r="A809" s="5"/>
    </row>
    <row r="810" spans="1:1" x14ac:dyDescent="0.25">
      <c r="A810" s="5"/>
    </row>
    <row r="811" spans="1:1" x14ac:dyDescent="0.25">
      <c r="A811" s="5"/>
    </row>
    <row r="812" spans="1:1" x14ac:dyDescent="0.25">
      <c r="A812" s="5"/>
    </row>
    <row r="813" spans="1:1" x14ac:dyDescent="0.25">
      <c r="A813" s="5"/>
    </row>
    <row r="814" spans="1:1" x14ac:dyDescent="0.25">
      <c r="A814" s="5"/>
    </row>
    <row r="815" spans="1:1" x14ac:dyDescent="0.25">
      <c r="A815" s="5"/>
    </row>
    <row r="816" spans="1:1" x14ac:dyDescent="0.25">
      <c r="A816" s="5"/>
    </row>
    <row r="817" spans="1:1" x14ac:dyDescent="0.25">
      <c r="A817" s="5"/>
    </row>
    <row r="818" spans="1:1" x14ac:dyDescent="0.25">
      <c r="A818" s="5"/>
    </row>
    <row r="819" spans="1:1" x14ac:dyDescent="0.25">
      <c r="A819" s="5"/>
    </row>
    <row r="820" spans="1:1" x14ac:dyDescent="0.25">
      <c r="A820" s="5"/>
    </row>
    <row r="821" spans="1:1" x14ac:dyDescent="0.25">
      <c r="A821" s="5"/>
    </row>
    <row r="822" spans="1:1" x14ac:dyDescent="0.25">
      <c r="A822" s="5"/>
    </row>
    <row r="823" spans="1:1" x14ac:dyDescent="0.25">
      <c r="A823" s="5"/>
    </row>
    <row r="824" spans="1:1" x14ac:dyDescent="0.25">
      <c r="A824" s="5"/>
    </row>
    <row r="825" spans="1:1" x14ac:dyDescent="0.25">
      <c r="A825" s="5"/>
    </row>
    <row r="826" spans="1:1" x14ac:dyDescent="0.25">
      <c r="A826" s="5"/>
    </row>
    <row r="827" spans="1:1" x14ac:dyDescent="0.25">
      <c r="A827" s="5"/>
    </row>
    <row r="828" spans="1:1" x14ac:dyDescent="0.25">
      <c r="A828" s="5"/>
    </row>
    <row r="829" spans="1:1" x14ac:dyDescent="0.25">
      <c r="A829" s="5"/>
    </row>
    <row r="830" spans="1:1" x14ac:dyDescent="0.25">
      <c r="A830" s="5"/>
    </row>
    <row r="831" spans="1:1" x14ac:dyDescent="0.25">
      <c r="A831" s="5"/>
    </row>
    <row r="832" spans="1:1" x14ac:dyDescent="0.25">
      <c r="A832" s="5"/>
    </row>
    <row r="833" spans="1:1" x14ac:dyDescent="0.25">
      <c r="A833" s="5"/>
    </row>
    <row r="834" spans="1:1" x14ac:dyDescent="0.25">
      <c r="A834" s="5"/>
    </row>
    <row r="835" spans="1:1" x14ac:dyDescent="0.25">
      <c r="A835" s="5"/>
    </row>
    <row r="836" spans="1:1" x14ac:dyDescent="0.25">
      <c r="A836" s="5"/>
    </row>
    <row r="837" spans="1:1" x14ac:dyDescent="0.25">
      <c r="A837" s="5"/>
    </row>
    <row r="838" spans="1:1" x14ac:dyDescent="0.25">
      <c r="A838" s="5"/>
    </row>
    <row r="839" spans="1:1" x14ac:dyDescent="0.25">
      <c r="A839" s="5"/>
    </row>
    <row r="840" spans="1:1" x14ac:dyDescent="0.25">
      <c r="A840" s="5"/>
    </row>
    <row r="841" spans="1:1" x14ac:dyDescent="0.25">
      <c r="A841" s="5"/>
    </row>
    <row r="842" spans="1:1" x14ac:dyDescent="0.25">
      <c r="A842" s="5"/>
    </row>
    <row r="843" spans="1:1" x14ac:dyDescent="0.25">
      <c r="A843" s="5"/>
    </row>
    <row r="844" spans="1:1" x14ac:dyDescent="0.25">
      <c r="A844" s="5"/>
    </row>
    <row r="845" spans="1:1" x14ac:dyDescent="0.25">
      <c r="A845" s="5"/>
    </row>
    <row r="846" spans="1:1" x14ac:dyDescent="0.25">
      <c r="A846" s="5"/>
    </row>
    <row r="847" spans="1:1" x14ac:dyDescent="0.25">
      <c r="A847" s="5"/>
    </row>
    <row r="848" spans="1:1" x14ac:dyDescent="0.25">
      <c r="A848" s="5"/>
    </row>
    <row r="849" spans="1:1" x14ac:dyDescent="0.25">
      <c r="A849" s="5"/>
    </row>
    <row r="850" spans="1:1" x14ac:dyDescent="0.25">
      <c r="A850" s="5"/>
    </row>
    <row r="851" spans="1:1" x14ac:dyDescent="0.25">
      <c r="A851" s="5"/>
    </row>
    <row r="852" spans="1:1" x14ac:dyDescent="0.25">
      <c r="A852" s="5"/>
    </row>
    <row r="853" spans="1:1" x14ac:dyDescent="0.25">
      <c r="A853" s="5"/>
    </row>
    <row r="854" spans="1:1" x14ac:dyDescent="0.25">
      <c r="A854" s="5"/>
    </row>
    <row r="855" spans="1:1" x14ac:dyDescent="0.25">
      <c r="A855" s="5"/>
    </row>
    <row r="856" spans="1:1" x14ac:dyDescent="0.25">
      <c r="A856" s="5"/>
    </row>
    <row r="857" spans="1:1" x14ac:dyDescent="0.25">
      <c r="A857" s="5"/>
    </row>
    <row r="858" spans="1:1" x14ac:dyDescent="0.25">
      <c r="A858" s="5"/>
    </row>
    <row r="859" spans="1:1" x14ac:dyDescent="0.25">
      <c r="A859" s="5"/>
    </row>
    <row r="860" spans="1:1" x14ac:dyDescent="0.25">
      <c r="A860" s="5"/>
    </row>
    <row r="861" spans="1:1" x14ac:dyDescent="0.25">
      <c r="A861" s="5"/>
    </row>
    <row r="862" spans="1:1" x14ac:dyDescent="0.25">
      <c r="A862" s="5"/>
    </row>
    <row r="863" spans="1:1" x14ac:dyDescent="0.25">
      <c r="A863" s="5"/>
    </row>
    <row r="864" spans="1:1" x14ac:dyDescent="0.25">
      <c r="A864" s="5"/>
    </row>
    <row r="865" spans="1:1" x14ac:dyDescent="0.25">
      <c r="A865" s="5"/>
    </row>
    <row r="866" spans="1:1" x14ac:dyDescent="0.25">
      <c r="A866" s="5"/>
    </row>
    <row r="867" spans="1:1" x14ac:dyDescent="0.25">
      <c r="A867" s="5"/>
    </row>
    <row r="868" spans="1:1" x14ac:dyDescent="0.25">
      <c r="A868" s="5"/>
    </row>
    <row r="869" spans="1:1" x14ac:dyDescent="0.25">
      <c r="A869" s="5"/>
    </row>
    <row r="870" spans="1:1" x14ac:dyDescent="0.25">
      <c r="A870" s="5"/>
    </row>
    <row r="871" spans="1:1" x14ac:dyDescent="0.25">
      <c r="A871" s="5"/>
    </row>
    <row r="872" spans="1:1" x14ac:dyDescent="0.25">
      <c r="A872" s="5"/>
    </row>
    <row r="873" spans="1:1" x14ac:dyDescent="0.25">
      <c r="A873" s="5"/>
    </row>
    <row r="874" spans="1:1" x14ac:dyDescent="0.25">
      <c r="A874" s="5"/>
    </row>
    <row r="875" spans="1:1" x14ac:dyDescent="0.25">
      <c r="A875" s="5"/>
    </row>
    <row r="876" spans="1:1" x14ac:dyDescent="0.25">
      <c r="A876" s="5"/>
    </row>
    <row r="877" spans="1:1" x14ac:dyDescent="0.25">
      <c r="A877" s="5"/>
    </row>
    <row r="878" spans="1:1" x14ac:dyDescent="0.25">
      <c r="A878" s="5"/>
    </row>
    <row r="879" spans="1:1" x14ac:dyDescent="0.25">
      <c r="A879" s="5"/>
    </row>
    <row r="880" spans="1:1" x14ac:dyDescent="0.25">
      <c r="A880" s="5"/>
    </row>
    <row r="881" spans="1:1" x14ac:dyDescent="0.25">
      <c r="A881" s="5"/>
    </row>
    <row r="882" spans="1:1" x14ac:dyDescent="0.25">
      <c r="A882" s="5"/>
    </row>
    <row r="883" spans="1:1" x14ac:dyDescent="0.25">
      <c r="A883" s="5"/>
    </row>
    <row r="884" spans="1:1" x14ac:dyDescent="0.25">
      <c r="A884" s="5"/>
    </row>
    <row r="885" spans="1:1" x14ac:dyDescent="0.25">
      <c r="A885" s="5"/>
    </row>
    <row r="886" spans="1:1" x14ac:dyDescent="0.25">
      <c r="A886" s="5"/>
    </row>
    <row r="887" spans="1:1" x14ac:dyDescent="0.25">
      <c r="A887" s="5"/>
    </row>
    <row r="888" spans="1:1" x14ac:dyDescent="0.25">
      <c r="A888" s="5"/>
    </row>
    <row r="889" spans="1:1" x14ac:dyDescent="0.25">
      <c r="A889" s="5"/>
    </row>
    <row r="890" spans="1:1" x14ac:dyDescent="0.25">
      <c r="A890" s="5"/>
    </row>
    <row r="891" spans="1:1" x14ac:dyDescent="0.25">
      <c r="A891" s="5"/>
    </row>
    <row r="892" spans="1:1" x14ac:dyDescent="0.25">
      <c r="A892" s="5"/>
    </row>
    <row r="893" spans="1:1" x14ac:dyDescent="0.25">
      <c r="A893" s="5"/>
    </row>
    <row r="894" spans="1:1" x14ac:dyDescent="0.25">
      <c r="A894" s="5"/>
    </row>
    <row r="895" spans="1:1" x14ac:dyDescent="0.25">
      <c r="A895" s="5"/>
    </row>
    <row r="896" spans="1:1" x14ac:dyDescent="0.25">
      <c r="A896" s="5"/>
    </row>
    <row r="897" spans="1:1" x14ac:dyDescent="0.25">
      <c r="A897" s="5"/>
    </row>
    <row r="898" spans="1:1" x14ac:dyDescent="0.25">
      <c r="A898" s="5"/>
    </row>
    <row r="899" spans="1:1" x14ac:dyDescent="0.25">
      <c r="A899" s="5"/>
    </row>
    <row r="900" spans="1:1" x14ac:dyDescent="0.25">
      <c r="A900" s="5"/>
    </row>
    <row r="901" spans="1:1" x14ac:dyDescent="0.25">
      <c r="A901" s="5"/>
    </row>
    <row r="902" spans="1:1" x14ac:dyDescent="0.25">
      <c r="A902" s="5"/>
    </row>
    <row r="903" spans="1:1" x14ac:dyDescent="0.25">
      <c r="A903" s="5"/>
    </row>
    <row r="904" spans="1:1" x14ac:dyDescent="0.25">
      <c r="A904" s="5"/>
    </row>
    <row r="905" spans="1:1" x14ac:dyDescent="0.25">
      <c r="A905" s="5"/>
    </row>
    <row r="906" spans="1:1" x14ac:dyDescent="0.25">
      <c r="A906" s="5"/>
    </row>
    <row r="907" spans="1:1" x14ac:dyDescent="0.25">
      <c r="A907" s="5"/>
    </row>
    <row r="908" spans="1:1" x14ac:dyDescent="0.25">
      <c r="A908" s="5"/>
    </row>
    <row r="909" spans="1:1" x14ac:dyDescent="0.25">
      <c r="A909" s="5"/>
    </row>
    <row r="910" spans="1:1" x14ac:dyDescent="0.25">
      <c r="A910" s="5"/>
    </row>
    <row r="911" spans="1:1" x14ac:dyDescent="0.25">
      <c r="A911" s="5"/>
    </row>
    <row r="912" spans="1:1" x14ac:dyDescent="0.25">
      <c r="A912" s="5"/>
    </row>
    <row r="913" spans="1:1" x14ac:dyDescent="0.25">
      <c r="A913" s="5"/>
    </row>
    <row r="914" spans="1:1" x14ac:dyDescent="0.25">
      <c r="A914" s="5"/>
    </row>
    <row r="915" spans="1:1" x14ac:dyDescent="0.25">
      <c r="A915" s="5"/>
    </row>
    <row r="916" spans="1:1" x14ac:dyDescent="0.25">
      <c r="A916" s="5"/>
    </row>
    <row r="917" spans="1:1" x14ac:dyDescent="0.25">
      <c r="A917" s="5"/>
    </row>
    <row r="918" spans="1:1" x14ac:dyDescent="0.25">
      <c r="A918" s="5"/>
    </row>
    <row r="919" spans="1:1" x14ac:dyDescent="0.25">
      <c r="A919" s="5"/>
    </row>
    <row r="920" spans="1:1" x14ac:dyDescent="0.25">
      <c r="A920" s="5"/>
    </row>
    <row r="921" spans="1:1" x14ac:dyDescent="0.25">
      <c r="A921" s="5"/>
    </row>
    <row r="922" spans="1:1" x14ac:dyDescent="0.25">
      <c r="A922" s="5"/>
    </row>
    <row r="923" spans="1:1" x14ac:dyDescent="0.25">
      <c r="A923" s="5"/>
    </row>
    <row r="924" spans="1:1" x14ac:dyDescent="0.25">
      <c r="A924" s="5"/>
    </row>
    <row r="925" spans="1:1" x14ac:dyDescent="0.25">
      <c r="A925" s="5"/>
    </row>
    <row r="926" spans="1:1" x14ac:dyDescent="0.25">
      <c r="A926" s="5"/>
    </row>
    <row r="927" spans="1:1" x14ac:dyDescent="0.25">
      <c r="A927" s="5"/>
    </row>
    <row r="928" spans="1:1" x14ac:dyDescent="0.25">
      <c r="A928" s="5"/>
    </row>
    <row r="929" spans="1:1" x14ac:dyDescent="0.25">
      <c r="A929" s="5"/>
    </row>
    <row r="930" spans="1:1" x14ac:dyDescent="0.25">
      <c r="A930" s="5"/>
    </row>
    <row r="931" spans="1:1" x14ac:dyDescent="0.25">
      <c r="A931" s="5"/>
    </row>
    <row r="932" spans="1:1" x14ac:dyDescent="0.25">
      <c r="A932" s="5"/>
    </row>
    <row r="933" spans="1:1" x14ac:dyDescent="0.25">
      <c r="A933" s="5"/>
    </row>
    <row r="934" spans="1:1" x14ac:dyDescent="0.25">
      <c r="A934" s="5"/>
    </row>
    <row r="935" spans="1:1" x14ac:dyDescent="0.25">
      <c r="A935" s="5"/>
    </row>
    <row r="936" spans="1:1" x14ac:dyDescent="0.25">
      <c r="A936" s="5"/>
    </row>
    <row r="937" spans="1:1" x14ac:dyDescent="0.25">
      <c r="A937" s="5"/>
    </row>
    <row r="938" spans="1:1" x14ac:dyDescent="0.25">
      <c r="A938" s="5"/>
    </row>
    <row r="939" spans="1:1" x14ac:dyDescent="0.25">
      <c r="A939" s="5"/>
    </row>
    <row r="940" spans="1:1" x14ac:dyDescent="0.25">
      <c r="A940" s="5"/>
    </row>
    <row r="941" spans="1:1" x14ac:dyDescent="0.25">
      <c r="A941" s="5"/>
    </row>
    <row r="942" spans="1:1" x14ac:dyDescent="0.25">
      <c r="A942" s="5"/>
    </row>
    <row r="943" spans="1:1" x14ac:dyDescent="0.25">
      <c r="A943" s="5"/>
    </row>
    <row r="944" spans="1:1" x14ac:dyDescent="0.25">
      <c r="A944" s="5"/>
    </row>
    <row r="945" spans="1:1" x14ac:dyDescent="0.25">
      <c r="A945" s="5"/>
    </row>
    <row r="946" spans="1:1" x14ac:dyDescent="0.25">
      <c r="A946" s="5"/>
    </row>
    <row r="947" spans="1:1" x14ac:dyDescent="0.25">
      <c r="A947" s="5"/>
    </row>
    <row r="948" spans="1:1" x14ac:dyDescent="0.25">
      <c r="A948" s="5"/>
    </row>
    <row r="949" spans="1:1" x14ac:dyDescent="0.25">
      <c r="A949" s="5"/>
    </row>
    <row r="950" spans="1:1" x14ac:dyDescent="0.25">
      <c r="A950" s="5"/>
    </row>
    <row r="951" spans="1:1" x14ac:dyDescent="0.25">
      <c r="A951" s="5"/>
    </row>
    <row r="952" spans="1:1" x14ac:dyDescent="0.25">
      <c r="A952" s="5"/>
    </row>
    <row r="953" spans="1:1" x14ac:dyDescent="0.25">
      <c r="A953" s="5"/>
    </row>
    <row r="954" spans="1:1" x14ac:dyDescent="0.25">
      <c r="A954" s="5"/>
    </row>
    <row r="955" spans="1:1" x14ac:dyDescent="0.25">
      <c r="A955" s="5"/>
    </row>
    <row r="956" spans="1:1" x14ac:dyDescent="0.25">
      <c r="A956" s="5"/>
    </row>
    <row r="957" spans="1:1" x14ac:dyDescent="0.25">
      <c r="A957" s="5"/>
    </row>
    <row r="958" spans="1:1" x14ac:dyDescent="0.25">
      <c r="A958" s="5"/>
    </row>
    <row r="959" spans="1:1" x14ac:dyDescent="0.25">
      <c r="A959" s="5"/>
    </row>
    <row r="960" spans="1:1" x14ac:dyDescent="0.25">
      <c r="A960" s="5"/>
    </row>
    <row r="961" spans="1:1" x14ac:dyDescent="0.25">
      <c r="A961" s="5"/>
    </row>
    <row r="962" spans="1:1" x14ac:dyDescent="0.25">
      <c r="A962" s="5"/>
    </row>
    <row r="963" spans="1:1" x14ac:dyDescent="0.25">
      <c r="A963" s="5"/>
    </row>
    <row r="964" spans="1:1" x14ac:dyDescent="0.25">
      <c r="A964" s="5"/>
    </row>
    <row r="965" spans="1:1" x14ac:dyDescent="0.25">
      <c r="A965" s="5"/>
    </row>
    <row r="966" spans="1:1" x14ac:dyDescent="0.25">
      <c r="A966" s="5"/>
    </row>
    <row r="967" spans="1:1" x14ac:dyDescent="0.25">
      <c r="A967" s="5"/>
    </row>
    <row r="968" spans="1:1" x14ac:dyDescent="0.25">
      <c r="A968" s="5"/>
    </row>
    <row r="969" spans="1:1" x14ac:dyDescent="0.25">
      <c r="A969" s="5"/>
    </row>
    <row r="970" spans="1:1" x14ac:dyDescent="0.25">
      <c r="A970" s="5"/>
    </row>
    <row r="971" spans="1:1" x14ac:dyDescent="0.25">
      <c r="A971" s="5"/>
    </row>
    <row r="972" spans="1:1" x14ac:dyDescent="0.25">
      <c r="A972" s="5"/>
    </row>
    <row r="973" spans="1:1" x14ac:dyDescent="0.25">
      <c r="A973" s="5"/>
    </row>
    <row r="974" spans="1:1" x14ac:dyDescent="0.25">
      <c r="A974" s="5"/>
    </row>
    <row r="975" spans="1:1" x14ac:dyDescent="0.25">
      <c r="A975" s="5"/>
    </row>
    <row r="976" spans="1:1" x14ac:dyDescent="0.25">
      <c r="A976" s="5"/>
    </row>
    <row r="977" spans="1:1" x14ac:dyDescent="0.25">
      <c r="A977" s="5"/>
    </row>
    <row r="978" spans="1:1" x14ac:dyDescent="0.25">
      <c r="A978" s="5"/>
    </row>
    <row r="979" spans="1:1" x14ac:dyDescent="0.25">
      <c r="A979" s="5"/>
    </row>
    <row r="980" spans="1:1" x14ac:dyDescent="0.25">
      <c r="A980" s="5"/>
    </row>
    <row r="981" spans="1:1" x14ac:dyDescent="0.25">
      <c r="A981" s="5"/>
    </row>
    <row r="982" spans="1:1" x14ac:dyDescent="0.25">
      <c r="A982" s="5"/>
    </row>
    <row r="983" spans="1:1" x14ac:dyDescent="0.25">
      <c r="A983" s="5"/>
    </row>
    <row r="984" spans="1:1" x14ac:dyDescent="0.25">
      <c r="A984" s="5"/>
    </row>
    <row r="985" spans="1:1" x14ac:dyDescent="0.25">
      <c r="A985" s="5"/>
    </row>
    <row r="986" spans="1:1" x14ac:dyDescent="0.25">
      <c r="A986" s="5"/>
    </row>
    <row r="987" spans="1:1" x14ac:dyDescent="0.25">
      <c r="A987" s="5"/>
    </row>
    <row r="988" spans="1:1" x14ac:dyDescent="0.25">
      <c r="A988" s="5"/>
    </row>
    <row r="989" spans="1:1" x14ac:dyDescent="0.25">
      <c r="A989" s="5"/>
    </row>
    <row r="990" spans="1:1" x14ac:dyDescent="0.25">
      <c r="A990" s="5"/>
    </row>
    <row r="991" spans="1:1" x14ac:dyDescent="0.25">
      <c r="A991" s="5"/>
    </row>
    <row r="992" spans="1:1" x14ac:dyDescent="0.25">
      <c r="A992" s="5"/>
    </row>
    <row r="993" spans="1:1" x14ac:dyDescent="0.25">
      <c r="A993" s="5"/>
    </row>
    <row r="994" spans="1:1" x14ac:dyDescent="0.25">
      <c r="A994" s="5"/>
    </row>
    <row r="995" spans="1:1" x14ac:dyDescent="0.25">
      <c r="A995" s="5"/>
    </row>
    <row r="996" spans="1:1" x14ac:dyDescent="0.25">
      <c r="A996" s="5"/>
    </row>
    <row r="997" spans="1:1" x14ac:dyDescent="0.25">
      <c r="A997" s="5"/>
    </row>
    <row r="998" spans="1:1" x14ac:dyDescent="0.25">
      <c r="A998" s="5"/>
    </row>
    <row r="999" spans="1:1" x14ac:dyDescent="0.25">
      <c r="A999" s="5"/>
    </row>
    <row r="1000" spans="1:1" x14ac:dyDescent="0.25">
      <c r="A1000" s="5"/>
    </row>
    <row r="1001" spans="1:1" x14ac:dyDescent="0.25">
      <c r="A1001" s="5"/>
    </row>
    <row r="1002" spans="1:1" x14ac:dyDescent="0.25">
      <c r="A1002" s="5"/>
    </row>
    <row r="1003" spans="1:1" x14ac:dyDescent="0.25">
      <c r="A1003" s="5"/>
    </row>
    <row r="1004" spans="1:1" x14ac:dyDescent="0.25">
      <c r="A1004" s="5"/>
    </row>
    <row r="1005" spans="1:1" x14ac:dyDescent="0.25">
      <c r="A1005" s="5"/>
    </row>
    <row r="1006" spans="1:1" x14ac:dyDescent="0.25">
      <c r="A1006" s="5"/>
    </row>
    <row r="1007" spans="1:1" x14ac:dyDescent="0.25">
      <c r="A1007" s="5"/>
    </row>
    <row r="1008" spans="1:1" x14ac:dyDescent="0.25">
      <c r="A1008" s="5"/>
    </row>
    <row r="1009" spans="1:1" x14ac:dyDescent="0.25">
      <c r="A1009" s="5"/>
    </row>
    <row r="1010" spans="1:1" x14ac:dyDescent="0.25">
      <c r="A1010" s="5"/>
    </row>
    <row r="1011" spans="1:1" x14ac:dyDescent="0.25">
      <c r="A1011" s="5"/>
    </row>
    <row r="1012" spans="1:1" x14ac:dyDescent="0.25">
      <c r="A1012" s="5"/>
    </row>
    <row r="1013" spans="1:1" x14ac:dyDescent="0.25">
      <c r="A1013" s="5"/>
    </row>
    <row r="1014" spans="1:1" x14ac:dyDescent="0.25">
      <c r="A1014" s="5"/>
    </row>
    <row r="1015" spans="1:1" x14ac:dyDescent="0.25">
      <c r="A1015" s="5"/>
    </row>
    <row r="1016" spans="1:1" x14ac:dyDescent="0.25">
      <c r="A1016" s="5"/>
    </row>
    <row r="1017" spans="1:1" x14ac:dyDescent="0.25">
      <c r="A1017" s="5"/>
    </row>
    <row r="1018" spans="1:1" x14ac:dyDescent="0.25">
      <c r="A1018" s="5"/>
    </row>
    <row r="1019" spans="1:1" x14ac:dyDescent="0.25">
      <c r="A1019" s="5"/>
    </row>
    <row r="1020" spans="1:1" x14ac:dyDescent="0.25">
      <c r="A1020" s="5"/>
    </row>
    <row r="1021" spans="1:1" x14ac:dyDescent="0.25">
      <c r="A1021" s="5"/>
    </row>
    <row r="1022" spans="1:1" x14ac:dyDescent="0.25">
      <c r="A1022" s="5"/>
    </row>
    <row r="1023" spans="1:1" x14ac:dyDescent="0.25">
      <c r="A1023" s="5"/>
    </row>
    <row r="1024" spans="1:1" x14ac:dyDescent="0.25">
      <c r="A1024" s="5"/>
    </row>
    <row r="1025" spans="1:1" x14ac:dyDescent="0.25">
      <c r="A1025" s="5"/>
    </row>
    <row r="1026" spans="1:1" x14ac:dyDescent="0.25">
      <c r="A1026" s="5"/>
    </row>
    <row r="1027" spans="1:1" x14ac:dyDescent="0.25">
      <c r="A1027" s="5"/>
    </row>
    <row r="1028" spans="1:1" x14ac:dyDescent="0.25">
      <c r="A1028" s="5"/>
    </row>
    <row r="1029" spans="1:1" x14ac:dyDescent="0.25">
      <c r="A1029" s="5"/>
    </row>
    <row r="1030" spans="1:1" x14ac:dyDescent="0.25">
      <c r="A1030" s="5"/>
    </row>
    <row r="1031" spans="1:1" x14ac:dyDescent="0.25">
      <c r="A1031" s="5"/>
    </row>
    <row r="1032" spans="1:1" x14ac:dyDescent="0.25">
      <c r="A1032" s="5"/>
    </row>
    <row r="1033" spans="1:1" x14ac:dyDescent="0.25">
      <c r="A1033" s="5"/>
    </row>
    <row r="1034" spans="1:1" x14ac:dyDescent="0.25">
      <c r="A1034" s="5"/>
    </row>
    <row r="1035" spans="1:1" x14ac:dyDescent="0.25">
      <c r="A1035" s="5"/>
    </row>
    <row r="1036" spans="1:1" x14ac:dyDescent="0.25">
      <c r="A1036" s="5"/>
    </row>
    <row r="1037" spans="1:1" x14ac:dyDescent="0.25">
      <c r="A1037" s="5"/>
    </row>
    <row r="1038" spans="1:1" x14ac:dyDescent="0.25">
      <c r="A1038" s="5"/>
    </row>
    <row r="1039" spans="1:1" x14ac:dyDescent="0.25">
      <c r="A1039" s="5"/>
    </row>
    <row r="1040" spans="1:1" x14ac:dyDescent="0.25">
      <c r="A1040" s="5"/>
    </row>
    <row r="1041" spans="1:1" x14ac:dyDescent="0.25">
      <c r="A1041" s="5"/>
    </row>
    <row r="1042" spans="1:1" x14ac:dyDescent="0.25">
      <c r="A1042" s="5"/>
    </row>
    <row r="1043" spans="1:1" x14ac:dyDescent="0.25">
      <c r="A1043" s="5"/>
    </row>
    <row r="1044" spans="1:1" x14ac:dyDescent="0.25">
      <c r="A1044" s="5"/>
    </row>
    <row r="1045" spans="1:1" x14ac:dyDescent="0.25">
      <c r="A1045" s="5"/>
    </row>
    <row r="1046" spans="1:1" x14ac:dyDescent="0.25">
      <c r="A1046" s="5"/>
    </row>
    <row r="1047" spans="1:1" x14ac:dyDescent="0.25">
      <c r="A1047" s="5"/>
    </row>
    <row r="1048" spans="1:1" x14ac:dyDescent="0.25">
      <c r="A1048" s="5"/>
    </row>
    <row r="1049" spans="1:1" x14ac:dyDescent="0.25">
      <c r="A1049" s="5"/>
    </row>
    <row r="1050" spans="1:1" x14ac:dyDescent="0.25">
      <c r="A1050" s="5"/>
    </row>
    <row r="1051" spans="1:1" x14ac:dyDescent="0.25">
      <c r="A1051" s="5"/>
    </row>
    <row r="1052" spans="1:1" x14ac:dyDescent="0.25">
      <c r="A1052" s="5"/>
    </row>
    <row r="1053" spans="1:1" x14ac:dyDescent="0.25">
      <c r="A1053" s="5"/>
    </row>
    <row r="1054" spans="1:1" x14ac:dyDescent="0.25">
      <c r="A1054" s="5"/>
    </row>
    <row r="1055" spans="1:1" x14ac:dyDescent="0.25">
      <c r="A1055" s="5"/>
    </row>
    <row r="1056" spans="1:1" x14ac:dyDescent="0.25">
      <c r="A1056" s="5"/>
    </row>
    <row r="1057" spans="1:1" x14ac:dyDescent="0.25">
      <c r="A1057" s="5"/>
    </row>
    <row r="1058" spans="1:1" x14ac:dyDescent="0.25">
      <c r="A1058" s="5"/>
    </row>
    <row r="1059" spans="1:1" x14ac:dyDescent="0.25">
      <c r="A1059" s="5"/>
    </row>
    <row r="1060" spans="1:1" x14ac:dyDescent="0.25">
      <c r="A1060" s="5"/>
    </row>
    <row r="1061" spans="1:1" x14ac:dyDescent="0.25">
      <c r="A1061" s="5"/>
    </row>
    <row r="1062" spans="1:1" x14ac:dyDescent="0.25">
      <c r="A1062" s="5"/>
    </row>
    <row r="1063" spans="1:1" x14ac:dyDescent="0.25">
      <c r="A1063" s="5"/>
    </row>
    <row r="1064" spans="1:1" x14ac:dyDescent="0.25">
      <c r="A1064" s="5"/>
    </row>
    <row r="1065" spans="1:1" x14ac:dyDescent="0.25">
      <c r="A1065" s="5"/>
    </row>
    <row r="1066" spans="1:1" x14ac:dyDescent="0.25">
      <c r="A1066" s="5"/>
    </row>
    <row r="1067" spans="1:1" x14ac:dyDescent="0.25">
      <c r="A1067" s="5"/>
    </row>
    <row r="1068" spans="1:1" x14ac:dyDescent="0.25">
      <c r="A1068" s="5"/>
    </row>
    <row r="1069" spans="1:1" x14ac:dyDescent="0.25">
      <c r="A1069" s="5"/>
    </row>
    <row r="1070" spans="1:1" x14ac:dyDescent="0.25">
      <c r="A1070" s="5"/>
    </row>
    <row r="1071" spans="1:1" x14ac:dyDescent="0.25">
      <c r="A1071" s="5"/>
    </row>
    <row r="1072" spans="1:1" x14ac:dyDescent="0.25">
      <c r="A1072" s="5"/>
    </row>
    <row r="1073" spans="1:1" x14ac:dyDescent="0.25">
      <c r="A1073" s="5"/>
    </row>
    <row r="1074" spans="1:1" x14ac:dyDescent="0.25">
      <c r="A1074" s="5"/>
    </row>
    <row r="1075" spans="1:1" x14ac:dyDescent="0.25">
      <c r="A1075" s="5"/>
    </row>
    <row r="1076" spans="1:1" x14ac:dyDescent="0.25">
      <c r="A1076" s="5"/>
    </row>
    <row r="1077" spans="1:1" x14ac:dyDescent="0.25">
      <c r="A1077" s="5"/>
    </row>
    <row r="1078" spans="1:1" x14ac:dyDescent="0.25">
      <c r="A1078" s="5"/>
    </row>
    <row r="1079" spans="1:1" x14ac:dyDescent="0.25">
      <c r="A1079" s="5"/>
    </row>
    <row r="1080" spans="1:1" x14ac:dyDescent="0.25">
      <c r="A1080" s="5"/>
    </row>
    <row r="1081" spans="1:1" x14ac:dyDescent="0.25">
      <c r="A1081" s="5"/>
    </row>
    <row r="1082" spans="1:1" x14ac:dyDescent="0.25">
      <c r="A1082" s="5"/>
    </row>
    <row r="1083" spans="1:1" x14ac:dyDescent="0.25">
      <c r="A1083" s="5"/>
    </row>
    <row r="1084" spans="1:1" x14ac:dyDescent="0.25">
      <c r="A1084" s="5"/>
    </row>
    <row r="1085" spans="1:1" x14ac:dyDescent="0.25">
      <c r="A1085" s="5"/>
    </row>
    <row r="1086" spans="1:1" x14ac:dyDescent="0.25">
      <c r="A1086" s="5"/>
    </row>
    <row r="1087" spans="1:1" x14ac:dyDescent="0.25">
      <c r="A1087" s="5"/>
    </row>
    <row r="1088" spans="1:1" x14ac:dyDescent="0.25">
      <c r="A1088" s="5"/>
    </row>
    <row r="1089" spans="1:1" x14ac:dyDescent="0.25">
      <c r="A1089" s="5"/>
    </row>
    <row r="1090" spans="1:1" x14ac:dyDescent="0.25">
      <c r="A1090" s="5"/>
    </row>
    <row r="1091" spans="1:1" x14ac:dyDescent="0.25">
      <c r="A1091" s="5"/>
    </row>
    <row r="1092" spans="1:1" x14ac:dyDescent="0.25">
      <c r="A1092" s="5"/>
    </row>
    <row r="1093" spans="1:1" x14ac:dyDescent="0.25">
      <c r="A1093" s="5"/>
    </row>
    <row r="1094" spans="1:1" x14ac:dyDescent="0.25">
      <c r="A1094" s="5"/>
    </row>
    <row r="1095" spans="1:1" x14ac:dyDescent="0.25">
      <c r="A1095" s="5"/>
    </row>
    <row r="1096" spans="1:1" x14ac:dyDescent="0.25">
      <c r="A1096" s="5"/>
    </row>
    <row r="1097" spans="1:1" x14ac:dyDescent="0.25">
      <c r="A1097" s="5"/>
    </row>
    <row r="1098" spans="1:1" x14ac:dyDescent="0.25">
      <c r="A1098" s="5"/>
    </row>
    <row r="1099" spans="1:1" x14ac:dyDescent="0.25">
      <c r="A1099" s="5"/>
    </row>
    <row r="1100" spans="1:1" x14ac:dyDescent="0.25">
      <c r="A1100" s="5"/>
    </row>
    <row r="1101" spans="1:1" x14ac:dyDescent="0.25">
      <c r="A1101" s="5"/>
    </row>
    <row r="1102" spans="1:1" x14ac:dyDescent="0.25">
      <c r="A1102" s="5"/>
    </row>
    <row r="1103" spans="1:1" x14ac:dyDescent="0.25">
      <c r="A1103" s="5"/>
    </row>
    <row r="1104" spans="1:1" x14ac:dyDescent="0.25">
      <c r="A1104" s="5"/>
    </row>
    <row r="1105" spans="1:1" x14ac:dyDescent="0.25">
      <c r="A1105" s="5"/>
    </row>
    <row r="1106" spans="1:1" x14ac:dyDescent="0.25">
      <c r="A1106" s="5"/>
    </row>
    <row r="1107" spans="1:1" x14ac:dyDescent="0.25">
      <c r="A1107" s="5"/>
    </row>
    <row r="1108" spans="1:1" x14ac:dyDescent="0.25">
      <c r="A1108" s="5"/>
    </row>
    <row r="1109" spans="1:1" x14ac:dyDescent="0.25">
      <c r="A1109" s="5"/>
    </row>
    <row r="1110" spans="1:1" x14ac:dyDescent="0.25">
      <c r="A1110" s="5"/>
    </row>
    <row r="1111" spans="1:1" x14ac:dyDescent="0.25">
      <c r="A1111" s="5"/>
    </row>
    <row r="1112" spans="1:1" x14ac:dyDescent="0.25">
      <c r="A1112" s="5"/>
    </row>
    <row r="1113" spans="1:1" x14ac:dyDescent="0.25">
      <c r="A1113" s="5"/>
    </row>
    <row r="1114" spans="1:1" x14ac:dyDescent="0.25">
      <c r="A1114" s="5"/>
    </row>
    <row r="1115" spans="1:1" x14ac:dyDescent="0.25">
      <c r="A1115" s="5"/>
    </row>
    <row r="1116" spans="1:1" x14ac:dyDescent="0.25">
      <c r="A1116" s="5"/>
    </row>
    <row r="1117" spans="1:1" x14ac:dyDescent="0.25">
      <c r="A1117" s="5"/>
    </row>
    <row r="1118" spans="1:1" x14ac:dyDescent="0.25">
      <c r="A1118" s="5"/>
    </row>
    <row r="1119" spans="1:1" x14ac:dyDescent="0.25">
      <c r="A1119" s="5"/>
    </row>
    <row r="1120" spans="1:1" x14ac:dyDescent="0.25">
      <c r="A1120" s="5"/>
    </row>
    <row r="1121" spans="1:1" x14ac:dyDescent="0.25">
      <c r="A1121" s="5"/>
    </row>
    <row r="1122" spans="1:1" x14ac:dyDescent="0.25">
      <c r="A1122" s="5"/>
    </row>
    <row r="1123" spans="1:1" x14ac:dyDescent="0.25">
      <c r="A1123" s="5"/>
    </row>
    <row r="1124" spans="1:1" x14ac:dyDescent="0.25">
      <c r="A1124" s="5"/>
    </row>
    <row r="1125" spans="1:1" x14ac:dyDescent="0.25">
      <c r="A1125" s="5"/>
    </row>
    <row r="1126" spans="1:1" x14ac:dyDescent="0.25">
      <c r="A1126" s="5"/>
    </row>
    <row r="1127" spans="1:1" x14ac:dyDescent="0.25">
      <c r="A1127" s="5"/>
    </row>
    <row r="1128" spans="1:1" x14ac:dyDescent="0.25">
      <c r="A1128" s="5"/>
    </row>
    <row r="1129" spans="1:1" x14ac:dyDescent="0.25">
      <c r="A1129" s="5"/>
    </row>
    <row r="1130" spans="1:1" x14ac:dyDescent="0.25">
      <c r="A1130" s="5"/>
    </row>
    <row r="1131" spans="1:1" x14ac:dyDescent="0.25">
      <c r="A1131" s="5"/>
    </row>
    <row r="1132" spans="1:1" x14ac:dyDescent="0.25">
      <c r="A1132" s="5"/>
    </row>
    <row r="1133" spans="1:1" x14ac:dyDescent="0.25">
      <c r="A1133" s="5"/>
    </row>
    <row r="1134" spans="1:1" x14ac:dyDescent="0.25">
      <c r="A1134" s="5"/>
    </row>
    <row r="1135" spans="1:1" x14ac:dyDescent="0.25">
      <c r="A1135" s="5"/>
    </row>
    <row r="1136" spans="1:1" x14ac:dyDescent="0.25">
      <c r="A1136" s="5"/>
    </row>
    <row r="1137" spans="1:1" x14ac:dyDescent="0.25">
      <c r="A1137" s="5"/>
    </row>
    <row r="1138" spans="1:1" x14ac:dyDescent="0.25">
      <c r="A1138" s="5"/>
    </row>
    <row r="1139" spans="1:1" x14ac:dyDescent="0.25">
      <c r="A1139" s="5"/>
    </row>
    <row r="1140" spans="1:1" x14ac:dyDescent="0.25">
      <c r="A1140" s="5"/>
    </row>
    <row r="1141" spans="1:1" x14ac:dyDescent="0.25">
      <c r="A1141" s="5"/>
    </row>
    <row r="1142" spans="1:1" x14ac:dyDescent="0.25">
      <c r="A1142" s="5"/>
    </row>
    <row r="1143" spans="1:1" x14ac:dyDescent="0.25">
      <c r="A1143" s="5"/>
    </row>
    <row r="1144" spans="1:1" x14ac:dyDescent="0.25">
      <c r="A1144" s="5"/>
    </row>
    <row r="1145" spans="1:1" x14ac:dyDescent="0.25">
      <c r="A1145" s="5"/>
    </row>
    <row r="1146" spans="1:1" x14ac:dyDescent="0.25">
      <c r="A1146" s="5"/>
    </row>
    <row r="1147" spans="1:1" x14ac:dyDescent="0.25">
      <c r="A1147" s="5"/>
    </row>
    <row r="1148" spans="1:1" x14ac:dyDescent="0.25">
      <c r="A1148" s="5"/>
    </row>
    <row r="1149" spans="1:1" x14ac:dyDescent="0.25">
      <c r="A1149" s="5"/>
    </row>
    <row r="1150" spans="1:1" x14ac:dyDescent="0.25">
      <c r="A1150" s="5"/>
    </row>
    <row r="1151" spans="1:1" x14ac:dyDescent="0.25">
      <c r="A1151" s="5"/>
    </row>
    <row r="1152" spans="1:1" x14ac:dyDescent="0.25">
      <c r="A1152" s="5"/>
    </row>
    <row r="1153" spans="1:1" x14ac:dyDescent="0.25">
      <c r="A1153" s="5"/>
    </row>
    <row r="1154" spans="1:1" x14ac:dyDescent="0.25">
      <c r="A1154" s="5"/>
    </row>
    <row r="1155" spans="1:1" x14ac:dyDescent="0.25">
      <c r="A1155" s="5"/>
    </row>
    <row r="1156" spans="1:1" x14ac:dyDescent="0.25">
      <c r="A1156" s="5"/>
    </row>
    <row r="1157" spans="1:1" x14ac:dyDescent="0.25">
      <c r="A1157" s="5"/>
    </row>
    <row r="1158" spans="1:1" x14ac:dyDescent="0.25">
      <c r="A1158" s="5"/>
    </row>
    <row r="1159" spans="1:1" x14ac:dyDescent="0.25">
      <c r="A1159" s="5"/>
    </row>
    <row r="1160" spans="1:1" x14ac:dyDescent="0.25">
      <c r="A1160" s="5"/>
    </row>
    <row r="1161" spans="1:1" x14ac:dyDescent="0.25">
      <c r="A1161" s="5"/>
    </row>
    <row r="1162" spans="1:1" x14ac:dyDescent="0.25">
      <c r="A1162" s="5"/>
    </row>
    <row r="1163" spans="1:1" x14ac:dyDescent="0.25">
      <c r="A1163" s="5"/>
    </row>
    <row r="1164" spans="1:1" x14ac:dyDescent="0.25">
      <c r="A1164" s="5"/>
    </row>
    <row r="1165" spans="1:1" x14ac:dyDescent="0.25">
      <c r="A1165" s="5"/>
    </row>
    <row r="1166" spans="1:1" x14ac:dyDescent="0.25">
      <c r="A1166" s="5"/>
    </row>
    <row r="1167" spans="1:1" x14ac:dyDescent="0.25">
      <c r="A1167" s="5"/>
    </row>
    <row r="1168" spans="1:1" x14ac:dyDescent="0.25">
      <c r="A1168" s="5"/>
    </row>
    <row r="1169" spans="1:1" x14ac:dyDescent="0.25">
      <c r="A1169" s="5"/>
    </row>
    <row r="1170" spans="1:1" x14ac:dyDescent="0.25">
      <c r="A1170" s="5"/>
    </row>
    <row r="1171" spans="1:1" x14ac:dyDescent="0.25">
      <c r="A1171" s="5"/>
    </row>
    <row r="1172" spans="1:1" x14ac:dyDescent="0.25">
      <c r="A1172" s="5"/>
    </row>
    <row r="1173" spans="1:1" x14ac:dyDescent="0.25">
      <c r="A1173" s="5"/>
    </row>
    <row r="1174" spans="1:1" x14ac:dyDescent="0.25">
      <c r="A1174" s="5"/>
    </row>
    <row r="1175" spans="1:1" x14ac:dyDescent="0.25">
      <c r="A1175" s="5"/>
    </row>
    <row r="1176" spans="1:1" x14ac:dyDescent="0.25">
      <c r="A1176" s="5"/>
    </row>
    <row r="1177" spans="1:1" x14ac:dyDescent="0.25">
      <c r="A1177" s="5"/>
    </row>
    <row r="1178" spans="1:1" x14ac:dyDescent="0.25">
      <c r="A1178" s="5"/>
    </row>
    <row r="1179" spans="1:1" x14ac:dyDescent="0.25">
      <c r="A1179" s="5"/>
    </row>
    <row r="1180" spans="1:1" x14ac:dyDescent="0.25">
      <c r="A1180" s="5"/>
    </row>
    <row r="1181" spans="1:1" x14ac:dyDescent="0.25">
      <c r="A1181" s="5"/>
    </row>
    <row r="1182" spans="1:1" x14ac:dyDescent="0.25">
      <c r="A1182" s="5"/>
    </row>
    <row r="1183" spans="1:1" x14ac:dyDescent="0.25">
      <c r="A1183" s="5"/>
    </row>
    <row r="1184" spans="1:1" x14ac:dyDescent="0.25">
      <c r="A1184" s="5"/>
    </row>
    <row r="1185" spans="1:1" x14ac:dyDescent="0.25">
      <c r="A1185" s="5"/>
    </row>
    <row r="1186" spans="1:1" x14ac:dyDescent="0.25">
      <c r="A1186" s="5"/>
    </row>
    <row r="1187" spans="1:1" x14ac:dyDescent="0.25">
      <c r="A1187" s="5"/>
    </row>
    <row r="1188" spans="1:1" x14ac:dyDescent="0.25">
      <c r="A1188" s="5"/>
    </row>
    <row r="1189" spans="1:1" x14ac:dyDescent="0.25">
      <c r="A1189" s="5"/>
    </row>
    <row r="1190" spans="1:1" x14ac:dyDescent="0.25">
      <c r="A1190" s="5"/>
    </row>
    <row r="1191" spans="1:1" x14ac:dyDescent="0.25">
      <c r="A1191" s="5"/>
    </row>
    <row r="1192" spans="1:1" x14ac:dyDescent="0.25">
      <c r="A1192" s="5"/>
    </row>
    <row r="1193" spans="1:1" x14ac:dyDescent="0.25">
      <c r="A1193" s="5"/>
    </row>
    <row r="1194" spans="1:1" x14ac:dyDescent="0.25">
      <c r="A1194" s="5"/>
    </row>
    <row r="1195" spans="1:1" x14ac:dyDescent="0.25">
      <c r="A1195" s="5"/>
    </row>
    <row r="1196" spans="1:1" x14ac:dyDescent="0.25">
      <c r="A1196" s="5"/>
    </row>
    <row r="1197" spans="1:1" x14ac:dyDescent="0.25">
      <c r="A1197" s="5"/>
    </row>
    <row r="1198" spans="1:1" x14ac:dyDescent="0.25">
      <c r="A1198" s="5"/>
    </row>
    <row r="1199" spans="1:1" x14ac:dyDescent="0.25">
      <c r="A1199" s="5"/>
    </row>
    <row r="1200" spans="1:1" x14ac:dyDescent="0.25">
      <c r="A1200" s="5"/>
    </row>
    <row r="1201" spans="1:1" x14ac:dyDescent="0.25">
      <c r="A1201" s="5"/>
    </row>
    <row r="1202" spans="1:1" x14ac:dyDescent="0.25">
      <c r="A1202" s="5"/>
    </row>
    <row r="1203" spans="1:1" x14ac:dyDescent="0.25">
      <c r="A1203" s="5"/>
    </row>
    <row r="1204" spans="1:1" x14ac:dyDescent="0.25">
      <c r="A1204" s="5"/>
    </row>
    <row r="1205" spans="1:1" x14ac:dyDescent="0.25">
      <c r="A1205" s="5"/>
    </row>
    <row r="1206" spans="1:1" x14ac:dyDescent="0.25">
      <c r="A1206" s="5"/>
    </row>
    <row r="1207" spans="1:1" x14ac:dyDescent="0.25">
      <c r="A1207" s="5"/>
    </row>
    <row r="1208" spans="1:1" x14ac:dyDescent="0.25">
      <c r="A1208" s="5"/>
    </row>
    <row r="1209" spans="1:1" x14ac:dyDescent="0.25">
      <c r="A1209" s="5"/>
    </row>
    <row r="1210" spans="1:1" x14ac:dyDescent="0.25">
      <c r="A1210" s="5"/>
    </row>
    <row r="1211" spans="1:1" x14ac:dyDescent="0.25">
      <c r="A1211" s="5"/>
    </row>
    <row r="1212" spans="1:1" x14ac:dyDescent="0.25">
      <c r="A1212" s="5"/>
    </row>
    <row r="1213" spans="1:1" x14ac:dyDescent="0.25">
      <c r="A1213" s="5"/>
    </row>
    <row r="1214" spans="1:1" x14ac:dyDescent="0.25">
      <c r="A1214" s="5"/>
    </row>
    <row r="1215" spans="1:1" x14ac:dyDescent="0.25">
      <c r="A1215" s="5"/>
    </row>
    <row r="1216" spans="1:1" x14ac:dyDescent="0.25">
      <c r="A1216" s="5"/>
    </row>
    <row r="1217" spans="1:1" x14ac:dyDescent="0.25">
      <c r="A1217" s="5"/>
    </row>
    <row r="1218" spans="1:1" x14ac:dyDescent="0.25">
      <c r="A1218" s="5"/>
    </row>
    <row r="1219" spans="1:1" x14ac:dyDescent="0.25">
      <c r="A1219" s="5"/>
    </row>
    <row r="1220" spans="1:1" x14ac:dyDescent="0.25">
      <c r="A1220" s="5"/>
    </row>
    <row r="1221" spans="1:1" x14ac:dyDescent="0.25">
      <c r="A1221" s="5"/>
    </row>
    <row r="1222" spans="1:1" x14ac:dyDescent="0.25">
      <c r="A1222" s="5"/>
    </row>
    <row r="1223" spans="1:1" x14ac:dyDescent="0.25">
      <c r="A1223" s="5"/>
    </row>
    <row r="1224" spans="1:1" x14ac:dyDescent="0.25">
      <c r="A1224" s="5"/>
    </row>
    <row r="1225" spans="1:1" x14ac:dyDescent="0.25">
      <c r="A1225" s="5"/>
    </row>
    <row r="1226" spans="1:1" x14ac:dyDescent="0.25">
      <c r="A1226" s="5"/>
    </row>
    <row r="1227" spans="1:1" x14ac:dyDescent="0.25">
      <c r="A1227" s="5"/>
    </row>
    <row r="1228" spans="1:1" x14ac:dyDescent="0.25">
      <c r="A1228" s="5"/>
    </row>
    <row r="1229" spans="1:1" x14ac:dyDescent="0.25">
      <c r="A1229" s="5"/>
    </row>
    <row r="1230" spans="1:1" x14ac:dyDescent="0.25">
      <c r="A1230" s="5"/>
    </row>
    <row r="1231" spans="1:1" x14ac:dyDescent="0.25">
      <c r="A1231" s="5"/>
    </row>
    <row r="1232" spans="1:1" x14ac:dyDescent="0.25">
      <c r="A1232" s="5"/>
    </row>
    <row r="1233" spans="1:1" x14ac:dyDescent="0.25">
      <c r="A1233" s="5"/>
    </row>
    <row r="1234" spans="1:1" x14ac:dyDescent="0.25">
      <c r="A1234" s="5"/>
    </row>
    <row r="1235" spans="1:1" x14ac:dyDescent="0.25">
      <c r="A1235" s="5"/>
    </row>
    <row r="1236" spans="1:1" x14ac:dyDescent="0.25">
      <c r="A1236" s="5"/>
    </row>
    <row r="1237" spans="1:1" x14ac:dyDescent="0.25">
      <c r="A1237" s="5"/>
    </row>
    <row r="1238" spans="1:1" x14ac:dyDescent="0.25">
      <c r="A1238" s="5"/>
    </row>
    <row r="1239" spans="1:1" x14ac:dyDescent="0.25">
      <c r="A1239" s="5"/>
    </row>
    <row r="1240" spans="1:1" x14ac:dyDescent="0.25">
      <c r="A1240" s="5"/>
    </row>
    <row r="1241" spans="1:1" x14ac:dyDescent="0.25">
      <c r="A1241" s="5"/>
    </row>
    <row r="1242" spans="1:1" x14ac:dyDescent="0.25">
      <c r="A1242" s="5"/>
    </row>
    <row r="1243" spans="1:1" x14ac:dyDescent="0.25">
      <c r="A1243" s="5"/>
    </row>
    <row r="1244" spans="1:1" x14ac:dyDescent="0.25">
      <c r="A1244" s="5"/>
    </row>
    <row r="1245" spans="1:1" x14ac:dyDescent="0.25">
      <c r="A1245" s="5"/>
    </row>
    <row r="1246" spans="1:1" x14ac:dyDescent="0.25">
      <c r="A1246" s="5"/>
    </row>
    <row r="1247" spans="1:1" x14ac:dyDescent="0.25">
      <c r="A1247" s="5"/>
    </row>
    <row r="1248" spans="1:1" x14ac:dyDescent="0.25">
      <c r="A1248" s="5"/>
    </row>
    <row r="1249" spans="1:1" x14ac:dyDescent="0.25">
      <c r="A1249" s="5"/>
    </row>
    <row r="1250" spans="1:1" x14ac:dyDescent="0.25">
      <c r="A1250" s="5"/>
    </row>
    <row r="1251" spans="1:1" x14ac:dyDescent="0.25">
      <c r="A1251" s="5"/>
    </row>
    <row r="1252" spans="1:1" x14ac:dyDescent="0.25">
      <c r="A1252" s="5"/>
    </row>
    <row r="1253" spans="1:1" x14ac:dyDescent="0.25">
      <c r="A1253" s="5"/>
    </row>
    <row r="1254" spans="1:1" x14ac:dyDescent="0.25">
      <c r="A1254" s="5"/>
    </row>
    <row r="1255" spans="1:1" x14ac:dyDescent="0.25">
      <c r="A1255" s="5"/>
    </row>
    <row r="1256" spans="1:1" x14ac:dyDescent="0.25">
      <c r="A1256" s="5"/>
    </row>
    <row r="1257" spans="1:1" x14ac:dyDescent="0.25">
      <c r="A1257" s="5"/>
    </row>
    <row r="1258" spans="1:1" x14ac:dyDescent="0.25">
      <c r="A1258" s="5"/>
    </row>
    <row r="1259" spans="1:1" x14ac:dyDescent="0.25">
      <c r="A1259" s="5"/>
    </row>
    <row r="1260" spans="1:1" x14ac:dyDescent="0.25">
      <c r="A1260" s="5"/>
    </row>
    <row r="1261" spans="1:1" x14ac:dyDescent="0.25">
      <c r="A1261" s="5"/>
    </row>
    <row r="1262" spans="1:1" x14ac:dyDescent="0.25">
      <c r="A1262" s="5"/>
    </row>
    <row r="1263" spans="1:1" x14ac:dyDescent="0.25">
      <c r="A1263" s="5"/>
    </row>
    <row r="1264" spans="1:1" x14ac:dyDescent="0.25">
      <c r="A1264" s="5"/>
    </row>
    <row r="1265" spans="1:1" x14ac:dyDescent="0.25">
      <c r="A1265" s="5"/>
    </row>
    <row r="1266" spans="1:1" x14ac:dyDescent="0.25">
      <c r="A1266" s="5"/>
    </row>
    <row r="1267" spans="1:1" x14ac:dyDescent="0.25">
      <c r="A1267" s="5"/>
    </row>
    <row r="1268" spans="1:1" x14ac:dyDescent="0.25">
      <c r="A1268" s="5"/>
    </row>
    <row r="1269" spans="1:1" x14ac:dyDescent="0.25">
      <c r="A1269" s="5"/>
    </row>
    <row r="1270" spans="1:1" x14ac:dyDescent="0.25">
      <c r="A1270" s="5"/>
    </row>
    <row r="1271" spans="1:1" x14ac:dyDescent="0.25">
      <c r="A1271" s="5"/>
    </row>
    <row r="1272" spans="1:1" x14ac:dyDescent="0.25">
      <c r="A1272" s="5"/>
    </row>
    <row r="1273" spans="1:1" x14ac:dyDescent="0.25">
      <c r="A1273" s="5"/>
    </row>
    <row r="1274" spans="1:1" x14ac:dyDescent="0.25">
      <c r="A1274" s="5"/>
    </row>
    <row r="1275" spans="1:1" x14ac:dyDescent="0.25">
      <c r="A1275" s="5"/>
    </row>
    <row r="1276" spans="1:1" x14ac:dyDescent="0.25">
      <c r="A1276" s="5"/>
    </row>
    <row r="1277" spans="1:1" x14ac:dyDescent="0.25">
      <c r="A1277" s="5"/>
    </row>
    <row r="1278" spans="1:1" x14ac:dyDescent="0.25">
      <c r="A1278" s="5"/>
    </row>
    <row r="1279" spans="1:1" x14ac:dyDescent="0.25">
      <c r="A1279" s="5"/>
    </row>
    <row r="1280" spans="1:1" x14ac:dyDescent="0.25">
      <c r="A1280" s="5"/>
    </row>
    <row r="1281" spans="1:1" x14ac:dyDescent="0.25">
      <c r="A1281" s="5"/>
    </row>
    <row r="1282" spans="1:1" x14ac:dyDescent="0.25">
      <c r="A1282" s="5"/>
    </row>
    <row r="1283" spans="1:1" x14ac:dyDescent="0.25">
      <c r="A1283" s="5"/>
    </row>
    <row r="1284" spans="1:1" x14ac:dyDescent="0.25">
      <c r="A1284" s="5"/>
    </row>
    <row r="1285" spans="1:1" x14ac:dyDescent="0.25">
      <c r="A1285" s="5"/>
    </row>
    <row r="1286" spans="1:1" x14ac:dyDescent="0.25">
      <c r="A1286" s="5"/>
    </row>
    <row r="1287" spans="1:1" x14ac:dyDescent="0.25">
      <c r="A1287" s="5"/>
    </row>
    <row r="1288" spans="1:1" x14ac:dyDescent="0.25">
      <c r="A1288" s="5"/>
    </row>
    <row r="1289" spans="1:1" x14ac:dyDescent="0.25">
      <c r="A1289" s="5"/>
    </row>
    <row r="1290" spans="1:1" x14ac:dyDescent="0.25">
      <c r="A1290" s="5"/>
    </row>
    <row r="1291" spans="1:1" x14ac:dyDescent="0.25">
      <c r="A1291" s="5"/>
    </row>
    <row r="1292" spans="1:1" x14ac:dyDescent="0.25">
      <c r="A1292" s="5"/>
    </row>
    <row r="1293" spans="1:1" x14ac:dyDescent="0.25">
      <c r="A1293" s="5"/>
    </row>
    <row r="1294" spans="1:1" x14ac:dyDescent="0.25">
      <c r="A1294" s="5"/>
    </row>
    <row r="1295" spans="1:1" x14ac:dyDescent="0.25">
      <c r="A1295" s="5"/>
    </row>
    <row r="1296" spans="1:1" x14ac:dyDescent="0.25">
      <c r="A1296" s="5"/>
    </row>
    <row r="1297" spans="1:1" x14ac:dyDescent="0.25">
      <c r="A1297" s="5"/>
    </row>
    <row r="1298" spans="1:1" x14ac:dyDescent="0.25">
      <c r="A1298" s="5"/>
    </row>
    <row r="1299" spans="1:1" x14ac:dyDescent="0.25">
      <c r="A1299" s="5"/>
    </row>
    <row r="1300" spans="1:1" x14ac:dyDescent="0.25">
      <c r="A1300" s="5"/>
    </row>
    <row r="1301" spans="1:1" x14ac:dyDescent="0.25">
      <c r="A1301" s="5"/>
    </row>
    <row r="1302" spans="1:1" x14ac:dyDescent="0.25">
      <c r="A1302" s="5"/>
    </row>
    <row r="1303" spans="1:1" x14ac:dyDescent="0.25">
      <c r="A1303" s="5"/>
    </row>
    <row r="1304" spans="1:1" x14ac:dyDescent="0.25">
      <c r="A1304" s="5"/>
    </row>
    <row r="1305" spans="1:1" x14ac:dyDescent="0.25">
      <c r="A1305" s="5"/>
    </row>
    <row r="1306" spans="1:1" x14ac:dyDescent="0.25">
      <c r="A1306" s="5"/>
    </row>
    <row r="1307" spans="1:1" x14ac:dyDescent="0.25">
      <c r="A1307" s="5"/>
    </row>
    <row r="1308" spans="1:1" x14ac:dyDescent="0.25">
      <c r="A1308" s="5"/>
    </row>
    <row r="1309" spans="1:1" x14ac:dyDescent="0.25">
      <c r="A1309" s="5"/>
    </row>
    <row r="1310" spans="1:1" x14ac:dyDescent="0.25">
      <c r="A1310" s="5"/>
    </row>
    <row r="1311" spans="1:1" x14ac:dyDescent="0.25">
      <c r="A1311" s="5"/>
    </row>
    <row r="1312" spans="1:1" x14ac:dyDescent="0.25">
      <c r="A1312" s="5"/>
    </row>
    <row r="1313" spans="1:1" x14ac:dyDescent="0.25">
      <c r="A1313" s="5"/>
    </row>
    <row r="1314" spans="1:1" x14ac:dyDescent="0.25">
      <c r="A1314" s="5"/>
    </row>
    <row r="1315" spans="1:1" x14ac:dyDescent="0.25">
      <c r="A1315" s="5"/>
    </row>
    <row r="1316" spans="1:1" x14ac:dyDescent="0.25">
      <c r="A1316" s="5"/>
    </row>
    <row r="1317" spans="1:1" x14ac:dyDescent="0.25">
      <c r="A1317" s="5"/>
    </row>
    <row r="1318" spans="1:1" x14ac:dyDescent="0.25">
      <c r="A1318" s="5"/>
    </row>
    <row r="1319" spans="1:1" x14ac:dyDescent="0.25">
      <c r="A1319" s="5"/>
    </row>
    <row r="1320" spans="1:1" x14ac:dyDescent="0.25">
      <c r="A1320" s="5"/>
    </row>
    <row r="1321" spans="1:1" x14ac:dyDescent="0.25">
      <c r="A1321" s="5"/>
    </row>
    <row r="1322" spans="1:1" x14ac:dyDescent="0.25">
      <c r="A1322" s="5"/>
    </row>
    <row r="1323" spans="1:1" x14ac:dyDescent="0.25">
      <c r="A1323" s="5"/>
    </row>
    <row r="1324" spans="1:1" x14ac:dyDescent="0.25">
      <c r="A1324" s="5"/>
    </row>
    <row r="1325" spans="1:1" x14ac:dyDescent="0.25">
      <c r="A1325" s="5"/>
    </row>
    <row r="1326" spans="1:1" x14ac:dyDescent="0.25">
      <c r="A1326" s="5"/>
    </row>
    <row r="1327" spans="1:1" x14ac:dyDescent="0.25">
      <c r="A1327" s="5"/>
    </row>
    <row r="1328" spans="1:1" x14ac:dyDescent="0.25">
      <c r="A1328" s="5"/>
    </row>
    <row r="1329" spans="1:1" x14ac:dyDescent="0.25">
      <c r="A1329" s="5"/>
    </row>
    <row r="1330" spans="1:1" x14ac:dyDescent="0.25">
      <c r="A1330" s="5"/>
    </row>
    <row r="1331" spans="1:1" x14ac:dyDescent="0.25">
      <c r="A1331" s="5"/>
    </row>
    <row r="1332" spans="1:1" x14ac:dyDescent="0.25">
      <c r="A1332" s="5"/>
    </row>
    <row r="1333" spans="1:1" x14ac:dyDescent="0.25">
      <c r="A1333" s="5"/>
    </row>
    <row r="1334" spans="1:1" x14ac:dyDescent="0.25">
      <c r="A1334" s="5"/>
    </row>
    <row r="1335" spans="1:1" x14ac:dyDescent="0.25">
      <c r="A1335" s="5"/>
    </row>
    <row r="1336" spans="1:1" x14ac:dyDescent="0.25">
      <c r="A1336" s="5"/>
    </row>
    <row r="1337" spans="1:1" x14ac:dyDescent="0.25">
      <c r="A1337" s="5"/>
    </row>
    <row r="1338" spans="1:1" x14ac:dyDescent="0.25">
      <c r="A1338" s="5"/>
    </row>
    <row r="1339" spans="1:1" x14ac:dyDescent="0.25">
      <c r="A1339" s="5"/>
    </row>
    <row r="1340" spans="1:1" x14ac:dyDescent="0.25">
      <c r="A1340" s="5"/>
    </row>
    <row r="1341" spans="1:1" x14ac:dyDescent="0.25">
      <c r="A1341" s="5"/>
    </row>
    <row r="1342" spans="1:1" x14ac:dyDescent="0.25">
      <c r="A1342" s="5"/>
    </row>
    <row r="1343" spans="1:1" x14ac:dyDescent="0.25">
      <c r="A1343" s="5"/>
    </row>
    <row r="1344" spans="1:1" x14ac:dyDescent="0.25">
      <c r="A1344" s="5"/>
    </row>
    <row r="1345" spans="1:1" x14ac:dyDescent="0.25">
      <c r="A1345" s="5"/>
    </row>
    <row r="1346" spans="1:1" x14ac:dyDescent="0.25">
      <c r="A1346" s="5"/>
    </row>
    <row r="1347" spans="1:1" x14ac:dyDescent="0.25">
      <c r="A1347" s="5"/>
    </row>
    <row r="1348" spans="1:1" x14ac:dyDescent="0.25">
      <c r="A1348" s="5"/>
    </row>
    <row r="1349" spans="1:1" x14ac:dyDescent="0.25">
      <c r="A1349" s="5"/>
    </row>
    <row r="1350" spans="1:1" x14ac:dyDescent="0.25">
      <c r="A1350" s="5"/>
    </row>
    <row r="1351" spans="1:1" x14ac:dyDescent="0.25">
      <c r="A1351" s="5"/>
    </row>
    <row r="1352" spans="1:1" x14ac:dyDescent="0.25">
      <c r="A1352" s="5"/>
    </row>
    <row r="1353" spans="1:1" x14ac:dyDescent="0.25">
      <c r="A1353" s="5"/>
    </row>
    <row r="1354" spans="1:1" x14ac:dyDescent="0.25">
      <c r="A1354" s="5"/>
    </row>
    <row r="1355" spans="1:1" x14ac:dyDescent="0.25">
      <c r="A1355" s="5"/>
    </row>
    <row r="1356" spans="1:1" x14ac:dyDescent="0.25">
      <c r="A1356" s="5"/>
    </row>
    <row r="1357" spans="1:1" x14ac:dyDescent="0.25">
      <c r="A1357" s="5"/>
    </row>
    <row r="1358" spans="1:1" x14ac:dyDescent="0.25">
      <c r="A1358" s="5"/>
    </row>
    <row r="1359" spans="1:1" x14ac:dyDescent="0.25">
      <c r="A1359" s="5"/>
    </row>
    <row r="1360" spans="1:1" x14ac:dyDescent="0.25">
      <c r="A1360" s="5"/>
    </row>
    <row r="1361" spans="1:1" x14ac:dyDescent="0.25">
      <c r="A1361" s="5"/>
    </row>
    <row r="1362" spans="1:1" x14ac:dyDescent="0.25">
      <c r="A1362" s="5"/>
    </row>
    <row r="1363" spans="1:1" x14ac:dyDescent="0.25">
      <c r="A1363" s="5"/>
    </row>
    <row r="1364" spans="1:1" x14ac:dyDescent="0.25">
      <c r="A1364" s="5"/>
    </row>
    <row r="1365" spans="1:1" x14ac:dyDescent="0.25">
      <c r="A1365" s="5"/>
    </row>
    <row r="1366" spans="1:1" x14ac:dyDescent="0.25">
      <c r="A1366" s="5"/>
    </row>
    <row r="1367" spans="1:1" x14ac:dyDescent="0.25">
      <c r="A1367" s="5"/>
    </row>
    <row r="1368" spans="1:1" x14ac:dyDescent="0.25">
      <c r="A1368" s="5"/>
    </row>
    <row r="1369" spans="1:1" x14ac:dyDescent="0.25">
      <c r="A1369" s="5"/>
    </row>
    <row r="1370" spans="1:1" x14ac:dyDescent="0.25">
      <c r="A1370" s="5"/>
    </row>
    <row r="1371" spans="1:1" x14ac:dyDescent="0.25">
      <c r="A1371" s="5"/>
    </row>
    <row r="1372" spans="1:1" x14ac:dyDescent="0.25">
      <c r="A1372" s="5"/>
    </row>
    <row r="1373" spans="1:1" x14ac:dyDescent="0.25">
      <c r="A1373" s="5"/>
    </row>
    <row r="1374" spans="1:1" x14ac:dyDescent="0.25">
      <c r="A1374" s="5"/>
    </row>
    <row r="1375" spans="1:1" x14ac:dyDescent="0.25">
      <c r="A1375" s="5"/>
    </row>
    <row r="1376" spans="1:1" x14ac:dyDescent="0.25">
      <c r="A1376" s="5"/>
    </row>
    <row r="1377" spans="1:1" x14ac:dyDescent="0.25">
      <c r="A1377" s="5"/>
    </row>
    <row r="1378" spans="1:1" x14ac:dyDescent="0.25">
      <c r="A1378" s="5"/>
    </row>
    <row r="1379" spans="1:1" x14ac:dyDescent="0.25">
      <c r="A1379" s="5"/>
    </row>
    <row r="1380" spans="1:1" x14ac:dyDescent="0.25">
      <c r="A1380" s="5"/>
    </row>
    <row r="1381" spans="1:1" x14ac:dyDescent="0.25">
      <c r="A1381" s="5"/>
    </row>
    <row r="1382" spans="1:1" x14ac:dyDescent="0.25">
      <c r="A1382" s="5"/>
    </row>
    <row r="1383" spans="1:1" x14ac:dyDescent="0.25">
      <c r="A1383" s="5"/>
    </row>
    <row r="1384" spans="1:1" x14ac:dyDescent="0.25">
      <c r="A1384" s="5"/>
    </row>
    <row r="1385" spans="1:1" x14ac:dyDescent="0.25">
      <c r="A1385" s="5"/>
    </row>
    <row r="1386" spans="1:1" x14ac:dyDescent="0.25">
      <c r="A1386" s="5"/>
    </row>
    <row r="1387" spans="1:1" x14ac:dyDescent="0.25">
      <c r="A1387" s="5"/>
    </row>
    <row r="1388" spans="1:1" x14ac:dyDescent="0.25">
      <c r="A1388" s="5"/>
    </row>
    <row r="1389" spans="1:1" x14ac:dyDescent="0.25">
      <c r="A1389" s="5"/>
    </row>
    <row r="1390" spans="1:1" x14ac:dyDescent="0.25">
      <c r="A1390" s="5"/>
    </row>
    <row r="1391" spans="1:1" x14ac:dyDescent="0.25">
      <c r="A1391" s="5"/>
    </row>
    <row r="1392" spans="1:1" x14ac:dyDescent="0.25">
      <c r="A1392" s="5"/>
    </row>
    <row r="1393" spans="1:1" x14ac:dyDescent="0.25">
      <c r="A1393" s="5"/>
    </row>
    <row r="1394" spans="1:1" x14ac:dyDescent="0.25">
      <c r="A1394" s="5"/>
    </row>
    <row r="1395" spans="1:1" x14ac:dyDescent="0.25">
      <c r="A1395" s="5"/>
    </row>
    <row r="1396" spans="1:1" x14ac:dyDescent="0.25">
      <c r="A1396" s="5"/>
    </row>
    <row r="1397" spans="1:1" x14ac:dyDescent="0.25">
      <c r="A1397" s="5"/>
    </row>
    <row r="1398" spans="1:1" x14ac:dyDescent="0.25">
      <c r="A1398" s="5"/>
    </row>
    <row r="1399" spans="1:1" x14ac:dyDescent="0.25">
      <c r="A1399" s="5"/>
    </row>
    <row r="1400" spans="1:1" x14ac:dyDescent="0.25">
      <c r="A1400" s="5"/>
    </row>
    <row r="1401" spans="1:1" x14ac:dyDescent="0.25">
      <c r="A1401" s="5"/>
    </row>
    <row r="1402" spans="1:1" x14ac:dyDescent="0.25">
      <c r="A1402" s="5"/>
    </row>
    <row r="1403" spans="1:1" x14ac:dyDescent="0.25">
      <c r="A1403" s="5"/>
    </row>
    <row r="1404" spans="1:1" x14ac:dyDescent="0.25">
      <c r="A1404" s="5"/>
    </row>
    <row r="1405" spans="1:1" x14ac:dyDescent="0.25">
      <c r="A1405" s="5"/>
    </row>
    <row r="1406" spans="1:1" x14ac:dyDescent="0.25">
      <c r="A1406" s="5"/>
    </row>
    <row r="1407" spans="1:1" x14ac:dyDescent="0.25">
      <c r="A1407" s="5"/>
    </row>
    <row r="1408" spans="1:1" x14ac:dyDescent="0.25">
      <c r="A1408" s="5"/>
    </row>
    <row r="1409" spans="1:1" x14ac:dyDescent="0.25">
      <c r="A1409" s="5"/>
    </row>
    <row r="1410" spans="1:1" x14ac:dyDescent="0.25">
      <c r="A1410" s="5"/>
    </row>
    <row r="1411" spans="1:1" x14ac:dyDescent="0.25">
      <c r="A1411" s="5"/>
    </row>
    <row r="1412" spans="1:1" x14ac:dyDescent="0.25">
      <c r="A1412" s="5"/>
    </row>
    <row r="1413" spans="1:1" x14ac:dyDescent="0.25">
      <c r="A1413" s="5"/>
    </row>
    <row r="1414" spans="1:1" x14ac:dyDescent="0.25">
      <c r="A1414" s="5"/>
    </row>
    <row r="1415" spans="1:1" x14ac:dyDescent="0.25">
      <c r="A1415" s="5"/>
    </row>
    <row r="1416" spans="1:1" x14ac:dyDescent="0.25">
      <c r="A1416" s="5"/>
    </row>
    <row r="1417" spans="1:1" x14ac:dyDescent="0.25">
      <c r="A1417" s="5"/>
    </row>
    <row r="1418" spans="1:1" x14ac:dyDescent="0.25">
      <c r="A1418" s="5"/>
    </row>
    <row r="1419" spans="1:1" x14ac:dyDescent="0.25">
      <c r="A1419" s="5"/>
    </row>
    <row r="1420" spans="1:1" x14ac:dyDescent="0.25">
      <c r="A1420" s="5"/>
    </row>
    <row r="1421" spans="1:1" x14ac:dyDescent="0.25">
      <c r="A1421" s="5"/>
    </row>
    <row r="1422" spans="1:1" x14ac:dyDescent="0.25">
      <c r="A1422" s="5"/>
    </row>
    <row r="1423" spans="1:1" x14ac:dyDescent="0.25">
      <c r="A1423" s="5"/>
    </row>
    <row r="1424" spans="1:1" x14ac:dyDescent="0.25">
      <c r="A1424" s="5"/>
    </row>
    <row r="1425" spans="1:1" x14ac:dyDescent="0.25">
      <c r="A1425" s="5"/>
    </row>
    <row r="1426" spans="1:1" x14ac:dyDescent="0.25">
      <c r="A1426" s="5"/>
    </row>
    <row r="1427" spans="1:1" x14ac:dyDescent="0.25">
      <c r="A1427" s="5"/>
    </row>
    <row r="1428" spans="1:1" x14ac:dyDescent="0.25">
      <c r="A1428" s="5"/>
    </row>
    <row r="1429" spans="1:1" x14ac:dyDescent="0.25">
      <c r="A1429" s="5"/>
    </row>
    <row r="1430" spans="1:1" x14ac:dyDescent="0.25">
      <c r="A1430" s="5"/>
    </row>
    <row r="1431" spans="1:1" x14ac:dyDescent="0.25">
      <c r="A1431" s="5"/>
    </row>
    <row r="1432" spans="1:1" x14ac:dyDescent="0.25">
      <c r="A1432" s="5"/>
    </row>
    <row r="1433" spans="1:1" x14ac:dyDescent="0.25">
      <c r="A1433" s="5"/>
    </row>
    <row r="1434" spans="1:1" x14ac:dyDescent="0.25">
      <c r="A1434" s="5"/>
    </row>
    <row r="1435" spans="1:1" x14ac:dyDescent="0.25">
      <c r="A1435" s="5"/>
    </row>
    <row r="1436" spans="1:1" x14ac:dyDescent="0.25">
      <c r="A1436" s="5"/>
    </row>
    <row r="1437" spans="1:1" x14ac:dyDescent="0.25">
      <c r="A1437" s="5"/>
    </row>
    <row r="1438" spans="1:1" x14ac:dyDescent="0.25">
      <c r="A1438" s="5"/>
    </row>
    <row r="1439" spans="1:1" x14ac:dyDescent="0.25">
      <c r="A1439" s="5"/>
    </row>
    <row r="1440" spans="1:1" x14ac:dyDescent="0.25">
      <c r="A1440" s="5"/>
    </row>
    <row r="1441" spans="1:1" x14ac:dyDescent="0.25">
      <c r="A1441" s="5"/>
    </row>
    <row r="1442" spans="1:1" x14ac:dyDescent="0.25">
      <c r="A1442" s="5"/>
    </row>
    <row r="1443" spans="1:1" x14ac:dyDescent="0.25">
      <c r="A1443" s="5"/>
    </row>
    <row r="1444" spans="1:1" x14ac:dyDescent="0.25">
      <c r="A1444" s="5"/>
    </row>
    <row r="1445" spans="1:1" x14ac:dyDescent="0.25">
      <c r="A1445" s="5"/>
    </row>
    <row r="1446" spans="1:1" x14ac:dyDescent="0.25">
      <c r="A1446" s="5"/>
    </row>
    <row r="1447" spans="1:1" x14ac:dyDescent="0.25">
      <c r="A1447" s="5"/>
    </row>
    <row r="1448" spans="1:1" x14ac:dyDescent="0.25">
      <c r="A1448" s="5"/>
    </row>
    <row r="1449" spans="1:1" x14ac:dyDescent="0.25">
      <c r="A1449" s="5"/>
    </row>
    <row r="1450" spans="1:1" x14ac:dyDescent="0.25">
      <c r="A1450" s="5"/>
    </row>
    <row r="1451" spans="1:1" x14ac:dyDescent="0.25">
      <c r="A1451" s="5"/>
    </row>
    <row r="1452" spans="1:1" x14ac:dyDescent="0.25">
      <c r="A1452" s="5"/>
    </row>
    <row r="1453" spans="1:1" x14ac:dyDescent="0.25">
      <c r="A1453" s="5"/>
    </row>
    <row r="1454" spans="1:1" x14ac:dyDescent="0.25">
      <c r="A1454" s="5"/>
    </row>
    <row r="1455" spans="1:1" x14ac:dyDescent="0.25">
      <c r="A1455" s="5"/>
    </row>
    <row r="1456" spans="1:1" x14ac:dyDescent="0.25">
      <c r="A1456" s="5"/>
    </row>
    <row r="1457" spans="1:1" x14ac:dyDescent="0.25">
      <c r="A1457" s="5"/>
    </row>
    <row r="1458" spans="1:1" x14ac:dyDescent="0.25">
      <c r="A1458" s="5"/>
    </row>
    <row r="1459" spans="1:1" x14ac:dyDescent="0.25">
      <c r="A1459" s="5"/>
    </row>
    <row r="1460" spans="1:1" x14ac:dyDescent="0.25">
      <c r="A1460" s="5"/>
    </row>
    <row r="1461" spans="1:1" x14ac:dyDescent="0.25">
      <c r="A1461" s="5"/>
    </row>
    <row r="1462" spans="1:1" x14ac:dyDescent="0.25">
      <c r="A1462" s="5"/>
    </row>
    <row r="1463" spans="1:1" x14ac:dyDescent="0.25">
      <c r="A1463" s="5"/>
    </row>
    <row r="1464" spans="1:1" x14ac:dyDescent="0.25">
      <c r="A1464" s="5"/>
    </row>
    <row r="1465" spans="1:1" x14ac:dyDescent="0.25">
      <c r="A1465" s="5"/>
    </row>
    <row r="1466" spans="1:1" x14ac:dyDescent="0.25">
      <c r="A1466" s="5"/>
    </row>
    <row r="1467" spans="1:1" x14ac:dyDescent="0.25">
      <c r="A1467" s="5"/>
    </row>
    <row r="1468" spans="1:1" x14ac:dyDescent="0.25">
      <c r="A1468" s="5"/>
    </row>
    <row r="1469" spans="1:1" x14ac:dyDescent="0.25">
      <c r="A1469" s="5"/>
    </row>
    <row r="1470" spans="1:1" x14ac:dyDescent="0.25">
      <c r="A1470" s="5"/>
    </row>
    <row r="1471" spans="1:1" x14ac:dyDescent="0.25">
      <c r="A1471" s="5"/>
    </row>
    <row r="1472" spans="1:1" x14ac:dyDescent="0.25">
      <c r="A1472" s="5"/>
    </row>
    <row r="1473" spans="1:1" x14ac:dyDescent="0.25">
      <c r="A1473" s="5"/>
    </row>
    <row r="1474" spans="1:1" x14ac:dyDescent="0.25">
      <c r="A1474" s="5"/>
    </row>
    <row r="1475" spans="1:1" x14ac:dyDescent="0.25">
      <c r="A1475" s="5"/>
    </row>
    <row r="1476" spans="1:1" x14ac:dyDescent="0.25">
      <c r="A1476" s="5"/>
    </row>
    <row r="1477" spans="1:1" x14ac:dyDescent="0.25">
      <c r="A1477" s="5"/>
    </row>
    <row r="1478" spans="1:1" x14ac:dyDescent="0.25">
      <c r="A1478" s="5"/>
    </row>
    <row r="1479" spans="1:1" x14ac:dyDescent="0.25">
      <c r="A1479" s="5"/>
    </row>
    <row r="1480" spans="1:1" x14ac:dyDescent="0.25">
      <c r="A1480" s="5"/>
    </row>
    <row r="1481" spans="1:1" x14ac:dyDescent="0.25">
      <c r="A1481" s="5"/>
    </row>
    <row r="1482" spans="1:1" x14ac:dyDescent="0.25">
      <c r="A1482" s="5"/>
    </row>
    <row r="1483" spans="1:1" x14ac:dyDescent="0.25">
      <c r="A1483" s="5"/>
    </row>
    <row r="1484" spans="1:1" x14ac:dyDescent="0.25">
      <c r="A1484" s="5"/>
    </row>
    <row r="1485" spans="1:1" x14ac:dyDescent="0.25">
      <c r="A1485" s="5"/>
    </row>
    <row r="1486" spans="1:1" x14ac:dyDescent="0.25">
      <c r="A1486" s="5"/>
    </row>
    <row r="1487" spans="1:1" x14ac:dyDescent="0.25">
      <c r="A1487" s="5"/>
    </row>
    <row r="1488" spans="1:1" x14ac:dyDescent="0.25">
      <c r="A1488" s="5"/>
    </row>
    <row r="1489" spans="1:1" x14ac:dyDescent="0.25">
      <c r="A1489" s="5"/>
    </row>
    <row r="1490" spans="1:1" x14ac:dyDescent="0.25">
      <c r="A1490" s="5"/>
    </row>
    <row r="1491" spans="1:1" x14ac:dyDescent="0.25">
      <c r="A1491" s="5"/>
    </row>
    <row r="1492" spans="1:1" x14ac:dyDescent="0.25">
      <c r="A1492" s="5"/>
    </row>
    <row r="1493" spans="1:1" x14ac:dyDescent="0.25">
      <c r="A1493" s="5"/>
    </row>
    <row r="1494" spans="1:1" x14ac:dyDescent="0.25">
      <c r="A1494" s="5"/>
    </row>
    <row r="1495" spans="1:1" x14ac:dyDescent="0.25">
      <c r="A1495" s="5"/>
    </row>
    <row r="1496" spans="1:1" x14ac:dyDescent="0.25">
      <c r="A1496" s="5"/>
    </row>
    <row r="1497" spans="1:1" x14ac:dyDescent="0.25">
      <c r="A1497" s="5"/>
    </row>
    <row r="1498" spans="1:1" x14ac:dyDescent="0.25">
      <c r="A1498" s="5"/>
    </row>
    <row r="1499" spans="1:1" x14ac:dyDescent="0.25">
      <c r="A1499" s="5"/>
    </row>
    <row r="1500" spans="1:1" x14ac:dyDescent="0.25">
      <c r="A1500" s="5"/>
    </row>
    <row r="1501" spans="1:1" x14ac:dyDescent="0.25">
      <c r="A1501" s="5"/>
    </row>
    <row r="1502" spans="1:1" x14ac:dyDescent="0.25">
      <c r="A1502" s="5"/>
    </row>
    <row r="1503" spans="1:1" x14ac:dyDescent="0.25">
      <c r="A1503" s="5"/>
    </row>
    <row r="1504" spans="1:1" x14ac:dyDescent="0.25">
      <c r="A1504" s="5"/>
    </row>
    <row r="1505" spans="1:1" x14ac:dyDescent="0.25">
      <c r="A1505" s="5"/>
    </row>
    <row r="1506" spans="1:1" x14ac:dyDescent="0.25">
      <c r="A1506" s="5"/>
    </row>
    <row r="1507" spans="1:1" x14ac:dyDescent="0.25">
      <c r="A1507" s="5"/>
    </row>
    <row r="1508" spans="1:1" x14ac:dyDescent="0.25">
      <c r="A1508" s="5"/>
    </row>
    <row r="1509" spans="1:1" x14ac:dyDescent="0.25">
      <c r="A1509" s="5"/>
    </row>
    <row r="1510" spans="1:1" x14ac:dyDescent="0.25">
      <c r="A1510" s="5"/>
    </row>
    <row r="1511" spans="1:1" x14ac:dyDescent="0.25">
      <c r="A1511" s="5"/>
    </row>
    <row r="1512" spans="1:1" x14ac:dyDescent="0.25">
      <c r="A1512" s="5"/>
    </row>
    <row r="1513" spans="1:1" x14ac:dyDescent="0.25">
      <c r="A1513" s="5"/>
    </row>
    <row r="1514" spans="1:1" x14ac:dyDescent="0.25">
      <c r="A1514" s="5"/>
    </row>
    <row r="1515" spans="1:1" x14ac:dyDescent="0.25">
      <c r="A1515" s="5"/>
    </row>
    <row r="1516" spans="1:1" x14ac:dyDescent="0.25">
      <c r="A1516" s="5"/>
    </row>
    <row r="1517" spans="1:1" x14ac:dyDescent="0.25">
      <c r="A1517" s="5"/>
    </row>
    <row r="1518" spans="1:1" x14ac:dyDescent="0.25">
      <c r="A1518" s="5"/>
    </row>
    <row r="1519" spans="1:1" x14ac:dyDescent="0.25">
      <c r="A1519" s="5"/>
    </row>
    <row r="1520" spans="1:1" x14ac:dyDescent="0.25">
      <c r="A1520" s="5"/>
    </row>
    <row r="1521" spans="1:1" x14ac:dyDescent="0.25">
      <c r="A1521" s="5"/>
    </row>
    <row r="1522" spans="1:1" x14ac:dyDescent="0.25">
      <c r="A1522" s="5"/>
    </row>
    <row r="1523" spans="1:1" x14ac:dyDescent="0.25">
      <c r="A1523" s="5"/>
    </row>
    <row r="1524" spans="1:1" x14ac:dyDescent="0.25">
      <c r="A1524" s="5"/>
    </row>
    <row r="1525" spans="1:1" x14ac:dyDescent="0.25">
      <c r="A1525" s="5"/>
    </row>
    <row r="1526" spans="1:1" x14ac:dyDescent="0.25">
      <c r="A1526" s="5"/>
    </row>
    <row r="1527" spans="1:1" x14ac:dyDescent="0.25">
      <c r="A1527" s="5"/>
    </row>
    <row r="1528" spans="1:1" x14ac:dyDescent="0.25">
      <c r="A1528" s="5"/>
    </row>
    <row r="1529" spans="1:1" x14ac:dyDescent="0.25">
      <c r="A1529" s="5"/>
    </row>
    <row r="1530" spans="1:1" x14ac:dyDescent="0.25">
      <c r="A1530" s="5"/>
    </row>
    <row r="1531" spans="1:1" x14ac:dyDescent="0.25">
      <c r="A1531" s="5"/>
    </row>
    <row r="1532" spans="1:1" x14ac:dyDescent="0.25">
      <c r="A1532" s="5"/>
    </row>
    <row r="1533" spans="1:1" x14ac:dyDescent="0.25">
      <c r="A1533" s="5"/>
    </row>
    <row r="1534" spans="1:1" x14ac:dyDescent="0.25">
      <c r="A1534" s="5"/>
    </row>
    <row r="1535" spans="1:1" x14ac:dyDescent="0.25">
      <c r="A1535" s="5"/>
    </row>
    <row r="1536" spans="1:1" x14ac:dyDescent="0.25">
      <c r="A1536" s="5"/>
    </row>
    <row r="1537" spans="1:1" x14ac:dyDescent="0.25">
      <c r="A1537" s="5"/>
    </row>
    <row r="1538" spans="1:1" x14ac:dyDescent="0.25">
      <c r="A1538" s="5"/>
    </row>
    <row r="1539" spans="1:1" x14ac:dyDescent="0.25">
      <c r="A1539" s="5"/>
    </row>
    <row r="1540" spans="1:1" x14ac:dyDescent="0.25">
      <c r="A1540" s="5"/>
    </row>
    <row r="1541" spans="1:1" x14ac:dyDescent="0.25">
      <c r="A1541" s="5"/>
    </row>
    <row r="1542" spans="1:1" x14ac:dyDescent="0.25">
      <c r="A1542" s="5"/>
    </row>
    <row r="1543" spans="1:1" x14ac:dyDescent="0.25">
      <c r="A1543" s="5"/>
    </row>
    <row r="1544" spans="1:1" x14ac:dyDescent="0.25">
      <c r="A1544" s="5"/>
    </row>
    <row r="1545" spans="1:1" x14ac:dyDescent="0.25">
      <c r="A1545" s="5"/>
    </row>
    <row r="1546" spans="1:1" x14ac:dyDescent="0.25">
      <c r="A1546" s="5"/>
    </row>
    <row r="1547" spans="1:1" x14ac:dyDescent="0.25">
      <c r="A1547" s="5"/>
    </row>
    <row r="1548" spans="1:1" x14ac:dyDescent="0.25">
      <c r="A1548" s="5"/>
    </row>
    <row r="1549" spans="1:1" x14ac:dyDescent="0.25">
      <c r="A1549" s="5"/>
    </row>
    <row r="1550" spans="1:1" x14ac:dyDescent="0.25">
      <c r="A1550" s="5"/>
    </row>
    <row r="1551" spans="1:1" x14ac:dyDescent="0.25">
      <c r="A1551" s="5"/>
    </row>
    <row r="1552" spans="1:1" x14ac:dyDescent="0.25">
      <c r="A1552" s="5"/>
    </row>
    <row r="1553" spans="1:1" x14ac:dyDescent="0.25">
      <c r="A1553" s="5"/>
    </row>
    <row r="1554" spans="1:1" x14ac:dyDescent="0.25">
      <c r="A1554" s="5"/>
    </row>
    <row r="1555" spans="1:1" x14ac:dyDescent="0.25">
      <c r="A1555" s="5"/>
    </row>
    <row r="1556" spans="1:1" x14ac:dyDescent="0.25">
      <c r="A1556" s="5"/>
    </row>
    <row r="1557" spans="1:1" x14ac:dyDescent="0.25">
      <c r="A1557" s="5"/>
    </row>
    <row r="1558" spans="1:1" x14ac:dyDescent="0.25">
      <c r="A1558" s="5"/>
    </row>
    <row r="1559" spans="1:1" x14ac:dyDescent="0.25">
      <c r="A1559" s="5"/>
    </row>
    <row r="1560" spans="1:1" x14ac:dyDescent="0.25">
      <c r="A1560" s="5"/>
    </row>
    <row r="1561" spans="1:1" x14ac:dyDescent="0.25">
      <c r="A1561" s="5"/>
    </row>
    <row r="1562" spans="1:1" x14ac:dyDescent="0.25">
      <c r="A1562" s="5"/>
    </row>
    <row r="1563" spans="1:1" x14ac:dyDescent="0.25">
      <c r="A1563" s="5"/>
    </row>
    <row r="1564" spans="1:1" x14ac:dyDescent="0.25">
      <c r="A1564" s="5"/>
    </row>
    <row r="1565" spans="1:1" x14ac:dyDescent="0.25">
      <c r="A1565" s="5"/>
    </row>
    <row r="1566" spans="1:1" x14ac:dyDescent="0.25">
      <c r="A1566" s="5"/>
    </row>
    <row r="1567" spans="1:1" x14ac:dyDescent="0.25">
      <c r="A1567" s="5"/>
    </row>
    <row r="1568" spans="1:1" x14ac:dyDescent="0.25">
      <c r="A1568" s="5"/>
    </row>
    <row r="1569" spans="1:1" x14ac:dyDescent="0.25">
      <c r="A1569" s="5"/>
    </row>
    <row r="1570" spans="1:1" x14ac:dyDescent="0.25">
      <c r="A1570" s="5"/>
    </row>
    <row r="1571" spans="1:1" x14ac:dyDescent="0.25">
      <c r="A1571" s="5"/>
    </row>
    <row r="1572" spans="1:1" x14ac:dyDescent="0.25">
      <c r="A1572" s="5"/>
    </row>
    <row r="1573" spans="1:1" x14ac:dyDescent="0.25">
      <c r="A1573" s="5"/>
    </row>
    <row r="1574" spans="1:1" x14ac:dyDescent="0.25">
      <c r="A1574" s="5"/>
    </row>
    <row r="1575" spans="1:1" x14ac:dyDescent="0.25">
      <c r="A1575" s="5"/>
    </row>
    <row r="1576" spans="1:1" x14ac:dyDescent="0.25">
      <c r="A1576" s="5"/>
    </row>
    <row r="1577" spans="1:1" x14ac:dyDescent="0.25">
      <c r="A1577" s="5"/>
    </row>
    <row r="1578" spans="1:1" x14ac:dyDescent="0.25">
      <c r="A1578" s="5"/>
    </row>
    <row r="1579" spans="1:1" x14ac:dyDescent="0.25">
      <c r="A1579" s="5"/>
    </row>
    <row r="1580" spans="1:1" x14ac:dyDescent="0.25">
      <c r="A1580" s="5"/>
    </row>
    <row r="1581" spans="1:1" x14ac:dyDescent="0.25">
      <c r="A1581" s="5"/>
    </row>
    <row r="1582" spans="1:1" x14ac:dyDescent="0.25">
      <c r="A1582" s="5"/>
    </row>
    <row r="1583" spans="1:1" x14ac:dyDescent="0.25">
      <c r="A1583" s="5"/>
    </row>
    <row r="1584" spans="1:1" x14ac:dyDescent="0.25">
      <c r="A1584" s="5"/>
    </row>
    <row r="1585" spans="1:1" x14ac:dyDescent="0.25">
      <c r="A1585" s="5"/>
    </row>
    <row r="1586" spans="1:1" x14ac:dyDescent="0.25">
      <c r="A1586" s="5"/>
    </row>
    <row r="1587" spans="1:1" x14ac:dyDescent="0.25">
      <c r="A1587" s="5"/>
    </row>
    <row r="1588" spans="1:1" x14ac:dyDescent="0.25">
      <c r="A1588" s="5"/>
    </row>
    <row r="1589" spans="1:1" x14ac:dyDescent="0.25">
      <c r="A1589" s="5"/>
    </row>
    <row r="1590" spans="1:1" x14ac:dyDescent="0.25">
      <c r="A1590" s="5"/>
    </row>
    <row r="1591" spans="1:1" x14ac:dyDescent="0.25">
      <c r="A1591" s="5"/>
    </row>
    <row r="1592" spans="1:1" x14ac:dyDescent="0.25">
      <c r="A1592" s="5"/>
    </row>
    <row r="1593" spans="1:1" x14ac:dyDescent="0.25">
      <c r="A1593" s="5"/>
    </row>
    <row r="1594" spans="1:1" x14ac:dyDescent="0.25">
      <c r="A1594" s="5"/>
    </row>
    <row r="1595" spans="1:1" x14ac:dyDescent="0.25">
      <c r="A1595" s="5"/>
    </row>
    <row r="1596" spans="1:1" x14ac:dyDescent="0.25">
      <c r="A1596" s="5"/>
    </row>
    <row r="1597" spans="1:1" x14ac:dyDescent="0.25">
      <c r="A1597" s="5"/>
    </row>
    <row r="1598" spans="1:1" x14ac:dyDescent="0.25">
      <c r="A1598" s="5"/>
    </row>
    <row r="1599" spans="1:1" x14ac:dyDescent="0.25">
      <c r="A1599" s="5"/>
    </row>
    <row r="1600" spans="1:1" x14ac:dyDescent="0.25">
      <c r="A1600" s="5"/>
    </row>
    <row r="1601" spans="1:1" x14ac:dyDescent="0.25">
      <c r="A1601" s="5"/>
    </row>
    <row r="1602" spans="1:1" x14ac:dyDescent="0.25">
      <c r="A1602" s="5"/>
    </row>
    <row r="1603" spans="1:1" x14ac:dyDescent="0.25">
      <c r="A1603" s="5"/>
    </row>
    <row r="1604" spans="1:1" x14ac:dyDescent="0.25">
      <c r="A1604" s="5"/>
    </row>
    <row r="1605" spans="1:1" x14ac:dyDescent="0.25">
      <c r="A1605" s="5"/>
    </row>
    <row r="1606" spans="1:1" x14ac:dyDescent="0.25">
      <c r="A1606" s="5"/>
    </row>
    <row r="1607" spans="1:1" x14ac:dyDescent="0.25">
      <c r="A1607" s="5"/>
    </row>
    <row r="1608" spans="1:1" x14ac:dyDescent="0.25">
      <c r="A1608" s="5"/>
    </row>
    <row r="1609" spans="1:1" x14ac:dyDescent="0.25">
      <c r="A1609" s="5"/>
    </row>
    <row r="1610" spans="1:1" x14ac:dyDescent="0.25">
      <c r="A1610" s="5"/>
    </row>
    <row r="1611" spans="1:1" x14ac:dyDescent="0.25">
      <c r="A1611" s="5"/>
    </row>
    <row r="1612" spans="1:1" x14ac:dyDescent="0.25">
      <c r="A1612" s="5"/>
    </row>
    <row r="1613" spans="1:1" x14ac:dyDescent="0.25">
      <c r="A1613" s="5"/>
    </row>
    <row r="1614" spans="1:1" x14ac:dyDescent="0.25">
      <c r="A1614" s="5"/>
    </row>
    <row r="1615" spans="1:1" x14ac:dyDescent="0.25">
      <c r="A1615" s="5"/>
    </row>
    <row r="1616" spans="1:1" x14ac:dyDescent="0.25">
      <c r="A1616" s="5"/>
    </row>
    <row r="1617" spans="1:1" x14ac:dyDescent="0.25">
      <c r="A1617" s="5"/>
    </row>
    <row r="1618" spans="1:1" x14ac:dyDescent="0.25">
      <c r="A1618" s="5"/>
    </row>
    <row r="1619" spans="1:1" x14ac:dyDescent="0.25">
      <c r="A1619" s="5"/>
    </row>
    <row r="1620" spans="1:1" x14ac:dyDescent="0.25">
      <c r="A1620" s="5"/>
    </row>
    <row r="1621" spans="1:1" x14ac:dyDescent="0.25">
      <c r="A1621" s="5"/>
    </row>
    <row r="1622" spans="1:1" x14ac:dyDescent="0.25">
      <c r="A1622" s="5"/>
    </row>
    <row r="1623" spans="1:1" x14ac:dyDescent="0.25">
      <c r="A1623" s="5"/>
    </row>
    <row r="1624" spans="1:1" x14ac:dyDescent="0.25">
      <c r="A1624" s="5"/>
    </row>
    <row r="1625" spans="1:1" x14ac:dyDescent="0.25">
      <c r="A1625" s="5"/>
    </row>
    <row r="1626" spans="1:1" x14ac:dyDescent="0.25">
      <c r="A1626" s="5"/>
    </row>
    <row r="1627" spans="1:1" x14ac:dyDescent="0.25">
      <c r="A1627" s="5"/>
    </row>
    <row r="1628" spans="1:1" x14ac:dyDescent="0.25">
      <c r="A1628" s="5"/>
    </row>
    <row r="1629" spans="1:1" x14ac:dyDescent="0.25">
      <c r="A1629" s="5"/>
    </row>
    <row r="1630" spans="1:1" x14ac:dyDescent="0.25">
      <c r="A1630" s="5"/>
    </row>
    <row r="1631" spans="1:1" x14ac:dyDescent="0.25">
      <c r="A1631" s="5"/>
    </row>
    <row r="1632" spans="1:1" x14ac:dyDescent="0.25">
      <c r="A1632" s="5"/>
    </row>
    <row r="1633" spans="1:1" x14ac:dyDescent="0.25">
      <c r="A1633" s="5"/>
    </row>
    <row r="1634" spans="1:1" x14ac:dyDescent="0.25">
      <c r="A1634" s="5"/>
    </row>
    <row r="1635" spans="1:1" x14ac:dyDescent="0.25">
      <c r="A1635" s="5"/>
    </row>
    <row r="1636" spans="1:1" x14ac:dyDescent="0.25">
      <c r="A1636" s="5"/>
    </row>
    <row r="1637" spans="1:1" x14ac:dyDescent="0.25">
      <c r="A1637" s="5"/>
    </row>
    <row r="1638" spans="1:1" x14ac:dyDescent="0.25">
      <c r="A1638" s="5"/>
    </row>
    <row r="1639" spans="1:1" x14ac:dyDescent="0.25">
      <c r="A1639" s="5"/>
    </row>
    <row r="1640" spans="1:1" x14ac:dyDescent="0.25">
      <c r="A1640" s="5"/>
    </row>
    <row r="1641" spans="1:1" x14ac:dyDescent="0.25">
      <c r="A1641" s="5"/>
    </row>
    <row r="1642" spans="1:1" x14ac:dyDescent="0.25">
      <c r="A1642" s="5"/>
    </row>
    <row r="1643" spans="1:1" x14ac:dyDescent="0.25">
      <c r="A1643" s="5"/>
    </row>
    <row r="1644" spans="1:1" x14ac:dyDescent="0.25">
      <c r="A1644" s="5"/>
    </row>
    <row r="1645" spans="1:1" x14ac:dyDescent="0.25">
      <c r="A1645" s="5"/>
    </row>
    <row r="1646" spans="1:1" x14ac:dyDescent="0.25">
      <c r="A1646" s="5"/>
    </row>
    <row r="1647" spans="1:1" x14ac:dyDescent="0.25">
      <c r="A1647" s="5"/>
    </row>
    <row r="1648" spans="1:1" x14ac:dyDescent="0.25">
      <c r="A1648" s="5"/>
    </row>
    <row r="1649" spans="1:1" x14ac:dyDescent="0.25">
      <c r="A1649" s="5"/>
    </row>
    <row r="1650" spans="1:1" x14ac:dyDescent="0.25">
      <c r="A1650" s="5"/>
    </row>
    <row r="1651" spans="1:1" x14ac:dyDescent="0.25">
      <c r="A1651" s="5"/>
    </row>
    <row r="1652" spans="1:1" x14ac:dyDescent="0.25">
      <c r="A1652" s="5"/>
    </row>
    <row r="1653" spans="1:1" x14ac:dyDescent="0.25">
      <c r="A1653" s="5"/>
    </row>
    <row r="1654" spans="1:1" x14ac:dyDescent="0.25">
      <c r="A1654" s="5"/>
    </row>
    <row r="1655" spans="1:1" x14ac:dyDescent="0.25">
      <c r="A1655" s="5"/>
    </row>
    <row r="1656" spans="1:1" x14ac:dyDescent="0.25">
      <c r="A1656" s="5"/>
    </row>
    <row r="1657" spans="1:1" x14ac:dyDescent="0.25">
      <c r="A1657" s="5"/>
    </row>
    <row r="1658" spans="1:1" x14ac:dyDescent="0.25">
      <c r="A1658" s="5"/>
    </row>
    <row r="1659" spans="1:1" x14ac:dyDescent="0.25">
      <c r="A1659" s="5"/>
    </row>
    <row r="1660" spans="1:1" x14ac:dyDescent="0.25">
      <c r="A1660" s="5"/>
    </row>
    <row r="1661" spans="1:1" x14ac:dyDescent="0.25">
      <c r="A1661" s="5"/>
    </row>
    <row r="1662" spans="1:1" x14ac:dyDescent="0.25">
      <c r="A1662" s="5"/>
    </row>
    <row r="1663" spans="1:1" x14ac:dyDescent="0.25">
      <c r="A1663" s="5"/>
    </row>
    <row r="1664" spans="1:1" x14ac:dyDescent="0.25">
      <c r="A1664" s="5"/>
    </row>
    <row r="1665" spans="1:1" x14ac:dyDescent="0.25">
      <c r="A1665" s="5"/>
    </row>
    <row r="1666" spans="1:1" x14ac:dyDescent="0.25">
      <c r="A1666" s="5"/>
    </row>
    <row r="1667" spans="1:1" x14ac:dyDescent="0.25">
      <c r="A1667" s="5"/>
    </row>
    <row r="1668" spans="1:1" x14ac:dyDescent="0.25">
      <c r="A1668" s="5"/>
    </row>
    <row r="1669" spans="1:1" x14ac:dyDescent="0.25">
      <c r="A1669" s="5"/>
    </row>
    <row r="1670" spans="1:1" x14ac:dyDescent="0.25">
      <c r="A1670" s="5"/>
    </row>
    <row r="1671" spans="1:1" x14ac:dyDescent="0.25">
      <c r="A1671" s="5"/>
    </row>
    <row r="1672" spans="1:1" x14ac:dyDescent="0.25">
      <c r="A1672" s="5"/>
    </row>
    <row r="1673" spans="1:1" x14ac:dyDescent="0.25">
      <c r="A1673" s="5"/>
    </row>
    <row r="1674" spans="1:1" x14ac:dyDescent="0.25">
      <c r="A1674" s="5"/>
    </row>
    <row r="1675" spans="1:1" x14ac:dyDescent="0.25">
      <c r="A1675" s="5"/>
    </row>
    <row r="1676" spans="1:1" x14ac:dyDescent="0.25">
      <c r="A1676" s="5"/>
    </row>
    <row r="1677" spans="1:1" x14ac:dyDescent="0.25">
      <c r="A1677" s="5"/>
    </row>
    <row r="1678" spans="1:1" x14ac:dyDescent="0.25">
      <c r="A1678" s="5"/>
    </row>
    <row r="1679" spans="1:1" x14ac:dyDescent="0.25">
      <c r="A1679" s="5"/>
    </row>
    <row r="1680" spans="1:1" x14ac:dyDescent="0.25">
      <c r="A1680" s="5"/>
    </row>
    <row r="1681" spans="1:1" x14ac:dyDescent="0.25">
      <c r="A1681" s="5"/>
    </row>
    <row r="1682" spans="1:1" x14ac:dyDescent="0.25">
      <c r="A1682" s="5"/>
    </row>
    <row r="1683" spans="1:1" x14ac:dyDescent="0.25">
      <c r="A1683" s="5"/>
    </row>
    <row r="1684" spans="1:1" x14ac:dyDescent="0.25">
      <c r="A1684" s="5"/>
    </row>
    <row r="1685" spans="1:1" x14ac:dyDescent="0.25">
      <c r="A1685" s="5"/>
    </row>
    <row r="1686" spans="1:1" x14ac:dyDescent="0.25">
      <c r="A1686" s="5"/>
    </row>
    <row r="1687" spans="1:1" x14ac:dyDescent="0.25">
      <c r="A1687" s="5"/>
    </row>
    <row r="1688" spans="1:1" x14ac:dyDescent="0.25">
      <c r="A1688" s="5"/>
    </row>
    <row r="1689" spans="1:1" x14ac:dyDescent="0.25">
      <c r="A1689" s="5"/>
    </row>
    <row r="1690" spans="1:1" x14ac:dyDescent="0.25">
      <c r="A1690" s="5"/>
    </row>
    <row r="1691" spans="1:1" x14ac:dyDescent="0.25">
      <c r="A1691" s="5"/>
    </row>
    <row r="1692" spans="1:1" x14ac:dyDescent="0.25">
      <c r="A1692" s="5"/>
    </row>
    <row r="1693" spans="1:1" x14ac:dyDescent="0.25">
      <c r="A1693" s="5"/>
    </row>
    <row r="1694" spans="1:1" x14ac:dyDescent="0.25">
      <c r="A1694" s="5"/>
    </row>
    <row r="1695" spans="1:1" x14ac:dyDescent="0.25">
      <c r="A1695" s="5"/>
    </row>
    <row r="1696" spans="1:1" x14ac:dyDescent="0.25">
      <c r="A1696" s="5"/>
    </row>
    <row r="1697" spans="1:1" x14ac:dyDescent="0.25">
      <c r="A1697" s="5"/>
    </row>
    <row r="1698" spans="1:1" x14ac:dyDescent="0.25">
      <c r="A1698" s="5"/>
    </row>
    <row r="1699" spans="1:1" x14ac:dyDescent="0.25">
      <c r="A1699" s="5"/>
    </row>
    <row r="1700" spans="1:1" x14ac:dyDescent="0.25">
      <c r="A1700" s="5"/>
    </row>
    <row r="1701" spans="1:1" x14ac:dyDescent="0.25">
      <c r="A1701" s="5"/>
    </row>
    <row r="1702" spans="1:1" x14ac:dyDescent="0.25">
      <c r="A1702" s="5"/>
    </row>
    <row r="1703" spans="1:1" x14ac:dyDescent="0.25">
      <c r="A1703" s="5"/>
    </row>
    <row r="1704" spans="1:1" x14ac:dyDescent="0.25">
      <c r="A1704" s="5"/>
    </row>
    <row r="1705" spans="1:1" x14ac:dyDescent="0.25">
      <c r="A1705" s="5"/>
    </row>
    <row r="1706" spans="1:1" x14ac:dyDescent="0.25">
      <c r="A1706" s="5"/>
    </row>
    <row r="1707" spans="1:1" x14ac:dyDescent="0.25">
      <c r="A1707" s="5"/>
    </row>
    <row r="1708" spans="1:1" x14ac:dyDescent="0.25">
      <c r="A1708" s="5"/>
    </row>
    <row r="1709" spans="1:1" x14ac:dyDescent="0.25">
      <c r="A1709" s="5"/>
    </row>
    <row r="1710" spans="1:1" x14ac:dyDescent="0.25">
      <c r="A1710" s="5"/>
    </row>
    <row r="1711" spans="1:1" x14ac:dyDescent="0.25">
      <c r="A1711" s="5"/>
    </row>
    <row r="1712" spans="1:1" x14ac:dyDescent="0.25">
      <c r="A1712" s="5"/>
    </row>
    <row r="1713" spans="1:1" x14ac:dyDescent="0.25">
      <c r="A1713" s="5"/>
    </row>
    <row r="1714" spans="1:1" x14ac:dyDescent="0.25">
      <c r="A1714" s="5"/>
    </row>
    <row r="1715" spans="1:1" x14ac:dyDescent="0.25">
      <c r="A1715" s="5"/>
    </row>
    <row r="1716" spans="1:1" x14ac:dyDescent="0.25">
      <c r="A1716" s="5"/>
    </row>
    <row r="1717" spans="1:1" x14ac:dyDescent="0.25">
      <c r="A1717" s="5"/>
    </row>
    <row r="1718" spans="1:1" x14ac:dyDescent="0.25">
      <c r="A1718" s="5"/>
    </row>
    <row r="1719" spans="1:1" x14ac:dyDescent="0.25">
      <c r="A1719" s="5"/>
    </row>
    <row r="1720" spans="1:1" x14ac:dyDescent="0.25">
      <c r="A1720" s="5"/>
    </row>
    <row r="1721" spans="1:1" x14ac:dyDescent="0.25">
      <c r="A1721" s="5"/>
    </row>
    <row r="1722" spans="1:1" x14ac:dyDescent="0.25">
      <c r="A1722" s="5"/>
    </row>
    <row r="1723" spans="1:1" x14ac:dyDescent="0.25">
      <c r="A1723" s="5"/>
    </row>
    <row r="1724" spans="1:1" x14ac:dyDescent="0.25">
      <c r="A1724" s="5"/>
    </row>
    <row r="1725" spans="1:1" x14ac:dyDescent="0.25">
      <c r="A1725" s="5"/>
    </row>
    <row r="1726" spans="1:1" x14ac:dyDescent="0.25">
      <c r="A1726" s="5"/>
    </row>
    <row r="1727" spans="1:1" x14ac:dyDescent="0.25">
      <c r="A1727" s="5"/>
    </row>
    <row r="1728" spans="1:1" x14ac:dyDescent="0.25">
      <c r="A1728" s="5"/>
    </row>
    <row r="1729" spans="1:1" x14ac:dyDescent="0.25">
      <c r="A1729" s="5"/>
    </row>
    <row r="1730" spans="1:1" x14ac:dyDescent="0.25">
      <c r="A1730" s="5"/>
    </row>
    <row r="1731" spans="1:1" x14ac:dyDescent="0.25">
      <c r="A1731" s="5"/>
    </row>
    <row r="1732" spans="1:1" x14ac:dyDescent="0.25">
      <c r="A1732" s="5"/>
    </row>
    <row r="1733" spans="1:1" x14ac:dyDescent="0.25">
      <c r="A1733" s="5"/>
    </row>
    <row r="1734" spans="1:1" x14ac:dyDescent="0.25">
      <c r="A1734" s="5"/>
    </row>
    <row r="1735" spans="1:1" x14ac:dyDescent="0.25">
      <c r="A1735" s="5"/>
    </row>
    <row r="1736" spans="1:1" x14ac:dyDescent="0.25">
      <c r="A1736" s="5"/>
    </row>
    <row r="1737" spans="1:1" x14ac:dyDescent="0.25">
      <c r="A1737" s="5"/>
    </row>
    <row r="1738" spans="1:1" x14ac:dyDescent="0.25">
      <c r="A1738" s="5"/>
    </row>
    <row r="1739" spans="1:1" x14ac:dyDescent="0.25">
      <c r="A1739" s="5"/>
    </row>
    <row r="1740" spans="1:1" x14ac:dyDescent="0.25">
      <c r="A1740" s="5"/>
    </row>
    <row r="1741" spans="1:1" x14ac:dyDescent="0.25">
      <c r="A1741" s="5"/>
    </row>
    <row r="1742" spans="1:1" x14ac:dyDescent="0.25">
      <c r="A1742" s="5"/>
    </row>
    <row r="1743" spans="1:1" x14ac:dyDescent="0.25">
      <c r="A1743" s="5"/>
    </row>
    <row r="1744" spans="1:1" x14ac:dyDescent="0.25">
      <c r="A1744" s="5"/>
    </row>
    <row r="1745" spans="1:1" x14ac:dyDescent="0.25">
      <c r="A1745" s="5"/>
    </row>
    <row r="1746" spans="1:1" x14ac:dyDescent="0.25">
      <c r="A1746" s="5"/>
    </row>
    <row r="1747" spans="1:1" x14ac:dyDescent="0.25">
      <c r="A1747" s="5"/>
    </row>
    <row r="1748" spans="1:1" x14ac:dyDescent="0.25">
      <c r="A1748" s="5"/>
    </row>
    <row r="1749" spans="1:1" x14ac:dyDescent="0.25">
      <c r="A1749" s="5"/>
    </row>
    <row r="1750" spans="1:1" x14ac:dyDescent="0.25">
      <c r="A1750" s="5"/>
    </row>
    <row r="1751" spans="1:1" x14ac:dyDescent="0.25">
      <c r="A1751" s="5"/>
    </row>
    <row r="1752" spans="1:1" x14ac:dyDescent="0.25">
      <c r="A1752" s="5"/>
    </row>
    <row r="1753" spans="1:1" x14ac:dyDescent="0.25">
      <c r="A1753" s="5"/>
    </row>
    <row r="1754" spans="1:1" x14ac:dyDescent="0.25">
      <c r="A1754" s="5"/>
    </row>
    <row r="1755" spans="1:1" x14ac:dyDescent="0.25">
      <c r="A1755" s="5"/>
    </row>
    <row r="1756" spans="1:1" x14ac:dyDescent="0.25">
      <c r="A1756" s="5"/>
    </row>
    <row r="1757" spans="1:1" x14ac:dyDescent="0.25">
      <c r="A1757" s="5"/>
    </row>
    <row r="1758" spans="1:1" x14ac:dyDescent="0.25">
      <c r="A1758" s="5"/>
    </row>
    <row r="1759" spans="1:1" x14ac:dyDescent="0.25">
      <c r="A1759" s="5"/>
    </row>
    <row r="1760" spans="1:1" x14ac:dyDescent="0.25">
      <c r="A1760" s="5"/>
    </row>
    <row r="1761" spans="1:1" x14ac:dyDescent="0.25">
      <c r="A1761" s="5"/>
    </row>
    <row r="1762" spans="1:1" x14ac:dyDescent="0.25">
      <c r="A1762" s="5"/>
    </row>
    <row r="1763" spans="1:1" x14ac:dyDescent="0.25">
      <c r="A1763" s="5"/>
    </row>
    <row r="1764" spans="1:1" x14ac:dyDescent="0.25">
      <c r="A1764" s="5"/>
    </row>
    <row r="1765" spans="1:1" x14ac:dyDescent="0.25">
      <c r="A1765" s="5"/>
    </row>
    <row r="1766" spans="1:1" x14ac:dyDescent="0.25">
      <c r="A1766" s="5"/>
    </row>
    <row r="1767" spans="1:1" x14ac:dyDescent="0.25">
      <c r="A1767" s="5"/>
    </row>
    <row r="1768" spans="1:1" x14ac:dyDescent="0.25">
      <c r="A1768" s="5"/>
    </row>
    <row r="1769" spans="1:1" x14ac:dyDescent="0.25">
      <c r="A1769" s="5"/>
    </row>
    <row r="1770" spans="1:1" x14ac:dyDescent="0.25">
      <c r="A1770" s="5"/>
    </row>
    <row r="1771" spans="1:1" x14ac:dyDescent="0.25">
      <c r="A1771" s="5"/>
    </row>
    <row r="1772" spans="1:1" x14ac:dyDescent="0.25">
      <c r="A1772" s="5"/>
    </row>
    <row r="1773" spans="1:1" x14ac:dyDescent="0.25">
      <c r="A1773" s="5"/>
    </row>
    <row r="1774" spans="1:1" x14ac:dyDescent="0.25">
      <c r="A1774" s="5"/>
    </row>
    <row r="1775" spans="1:1" x14ac:dyDescent="0.25">
      <c r="A1775" s="5"/>
    </row>
    <row r="1776" spans="1:1" x14ac:dyDescent="0.25">
      <c r="A1776" s="5"/>
    </row>
    <row r="1777" spans="1:1" x14ac:dyDescent="0.25">
      <c r="A1777" s="5"/>
    </row>
    <row r="1778" spans="1:1" x14ac:dyDescent="0.25">
      <c r="A1778" s="5"/>
    </row>
    <row r="1779" spans="1:1" x14ac:dyDescent="0.25">
      <c r="A1779" s="5"/>
    </row>
    <row r="1780" spans="1:1" x14ac:dyDescent="0.25">
      <c r="A1780" s="5"/>
    </row>
    <row r="1781" spans="1:1" x14ac:dyDescent="0.25">
      <c r="A1781" s="5"/>
    </row>
    <row r="1782" spans="1:1" x14ac:dyDescent="0.25">
      <c r="A1782" s="5"/>
    </row>
    <row r="1783" spans="1:1" x14ac:dyDescent="0.25">
      <c r="A1783" s="5"/>
    </row>
    <row r="1784" spans="1:1" x14ac:dyDescent="0.25">
      <c r="A1784" s="5"/>
    </row>
    <row r="1785" spans="1:1" x14ac:dyDescent="0.25">
      <c r="A1785" s="5"/>
    </row>
    <row r="1786" spans="1:1" x14ac:dyDescent="0.25">
      <c r="A1786" s="5"/>
    </row>
    <row r="1787" spans="1:1" x14ac:dyDescent="0.25">
      <c r="A1787" s="5"/>
    </row>
    <row r="1788" spans="1:1" x14ac:dyDescent="0.25">
      <c r="A1788" s="5"/>
    </row>
    <row r="1789" spans="1:1" x14ac:dyDescent="0.25">
      <c r="A1789" s="5"/>
    </row>
    <row r="1790" spans="1:1" x14ac:dyDescent="0.25">
      <c r="A1790" s="5"/>
    </row>
    <row r="1791" spans="1:1" x14ac:dyDescent="0.25">
      <c r="A1791" s="5"/>
    </row>
    <row r="1792" spans="1:1" x14ac:dyDescent="0.25">
      <c r="A1792" s="5"/>
    </row>
    <row r="1793" spans="1:1" x14ac:dyDescent="0.25">
      <c r="A1793" s="5"/>
    </row>
    <row r="1794" spans="1:1" x14ac:dyDescent="0.25">
      <c r="A1794" s="5"/>
    </row>
    <row r="1795" spans="1:1" x14ac:dyDescent="0.25">
      <c r="A1795" s="5"/>
    </row>
    <row r="1796" spans="1:1" x14ac:dyDescent="0.25">
      <c r="A1796" s="5"/>
    </row>
    <row r="1797" spans="1:1" x14ac:dyDescent="0.25">
      <c r="A1797" s="5"/>
    </row>
    <row r="1798" spans="1:1" x14ac:dyDescent="0.25">
      <c r="A1798" s="5"/>
    </row>
    <row r="1799" spans="1:1" x14ac:dyDescent="0.25">
      <c r="A1799" s="5"/>
    </row>
    <row r="1800" spans="1:1" x14ac:dyDescent="0.25">
      <c r="A1800" s="5"/>
    </row>
    <row r="1801" spans="1:1" x14ac:dyDescent="0.25">
      <c r="A1801" s="5"/>
    </row>
    <row r="1802" spans="1:1" x14ac:dyDescent="0.25">
      <c r="A1802" s="5"/>
    </row>
    <row r="1803" spans="1:1" x14ac:dyDescent="0.25">
      <c r="A1803" s="5"/>
    </row>
    <row r="1804" spans="1:1" x14ac:dyDescent="0.25">
      <c r="A1804" s="5"/>
    </row>
    <row r="1805" spans="1:1" x14ac:dyDescent="0.25">
      <c r="A1805" s="5"/>
    </row>
    <row r="1806" spans="1:1" x14ac:dyDescent="0.25">
      <c r="A1806" s="5"/>
    </row>
    <row r="1807" spans="1:1" x14ac:dyDescent="0.25">
      <c r="A1807" s="5"/>
    </row>
    <row r="1808" spans="1:1" x14ac:dyDescent="0.25">
      <c r="A1808" s="5"/>
    </row>
    <row r="1809" spans="1:1" x14ac:dyDescent="0.25">
      <c r="A1809" s="5"/>
    </row>
    <row r="1810" spans="1:1" x14ac:dyDescent="0.25">
      <c r="A1810" s="5"/>
    </row>
    <row r="1811" spans="1:1" x14ac:dyDescent="0.25">
      <c r="A1811" s="5"/>
    </row>
    <row r="1812" spans="1:1" x14ac:dyDescent="0.25">
      <c r="A1812" s="5"/>
    </row>
    <row r="1813" spans="1:1" x14ac:dyDescent="0.25">
      <c r="A1813" s="5"/>
    </row>
    <row r="1814" spans="1:1" x14ac:dyDescent="0.25">
      <c r="A1814" s="5"/>
    </row>
    <row r="1815" spans="1:1" x14ac:dyDescent="0.25">
      <c r="A1815" s="5"/>
    </row>
    <row r="1816" spans="1:1" x14ac:dyDescent="0.25">
      <c r="A1816" s="5"/>
    </row>
    <row r="1817" spans="1:1" x14ac:dyDescent="0.25">
      <c r="A1817" s="5"/>
    </row>
    <row r="1818" spans="1:1" x14ac:dyDescent="0.25">
      <c r="A1818" s="5"/>
    </row>
    <row r="1819" spans="1:1" x14ac:dyDescent="0.25">
      <c r="A1819" s="5"/>
    </row>
    <row r="1820" spans="1:1" x14ac:dyDescent="0.25">
      <c r="A1820" s="5"/>
    </row>
    <row r="1821" spans="1:1" x14ac:dyDescent="0.25">
      <c r="A1821" s="5"/>
    </row>
    <row r="1822" spans="1:1" x14ac:dyDescent="0.25">
      <c r="A1822" s="5"/>
    </row>
    <row r="1823" spans="1:1" x14ac:dyDescent="0.25">
      <c r="A1823" s="5"/>
    </row>
    <row r="1824" spans="1:1" x14ac:dyDescent="0.25">
      <c r="A1824" s="5"/>
    </row>
    <row r="1825" spans="1:1" x14ac:dyDescent="0.25">
      <c r="A1825" s="5"/>
    </row>
    <row r="1826" spans="1:1" x14ac:dyDescent="0.25">
      <c r="A1826" s="5"/>
    </row>
    <row r="1827" spans="1:1" x14ac:dyDescent="0.25">
      <c r="A1827" s="5"/>
    </row>
    <row r="1828" spans="1:1" x14ac:dyDescent="0.25">
      <c r="A1828" s="5"/>
    </row>
    <row r="1829" spans="1:1" x14ac:dyDescent="0.25">
      <c r="A1829" s="5"/>
    </row>
    <row r="1830" spans="1:1" x14ac:dyDescent="0.25">
      <c r="A1830" s="5"/>
    </row>
    <row r="1831" spans="1:1" x14ac:dyDescent="0.25">
      <c r="A1831" s="5"/>
    </row>
    <row r="1832" spans="1:1" x14ac:dyDescent="0.25">
      <c r="A1832" s="5"/>
    </row>
    <row r="1833" spans="1:1" x14ac:dyDescent="0.25">
      <c r="A1833" s="5"/>
    </row>
    <row r="1834" spans="1:1" x14ac:dyDescent="0.25">
      <c r="A1834" s="5"/>
    </row>
    <row r="1835" spans="1:1" x14ac:dyDescent="0.25">
      <c r="A1835" s="5"/>
    </row>
    <row r="1836" spans="1:1" x14ac:dyDescent="0.25">
      <c r="A1836" s="5"/>
    </row>
    <row r="1837" spans="1:1" x14ac:dyDescent="0.25">
      <c r="A1837" s="5"/>
    </row>
    <row r="1838" spans="1:1" x14ac:dyDescent="0.25">
      <c r="A1838" s="5"/>
    </row>
    <row r="1839" spans="1:1" x14ac:dyDescent="0.25">
      <c r="A1839" s="5"/>
    </row>
    <row r="1840" spans="1:1" x14ac:dyDescent="0.25">
      <c r="A1840" s="5"/>
    </row>
    <row r="1841" spans="1:1" x14ac:dyDescent="0.25">
      <c r="A1841" s="5"/>
    </row>
    <row r="1842" spans="1:1" x14ac:dyDescent="0.25">
      <c r="A1842" s="5"/>
    </row>
    <row r="1843" spans="1:1" x14ac:dyDescent="0.25">
      <c r="A1843" s="5"/>
    </row>
    <row r="1844" spans="1:1" x14ac:dyDescent="0.25">
      <c r="A1844" s="5"/>
    </row>
    <row r="1845" spans="1:1" x14ac:dyDescent="0.25">
      <c r="A1845" s="5"/>
    </row>
    <row r="1846" spans="1:1" x14ac:dyDescent="0.25">
      <c r="A1846" s="5"/>
    </row>
    <row r="1847" spans="1:1" x14ac:dyDescent="0.25">
      <c r="A1847" s="5"/>
    </row>
    <row r="1848" spans="1:1" x14ac:dyDescent="0.25">
      <c r="A1848" s="5"/>
    </row>
    <row r="1849" spans="1:1" x14ac:dyDescent="0.25">
      <c r="A1849" s="5"/>
    </row>
    <row r="1850" spans="1:1" x14ac:dyDescent="0.25">
      <c r="A1850" s="5"/>
    </row>
    <row r="1851" spans="1:1" x14ac:dyDescent="0.25">
      <c r="A1851" s="5"/>
    </row>
    <row r="1852" spans="1:1" x14ac:dyDescent="0.25">
      <c r="A1852" s="5"/>
    </row>
    <row r="1853" spans="1:1" x14ac:dyDescent="0.25">
      <c r="A1853" s="5"/>
    </row>
    <row r="1854" spans="1:1" x14ac:dyDescent="0.25">
      <c r="A1854" s="5"/>
    </row>
    <row r="1855" spans="1:1" x14ac:dyDescent="0.25">
      <c r="A1855" s="5"/>
    </row>
    <row r="1856" spans="1:1" x14ac:dyDescent="0.25">
      <c r="A1856" s="5"/>
    </row>
    <row r="1857" spans="1:1" x14ac:dyDescent="0.25">
      <c r="A1857" s="5"/>
    </row>
    <row r="1858" spans="1:1" x14ac:dyDescent="0.25">
      <c r="A1858" s="5"/>
    </row>
    <row r="1859" spans="1:1" x14ac:dyDescent="0.25">
      <c r="A1859" s="5"/>
    </row>
    <row r="1860" spans="1:1" x14ac:dyDescent="0.25">
      <c r="A1860" s="5"/>
    </row>
    <row r="1861" spans="1:1" x14ac:dyDescent="0.25">
      <c r="A1861" s="5"/>
    </row>
    <row r="1862" spans="1:1" x14ac:dyDescent="0.25">
      <c r="A1862" s="5"/>
    </row>
    <row r="1863" spans="1:1" x14ac:dyDescent="0.25">
      <c r="A1863" s="5"/>
    </row>
    <row r="1864" spans="1:1" x14ac:dyDescent="0.25">
      <c r="A1864" s="5"/>
    </row>
    <row r="1865" spans="1:1" x14ac:dyDescent="0.25">
      <c r="A1865" s="5"/>
    </row>
    <row r="1866" spans="1:1" x14ac:dyDescent="0.25">
      <c r="A1866" s="5"/>
    </row>
    <row r="1867" spans="1:1" x14ac:dyDescent="0.25">
      <c r="A1867" s="5"/>
    </row>
    <row r="1868" spans="1:1" x14ac:dyDescent="0.25">
      <c r="A1868" s="5"/>
    </row>
    <row r="1869" spans="1:1" x14ac:dyDescent="0.25">
      <c r="A1869" s="5"/>
    </row>
    <row r="1870" spans="1:1" x14ac:dyDescent="0.25">
      <c r="A1870" s="5"/>
    </row>
    <row r="1871" spans="1:1" x14ac:dyDescent="0.25">
      <c r="A1871" s="5"/>
    </row>
    <row r="1872" spans="1:1" x14ac:dyDescent="0.25">
      <c r="A1872" s="5"/>
    </row>
    <row r="1873" spans="1:1" x14ac:dyDescent="0.25">
      <c r="A1873" s="5"/>
    </row>
    <row r="1874" spans="1:1" x14ac:dyDescent="0.25">
      <c r="A1874" s="5"/>
    </row>
    <row r="1875" spans="1:1" x14ac:dyDescent="0.25">
      <c r="A1875" s="5"/>
    </row>
    <row r="1876" spans="1:1" x14ac:dyDescent="0.25">
      <c r="A1876" s="5"/>
    </row>
    <row r="1877" spans="1:1" x14ac:dyDescent="0.25">
      <c r="A1877" s="5"/>
    </row>
    <row r="1878" spans="1:1" x14ac:dyDescent="0.25">
      <c r="A1878" s="5"/>
    </row>
    <row r="1879" spans="1:1" x14ac:dyDescent="0.25">
      <c r="A1879" s="5"/>
    </row>
    <row r="1880" spans="1:1" x14ac:dyDescent="0.25">
      <c r="A1880" s="5"/>
    </row>
    <row r="1881" spans="1:1" x14ac:dyDescent="0.25">
      <c r="A1881" s="5"/>
    </row>
    <row r="1882" spans="1:1" x14ac:dyDescent="0.25">
      <c r="A1882" s="5"/>
    </row>
    <row r="1883" spans="1:1" x14ac:dyDescent="0.25">
      <c r="A1883" s="5"/>
    </row>
    <row r="1884" spans="1:1" x14ac:dyDescent="0.25">
      <c r="A1884" s="5"/>
    </row>
    <row r="1885" spans="1:1" x14ac:dyDescent="0.25">
      <c r="A1885" s="5"/>
    </row>
    <row r="1886" spans="1:1" x14ac:dyDescent="0.25">
      <c r="A1886" s="5"/>
    </row>
    <row r="1887" spans="1:1" x14ac:dyDescent="0.25">
      <c r="A1887" s="5"/>
    </row>
    <row r="1888" spans="1:1" x14ac:dyDescent="0.25">
      <c r="A1888" s="5"/>
    </row>
    <row r="1889" spans="1:1" x14ac:dyDescent="0.25">
      <c r="A1889" s="5"/>
    </row>
    <row r="1890" spans="1:1" x14ac:dyDescent="0.25">
      <c r="A1890" s="5"/>
    </row>
    <row r="1891" spans="1:1" x14ac:dyDescent="0.25">
      <c r="A1891" s="5"/>
    </row>
    <row r="1892" spans="1:1" x14ac:dyDescent="0.25">
      <c r="A1892" s="5"/>
    </row>
    <row r="1893" spans="1:1" x14ac:dyDescent="0.25">
      <c r="A1893" s="5"/>
    </row>
    <row r="1894" spans="1:1" x14ac:dyDescent="0.25">
      <c r="A1894" s="5"/>
    </row>
    <row r="1895" spans="1:1" x14ac:dyDescent="0.25">
      <c r="A1895" s="5"/>
    </row>
    <row r="1896" spans="1:1" x14ac:dyDescent="0.25">
      <c r="A1896" s="5"/>
    </row>
    <row r="1897" spans="1:1" x14ac:dyDescent="0.25">
      <c r="A1897" s="5"/>
    </row>
    <row r="1898" spans="1:1" x14ac:dyDescent="0.25">
      <c r="A1898" s="5"/>
    </row>
    <row r="1899" spans="1:1" x14ac:dyDescent="0.25">
      <c r="A1899" s="5"/>
    </row>
    <row r="1900" spans="1:1" x14ac:dyDescent="0.25">
      <c r="A1900" s="5"/>
    </row>
    <row r="1901" spans="1:1" x14ac:dyDescent="0.25">
      <c r="A1901" s="5"/>
    </row>
    <row r="1902" spans="1:1" x14ac:dyDescent="0.25">
      <c r="A1902" s="5"/>
    </row>
    <row r="1903" spans="1:1" x14ac:dyDescent="0.25">
      <c r="A1903" s="5"/>
    </row>
    <row r="1904" spans="1:1" x14ac:dyDescent="0.25">
      <c r="A1904" s="5"/>
    </row>
    <row r="1905" spans="1:1" x14ac:dyDescent="0.25">
      <c r="A1905" s="5"/>
    </row>
    <row r="1906" spans="1:1" x14ac:dyDescent="0.25">
      <c r="A1906" s="5"/>
    </row>
    <row r="1907" spans="1:1" x14ac:dyDescent="0.25">
      <c r="A1907" s="5"/>
    </row>
    <row r="1908" spans="1:1" x14ac:dyDescent="0.25">
      <c r="A1908" s="5"/>
    </row>
    <row r="1909" spans="1:1" x14ac:dyDescent="0.25">
      <c r="A1909" s="5"/>
    </row>
    <row r="1910" spans="1:1" x14ac:dyDescent="0.25">
      <c r="A1910" s="5"/>
    </row>
    <row r="1911" spans="1:1" x14ac:dyDescent="0.25">
      <c r="A1911" s="5"/>
    </row>
    <row r="1912" spans="1:1" x14ac:dyDescent="0.25">
      <c r="A1912" s="5"/>
    </row>
    <row r="1913" spans="1:1" x14ac:dyDescent="0.25">
      <c r="A1913" s="5"/>
    </row>
    <row r="1914" spans="1:1" x14ac:dyDescent="0.25">
      <c r="A1914" s="5"/>
    </row>
    <row r="1915" spans="1:1" x14ac:dyDescent="0.25">
      <c r="A1915" s="5"/>
    </row>
    <row r="1916" spans="1:1" x14ac:dyDescent="0.25">
      <c r="A1916" s="5"/>
    </row>
    <row r="1917" spans="1:1" x14ac:dyDescent="0.25">
      <c r="A1917" s="5"/>
    </row>
    <row r="1918" spans="1:1" x14ac:dyDescent="0.25">
      <c r="A1918" s="5"/>
    </row>
    <row r="1919" spans="1:1" x14ac:dyDescent="0.25">
      <c r="A1919" s="5"/>
    </row>
    <row r="1920" spans="1:1" x14ac:dyDescent="0.25">
      <c r="A1920" s="5"/>
    </row>
    <row r="1921" spans="1:1" x14ac:dyDescent="0.25">
      <c r="A1921" s="5"/>
    </row>
    <row r="1922" spans="1:1" x14ac:dyDescent="0.25">
      <c r="A1922" s="5"/>
    </row>
    <row r="1923" spans="1:1" x14ac:dyDescent="0.25">
      <c r="A1923" s="5"/>
    </row>
    <row r="1924" spans="1:1" x14ac:dyDescent="0.25">
      <c r="A1924" s="5"/>
    </row>
    <row r="1925" spans="1:1" x14ac:dyDescent="0.25">
      <c r="A1925" s="5"/>
    </row>
    <row r="1926" spans="1:1" x14ac:dyDescent="0.25">
      <c r="A1926" s="5"/>
    </row>
    <row r="1927" spans="1:1" x14ac:dyDescent="0.25">
      <c r="A1927" s="5"/>
    </row>
    <row r="1928" spans="1:1" x14ac:dyDescent="0.25">
      <c r="A1928" s="5"/>
    </row>
    <row r="1929" spans="1:1" x14ac:dyDescent="0.25">
      <c r="A1929" s="5"/>
    </row>
    <row r="1930" spans="1:1" x14ac:dyDescent="0.25">
      <c r="A1930" s="5"/>
    </row>
    <row r="1931" spans="1:1" x14ac:dyDescent="0.25">
      <c r="A1931" s="5"/>
    </row>
    <row r="1932" spans="1:1" x14ac:dyDescent="0.25">
      <c r="A1932" s="5"/>
    </row>
    <row r="1933" spans="1:1" x14ac:dyDescent="0.25">
      <c r="A1933" s="5"/>
    </row>
    <row r="1934" spans="1:1" x14ac:dyDescent="0.25">
      <c r="A1934" s="5"/>
    </row>
    <row r="1935" spans="1:1" x14ac:dyDescent="0.25">
      <c r="A1935" s="5"/>
    </row>
    <row r="1936" spans="1:1" x14ac:dyDescent="0.25">
      <c r="A1936" s="5"/>
    </row>
    <row r="1937" spans="1:1" x14ac:dyDescent="0.25">
      <c r="A1937" s="5"/>
    </row>
    <row r="1938" spans="1:1" x14ac:dyDescent="0.25">
      <c r="A1938" s="5"/>
    </row>
    <row r="1939" spans="1:1" x14ac:dyDescent="0.25">
      <c r="A1939" s="5"/>
    </row>
    <row r="1940" spans="1:1" x14ac:dyDescent="0.25">
      <c r="A1940" s="5"/>
    </row>
    <row r="1941" spans="1:1" x14ac:dyDescent="0.25">
      <c r="A1941" s="5"/>
    </row>
    <row r="1942" spans="1:1" x14ac:dyDescent="0.25">
      <c r="A1942" s="5"/>
    </row>
    <row r="1943" spans="1:1" x14ac:dyDescent="0.25">
      <c r="A1943" s="5"/>
    </row>
    <row r="1944" spans="1:1" x14ac:dyDescent="0.25">
      <c r="A1944" s="5"/>
    </row>
    <row r="1945" spans="1:1" x14ac:dyDescent="0.25">
      <c r="A1945" s="5"/>
    </row>
    <row r="1946" spans="1:1" x14ac:dyDescent="0.25">
      <c r="A1946" s="5"/>
    </row>
    <row r="1947" spans="1:1" x14ac:dyDescent="0.25">
      <c r="A1947" s="5"/>
    </row>
    <row r="1948" spans="1:1" x14ac:dyDescent="0.25">
      <c r="A1948" s="5"/>
    </row>
    <row r="1949" spans="1:1" x14ac:dyDescent="0.25">
      <c r="A1949" s="5"/>
    </row>
    <row r="1950" spans="1:1" x14ac:dyDescent="0.25">
      <c r="A1950" s="5"/>
    </row>
    <row r="1951" spans="1:1" x14ac:dyDescent="0.25">
      <c r="A1951" s="5"/>
    </row>
    <row r="1952" spans="1:1" x14ac:dyDescent="0.25">
      <c r="A1952" s="5"/>
    </row>
    <row r="1953" spans="1:1" x14ac:dyDescent="0.25">
      <c r="A1953" s="5"/>
    </row>
    <row r="1954" spans="1:1" x14ac:dyDescent="0.25">
      <c r="A1954" s="5"/>
    </row>
    <row r="1955" spans="1:1" x14ac:dyDescent="0.25">
      <c r="A1955" s="5"/>
    </row>
    <row r="1956" spans="1:1" x14ac:dyDescent="0.25">
      <c r="A1956" s="5"/>
    </row>
    <row r="1957" spans="1:1" x14ac:dyDescent="0.25">
      <c r="A1957" s="5"/>
    </row>
    <row r="1958" spans="1:1" x14ac:dyDescent="0.25">
      <c r="A1958" s="5"/>
    </row>
    <row r="1959" spans="1:1" x14ac:dyDescent="0.25">
      <c r="A1959" s="5"/>
    </row>
    <row r="1960" spans="1:1" x14ac:dyDescent="0.25">
      <c r="A1960" s="5"/>
    </row>
    <row r="1961" spans="1:1" x14ac:dyDescent="0.25">
      <c r="A1961" s="5"/>
    </row>
    <row r="1962" spans="1:1" x14ac:dyDescent="0.25">
      <c r="A1962" s="5"/>
    </row>
    <row r="1963" spans="1:1" x14ac:dyDescent="0.25">
      <c r="A1963" s="5"/>
    </row>
    <row r="1964" spans="1:1" x14ac:dyDescent="0.25">
      <c r="A1964" s="5"/>
    </row>
    <row r="1965" spans="1:1" x14ac:dyDescent="0.25">
      <c r="A1965" s="5"/>
    </row>
    <row r="1966" spans="1:1" x14ac:dyDescent="0.25">
      <c r="A1966" s="5"/>
    </row>
    <row r="1967" spans="1:1" x14ac:dyDescent="0.25">
      <c r="A1967" s="5"/>
    </row>
    <row r="1968" spans="1:1" x14ac:dyDescent="0.25">
      <c r="A1968" s="5"/>
    </row>
    <row r="1969" spans="1:1" x14ac:dyDescent="0.25">
      <c r="A1969" s="5"/>
    </row>
    <row r="1970" spans="1:1" x14ac:dyDescent="0.25">
      <c r="A1970" s="5"/>
    </row>
    <row r="1971" spans="1:1" x14ac:dyDescent="0.25">
      <c r="A1971" s="5"/>
    </row>
    <row r="1972" spans="1:1" x14ac:dyDescent="0.25">
      <c r="A1972" s="5"/>
    </row>
    <row r="1973" spans="1:1" x14ac:dyDescent="0.25">
      <c r="A1973" s="5"/>
    </row>
    <row r="1974" spans="1:1" x14ac:dyDescent="0.25">
      <c r="A1974" s="5"/>
    </row>
    <row r="1975" spans="1:1" x14ac:dyDescent="0.25">
      <c r="A1975" s="5"/>
    </row>
    <row r="1976" spans="1:1" x14ac:dyDescent="0.25">
      <c r="A1976" s="5"/>
    </row>
    <row r="1977" spans="1:1" x14ac:dyDescent="0.25">
      <c r="A1977" s="5"/>
    </row>
    <row r="1978" spans="1:1" x14ac:dyDescent="0.25">
      <c r="A1978" s="5"/>
    </row>
    <row r="1979" spans="1:1" x14ac:dyDescent="0.25">
      <c r="A1979" s="5"/>
    </row>
    <row r="1980" spans="1:1" x14ac:dyDescent="0.25">
      <c r="A1980" s="5"/>
    </row>
    <row r="1981" spans="1:1" x14ac:dyDescent="0.25">
      <c r="A1981" s="5"/>
    </row>
    <row r="1982" spans="1:1" x14ac:dyDescent="0.25">
      <c r="A1982" s="5"/>
    </row>
    <row r="1983" spans="1:1" x14ac:dyDescent="0.25">
      <c r="A1983" s="5"/>
    </row>
    <row r="1984" spans="1:1" x14ac:dyDescent="0.25">
      <c r="A1984" s="5"/>
    </row>
    <row r="1985" spans="1:1" x14ac:dyDescent="0.25">
      <c r="A1985" s="5"/>
    </row>
    <row r="1986" spans="1:1" x14ac:dyDescent="0.25">
      <c r="A1986" s="5"/>
    </row>
    <row r="1987" spans="1:1" x14ac:dyDescent="0.25">
      <c r="A1987" s="5"/>
    </row>
    <row r="1988" spans="1:1" x14ac:dyDescent="0.25">
      <c r="A1988" s="5"/>
    </row>
    <row r="1989" spans="1:1" x14ac:dyDescent="0.25">
      <c r="A1989" s="5"/>
    </row>
    <row r="1990" spans="1:1" x14ac:dyDescent="0.25">
      <c r="A1990" s="5"/>
    </row>
    <row r="1991" spans="1:1" x14ac:dyDescent="0.25">
      <c r="A1991" s="5"/>
    </row>
    <row r="1992" spans="1:1" x14ac:dyDescent="0.25">
      <c r="A1992" s="5"/>
    </row>
    <row r="1993" spans="1:1" x14ac:dyDescent="0.25">
      <c r="A1993" s="5"/>
    </row>
    <row r="1994" spans="1:1" x14ac:dyDescent="0.25">
      <c r="A1994" s="5"/>
    </row>
    <row r="1995" spans="1:1" x14ac:dyDescent="0.25">
      <c r="A1995" s="5"/>
    </row>
    <row r="1996" spans="1:1" x14ac:dyDescent="0.25">
      <c r="A1996" s="5"/>
    </row>
    <row r="1997" spans="1:1" x14ac:dyDescent="0.25">
      <c r="A1997" s="5"/>
    </row>
    <row r="1998" spans="1:1" x14ac:dyDescent="0.25">
      <c r="A1998" s="5"/>
    </row>
    <row r="1999" spans="1:1" x14ac:dyDescent="0.25">
      <c r="A1999" s="5"/>
    </row>
    <row r="2000" spans="1:1" x14ac:dyDescent="0.25">
      <c r="A2000" s="5"/>
    </row>
    <row r="2001" spans="1:1" x14ac:dyDescent="0.25">
      <c r="A2001" s="5"/>
    </row>
    <row r="2002" spans="1:1" x14ac:dyDescent="0.25">
      <c r="A2002" s="5"/>
    </row>
    <row r="2003" spans="1:1" x14ac:dyDescent="0.25">
      <c r="A2003" s="5"/>
    </row>
    <row r="2004" spans="1:1" x14ac:dyDescent="0.25">
      <c r="A2004" s="5"/>
    </row>
    <row r="2005" spans="1:1" x14ac:dyDescent="0.25">
      <c r="A2005" s="5"/>
    </row>
    <row r="2006" spans="1:1" x14ac:dyDescent="0.25">
      <c r="A2006" s="5"/>
    </row>
    <row r="2007" spans="1:1" x14ac:dyDescent="0.25">
      <c r="A2007" s="5"/>
    </row>
    <row r="2008" spans="1:1" x14ac:dyDescent="0.25">
      <c r="A2008" s="5"/>
    </row>
    <row r="2009" spans="1:1" x14ac:dyDescent="0.25">
      <c r="A2009" s="5"/>
    </row>
    <row r="2010" spans="1:1" x14ac:dyDescent="0.25">
      <c r="A2010" s="5"/>
    </row>
    <row r="2011" spans="1:1" x14ac:dyDescent="0.25">
      <c r="A2011" s="5"/>
    </row>
    <row r="2012" spans="1:1" x14ac:dyDescent="0.25">
      <c r="A2012" s="5"/>
    </row>
    <row r="2013" spans="1:1" x14ac:dyDescent="0.25">
      <c r="A2013" s="5"/>
    </row>
    <row r="2014" spans="1:1" x14ac:dyDescent="0.25">
      <c r="A2014" s="5"/>
    </row>
    <row r="2015" spans="1:1" x14ac:dyDescent="0.25">
      <c r="A2015" s="5"/>
    </row>
    <row r="2016" spans="1:1" x14ac:dyDescent="0.25">
      <c r="A2016" s="5"/>
    </row>
    <row r="2017" spans="1:1" x14ac:dyDescent="0.25">
      <c r="A2017" s="5"/>
    </row>
    <row r="2018" spans="1:1" x14ac:dyDescent="0.25">
      <c r="A2018" s="5"/>
    </row>
    <row r="2019" spans="1:1" x14ac:dyDescent="0.25">
      <c r="A2019" s="5"/>
    </row>
    <row r="2020" spans="1:1" x14ac:dyDescent="0.25">
      <c r="A2020" s="5"/>
    </row>
    <row r="2021" spans="1:1" x14ac:dyDescent="0.25">
      <c r="A2021" s="5"/>
    </row>
    <row r="2022" spans="1:1" x14ac:dyDescent="0.25">
      <c r="A2022" s="5"/>
    </row>
    <row r="2023" spans="1:1" x14ac:dyDescent="0.25">
      <c r="A2023" s="5"/>
    </row>
    <row r="2024" spans="1:1" x14ac:dyDescent="0.25">
      <c r="A2024" s="5"/>
    </row>
    <row r="2025" spans="1:1" x14ac:dyDescent="0.25">
      <c r="A2025" s="5"/>
    </row>
    <row r="2026" spans="1:1" x14ac:dyDescent="0.25">
      <c r="A2026" s="5"/>
    </row>
    <row r="2027" spans="1:1" x14ac:dyDescent="0.25">
      <c r="A2027" s="5"/>
    </row>
    <row r="2028" spans="1:1" x14ac:dyDescent="0.25">
      <c r="A2028" s="5"/>
    </row>
    <row r="2029" spans="1:1" x14ac:dyDescent="0.25">
      <c r="A2029" s="5"/>
    </row>
    <row r="2030" spans="1:1" x14ac:dyDescent="0.25">
      <c r="A2030" s="5"/>
    </row>
    <row r="2031" spans="1:1" x14ac:dyDescent="0.25">
      <c r="A2031" s="5"/>
    </row>
    <row r="2032" spans="1:1" x14ac:dyDescent="0.25">
      <c r="A2032" s="5"/>
    </row>
    <row r="2033" spans="1:1" x14ac:dyDescent="0.25">
      <c r="A2033" s="5"/>
    </row>
    <row r="2034" spans="1:1" x14ac:dyDescent="0.25">
      <c r="A2034" s="5"/>
    </row>
    <row r="2035" spans="1:1" x14ac:dyDescent="0.25">
      <c r="A2035" s="5"/>
    </row>
    <row r="2036" spans="1:1" x14ac:dyDescent="0.25">
      <c r="A2036" s="5"/>
    </row>
    <row r="2037" spans="1:1" x14ac:dyDescent="0.25">
      <c r="A2037" s="5"/>
    </row>
    <row r="2038" spans="1:1" x14ac:dyDescent="0.25">
      <c r="A2038" s="5"/>
    </row>
    <row r="2039" spans="1:1" x14ac:dyDescent="0.25">
      <c r="A2039" s="5"/>
    </row>
    <row r="2040" spans="1:1" x14ac:dyDescent="0.25">
      <c r="A2040" s="5"/>
    </row>
    <row r="2041" spans="1:1" x14ac:dyDescent="0.25">
      <c r="A2041" s="5"/>
    </row>
    <row r="2042" spans="1:1" x14ac:dyDescent="0.25">
      <c r="A2042" s="5"/>
    </row>
    <row r="2043" spans="1:1" x14ac:dyDescent="0.25">
      <c r="A2043" s="5"/>
    </row>
    <row r="2044" spans="1:1" x14ac:dyDescent="0.25">
      <c r="A2044" s="5"/>
    </row>
    <row r="2045" spans="1:1" x14ac:dyDescent="0.25">
      <c r="A2045" s="5"/>
    </row>
    <row r="2046" spans="1:1" x14ac:dyDescent="0.25">
      <c r="A2046" s="5"/>
    </row>
    <row r="2047" spans="1:1" x14ac:dyDescent="0.25">
      <c r="A2047" s="5"/>
    </row>
    <row r="2048" spans="1:1" x14ac:dyDescent="0.25">
      <c r="A2048" s="5"/>
    </row>
    <row r="2049" spans="1:1" x14ac:dyDescent="0.25">
      <c r="A2049" s="5"/>
    </row>
    <row r="2050" spans="1:1" x14ac:dyDescent="0.25">
      <c r="A2050" s="5"/>
    </row>
    <row r="2051" spans="1:1" x14ac:dyDescent="0.25">
      <c r="A2051" s="5"/>
    </row>
    <row r="2052" spans="1:1" x14ac:dyDescent="0.25">
      <c r="A2052" s="5"/>
    </row>
    <row r="2053" spans="1:1" x14ac:dyDescent="0.25">
      <c r="A2053" s="5"/>
    </row>
    <row r="2054" spans="1:1" x14ac:dyDescent="0.25">
      <c r="A2054" s="5"/>
    </row>
    <row r="2055" spans="1:1" x14ac:dyDescent="0.25">
      <c r="A2055" s="5"/>
    </row>
    <row r="2056" spans="1:1" x14ac:dyDescent="0.25">
      <c r="A2056" s="5"/>
    </row>
    <row r="2057" spans="1:1" x14ac:dyDescent="0.25">
      <c r="A2057" s="5"/>
    </row>
    <row r="2058" spans="1:1" x14ac:dyDescent="0.25">
      <c r="A2058" s="5"/>
    </row>
    <row r="2059" spans="1:1" x14ac:dyDescent="0.25">
      <c r="A2059" s="5"/>
    </row>
    <row r="2060" spans="1:1" x14ac:dyDescent="0.25">
      <c r="A2060" s="5"/>
    </row>
    <row r="2061" spans="1:1" x14ac:dyDescent="0.25">
      <c r="A2061" s="5"/>
    </row>
    <row r="2062" spans="1:1" x14ac:dyDescent="0.25">
      <c r="A2062" s="5"/>
    </row>
    <row r="2063" spans="1:1" x14ac:dyDescent="0.25">
      <c r="A2063" s="5"/>
    </row>
    <row r="2064" spans="1:1" x14ac:dyDescent="0.25">
      <c r="A2064" s="5"/>
    </row>
    <row r="2065" spans="1:1" x14ac:dyDescent="0.25">
      <c r="A2065" s="5"/>
    </row>
    <row r="2066" spans="1:1" x14ac:dyDescent="0.25">
      <c r="A2066" s="5"/>
    </row>
    <row r="2067" spans="1:1" x14ac:dyDescent="0.25">
      <c r="A2067" s="5"/>
    </row>
    <row r="2068" spans="1:1" x14ac:dyDescent="0.25">
      <c r="A2068" s="5"/>
    </row>
    <row r="2069" spans="1:1" x14ac:dyDescent="0.25">
      <c r="A2069" s="5"/>
    </row>
    <row r="2070" spans="1:1" x14ac:dyDescent="0.25">
      <c r="A2070" s="5"/>
    </row>
    <row r="2071" spans="1:1" x14ac:dyDescent="0.25">
      <c r="A2071" s="5"/>
    </row>
    <row r="2072" spans="1:1" x14ac:dyDescent="0.25">
      <c r="A2072" s="5"/>
    </row>
    <row r="2073" spans="1:1" x14ac:dyDescent="0.25">
      <c r="A2073" s="5"/>
    </row>
    <row r="2074" spans="1:1" x14ac:dyDescent="0.25">
      <c r="A2074" s="5"/>
    </row>
    <row r="2075" spans="1:1" x14ac:dyDescent="0.25">
      <c r="A2075" s="5"/>
    </row>
    <row r="2076" spans="1:1" x14ac:dyDescent="0.25">
      <c r="A2076" s="5"/>
    </row>
    <row r="2077" spans="1:1" x14ac:dyDescent="0.25">
      <c r="A2077" s="5"/>
    </row>
    <row r="2078" spans="1:1" x14ac:dyDescent="0.25">
      <c r="A2078" s="5"/>
    </row>
    <row r="2079" spans="1:1" x14ac:dyDescent="0.25">
      <c r="A2079" s="5"/>
    </row>
    <row r="2080" spans="1:1" x14ac:dyDescent="0.25">
      <c r="A2080" s="5"/>
    </row>
    <row r="2081" spans="1:1" x14ac:dyDescent="0.25">
      <c r="A2081" s="5"/>
    </row>
    <row r="2082" spans="1:1" x14ac:dyDescent="0.25">
      <c r="A2082" s="5"/>
    </row>
    <row r="2083" spans="1:1" x14ac:dyDescent="0.25">
      <c r="A2083" s="5"/>
    </row>
    <row r="2084" spans="1:1" x14ac:dyDescent="0.25">
      <c r="A2084" s="5"/>
    </row>
    <row r="2085" spans="1:1" x14ac:dyDescent="0.25">
      <c r="A2085" s="5"/>
    </row>
    <row r="2086" spans="1:1" x14ac:dyDescent="0.25">
      <c r="A2086" s="5"/>
    </row>
    <row r="2087" spans="1:1" x14ac:dyDescent="0.25">
      <c r="A2087" s="5"/>
    </row>
    <row r="2088" spans="1:1" x14ac:dyDescent="0.25">
      <c r="A2088" s="5"/>
    </row>
    <row r="2089" spans="1:1" x14ac:dyDescent="0.25">
      <c r="A2089" s="5"/>
    </row>
    <row r="2090" spans="1:1" x14ac:dyDescent="0.25">
      <c r="A2090" s="5"/>
    </row>
    <row r="2091" spans="1:1" x14ac:dyDescent="0.25">
      <c r="A2091" s="5"/>
    </row>
    <row r="2092" spans="1:1" x14ac:dyDescent="0.25">
      <c r="A2092" s="5"/>
    </row>
    <row r="2093" spans="1:1" x14ac:dyDescent="0.25">
      <c r="A2093" s="5"/>
    </row>
    <row r="2094" spans="1:1" x14ac:dyDescent="0.25">
      <c r="A2094" s="5"/>
    </row>
    <row r="2095" spans="1:1" x14ac:dyDescent="0.25">
      <c r="A2095" s="5"/>
    </row>
    <row r="2096" spans="1:1" x14ac:dyDescent="0.25">
      <c r="A2096" s="5"/>
    </row>
    <row r="2097" spans="1:1" x14ac:dyDescent="0.25">
      <c r="A2097" s="5"/>
    </row>
    <row r="2098" spans="1:1" x14ac:dyDescent="0.25">
      <c r="A2098" s="5"/>
    </row>
    <row r="2099" spans="1:1" x14ac:dyDescent="0.25">
      <c r="A2099" s="5"/>
    </row>
    <row r="2100" spans="1:1" x14ac:dyDescent="0.25">
      <c r="A2100" s="5"/>
    </row>
    <row r="2101" spans="1:1" x14ac:dyDescent="0.25">
      <c r="A2101" s="5"/>
    </row>
    <row r="2102" spans="1:1" x14ac:dyDescent="0.25">
      <c r="A2102" s="5"/>
    </row>
    <row r="2103" spans="1:1" x14ac:dyDescent="0.25">
      <c r="A2103" s="5"/>
    </row>
    <row r="2104" spans="1:1" x14ac:dyDescent="0.25">
      <c r="A2104" s="5"/>
    </row>
    <row r="2105" spans="1:1" x14ac:dyDescent="0.25">
      <c r="A2105" s="5"/>
    </row>
    <row r="2106" spans="1:1" x14ac:dyDescent="0.25">
      <c r="A2106" s="5"/>
    </row>
    <row r="2107" spans="1:1" x14ac:dyDescent="0.25">
      <c r="A2107" s="5"/>
    </row>
    <row r="2108" spans="1:1" x14ac:dyDescent="0.25">
      <c r="A2108" s="5"/>
    </row>
    <row r="2109" spans="1:1" x14ac:dyDescent="0.25">
      <c r="A2109" s="5"/>
    </row>
    <row r="2110" spans="1:1" x14ac:dyDescent="0.25">
      <c r="A2110" s="5"/>
    </row>
    <row r="2111" spans="1:1" x14ac:dyDescent="0.25">
      <c r="A2111" s="5"/>
    </row>
    <row r="2112" spans="1:1" x14ac:dyDescent="0.25">
      <c r="A2112" s="5"/>
    </row>
    <row r="2113" spans="1:1" x14ac:dyDescent="0.25">
      <c r="A2113" s="5"/>
    </row>
    <row r="2114" spans="1:1" x14ac:dyDescent="0.25">
      <c r="A2114" s="5"/>
    </row>
    <row r="2115" spans="1:1" x14ac:dyDescent="0.25">
      <c r="A2115" s="5"/>
    </row>
    <row r="2116" spans="1:1" x14ac:dyDescent="0.25">
      <c r="A2116" s="5"/>
    </row>
    <row r="2117" spans="1:1" x14ac:dyDescent="0.25">
      <c r="A2117" s="5"/>
    </row>
    <row r="2118" spans="1:1" x14ac:dyDescent="0.25">
      <c r="A2118" s="5"/>
    </row>
    <row r="2119" spans="1:1" x14ac:dyDescent="0.25">
      <c r="A2119" s="5"/>
    </row>
    <row r="2120" spans="1:1" x14ac:dyDescent="0.25">
      <c r="A2120" s="5"/>
    </row>
    <row r="2121" spans="1:1" x14ac:dyDescent="0.25">
      <c r="A2121" s="5"/>
    </row>
    <row r="2122" spans="1:1" x14ac:dyDescent="0.25">
      <c r="A2122" s="5"/>
    </row>
    <row r="2123" spans="1:1" x14ac:dyDescent="0.25">
      <c r="A2123" s="5"/>
    </row>
    <row r="2124" spans="1:1" x14ac:dyDescent="0.25">
      <c r="A2124" s="5"/>
    </row>
    <row r="2125" spans="1:1" x14ac:dyDescent="0.25">
      <c r="A2125" s="5"/>
    </row>
    <row r="2126" spans="1:1" x14ac:dyDescent="0.25">
      <c r="A2126" s="5"/>
    </row>
    <row r="2127" spans="1:1" x14ac:dyDescent="0.25">
      <c r="A2127" s="5"/>
    </row>
    <row r="2128" spans="1:1" x14ac:dyDescent="0.25">
      <c r="A2128" s="5"/>
    </row>
    <row r="2129" spans="1:1" x14ac:dyDescent="0.25">
      <c r="A2129" s="5"/>
    </row>
    <row r="2130" spans="1:1" x14ac:dyDescent="0.25">
      <c r="A2130" s="5"/>
    </row>
    <row r="2131" spans="1:1" x14ac:dyDescent="0.25">
      <c r="A2131" s="5"/>
    </row>
    <row r="2132" spans="1:1" x14ac:dyDescent="0.25">
      <c r="A2132" s="5"/>
    </row>
    <row r="2133" spans="1:1" x14ac:dyDescent="0.25">
      <c r="A2133" s="5"/>
    </row>
    <row r="2134" spans="1:1" x14ac:dyDescent="0.25">
      <c r="A2134" s="5"/>
    </row>
    <row r="2135" spans="1:1" x14ac:dyDescent="0.25">
      <c r="A2135" s="5"/>
    </row>
    <row r="2136" spans="1:1" x14ac:dyDescent="0.25">
      <c r="A2136" s="5"/>
    </row>
    <row r="2137" spans="1:1" x14ac:dyDescent="0.25">
      <c r="A2137" s="5"/>
    </row>
    <row r="2138" spans="1:1" x14ac:dyDescent="0.25">
      <c r="A2138" s="5"/>
    </row>
    <row r="2139" spans="1:1" x14ac:dyDescent="0.25">
      <c r="A2139" s="5"/>
    </row>
    <row r="2140" spans="1:1" x14ac:dyDescent="0.25">
      <c r="A2140" s="5"/>
    </row>
    <row r="2141" spans="1:1" x14ac:dyDescent="0.25">
      <c r="A2141" s="5"/>
    </row>
    <row r="2142" spans="1:1" x14ac:dyDescent="0.25">
      <c r="A2142" s="5"/>
    </row>
    <row r="2143" spans="1:1" x14ac:dyDescent="0.25">
      <c r="A2143" s="5"/>
    </row>
    <row r="2144" spans="1:1" x14ac:dyDescent="0.25">
      <c r="A2144" s="5"/>
    </row>
    <row r="2145" spans="1:1" x14ac:dyDescent="0.25">
      <c r="A2145" s="5"/>
    </row>
    <row r="2146" spans="1:1" x14ac:dyDescent="0.25">
      <c r="A2146" s="5"/>
    </row>
    <row r="2147" spans="1:1" x14ac:dyDescent="0.25">
      <c r="A2147" s="5"/>
    </row>
    <row r="2148" spans="1:1" x14ac:dyDescent="0.25">
      <c r="A2148" s="5"/>
    </row>
    <row r="2149" spans="1:1" x14ac:dyDescent="0.25">
      <c r="A2149" s="5"/>
    </row>
    <row r="2150" spans="1:1" x14ac:dyDescent="0.25">
      <c r="A2150" s="5"/>
    </row>
    <row r="2151" spans="1:1" x14ac:dyDescent="0.25">
      <c r="A2151" s="5"/>
    </row>
    <row r="2152" spans="1:1" x14ac:dyDescent="0.25">
      <c r="A2152" s="5"/>
    </row>
    <row r="2153" spans="1:1" x14ac:dyDescent="0.25">
      <c r="A2153" s="5"/>
    </row>
    <row r="2154" spans="1:1" x14ac:dyDescent="0.25">
      <c r="A2154" s="5"/>
    </row>
    <row r="2155" spans="1:1" x14ac:dyDescent="0.25">
      <c r="A2155" s="5"/>
    </row>
    <row r="2156" spans="1:1" x14ac:dyDescent="0.25">
      <c r="A2156" s="5"/>
    </row>
    <row r="2157" spans="1:1" x14ac:dyDescent="0.25">
      <c r="A2157" s="5"/>
    </row>
    <row r="2158" spans="1:1" x14ac:dyDescent="0.25">
      <c r="A2158" s="5"/>
    </row>
    <row r="2159" spans="1:1" x14ac:dyDescent="0.25">
      <c r="A2159" s="5"/>
    </row>
    <row r="2160" spans="1:1" x14ac:dyDescent="0.25">
      <c r="A2160" s="5"/>
    </row>
    <row r="2161" spans="1:1" x14ac:dyDescent="0.25">
      <c r="A2161" s="5"/>
    </row>
    <row r="2162" spans="1:1" x14ac:dyDescent="0.25">
      <c r="A2162" s="5"/>
    </row>
    <row r="2163" spans="1:1" x14ac:dyDescent="0.25">
      <c r="A2163" s="5"/>
    </row>
    <row r="2164" spans="1:1" x14ac:dyDescent="0.25">
      <c r="A2164" s="5"/>
    </row>
    <row r="2165" spans="1:1" x14ac:dyDescent="0.25">
      <c r="A2165" s="5"/>
    </row>
    <row r="2166" spans="1:1" x14ac:dyDescent="0.25">
      <c r="A2166" s="5"/>
    </row>
    <row r="2167" spans="1:1" x14ac:dyDescent="0.25">
      <c r="A2167" s="5"/>
    </row>
    <row r="2168" spans="1:1" x14ac:dyDescent="0.25">
      <c r="A2168" s="5"/>
    </row>
    <row r="2169" spans="1:1" x14ac:dyDescent="0.25">
      <c r="A2169" s="5"/>
    </row>
    <row r="2170" spans="1:1" x14ac:dyDescent="0.25">
      <c r="A2170" s="5"/>
    </row>
    <row r="2171" spans="1:1" x14ac:dyDescent="0.25">
      <c r="A2171" s="5"/>
    </row>
    <row r="2172" spans="1:1" x14ac:dyDescent="0.25">
      <c r="A2172" s="5"/>
    </row>
    <row r="2173" spans="1:1" x14ac:dyDescent="0.25">
      <c r="A2173" s="5"/>
    </row>
    <row r="2174" spans="1:1" x14ac:dyDescent="0.25">
      <c r="A2174" s="5"/>
    </row>
    <row r="2175" spans="1:1" x14ac:dyDescent="0.25">
      <c r="A2175" s="5"/>
    </row>
    <row r="2176" spans="1:1" x14ac:dyDescent="0.25">
      <c r="A2176" s="5"/>
    </row>
    <row r="2177" spans="1:1" x14ac:dyDescent="0.25">
      <c r="A2177" s="5"/>
    </row>
    <row r="2178" spans="1:1" x14ac:dyDescent="0.25">
      <c r="A2178" s="5"/>
    </row>
    <row r="2179" spans="1:1" x14ac:dyDescent="0.25">
      <c r="A2179" s="5"/>
    </row>
    <row r="2180" spans="1:1" x14ac:dyDescent="0.25">
      <c r="A2180" s="5"/>
    </row>
    <row r="2181" spans="1:1" x14ac:dyDescent="0.25">
      <c r="A2181" s="5"/>
    </row>
    <row r="2182" spans="1:1" x14ac:dyDescent="0.25">
      <c r="A2182" s="5"/>
    </row>
    <row r="2183" spans="1:1" x14ac:dyDescent="0.25">
      <c r="A2183" s="5"/>
    </row>
    <row r="2184" spans="1:1" x14ac:dyDescent="0.25">
      <c r="A2184" s="5"/>
    </row>
    <row r="2185" spans="1:1" x14ac:dyDescent="0.25">
      <c r="A2185" s="5"/>
    </row>
    <row r="2186" spans="1:1" x14ac:dyDescent="0.25">
      <c r="A2186" s="5"/>
    </row>
    <row r="2187" spans="1:1" x14ac:dyDescent="0.25">
      <c r="A2187" s="5"/>
    </row>
    <row r="2188" spans="1:1" x14ac:dyDescent="0.25">
      <c r="A2188" s="5"/>
    </row>
    <row r="2189" spans="1:1" x14ac:dyDescent="0.25">
      <c r="A2189" s="5"/>
    </row>
    <row r="2190" spans="1:1" x14ac:dyDescent="0.25">
      <c r="A2190" s="5"/>
    </row>
    <row r="2191" spans="1:1" x14ac:dyDescent="0.25">
      <c r="A2191" s="5"/>
    </row>
    <row r="2192" spans="1:1" x14ac:dyDescent="0.25">
      <c r="A2192" s="5"/>
    </row>
    <row r="2193" spans="1:1" x14ac:dyDescent="0.25">
      <c r="A2193" s="5"/>
    </row>
    <row r="2194" spans="1:1" x14ac:dyDescent="0.25">
      <c r="A2194" s="5"/>
    </row>
    <row r="2195" spans="1:1" x14ac:dyDescent="0.25">
      <c r="A2195" s="5"/>
    </row>
    <row r="2196" spans="1:1" x14ac:dyDescent="0.25">
      <c r="A2196" s="5"/>
    </row>
    <row r="2197" spans="1:1" x14ac:dyDescent="0.25">
      <c r="A2197" s="5"/>
    </row>
    <row r="2198" spans="1:1" x14ac:dyDescent="0.25">
      <c r="A2198" s="5"/>
    </row>
    <row r="2199" spans="1:1" x14ac:dyDescent="0.25">
      <c r="A2199" s="5"/>
    </row>
    <row r="2200" spans="1:1" x14ac:dyDescent="0.25">
      <c r="A2200" s="5"/>
    </row>
    <row r="2201" spans="1:1" x14ac:dyDescent="0.25">
      <c r="A2201" s="5"/>
    </row>
    <row r="2202" spans="1:1" x14ac:dyDescent="0.25">
      <c r="A2202" s="5"/>
    </row>
    <row r="2203" spans="1:1" x14ac:dyDescent="0.25">
      <c r="A2203" s="5"/>
    </row>
    <row r="2204" spans="1:1" x14ac:dyDescent="0.25">
      <c r="A2204" s="5"/>
    </row>
    <row r="2205" spans="1:1" x14ac:dyDescent="0.25">
      <c r="A2205" s="5"/>
    </row>
    <row r="2206" spans="1:1" x14ac:dyDescent="0.25">
      <c r="A2206" s="5"/>
    </row>
    <row r="2207" spans="1:1" x14ac:dyDescent="0.25">
      <c r="A2207" s="5"/>
    </row>
    <row r="2208" spans="1:1" x14ac:dyDescent="0.25">
      <c r="A2208" s="5"/>
    </row>
    <row r="2209" spans="1:1" x14ac:dyDescent="0.25">
      <c r="A2209" s="5"/>
    </row>
    <row r="2210" spans="1:1" x14ac:dyDescent="0.25">
      <c r="A2210" s="5"/>
    </row>
    <row r="2211" spans="1:1" x14ac:dyDescent="0.25">
      <c r="A2211" s="5"/>
    </row>
    <row r="2212" spans="1:1" x14ac:dyDescent="0.25">
      <c r="A2212" s="5"/>
    </row>
    <row r="2213" spans="1:1" x14ac:dyDescent="0.25">
      <c r="A2213" s="5"/>
    </row>
    <row r="2214" spans="1:1" x14ac:dyDescent="0.25">
      <c r="A2214" s="5"/>
    </row>
    <row r="2215" spans="1:1" x14ac:dyDescent="0.25">
      <c r="A2215" s="5"/>
    </row>
    <row r="2216" spans="1:1" x14ac:dyDescent="0.25">
      <c r="A2216" s="5"/>
    </row>
    <row r="2217" spans="1:1" x14ac:dyDescent="0.25">
      <c r="A2217" s="5"/>
    </row>
    <row r="2218" spans="1:1" x14ac:dyDescent="0.25">
      <c r="A2218" s="5"/>
    </row>
    <row r="2219" spans="1:1" x14ac:dyDescent="0.25">
      <c r="A2219" s="5"/>
    </row>
    <row r="2220" spans="1:1" x14ac:dyDescent="0.25">
      <c r="A2220" s="5"/>
    </row>
    <row r="2221" spans="1:1" x14ac:dyDescent="0.25">
      <c r="A2221" s="5"/>
    </row>
    <row r="2222" spans="1:1" x14ac:dyDescent="0.25">
      <c r="A2222" s="5"/>
    </row>
    <row r="2223" spans="1:1" x14ac:dyDescent="0.25">
      <c r="A2223" s="5"/>
    </row>
    <row r="2224" spans="1:1" x14ac:dyDescent="0.25">
      <c r="A2224" s="5"/>
    </row>
    <row r="2225" spans="1:1" x14ac:dyDescent="0.25">
      <c r="A2225" s="5"/>
    </row>
    <row r="2226" spans="1:1" x14ac:dyDescent="0.25">
      <c r="A2226" s="5"/>
    </row>
    <row r="2227" spans="1:1" x14ac:dyDescent="0.25">
      <c r="A2227" s="5"/>
    </row>
    <row r="2228" spans="1:1" x14ac:dyDescent="0.25">
      <c r="A2228" s="5"/>
    </row>
    <row r="2229" spans="1:1" x14ac:dyDescent="0.25">
      <c r="A2229" s="5"/>
    </row>
    <row r="2230" spans="1:1" x14ac:dyDescent="0.25">
      <c r="A2230" s="5"/>
    </row>
    <row r="2231" spans="1:1" x14ac:dyDescent="0.25">
      <c r="A2231" s="5"/>
    </row>
    <row r="2232" spans="1:1" x14ac:dyDescent="0.25">
      <c r="A2232" s="5"/>
    </row>
    <row r="2233" spans="1:1" x14ac:dyDescent="0.25">
      <c r="A2233" s="5"/>
    </row>
    <row r="2234" spans="1:1" x14ac:dyDescent="0.25">
      <c r="A2234" s="5"/>
    </row>
    <row r="2235" spans="1:1" x14ac:dyDescent="0.25">
      <c r="A2235" s="5"/>
    </row>
    <row r="2236" spans="1:1" x14ac:dyDescent="0.25">
      <c r="A2236" s="5"/>
    </row>
    <row r="2237" spans="1:1" x14ac:dyDescent="0.25">
      <c r="A2237" s="5"/>
    </row>
    <row r="2238" spans="1:1" x14ac:dyDescent="0.25">
      <c r="A2238" s="5"/>
    </row>
    <row r="2239" spans="1:1" x14ac:dyDescent="0.25">
      <c r="A2239" s="5"/>
    </row>
    <row r="2240" spans="1:1" x14ac:dyDescent="0.25">
      <c r="A2240" s="5"/>
    </row>
    <row r="2241" spans="1:1" x14ac:dyDescent="0.25">
      <c r="A2241" s="5"/>
    </row>
    <row r="2242" spans="1:1" x14ac:dyDescent="0.25">
      <c r="A2242" s="5"/>
    </row>
    <row r="2243" spans="1:1" x14ac:dyDescent="0.25">
      <c r="A2243" s="5"/>
    </row>
    <row r="2244" spans="1:1" x14ac:dyDescent="0.25">
      <c r="A2244" s="5"/>
    </row>
    <row r="2245" spans="1:1" x14ac:dyDescent="0.25">
      <c r="A2245" s="5"/>
    </row>
    <row r="2246" spans="1:1" x14ac:dyDescent="0.25">
      <c r="A2246" s="5"/>
    </row>
    <row r="2247" spans="1:1" x14ac:dyDescent="0.25">
      <c r="A2247" s="5"/>
    </row>
    <row r="2248" spans="1:1" x14ac:dyDescent="0.25">
      <c r="A2248" s="5"/>
    </row>
    <row r="2249" spans="1:1" x14ac:dyDescent="0.25">
      <c r="A2249" s="5"/>
    </row>
    <row r="2250" spans="1:1" x14ac:dyDescent="0.25">
      <c r="A2250" s="5"/>
    </row>
    <row r="2251" spans="1:1" x14ac:dyDescent="0.25">
      <c r="A2251" s="5"/>
    </row>
    <row r="2252" spans="1:1" x14ac:dyDescent="0.25">
      <c r="A2252" s="5"/>
    </row>
    <row r="2253" spans="1:1" x14ac:dyDescent="0.25">
      <c r="A2253" s="5"/>
    </row>
    <row r="2254" spans="1:1" x14ac:dyDescent="0.25">
      <c r="A2254" s="5"/>
    </row>
    <row r="2255" spans="1:1" x14ac:dyDescent="0.25">
      <c r="A2255" s="5"/>
    </row>
    <row r="2256" spans="1:1" x14ac:dyDescent="0.25">
      <c r="A2256" s="5"/>
    </row>
    <row r="2257" spans="1:1" x14ac:dyDescent="0.25">
      <c r="A2257" s="5"/>
    </row>
    <row r="2258" spans="1:1" x14ac:dyDescent="0.25">
      <c r="A2258" s="5"/>
    </row>
    <row r="2259" spans="1:1" x14ac:dyDescent="0.25">
      <c r="A2259" s="5"/>
    </row>
    <row r="2260" spans="1:1" x14ac:dyDescent="0.25">
      <c r="A2260" s="5"/>
    </row>
    <row r="2261" spans="1:1" x14ac:dyDescent="0.25">
      <c r="A2261" s="5"/>
    </row>
    <row r="2262" spans="1:1" x14ac:dyDescent="0.25">
      <c r="A2262" s="5"/>
    </row>
    <row r="2263" spans="1:1" x14ac:dyDescent="0.25">
      <c r="A2263" s="5"/>
    </row>
    <row r="2264" spans="1:1" x14ac:dyDescent="0.25">
      <c r="A2264" s="5"/>
    </row>
    <row r="2265" spans="1:1" x14ac:dyDescent="0.25">
      <c r="A2265" s="5"/>
    </row>
    <row r="2266" spans="1:1" x14ac:dyDescent="0.25">
      <c r="A2266" s="5"/>
    </row>
    <row r="2267" spans="1:1" x14ac:dyDescent="0.25">
      <c r="A2267" s="5"/>
    </row>
    <row r="2268" spans="1:1" x14ac:dyDescent="0.25">
      <c r="A2268" s="5"/>
    </row>
    <row r="2269" spans="1:1" x14ac:dyDescent="0.25">
      <c r="A2269" s="5"/>
    </row>
    <row r="2270" spans="1:1" x14ac:dyDescent="0.25">
      <c r="A2270" s="5"/>
    </row>
    <row r="2271" spans="1:1" x14ac:dyDescent="0.25">
      <c r="A2271" s="5"/>
    </row>
    <row r="2272" spans="1:1" x14ac:dyDescent="0.25">
      <c r="A2272" s="5"/>
    </row>
    <row r="2273" spans="1:1" x14ac:dyDescent="0.25">
      <c r="A2273" s="5"/>
    </row>
    <row r="2274" spans="1:1" x14ac:dyDescent="0.25">
      <c r="A2274" s="5"/>
    </row>
    <row r="2275" spans="1:1" x14ac:dyDescent="0.25">
      <c r="A2275" s="5"/>
    </row>
    <row r="2276" spans="1:1" x14ac:dyDescent="0.25">
      <c r="A2276" s="5"/>
    </row>
    <row r="2277" spans="1:1" x14ac:dyDescent="0.25">
      <c r="A2277" s="5"/>
    </row>
    <row r="2278" spans="1:1" x14ac:dyDescent="0.25">
      <c r="A2278" s="5"/>
    </row>
    <row r="2279" spans="1:1" x14ac:dyDescent="0.25">
      <c r="A2279" s="5"/>
    </row>
    <row r="2280" spans="1:1" x14ac:dyDescent="0.25">
      <c r="A2280" s="5"/>
    </row>
    <row r="2281" spans="1:1" x14ac:dyDescent="0.25">
      <c r="A2281" s="5"/>
    </row>
    <row r="2282" spans="1:1" x14ac:dyDescent="0.25">
      <c r="A2282" s="5"/>
    </row>
    <row r="2283" spans="1:1" x14ac:dyDescent="0.25">
      <c r="A2283" s="5"/>
    </row>
    <row r="2284" spans="1:1" x14ac:dyDescent="0.25">
      <c r="A2284" s="5"/>
    </row>
    <row r="2285" spans="1:1" x14ac:dyDescent="0.25">
      <c r="A2285" s="5"/>
    </row>
    <row r="2286" spans="1:1" x14ac:dyDescent="0.25">
      <c r="A2286" s="5"/>
    </row>
    <row r="2287" spans="1:1" x14ac:dyDescent="0.25">
      <c r="A2287" s="5"/>
    </row>
    <row r="2288" spans="1:1" x14ac:dyDescent="0.25">
      <c r="A2288" s="5"/>
    </row>
    <row r="2289" spans="1:1" x14ac:dyDescent="0.25">
      <c r="A2289" s="5"/>
    </row>
    <row r="2290" spans="1:1" x14ac:dyDescent="0.25">
      <c r="A2290" s="5"/>
    </row>
    <row r="2291" spans="1:1" x14ac:dyDescent="0.25">
      <c r="A2291" s="5"/>
    </row>
    <row r="2292" spans="1:1" x14ac:dyDescent="0.25">
      <c r="A2292" s="5"/>
    </row>
    <row r="2293" spans="1:1" x14ac:dyDescent="0.25">
      <c r="A2293" s="5"/>
    </row>
    <row r="2294" spans="1:1" x14ac:dyDescent="0.25">
      <c r="A2294" s="5"/>
    </row>
    <row r="2295" spans="1:1" x14ac:dyDescent="0.25">
      <c r="A2295" s="5"/>
    </row>
    <row r="2296" spans="1:1" x14ac:dyDescent="0.25">
      <c r="A2296" s="5"/>
    </row>
    <row r="2297" spans="1:1" x14ac:dyDescent="0.25">
      <c r="A2297" s="5"/>
    </row>
    <row r="2298" spans="1:1" x14ac:dyDescent="0.25">
      <c r="A2298" s="5"/>
    </row>
    <row r="2299" spans="1:1" x14ac:dyDescent="0.25">
      <c r="A2299" s="5"/>
    </row>
    <row r="2300" spans="1:1" x14ac:dyDescent="0.25">
      <c r="A2300" s="5"/>
    </row>
    <row r="2301" spans="1:1" x14ac:dyDescent="0.25">
      <c r="A2301" s="5"/>
    </row>
    <row r="2302" spans="1:1" x14ac:dyDescent="0.25">
      <c r="A2302" s="5"/>
    </row>
    <row r="2303" spans="1:1" x14ac:dyDescent="0.25">
      <c r="A2303" s="5"/>
    </row>
    <row r="2304" spans="1:1" x14ac:dyDescent="0.25">
      <c r="A2304" s="5"/>
    </row>
    <row r="2305" spans="1:1" x14ac:dyDescent="0.25">
      <c r="A2305" s="5"/>
    </row>
    <row r="2306" spans="1:1" x14ac:dyDescent="0.25">
      <c r="A2306" s="5"/>
    </row>
    <row r="2307" spans="1:1" x14ac:dyDescent="0.25">
      <c r="A2307" s="5"/>
    </row>
    <row r="2308" spans="1:1" x14ac:dyDescent="0.25">
      <c r="A2308" s="5"/>
    </row>
    <row r="2309" spans="1:1" x14ac:dyDescent="0.25">
      <c r="A2309" s="5"/>
    </row>
    <row r="2310" spans="1:1" x14ac:dyDescent="0.25">
      <c r="A2310" s="5"/>
    </row>
    <row r="2311" spans="1:1" x14ac:dyDescent="0.25">
      <c r="A2311" s="5"/>
    </row>
    <row r="2312" spans="1:1" x14ac:dyDescent="0.25">
      <c r="A2312" s="5"/>
    </row>
    <row r="2313" spans="1:1" x14ac:dyDescent="0.25">
      <c r="A2313" s="5"/>
    </row>
    <row r="2314" spans="1:1" x14ac:dyDescent="0.25">
      <c r="A2314" s="5"/>
    </row>
    <row r="2315" spans="1:1" x14ac:dyDescent="0.25">
      <c r="A2315" s="5"/>
    </row>
    <row r="2316" spans="1:1" x14ac:dyDescent="0.25">
      <c r="A2316" s="5"/>
    </row>
    <row r="2317" spans="1:1" x14ac:dyDescent="0.25">
      <c r="A2317" s="5"/>
    </row>
    <row r="2318" spans="1:1" x14ac:dyDescent="0.25">
      <c r="A2318" s="5"/>
    </row>
    <row r="2319" spans="1:1" x14ac:dyDescent="0.25">
      <c r="A2319" s="5"/>
    </row>
    <row r="2320" spans="1:1" x14ac:dyDescent="0.25">
      <c r="A2320" s="5"/>
    </row>
    <row r="2321" spans="1:1" x14ac:dyDescent="0.25">
      <c r="A2321" s="5"/>
    </row>
    <row r="2322" spans="1:1" x14ac:dyDescent="0.25">
      <c r="A2322" s="5"/>
    </row>
    <row r="2323" spans="1:1" x14ac:dyDescent="0.25">
      <c r="A2323" s="5"/>
    </row>
    <row r="2324" spans="1:1" x14ac:dyDescent="0.25">
      <c r="A2324" s="5"/>
    </row>
    <row r="2325" spans="1:1" x14ac:dyDescent="0.25">
      <c r="A2325" s="5"/>
    </row>
    <row r="2326" spans="1:1" x14ac:dyDescent="0.25">
      <c r="A2326" s="5"/>
    </row>
    <row r="2327" spans="1:1" x14ac:dyDescent="0.25">
      <c r="A2327" s="5"/>
    </row>
    <row r="2328" spans="1:1" x14ac:dyDescent="0.25">
      <c r="A2328" s="5"/>
    </row>
    <row r="2329" spans="1:1" x14ac:dyDescent="0.25">
      <c r="A2329" s="5"/>
    </row>
    <row r="2330" spans="1:1" x14ac:dyDescent="0.25">
      <c r="A2330" s="5"/>
    </row>
    <row r="2331" spans="1:1" x14ac:dyDescent="0.25">
      <c r="A2331" s="5"/>
    </row>
    <row r="2332" spans="1:1" x14ac:dyDescent="0.25">
      <c r="A2332" s="5"/>
    </row>
    <row r="2333" spans="1:1" x14ac:dyDescent="0.25">
      <c r="A2333" s="5"/>
    </row>
    <row r="2334" spans="1:1" x14ac:dyDescent="0.25">
      <c r="A2334" s="5"/>
    </row>
    <row r="2335" spans="1:1" x14ac:dyDescent="0.25">
      <c r="A2335" s="5"/>
    </row>
    <row r="2336" spans="1:1" x14ac:dyDescent="0.25">
      <c r="A2336" s="5"/>
    </row>
    <row r="2337" spans="1:1" x14ac:dyDescent="0.25">
      <c r="A2337" s="5"/>
    </row>
    <row r="2338" spans="1:1" x14ac:dyDescent="0.25">
      <c r="A2338" s="5"/>
    </row>
    <row r="2339" spans="1:1" x14ac:dyDescent="0.25">
      <c r="A2339" s="5"/>
    </row>
    <row r="2340" spans="1:1" x14ac:dyDescent="0.25">
      <c r="A2340" s="5"/>
    </row>
    <row r="2341" spans="1:1" x14ac:dyDescent="0.25">
      <c r="A2341" s="5"/>
    </row>
    <row r="2342" spans="1:1" x14ac:dyDescent="0.25">
      <c r="A2342" s="5"/>
    </row>
    <row r="2343" spans="1:1" x14ac:dyDescent="0.25">
      <c r="A2343" s="5"/>
    </row>
    <row r="2344" spans="1:1" x14ac:dyDescent="0.25">
      <c r="A2344" s="5"/>
    </row>
    <row r="2345" spans="1:1" x14ac:dyDescent="0.25">
      <c r="A2345" s="5"/>
    </row>
    <row r="2346" spans="1:1" x14ac:dyDescent="0.25">
      <c r="A2346" s="5"/>
    </row>
    <row r="2347" spans="1:1" x14ac:dyDescent="0.25">
      <c r="A2347" s="5"/>
    </row>
    <row r="2348" spans="1:1" x14ac:dyDescent="0.25">
      <c r="A2348" s="5"/>
    </row>
    <row r="2349" spans="1:1" x14ac:dyDescent="0.25">
      <c r="A2349" s="5"/>
    </row>
    <row r="2350" spans="1:1" x14ac:dyDescent="0.25">
      <c r="A2350" s="5"/>
    </row>
    <row r="2351" spans="1:1" x14ac:dyDescent="0.25">
      <c r="A2351" s="5"/>
    </row>
    <row r="2352" spans="1:1" x14ac:dyDescent="0.25">
      <c r="A2352" s="5"/>
    </row>
    <row r="2353" spans="1:1" x14ac:dyDescent="0.25">
      <c r="A2353" s="5"/>
    </row>
    <row r="2354" spans="1:1" x14ac:dyDescent="0.25">
      <c r="A2354" s="5"/>
    </row>
    <row r="2355" spans="1:1" x14ac:dyDescent="0.25">
      <c r="A2355" s="5"/>
    </row>
    <row r="2356" spans="1:1" x14ac:dyDescent="0.25">
      <c r="A2356" s="5"/>
    </row>
    <row r="2357" spans="1:1" x14ac:dyDescent="0.25">
      <c r="A2357" s="5"/>
    </row>
    <row r="2358" spans="1:1" x14ac:dyDescent="0.25">
      <c r="A2358" s="5"/>
    </row>
    <row r="2359" spans="1:1" x14ac:dyDescent="0.25">
      <c r="A2359" s="5"/>
    </row>
    <row r="2360" spans="1:1" x14ac:dyDescent="0.25">
      <c r="A2360" s="5"/>
    </row>
    <row r="2361" spans="1:1" x14ac:dyDescent="0.25">
      <c r="A2361" s="5"/>
    </row>
    <row r="2362" spans="1:1" x14ac:dyDescent="0.25">
      <c r="A2362" s="5"/>
    </row>
    <row r="2363" spans="1:1" x14ac:dyDescent="0.25">
      <c r="A2363" s="5"/>
    </row>
    <row r="2364" spans="1:1" x14ac:dyDescent="0.25">
      <c r="A2364" s="5"/>
    </row>
    <row r="2365" spans="1:1" x14ac:dyDescent="0.25">
      <c r="A2365" s="5"/>
    </row>
    <row r="2366" spans="1:1" x14ac:dyDescent="0.25">
      <c r="A2366" s="5"/>
    </row>
    <row r="2367" spans="1:1" x14ac:dyDescent="0.25">
      <c r="A2367" s="5"/>
    </row>
    <row r="2368" spans="1:1" x14ac:dyDescent="0.25">
      <c r="A2368" s="5"/>
    </row>
    <row r="2369" spans="1:1" x14ac:dyDescent="0.25">
      <c r="A2369" s="5"/>
    </row>
    <row r="2370" spans="1:1" x14ac:dyDescent="0.25">
      <c r="A2370" s="5"/>
    </row>
    <row r="2371" spans="1:1" x14ac:dyDescent="0.25">
      <c r="A2371" s="5"/>
    </row>
    <row r="2372" spans="1:1" x14ac:dyDescent="0.25">
      <c r="A2372" s="5"/>
    </row>
    <row r="2373" spans="1:1" x14ac:dyDescent="0.25">
      <c r="A2373" s="5"/>
    </row>
    <row r="2374" spans="1:1" x14ac:dyDescent="0.25">
      <c r="A2374" s="5"/>
    </row>
    <row r="2375" spans="1:1" x14ac:dyDescent="0.25">
      <c r="A2375" s="5"/>
    </row>
    <row r="2376" spans="1:1" x14ac:dyDescent="0.25">
      <c r="A2376" s="5"/>
    </row>
    <row r="2377" spans="1:1" x14ac:dyDescent="0.25">
      <c r="A2377" s="5"/>
    </row>
    <row r="2378" spans="1:1" x14ac:dyDescent="0.25">
      <c r="A2378" s="5"/>
    </row>
    <row r="2379" spans="1:1" x14ac:dyDescent="0.25">
      <c r="A2379" s="5"/>
    </row>
    <row r="2380" spans="1:1" x14ac:dyDescent="0.25">
      <c r="A2380" s="5"/>
    </row>
    <row r="2381" spans="1:1" x14ac:dyDescent="0.25">
      <c r="A2381" s="5"/>
    </row>
    <row r="2382" spans="1:1" x14ac:dyDescent="0.25">
      <c r="A2382" s="5"/>
    </row>
    <row r="2383" spans="1:1" x14ac:dyDescent="0.25">
      <c r="A2383" s="5"/>
    </row>
    <row r="2384" spans="1:1" x14ac:dyDescent="0.25">
      <c r="A2384" s="5"/>
    </row>
    <row r="2385" spans="1:1" x14ac:dyDescent="0.25">
      <c r="A2385" s="5"/>
    </row>
    <row r="2386" spans="1:1" x14ac:dyDescent="0.25">
      <c r="A2386" s="5"/>
    </row>
    <row r="2387" spans="1:1" x14ac:dyDescent="0.25">
      <c r="A2387" s="5"/>
    </row>
    <row r="2388" spans="1:1" x14ac:dyDescent="0.25">
      <c r="A2388" s="5"/>
    </row>
    <row r="2389" spans="1:1" x14ac:dyDescent="0.25">
      <c r="A2389" s="5"/>
    </row>
    <row r="2390" spans="1:1" x14ac:dyDescent="0.25">
      <c r="A2390" s="5"/>
    </row>
    <row r="2391" spans="1:1" x14ac:dyDescent="0.25">
      <c r="A2391" s="5"/>
    </row>
    <row r="2392" spans="1:1" x14ac:dyDescent="0.25">
      <c r="A2392" s="5"/>
    </row>
    <row r="2393" spans="1:1" x14ac:dyDescent="0.25">
      <c r="A2393" s="5"/>
    </row>
    <row r="2394" spans="1:1" x14ac:dyDescent="0.25">
      <c r="A2394" s="5"/>
    </row>
    <row r="2395" spans="1:1" x14ac:dyDescent="0.25">
      <c r="A2395" s="5"/>
    </row>
    <row r="2396" spans="1:1" x14ac:dyDescent="0.25">
      <c r="A2396" s="5"/>
    </row>
    <row r="2397" spans="1:1" x14ac:dyDescent="0.25">
      <c r="A2397" s="5"/>
    </row>
    <row r="2398" spans="1:1" x14ac:dyDescent="0.25">
      <c r="A2398" s="5"/>
    </row>
    <row r="2399" spans="1:1" x14ac:dyDescent="0.25">
      <c r="A2399" s="5"/>
    </row>
    <row r="2400" spans="1:1" x14ac:dyDescent="0.25">
      <c r="A2400" s="5"/>
    </row>
    <row r="2401" spans="1:1" x14ac:dyDescent="0.25">
      <c r="A2401" s="5"/>
    </row>
    <row r="2402" spans="1:1" x14ac:dyDescent="0.25">
      <c r="A2402" s="5"/>
    </row>
    <row r="2403" spans="1:1" x14ac:dyDescent="0.25">
      <c r="A2403" s="5"/>
    </row>
    <row r="2404" spans="1:1" x14ac:dyDescent="0.25">
      <c r="A2404" s="5"/>
    </row>
    <row r="2405" spans="1:1" x14ac:dyDescent="0.25">
      <c r="A2405" s="5"/>
    </row>
    <row r="2406" spans="1:1" x14ac:dyDescent="0.25">
      <c r="A2406" s="5"/>
    </row>
    <row r="2407" spans="1:1" x14ac:dyDescent="0.25">
      <c r="A2407" s="5"/>
    </row>
    <row r="2408" spans="1:1" x14ac:dyDescent="0.25">
      <c r="A2408" s="5"/>
    </row>
    <row r="2409" spans="1:1" x14ac:dyDescent="0.25">
      <c r="A2409" s="5"/>
    </row>
    <row r="2410" spans="1:1" x14ac:dyDescent="0.25">
      <c r="A2410" s="5"/>
    </row>
    <row r="2411" spans="1:1" x14ac:dyDescent="0.25">
      <c r="A2411" s="5"/>
    </row>
    <row r="2412" spans="1:1" x14ac:dyDescent="0.25">
      <c r="A2412" s="5"/>
    </row>
    <row r="2413" spans="1:1" x14ac:dyDescent="0.25">
      <c r="A2413" s="5"/>
    </row>
    <row r="2414" spans="1:1" x14ac:dyDescent="0.25">
      <c r="A2414" s="5"/>
    </row>
    <row r="2415" spans="1:1" x14ac:dyDescent="0.25">
      <c r="A2415" s="5"/>
    </row>
    <row r="2416" spans="1:1" x14ac:dyDescent="0.25">
      <c r="A2416" s="5"/>
    </row>
    <row r="2417" spans="1:1" x14ac:dyDescent="0.25">
      <c r="A2417" s="5"/>
    </row>
    <row r="2418" spans="1:1" x14ac:dyDescent="0.25">
      <c r="A2418" s="5"/>
    </row>
    <row r="2419" spans="1:1" x14ac:dyDescent="0.25">
      <c r="A2419" s="5"/>
    </row>
    <row r="2420" spans="1:1" x14ac:dyDescent="0.25">
      <c r="A2420" s="5"/>
    </row>
    <row r="2421" spans="1:1" x14ac:dyDescent="0.25">
      <c r="A2421" s="5"/>
    </row>
    <row r="2422" spans="1:1" x14ac:dyDescent="0.25">
      <c r="A2422" s="5"/>
    </row>
    <row r="2423" spans="1:1" x14ac:dyDescent="0.25">
      <c r="A2423" s="5"/>
    </row>
    <row r="2424" spans="1:1" x14ac:dyDescent="0.25">
      <c r="A2424" s="5"/>
    </row>
    <row r="2425" spans="1:1" x14ac:dyDescent="0.25">
      <c r="A2425" s="5"/>
    </row>
    <row r="2426" spans="1:1" x14ac:dyDescent="0.25">
      <c r="A2426" s="5"/>
    </row>
    <row r="2427" spans="1:1" x14ac:dyDescent="0.25">
      <c r="A2427" s="5"/>
    </row>
    <row r="2428" spans="1:1" x14ac:dyDescent="0.25">
      <c r="A2428" s="5"/>
    </row>
    <row r="2429" spans="1:1" x14ac:dyDescent="0.25">
      <c r="A2429" s="5"/>
    </row>
    <row r="2430" spans="1:1" x14ac:dyDescent="0.25">
      <c r="A2430" s="5"/>
    </row>
    <row r="2431" spans="1:1" x14ac:dyDescent="0.25">
      <c r="A2431" s="5"/>
    </row>
    <row r="2432" spans="1:1" x14ac:dyDescent="0.25">
      <c r="A2432" s="5"/>
    </row>
    <row r="2433" spans="1:1" x14ac:dyDescent="0.25">
      <c r="A2433" s="5"/>
    </row>
    <row r="2434" spans="1:1" x14ac:dyDescent="0.25">
      <c r="A2434" s="5"/>
    </row>
    <row r="2435" spans="1:1" x14ac:dyDescent="0.25">
      <c r="A2435" s="5"/>
    </row>
    <row r="2436" spans="1:1" x14ac:dyDescent="0.25">
      <c r="A2436" s="5"/>
    </row>
    <row r="2437" spans="1:1" x14ac:dyDescent="0.25">
      <c r="A2437" s="5"/>
    </row>
    <row r="2438" spans="1:1" x14ac:dyDescent="0.25">
      <c r="A2438" s="5"/>
    </row>
    <row r="2439" spans="1:1" x14ac:dyDescent="0.25">
      <c r="A2439" s="5"/>
    </row>
    <row r="2440" spans="1:1" x14ac:dyDescent="0.25">
      <c r="A2440" s="5"/>
    </row>
    <row r="2441" spans="1:1" x14ac:dyDescent="0.25">
      <c r="A2441" s="5"/>
    </row>
    <row r="2442" spans="1:1" x14ac:dyDescent="0.25">
      <c r="A2442" s="5"/>
    </row>
    <row r="2443" spans="1:1" x14ac:dyDescent="0.25">
      <c r="A2443" s="5"/>
    </row>
    <row r="2444" spans="1:1" x14ac:dyDescent="0.25">
      <c r="A2444" s="5"/>
    </row>
    <row r="2445" spans="1:1" x14ac:dyDescent="0.25">
      <c r="A2445" s="5"/>
    </row>
    <row r="2446" spans="1:1" x14ac:dyDescent="0.25">
      <c r="A2446" s="5"/>
    </row>
    <row r="2447" spans="1:1" x14ac:dyDescent="0.25">
      <c r="A2447" s="5"/>
    </row>
    <row r="2448" spans="1:1" x14ac:dyDescent="0.25">
      <c r="A2448" s="5"/>
    </row>
    <row r="2449" spans="1:1" x14ac:dyDescent="0.25">
      <c r="A2449" s="5"/>
    </row>
    <row r="2450" spans="1:1" x14ac:dyDescent="0.25">
      <c r="A2450" s="5"/>
    </row>
    <row r="2451" spans="1:1" x14ac:dyDescent="0.25">
      <c r="A2451" s="5"/>
    </row>
    <row r="2452" spans="1:1" x14ac:dyDescent="0.25">
      <c r="A2452" s="5"/>
    </row>
    <row r="2453" spans="1:1" x14ac:dyDescent="0.25">
      <c r="A2453" s="5"/>
    </row>
    <row r="2454" spans="1:1" x14ac:dyDescent="0.25">
      <c r="A2454" s="5"/>
    </row>
    <row r="2455" spans="1:1" x14ac:dyDescent="0.25">
      <c r="A2455" s="5"/>
    </row>
    <row r="2456" spans="1:1" x14ac:dyDescent="0.25">
      <c r="A2456" s="5"/>
    </row>
    <row r="2457" spans="1:1" x14ac:dyDescent="0.25">
      <c r="A2457" s="5"/>
    </row>
    <row r="2458" spans="1:1" x14ac:dyDescent="0.25">
      <c r="A2458" s="5"/>
    </row>
    <row r="2459" spans="1:1" x14ac:dyDescent="0.25">
      <c r="A2459" s="5"/>
    </row>
    <row r="2460" spans="1:1" x14ac:dyDescent="0.25">
      <c r="A2460" s="5"/>
    </row>
    <row r="2461" spans="1:1" x14ac:dyDescent="0.25">
      <c r="A2461" s="5"/>
    </row>
    <row r="2462" spans="1:1" x14ac:dyDescent="0.25">
      <c r="A2462" s="5"/>
    </row>
    <row r="2463" spans="1:1" x14ac:dyDescent="0.25">
      <c r="A2463" s="5"/>
    </row>
    <row r="2464" spans="1:1" x14ac:dyDescent="0.25">
      <c r="A2464" s="5"/>
    </row>
    <row r="2465" spans="1:1" x14ac:dyDescent="0.25">
      <c r="A2465" s="5"/>
    </row>
    <row r="2466" spans="1:1" x14ac:dyDescent="0.25">
      <c r="A2466" s="5"/>
    </row>
    <row r="2467" spans="1:1" x14ac:dyDescent="0.25">
      <c r="A2467" s="5"/>
    </row>
    <row r="2468" spans="1:1" x14ac:dyDescent="0.25">
      <c r="A2468" s="5"/>
    </row>
    <row r="2469" spans="1:1" x14ac:dyDescent="0.25">
      <c r="A2469" s="5"/>
    </row>
    <row r="2470" spans="1:1" x14ac:dyDescent="0.25">
      <c r="A2470" s="5"/>
    </row>
    <row r="2471" spans="1:1" x14ac:dyDescent="0.25">
      <c r="A2471" s="5"/>
    </row>
    <row r="2472" spans="1:1" x14ac:dyDescent="0.25">
      <c r="A2472" s="5"/>
    </row>
    <row r="2473" spans="1:1" x14ac:dyDescent="0.25">
      <c r="A2473" s="5"/>
    </row>
    <row r="2474" spans="1:1" x14ac:dyDescent="0.25">
      <c r="A2474" s="5"/>
    </row>
    <row r="2475" spans="1:1" x14ac:dyDescent="0.25">
      <c r="A2475" s="5"/>
    </row>
    <row r="2476" spans="1:1" x14ac:dyDescent="0.25">
      <c r="A2476" s="5"/>
    </row>
    <row r="2477" spans="1:1" x14ac:dyDescent="0.25">
      <c r="A2477" s="5"/>
    </row>
    <row r="2478" spans="1:1" x14ac:dyDescent="0.25">
      <c r="A2478" s="5"/>
    </row>
    <row r="2479" spans="1:1" x14ac:dyDescent="0.25">
      <c r="A2479" s="5"/>
    </row>
    <row r="2480" spans="1:1" x14ac:dyDescent="0.25">
      <c r="A2480" s="5"/>
    </row>
    <row r="2481" spans="1:1" x14ac:dyDescent="0.25">
      <c r="A2481" s="5"/>
    </row>
    <row r="2482" spans="1:1" x14ac:dyDescent="0.25">
      <c r="A2482" s="5"/>
    </row>
    <row r="2483" spans="1:1" x14ac:dyDescent="0.25">
      <c r="A2483" s="5"/>
    </row>
    <row r="2484" spans="1:1" x14ac:dyDescent="0.25">
      <c r="A2484" s="5"/>
    </row>
    <row r="2485" spans="1:1" x14ac:dyDescent="0.25">
      <c r="A2485" s="5"/>
    </row>
    <row r="2486" spans="1:1" x14ac:dyDescent="0.25">
      <c r="A2486" s="5"/>
    </row>
    <row r="2487" spans="1:1" x14ac:dyDescent="0.25">
      <c r="A2487" s="5"/>
    </row>
    <row r="2488" spans="1:1" x14ac:dyDescent="0.25">
      <c r="A2488" s="5"/>
    </row>
    <row r="2489" spans="1:1" x14ac:dyDescent="0.25">
      <c r="A2489" s="5"/>
    </row>
    <row r="2490" spans="1:1" x14ac:dyDescent="0.25">
      <c r="A2490" s="5"/>
    </row>
    <row r="2491" spans="1:1" x14ac:dyDescent="0.25">
      <c r="A2491" s="5"/>
    </row>
    <row r="2492" spans="1:1" x14ac:dyDescent="0.25">
      <c r="A2492" s="5"/>
    </row>
    <row r="2493" spans="1:1" x14ac:dyDescent="0.25">
      <c r="A2493" s="5"/>
    </row>
    <row r="2494" spans="1:1" x14ac:dyDescent="0.25">
      <c r="A2494" s="5"/>
    </row>
    <row r="2495" spans="1:1" x14ac:dyDescent="0.25">
      <c r="A2495" s="5"/>
    </row>
    <row r="2496" spans="1:1" x14ac:dyDescent="0.25">
      <c r="A2496" s="5"/>
    </row>
    <row r="2497" spans="1:1" x14ac:dyDescent="0.25">
      <c r="A2497" s="5"/>
    </row>
    <row r="2498" spans="1:1" x14ac:dyDescent="0.25">
      <c r="A2498" s="5"/>
    </row>
    <row r="2499" spans="1:1" x14ac:dyDescent="0.25">
      <c r="A2499" s="5"/>
    </row>
    <row r="2500" spans="1:1" x14ac:dyDescent="0.25">
      <c r="A2500" s="5"/>
    </row>
    <row r="2501" spans="1:1" x14ac:dyDescent="0.25">
      <c r="A2501" s="5"/>
    </row>
    <row r="2502" spans="1:1" x14ac:dyDescent="0.25">
      <c r="A2502" s="5"/>
    </row>
    <row r="2503" spans="1:1" x14ac:dyDescent="0.25">
      <c r="A2503" s="5"/>
    </row>
    <row r="2504" spans="1:1" x14ac:dyDescent="0.25">
      <c r="A2504" s="5"/>
    </row>
    <row r="2505" spans="1:1" x14ac:dyDescent="0.25">
      <c r="A2505" s="5"/>
    </row>
    <row r="2506" spans="1:1" x14ac:dyDescent="0.25">
      <c r="A2506" s="5"/>
    </row>
    <row r="2507" spans="1:1" x14ac:dyDescent="0.25">
      <c r="A2507" s="5"/>
    </row>
    <row r="2508" spans="1:1" x14ac:dyDescent="0.25">
      <c r="A2508" s="5"/>
    </row>
    <row r="2509" spans="1:1" x14ac:dyDescent="0.25">
      <c r="A2509" s="5"/>
    </row>
    <row r="2510" spans="1:1" x14ac:dyDescent="0.25">
      <c r="A2510" s="5"/>
    </row>
    <row r="2511" spans="1:1" x14ac:dyDescent="0.25">
      <c r="A2511" s="5"/>
    </row>
    <row r="2512" spans="1:1" x14ac:dyDescent="0.25">
      <c r="A2512" s="5"/>
    </row>
    <row r="2513" spans="1:1" x14ac:dyDescent="0.25">
      <c r="A2513" s="5"/>
    </row>
    <row r="2514" spans="1:1" x14ac:dyDescent="0.25">
      <c r="A2514" s="5"/>
    </row>
    <row r="2515" spans="1:1" x14ac:dyDescent="0.25">
      <c r="A2515" s="5"/>
    </row>
    <row r="2516" spans="1:1" x14ac:dyDescent="0.25">
      <c r="A2516" s="5"/>
    </row>
    <row r="2517" spans="1:1" x14ac:dyDescent="0.25">
      <c r="A2517" s="5"/>
    </row>
    <row r="2518" spans="1:1" x14ac:dyDescent="0.25">
      <c r="A2518" s="5"/>
    </row>
    <row r="2519" spans="1:1" x14ac:dyDescent="0.25">
      <c r="A2519" s="5"/>
    </row>
    <row r="2520" spans="1:1" x14ac:dyDescent="0.25">
      <c r="A2520" s="5"/>
    </row>
    <row r="2521" spans="1:1" x14ac:dyDescent="0.25">
      <c r="A2521" s="5"/>
    </row>
    <row r="2522" spans="1:1" x14ac:dyDescent="0.25">
      <c r="A2522" s="5"/>
    </row>
    <row r="2523" spans="1:1" x14ac:dyDescent="0.25">
      <c r="A2523" s="5"/>
    </row>
    <row r="2524" spans="1:1" x14ac:dyDescent="0.25">
      <c r="A2524" s="5"/>
    </row>
    <row r="2525" spans="1:1" x14ac:dyDescent="0.25">
      <c r="A2525" s="5"/>
    </row>
    <row r="2526" spans="1:1" x14ac:dyDescent="0.25">
      <c r="A2526" s="5"/>
    </row>
    <row r="2527" spans="1:1" x14ac:dyDescent="0.25">
      <c r="A2527" s="5"/>
    </row>
    <row r="2528" spans="1:1" x14ac:dyDescent="0.25">
      <c r="A2528" s="5"/>
    </row>
    <row r="2529" spans="1:1" x14ac:dyDescent="0.25">
      <c r="A2529" s="5"/>
    </row>
    <row r="2530" spans="1:1" x14ac:dyDescent="0.25">
      <c r="A2530" s="5"/>
    </row>
    <row r="2531" spans="1:1" x14ac:dyDescent="0.25">
      <c r="A2531" s="5"/>
    </row>
    <row r="2532" spans="1:1" x14ac:dyDescent="0.25">
      <c r="A2532" s="5"/>
    </row>
    <row r="2533" spans="1:1" x14ac:dyDescent="0.25">
      <c r="A2533" s="5"/>
    </row>
    <row r="2534" spans="1:1" x14ac:dyDescent="0.25">
      <c r="A2534" s="5"/>
    </row>
    <row r="2535" spans="1:1" x14ac:dyDescent="0.25">
      <c r="A2535" s="5"/>
    </row>
    <row r="2536" spans="1:1" x14ac:dyDescent="0.25">
      <c r="A2536" s="5"/>
    </row>
    <row r="2537" spans="1:1" x14ac:dyDescent="0.25">
      <c r="A2537" s="5"/>
    </row>
    <row r="2538" spans="1:1" x14ac:dyDescent="0.25">
      <c r="A2538" s="5"/>
    </row>
    <row r="2539" spans="1:1" x14ac:dyDescent="0.25">
      <c r="A2539" s="5"/>
    </row>
    <row r="2540" spans="1:1" x14ac:dyDescent="0.25">
      <c r="A2540" s="5"/>
    </row>
    <row r="2541" spans="1:1" x14ac:dyDescent="0.25">
      <c r="A2541" s="5"/>
    </row>
    <row r="2542" spans="1:1" x14ac:dyDescent="0.25">
      <c r="A2542" s="5"/>
    </row>
    <row r="2543" spans="1:1" x14ac:dyDescent="0.25">
      <c r="A2543" s="5"/>
    </row>
    <row r="2544" spans="1:1" x14ac:dyDescent="0.25">
      <c r="A2544" s="5"/>
    </row>
    <row r="2545" spans="1:1" x14ac:dyDescent="0.25">
      <c r="A2545" s="5"/>
    </row>
    <row r="2546" spans="1:1" x14ac:dyDescent="0.25">
      <c r="A2546" s="5"/>
    </row>
    <row r="2547" spans="1:1" x14ac:dyDescent="0.25">
      <c r="A2547" s="5"/>
    </row>
    <row r="2548" spans="1:1" x14ac:dyDescent="0.25">
      <c r="A2548" s="5"/>
    </row>
    <row r="2549" spans="1:1" x14ac:dyDescent="0.25">
      <c r="A2549" s="5"/>
    </row>
    <row r="2550" spans="1:1" x14ac:dyDescent="0.25">
      <c r="A2550" s="5"/>
    </row>
    <row r="2551" spans="1:1" x14ac:dyDescent="0.25">
      <c r="A2551" s="5"/>
    </row>
    <row r="2552" spans="1:1" x14ac:dyDescent="0.25">
      <c r="A2552" s="5"/>
    </row>
    <row r="2553" spans="1:1" x14ac:dyDescent="0.25">
      <c r="A2553" s="5"/>
    </row>
    <row r="2554" spans="1:1" x14ac:dyDescent="0.25">
      <c r="A2554" s="5"/>
    </row>
    <row r="2555" spans="1:1" x14ac:dyDescent="0.25">
      <c r="A2555" s="5"/>
    </row>
    <row r="2556" spans="1:1" x14ac:dyDescent="0.25">
      <c r="A2556" s="5"/>
    </row>
    <row r="2557" spans="1:1" x14ac:dyDescent="0.25">
      <c r="A2557" s="5"/>
    </row>
    <row r="2558" spans="1:1" x14ac:dyDescent="0.25">
      <c r="A2558" s="5"/>
    </row>
    <row r="2559" spans="1:1" x14ac:dyDescent="0.25">
      <c r="A2559" s="5"/>
    </row>
    <row r="2560" spans="1:1" x14ac:dyDescent="0.25">
      <c r="A2560" s="5"/>
    </row>
    <row r="2561" spans="1:1" x14ac:dyDescent="0.25">
      <c r="A2561" s="5"/>
    </row>
    <row r="2562" spans="1:1" x14ac:dyDescent="0.25">
      <c r="A2562" s="5"/>
    </row>
    <row r="2563" spans="1:1" x14ac:dyDescent="0.25">
      <c r="A2563" s="5"/>
    </row>
    <row r="2564" spans="1:1" x14ac:dyDescent="0.25">
      <c r="A2564" s="5"/>
    </row>
    <row r="2565" spans="1:1" x14ac:dyDescent="0.25">
      <c r="A2565" s="5"/>
    </row>
    <row r="2566" spans="1:1" x14ac:dyDescent="0.25">
      <c r="A2566" s="5"/>
    </row>
    <row r="2567" spans="1:1" x14ac:dyDescent="0.25">
      <c r="A2567" s="5"/>
    </row>
    <row r="2568" spans="1:1" x14ac:dyDescent="0.25">
      <c r="A2568" s="5"/>
    </row>
    <row r="2569" spans="1:1" x14ac:dyDescent="0.25">
      <c r="A2569" s="5"/>
    </row>
    <row r="2570" spans="1:1" x14ac:dyDescent="0.25">
      <c r="A2570" s="5"/>
    </row>
    <row r="2571" spans="1:1" x14ac:dyDescent="0.25">
      <c r="A2571" s="5"/>
    </row>
    <row r="2572" spans="1:1" x14ac:dyDescent="0.25">
      <c r="A2572" s="5"/>
    </row>
    <row r="2573" spans="1:1" x14ac:dyDescent="0.25">
      <c r="A2573" s="5"/>
    </row>
    <row r="2574" spans="1:1" x14ac:dyDescent="0.25">
      <c r="A2574" s="5"/>
    </row>
    <row r="2575" spans="1:1" x14ac:dyDescent="0.25">
      <c r="A2575" s="5"/>
    </row>
    <row r="2576" spans="1:1" x14ac:dyDescent="0.25">
      <c r="A2576" s="5"/>
    </row>
    <row r="2577" spans="1:1" x14ac:dyDescent="0.25">
      <c r="A2577" s="5"/>
    </row>
    <row r="2578" spans="1:1" x14ac:dyDescent="0.25">
      <c r="A2578" s="5"/>
    </row>
    <row r="2579" spans="1:1" x14ac:dyDescent="0.25">
      <c r="A2579" s="5"/>
    </row>
    <row r="2580" spans="1:1" x14ac:dyDescent="0.25">
      <c r="A2580" s="5"/>
    </row>
    <row r="2581" spans="1:1" x14ac:dyDescent="0.25">
      <c r="A2581" s="5"/>
    </row>
    <row r="2582" spans="1:1" x14ac:dyDescent="0.25">
      <c r="A2582" s="5"/>
    </row>
    <row r="2583" spans="1:1" x14ac:dyDescent="0.25">
      <c r="A2583" s="5"/>
    </row>
    <row r="2584" spans="1:1" x14ac:dyDescent="0.25">
      <c r="A2584" s="5"/>
    </row>
    <row r="2585" spans="1:1" x14ac:dyDescent="0.25">
      <c r="A2585" s="5"/>
    </row>
    <row r="2586" spans="1:1" x14ac:dyDescent="0.25">
      <c r="A2586" s="5"/>
    </row>
    <row r="2587" spans="1:1" x14ac:dyDescent="0.25">
      <c r="A2587" s="5"/>
    </row>
    <row r="2588" spans="1:1" x14ac:dyDescent="0.25">
      <c r="A2588" s="5"/>
    </row>
    <row r="2589" spans="1:1" x14ac:dyDescent="0.25">
      <c r="A2589" s="5"/>
    </row>
    <row r="2590" spans="1:1" x14ac:dyDescent="0.25">
      <c r="A2590" s="5"/>
    </row>
    <row r="2591" spans="1:1" x14ac:dyDescent="0.25">
      <c r="A2591" s="5"/>
    </row>
    <row r="2592" spans="1:1" x14ac:dyDescent="0.25">
      <c r="A2592" s="5"/>
    </row>
    <row r="2593" spans="1:1" x14ac:dyDescent="0.25">
      <c r="A2593" s="5"/>
    </row>
    <row r="2594" spans="1:1" x14ac:dyDescent="0.25">
      <c r="A2594" s="5"/>
    </row>
    <row r="2595" spans="1:1" x14ac:dyDescent="0.25">
      <c r="A2595" s="5"/>
    </row>
    <row r="2596" spans="1:1" x14ac:dyDescent="0.25">
      <c r="A2596" s="5"/>
    </row>
    <row r="2597" spans="1:1" x14ac:dyDescent="0.25">
      <c r="A2597" s="5"/>
    </row>
    <row r="2598" spans="1:1" x14ac:dyDescent="0.25">
      <c r="A2598" s="5"/>
    </row>
    <row r="2599" spans="1:1" x14ac:dyDescent="0.25">
      <c r="A2599" s="5"/>
    </row>
    <row r="2600" spans="1:1" x14ac:dyDescent="0.25">
      <c r="A2600" s="5"/>
    </row>
    <row r="2601" spans="1:1" x14ac:dyDescent="0.25">
      <c r="A2601" s="5"/>
    </row>
    <row r="2602" spans="1:1" x14ac:dyDescent="0.25">
      <c r="A2602" s="5"/>
    </row>
    <row r="2603" spans="1:1" x14ac:dyDescent="0.25">
      <c r="A2603" s="5"/>
    </row>
    <row r="2604" spans="1:1" x14ac:dyDescent="0.25">
      <c r="A2604" s="5"/>
    </row>
    <row r="2605" spans="1:1" x14ac:dyDescent="0.25">
      <c r="A2605" s="5"/>
    </row>
    <row r="2606" spans="1:1" x14ac:dyDescent="0.25">
      <c r="A2606" s="5"/>
    </row>
    <row r="2607" spans="1:1" x14ac:dyDescent="0.25">
      <c r="A2607" s="5"/>
    </row>
    <row r="2608" spans="1:1" x14ac:dyDescent="0.25">
      <c r="A2608" s="5"/>
    </row>
    <row r="2609" spans="1:1" x14ac:dyDescent="0.25">
      <c r="A2609" s="5"/>
    </row>
    <row r="2610" spans="1:1" x14ac:dyDescent="0.25">
      <c r="A2610" s="5"/>
    </row>
    <row r="2611" spans="1:1" x14ac:dyDescent="0.25">
      <c r="A2611" s="5"/>
    </row>
    <row r="2612" spans="1:1" x14ac:dyDescent="0.25">
      <c r="A2612" s="5"/>
    </row>
    <row r="2613" spans="1:1" x14ac:dyDescent="0.25">
      <c r="A2613" s="5"/>
    </row>
    <row r="2614" spans="1:1" x14ac:dyDescent="0.25">
      <c r="A2614" s="5"/>
    </row>
    <row r="2615" spans="1:1" x14ac:dyDescent="0.25">
      <c r="A2615" s="5"/>
    </row>
    <row r="2616" spans="1:1" x14ac:dyDescent="0.25">
      <c r="A2616" s="5"/>
    </row>
    <row r="2617" spans="1:1" x14ac:dyDescent="0.25">
      <c r="A2617" s="5"/>
    </row>
    <row r="2618" spans="1:1" x14ac:dyDescent="0.25">
      <c r="A2618" s="5"/>
    </row>
    <row r="2619" spans="1:1" x14ac:dyDescent="0.25">
      <c r="A2619" s="5"/>
    </row>
    <row r="2620" spans="1:1" x14ac:dyDescent="0.25">
      <c r="A2620" s="5"/>
    </row>
    <row r="2621" spans="1:1" x14ac:dyDescent="0.25">
      <c r="A2621" s="5"/>
    </row>
    <row r="2622" spans="1:1" x14ac:dyDescent="0.25">
      <c r="A2622" s="5"/>
    </row>
    <row r="2623" spans="1:1" x14ac:dyDescent="0.25">
      <c r="A2623" s="5"/>
    </row>
    <row r="2624" spans="1:1" x14ac:dyDescent="0.25">
      <c r="A2624" s="5"/>
    </row>
    <row r="2625" spans="1:1" x14ac:dyDescent="0.25">
      <c r="A2625" s="5"/>
    </row>
    <row r="2626" spans="1:1" x14ac:dyDescent="0.25">
      <c r="A2626" s="5"/>
    </row>
    <row r="2627" spans="1:1" x14ac:dyDescent="0.25">
      <c r="A2627" s="5"/>
    </row>
    <row r="2628" spans="1:1" x14ac:dyDescent="0.25">
      <c r="A2628" s="5"/>
    </row>
    <row r="2629" spans="1:1" x14ac:dyDescent="0.25">
      <c r="A2629" s="5"/>
    </row>
    <row r="2630" spans="1:1" x14ac:dyDescent="0.25">
      <c r="A2630" s="5"/>
    </row>
    <row r="2631" spans="1:1" x14ac:dyDescent="0.25">
      <c r="A2631" s="5"/>
    </row>
    <row r="2632" spans="1:1" x14ac:dyDescent="0.25">
      <c r="A2632" s="5"/>
    </row>
    <row r="2633" spans="1:1" x14ac:dyDescent="0.25">
      <c r="A2633" s="5"/>
    </row>
    <row r="2634" spans="1:1" x14ac:dyDescent="0.25">
      <c r="A2634" s="5"/>
    </row>
    <row r="2635" spans="1:1" x14ac:dyDescent="0.25">
      <c r="A2635" s="5"/>
    </row>
    <row r="2636" spans="1:1" x14ac:dyDescent="0.25">
      <c r="A2636" s="5"/>
    </row>
    <row r="2637" spans="1:1" x14ac:dyDescent="0.25">
      <c r="A2637" s="5"/>
    </row>
    <row r="2638" spans="1:1" x14ac:dyDescent="0.25">
      <c r="A2638" s="5"/>
    </row>
    <row r="2639" spans="1:1" x14ac:dyDescent="0.25">
      <c r="A2639" s="5"/>
    </row>
    <row r="2640" spans="1:1" x14ac:dyDescent="0.25">
      <c r="A2640" s="5"/>
    </row>
    <row r="2641" spans="1:1" x14ac:dyDescent="0.25">
      <c r="A2641" s="5"/>
    </row>
    <row r="2642" spans="1:1" x14ac:dyDescent="0.25">
      <c r="A2642" s="5"/>
    </row>
    <row r="2643" spans="1:1" x14ac:dyDescent="0.25">
      <c r="A2643" s="5"/>
    </row>
    <row r="2644" spans="1:1" x14ac:dyDescent="0.25">
      <c r="A2644" s="5"/>
    </row>
    <row r="2645" spans="1:1" x14ac:dyDescent="0.25">
      <c r="A2645" s="5"/>
    </row>
    <row r="2646" spans="1:1" x14ac:dyDescent="0.25">
      <c r="A2646" s="5"/>
    </row>
    <row r="2647" spans="1:1" x14ac:dyDescent="0.25">
      <c r="A2647" s="5"/>
    </row>
    <row r="2648" spans="1:1" x14ac:dyDescent="0.25">
      <c r="A2648" s="5"/>
    </row>
    <row r="2649" spans="1:1" x14ac:dyDescent="0.25">
      <c r="A2649" s="5"/>
    </row>
    <row r="2650" spans="1:1" x14ac:dyDescent="0.25">
      <c r="A2650" s="5"/>
    </row>
    <row r="2651" spans="1:1" x14ac:dyDescent="0.25">
      <c r="A2651" s="5"/>
    </row>
    <row r="2652" spans="1:1" x14ac:dyDescent="0.25">
      <c r="A2652" s="5"/>
    </row>
    <row r="2653" spans="1:1" x14ac:dyDescent="0.25">
      <c r="A2653" s="5"/>
    </row>
    <row r="2654" spans="1:1" x14ac:dyDescent="0.25">
      <c r="A2654" s="5"/>
    </row>
    <row r="2655" spans="1:1" x14ac:dyDescent="0.25">
      <c r="A2655" s="5"/>
    </row>
    <row r="2656" spans="1:1" x14ac:dyDescent="0.25">
      <c r="A2656" s="5"/>
    </row>
    <row r="2657" spans="1:1" x14ac:dyDescent="0.25">
      <c r="A2657" s="5"/>
    </row>
    <row r="2658" spans="1:1" x14ac:dyDescent="0.25">
      <c r="A2658" s="5"/>
    </row>
    <row r="2659" spans="1:1" x14ac:dyDescent="0.25">
      <c r="A2659" s="5"/>
    </row>
    <row r="2660" spans="1:1" x14ac:dyDescent="0.25">
      <c r="A2660" s="5"/>
    </row>
    <row r="2661" spans="1:1" x14ac:dyDescent="0.25">
      <c r="A2661" s="5"/>
    </row>
    <row r="2662" spans="1:1" x14ac:dyDescent="0.25">
      <c r="A2662" s="5"/>
    </row>
    <row r="2663" spans="1:1" x14ac:dyDescent="0.25">
      <c r="A2663" s="5"/>
    </row>
    <row r="2664" spans="1:1" x14ac:dyDescent="0.25">
      <c r="A2664" s="5"/>
    </row>
    <row r="2665" spans="1:1" x14ac:dyDescent="0.25">
      <c r="A2665" s="5"/>
    </row>
    <row r="2666" spans="1:1" x14ac:dyDescent="0.25">
      <c r="A2666" s="5"/>
    </row>
    <row r="2667" spans="1:1" x14ac:dyDescent="0.25">
      <c r="A2667" s="5"/>
    </row>
    <row r="2668" spans="1:1" x14ac:dyDescent="0.25">
      <c r="A2668" s="5"/>
    </row>
    <row r="2669" spans="1:1" x14ac:dyDescent="0.25">
      <c r="A2669" s="5"/>
    </row>
    <row r="2670" spans="1:1" x14ac:dyDescent="0.25">
      <c r="A2670" s="5"/>
    </row>
    <row r="2671" spans="1:1" x14ac:dyDescent="0.25">
      <c r="A2671" s="5"/>
    </row>
    <row r="2672" spans="1:1" x14ac:dyDescent="0.25">
      <c r="A2672" s="5"/>
    </row>
    <row r="2673" spans="1:1" x14ac:dyDescent="0.25">
      <c r="A2673" s="5"/>
    </row>
    <row r="2674" spans="1:1" x14ac:dyDescent="0.25">
      <c r="A2674" s="5"/>
    </row>
    <row r="2675" spans="1:1" x14ac:dyDescent="0.25">
      <c r="A2675" s="5"/>
    </row>
    <row r="2676" spans="1:1" x14ac:dyDescent="0.25">
      <c r="A2676" s="5"/>
    </row>
    <row r="2677" spans="1:1" x14ac:dyDescent="0.25">
      <c r="A2677" s="5"/>
    </row>
    <row r="2678" spans="1:1" x14ac:dyDescent="0.25">
      <c r="A2678" s="5"/>
    </row>
    <row r="2679" spans="1:1" x14ac:dyDescent="0.25">
      <c r="A2679" s="5"/>
    </row>
    <row r="2680" spans="1:1" x14ac:dyDescent="0.25">
      <c r="A2680" s="5"/>
    </row>
    <row r="2681" spans="1:1" x14ac:dyDescent="0.25">
      <c r="A2681" s="5"/>
    </row>
    <row r="2682" spans="1:1" x14ac:dyDescent="0.25">
      <c r="A2682" s="5"/>
    </row>
    <row r="2683" spans="1:1" x14ac:dyDescent="0.25">
      <c r="A2683" s="5"/>
    </row>
    <row r="2684" spans="1:1" x14ac:dyDescent="0.25">
      <c r="A2684" s="5"/>
    </row>
    <row r="2685" spans="1:1" x14ac:dyDescent="0.25">
      <c r="A2685" s="5"/>
    </row>
    <row r="2686" spans="1:1" x14ac:dyDescent="0.25">
      <c r="A2686" s="5"/>
    </row>
    <row r="2687" spans="1:1" x14ac:dyDescent="0.25">
      <c r="A2687" s="5"/>
    </row>
    <row r="2688" spans="1:1" x14ac:dyDescent="0.25">
      <c r="A2688" s="5"/>
    </row>
    <row r="2689" spans="1:1" x14ac:dyDescent="0.25">
      <c r="A2689" s="5"/>
    </row>
    <row r="2690" spans="1:1" x14ac:dyDescent="0.25">
      <c r="A2690" s="5"/>
    </row>
    <row r="2691" spans="1:1" x14ac:dyDescent="0.25">
      <c r="A2691" s="5"/>
    </row>
    <row r="2692" spans="1:1" x14ac:dyDescent="0.25">
      <c r="A2692" s="5"/>
    </row>
    <row r="2693" spans="1:1" x14ac:dyDescent="0.25">
      <c r="A2693" s="5"/>
    </row>
    <row r="2694" spans="1:1" x14ac:dyDescent="0.25">
      <c r="A2694" s="5"/>
    </row>
    <row r="2695" spans="1:1" x14ac:dyDescent="0.25">
      <c r="A2695" s="5"/>
    </row>
    <row r="2696" spans="1:1" x14ac:dyDescent="0.25">
      <c r="A2696" s="5"/>
    </row>
    <row r="2697" spans="1:1" x14ac:dyDescent="0.25">
      <c r="A2697" s="5"/>
    </row>
    <row r="2698" spans="1:1" x14ac:dyDescent="0.25">
      <c r="A2698" s="5"/>
    </row>
    <row r="2699" spans="1:1" x14ac:dyDescent="0.25">
      <c r="A2699" s="5"/>
    </row>
    <row r="2700" spans="1:1" x14ac:dyDescent="0.25">
      <c r="A2700" s="5"/>
    </row>
    <row r="2701" spans="1:1" x14ac:dyDescent="0.25">
      <c r="A2701" s="5"/>
    </row>
    <row r="2702" spans="1:1" x14ac:dyDescent="0.25">
      <c r="A2702" s="5"/>
    </row>
    <row r="2703" spans="1:1" x14ac:dyDescent="0.25">
      <c r="A2703" s="5"/>
    </row>
    <row r="2704" spans="1:1" x14ac:dyDescent="0.25">
      <c r="A2704" s="5"/>
    </row>
    <row r="2705" spans="1:1" x14ac:dyDescent="0.25">
      <c r="A2705" s="5"/>
    </row>
    <row r="2706" spans="1:1" x14ac:dyDescent="0.25">
      <c r="A2706" s="5"/>
    </row>
    <row r="2707" spans="1:1" x14ac:dyDescent="0.25">
      <c r="A2707" s="5"/>
    </row>
    <row r="2708" spans="1:1" x14ac:dyDescent="0.25">
      <c r="A2708" s="5"/>
    </row>
    <row r="2709" spans="1:1" x14ac:dyDescent="0.25">
      <c r="A2709" s="5"/>
    </row>
    <row r="2710" spans="1:1" x14ac:dyDescent="0.25">
      <c r="A2710" s="5"/>
    </row>
    <row r="2711" spans="1:1" x14ac:dyDescent="0.25">
      <c r="A2711" s="5"/>
    </row>
    <row r="2712" spans="1:1" x14ac:dyDescent="0.25">
      <c r="A2712" s="5"/>
    </row>
    <row r="2713" spans="1:1" x14ac:dyDescent="0.25">
      <c r="A2713" s="5"/>
    </row>
    <row r="2714" spans="1:1" x14ac:dyDescent="0.25">
      <c r="A2714" s="5"/>
    </row>
    <row r="2715" spans="1:1" x14ac:dyDescent="0.25">
      <c r="A2715" s="5"/>
    </row>
    <row r="2716" spans="1:1" x14ac:dyDescent="0.25">
      <c r="A2716" s="5"/>
    </row>
    <row r="2717" spans="1:1" x14ac:dyDescent="0.25">
      <c r="A2717" s="5"/>
    </row>
    <row r="2718" spans="1:1" x14ac:dyDescent="0.25">
      <c r="A2718" s="5"/>
    </row>
    <row r="2719" spans="1:1" x14ac:dyDescent="0.25">
      <c r="A2719" s="5"/>
    </row>
    <row r="2720" spans="1:1" x14ac:dyDescent="0.25">
      <c r="A2720" s="5"/>
    </row>
    <row r="2721" spans="1:1" x14ac:dyDescent="0.25">
      <c r="A2721" s="5"/>
    </row>
    <row r="2722" spans="1:1" x14ac:dyDescent="0.25">
      <c r="A2722" s="5"/>
    </row>
    <row r="2723" spans="1:1" x14ac:dyDescent="0.25">
      <c r="A2723" s="5"/>
    </row>
    <row r="2724" spans="1:1" x14ac:dyDescent="0.25">
      <c r="A2724" s="5"/>
    </row>
    <row r="2725" spans="1:1" x14ac:dyDescent="0.25">
      <c r="A2725" s="5"/>
    </row>
    <row r="2726" spans="1:1" x14ac:dyDescent="0.25">
      <c r="A2726" s="5"/>
    </row>
    <row r="2727" spans="1:1" x14ac:dyDescent="0.25">
      <c r="A2727" s="5"/>
    </row>
    <row r="2728" spans="1:1" x14ac:dyDescent="0.25">
      <c r="A2728" s="5"/>
    </row>
    <row r="2729" spans="1:1" x14ac:dyDescent="0.25">
      <c r="A2729" s="5"/>
    </row>
    <row r="2730" spans="1:1" x14ac:dyDescent="0.25">
      <c r="A2730" s="5"/>
    </row>
    <row r="2731" spans="1:1" x14ac:dyDescent="0.25">
      <c r="A2731" s="5"/>
    </row>
    <row r="2732" spans="1:1" x14ac:dyDescent="0.25">
      <c r="A2732" s="5"/>
    </row>
    <row r="2733" spans="1:1" x14ac:dyDescent="0.25">
      <c r="A2733" s="5"/>
    </row>
    <row r="2734" spans="1:1" x14ac:dyDescent="0.25">
      <c r="A2734" s="5"/>
    </row>
    <row r="2735" spans="1:1" x14ac:dyDescent="0.25">
      <c r="A2735" s="5"/>
    </row>
    <row r="2736" spans="1:1" x14ac:dyDescent="0.25">
      <c r="A2736" s="5"/>
    </row>
    <row r="2737" spans="1:1" x14ac:dyDescent="0.25">
      <c r="A2737" s="5"/>
    </row>
    <row r="2738" spans="1:1" x14ac:dyDescent="0.25">
      <c r="A2738" s="5"/>
    </row>
    <row r="2739" spans="1:1" x14ac:dyDescent="0.25">
      <c r="A2739" s="5"/>
    </row>
    <row r="2740" spans="1:1" x14ac:dyDescent="0.25">
      <c r="A2740" s="5"/>
    </row>
    <row r="2741" spans="1:1" x14ac:dyDescent="0.25">
      <c r="A2741" s="5"/>
    </row>
    <row r="2742" spans="1:1" x14ac:dyDescent="0.25">
      <c r="A2742" s="5"/>
    </row>
    <row r="2743" spans="1:1" x14ac:dyDescent="0.25">
      <c r="A2743" s="5"/>
    </row>
    <row r="2744" spans="1:1" x14ac:dyDescent="0.25">
      <c r="A2744" s="5"/>
    </row>
    <row r="2745" spans="1:1" x14ac:dyDescent="0.25">
      <c r="A2745" s="5"/>
    </row>
    <row r="2746" spans="1:1" x14ac:dyDescent="0.25">
      <c r="A2746" s="5"/>
    </row>
    <row r="2747" spans="1:1" x14ac:dyDescent="0.25">
      <c r="A2747" s="5"/>
    </row>
    <row r="2748" spans="1:1" x14ac:dyDescent="0.25">
      <c r="A2748" s="5"/>
    </row>
    <row r="2749" spans="1:1" x14ac:dyDescent="0.25">
      <c r="A2749" s="5"/>
    </row>
    <row r="2750" spans="1:1" x14ac:dyDescent="0.25">
      <c r="A2750" s="5"/>
    </row>
    <row r="2751" spans="1:1" x14ac:dyDescent="0.25">
      <c r="A2751" s="5"/>
    </row>
    <row r="2752" spans="1:1" x14ac:dyDescent="0.25">
      <c r="A2752" s="5"/>
    </row>
    <row r="2753" spans="1:1" x14ac:dyDescent="0.25">
      <c r="A2753" s="5"/>
    </row>
    <row r="2754" spans="1:1" x14ac:dyDescent="0.25">
      <c r="A2754" s="5"/>
    </row>
    <row r="2755" spans="1:1" x14ac:dyDescent="0.25">
      <c r="A2755" s="5"/>
    </row>
    <row r="2756" spans="1:1" x14ac:dyDescent="0.25">
      <c r="A2756" s="5"/>
    </row>
    <row r="2757" spans="1:1" x14ac:dyDescent="0.25">
      <c r="A2757" s="5"/>
    </row>
    <row r="2758" spans="1:1" x14ac:dyDescent="0.25">
      <c r="A2758" s="5"/>
    </row>
    <row r="2759" spans="1:1" x14ac:dyDescent="0.25">
      <c r="A2759" s="5"/>
    </row>
    <row r="2760" spans="1:1" x14ac:dyDescent="0.25">
      <c r="A2760" s="5"/>
    </row>
    <row r="2761" spans="1:1" x14ac:dyDescent="0.25">
      <c r="A2761" s="5"/>
    </row>
    <row r="2762" spans="1:1" x14ac:dyDescent="0.25">
      <c r="A2762" s="5"/>
    </row>
    <row r="2763" spans="1:1" x14ac:dyDescent="0.25">
      <c r="A2763" s="5"/>
    </row>
    <row r="2764" spans="1:1" x14ac:dyDescent="0.25">
      <c r="A2764" s="5"/>
    </row>
    <row r="2765" spans="1:1" x14ac:dyDescent="0.25">
      <c r="A2765" s="5"/>
    </row>
    <row r="2766" spans="1:1" x14ac:dyDescent="0.25">
      <c r="A2766" s="5"/>
    </row>
    <row r="2767" spans="1:1" x14ac:dyDescent="0.25">
      <c r="A2767" s="5"/>
    </row>
    <row r="2768" spans="1:1" x14ac:dyDescent="0.25">
      <c r="A2768" s="5"/>
    </row>
    <row r="2769" spans="1:1" x14ac:dyDescent="0.25">
      <c r="A2769" s="5"/>
    </row>
    <row r="2770" spans="1:1" x14ac:dyDescent="0.25">
      <c r="A2770" s="5"/>
    </row>
    <row r="2771" spans="1:1" x14ac:dyDescent="0.25">
      <c r="A2771" s="5"/>
    </row>
    <row r="2772" spans="1:1" x14ac:dyDescent="0.25">
      <c r="A2772" s="5"/>
    </row>
    <row r="2773" spans="1:1" x14ac:dyDescent="0.25">
      <c r="A2773" s="5"/>
    </row>
    <row r="2774" spans="1:1" x14ac:dyDescent="0.25">
      <c r="A2774" s="5"/>
    </row>
    <row r="2775" spans="1:1" x14ac:dyDescent="0.25">
      <c r="A2775" s="5"/>
    </row>
    <row r="2776" spans="1:1" x14ac:dyDescent="0.25">
      <c r="A2776" s="5"/>
    </row>
    <row r="2777" spans="1:1" x14ac:dyDescent="0.25">
      <c r="A2777" s="5"/>
    </row>
    <row r="2778" spans="1:1" x14ac:dyDescent="0.25">
      <c r="A2778" s="5"/>
    </row>
    <row r="2779" spans="1:1" x14ac:dyDescent="0.25">
      <c r="A2779" s="5"/>
    </row>
    <row r="2780" spans="1:1" x14ac:dyDescent="0.25">
      <c r="A2780" s="5"/>
    </row>
    <row r="2781" spans="1:1" x14ac:dyDescent="0.25">
      <c r="A2781" s="5"/>
    </row>
    <row r="2782" spans="1:1" x14ac:dyDescent="0.25">
      <c r="A2782" s="5"/>
    </row>
    <row r="2783" spans="1:1" x14ac:dyDescent="0.25">
      <c r="A2783" s="5"/>
    </row>
    <row r="2784" spans="1:1" x14ac:dyDescent="0.25">
      <c r="A2784" s="5"/>
    </row>
    <row r="2785" spans="1:1" x14ac:dyDescent="0.25">
      <c r="A2785" s="5"/>
    </row>
    <row r="2786" spans="1:1" x14ac:dyDescent="0.25">
      <c r="A2786" s="5"/>
    </row>
    <row r="2787" spans="1:1" x14ac:dyDescent="0.25">
      <c r="A2787" s="5"/>
    </row>
    <row r="2788" spans="1:1" x14ac:dyDescent="0.25">
      <c r="A2788" s="5"/>
    </row>
    <row r="2789" spans="1:1" x14ac:dyDescent="0.25">
      <c r="A2789" s="5"/>
    </row>
    <row r="2790" spans="1:1" x14ac:dyDescent="0.25">
      <c r="A2790" s="5"/>
    </row>
    <row r="2791" spans="1:1" x14ac:dyDescent="0.25">
      <c r="A2791" s="5"/>
    </row>
    <row r="2792" spans="1:1" x14ac:dyDescent="0.25">
      <c r="A2792" s="5"/>
    </row>
    <row r="2793" spans="1:1" x14ac:dyDescent="0.25">
      <c r="A2793" s="5"/>
    </row>
    <row r="2794" spans="1:1" x14ac:dyDescent="0.25">
      <c r="A2794" s="5"/>
    </row>
    <row r="2795" spans="1:1" x14ac:dyDescent="0.25">
      <c r="A2795" s="5"/>
    </row>
    <row r="2796" spans="1:1" x14ac:dyDescent="0.25">
      <c r="A2796" s="5"/>
    </row>
    <row r="2797" spans="1:1" x14ac:dyDescent="0.25">
      <c r="A2797" s="5"/>
    </row>
    <row r="2798" spans="1:1" x14ac:dyDescent="0.25">
      <c r="A2798" s="5"/>
    </row>
    <row r="2799" spans="1:1" x14ac:dyDescent="0.25">
      <c r="A2799" s="5"/>
    </row>
    <row r="2800" spans="1:1" x14ac:dyDescent="0.25">
      <c r="A2800" s="5"/>
    </row>
    <row r="2801" spans="1:1" x14ac:dyDescent="0.25">
      <c r="A2801" s="5"/>
    </row>
    <row r="2802" spans="1:1" x14ac:dyDescent="0.25">
      <c r="A2802" s="5"/>
    </row>
    <row r="2803" spans="1:1" x14ac:dyDescent="0.25">
      <c r="A2803" s="5"/>
    </row>
    <row r="2804" spans="1:1" x14ac:dyDescent="0.25">
      <c r="A2804" s="5"/>
    </row>
    <row r="2805" spans="1:1" x14ac:dyDescent="0.25">
      <c r="A2805" s="5"/>
    </row>
    <row r="2806" spans="1:1" x14ac:dyDescent="0.25">
      <c r="A2806" s="5"/>
    </row>
    <row r="2807" spans="1:1" x14ac:dyDescent="0.25">
      <c r="A2807" s="5"/>
    </row>
    <row r="2808" spans="1:1" x14ac:dyDescent="0.25">
      <c r="A2808" s="5"/>
    </row>
    <row r="2809" spans="1:1" x14ac:dyDescent="0.25">
      <c r="A2809" s="5"/>
    </row>
    <row r="2810" spans="1:1" x14ac:dyDescent="0.25">
      <c r="A2810" s="5"/>
    </row>
    <row r="2811" spans="1:1" x14ac:dyDescent="0.25">
      <c r="A2811" s="5"/>
    </row>
    <row r="2812" spans="1:1" x14ac:dyDescent="0.25">
      <c r="A2812" s="5"/>
    </row>
    <row r="2813" spans="1:1" x14ac:dyDescent="0.25">
      <c r="A2813" s="5"/>
    </row>
    <row r="2814" spans="1:1" x14ac:dyDescent="0.25">
      <c r="A2814" s="5"/>
    </row>
    <row r="2815" spans="1:1" x14ac:dyDescent="0.25">
      <c r="A2815" s="5"/>
    </row>
    <row r="2816" spans="1:1" x14ac:dyDescent="0.25">
      <c r="A2816" s="5"/>
    </row>
    <row r="2817" spans="1:1" x14ac:dyDescent="0.25">
      <c r="A2817" s="5"/>
    </row>
    <row r="2818" spans="1:1" x14ac:dyDescent="0.25">
      <c r="A2818" s="5"/>
    </row>
    <row r="2819" spans="1:1" x14ac:dyDescent="0.25">
      <c r="A2819" s="5"/>
    </row>
    <row r="2820" spans="1:1" x14ac:dyDescent="0.25">
      <c r="A2820" s="5"/>
    </row>
    <row r="2821" spans="1:1" x14ac:dyDescent="0.25">
      <c r="A2821" s="5"/>
    </row>
    <row r="2822" spans="1:1" x14ac:dyDescent="0.25">
      <c r="A2822" s="5"/>
    </row>
    <row r="2823" spans="1:1" x14ac:dyDescent="0.25">
      <c r="A2823" s="5"/>
    </row>
    <row r="2824" spans="1:1" x14ac:dyDescent="0.25">
      <c r="A2824" s="5"/>
    </row>
    <row r="2825" spans="1:1" x14ac:dyDescent="0.25">
      <c r="A2825" s="5"/>
    </row>
    <row r="2826" spans="1:1" x14ac:dyDescent="0.25">
      <c r="A2826" s="5"/>
    </row>
    <row r="2827" spans="1:1" x14ac:dyDescent="0.25">
      <c r="A2827" s="5"/>
    </row>
    <row r="2828" spans="1:1" x14ac:dyDescent="0.25">
      <c r="A2828" s="5"/>
    </row>
    <row r="2829" spans="1:1" x14ac:dyDescent="0.25">
      <c r="A2829" s="5"/>
    </row>
    <row r="2830" spans="1:1" x14ac:dyDescent="0.25">
      <c r="A2830" s="5"/>
    </row>
    <row r="2831" spans="1:1" x14ac:dyDescent="0.25">
      <c r="A2831" s="5"/>
    </row>
    <row r="2832" spans="1:1" x14ac:dyDescent="0.25">
      <c r="A2832" s="5"/>
    </row>
    <row r="2833" spans="1:1" x14ac:dyDescent="0.25">
      <c r="A2833" s="5"/>
    </row>
    <row r="2834" spans="1:1" x14ac:dyDescent="0.25">
      <c r="A2834" s="5"/>
    </row>
    <row r="2835" spans="1:1" x14ac:dyDescent="0.25">
      <c r="A2835" s="5"/>
    </row>
    <row r="2836" spans="1:1" x14ac:dyDescent="0.25">
      <c r="A2836" s="5"/>
    </row>
    <row r="2837" spans="1:1" x14ac:dyDescent="0.25">
      <c r="A2837" s="5"/>
    </row>
    <row r="2838" spans="1:1" x14ac:dyDescent="0.25">
      <c r="A2838" s="5"/>
    </row>
    <row r="2839" spans="1:1" x14ac:dyDescent="0.25">
      <c r="A2839" s="5"/>
    </row>
    <row r="2840" spans="1:1" x14ac:dyDescent="0.25">
      <c r="A2840" s="5"/>
    </row>
    <row r="2841" spans="1:1" x14ac:dyDescent="0.25">
      <c r="A2841" s="5"/>
    </row>
    <row r="2842" spans="1:1" x14ac:dyDescent="0.25">
      <c r="A2842" s="5"/>
    </row>
    <row r="2843" spans="1:1" x14ac:dyDescent="0.25">
      <c r="A2843" s="5"/>
    </row>
    <row r="2844" spans="1:1" x14ac:dyDescent="0.25">
      <c r="A2844" s="5"/>
    </row>
    <row r="2845" spans="1:1" x14ac:dyDescent="0.25">
      <c r="A2845" s="5"/>
    </row>
    <row r="2846" spans="1:1" x14ac:dyDescent="0.25">
      <c r="A2846" s="5"/>
    </row>
    <row r="2847" spans="1:1" x14ac:dyDescent="0.25">
      <c r="A2847" s="5"/>
    </row>
    <row r="2848" spans="1:1" x14ac:dyDescent="0.25">
      <c r="A2848" s="5"/>
    </row>
    <row r="2849" spans="1:1" x14ac:dyDescent="0.25">
      <c r="A2849" s="5"/>
    </row>
    <row r="2850" spans="1:1" x14ac:dyDescent="0.25">
      <c r="A2850" s="5"/>
    </row>
    <row r="2851" spans="1:1" x14ac:dyDescent="0.25">
      <c r="A2851" s="5"/>
    </row>
    <row r="2852" spans="1:1" x14ac:dyDescent="0.25">
      <c r="A2852" s="5"/>
    </row>
    <row r="2853" spans="1:1" x14ac:dyDescent="0.25">
      <c r="A2853" s="5"/>
    </row>
    <row r="2854" spans="1:1" x14ac:dyDescent="0.25">
      <c r="A2854" s="5"/>
    </row>
    <row r="2855" spans="1:1" x14ac:dyDescent="0.25">
      <c r="A2855" s="5"/>
    </row>
    <row r="2856" spans="1:1" x14ac:dyDescent="0.25">
      <c r="A2856" s="5"/>
    </row>
    <row r="2857" spans="1:1" x14ac:dyDescent="0.25">
      <c r="A2857" s="5"/>
    </row>
    <row r="2858" spans="1:1" x14ac:dyDescent="0.25">
      <c r="A2858" s="5"/>
    </row>
    <row r="2859" spans="1:1" x14ac:dyDescent="0.25">
      <c r="A2859" s="5"/>
    </row>
    <row r="2860" spans="1:1" x14ac:dyDescent="0.25">
      <c r="A2860" s="5"/>
    </row>
    <row r="2861" spans="1:1" x14ac:dyDescent="0.25">
      <c r="A2861" s="5"/>
    </row>
    <row r="2862" spans="1:1" x14ac:dyDescent="0.25">
      <c r="A2862" s="5"/>
    </row>
    <row r="2863" spans="1:1" x14ac:dyDescent="0.25">
      <c r="A2863" s="5"/>
    </row>
    <row r="2864" spans="1:1" x14ac:dyDescent="0.25">
      <c r="A2864" s="5"/>
    </row>
    <row r="2865" spans="1:1" x14ac:dyDescent="0.25">
      <c r="A2865" s="5"/>
    </row>
    <row r="2866" spans="1:1" x14ac:dyDescent="0.25">
      <c r="A2866" s="5"/>
    </row>
    <row r="2867" spans="1:1" x14ac:dyDescent="0.25">
      <c r="A2867" s="5"/>
    </row>
    <row r="2868" spans="1:1" x14ac:dyDescent="0.25">
      <c r="A2868" s="5"/>
    </row>
    <row r="2869" spans="1:1" x14ac:dyDescent="0.25">
      <c r="A2869" s="5"/>
    </row>
    <row r="2870" spans="1:1" x14ac:dyDescent="0.25">
      <c r="A2870" s="5"/>
    </row>
    <row r="2871" spans="1:1" x14ac:dyDescent="0.25">
      <c r="A2871" s="5"/>
    </row>
    <row r="2872" spans="1:1" x14ac:dyDescent="0.25">
      <c r="A2872" s="5"/>
    </row>
    <row r="2873" spans="1:1" x14ac:dyDescent="0.25">
      <c r="A2873" s="5"/>
    </row>
    <row r="2874" spans="1:1" x14ac:dyDescent="0.25">
      <c r="A2874" s="5"/>
    </row>
    <row r="2875" spans="1:1" x14ac:dyDescent="0.25">
      <c r="A2875" s="5"/>
    </row>
    <row r="2876" spans="1:1" x14ac:dyDescent="0.25">
      <c r="A2876" s="5"/>
    </row>
    <row r="2877" spans="1:1" x14ac:dyDescent="0.25">
      <c r="A2877" s="5"/>
    </row>
    <row r="2878" spans="1:1" x14ac:dyDescent="0.25">
      <c r="A2878" s="5"/>
    </row>
    <row r="2879" spans="1:1" x14ac:dyDescent="0.25">
      <c r="A2879" s="5"/>
    </row>
    <row r="2880" spans="1:1" x14ac:dyDescent="0.25">
      <c r="A2880" s="5"/>
    </row>
    <row r="2881" spans="1:1" x14ac:dyDescent="0.25">
      <c r="A2881" s="5"/>
    </row>
    <row r="2882" spans="1:1" x14ac:dyDescent="0.25">
      <c r="A2882" s="5"/>
    </row>
    <row r="2883" spans="1:1" x14ac:dyDescent="0.25">
      <c r="A2883" s="5"/>
    </row>
    <row r="2884" spans="1:1" x14ac:dyDescent="0.25">
      <c r="A2884" s="5"/>
    </row>
    <row r="2885" spans="1:1" x14ac:dyDescent="0.25">
      <c r="A2885" s="5"/>
    </row>
    <row r="2886" spans="1:1" x14ac:dyDescent="0.25">
      <c r="A2886" s="5"/>
    </row>
    <row r="2887" spans="1:1" x14ac:dyDescent="0.25">
      <c r="A2887" s="5"/>
    </row>
    <row r="2888" spans="1:1" x14ac:dyDescent="0.25">
      <c r="A2888" s="5"/>
    </row>
    <row r="2889" spans="1:1" x14ac:dyDescent="0.25">
      <c r="A2889" s="5"/>
    </row>
    <row r="2890" spans="1:1" x14ac:dyDescent="0.25">
      <c r="A2890" s="5"/>
    </row>
    <row r="2891" spans="1:1" x14ac:dyDescent="0.25">
      <c r="A2891" s="5"/>
    </row>
    <row r="2892" spans="1:1" x14ac:dyDescent="0.25">
      <c r="A2892" s="5"/>
    </row>
    <row r="2893" spans="1:1" x14ac:dyDescent="0.25">
      <c r="A2893" s="5"/>
    </row>
    <row r="2894" spans="1:1" x14ac:dyDescent="0.25">
      <c r="A2894" s="5"/>
    </row>
    <row r="2895" spans="1:1" x14ac:dyDescent="0.25">
      <c r="A2895" s="5"/>
    </row>
    <row r="2896" spans="1:1" x14ac:dyDescent="0.25">
      <c r="A2896" s="5"/>
    </row>
    <row r="2897" spans="1:1" x14ac:dyDescent="0.25">
      <c r="A2897" s="5"/>
    </row>
    <row r="2898" spans="1:1" x14ac:dyDescent="0.25">
      <c r="A2898" s="5"/>
    </row>
    <row r="2899" spans="1:1" x14ac:dyDescent="0.25">
      <c r="A2899" s="5"/>
    </row>
    <row r="2900" spans="1:1" x14ac:dyDescent="0.25">
      <c r="A2900" s="5"/>
    </row>
    <row r="2901" spans="1:1" x14ac:dyDescent="0.25">
      <c r="A2901" s="5"/>
    </row>
    <row r="2902" spans="1:1" x14ac:dyDescent="0.25">
      <c r="A2902" s="5"/>
    </row>
    <row r="2903" spans="1:1" x14ac:dyDescent="0.25">
      <c r="A2903" s="5"/>
    </row>
    <row r="2904" spans="1:1" x14ac:dyDescent="0.25">
      <c r="A2904" s="5"/>
    </row>
    <row r="2905" spans="1:1" x14ac:dyDescent="0.25">
      <c r="A2905" s="5"/>
    </row>
    <row r="2906" spans="1:1" x14ac:dyDescent="0.25">
      <c r="A2906" s="5"/>
    </row>
    <row r="2907" spans="1:1" x14ac:dyDescent="0.25">
      <c r="A2907" s="5"/>
    </row>
    <row r="2908" spans="1:1" x14ac:dyDescent="0.25">
      <c r="A2908" s="5"/>
    </row>
    <row r="2909" spans="1:1" x14ac:dyDescent="0.25">
      <c r="A2909" s="5"/>
    </row>
    <row r="2910" spans="1:1" x14ac:dyDescent="0.25">
      <c r="A2910" s="5"/>
    </row>
    <row r="2911" spans="1:1" x14ac:dyDescent="0.25">
      <c r="A2911" s="5"/>
    </row>
    <row r="2912" spans="1:1" x14ac:dyDescent="0.25">
      <c r="A2912" s="5"/>
    </row>
    <row r="2913" spans="1:1" x14ac:dyDescent="0.25">
      <c r="A2913" s="5"/>
    </row>
    <row r="2914" spans="1:1" x14ac:dyDescent="0.25">
      <c r="A2914" s="5"/>
    </row>
    <row r="2915" spans="1:1" x14ac:dyDescent="0.25">
      <c r="A2915" s="5"/>
    </row>
    <row r="2916" spans="1:1" x14ac:dyDescent="0.25">
      <c r="A2916" s="5"/>
    </row>
    <row r="2917" spans="1:1" x14ac:dyDescent="0.25">
      <c r="A2917" s="5"/>
    </row>
    <row r="2918" spans="1:1" x14ac:dyDescent="0.25">
      <c r="A2918" s="5"/>
    </row>
    <row r="2919" spans="1:1" x14ac:dyDescent="0.25">
      <c r="A2919" s="5"/>
    </row>
    <row r="2920" spans="1:1" x14ac:dyDescent="0.25">
      <c r="A2920" s="5"/>
    </row>
    <row r="2921" spans="1:1" x14ac:dyDescent="0.25">
      <c r="A2921" s="5"/>
    </row>
    <row r="2922" spans="1:1" x14ac:dyDescent="0.25">
      <c r="A2922" s="5"/>
    </row>
    <row r="2923" spans="1:1" x14ac:dyDescent="0.25">
      <c r="A2923" s="5"/>
    </row>
    <row r="2924" spans="1:1" x14ac:dyDescent="0.25">
      <c r="A2924" s="5"/>
    </row>
    <row r="2925" spans="1:1" x14ac:dyDescent="0.25">
      <c r="A2925" s="5"/>
    </row>
    <row r="2926" spans="1:1" x14ac:dyDescent="0.25">
      <c r="A2926" s="5"/>
    </row>
    <row r="2927" spans="1:1" x14ac:dyDescent="0.25">
      <c r="A2927" s="5"/>
    </row>
    <row r="2928" spans="1:1" x14ac:dyDescent="0.25">
      <c r="A2928" s="5"/>
    </row>
    <row r="2929" spans="1:1" x14ac:dyDescent="0.25">
      <c r="A2929" s="5"/>
    </row>
    <row r="2930" spans="1:1" x14ac:dyDescent="0.25">
      <c r="A2930" s="5"/>
    </row>
    <row r="2931" spans="1:1" x14ac:dyDescent="0.25">
      <c r="A2931" s="5"/>
    </row>
    <row r="2932" spans="1:1" x14ac:dyDescent="0.25">
      <c r="A2932" s="5"/>
    </row>
    <row r="2933" spans="1:1" x14ac:dyDescent="0.25">
      <c r="A2933" s="5"/>
    </row>
    <row r="2934" spans="1:1" x14ac:dyDescent="0.25">
      <c r="A2934" s="5"/>
    </row>
    <row r="2935" spans="1:1" x14ac:dyDescent="0.25">
      <c r="A2935" s="5"/>
    </row>
    <row r="2936" spans="1:1" x14ac:dyDescent="0.25">
      <c r="A2936" s="5"/>
    </row>
    <row r="2937" spans="1:1" x14ac:dyDescent="0.25">
      <c r="A2937" s="5"/>
    </row>
    <row r="2938" spans="1:1" x14ac:dyDescent="0.25">
      <c r="A2938" s="5"/>
    </row>
    <row r="2939" spans="1:1" x14ac:dyDescent="0.25">
      <c r="A2939" s="5"/>
    </row>
    <row r="2940" spans="1:1" x14ac:dyDescent="0.25">
      <c r="A2940" s="5"/>
    </row>
    <row r="2941" spans="1:1" x14ac:dyDescent="0.25">
      <c r="A2941" s="5"/>
    </row>
    <row r="2942" spans="1:1" x14ac:dyDescent="0.25">
      <c r="A2942" s="5"/>
    </row>
    <row r="2943" spans="1:1" x14ac:dyDescent="0.25">
      <c r="A2943" s="5"/>
    </row>
    <row r="2944" spans="1:1" x14ac:dyDescent="0.25">
      <c r="A2944" s="5"/>
    </row>
    <row r="2945" spans="1:1" x14ac:dyDescent="0.25">
      <c r="A2945" s="5"/>
    </row>
    <row r="2946" spans="1:1" x14ac:dyDescent="0.25">
      <c r="A2946" s="5"/>
    </row>
    <row r="2947" spans="1:1" x14ac:dyDescent="0.25">
      <c r="A2947" s="5"/>
    </row>
    <row r="2948" spans="1:1" x14ac:dyDescent="0.25">
      <c r="A2948" s="5"/>
    </row>
    <row r="2949" spans="1:1" x14ac:dyDescent="0.25">
      <c r="A2949" s="5"/>
    </row>
    <row r="2950" spans="1:1" x14ac:dyDescent="0.25">
      <c r="A2950" s="5"/>
    </row>
    <row r="2951" spans="1:1" x14ac:dyDescent="0.25">
      <c r="A2951" s="5"/>
    </row>
    <row r="2952" spans="1:1" x14ac:dyDescent="0.25">
      <c r="A2952" s="5"/>
    </row>
    <row r="2953" spans="1:1" x14ac:dyDescent="0.25">
      <c r="A2953" s="5"/>
    </row>
    <row r="2954" spans="1:1" x14ac:dyDescent="0.25">
      <c r="A2954" s="5"/>
    </row>
    <row r="2955" spans="1:1" x14ac:dyDescent="0.25">
      <c r="A2955" s="5"/>
    </row>
    <row r="2956" spans="1:1" x14ac:dyDescent="0.25">
      <c r="A2956" s="5"/>
    </row>
    <row r="2957" spans="1:1" x14ac:dyDescent="0.25">
      <c r="A2957" s="5"/>
    </row>
    <row r="2958" spans="1:1" x14ac:dyDescent="0.25">
      <c r="A2958" s="5"/>
    </row>
    <row r="2959" spans="1:1" x14ac:dyDescent="0.25">
      <c r="A2959" s="5"/>
    </row>
    <row r="2960" spans="1:1" x14ac:dyDescent="0.25">
      <c r="A2960" s="5"/>
    </row>
    <row r="2961" spans="1:1" x14ac:dyDescent="0.25">
      <c r="A2961" s="5"/>
    </row>
    <row r="2962" spans="1:1" x14ac:dyDescent="0.25">
      <c r="A2962" s="5"/>
    </row>
    <row r="2963" spans="1:1" x14ac:dyDescent="0.25">
      <c r="A2963" s="5"/>
    </row>
    <row r="2964" spans="1:1" x14ac:dyDescent="0.25">
      <c r="A2964" s="5"/>
    </row>
    <row r="2965" spans="1:1" x14ac:dyDescent="0.25">
      <c r="A2965" s="5"/>
    </row>
    <row r="2966" spans="1:1" x14ac:dyDescent="0.25">
      <c r="A2966" s="5"/>
    </row>
    <row r="2967" spans="1:1" x14ac:dyDescent="0.25">
      <c r="A2967" s="5"/>
    </row>
    <row r="2968" spans="1:1" x14ac:dyDescent="0.25">
      <c r="A2968" s="5"/>
    </row>
    <row r="2969" spans="1:1" x14ac:dyDescent="0.25">
      <c r="A2969" s="5"/>
    </row>
    <row r="2970" spans="1:1" x14ac:dyDescent="0.25">
      <c r="A2970" s="5"/>
    </row>
    <row r="2971" spans="1:1" x14ac:dyDescent="0.25">
      <c r="A2971" s="5"/>
    </row>
    <row r="2972" spans="1:1" x14ac:dyDescent="0.25">
      <c r="A2972" s="5"/>
    </row>
    <row r="2973" spans="1:1" x14ac:dyDescent="0.25">
      <c r="A2973" s="5"/>
    </row>
    <row r="2974" spans="1:1" x14ac:dyDescent="0.25">
      <c r="A2974" s="5"/>
    </row>
    <row r="2975" spans="1:1" x14ac:dyDescent="0.25">
      <c r="A2975" s="5"/>
    </row>
    <row r="2976" spans="1:1" x14ac:dyDescent="0.25">
      <c r="A2976" s="5"/>
    </row>
    <row r="2977" spans="1:1" x14ac:dyDescent="0.25">
      <c r="A2977" s="5"/>
    </row>
    <row r="2978" spans="1:1" x14ac:dyDescent="0.25">
      <c r="A2978" s="5"/>
    </row>
    <row r="2979" spans="1:1" x14ac:dyDescent="0.25">
      <c r="A2979" s="5"/>
    </row>
    <row r="2980" spans="1:1" x14ac:dyDescent="0.25">
      <c r="A2980" s="5"/>
    </row>
    <row r="2981" spans="1:1" x14ac:dyDescent="0.25">
      <c r="A2981" s="5"/>
    </row>
    <row r="2982" spans="1:1" x14ac:dyDescent="0.25">
      <c r="A2982" s="5"/>
    </row>
    <row r="2983" spans="1:1" x14ac:dyDescent="0.25">
      <c r="A2983" s="5"/>
    </row>
    <row r="2984" spans="1:1" x14ac:dyDescent="0.25">
      <c r="A2984" s="5"/>
    </row>
    <row r="2985" spans="1:1" x14ac:dyDescent="0.25">
      <c r="A2985" s="5"/>
    </row>
    <row r="2986" spans="1:1" x14ac:dyDescent="0.25">
      <c r="A2986" s="5"/>
    </row>
    <row r="2987" spans="1:1" x14ac:dyDescent="0.25">
      <c r="A2987" s="5"/>
    </row>
    <row r="2988" spans="1:1" x14ac:dyDescent="0.25">
      <c r="A2988" s="5"/>
    </row>
    <row r="2989" spans="1:1" x14ac:dyDescent="0.25">
      <c r="A2989" s="5"/>
    </row>
    <row r="2990" spans="1:1" x14ac:dyDescent="0.25">
      <c r="A2990" s="5"/>
    </row>
    <row r="2991" spans="1:1" x14ac:dyDescent="0.25">
      <c r="A2991" s="5"/>
    </row>
    <row r="2992" spans="1:1" x14ac:dyDescent="0.25">
      <c r="A2992" s="5"/>
    </row>
    <row r="2993" spans="1:1" x14ac:dyDescent="0.25">
      <c r="A2993" s="5"/>
    </row>
    <row r="2994" spans="1:1" x14ac:dyDescent="0.25">
      <c r="A2994" s="5"/>
    </row>
    <row r="2995" spans="1:1" x14ac:dyDescent="0.25">
      <c r="A2995" s="5"/>
    </row>
    <row r="2996" spans="1:1" x14ac:dyDescent="0.25">
      <c r="A2996" s="5"/>
    </row>
    <row r="2997" spans="1:1" x14ac:dyDescent="0.25">
      <c r="A2997" s="5"/>
    </row>
    <row r="2998" spans="1:1" x14ac:dyDescent="0.25">
      <c r="A2998" s="5"/>
    </row>
    <row r="2999" spans="1:1" x14ac:dyDescent="0.25">
      <c r="A2999" s="5"/>
    </row>
    <row r="3000" spans="1:1" x14ac:dyDescent="0.25">
      <c r="A3000" s="5"/>
    </row>
    <row r="3001" spans="1:1" x14ac:dyDescent="0.25">
      <c r="A3001" s="5"/>
    </row>
    <row r="3002" spans="1:1" x14ac:dyDescent="0.25">
      <c r="A3002" s="5"/>
    </row>
    <row r="3003" spans="1:1" x14ac:dyDescent="0.25">
      <c r="A3003" s="5"/>
    </row>
    <row r="3004" spans="1:1" x14ac:dyDescent="0.25">
      <c r="A3004" s="5"/>
    </row>
    <row r="3005" spans="1:1" x14ac:dyDescent="0.25">
      <c r="A3005" s="5"/>
    </row>
    <row r="3006" spans="1:1" x14ac:dyDescent="0.25">
      <c r="A3006" s="5"/>
    </row>
    <row r="3007" spans="1:1" x14ac:dyDescent="0.25">
      <c r="A3007" s="5"/>
    </row>
    <row r="3008" spans="1:1" x14ac:dyDescent="0.25">
      <c r="A3008" s="5"/>
    </row>
    <row r="3009" spans="1:1" x14ac:dyDescent="0.25">
      <c r="A3009" s="5"/>
    </row>
    <row r="3010" spans="1:1" x14ac:dyDescent="0.25">
      <c r="A3010" s="5"/>
    </row>
    <row r="3011" spans="1:1" x14ac:dyDescent="0.25">
      <c r="A3011" s="5"/>
    </row>
    <row r="3012" spans="1:1" x14ac:dyDescent="0.25">
      <c r="A3012" s="5"/>
    </row>
    <row r="3013" spans="1:1" x14ac:dyDescent="0.25">
      <c r="A3013" s="5"/>
    </row>
    <row r="3014" spans="1:1" x14ac:dyDescent="0.25">
      <c r="A3014" s="5"/>
    </row>
    <row r="3015" spans="1:1" x14ac:dyDescent="0.25">
      <c r="A3015" s="5"/>
    </row>
    <row r="3016" spans="1:1" x14ac:dyDescent="0.25">
      <c r="A3016" s="5"/>
    </row>
    <row r="3017" spans="1:1" x14ac:dyDescent="0.25">
      <c r="A3017" s="5"/>
    </row>
    <row r="3018" spans="1:1" x14ac:dyDescent="0.25">
      <c r="A3018" s="5"/>
    </row>
    <row r="3019" spans="1:1" x14ac:dyDescent="0.25">
      <c r="A3019" s="5"/>
    </row>
    <row r="3020" spans="1:1" x14ac:dyDescent="0.25">
      <c r="A3020" s="5"/>
    </row>
    <row r="3021" spans="1:1" x14ac:dyDescent="0.25">
      <c r="A3021" s="5"/>
    </row>
    <row r="3022" spans="1:1" x14ac:dyDescent="0.25">
      <c r="A3022" s="5"/>
    </row>
    <row r="3023" spans="1:1" x14ac:dyDescent="0.25">
      <c r="A3023" s="5"/>
    </row>
    <row r="3024" spans="1:1" x14ac:dyDescent="0.25">
      <c r="A3024" s="5"/>
    </row>
    <row r="3025" spans="1:1" x14ac:dyDescent="0.25">
      <c r="A3025" s="5"/>
    </row>
    <row r="3026" spans="1:1" x14ac:dyDescent="0.25">
      <c r="A3026" s="5"/>
    </row>
    <row r="3027" spans="1:1" x14ac:dyDescent="0.25">
      <c r="A3027" s="5"/>
    </row>
    <row r="3028" spans="1:1" x14ac:dyDescent="0.25">
      <c r="A3028" s="5"/>
    </row>
    <row r="3029" spans="1:1" x14ac:dyDescent="0.25">
      <c r="A3029" s="5"/>
    </row>
    <row r="3030" spans="1:1" x14ac:dyDescent="0.25">
      <c r="A3030" s="5"/>
    </row>
    <row r="3031" spans="1:1" x14ac:dyDescent="0.25">
      <c r="A3031" s="5"/>
    </row>
    <row r="3032" spans="1:1" x14ac:dyDescent="0.25">
      <c r="A3032" s="5"/>
    </row>
    <row r="3033" spans="1:1" x14ac:dyDescent="0.25">
      <c r="A3033" s="5"/>
    </row>
    <row r="3034" spans="1:1" x14ac:dyDescent="0.25">
      <c r="A3034" s="5"/>
    </row>
    <row r="3035" spans="1:1" x14ac:dyDescent="0.25">
      <c r="A3035" s="5"/>
    </row>
    <row r="3036" spans="1:1" x14ac:dyDescent="0.25">
      <c r="A3036" s="5"/>
    </row>
    <row r="3037" spans="1:1" x14ac:dyDescent="0.25">
      <c r="A3037" s="5"/>
    </row>
    <row r="3038" spans="1:1" x14ac:dyDescent="0.25">
      <c r="A3038" s="5"/>
    </row>
    <row r="3039" spans="1:1" x14ac:dyDescent="0.25">
      <c r="A3039" s="5"/>
    </row>
    <row r="3040" spans="1:1" x14ac:dyDescent="0.25">
      <c r="A3040" s="5"/>
    </row>
    <row r="3041" spans="1:1" x14ac:dyDescent="0.25">
      <c r="A3041" s="5"/>
    </row>
    <row r="3042" spans="1:1" x14ac:dyDescent="0.25">
      <c r="A3042" s="5"/>
    </row>
    <row r="3043" spans="1:1" x14ac:dyDescent="0.25">
      <c r="A3043" s="5"/>
    </row>
    <row r="3044" spans="1:1" x14ac:dyDescent="0.25">
      <c r="A3044" s="5"/>
    </row>
    <row r="3045" spans="1:1" x14ac:dyDescent="0.25">
      <c r="A3045" s="5"/>
    </row>
    <row r="3046" spans="1:1" x14ac:dyDescent="0.25">
      <c r="A3046" s="5"/>
    </row>
    <row r="3047" spans="1:1" x14ac:dyDescent="0.25">
      <c r="A3047" s="5"/>
    </row>
    <row r="3048" spans="1:1" x14ac:dyDescent="0.25">
      <c r="A3048" s="5"/>
    </row>
    <row r="3049" spans="1:1" x14ac:dyDescent="0.25">
      <c r="A3049" s="5"/>
    </row>
    <row r="3050" spans="1:1" x14ac:dyDescent="0.25">
      <c r="A3050" s="5"/>
    </row>
    <row r="3051" spans="1:1" x14ac:dyDescent="0.25">
      <c r="A3051" s="5"/>
    </row>
    <row r="3052" spans="1:1" x14ac:dyDescent="0.25">
      <c r="A3052" s="5"/>
    </row>
    <row r="3053" spans="1:1" x14ac:dyDescent="0.25">
      <c r="A3053" s="5"/>
    </row>
    <row r="3054" spans="1:1" x14ac:dyDescent="0.25">
      <c r="A3054" s="5"/>
    </row>
    <row r="3055" spans="1:1" x14ac:dyDescent="0.25">
      <c r="A3055" s="5"/>
    </row>
    <row r="3056" spans="1:1" x14ac:dyDescent="0.25">
      <c r="A3056" s="5"/>
    </row>
    <row r="3057" spans="1:1" x14ac:dyDescent="0.25">
      <c r="A3057" s="5"/>
    </row>
    <row r="3058" spans="1:1" x14ac:dyDescent="0.25">
      <c r="A3058" s="5"/>
    </row>
    <row r="3059" spans="1:1" x14ac:dyDescent="0.25">
      <c r="A3059" s="5"/>
    </row>
    <row r="3060" spans="1:1" x14ac:dyDescent="0.25">
      <c r="A3060" s="5"/>
    </row>
    <row r="3061" spans="1:1" x14ac:dyDescent="0.25">
      <c r="A3061" s="5"/>
    </row>
    <row r="3062" spans="1:1" x14ac:dyDescent="0.25">
      <c r="A3062" s="5"/>
    </row>
    <row r="3063" spans="1:1" x14ac:dyDescent="0.25">
      <c r="A3063" s="5"/>
    </row>
    <row r="3064" spans="1:1" x14ac:dyDescent="0.25">
      <c r="A3064" s="5"/>
    </row>
    <row r="3065" spans="1:1" x14ac:dyDescent="0.25">
      <c r="A3065" s="5"/>
    </row>
    <row r="3066" spans="1:1" x14ac:dyDescent="0.25">
      <c r="A3066" s="5"/>
    </row>
    <row r="3067" spans="1:1" x14ac:dyDescent="0.25">
      <c r="A3067" s="5"/>
    </row>
    <row r="3068" spans="1:1" x14ac:dyDescent="0.25">
      <c r="A3068" s="5"/>
    </row>
    <row r="3069" spans="1:1" x14ac:dyDescent="0.25">
      <c r="A3069" s="5"/>
    </row>
    <row r="3070" spans="1:1" x14ac:dyDescent="0.25">
      <c r="A3070" s="5"/>
    </row>
    <row r="3071" spans="1:1" x14ac:dyDescent="0.25">
      <c r="A3071" s="5"/>
    </row>
    <row r="3072" spans="1:1" x14ac:dyDescent="0.25">
      <c r="A3072" s="5"/>
    </row>
    <row r="3073" spans="1:1" x14ac:dyDescent="0.25">
      <c r="A3073" s="5"/>
    </row>
    <row r="3074" spans="1:1" x14ac:dyDescent="0.25">
      <c r="A3074" s="5"/>
    </row>
    <row r="3075" spans="1:1" x14ac:dyDescent="0.25">
      <c r="A3075" s="5"/>
    </row>
    <row r="3076" spans="1:1" x14ac:dyDescent="0.25">
      <c r="A3076" s="5"/>
    </row>
    <row r="3077" spans="1:1" x14ac:dyDescent="0.25">
      <c r="A3077" s="5"/>
    </row>
    <row r="3078" spans="1:1" x14ac:dyDescent="0.25">
      <c r="A3078" s="5"/>
    </row>
    <row r="3079" spans="1:1" x14ac:dyDescent="0.25">
      <c r="A3079" s="5"/>
    </row>
    <row r="3080" spans="1:1" x14ac:dyDescent="0.25">
      <c r="A3080" s="5"/>
    </row>
    <row r="3081" spans="1:1" x14ac:dyDescent="0.25">
      <c r="A3081" s="5"/>
    </row>
    <row r="3082" spans="1:1" x14ac:dyDescent="0.25">
      <c r="A3082" s="5"/>
    </row>
    <row r="3083" spans="1:1" x14ac:dyDescent="0.25">
      <c r="A3083" s="5"/>
    </row>
    <row r="3084" spans="1:1" x14ac:dyDescent="0.25">
      <c r="A3084" s="5"/>
    </row>
    <row r="3085" spans="1:1" x14ac:dyDescent="0.25">
      <c r="A3085" s="5"/>
    </row>
    <row r="3086" spans="1:1" x14ac:dyDescent="0.25">
      <c r="A3086" s="5"/>
    </row>
    <row r="3087" spans="1:1" x14ac:dyDescent="0.25">
      <c r="A3087" s="5"/>
    </row>
    <row r="3088" spans="1:1" x14ac:dyDescent="0.25">
      <c r="A3088" s="5"/>
    </row>
    <row r="3089" spans="1:1" x14ac:dyDescent="0.25">
      <c r="A3089" s="5"/>
    </row>
    <row r="3090" spans="1:1" x14ac:dyDescent="0.25">
      <c r="A3090" s="5"/>
    </row>
    <row r="3091" spans="1:1" x14ac:dyDescent="0.25">
      <c r="A3091" s="5"/>
    </row>
    <row r="3092" spans="1:1" x14ac:dyDescent="0.25">
      <c r="A3092" s="5"/>
    </row>
    <row r="3093" spans="1:1" x14ac:dyDescent="0.25">
      <c r="A3093" s="5"/>
    </row>
    <row r="3094" spans="1:1" x14ac:dyDescent="0.25">
      <c r="A3094" s="5"/>
    </row>
    <row r="3095" spans="1:1" x14ac:dyDescent="0.25">
      <c r="A3095" s="5"/>
    </row>
    <row r="3096" spans="1:1" x14ac:dyDescent="0.25">
      <c r="A3096" s="5"/>
    </row>
    <row r="3097" spans="1:1" x14ac:dyDescent="0.25">
      <c r="A3097" s="5"/>
    </row>
    <row r="3098" spans="1:1" x14ac:dyDescent="0.25">
      <c r="A3098" s="5"/>
    </row>
    <row r="3099" spans="1:1" x14ac:dyDescent="0.25">
      <c r="A3099" s="5"/>
    </row>
    <row r="3100" spans="1:1" x14ac:dyDescent="0.25">
      <c r="A3100" s="5"/>
    </row>
    <row r="3101" spans="1:1" x14ac:dyDescent="0.25">
      <c r="A3101" s="5"/>
    </row>
    <row r="3102" spans="1:1" x14ac:dyDescent="0.25">
      <c r="A3102" s="5"/>
    </row>
    <row r="3103" spans="1:1" x14ac:dyDescent="0.25">
      <c r="A3103" s="5"/>
    </row>
    <row r="3104" spans="1:1" x14ac:dyDescent="0.25">
      <c r="A3104" s="5"/>
    </row>
    <row r="3105" spans="1:1" x14ac:dyDescent="0.25">
      <c r="A3105" s="5"/>
    </row>
    <row r="3106" spans="1:1" x14ac:dyDescent="0.25">
      <c r="A3106" s="5"/>
    </row>
    <row r="3107" spans="1:1" x14ac:dyDescent="0.25">
      <c r="A3107" s="5"/>
    </row>
    <row r="3108" spans="1:1" x14ac:dyDescent="0.25">
      <c r="A3108" s="5"/>
    </row>
    <row r="3109" spans="1:1" x14ac:dyDescent="0.25">
      <c r="A3109" s="5"/>
    </row>
    <row r="3110" spans="1:1" x14ac:dyDescent="0.25">
      <c r="A3110" s="5"/>
    </row>
    <row r="3111" spans="1:1" x14ac:dyDescent="0.25">
      <c r="A3111" s="5"/>
    </row>
    <row r="3112" spans="1:1" x14ac:dyDescent="0.25">
      <c r="A3112" s="5"/>
    </row>
    <row r="3113" spans="1:1" x14ac:dyDescent="0.25">
      <c r="A3113" s="5"/>
    </row>
    <row r="3114" spans="1:1" x14ac:dyDescent="0.25">
      <c r="A3114" s="5"/>
    </row>
    <row r="3115" spans="1:1" x14ac:dyDescent="0.25">
      <c r="A3115" s="5"/>
    </row>
    <row r="3116" spans="1:1" x14ac:dyDescent="0.25">
      <c r="A3116" s="5"/>
    </row>
    <row r="3117" spans="1:1" x14ac:dyDescent="0.25">
      <c r="A3117" s="5"/>
    </row>
    <row r="3118" spans="1:1" x14ac:dyDescent="0.25">
      <c r="A3118" s="5"/>
    </row>
    <row r="3119" spans="1:1" x14ac:dyDescent="0.25">
      <c r="A3119" s="5"/>
    </row>
    <row r="3120" spans="1:1" x14ac:dyDescent="0.25">
      <c r="A3120" s="5"/>
    </row>
    <row r="3121" spans="1:1" x14ac:dyDescent="0.25">
      <c r="A3121" s="5"/>
    </row>
    <row r="3122" spans="1:1" x14ac:dyDescent="0.25">
      <c r="A3122" s="5"/>
    </row>
    <row r="3123" spans="1:1" x14ac:dyDescent="0.25">
      <c r="A3123" s="5"/>
    </row>
    <row r="3124" spans="1:1" x14ac:dyDescent="0.25">
      <c r="A3124" s="5"/>
    </row>
    <row r="3125" spans="1:1" x14ac:dyDescent="0.25">
      <c r="A3125" s="5"/>
    </row>
    <row r="3126" spans="1:1" x14ac:dyDescent="0.25">
      <c r="A3126" s="5"/>
    </row>
    <row r="3127" spans="1:1" x14ac:dyDescent="0.25">
      <c r="A3127" s="5"/>
    </row>
    <row r="3128" spans="1:1" x14ac:dyDescent="0.25">
      <c r="A3128" s="5"/>
    </row>
    <row r="3129" spans="1:1" x14ac:dyDescent="0.25">
      <c r="A3129" s="5"/>
    </row>
    <row r="3130" spans="1:1" x14ac:dyDescent="0.25">
      <c r="A3130" s="5"/>
    </row>
    <row r="3131" spans="1:1" x14ac:dyDescent="0.25">
      <c r="A3131" s="5"/>
    </row>
    <row r="3132" spans="1:1" x14ac:dyDescent="0.25">
      <c r="A3132" s="5"/>
    </row>
    <row r="3133" spans="1:1" x14ac:dyDescent="0.25">
      <c r="A3133" s="5"/>
    </row>
    <row r="3134" spans="1:1" x14ac:dyDescent="0.25">
      <c r="A3134" s="5"/>
    </row>
    <row r="3135" spans="1:1" x14ac:dyDescent="0.25">
      <c r="A3135" s="5"/>
    </row>
    <row r="3136" spans="1:1" x14ac:dyDescent="0.25">
      <c r="A3136" s="5"/>
    </row>
    <row r="3137" spans="1:1" x14ac:dyDescent="0.25">
      <c r="A3137" s="5"/>
    </row>
    <row r="3138" spans="1:1" x14ac:dyDescent="0.25">
      <c r="A3138" s="5"/>
    </row>
    <row r="3139" spans="1:1" x14ac:dyDescent="0.25">
      <c r="A3139" s="5"/>
    </row>
    <row r="3140" spans="1:1" x14ac:dyDescent="0.25">
      <c r="A3140" s="5"/>
    </row>
    <row r="3141" spans="1:1" x14ac:dyDescent="0.25">
      <c r="A3141" s="5"/>
    </row>
    <row r="3142" spans="1:1" x14ac:dyDescent="0.25">
      <c r="A3142" s="5"/>
    </row>
    <row r="3143" spans="1:1" x14ac:dyDescent="0.25">
      <c r="A3143" s="5"/>
    </row>
    <row r="3144" spans="1:1" x14ac:dyDescent="0.25">
      <c r="A3144" s="5"/>
    </row>
    <row r="3145" spans="1:1" x14ac:dyDescent="0.25">
      <c r="A3145" s="5"/>
    </row>
    <row r="3146" spans="1:1" x14ac:dyDescent="0.25">
      <c r="A3146" s="5"/>
    </row>
    <row r="3147" spans="1:1" x14ac:dyDescent="0.25">
      <c r="A3147" s="5"/>
    </row>
    <row r="3148" spans="1:1" x14ac:dyDescent="0.25">
      <c r="A3148" s="5"/>
    </row>
    <row r="3149" spans="1:1" x14ac:dyDescent="0.25">
      <c r="A3149" s="5"/>
    </row>
    <row r="3150" spans="1:1" x14ac:dyDescent="0.25">
      <c r="A3150" s="5"/>
    </row>
    <row r="3151" spans="1:1" x14ac:dyDescent="0.25">
      <c r="A3151" s="5"/>
    </row>
    <row r="3152" spans="1:1" x14ac:dyDescent="0.25">
      <c r="A3152" s="5"/>
    </row>
    <row r="3153" spans="1:1" x14ac:dyDescent="0.25">
      <c r="A3153" s="5"/>
    </row>
    <row r="3154" spans="1:1" x14ac:dyDescent="0.25">
      <c r="A3154" s="5"/>
    </row>
    <row r="3155" spans="1:1" x14ac:dyDescent="0.25">
      <c r="A3155" s="5"/>
    </row>
    <row r="3156" spans="1:1" x14ac:dyDescent="0.25">
      <c r="A3156" s="5"/>
    </row>
    <row r="3157" spans="1:1" x14ac:dyDescent="0.25">
      <c r="A3157" s="5"/>
    </row>
    <row r="3158" spans="1:1" x14ac:dyDescent="0.25">
      <c r="A3158" s="5"/>
    </row>
    <row r="3159" spans="1:1" x14ac:dyDescent="0.25">
      <c r="A3159" s="5"/>
    </row>
    <row r="3160" spans="1:1" x14ac:dyDescent="0.25">
      <c r="A3160" s="5"/>
    </row>
    <row r="3161" spans="1:1" x14ac:dyDescent="0.25">
      <c r="A3161" s="5"/>
    </row>
    <row r="3162" spans="1:1" x14ac:dyDescent="0.25">
      <c r="A3162" s="5"/>
    </row>
    <row r="3163" spans="1:1" x14ac:dyDescent="0.25">
      <c r="A3163" s="5"/>
    </row>
    <row r="3164" spans="1:1" x14ac:dyDescent="0.25">
      <c r="A3164" s="5"/>
    </row>
    <row r="3165" spans="1:1" x14ac:dyDescent="0.25">
      <c r="A3165" s="5"/>
    </row>
    <row r="3166" spans="1:1" x14ac:dyDescent="0.25">
      <c r="A3166" s="5"/>
    </row>
    <row r="3167" spans="1:1" x14ac:dyDescent="0.25">
      <c r="A3167" s="5"/>
    </row>
    <row r="3168" spans="1:1" x14ac:dyDescent="0.25">
      <c r="A3168" s="5"/>
    </row>
    <row r="3169" spans="1:1" x14ac:dyDescent="0.25">
      <c r="A3169" s="5"/>
    </row>
    <row r="3170" spans="1:1" x14ac:dyDescent="0.25">
      <c r="A3170" s="5"/>
    </row>
    <row r="3171" spans="1:1" x14ac:dyDescent="0.25">
      <c r="A3171" s="5"/>
    </row>
    <row r="3172" spans="1:1" x14ac:dyDescent="0.25">
      <c r="A3172" s="5"/>
    </row>
    <row r="3173" spans="1:1" x14ac:dyDescent="0.25">
      <c r="A3173" s="5"/>
    </row>
    <row r="3174" spans="1:1" x14ac:dyDescent="0.25">
      <c r="A3174" s="5"/>
    </row>
    <row r="3175" spans="1:1" x14ac:dyDescent="0.25">
      <c r="A3175" s="5"/>
    </row>
    <row r="3176" spans="1:1" x14ac:dyDescent="0.25">
      <c r="A3176" s="5"/>
    </row>
    <row r="3177" spans="1:1" x14ac:dyDescent="0.25">
      <c r="A3177" s="5"/>
    </row>
    <row r="3178" spans="1:1" x14ac:dyDescent="0.25">
      <c r="A3178" s="5"/>
    </row>
    <row r="3179" spans="1:1" x14ac:dyDescent="0.25">
      <c r="A3179" s="5"/>
    </row>
    <row r="3180" spans="1:1" x14ac:dyDescent="0.25">
      <c r="A3180" s="5"/>
    </row>
    <row r="3181" spans="1:1" x14ac:dyDescent="0.25">
      <c r="A3181" s="5"/>
    </row>
    <row r="3182" spans="1:1" x14ac:dyDescent="0.25">
      <c r="A3182" s="5"/>
    </row>
    <row r="3183" spans="1:1" x14ac:dyDescent="0.25">
      <c r="A3183" s="5"/>
    </row>
    <row r="3184" spans="1:1" x14ac:dyDescent="0.25">
      <c r="A3184" s="5"/>
    </row>
    <row r="3185" spans="1:1" x14ac:dyDescent="0.25">
      <c r="A3185" s="5"/>
    </row>
    <row r="3186" spans="1:1" x14ac:dyDescent="0.25">
      <c r="A3186" s="5"/>
    </row>
    <row r="3187" spans="1:1" x14ac:dyDescent="0.25">
      <c r="A3187" s="5"/>
    </row>
    <row r="3188" spans="1:1" x14ac:dyDescent="0.25">
      <c r="A3188" s="5"/>
    </row>
    <row r="3189" spans="1:1" x14ac:dyDescent="0.25">
      <c r="A3189" s="5"/>
    </row>
    <row r="3190" spans="1:1" x14ac:dyDescent="0.25">
      <c r="A3190" s="5"/>
    </row>
    <row r="3191" spans="1:1" x14ac:dyDescent="0.25">
      <c r="A3191" s="5"/>
    </row>
    <row r="3192" spans="1:1" x14ac:dyDescent="0.25">
      <c r="A3192" s="5"/>
    </row>
    <row r="3193" spans="1:1" x14ac:dyDescent="0.25">
      <c r="A3193" s="5"/>
    </row>
    <row r="3194" spans="1:1" x14ac:dyDescent="0.25">
      <c r="A3194" s="5"/>
    </row>
    <row r="3195" spans="1:1" x14ac:dyDescent="0.25">
      <c r="A3195" s="5"/>
    </row>
    <row r="3196" spans="1:1" x14ac:dyDescent="0.25">
      <c r="A3196" s="5"/>
    </row>
    <row r="3197" spans="1:1" x14ac:dyDescent="0.25">
      <c r="A3197" s="5"/>
    </row>
    <row r="3198" spans="1:1" x14ac:dyDescent="0.25">
      <c r="A3198" s="5"/>
    </row>
    <row r="3199" spans="1:1" x14ac:dyDescent="0.25">
      <c r="A3199" s="5"/>
    </row>
    <row r="3200" spans="1:1" x14ac:dyDescent="0.25">
      <c r="A3200" s="5"/>
    </row>
    <row r="3201" spans="1:1" x14ac:dyDescent="0.25">
      <c r="A3201" s="5"/>
    </row>
    <row r="3202" spans="1:1" x14ac:dyDescent="0.25">
      <c r="A3202" s="5"/>
    </row>
    <row r="3203" spans="1:1" x14ac:dyDescent="0.25">
      <c r="A3203" s="5"/>
    </row>
    <row r="3204" spans="1:1" x14ac:dyDescent="0.25">
      <c r="A3204" s="5"/>
    </row>
    <row r="3205" spans="1:1" x14ac:dyDescent="0.25">
      <c r="A3205" s="5"/>
    </row>
    <row r="3206" spans="1:1" x14ac:dyDescent="0.25">
      <c r="A3206" s="5"/>
    </row>
    <row r="3207" spans="1:1" x14ac:dyDescent="0.25">
      <c r="A3207" s="5"/>
    </row>
    <row r="3208" spans="1:1" x14ac:dyDescent="0.25">
      <c r="A3208" s="5"/>
    </row>
    <row r="3209" spans="1:1" x14ac:dyDescent="0.25">
      <c r="A3209" s="5"/>
    </row>
    <row r="3210" spans="1:1" x14ac:dyDescent="0.25">
      <c r="A3210" s="5"/>
    </row>
    <row r="3211" spans="1:1" x14ac:dyDescent="0.25">
      <c r="A3211" s="5"/>
    </row>
    <row r="3212" spans="1:1" x14ac:dyDescent="0.25">
      <c r="A3212" s="5"/>
    </row>
    <row r="3213" spans="1:1" x14ac:dyDescent="0.25">
      <c r="A3213" s="5"/>
    </row>
    <row r="3214" spans="1:1" x14ac:dyDescent="0.25">
      <c r="A3214" s="5"/>
    </row>
    <row r="3215" spans="1:1" x14ac:dyDescent="0.25">
      <c r="A3215" s="5"/>
    </row>
    <row r="3216" spans="1:1" x14ac:dyDescent="0.25">
      <c r="A3216" s="5"/>
    </row>
    <row r="3217" spans="1:1" x14ac:dyDescent="0.25">
      <c r="A3217" s="5"/>
    </row>
    <row r="3218" spans="1:1" x14ac:dyDescent="0.25">
      <c r="A3218" s="5"/>
    </row>
    <row r="3219" spans="1:1" x14ac:dyDescent="0.25">
      <c r="A3219" s="5"/>
    </row>
    <row r="3220" spans="1:1" x14ac:dyDescent="0.25">
      <c r="A3220" s="5"/>
    </row>
    <row r="3221" spans="1:1" x14ac:dyDescent="0.25">
      <c r="A3221" s="5"/>
    </row>
    <row r="3222" spans="1:1" x14ac:dyDescent="0.25">
      <c r="A3222" s="5"/>
    </row>
    <row r="3223" spans="1:1" x14ac:dyDescent="0.25">
      <c r="A3223" s="5"/>
    </row>
    <row r="3224" spans="1:1" x14ac:dyDescent="0.25">
      <c r="A3224" s="5"/>
    </row>
    <row r="3225" spans="1:1" x14ac:dyDescent="0.25">
      <c r="A3225" s="5"/>
    </row>
    <row r="3226" spans="1:1" x14ac:dyDescent="0.25">
      <c r="A3226" s="5"/>
    </row>
    <row r="3227" spans="1:1" x14ac:dyDescent="0.25">
      <c r="A3227" s="5"/>
    </row>
    <row r="3228" spans="1:1" x14ac:dyDescent="0.25">
      <c r="A3228" s="5"/>
    </row>
    <row r="3229" spans="1:1" x14ac:dyDescent="0.25">
      <c r="A3229" s="5"/>
    </row>
    <row r="3230" spans="1:1" x14ac:dyDescent="0.25">
      <c r="A3230" s="5"/>
    </row>
    <row r="3231" spans="1:1" x14ac:dyDescent="0.25">
      <c r="A3231" s="5"/>
    </row>
    <row r="3232" spans="1:1" x14ac:dyDescent="0.25">
      <c r="A3232" s="5"/>
    </row>
    <row r="3233" spans="1:1" x14ac:dyDescent="0.25">
      <c r="A3233" s="5"/>
    </row>
    <row r="3234" spans="1:1" x14ac:dyDescent="0.25">
      <c r="A3234" s="5"/>
    </row>
    <row r="3235" spans="1:1" x14ac:dyDescent="0.25">
      <c r="A3235" s="5"/>
    </row>
    <row r="3236" spans="1:1" x14ac:dyDescent="0.25">
      <c r="A3236" s="5"/>
    </row>
    <row r="3237" spans="1:1" x14ac:dyDescent="0.25">
      <c r="A3237" s="5"/>
    </row>
    <row r="3238" spans="1:1" x14ac:dyDescent="0.25">
      <c r="A3238" s="5"/>
    </row>
    <row r="3239" spans="1:1" x14ac:dyDescent="0.25">
      <c r="A3239" s="5"/>
    </row>
    <row r="3240" spans="1:1" x14ac:dyDescent="0.25">
      <c r="A3240" s="5"/>
    </row>
    <row r="3241" spans="1:1" x14ac:dyDescent="0.25">
      <c r="A3241" s="5"/>
    </row>
    <row r="3242" spans="1:1" x14ac:dyDescent="0.25">
      <c r="A3242" s="5"/>
    </row>
    <row r="3243" spans="1:1" x14ac:dyDescent="0.25">
      <c r="A3243" s="5"/>
    </row>
    <row r="3244" spans="1:1" x14ac:dyDescent="0.25">
      <c r="A3244" s="5"/>
    </row>
    <row r="3245" spans="1:1" x14ac:dyDescent="0.25">
      <c r="A3245" s="5"/>
    </row>
    <row r="3246" spans="1:1" x14ac:dyDescent="0.25">
      <c r="A3246" s="5"/>
    </row>
    <row r="3247" spans="1:1" x14ac:dyDescent="0.25">
      <c r="A3247" s="5"/>
    </row>
    <row r="3248" spans="1:1" x14ac:dyDescent="0.25">
      <c r="A3248" s="5"/>
    </row>
    <row r="3249" spans="1:1" x14ac:dyDescent="0.25">
      <c r="A3249" s="5"/>
    </row>
    <row r="3250" spans="1:1" x14ac:dyDescent="0.25">
      <c r="A3250" s="5"/>
    </row>
    <row r="3251" spans="1:1" x14ac:dyDescent="0.25">
      <c r="A3251" s="5"/>
    </row>
    <row r="3252" spans="1:1" x14ac:dyDescent="0.25">
      <c r="A3252" s="5"/>
    </row>
    <row r="3253" spans="1:1" x14ac:dyDescent="0.25">
      <c r="A3253" s="5"/>
    </row>
    <row r="3254" spans="1:1" x14ac:dyDescent="0.25">
      <c r="A3254" s="5"/>
    </row>
    <row r="3255" spans="1:1" x14ac:dyDescent="0.25">
      <c r="A3255" s="5"/>
    </row>
    <row r="3256" spans="1:1" x14ac:dyDescent="0.25">
      <c r="A3256" s="5"/>
    </row>
    <row r="3257" spans="1:1" x14ac:dyDescent="0.25">
      <c r="A3257" s="5"/>
    </row>
    <row r="3258" spans="1:1" x14ac:dyDescent="0.25">
      <c r="A3258" s="5"/>
    </row>
    <row r="3259" spans="1:1" x14ac:dyDescent="0.25">
      <c r="A3259" s="5"/>
    </row>
    <row r="3260" spans="1:1" x14ac:dyDescent="0.25">
      <c r="A3260" s="5"/>
    </row>
    <row r="3261" spans="1:1" x14ac:dyDescent="0.25">
      <c r="A3261" s="5"/>
    </row>
    <row r="3262" spans="1:1" x14ac:dyDescent="0.25">
      <c r="A3262" s="5"/>
    </row>
    <row r="3263" spans="1:1" x14ac:dyDescent="0.25">
      <c r="A3263" s="5"/>
    </row>
    <row r="3264" spans="1:1" x14ac:dyDescent="0.25">
      <c r="A3264" s="5"/>
    </row>
    <row r="3265" spans="1:1" x14ac:dyDescent="0.25">
      <c r="A3265" s="5"/>
    </row>
    <row r="3266" spans="1:1" x14ac:dyDescent="0.25">
      <c r="A3266" s="5"/>
    </row>
    <row r="3267" spans="1:1" x14ac:dyDescent="0.25">
      <c r="A3267" s="5"/>
    </row>
    <row r="3268" spans="1:1" x14ac:dyDescent="0.25">
      <c r="A3268" s="5"/>
    </row>
    <row r="3269" spans="1:1" x14ac:dyDescent="0.25">
      <c r="A3269" s="5"/>
    </row>
    <row r="3270" spans="1:1" x14ac:dyDescent="0.25">
      <c r="A3270" s="5"/>
    </row>
    <row r="3271" spans="1:1" x14ac:dyDescent="0.25">
      <c r="A3271" s="5"/>
    </row>
    <row r="3272" spans="1:1" x14ac:dyDescent="0.25">
      <c r="A3272" s="5"/>
    </row>
    <row r="3273" spans="1:1" x14ac:dyDescent="0.25">
      <c r="A3273" s="5"/>
    </row>
    <row r="3274" spans="1:1" x14ac:dyDescent="0.25">
      <c r="A3274" s="5"/>
    </row>
    <row r="3275" spans="1:1" x14ac:dyDescent="0.25">
      <c r="A3275" s="5"/>
    </row>
    <row r="3276" spans="1:1" x14ac:dyDescent="0.25">
      <c r="A3276" s="5"/>
    </row>
    <row r="3277" spans="1:1" x14ac:dyDescent="0.25">
      <c r="A3277" s="5"/>
    </row>
    <row r="3278" spans="1:1" x14ac:dyDescent="0.25">
      <c r="A3278" s="5"/>
    </row>
    <row r="3279" spans="1:1" x14ac:dyDescent="0.25">
      <c r="A3279" s="5"/>
    </row>
    <row r="3280" spans="1:1" x14ac:dyDescent="0.25">
      <c r="A3280" s="5"/>
    </row>
    <row r="3281" spans="1:1" x14ac:dyDescent="0.25">
      <c r="A3281" s="5"/>
    </row>
    <row r="3282" spans="1:1" x14ac:dyDescent="0.25">
      <c r="A3282" s="5"/>
    </row>
    <row r="3283" spans="1:1" x14ac:dyDescent="0.25">
      <c r="A3283" s="5"/>
    </row>
    <row r="3284" spans="1:1" x14ac:dyDescent="0.25">
      <c r="A3284" s="5"/>
    </row>
    <row r="3285" spans="1:1" x14ac:dyDescent="0.25">
      <c r="A3285" s="5"/>
    </row>
    <row r="3286" spans="1:1" x14ac:dyDescent="0.25">
      <c r="A3286" s="5"/>
    </row>
    <row r="3287" spans="1:1" x14ac:dyDescent="0.25">
      <c r="A3287" s="5"/>
    </row>
    <row r="3288" spans="1:1" x14ac:dyDescent="0.25">
      <c r="A3288" s="5"/>
    </row>
    <row r="3289" spans="1:1" x14ac:dyDescent="0.25">
      <c r="A3289" s="5"/>
    </row>
    <row r="3290" spans="1:1" x14ac:dyDescent="0.25">
      <c r="A3290" s="5"/>
    </row>
    <row r="3291" spans="1:1" x14ac:dyDescent="0.25">
      <c r="A3291" s="5"/>
    </row>
    <row r="3292" spans="1:1" x14ac:dyDescent="0.25">
      <c r="A3292" s="5"/>
    </row>
    <row r="3293" spans="1:1" x14ac:dyDescent="0.25">
      <c r="A3293" s="5"/>
    </row>
    <row r="3294" spans="1:1" x14ac:dyDescent="0.25">
      <c r="A3294" s="5"/>
    </row>
    <row r="3295" spans="1:1" x14ac:dyDescent="0.25">
      <c r="A3295" s="5"/>
    </row>
    <row r="3296" spans="1:1" x14ac:dyDescent="0.25">
      <c r="A3296" s="5"/>
    </row>
    <row r="3297" spans="1:1" x14ac:dyDescent="0.25">
      <c r="A3297" s="5"/>
    </row>
    <row r="3298" spans="1:1" x14ac:dyDescent="0.25">
      <c r="A3298" s="5"/>
    </row>
    <row r="3299" spans="1:1" x14ac:dyDescent="0.25">
      <c r="A3299" s="5"/>
    </row>
    <row r="3300" spans="1:1" x14ac:dyDescent="0.25">
      <c r="A3300" s="5"/>
    </row>
    <row r="3301" spans="1:1" x14ac:dyDescent="0.25">
      <c r="A3301" s="5"/>
    </row>
    <row r="3302" spans="1:1" x14ac:dyDescent="0.25">
      <c r="A3302" s="5"/>
    </row>
    <row r="3303" spans="1:1" x14ac:dyDescent="0.25">
      <c r="A3303" s="5"/>
    </row>
    <row r="3304" spans="1:1" x14ac:dyDescent="0.25">
      <c r="A3304" s="5"/>
    </row>
    <row r="3305" spans="1:1" x14ac:dyDescent="0.25">
      <c r="A3305" s="5"/>
    </row>
    <row r="3306" spans="1:1" x14ac:dyDescent="0.25">
      <c r="A3306" s="5"/>
    </row>
    <row r="3307" spans="1:1" x14ac:dyDescent="0.25">
      <c r="A3307" s="5"/>
    </row>
    <row r="3308" spans="1:1" x14ac:dyDescent="0.25">
      <c r="A3308" s="5"/>
    </row>
    <row r="3309" spans="1:1" x14ac:dyDescent="0.25">
      <c r="A3309" s="5"/>
    </row>
    <row r="3310" spans="1:1" x14ac:dyDescent="0.25">
      <c r="A3310" s="5"/>
    </row>
    <row r="3311" spans="1:1" x14ac:dyDescent="0.25">
      <c r="A3311" s="5"/>
    </row>
    <row r="3312" spans="1:1" x14ac:dyDescent="0.25">
      <c r="A3312" s="5"/>
    </row>
    <row r="3313" spans="1:1" x14ac:dyDescent="0.25">
      <c r="A3313" s="5"/>
    </row>
    <row r="3314" spans="1:1" x14ac:dyDescent="0.25">
      <c r="A3314" s="5"/>
    </row>
    <row r="3315" spans="1:1" x14ac:dyDescent="0.25">
      <c r="A3315" s="5"/>
    </row>
    <row r="3316" spans="1:1" x14ac:dyDescent="0.25">
      <c r="A3316" s="5"/>
    </row>
    <row r="3317" spans="1:1" x14ac:dyDescent="0.25">
      <c r="A3317" s="5"/>
    </row>
    <row r="3318" spans="1:1" x14ac:dyDescent="0.25">
      <c r="A3318" s="5"/>
    </row>
    <row r="3319" spans="1:1" x14ac:dyDescent="0.25">
      <c r="A3319" s="5"/>
    </row>
    <row r="3320" spans="1:1" x14ac:dyDescent="0.25">
      <c r="A3320" s="5"/>
    </row>
    <row r="3321" spans="1:1" x14ac:dyDescent="0.25">
      <c r="A3321" s="5"/>
    </row>
    <row r="3322" spans="1:1" x14ac:dyDescent="0.25">
      <c r="A3322" s="5"/>
    </row>
    <row r="3323" spans="1:1" x14ac:dyDescent="0.25">
      <c r="A3323" s="5"/>
    </row>
    <row r="3324" spans="1:1" x14ac:dyDescent="0.25">
      <c r="A3324" s="5"/>
    </row>
    <row r="3325" spans="1:1" x14ac:dyDescent="0.25">
      <c r="A3325" s="5"/>
    </row>
    <row r="3326" spans="1:1" x14ac:dyDescent="0.25">
      <c r="A3326" s="5"/>
    </row>
    <row r="3327" spans="1:1" x14ac:dyDescent="0.25">
      <c r="A3327" s="5"/>
    </row>
    <row r="3328" spans="1:1" x14ac:dyDescent="0.25">
      <c r="A3328" s="5"/>
    </row>
    <row r="3329" spans="1:1" x14ac:dyDescent="0.25">
      <c r="A3329" s="5"/>
    </row>
    <row r="3330" spans="1:1" x14ac:dyDescent="0.25">
      <c r="A3330" s="5"/>
    </row>
    <row r="3331" spans="1:1" x14ac:dyDescent="0.25">
      <c r="A3331" s="5"/>
    </row>
    <row r="3332" spans="1:1" x14ac:dyDescent="0.25">
      <c r="A3332" s="5"/>
    </row>
    <row r="3333" spans="1:1" x14ac:dyDescent="0.25">
      <c r="A3333" s="5"/>
    </row>
    <row r="3334" spans="1:1" x14ac:dyDescent="0.25">
      <c r="A3334" s="5"/>
    </row>
    <row r="3335" spans="1:1" x14ac:dyDescent="0.25">
      <c r="A3335" s="5"/>
    </row>
    <row r="3336" spans="1:1" x14ac:dyDescent="0.25">
      <c r="A3336" s="5"/>
    </row>
    <row r="3337" spans="1:1" x14ac:dyDescent="0.25">
      <c r="A3337" s="5"/>
    </row>
    <row r="3338" spans="1:1" x14ac:dyDescent="0.25">
      <c r="A3338" s="5"/>
    </row>
    <row r="3339" spans="1:1" x14ac:dyDescent="0.25">
      <c r="A3339" s="5"/>
    </row>
    <row r="3340" spans="1:1" x14ac:dyDescent="0.25">
      <c r="A3340" s="5"/>
    </row>
    <row r="3341" spans="1:1" x14ac:dyDescent="0.25">
      <c r="A3341" s="5"/>
    </row>
    <row r="3342" spans="1:1" x14ac:dyDescent="0.25">
      <c r="A3342" s="5"/>
    </row>
    <row r="3343" spans="1:1" x14ac:dyDescent="0.25">
      <c r="A3343" s="5"/>
    </row>
    <row r="3344" spans="1:1" x14ac:dyDescent="0.25">
      <c r="A3344" s="5"/>
    </row>
    <row r="3345" spans="1:1" x14ac:dyDescent="0.25">
      <c r="A3345" s="5"/>
    </row>
    <row r="3346" spans="1:1" x14ac:dyDescent="0.25">
      <c r="A3346" s="5"/>
    </row>
    <row r="3347" spans="1:1" x14ac:dyDescent="0.25">
      <c r="A3347" s="5"/>
    </row>
    <row r="3348" spans="1:1" x14ac:dyDescent="0.25">
      <c r="A3348" s="5"/>
    </row>
    <row r="3349" spans="1:1" x14ac:dyDescent="0.25">
      <c r="A3349" s="5"/>
    </row>
    <row r="3350" spans="1:1" x14ac:dyDescent="0.25">
      <c r="A3350" s="5"/>
    </row>
    <row r="3351" spans="1:1" x14ac:dyDescent="0.25">
      <c r="A3351" s="5"/>
    </row>
    <row r="3352" spans="1:1" x14ac:dyDescent="0.25">
      <c r="A3352" s="5"/>
    </row>
    <row r="3353" spans="1:1" x14ac:dyDescent="0.25">
      <c r="A3353" s="5"/>
    </row>
    <row r="3354" spans="1:1" x14ac:dyDescent="0.25">
      <c r="A3354" s="5"/>
    </row>
    <row r="3355" spans="1:1" x14ac:dyDescent="0.25">
      <c r="A3355" s="5"/>
    </row>
    <row r="3356" spans="1:1" x14ac:dyDescent="0.25">
      <c r="A3356" s="5"/>
    </row>
    <row r="3357" spans="1:1" x14ac:dyDescent="0.25">
      <c r="A3357" s="5"/>
    </row>
    <row r="3358" spans="1:1" x14ac:dyDescent="0.25">
      <c r="A3358" s="5"/>
    </row>
    <row r="3359" spans="1:1" x14ac:dyDescent="0.25">
      <c r="A3359" s="5"/>
    </row>
    <row r="3360" spans="1:1" x14ac:dyDescent="0.25">
      <c r="A3360" s="5"/>
    </row>
    <row r="3361" spans="1:1" x14ac:dyDescent="0.25">
      <c r="A3361" s="5"/>
    </row>
    <row r="3362" spans="1:1" x14ac:dyDescent="0.25">
      <c r="A3362" s="5"/>
    </row>
    <row r="3363" spans="1:1" x14ac:dyDescent="0.25">
      <c r="A3363" s="5"/>
    </row>
    <row r="3364" spans="1:1" x14ac:dyDescent="0.25">
      <c r="A3364" s="5"/>
    </row>
    <row r="3365" spans="1:1" x14ac:dyDescent="0.25">
      <c r="A3365" s="5"/>
    </row>
    <row r="3366" spans="1:1" x14ac:dyDescent="0.25">
      <c r="A3366" s="5"/>
    </row>
    <row r="3367" spans="1:1" x14ac:dyDescent="0.25">
      <c r="A3367" s="5"/>
    </row>
    <row r="3368" spans="1:1" x14ac:dyDescent="0.25">
      <c r="A3368" s="5"/>
    </row>
    <row r="3369" spans="1:1" x14ac:dyDescent="0.25">
      <c r="A3369" s="5"/>
    </row>
    <row r="3370" spans="1:1" x14ac:dyDescent="0.25">
      <c r="A3370" s="5"/>
    </row>
    <row r="3371" spans="1:1" x14ac:dyDescent="0.25">
      <c r="A3371" s="5"/>
    </row>
    <row r="3372" spans="1:1" x14ac:dyDescent="0.25">
      <c r="A3372" s="5"/>
    </row>
    <row r="3373" spans="1:1" x14ac:dyDescent="0.25">
      <c r="A3373" s="5"/>
    </row>
    <row r="3374" spans="1:1" x14ac:dyDescent="0.25">
      <c r="A3374" s="5"/>
    </row>
    <row r="3375" spans="1:1" x14ac:dyDescent="0.25">
      <c r="A3375" s="5"/>
    </row>
    <row r="3376" spans="1:1" x14ac:dyDescent="0.25">
      <c r="A3376" s="5"/>
    </row>
    <row r="3377" spans="1:1" x14ac:dyDescent="0.25">
      <c r="A3377" s="5"/>
    </row>
    <row r="3378" spans="1:1" x14ac:dyDescent="0.25">
      <c r="A3378" s="5"/>
    </row>
    <row r="3379" spans="1:1" x14ac:dyDescent="0.25">
      <c r="A3379" s="5"/>
    </row>
    <row r="3380" spans="1:1" x14ac:dyDescent="0.25">
      <c r="A3380" s="5"/>
    </row>
    <row r="3381" spans="1:1" x14ac:dyDescent="0.25">
      <c r="A3381" s="5"/>
    </row>
    <row r="3382" spans="1:1" x14ac:dyDescent="0.25">
      <c r="A3382" s="5"/>
    </row>
    <row r="3383" spans="1:1" x14ac:dyDescent="0.25">
      <c r="A3383" s="5"/>
    </row>
    <row r="3384" spans="1:1" x14ac:dyDescent="0.25">
      <c r="A3384" s="5"/>
    </row>
    <row r="3385" spans="1:1" x14ac:dyDescent="0.25">
      <c r="A3385" s="5"/>
    </row>
    <row r="3386" spans="1:1" x14ac:dyDescent="0.25">
      <c r="A3386" s="5"/>
    </row>
    <row r="3387" spans="1:1" x14ac:dyDescent="0.25">
      <c r="A3387" s="5"/>
    </row>
    <row r="3388" spans="1:1" x14ac:dyDescent="0.25">
      <c r="A3388" s="5"/>
    </row>
    <row r="3389" spans="1:1" x14ac:dyDescent="0.25">
      <c r="A3389" s="5"/>
    </row>
    <row r="3390" spans="1:1" x14ac:dyDescent="0.25">
      <c r="A3390" s="5"/>
    </row>
    <row r="3391" spans="1:1" x14ac:dyDescent="0.25">
      <c r="A3391" s="5"/>
    </row>
    <row r="3392" spans="1:1" x14ac:dyDescent="0.25">
      <c r="A3392" s="5"/>
    </row>
    <row r="3393" spans="1:1" x14ac:dyDescent="0.25">
      <c r="A3393" s="5"/>
    </row>
    <row r="3394" spans="1:1" x14ac:dyDescent="0.25">
      <c r="A3394" s="5"/>
    </row>
    <row r="3395" spans="1:1" x14ac:dyDescent="0.25">
      <c r="A3395" s="5"/>
    </row>
    <row r="3396" spans="1:1" x14ac:dyDescent="0.25">
      <c r="A3396" s="5"/>
    </row>
    <row r="3397" spans="1:1" x14ac:dyDescent="0.25">
      <c r="A3397" s="5"/>
    </row>
    <row r="3398" spans="1:1" x14ac:dyDescent="0.25">
      <c r="A3398" s="5"/>
    </row>
    <row r="3399" spans="1:1" x14ac:dyDescent="0.25">
      <c r="A3399" s="5"/>
    </row>
    <row r="3400" spans="1:1" x14ac:dyDescent="0.25">
      <c r="A3400" s="5"/>
    </row>
    <row r="3401" spans="1:1" x14ac:dyDescent="0.25">
      <c r="A3401" s="5"/>
    </row>
    <row r="3402" spans="1:1" x14ac:dyDescent="0.25">
      <c r="A3402" s="5"/>
    </row>
    <row r="3403" spans="1:1" x14ac:dyDescent="0.25">
      <c r="A3403" s="5"/>
    </row>
    <row r="3404" spans="1:1" x14ac:dyDescent="0.25">
      <c r="A3404" s="5"/>
    </row>
    <row r="3405" spans="1:1" x14ac:dyDescent="0.25">
      <c r="A3405" s="5"/>
    </row>
    <row r="3406" spans="1:1" x14ac:dyDescent="0.25">
      <c r="A3406" s="5"/>
    </row>
    <row r="3407" spans="1:1" x14ac:dyDescent="0.25">
      <c r="A3407" s="5"/>
    </row>
    <row r="3408" spans="1:1" x14ac:dyDescent="0.25">
      <c r="A3408" s="5"/>
    </row>
    <row r="3409" spans="1:1" x14ac:dyDescent="0.25">
      <c r="A3409" s="5"/>
    </row>
    <row r="3410" spans="1:1" x14ac:dyDescent="0.25">
      <c r="A3410" s="5"/>
    </row>
    <row r="3411" spans="1:1" x14ac:dyDescent="0.25">
      <c r="A3411" s="5"/>
    </row>
    <row r="3412" spans="1:1" x14ac:dyDescent="0.25">
      <c r="A3412" s="5"/>
    </row>
    <row r="3413" spans="1:1" x14ac:dyDescent="0.25">
      <c r="A3413" s="5"/>
    </row>
    <row r="3414" spans="1:1" x14ac:dyDescent="0.25">
      <c r="A3414" s="5"/>
    </row>
    <row r="3415" spans="1:1" x14ac:dyDescent="0.25">
      <c r="A3415" s="5"/>
    </row>
    <row r="3416" spans="1:1" x14ac:dyDescent="0.25">
      <c r="A3416" s="5"/>
    </row>
    <row r="3417" spans="1:1" x14ac:dyDescent="0.25">
      <c r="A3417" s="5"/>
    </row>
    <row r="3418" spans="1:1" x14ac:dyDescent="0.25">
      <c r="A3418" s="5"/>
    </row>
    <row r="3419" spans="1:1" x14ac:dyDescent="0.25">
      <c r="A3419" s="5"/>
    </row>
    <row r="3420" spans="1:1" x14ac:dyDescent="0.25">
      <c r="A3420" s="5"/>
    </row>
    <row r="3421" spans="1:1" x14ac:dyDescent="0.25">
      <c r="A3421" s="5"/>
    </row>
    <row r="3422" spans="1:1" x14ac:dyDescent="0.25">
      <c r="A3422" s="5"/>
    </row>
    <row r="3423" spans="1:1" x14ac:dyDescent="0.25">
      <c r="A3423" s="5"/>
    </row>
    <row r="3424" spans="1:1" x14ac:dyDescent="0.25">
      <c r="A3424" s="5"/>
    </row>
    <row r="3425" spans="1:1" x14ac:dyDescent="0.25">
      <c r="A3425" s="5"/>
    </row>
    <row r="3426" spans="1:1" x14ac:dyDescent="0.25">
      <c r="A3426" s="5"/>
    </row>
    <row r="3427" spans="1:1" x14ac:dyDescent="0.25">
      <c r="A3427" s="5"/>
    </row>
    <row r="3428" spans="1:1" x14ac:dyDescent="0.25">
      <c r="A3428" s="5"/>
    </row>
    <row r="3429" spans="1:1" x14ac:dyDescent="0.25">
      <c r="A3429" s="5"/>
    </row>
    <row r="3430" spans="1:1" x14ac:dyDescent="0.25">
      <c r="A3430" s="5"/>
    </row>
    <row r="3431" spans="1:1" x14ac:dyDescent="0.25">
      <c r="A3431" s="5"/>
    </row>
    <row r="3432" spans="1:1" x14ac:dyDescent="0.25">
      <c r="A3432" s="5"/>
    </row>
    <row r="3433" spans="1:1" x14ac:dyDescent="0.25">
      <c r="A3433" s="5"/>
    </row>
    <row r="3434" spans="1:1" x14ac:dyDescent="0.25">
      <c r="A3434" s="5"/>
    </row>
    <row r="3435" spans="1:1" x14ac:dyDescent="0.25">
      <c r="A3435" s="5"/>
    </row>
    <row r="3436" spans="1:1" x14ac:dyDescent="0.25">
      <c r="A3436" s="5"/>
    </row>
    <row r="3437" spans="1:1" x14ac:dyDescent="0.25">
      <c r="A3437" s="5"/>
    </row>
    <row r="3438" spans="1:1" x14ac:dyDescent="0.25">
      <c r="A3438" s="5"/>
    </row>
    <row r="3439" spans="1:1" x14ac:dyDescent="0.25">
      <c r="A3439" s="5"/>
    </row>
    <row r="3440" spans="1:1" x14ac:dyDescent="0.25">
      <c r="A3440" s="5"/>
    </row>
    <row r="3441" spans="1:1" x14ac:dyDescent="0.25">
      <c r="A3441" s="5"/>
    </row>
    <row r="3442" spans="1:1" x14ac:dyDescent="0.25">
      <c r="A3442" s="5"/>
    </row>
    <row r="3443" spans="1:1" x14ac:dyDescent="0.25">
      <c r="A3443" s="5"/>
    </row>
    <row r="3444" spans="1:1" x14ac:dyDescent="0.25">
      <c r="A3444" s="5"/>
    </row>
    <row r="3445" spans="1:1" x14ac:dyDescent="0.25">
      <c r="A3445" s="5"/>
    </row>
    <row r="3446" spans="1:1" x14ac:dyDescent="0.25">
      <c r="A3446" s="5"/>
    </row>
    <row r="3447" spans="1:1" x14ac:dyDescent="0.25">
      <c r="A3447" s="5"/>
    </row>
    <row r="3448" spans="1:1" x14ac:dyDescent="0.25">
      <c r="A3448" s="5"/>
    </row>
    <row r="3449" spans="1:1" x14ac:dyDescent="0.25">
      <c r="A3449" s="5"/>
    </row>
    <row r="3450" spans="1:1" x14ac:dyDescent="0.25">
      <c r="A3450" s="5"/>
    </row>
    <row r="3451" spans="1:1" x14ac:dyDescent="0.25">
      <c r="A3451" s="5"/>
    </row>
    <row r="3452" spans="1:1" x14ac:dyDescent="0.25">
      <c r="A3452" s="5"/>
    </row>
    <row r="3453" spans="1:1" x14ac:dyDescent="0.25">
      <c r="A3453" s="5"/>
    </row>
    <row r="3454" spans="1:1" x14ac:dyDescent="0.25">
      <c r="A3454" s="5"/>
    </row>
    <row r="3455" spans="1:1" x14ac:dyDescent="0.25">
      <c r="A3455" s="5"/>
    </row>
    <row r="3456" spans="1:1" x14ac:dyDescent="0.25">
      <c r="A3456" s="5"/>
    </row>
    <row r="3457" spans="1:1" x14ac:dyDescent="0.25">
      <c r="A3457" s="5"/>
    </row>
    <row r="3458" spans="1:1" x14ac:dyDescent="0.25">
      <c r="A3458" s="5"/>
    </row>
    <row r="3459" spans="1:1" x14ac:dyDescent="0.25">
      <c r="A3459" s="5"/>
    </row>
    <row r="3460" spans="1:1" x14ac:dyDescent="0.25">
      <c r="A3460" s="5"/>
    </row>
    <row r="3461" spans="1:1" x14ac:dyDescent="0.25">
      <c r="A3461" s="5"/>
    </row>
    <row r="3462" spans="1:1" x14ac:dyDescent="0.25">
      <c r="A3462" s="5"/>
    </row>
    <row r="3463" spans="1:1" x14ac:dyDescent="0.25">
      <c r="A3463" s="5"/>
    </row>
    <row r="3464" spans="1:1" x14ac:dyDescent="0.25">
      <c r="A3464" s="5"/>
    </row>
    <row r="3465" spans="1:1" x14ac:dyDescent="0.25">
      <c r="A3465" s="5"/>
    </row>
    <row r="3466" spans="1:1" x14ac:dyDescent="0.25">
      <c r="A3466" s="5"/>
    </row>
    <row r="3467" spans="1:1" x14ac:dyDescent="0.25">
      <c r="A3467" s="5"/>
    </row>
    <row r="3468" spans="1:1" x14ac:dyDescent="0.25">
      <c r="A3468" s="5"/>
    </row>
    <row r="3469" spans="1:1" x14ac:dyDescent="0.25">
      <c r="A3469" s="5"/>
    </row>
    <row r="3470" spans="1:1" x14ac:dyDescent="0.25">
      <c r="A3470" s="5"/>
    </row>
    <row r="3471" spans="1:1" x14ac:dyDescent="0.25">
      <c r="A3471" s="5"/>
    </row>
    <row r="3472" spans="1:1" x14ac:dyDescent="0.25">
      <c r="A3472" s="5"/>
    </row>
    <row r="3473" spans="1:1" x14ac:dyDescent="0.25">
      <c r="A3473" s="5"/>
    </row>
    <row r="3474" spans="1:1" x14ac:dyDescent="0.25">
      <c r="A3474" s="5"/>
    </row>
    <row r="3475" spans="1:1" x14ac:dyDescent="0.25">
      <c r="A3475" s="5"/>
    </row>
    <row r="3476" spans="1:1" x14ac:dyDescent="0.25">
      <c r="A3476" s="5"/>
    </row>
    <row r="3477" spans="1:1" x14ac:dyDescent="0.25">
      <c r="A3477" s="5"/>
    </row>
    <row r="3478" spans="1:1" x14ac:dyDescent="0.25">
      <c r="A3478" s="5"/>
    </row>
    <row r="3479" spans="1:1" x14ac:dyDescent="0.25">
      <c r="A3479" s="5"/>
    </row>
    <row r="3480" spans="1:1" x14ac:dyDescent="0.25">
      <c r="A3480" s="5"/>
    </row>
    <row r="3481" spans="1:1" x14ac:dyDescent="0.25">
      <c r="A3481" s="5"/>
    </row>
    <row r="3482" spans="1:1" x14ac:dyDescent="0.25">
      <c r="A3482" s="5"/>
    </row>
    <row r="3483" spans="1:1" x14ac:dyDescent="0.25">
      <c r="A3483" s="5"/>
    </row>
    <row r="3484" spans="1:1" x14ac:dyDescent="0.25">
      <c r="A3484" s="5"/>
    </row>
    <row r="3485" spans="1:1" x14ac:dyDescent="0.25">
      <c r="A3485" s="5"/>
    </row>
    <row r="3486" spans="1:1" x14ac:dyDescent="0.25">
      <c r="A3486" s="5"/>
    </row>
    <row r="3487" spans="1:1" x14ac:dyDescent="0.25">
      <c r="A3487" s="5"/>
    </row>
    <row r="3488" spans="1:1" x14ac:dyDescent="0.25">
      <c r="A3488" s="5"/>
    </row>
    <row r="3489" spans="1:1" x14ac:dyDescent="0.25">
      <c r="A3489" s="5"/>
    </row>
    <row r="3490" spans="1:1" x14ac:dyDescent="0.25">
      <c r="A3490" s="5"/>
    </row>
    <row r="3491" spans="1:1" x14ac:dyDescent="0.25">
      <c r="A3491" s="5"/>
    </row>
    <row r="3492" spans="1:1" x14ac:dyDescent="0.25">
      <c r="A3492" s="5"/>
    </row>
    <row r="3493" spans="1:1" x14ac:dyDescent="0.25">
      <c r="A3493" s="5"/>
    </row>
    <row r="3494" spans="1:1" x14ac:dyDescent="0.25">
      <c r="A3494" s="5"/>
    </row>
    <row r="3495" spans="1:1" x14ac:dyDescent="0.25">
      <c r="A3495" s="5"/>
    </row>
    <row r="3496" spans="1:1" x14ac:dyDescent="0.25">
      <c r="A3496" s="5"/>
    </row>
    <row r="3497" spans="1:1" x14ac:dyDescent="0.25">
      <c r="A3497" s="5"/>
    </row>
    <row r="3498" spans="1:1" x14ac:dyDescent="0.25">
      <c r="A3498" s="5"/>
    </row>
    <row r="3499" spans="1:1" x14ac:dyDescent="0.25">
      <c r="A3499" s="5"/>
    </row>
    <row r="3500" spans="1:1" x14ac:dyDescent="0.25">
      <c r="A3500" s="5"/>
    </row>
    <row r="3501" spans="1:1" x14ac:dyDescent="0.25">
      <c r="A3501" s="5"/>
    </row>
    <row r="3502" spans="1:1" x14ac:dyDescent="0.25">
      <c r="A3502" s="5"/>
    </row>
    <row r="3503" spans="1:1" x14ac:dyDescent="0.25">
      <c r="A3503" s="5"/>
    </row>
    <row r="3504" spans="1:1" x14ac:dyDescent="0.25">
      <c r="A3504" s="5"/>
    </row>
    <row r="3505" spans="1:1" x14ac:dyDescent="0.25">
      <c r="A3505" s="5"/>
    </row>
    <row r="3506" spans="1:1" x14ac:dyDescent="0.25">
      <c r="A3506" s="5"/>
    </row>
    <row r="3507" spans="1:1" x14ac:dyDescent="0.25">
      <c r="A3507" s="5"/>
    </row>
    <row r="3508" spans="1:1" x14ac:dyDescent="0.25">
      <c r="A3508" s="5"/>
    </row>
    <row r="3509" spans="1:1" x14ac:dyDescent="0.25">
      <c r="A3509" s="5"/>
    </row>
    <row r="3510" spans="1:1" x14ac:dyDescent="0.25">
      <c r="A3510" s="5"/>
    </row>
    <row r="3511" spans="1:1" x14ac:dyDescent="0.25">
      <c r="A3511" s="5"/>
    </row>
    <row r="3512" spans="1:1" x14ac:dyDescent="0.25">
      <c r="A3512" s="5"/>
    </row>
    <row r="3513" spans="1:1" x14ac:dyDescent="0.25">
      <c r="A3513" s="5"/>
    </row>
    <row r="3514" spans="1:1" x14ac:dyDescent="0.25">
      <c r="A3514" s="5"/>
    </row>
    <row r="3515" spans="1:1" x14ac:dyDescent="0.25">
      <c r="A3515" s="5"/>
    </row>
    <row r="3516" spans="1:1" x14ac:dyDescent="0.25">
      <c r="A3516" s="5"/>
    </row>
    <row r="3517" spans="1:1" x14ac:dyDescent="0.25">
      <c r="A3517" s="5"/>
    </row>
    <row r="3518" spans="1:1" x14ac:dyDescent="0.25">
      <c r="A3518" s="5"/>
    </row>
    <row r="3519" spans="1:1" x14ac:dyDescent="0.25">
      <c r="A3519" s="5"/>
    </row>
    <row r="3520" spans="1:1" x14ac:dyDescent="0.25">
      <c r="A3520" s="5"/>
    </row>
    <row r="3521" spans="1:1" x14ac:dyDescent="0.25">
      <c r="A3521" s="5"/>
    </row>
    <row r="3522" spans="1:1" x14ac:dyDescent="0.25">
      <c r="A3522" s="5"/>
    </row>
    <row r="3523" spans="1:1" x14ac:dyDescent="0.25">
      <c r="A3523" s="5"/>
    </row>
    <row r="3524" spans="1:1" x14ac:dyDescent="0.25">
      <c r="A3524" s="5"/>
    </row>
    <row r="3525" spans="1:1" x14ac:dyDescent="0.25">
      <c r="A3525" s="5"/>
    </row>
    <row r="3526" spans="1:1" x14ac:dyDescent="0.25">
      <c r="A3526" s="5"/>
    </row>
    <row r="3527" spans="1:1" x14ac:dyDescent="0.25">
      <c r="A3527" s="5"/>
    </row>
    <row r="3528" spans="1:1" x14ac:dyDescent="0.25">
      <c r="A3528" s="5"/>
    </row>
    <row r="3529" spans="1:1" x14ac:dyDescent="0.25">
      <c r="A3529" s="5"/>
    </row>
    <row r="3530" spans="1:1" x14ac:dyDescent="0.25">
      <c r="A3530" s="5"/>
    </row>
    <row r="3531" spans="1:1" x14ac:dyDescent="0.25">
      <c r="A3531" s="5"/>
    </row>
    <row r="3532" spans="1:1" x14ac:dyDescent="0.25">
      <c r="A3532" s="5"/>
    </row>
    <row r="3533" spans="1:1" x14ac:dyDescent="0.25">
      <c r="A3533" s="5"/>
    </row>
    <row r="3534" spans="1:1" x14ac:dyDescent="0.25">
      <c r="A3534" s="5"/>
    </row>
    <row r="3535" spans="1:1" x14ac:dyDescent="0.25">
      <c r="A3535" s="5"/>
    </row>
    <row r="3536" spans="1:1" x14ac:dyDescent="0.25">
      <c r="A3536" s="5"/>
    </row>
    <row r="3537" spans="1:1" x14ac:dyDescent="0.25">
      <c r="A3537" s="5"/>
    </row>
    <row r="3538" spans="1:1" x14ac:dyDescent="0.25">
      <c r="A3538" s="5"/>
    </row>
    <row r="3539" spans="1:1" x14ac:dyDescent="0.25">
      <c r="A3539" s="5"/>
    </row>
    <row r="3540" spans="1:1" x14ac:dyDescent="0.25">
      <c r="A3540" s="5"/>
    </row>
    <row r="3541" spans="1:1" x14ac:dyDescent="0.25">
      <c r="A3541" s="5"/>
    </row>
    <row r="3542" spans="1:1" x14ac:dyDescent="0.25">
      <c r="A3542" s="5"/>
    </row>
    <row r="3543" spans="1:1" x14ac:dyDescent="0.25">
      <c r="A3543" s="5"/>
    </row>
    <row r="3544" spans="1:1" x14ac:dyDescent="0.25">
      <c r="A3544" s="5"/>
    </row>
    <row r="3545" spans="1:1" x14ac:dyDescent="0.25">
      <c r="A3545" s="5"/>
    </row>
    <row r="3546" spans="1:1" x14ac:dyDescent="0.25">
      <c r="A3546" s="5"/>
    </row>
    <row r="3547" spans="1:1" x14ac:dyDescent="0.25">
      <c r="A3547" s="5"/>
    </row>
    <row r="3548" spans="1:1" x14ac:dyDescent="0.25">
      <c r="A3548" s="5"/>
    </row>
    <row r="3549" spans="1:1" x14ac:dyDescent="0.25">
      <c r="A3549" s="5"/>
    </row>
    <row r="3550" spans="1:1" x14ac:dyDescent="0.25">
      <c r="A3550" s="5"/>
    </row>
    <row r="3551" spans="1:1" x14ac:dyDescent="0.25">
      <c r="A3551" s="5"/>
    </row>
    <row r="3552" spans="1:1" x14ac:dyDescent="0.25">
      <c r="A3552" s="5"/>
    </row>
    <row r="3553" spans="1:1" x14ac:dyDescent="0.25">
      <c r="A3553" s="5"/>
    </row>
    <row r="3554" spans="1:1" x14ac:dyDescent="0.25">
      <c r="A3554" s="5"/>
    </row>
    <row r="3555" spans="1:1" x14ac:dyDescent="0.25">
      <c r="A3555" s="5"/>
    </row>
    <row r="3556" spans="1:1" x14ac:dyDescent="0.25">
      <c r="A3556" s="5"/>
    </row>
    <row r="3557" spans="1:1" x14ac:dyDescent="0.25">
      <c r="A3557" s="5"/>
    </row>
    <row r="3558" spans="1:1" x14ac:dyDescent="0.25">
      <c r="A3558" s="5"/>
    </row>
    <row r="3559" spans="1:1" x14ac:dyDescent="0.25">
      <c r="A3559" s="5"/>
    </row>
    <row r="3560" spans="1:1" x14ac:dyDescent="0.25">
      <c r="A3560" s="5"/>
    </row>
    <row r="3561" spans="1:1" x14ac:dyDescent="0.25">
      <c r="A3561" s="5"/>
    </row>
    <row r="3562" spans="1:1" x14ac:dyDescent="0.25">
      <c r="A3562" s="5"/>
    </row>
    <row r="3563" spans="1:1" x14ac:dyDescent="0.25">
      <c r="A3563" s="5"/>
    </row>
    <row r="3564" spans="1:1" x14ac:dyDescent="0.25">
      <c r="A3564" s="5"/>
    </row>
    <row r="3565" spans="1:1" x14ac:dyDescent="0.25">
      <c r="A3565" s="5"/>
    </row>
    <row r="3566" spans="1:1" x14ac:dyDescent="0.25">
      <c r="A3566" s="5"/>
    </row>
    <row r="3567" spans="1:1" x14ac:dyDescent="0.25">
      <c r="A3567" s="5"/>
    </row>
    <row r="3568" spans="1:1" x14ac:dyDescent="0.25">
      <c r="A3568" s="5"/>
    </row>
    <row r="3569" spans="1:1" x14ac:dyDescent="0.25">
      <c r="A3569" s="5"/>
    </row>
    <row r="3570" spans="1:1" x14ac:dyDescent="0.25">
      <c r="A3570" s="5"/>
    </row>
    <row r="3571" spans="1:1" x14ac:dyDescent="0.25">
      <c r="A3571" s="5"/>
    </row>
    <row r="3572" spans="1:1" x14ac:dyDescent="0.25">
      <c r="A3572" s="5"/>
    </row>
    <row r="3573" spans="1:1" x14ac:dyDescent="0.25">
      <c r="A3573" s="5"/>
    </row>
    <row r="3574" spans="1:1" x14ac:dyDescent="0.25">
      <c r="A3574" s="5"/>
    </row>
    <row r="3575" spans="1:1" x14ac:dyDescent="0.25">
      <c r="A3575" s="5"/>
    </row>
    <row r="3576" spans="1:1" x14ac:dyDescent="0.25">
      <c r="A3576" s="5"/>
    </row>
    <row r="3577" spans="1:1" x14ac:dyDescent="0.25">
      <c r="A3577" s="5"/>
    </row>
    <row r="3578" spans="1:1" x14ac:dyDescent="0.25">
      <c r="A3578" s="5"/>
    </row>
    <row r="3579" spans="1:1" x14ac:dyDescent="0.25">
      <c r="A3579" s="5"/>
    </row>
    <row r="3580" spans="1:1" x14ac:dyDescent="0.25">
      <c r="A3580" s="5"/>
    </row>
    <row r="3581" spans="1:1" x14ac:dyDescent="0.25">
      <c r="A3581" s="5"/>
    </row>
    <row r="3582" spans="1:1" x14ac:dyDescent="0.25">
      <c r="A3582" s="5"/>
    </row>
    <row r="3583" spans="1:1" x14ac:dyDescent="0.25">
      <c r="A3583" s="5"/>
    </row>
    <row r="3584" spans="1:1" x14ac:dyDescent="0.25">
      <c r="A3584" s="5"/>
    </row>
    <row r="3585" spans="1:1" x14ac:dyDescent="0.25">
      <c r="A3585" s="5"/>
    </row>
    <row r="3586" spans="1:1" x14ac:dyDescent="0.25">
      <c r="A3586" s="5"/>
    </row>
    <row r="3587" spans="1:1" x14ac:dyDescent="0.25">
      <c r="A3587" s="5"/>
    </row>
    <row r="3588" spans="1:1" x14ac:dyDescent="0.25">
      <c r="A3588" s="5"/>
    </row>
    <row r="3589" spans="1:1" x14ac:dyDescent="0.25">
      <c r="A3589" s="5"/>
    </row>
    <row r="3590" spans="1:1" x14ac:dyDescent="0.25">
      <c r="A3590" s="5"/>
    </row>
    <row r="3591" spans="1:1" x14ac:dyDescent="0.25">
      <c r="A3591" s="5"/>
    </row>
    <row r="3592" spans="1:1" x14ac:dyDescent="0.25">
      <c r="A3592" s="5"/>
    </row>
    <row r="3593" spans="1:1" x14ac:dyDescent="0.25">
      <c r="A3593" s="5"/>
    </row>
    <row r="3594" spans="1:1" x14ac:dyDescent="0.25">
      <c r="A3594" s="5"/>
    </row>
    <row r="3595" spans="1:1" x14ac:dyDescent="0.25">
      <c r="A3595" s="5"/>
    </row>
    <row r="3596" spans="1:1" x14ac:dyDescent="0.25">
      <c r="A3596" s="5"/>
    </row>
    <row r="3597" spans="1:1" x14ac:dyDescent="0.25">
      <c r="A3597" s="5"/>
    </row>
    <row r="3598" spans="1:1" x14ac:dyDescent="0.25">
      <c r="A3598" s="5"/>
    </row>
    <row r="3599" spans="1:1" x14ac:dyDescent="0.25">
      <c r="A3599" s="5"/>
    </row>
    <row r="3600" spans="1:1" x14ac:dyDescent="0.25">
      <c r="A3600" s="5"/>
    </row>
    <row r="3601" spans="1:1" x14ac:dyDescent="0.25">
      <c r="A3601" s="5"/>
    </row>
    <row r="3602" spans="1:1" x14ac:dyDescent="0.25">
      <c r="A3602" s="5"/>
    </row>
    <row r="3603" spans="1:1" x14ac:dyDescent="0.25">
      <c r="A3603" s="5"/>
    </row>
    <row r="3604" spans="1:1" x14ac:dyDescent="0.25">
      <c r="A3604" s="5"/>
    </row>
    <row r="3605" spans="1:1" x14ac:dyDescent="0.25">
      <c r="A3605" s="5"/>
    </row>
    <row r="3606" spans="1:1" x14ac:dyDescent="0.25">
      <c r="A3606" s="5"/>
    </row>
    <row r="3607" spans="1:1" x14ac:dyDescent="0.25">
      <c r="A3607" s="5"/>
    </row>
    <row r="3608" spans="1:1" x14ac:dyDescent="0.25">
      <c r="A3608" s="5"/>
    </row>
    <row r="3609" spans="1:1" x14ac:dyDescent="0.25">
      <c r="A3609" s="5"/>
    </row>
    <row r="3610" spans="1:1" x14ac:dyDescent="0.25">
      <c r="A3610" s="5"/>
    </row>
    <row r="3611" spans="1:1" x14ac:dyDescent="0.25">
      <c r="A3611" s="5"/>
    </row>
    <row r="3612" spans="1:1" x14ac:dyDescent="0.25">
      <c r="A3612" s="5"/>
    </row>
    <row r="3613" spans="1:1" x14ac:dyDescent="0.25">
      <c r="A3613" s="5"/>
    </row>
    <row r="3614" spans="1:1" x14ac:dyDescent="0.25">
      <c r="A3614" s="5"/>
    </row>
    <row r="3615" spans="1:1" x14ac:dyDescent="0.25">
      <c r="A3615" s="5"/>
    </row>
    <row r="3616" spans="1:1" x14ac:dyDescent="0.25">
      <c r="A3616" s="5"/>
    </row>
    <row r="3617" spans="1:1" x14ac:dyDescent="0.25">
      <c r="A3617" s="5"/>
    </row>
    <row r="3618" spans="1:1" x14ac:dyDescent="0.25">
      <c r="A3618" s="5"/>
    </row>
    <row r="3619" spans="1:1" x14ac:dyDescent="0.25">
      <c r="A3619" s="5"/>
    </row>
    <row r="3620" spans="1:1" x14ac:dyDescent="0.25">
      <c r="A3620" s="5"/>
    </row>
    <row r="3621" spans="1:1" x14ac:dyDescent="0.25">
      <c r="A3621" s="5"/>
    </row>
    <row r="3622" spans="1:1" x14ac:dyDescent="0.25">
      <c r="A3622" s="5"/>
    </row>
    <row r="3623" spans="1:1" x14ac:dyDescent="0.25">
      <c r="A3623" s="5"/>
    </row>
    <row r="3624" spans="1:1" x14ac:dyDescent="0.25">
      <c r="A3624" s="5"/>
    </row>
    <row r="3625" spans="1:1" x14ac:dyDescent="0.25">
      <c r="A3625" s="5"/>
    </row>
    <row r="3626" spans="1:1" x14ac:dyDescent="0.25">
      <c r="A3626" s="5"/>
    </row>
    <row r="3627" spans="1:1" x14ac:dyDescent="0.25">
      <c r="A3627" s="5"/>
    </row>
    <row r="3628" spans="1:1" x14ac:dyDescent="0.25">
      <c r="A3628" s="5"/>
    </row>
    <row r="3629" spans="1:1" x14ac:dyDescent="0.25">
      <c r="A3629" s="5"/>
    </row>
    <row r="3630" spans="1:1" x14ac:dyDescent="0.25">
      <c r="A3630" s="5"/>
    </row>
    <row r="3631" spans="1:1" x14ac:dyDescent="0.25">
      <c r="A3631" s="5"/>
    </row>
    <row r="3632" spans="1:1" x14ac:dyDescent="0.25">
      <c r="A3632" s="5"/>
    </row>
    <row r="3633" spans="1:1" x14ac:dyDescent="0.25">
      <c r="A3633" s="5"/>
    </row>
    <row r="3634" spans="1:1" x14ac:dyDescent="0.25">
      <c r="A3634" s="5"/>
    </row>
    <row r="3635" spans="1:1" x14ac:dyDescent="0.25">
      <c r="A3635" s="5"/>
    </row>
    <row r="3636" spans="1:1" x14ac:dyDescent="0.25">
      <c r="A3636" s="5"/>
    </row>
    <row r="3637" spans="1:1" x14ac:dyDescent="0.25">
      <c r="A3637" s="5"/>
    </row>
    <row r="3638" spans="1:1" x14ac:dyDescent="0.25">
      <c r="A3638" s="5"/>
    </row>
    <row r="3639" spans="1:1" x14ac:dyDescent="0.25">
      <c r="A3639" s="5"/>
    </row>
    <row r="3640" spans="1:1" x14ac:dyDescent="0.25">
      <c r="A3640" s="5"/>
    </row>
    <row r="3641" spans="1:1" x14ac:dyDescent="0.25">
      <c r="A3641" s="5"/>
    </row>
    <row r="3642" spans="1:1" x14ac:dyDescent="0.25">
      <c r="A3642" s="5"/>
    </row>
    <row r="3643" spans="1:1" x14ac:dyDescent="0.25">
      <c r="A3643" s="5"/>
    </row>
    <row r="3644" spans="1:1" x14ac:dyDescent="0.25">
      <c r="A3644" s="5"/>
    </row>
    <row r="3645" spans="1:1" x14ac:dyDescent="0.25">
      <c r="A3645" s="5"/>
    </row>
    <row r="3646" spans="1:1" x14ac:dyDescent="0.25">
      <c r="A3646" s="5"/>
    </row>
    <row r="3647" spans="1:1" x14ac:dyDescent="0.25">
      <c r="A3647" s="5"/>
    </row>
    <row r="3648" spans="1:1" x14ac:dyDescent="0.25">
      <c r="A3648" s="5"/>
    </row>
    <row r="3649" spans="1:1" x14ac:dyDescent="0.25">
      <c r="A3649" s="5"/>
    </row>
    <row r="3650" spans="1:1" x14ac:dyDescent="0.25">
      <c r="A3650" s="5"/>
    </row>
    <row r="3651" spans="1:1" x14ac:dyDescent="0.25">
      <c r="A3651" s="5"/>
    </row>
    <row r="3652" spans="1:1" x14ac:dyDescent="0.25">
      <c r="A3652" s="5"/>
    </row>
    <row r="3653" spans="1:1" x14ac:dyDescent="0.25">
      <c r="A3653" s="5"/>
    </row>
    <row r="3654" spans="1:1" x14ac:dyDescent="0.25">
      <c r="A3654" s="5"/>
    </row>
    <row r="3655" spans="1:1" x14ac:dyDescent="0.25">
      <c r="A3655" s="5"/>
    </row>
    <row r="3656" spans="1:1" x14ac:dyDescent="0.25">
      <c r="A3656" s="5"/>
    </row>
    <row r="3657" spans="1:1" x14ac:dyDescent="0.25">
      <c r="A3657" s="5"/>
    </row>
    <row r="3658" spans="1:1" x14ac:dyDescent="0.25">
      <c r="A3658" s="5"/>
    </row>
    <row r="3659" spans="1:1" x14ac:dyDescent="0.25">
      <c r="A3659" s="5"/>
    </row>
    <row r="3660" spans="1:1" x14ac:dyDescent="0.25">
      <c r="A3660" s="5"/>
    </row>
    <row r="3661" spans="1:1" x14ac:dyDescent="0.25">
      <c r="A3661" s="5"/>
    </row>
    <row r="3662" spans="1:1" x14ac:dyDescent="0.25">
      <c r="A3662" s="5"/>
    </row>
    <row r="3663" spans="1:1" x14ac:dyDescent="0.25">
      <c r="A3663" s="5"/>
    </row>
    <row r="3664" spans="1:1" x14ac:dyDescent="0.25">
      <c r="A3664" s="5"/>
    </row>
    <row r="3665" spans="1:1" x14ac:dyDescent="0.25">
      <c r="A3665" s="5"/>
    </row>
    <row r="3666" spans="1:1" x14ac:dyDescent="0.25">
      <c r="A3666" s="5"/>
    </row>
    <row r="3667" spans="1:1" x14ac:dyDescent="0.25">
      <c r="A3667" s="5"/>
    </row>
    <row r="3668" spans="1:1" x14ac:dyDescent="0.25">
      <c r="A3668" s="5"/>
    </row>
    <row r="3669" spans="1:1" x14ac:dyDescent="0.25">
      <c r="A3669" s="5"/>
    </row>
    <row r="3670" spans="1:1" x14ac:dyDescent="0.25">
      <c r="A3670" s="5"/>
    </row>
    <row r="3671" spans="1:1" x14ac:dyDescent="0.25">
      <c r="A3671" s="5"/>
    </row>
    <row r="3672" spans="1:1" x14ac:dyDescent="0.25">
      <c r="A3672" s="5"/>
    </row>
    <row r="3673" spans="1:1" x14ac:dyDescent="0.25">
      <c r="A3673" s="5"/>
    </row>
    <row r="3674" spans="1:1" x14ac:dyDescent="0.25">
      <c r="A3674" s="5"/>
    </row>
    <row r="3675" spans="1:1" x14ac:dyDescent="0.25">
      <c r="A3675" s="5"/>
    </row>
    <row r="3676" spans="1:1" x14ac:dyDescent="0.25">
      <c r="A3676" s="5"/>
    </row>
    <row r="3677" spans="1:1" x14ac:dyDescent="0.25">
      <c r="A3677" s="5"/>
    </row>
    <row r="3678" spans="1:1" x14ac:dyDescent="0.25">
      <c r="A3678" s="5"/>
    </row>
    <row r="3679" spans="1:1" x14ac:dyDescent="0.25">
      <c r="A3679" s="5"/>
    </row>
    <row r="3680" spans="1:1" x14ac:dyDescent="0.25">
      <c r="A3680" s="5"/>
    </row>
    <row r="3681" spans="1:1" x14ac:dyDescent="0.25">
      <c r="A3681" s="5"/>
    </row>
    <row r="3682" spans="1:1" x14ac:dyDescent="0.25">
      <c r="A3682" s="5"/>
    </row>
    <row r="3683" spans="1:1" x14ac:dyDescent="0.25">
      <c r="A3683" s="5"/>
    </row>
    <row r="3684" spans="1:1" x14ac:dyDescent="0.25">
      <c r="A3684" s="5"/>
    </row>
    <row r="3685" spans="1:1" x14ac:dyDescent="0.25">
      <c r="A3685" s="5"/>
    </row>
    <row r="3686" spans="1:1" x14ac:dyDescent="0.25">
      <c r="A3686" s="5"/>
    </row>
    <row r="3687" spans="1:1" x14ac:dyDescent="0.25">
      <c r="A3687" s="5"/>
    </row>
    <row r="3688" spans="1:1" x14ac:dyDescent="0.25">
      <c r="A3688" s="5"/>
    </row>
    <row r="3689" spans="1:1" x14ac:dyDescent="0.25">
      <c r="A3689" s="5"/>
    </row>
    <row r="3690" spans="1:1" x14ac:dyDescent="0.25">
      <c r="A3690" s="5"/>
    </row>
    <row r="3691" spans="1:1" x14ac:dyDescent="0.25">
      <c r="A3691" s="5"/>
    </row>
    <row r="3692" spans="1:1" x14ac:dyDescent="0.25">
      <c r="A3692" s="5"/>
    </row>
    <row r="3693" spans="1:1" x14ac:dyDescent="0.25">
      <c r="A3693" s="5"/>
    </row>
    <row r="3694" spans="1:1" x14ac:dyDescent="0.25">
      <c r="A3694" s="5"/>
    </row>
    <row r="3695" spans="1:1" x14ac:dyDescent="0.25">
      <c r="A3695" s="5"/>
    </row>
    <row r="3696" spans="1:1" x14ac:dyDescent="0.25">
      <c r="A3696" s="5"/>
    </row>
    <row r="3697" spans="1:1" x14ac:dyDescent="0.25">
      <c r="A3697" s="5"/>
    </row>
    <row r="3698" spans="1:1" x14ac:dyDescent="0.25">
      <c r="A3698" s="5"/>
    </row>
    <row r="3699" spans="1:1" x14ac:dyDescent="0.25">
      <c r="A3699" s="5"/>
    </row>
    <row r="3700" spans="1:1" x14ac:dyDescent="0.25">
      <c r="A3700" s="5"/>
    </row>
    <row r="3701" spans="1:1" x14ac:dyDescent="0.25">
      <c r="A3701" s="5"/>
    </row>
    <row r="3702" spans="1:1" x14ac:dyDescent="0.25">
      <c r="A3702" s="5"/>
    </row>
    <row r="3703" spans="1:1" x14ac:dyDescent="0.25">
      <c r="A3703" s="5"/>
    </row>
    <row r="3704" spans="1:1" x14ac:dyDescent="0.25">
      <c r="A3704" s="5"/>
    </row>
    <row r="3705" spans="1:1" x14ac:dyDescent="0.25">
      <c r="A3705" s="5"/>
    </row>
    <row r="3706" spans="1:1" x14ac:dyDescent="0.25">
      <c r="A3706" s="5"/>
    </row>
    <row r="3707" spans="1:1" x14ac:dyDescent="0.25">
      <c r="A3707" s="5"/>
    </row>
    <row r="3708" spans="1:1" x14ac:dyDescent="0.25">
      <c r="A3708" s="5"/>
    </row>
    <row r="3709" spans="1:1" x14ac:dyDescent="0.25">
      <c r="A3709" s="5"/>
    </row>
    <row r="3710" spans="1:1" x14ac:dyDescent="0.25">
      <c r="A3710" s="5"/>
    </row>
    <row r="3711" spans="1:1" x14ac:dyDescent="0.25">
      <c r="A3711" s="5"/>
    </row>
    <row r="3712" spans="1:1" x14ac:dyDescent="0.25">
      <c r="A3712" s="5"/>
    </row>
    <row r="3713" spans="1:1" x14ac:dyDescent="0.25">
      <c r="A3713" s="5"/>
    </row>
    <row r="3714" spans="1:1" x14ac:dyDescent="0.25">
      <c r="A3714" s="5"/>
    </row>
    <row r="3715" spans="1:1" x14ac:dyDescent="0.25">
      <c r="A3715" s="5"/>
    </row>
    <row r="3716" spans="1:1" x14ac:dyDescent="0.25">
      <c r="A3716" s="5"/>
    </row>
    <row r="3717" spans="1:1" x14ac:dyDescent="0.25">
      <c r="A3717" s="5"/>
    </row>
    <row r="3718" spans="1:1" x14ac:dyDescent="0.25">
      <c r="A3718" s="5"/>
    </row>
    <row r="3719" spans="1:1" x14ac:dyDescent="0.25">
      <c r="A3719" s="5"/>
    </row>
    <row r="3720" spans="1:1" x14ac:dyDescent="0.25">
      <c r="A3720" s="5"/>
    </row>
    <row r="3721" spans="1:1" x14ac:dyDescent="0.25">
      <c r="A3721" s="5"/>
    </row>
    <row r="3722" spans="1:1" x14ac:dyDescent="0.25">
      <c r="A3722" s="5"/>
    </row>
    <row r="3723" spans="1:1" x14ac:dyDescent="0.25">
      <c r="A3723" s="5"/>
    </row>
    <row r="3724" spans="1:1" x14ac:dyDescent="0.25">
      <c r="A3724" s="5"/>
    </row>
    <row r="3725" spans="1:1" x14ac:dyDescent="0.25">
      <c r="A3725" s="5"/>
    </row>
    <row r="3726" spans="1:1" x14ac:dyDescent="0.25">
      <c r="A3726" s="5"/>
    </row>
    <row r="3727" spans="1:1" x14ac:dyDescent="0.25">
      <c r="A3727" s="5"/>
    </row>
    <row r="3728" spans="1:1" x14ac:dyDescent="0.25">
      <c r="A3728" s="5"/>
    </row>
    <row r="3729" spans="1:1" x14ac:dyDescent="0.25">
      <c r="A3729" s="5"/>
    </row>
    <row r="3730" spans="1:1" x14ac:dyDescent="0.25">
      <c r="A3730" s="5"/>
    </row>
    <row r="3731" spans="1:1" x14ac:dyDescent="0.25">
      <c r="A3731" s="5"/>
    </row>
    <row r="3732" spans="1:1" x14ac:dyDescent="0.25">
      <c r="A3732" s="5"/>
    </row>
    <row r="3733" spans="1:1" x14ac:dyDescent="0.25">
      <c r="A3733" s="5"/>
    </row>
    <row r="3734" spans="1:1" x14ac:dyDescent="0.25">
      <c r="A3734" s="5"/>
    </row>
    <row r="3735" spans="1:1" x14ac:dyDescent="0.25">
      <c r="A3735" s="5"/>
    </row>
    <row r="3736" spans="1:1" x14ac:dyDescent="0.25">
      <c r="A3736" s="5"/>
    </row>
    <row r="3737" spans="1:1" x14ac:dyDescent="0.25">
      <c r="A3737" s="5"/>
    </row>
    <row r="3738" spans="1:1" x14ac:dyDescent="0.25">
      <c r="A3738" s="5"/>
    </row>
    <row r="3739" spans="1:1" x14ac:dyDescent="0.25">
      <c r="A3739" s="5"/>
    </row>
    <row r="3740" spans="1:1" x14ac:dyDescent="0.25">
      <c r="A3740" s="5"/>
    </row>
    <row r="3741" spans="1:1" x14ac:dyDescent="0.25">
      <c r="A3741" s="5"/>
    </row>
    <row r="3742" spans="1:1" x14ac:dyDescent="0.25">
      <c r="A3742" s="5"/>
    </row>
    <row r="3743" spans="1:1" x14ac:dyDescent="0.25">
      <c r="A3743" s="5"/>
    </row>
    <row r="3744" spans="1:1" x14ac:dyDescent="0.25">
      <c r="A3744" s="5"/>
    </row>
    <row r="3745" spans="1:1" x14ac:dyDescent="0.25">
      <c r="A3745" s="5"/>
    </row>
    <row r="3746" spans="1:1" x14ac:dyDescent="0.25">
      <c r="A3746" s="5"/>
    </row>
    <row r="3747" spans="1:1" x14ac:dyDescent="0.25">
      <c r="A3747" s="5"/>
    </row>
    <row r="3748" spans="1:1" x14ac:dyDescent="0.25">
      <c r="A3748" s="5"/>
    </row>
    <row r="3749" spans="1:1" x14ac:dyDescent="0.25">
      <c r="A3749" s="5"/>
    </row>
    <row r="3750" spans="1:1" x14ac:dyDescent="0.25">
      <c r="A3750" s="5"/>
    </row>
    <row r="3751" spans="1:1" x14ac:dyDescent="0.25">
      <c r="A3751" s="5"/>
    </row>
    <row r="3752" spans="1:1" x14ac:dyDescent="0.25">
      <c r="A3752" s="5"/>
    </row>
    <row r="3753" spans="1:1" x14ac:dyDescent="0.25">
      <c r="A3753" s="5"/>
    </row>
    <row r="3754" spans="1:1" x14ac:dyDescent="0.25">
      <c r="A3754" s="5"/>
    </row>
    <row r="3755" spans="1:1" x14ac:dyDescent="0.25">
      <c r="A3755" s="5"/>
    </row>
    <row r="3756" spans="1:1" x14ac:dyDescent="0.25">
      <c r="A3756" s="5"/>
    </row>
    <row r="3757" spans="1:1" x14ac:dyDescent="0.25">
      <c r="A3757" s="5"/>
    </row>
    <row r="3758" spans="1:1" x14ac:dyDescent="0.25">
      <c r="A3758" s="5"/>
    </row>
    <row r="3759" spans="1:1" x14ac:dyDescent="0.25">
      <c r="A3759" s="5"/>
    </row>
    <row r="3760" spans="1:1" x14ac:dyDescent="0.25">
      <c r="A3760" s="5"/>
    </row>
    <row r="3761" spans="1:1" x14ac:dyDescent="0.25">
      <c r="A3761" s="5"/>
    </row>
    <row r="3762" spans="1:1" x14ac:dyDescent="0.25">
      <c r="A3762" s="5"/>
    </row>
    <row r="3763" spans="1:1" x14ac:dyDescent="0.25">
      <c r="A3763" s="5"/>
    </row>
    <row r="3764" spans="1:1" x14ac:dyDescent="0.25">
      <c r="A3764" s="5"/>
    </row>
    <row r="3765" spans="1:1" x14ac:dyDescent="0.25">
      <c r="A3765" s="5"/>
    </row>
    <row r="3766" spans="1:1" x14ac:dyDescent="0.25">
      <c r="A3766" s="5"/>
    </row>
    <row r="3767" spans="1:1" x14ac:dyDescent="0.25">
      <c r="A3767" s="5"/>
    </row>
    <row r="3768" spans="1:1" x14ac:dyDescent="0.25">
      <c r="A3768" s="5"/>
    </row>
    <row r="3769" spans="1:1" x14ac:dyDescent="0.25">
      <c r="A3769" s="5"/>
    </row>
    <row r="3770" spans="1:1" x14ac:dyDescent="0.25">
      <c r="A3770" s="5"/>
    </row>
    <row r="3771" spans="1:1" x14ac:dyDescent="0.25">
      <c r="A3771" s="5"/>
    </row>
    <row r="3772" spans="1:1" x14ac:dyDescent="0.25">
      <c r="A3772" s="5"/>
    </row>
    <row r="3773" spans="1:1" x14ac:dyDescent="0.25">
      <c r="A3773" s="5"/>
    </row>
    <row r="3774" spans="1:1" x14ac:dyDescent="0.25">
      <c r="A3774" s="5"/>
    </row>
    <row r="3775" spans="1:1" x14ac:dyDescent="0.25">
      <c r="A3775" s="5"/>
    </row>
    <row r="3776" spans="1:1" x14ac:dyDescent="0.25">
      <c r="A3776" s="5"/>
    </row>
    <row r="3777" spans="1:1" x14ac:dyDescent="0.25">
      <c r="A3777" s="5"/>
    </row>
    <row r="3778" spans="1:1" x14ac:dyDescent="0.25">
      <c r="A3778" s="5"/>
    </row>
    <row r="3779" spans="1:1" x14ac:dyDescent="0.25">
      <c r="A3779" s="5"/>
    </row>
    <row r="3780" spans="1:1" x14ac:dyDescent="0.25">
      <c r="A3780" s="5"/>
    </row>
    <row r="3781" spans="1:1" x14ac:dyDescent="0.25">
      <c r="A3781" s="5"/>
    </row>
    <row r="3782" spans="1:1" x14ac:dyDescent="0.25">
      <c r="A3782" s="5"/>
    </row>
    <row r="3783" spans="1:1" x14ac:dyDescent="0.25">
      <c r="A3783" s="5"/>
    </row>
    <row r="3784" spans="1:1" x14ac:dyDescent="0.25">
      <c r="A3784" s="5"/>
    </row>
    <row r="3785" spans="1:1" x14ac:dyDescent="0.25">
      <c r="A3785" s="5"/>
    </row>
    <row r="3786" spans="1:1" x14ac:dyDescent="0.25">
      <c r="A3786" s="5"/>
    </row>
    <row r="3787" spans="1:1" x14ac:dyDescent="0.25">
      <c r="A3787" s="5"/>
    </row>
    <row r="3788" spans="1:1" x14ac:dyDescent="0.25">
      <c r="A3788" s="5"/>
    </row>
    <row r="3789" spans="1:1" x14ac:dyDescent="0.25">
      <c r="A3789" s="5"/>
    </row>
    <row r="3790" spans="1:1" x14ac:dyDescent="0.25">
      <c r="A3790" s="5"/>
    </row>
    <row r="3791" spans="1:1" x14ac:dyDescent="0.25">
      <c r="A3791" s="5"/>
    </row>
    <row r="3792" spans="1:1" x14ac:dyDescent="0.25">
      <c r="A3792" s="5"/>
    </row>
    <row r="3793" spans="1:1" x14ac:dyDescent="0.25">
      <c r="A3793" s="5"/>
    </row>
    <row r="3794" spans="1:1" x14ac:dyDescent="0.25">
      <c r="A3794" s="5"/>
    </row>
    <row r="3795" spans="1:1" x14ac:dyDescent="0.25">
      <c r="A3795" s="5"/>
    </row>
    <row r="3796" spans="1:1" x14ac:dyDescent="0.25">
      <c r="A3796" s="5"/>
    </row>
    <row r="3797" spans="1:1" x14ac:dyDescent="0.25">
      <c r="A3797" s="5"/>
    </row>
    <row r="3798" spans="1:1" x14ac:dyDescent="0.25">
      <c r="A3798" s="5"/>
    </row>
    <row r="3799" spans="1:1" x14ac:dyDescent="0.25">
      <c r="A3799" s="5"/>
    </row>
    <row r="3800" spans="1:1" x14ac:dyDescent="0.25">
      <c r="A3800" s="5"/>
    </row>
    <row r="3801" spans="1:1" x14ac:dyDescent="0.25">
      <c r="A3801" s="5"/>
    </row>
    <row r="3802" spans="1:1" x14ac:dyDescent="0.25">
      <c r="A3802" s="5"/>
    </row>
    <row r="3803" spans="1:1" x14ac:dyDescent="0.25">
      <c r="A3803" s="5"/>
    </row>
    <row r="3804" spans="1:1" x14ac:dyDescent="0.25">
      <c r="A3804" s="5"/>
    </row>
    <row r="3805" spans="1:1" x14ac:dyDescent="0.25">
      <c r="A3805" s="5"/>
    </row>
    <row r="3806" spans="1:1" x14ac:dyDescent="0.25">
      <c r="A3806" s="5"/>
    </row>
    <row r="3807" spans="1:1" x14ac:dyDescent="0.25">
      <c r="A3807" s="5"/>
    </row>
    <row r="3808" spans="1:1" x14ac:dyDescent="0.25">
      <c r="A3808" s="5"/>
    </row>
    <row r="3809" spans="1:1" x14ac:dyDescent="0.25">
      <c r="A3809" s="5"/>
    </row>
    <row r="3810" spans="1:1" x14ac:dyDescent="0.25">
      <c r="A3810" s="5"/>
    </row>
    <row r="3811" spans="1:1" x14ac:dyDescent="0.25">
      <c r="A3811" s="5"/>
    </row>
    <row r="3812" spans="1:1" x14ac:dyDescent="0.25">
      <c r="A3812" s="5"/>
    </row>
    <row r="3813" spans="1:1" x14ac:dyDescent="0.25">
      <c r="A3813" s="5"/>
    </row>
    <row r="3814" spans="1:1" x14ac:dyDescent="0.25">
      <c r="A3814" s="5"/>
    </row>
    <row r="3815" spans="1:1" x14ac:dyDescent="0.25">
      <c r="A3815" s="5"/>
    </row>
    <row r="3816" spans="1:1" x14ac:dyDescent="0.25">
      <c r="A3816" s="5"/>
    </row>
    <row r="3817" spans="1:1" x14ac:dyDescent="0.25">
      <c r="A3817" s="5"/>
    </row>
    <row r="3818" spans="1:1" x14ac:dyDescent="0.25">
      <c r="A3818" s="5"/>
    </row>
    <row r="3819" spans="1:1" x14ac:dyDescent="0.25">
      <c r="A3819" s="5"/>
    </row>
    <row r="3820" spans="1:1" x14ac:dyDescent="0.25">
      <c r="A3820" s="5"/>
    </row>
    <row r="3821" spans="1:1" x14ac:dyDescent="0.25">
      <c r="A3821" s="5"/>
    </row>
    <row r="3822" spans="1:1" x14ac:dyDescent="0.25">
      <c r="A3822" s="5"/>
    </row>
    <row r="3823" spans="1:1" x14ac:dyDescent="0.25">
      <c r="A3823" s="5"/>
    </row>
    <row r="3824" spans="1:1" x14ac:dyDescent="0.25">
      <c r="A3824" s="5"/>
    </row>
    <row r="3825" spans="1:1" x14ac:dyDescent="0.25">
      <c r="A3825" s="5"/>
    </row>
    <row r="3826" spans="1:1" x14ac:dyDescent="0.25">
      <c r="A3826" s="5"/>
    </row>
    <row r="3827" spans="1:1" x14ac:dyDescent="0.25">
      <c r="A3827" s="5"/>
    </row>
    <row r="3828" spans="1:1" x14ac:dyDescent="0.25">
      <c r="A3828" s="5"/>
    </row>
    <row r="3829" spans="1:1" x14ac:dyDescent="0.25">
      <c r="A3829" s="5"/>
    </row>
    <row r="3830" spans="1:1" x14ac:dyDescent="0.25">
      <c r="A3830" s="5"/>
    </row>
    <row r="3831" spans="1:1" x14ac:dyDescent="0.25">
      <c r="A3831" s="5"/>
    </row>
    <row r="3832" spans="1:1" x14ac:dyDescent="0.25">
      <c r="A3832" s="5"/>
    </row>
    <row r="3833" spans="1:1" x14ac:dyDescent="0.25">
      <c r="A3833" s="5"/>
    </row>
    <row r="3834" spans="1:1" x14ac:dyDescent="0.25">
      <c r="A3834" s="5"/>
    </row>
    <row r="3835" spans="1:1" x14ac:dyDescent="0.25">
      <c r="A3835" s="5"/>
    </row>
    <row r="3836" spans="1:1" x14ac:dyDescent="0.25">
      <c r="A3836" s="5"/>
    </row>
    <row r="3837" spans="1:1" x14ac:dyDescent="0.25">
      <c r="A3837" s="5"/>
    </row>
    <row r="3838" spans="1:1" x14ac:dyDescent="0.25">
      <c r="A3838" s="5"/>
    </row>
    <row r="3839" spans="1:1" x14ac:dyDescent="0.25">
      <c r="A3839" s="5"/>
    </row>
    <row r="3840" spans="1:1" x14ac:dyDescent="0.25">
      <c r="A3840" s="5"/>
    </row>
    <row r="3841" spans="1:1" x14ac:dyDescent="0.25">
      <c r="A3841" s="5"/>
    </row>
    <row r="3842" spans="1:1" x14ac:dyDescent="0.25">
      <c r="A3842" s="5"/>
    </row>
    <row r="3843" spans="1:1" x14ac:dyDescent="0.25">
      <c r="A3843" s="5"/>
    </row>
    <row r="3844" spans="1:1" x14ac:dyDescent="0.25">
      <c r="A3844" s="5"/>
    </row>
    <row r="3845" spans="1:1" x14ac:dyDescent="0.25">
      <c r="A3845" s="5"/>
    </row>
    <row r="3846" spans="1:1" x14ac:dyDescent="0.25">
      <c r="A3846" s="5"/>
    </row>
    <row r="3847" spans="1:1" x14ac:dyDescent="0.25">
      <c r="A3847" s="5"/>
    </row>
    <row r="3848" spans="1:1" x14ac:dyDescent="0.25">
      <c r="A3848" s="5"/>
    </row>
    <row r="3849" spans="1:1" x14ac:dyDescent="0.25">
      <c r="A3849" s="5"/>
    </row>
    <row r="3850" spans="1:1" x14ac:dyDescent="0.25">
      <c r="A3850" s="5"/>
    </row>
    <row r="3851" spans="1:1" x14ac:dyDescent="0.25">
      <c r="A3851" s="5"/>
    </row>
    <row r="3852" spans="1:1" x14ac:dyDescent="0.25">
      <c r="A3852" s="5"/>
    </row>
    <row r="3853" spans="1:1" x14ac:dyDescent="0.25">
      <c r="A3853" s="5"/>
    </row>
    <row r="3854" spans="1:1" x14ac:dyDescent="0.25">
      <c r="A3854" s="5"/>
    </row>
    <row r="3855" spans="1:1" x14ac:dyDescent="0.25">
      <c r="A3855" s="5"/>
    </row>
    <row r="3856" spans="1:1" x14ac:dyDescent="0.25">
      <c r="A3856" s="5"/>
    </row>
    <row r="3857" spans="1:1" x14ac:dyDescent="0.25">
      <c r="A3857" s="5"/>
    </row>
    <row r="3858" spans="1:1" x14ac:dyDescent="0.25">
      <c r="A3858" s="5"/>
    </row>
    <row r="3859" spans="1:1" x14ac:dyDescent="0.25">
      <c r="A3859" s="5"/>
    </row>
    <row r="3860" spans="1:1" x14ac:dyDescent="0.25">
      <c r="A3860" s="5"/>
    </row>
    <row r="3861" spans="1:1" x14ac:dyDescent="0.25">
      <c r="A3861" s="5"/>
    </row>
    <row r="3862" spans="1:1" x14ac:dyDescent="0.25">
      <c r="A3862" s="5"/>
    </row>
    <row r="3863" spans="1:1" x14ac:dyDescent="0.25">
      <c r="A3863" s="5"/>
    </row>
    <row r="3864" spans="1:1" x14ac:dyDescent="0.25">
      <c r="A3864" s="5"/>
    </row>
    <row r="3865" spans="1:1" x14ac:dyDescent="0.25">
      <c r="A3865" s="5"/>
    </row>
    <row r="3866" spans="1:1" x14ac:dyDescent="0.25">
      <c r="A3866" s="5"/>
    </row>
    <row r="3867" spans="1:1" x14ac:dyDescent="0.25">
      <c r="A3867" s="5"/>
    </row>
    <row r="3868" spans="1:1" x14ac:dyDescent="0.25">
      <c r="A3868" s="5"/>
    </row>
    <row r="3869" spans="1:1" x14ac:dyDescent="0.25">
      <c r="A3869" s="5"/>
    </row>
    <row r="3870" spans="1:1" x14ac:dyDescent="0.25">
      <c r="A3870" s="5"/>
    </row>
    <row r="3871" spans="1:1" x14ac:dyDescent="0.25">
      <c r="A3871" s="5"/>
    </row>
    <row r="3872" spans="1:1" x14ac:dyDescent="0.25">
      <c r="A3872" s="5"/>
    </row>
    <row r="3873" spans="1:1" x14ac:dyDescent="0.25">
      <c r="A3873" s="5"/>
    </row>
    <row r="3874" spans="1:1" x14ac:dyDescent="0.25">
      <c r="A3874" s="5"/>
    </row>
    <row r="3875" spans="1:1" x14ac:dyDescent="0.25">
      <c r="A3875" s="5"/>
    </row>
    <row r="3876" spans="1:1" x14ac:dyDescent="0.25">
      <c r="A3876" s="5"/>
    </row>
    <row r="3877" spans="1:1" x14ac:dyDescent="0.25">
      <c r="A3877" s="5"/>
    </row>
    <row r="3878" spans="1:1" x14ac:dyDescent="0.25">
      <c r="A3878" s="5"/>
    </row>
    <row r="3879" spans="1:1" x14ac:dyDescent="0.25">
      <c r="A3879" s="5"/>
    </row>
    <row r="3880" spans="1:1" x14ac:dyDescent="0.25">
      <c r="A3880" s="5"/>
    </row>
    <row r="3881" spans="1:1" x14ac:dyDescent="0.25">
      <c r="A3881" s="5"/>
    </row>
    <row r="3882" spans="1:1" x14ac:dyDescent="0.25">
      <c r="A3882" s="5"/>
    </row>
    <row r="3883" spans="1:1" x14ac:dyDescent="0.25">
      <c r="A3883" s="5"/>
    </row>
    <row r="3884" spans="1:1" x14ac:dyDescent="0.25">
      <c r="A3884" s="5"/>
    </row>
    <row r="3885" spans="1:1" x14ac:dyDescent="0.25">
      <c r="A3885" s="5"/>
    </row>
    <row r="3886" spans="1:1" x14ac:dyDescent="0.25">
      <c r="A3886" s="5"/>
    </row>
    <row r="3887" spans="1:1" x14ac:dyDescent="0.25">
      <c r="A3887" s="5"/>
    </row>
    <row r="3888" spans="1:1" x14ac:dyDescent="0.25">
      <c r="A3888" s="5"/>
    </row>
    <row r="3889" spans="1:1" x14ac:dyDescent="0.25">
      <c r="A3889" s="5"/>
    </row>
    <row r="3890" spans="1:1" x14ac:dyDescent="0.25">
      <c r="A3890" s="5"/>
    </row>
    <row r="3891" spans="1:1" x14ac:dyDescent="0.25">
      <c r="A3891" s="5"/>
    </row>
    <row r="3892" spans="1:1" x14ac:dyDescent="0.25">
      <c r="A3892" s="5"/>
    </row>
    <row r="3893" spans="1:1" x14ac:dyDescent="0.25">
      <c r="A3893" s="5"/>
    </row>
    <row r="3894" spans="1:1" x14ac:dyDescent="0.25">
      <c r="A3894" s="5"/>
    </row>
    <row r="3895" spans="1:1" x14ac:dyDescent="0.25">
      <c r="A3895" s="5"/>
    </row>
    <row r="3896" spans="1:1" x14ac:dyDescent="0.25">
      <c r="A3896" s="5"/>
    </row>
    <row r="3897" spans="1:1" x14ac:dyDescent="0.25">
      <c r="A3897" s="5"/>
    </row>
    <row r="3898" spans="1:1" x14ac:dyDescent="0.25">
      <c r="A3898" s="5"/>
    </row>
    <row r="3899" spans="1:1" x14ac:dyDescent="0.25">
      <c r="A3899" s="5"/>
    </row>
    <row r="3900" spans="1:1" x14ac:dyDescent="0.25">
      <c r="A3900" s="5"/>
    </row>
    <row r="3901" spans="1:1" x14ac:dyDescent="0.25">
      <c r="A3901" s="5"/>
    </row>
    <row r="3902" spans="1:1" x14ac:dyDescent="0.25">
      <c r="A3902" s="5"/>
    </row>
    <row r="3903" spans="1:1" x14ac:dyDescent="0.25">
      <c r="A3903" s="5"/>
    </row>
    <row r="3904" spans="1:1" x14ac:dyDescent="0.25">
      <c r="A3904" s="5"/>
    </row>
    <row r="3905" spans="1:1" x14ac:dyDescent="0.25">
      <c r="A3905" s="5"/>
    </row>
    <row r="3906" spans="1:1" x14ac:dyDescent="0.25">
      <c r="A3906" s="5"/>
    </row>
    <row r="3907" spans="1:1" x14ac:dyDescent="0.25">
      <c r="A3907" s="5"/>
    </row>
    <row r="3908" spans="1:1" x14ac:dyDescent="0.25">
      <c r="A3908" s="5"/>
    </row>
    <row r="3909" spans="1:1" x14ac:dyDescent="0.25">
      <c r="A3909" s="5"/>
    </row>
    <row r="3910" spans="1:1" x14ac:dyDescent="0.25">
      <c r="A3910" s="5"/>
    </row>
    <row r="3911" spans="1:1" x14ac:dyDescent="0.25">
      <c r="A3911" s="5"/>
    </row>
    <row r="3912" spans="1:1" x14ac:dyDescent="0.25">
      <c r="A3912" s="5"/>
    </row>
    <row r="3913" spans="1:1" x14ac:dyDescent="0.25">
      <c r="A3913" s="5"/>
    </row>
    <row r="3914" spans="1:1" x14ac:dyDescent="0.25">
      <c r="A3914" s="5"/>
    </row>
    <row r="3915" spans="1:1" x14ac:dyDescent="0.25">
      <c r="A3915" s="5"/>
    </row>
    <row r="3916" spans="1:1" x14ac:dyDescent="0.25">
      <c r="A3916" s="5"/>
    </row>
    <row r="3917" spans="1:1" x14ac:dyDescent="0.25">
      <c r="A3917" s="5"/>
    </row>
    <row r="3918" spans="1:1" x14ac:dyDescent="0.25">
      <c r="A3918" s="5"/>
    </row>
    <row r="3919" spans="1:1" x14ac:dyDescent="0.25">
      <c r="A3919" s="5"/>
    </row>
    <row r="3920" spans="1:1" x14ac:dyDescent="0.25">
      <c r="A3920" s="5"/>
    </row>
    <row r="3921" spans="1:1" x14ac:dyDescent="0.25">
      <c r="A3921" s="5"/>
    </row>
    <row r="3922" spans="1:1" x14ac:dyDescent="0.25">
      <c r="A3922" s="5"/>
    </row>
    <row r="3923" spans="1:1" x14ac:dyDescent="0.25">
      <c r="A3923" s="5"/>
    </row>
    <row r="3924" spans="1:1" x14ac:dyDescent="0.25">
      <c r="A3924" s="5"/>
    </row>
    <row r="3925" spans="1:1" x14ac:dyDescent="0.25">
      <c r="A3925" s="5"/>
    </row>
    <row r="3926" spans="1:1" x14ac:dyDescent="0.25">
      <c r="A3926" s="5"/>
    </row>
    <row r="3927" spans="1:1" x14ac:dyDescent="0.25">
      <c r="A3927" s="5"/>
    </row>
    <row r="3928" spans="1:1" x14ac:dyDescent="0.25">
      <c r="A3928" s="5"/>
    </row>
    <row r="3929" spans="1:1" x14ac:dyDescent="0.25">
      <c r="A3929" s="5"/>
    </row>
    <row r="3930" spans="1:1" x14ac:dyDescent="0.25">
      <c r="A3930" s="5"/>
    </row>
    <row r="3931" spans="1:1" x14ac:dyDescent="0.25">
      <c r="A3931" s="5"/>
    </row>
    <row r="3932" spans="1:1" x14ac:dyDescent="0.25">
      <c r="A3932" s="5"/>
    </row>
    <row r="3933" spans="1:1" x14ac:dyDescent="0.25">
      <c r="A3933" s="5"/>
    </row>
    <row r="3934" spans="1:1" x14ac:dyDescent="0.25">
      <c r="A3934" s="5"/>
    </row>
    <row r="3935" spans="1:1" x14ac:dyDescent="0.25">
      <c r="A3935" s="5"/>
    </row>
    <row r="3936" spans="1:1" x14ac:dyDescent="0.25">
      <c r="A3936" s="5"/>
    </row>
    <row r="3937" spans="1:1" x14ac:dyDescent="0.25">
      <c r="A3937" s="5"/>
    </row>
    <row r="3938" spans="1:1" x14ac:dyDescent="0.25">
      <c r="A3938" s="5"/>
    </row>
    <row r="3939" spans="1:1" x14ac:dyDescent="0.25">
      <c r="A3939" s="5"/>
    </row>
    <row r="3940" spans="1:1" x14ac:dyDescent="0.25">
      <c r="A3940" s="5"/>
    </row>
    <row r="3941" spans="1:1" x14ac:dyDescent="0.25">
      <c r="A3941" s="5"/>
    </row>
    <row r="3942" spans="1:1" x14ac:dyDescent="0.25">
      <c r="A3942" s="5"/>
    </row>
    <row r="3943" spans="1:1" x14ac:dyDescent="0.25">
      <c r="A3943" s="5"/>
    </row>
    <row r="3944" spans="1:1" x14ac:dyDescent="0.25">
      <c r="A3944" s="5"/>
    </row>
    <row r="3945" spans="1:1" x14ac:dyDescent="0.25">
      <c r="A3945" s="5"/>
    </row>
    <row r="3946" spans="1:1" x14ac:dyDescent="0.25">
      <c r="A3946" s="5"/>
    </row>
    <row r="3947" spans="1:1" x14ac:dyDescent="0.25">
      <c r="A3947" s="5"/>
    </row>
    <row r="3948" spans="1:1" x14ac:dyDescent="0.25">
      <c r="A3948" s="5"/>
    </row>
    <row r="3949" spans="1:1" x14ac:dyDescent="0.25">
      <c r="A3949" s="5"/>
    </row>
    <row r="3950" spans="1:1" x14ac:dyDescent="0.25">
      <c r="A3950" s="5"/>
    </row>
    <row r="3951" spans="1:1" x14ac:dyDescent="0.25">
      <c r="A3951" s="5"/>
    </row>
    <row r="3952" spans="1:1" x14ac:dyDescent="0.25">
      <c r="A3952" s="5"/>
    </row>
    <row r="3953" spans="1:1" x14ac:dyDescent="0.25">
      <c r="A3953" s="5"/>
    </row>
    <row r="3954" spans="1:1" x14ac:dyDescent="0.25">
      <c r="A3954" s="5"/>
    </row>
    <row r="3955" spans="1:1" x14ac:dyDescent="0.25">
      <c r="A3955" s="5"/>
    </row>
    <row r="3956" spans="1:1" x14ac:dyDescent="0.25">
      <c r="A3956" s="5"/>
    </row>
    <row r="3957" spans="1:1" x14ac:dyDescent="0.25">
      <c r="A3957" s="5"/>
    </row>
    <row r="3958" spans="1:1" x14ac:dyDescent="0.25">
      <c r="A3958" s="5"/>
    </row>
    <row r="3959" spans="1:1" x14ac:dyDescent="0.25">
      <c r="A3959" s="5"/>
    </row>
    <row r="3960" spans="1:1" x14ac:dyDescent="0.25">
      <c r="A3960" s="5"/>
    </row>
    <row r="3961" spans="1:1" x14ac:dyDescent="0.25">
      <c r="A3961" s="5"/>
    </row>
    <row r="3962" spans="1:1" x14ac:dyDescent="0.25">
      <c r="A3962" s="5"/>
    </row>
    <row r="3963" spans="1:1" x14ac:dyDescent="0.25">
      <c r="A3963" s="5"/>
    </row>
    <row r="3964" spans="1:1" x14ac:dyDescent="0.25">
      <c r="A3964" s="5"/>
    </row>
    <row r="3965" spans="1:1" x14ac:dyDescent="0.25">
      <c r="A3965" s="5"/>
    </row>
    <row r="3966" spans="1:1" x14ac:dyDescent="0.25">
      <c r="A3966" s="5"/>
    </row>
    <row r="3967" spans="1:1" x14ac:dyDescent="0.25">
      <c r="A3967" s="5"/>
    </row>
    <row r="3968" spans="1:1" x14ac:dyDescent="0.25">
      <c r="A3968" s="5"/>
    </row>
    <row r="3969" spans="1:1" x14ac:dyDescent="0.25">
      <c r="A3969" s="5"/>
    </row>
    <row r="3970" spans="1:1" x14ac:dyDescent="0.25">
      <c r="A3970" s="5"/>
    </row>
    <row r="3971" spans="1:1" x14ac:dyDescent="0.25">
      <c r="A3971" s="5"/>
    </row>
    <row r="3972" spans="1:1" x14ac:dyDescent="0.25">
      <c r="A3972" s="5"/>
    </row>
    <row r="3973" spans="1:1" x14ac:dyDescent="0.25">
      <c r="A3973" s="5"/>
    </row>
    <row r="3974" spans="1:1" x14ac:dyDescent="0.25">
      <c r="A3974" s="5"/>
    </row>
    <row r="3975" spans="1:1" x14ac:dyDescent="0.25">
      <c r="A3975" s="5"/>
    </row>
    <row r="3976" spans="1:1" x14ac:dyDescent="0.25">
      <c r="A3976" s="5"/>
    </row>
    <row r="3977" spans="1:1" x14ac:dyDescent="0.25">
      <c r="A3977" s="5"/>
    </row>
    <row r="3978" spans="1:1" x14ac:dyDescent="0.25">
      <c r="A3978" s="5"/>
    </row>
    <row r="3979" spans="1:1" x14ac:dyDescent="0.25">
      <c r="A3979" s="5"/>
    </row>
    <row r="3980" spans="1:1" x14ac:dyDescent="0.25">
      <c r="A3980" s="5"/>
    </row>
    <row r="3981" spans="1:1" x14ac:dyDescent="0.25">
      <c r="A3981" s="5"/>
    </row>
    <row r="3982" spans="1:1" x14ac:dyDescent="0.25">
      <c r="A3982" s="5"/>
    </row>
    <row r="3983" spans="1:1" x14ac:dyDescent="0.25">
      <c r="A3983" s="5"/>
    </row>
    <row r="3984" spans="1:1" x14ac:dyDescent="0.25">
      <c r="A3984" s="5"/>
    </row>
    <row r="3985" spans="1:1" x14ac:dyDescent="0.25">
      <c r="A3985" s="5"/>
    </row>
    <row r="3986" spans="1:1" x14ac:dyDescent="0.25">
      <c r="A3986" s="5"/>
    </row>
    <row r="3987" spans="1:1" x14ac:dyDescent="0.25">
      <c r="A3987" s="5"/>
    </row>
    <row r="3988" spans="1:1" x14ac:dyDescent="0.25">
      <c r="A3988" s="5"/>
    </row>
    <row r="3989" spans="1:1" x14ac:dyDescent="0.25">
      <c r="A3989" s="5"/>
    </row>
    <row r="3990" spans="1:1" x14ac:dyDescent="0.25">
      <c r="A3990" s="5"/>
    </row>
    <row r="3991" spans="1:1" x14ac:dyDescent="0.25">
      <c r="A3991" s="5"/>
    </row>
    <row r="3992" spans="1:1" x14ac:dyDescent="0.25">
      <c r="A3992" s="5"/>
    </row>
    <row r="3993" spans="1:1" x14ac:dyDescent="0.25">
      <c r="A3993" s="5"/>
    </row>
    <row r="3994" spans="1:1" x14ac:dyDescent="0.25">
      <c r="A3994" s="5"/>
    </row>
    <row r="3995" spans="1:1" x14ac:dyDescent="0.25">
      <c r="A3995" s="5"/>
    </row>
    <row r="3996" spans="1:1" x14ac:dyDescent="0.25">
      <c r="A3996" s="5"/>
    </row>
    <row r="3997" spans="1:1" x14ac:dyDescent="0.25">
      <c r="A3997" s="5"/>
    </row>
    <row r="3998" spans="1:1" x14ac:dyDescent="0.25">
      <c r="A3998" s="5"/>
    </row>
    <row r="3999" spans="1:1" x14ac:dyDescent="0.25">
      <c r="A3999" s="5"/>
    </row>
    <row r="4000" spans="1:1" x14ac:dyDescent="0.25">
      <c r="A4000" s="5"/>
    </row>
    <row r="4001" spans="1:1" x14ac:dyDescent="0.25">
      <c r="A4001" s="5"/>
    </row>
    <row r="4002" spans="1:1" x14ac:dyDescent="0.25">
      <c r="A4002" s="5"/>
    </row>
    <row r="4003" spans="1:1" x14ac:dyDescent="0.25">
      <c r="A4003" s="5"/>
    </row>
    <row r="4004" spans="1:1" x14ac:dyDescent="0.25">
      <c r="A4004" s="5"/>
    </row>
    <row r="4005" spans="1:1" x14ac:dyDescent="0.25">
      <c r="A4005" s="5"/>
    </row>
    <row r="4006" spans="1:1" x14ac:dyDescent="0.25">
      <c r="A4006" s="5"/>
    </row>
    <row r="4007" spans="1:1" x14ac:dyDescent="0.25">
      <c r="A4007" s="5"/>
    </row>
    <row r="4008" spans="1:1" x14ac:dyDescent="0.25">
      <c r="A4008" s="5"/>
    </row>
    <row r="4009" spans="1:1" x14ac:dyDescent="0.25">
      <c r="A4009" s="5"/>
    </row>
    <row r="4010" spans="1:1" x14ac:dyDescent="0.25">
      <c r="A4010" s="5"/>
    </row>
    <row r="4011" spans="1:1" x14ac:dyDescent="0.25">
      <c r="A4011" s="5"/>
    </row>
    <row r="4012" spans="1:1" x14ac:dyDescent="0.25">
      <c r="A4012" s="5"/>
    </row>
    <row r="4013" spans="1:1" x14ac:dyDescent="0.25">
      <c r="A4013" s="5"/>
    </row>
    <row r="4014" spans="1:1" x14ac:dyDescent="0.25">
      <c r="A4014" s="5"/>
    </row>
    <row r="4015" spans="1:1" x14ac:dyDescent="0.25">
      <c r="A4015" s="5"/>
    </row>
    <row r="4016" spans="1:1" x14ac:dyDescent="0.25">
      <c r="A4016" s="5"/>
    </row>
    <row r="4017" spans="1:1" x14ac:dyDescent="0.25">
      <c r="A4017" s="5"/>
    </row>
    <row r="4018" spans="1:1" x14ac:dyDescent="0.25">
      <c r="A4018" s="5"/>
    </row>
    <row r="4019" spans="1:1" x14ac:dyDescent="0.25">
      <c r="A4019" s="5"/>
    </row>
    <row r="4020" spans="1:1" x14ac:dyDescent="0.25">
      <c r="A4020" s="5"/>
    </row>
    <row r="4021" spans="1:1" x14ac:dyDescent="0.25">
      <c r="A4021" s="5"/>
    </row>
    <row r="4022" spans="1:1" x14ac:dyDescent="0.25">
      <c r="A4022" s="5"/>
    </row>
    <row r="4023" spans="1:1" x14ac:dyDescent="0.25">
      <c r="A4023" s="5"/>
    </row>
    <row r="4024" spans="1:1" x14ac:dyDescent="0.25">
      <c r="A4024" s="5"/>
    </row>
    <row r="4025" spans="1:1" x14ac:dyDescent="0.25">
      <c r="A4025" s="5"/>
    </row>
    <row r="4026" spans="1:1" x14ac:dyDescent="0.25">
      <c r="A4026" s="5"/>
    </row>
    <row r="4027" spans="1:1" x14ac:dyDescent="0.25">
      <c r="A4027" s="5"/>
    </row>
    <row r="4028" spans="1:1" x14ac:dyDescent="0.25">
      <c r="A4028" s="5"/>
    </row>
    <row r="4029" spans="1:1" x14ac:dyDescent="0.25">
      <c r="A4029" s="5"/>
    </row>
    <row r="4030" spans="1:1" x14ac:dyDescent="0.25">
      <c r="A4030" s="5"/>
    </row>
    <row r="4031" spans="1:1" x14ac:dyDescent="0.25">
      <c r="A4031" s="5"/>
    </row>
    <row r="4032" spans="1:1" x14ac:dyDescent="0.25">
      <c r="A4032" s="5"/>
    </row>
    <row r="4033" spans="1:1" x14ac:dyDescent="0.25">
      <c r="A4033" s="5"/>
    </row>
    <row r="4034" spans="1:1" x14ac:dyDescent="0.25">
      <c r="A4034" s="5"/>
    </row>
    <row r="4035" spans="1:1" x14ac:dyDescent="0.25">
      <c r="A4035" s="5"/>
    </row>
    <row r="4036" spans="1:1" x14ac:dyDescent="0.25">
      <c r="A4036" s="5"/>
    </row>
    <row r="4037" spans="1:1" x14ac:dyDescent="0.25">
      <c r="A4037" s="5"/>
    </row>
    <row r="4038" spans="1:1" x14ac:dyDescent="0.25">
      <c r="A4038" s="5"/>
    </row>
    <row r="4039" spans="1:1" x14ac:dyDescent="0.25">
      <c r="A4039" s="5"/>
    </row>
    <row r="4040" spans="1:1" x14ac:dyDescent="0.25">
      <c r="A4040" s="5"/>
    </row>
    <row r="4041" spans="1:1" x14ac:dyDescent="0.25">
      <c r="A4041" s="5"/>
    </row>
    <row r="4042" spans="1:1" x14ac:dyDescent="0.25">
      <c r="A4042" s="5"/>
    </row>
    <row r="4043" spans="1:1" x14ac:dyDescent="0.25">
      <c r="A4043" s="5"/>
    </row>
    <row r="4044" spans="1:1" x14ac:dyDescent="0.25">
      <c r="A4044" s="5"/>
    </row>
    <row r="4045" spans="1:1" x14ac:dyDescent="0.25">
      <c r="A4045" s="5"/>
    </row>
    <row r="4046" spans="1:1" x14ac:dyDescent="0.25">
      <c r="A4046" s="5"/>
    </row>
    <row r="4047" spans="1:1" x14ac:dyDescent="0.25">
      <c r="A4047" s="5"/>
    </row>
    <row r="4048" spans="1:1" x14ac:dyDescent="0.25">
      <c r="A4048" s="5"/>
    </row>
    <row r="4049" spans="1:1" x14ac:dyDescent="0.25">
      <c r="A4049" s="5"/>
    </row>
    <row r="4050" spans="1:1" x14ac:dyDescent="0.25">
      <c r="A4050" s="5"/>
    </row>
    <row r="4051" spans="1:1" x14ac:dyDescent="0.25">
      <c r="A4051" s="5"/>
    </row>
    <row r="4052" spans="1:1" x14ac:dyDescent="0.25">
      <c r="A4052" s="5"/>
    </row>
    <row r="4053" spans="1:1" x14ac:dyDescent="0.25">
      <c r="A4053" s="5"/>
    </row>
    <row r="4054" spans="1:1" x14ac:dyDescent="0.25">
      <c r="A4054" s="5"/>
    </row>
    <row r="4055" spans="1:1" x14ac:dyDescent="0.25">
      <c r="A4055" s="5"/>
    </row>
    <row r="4056" spans="1:1" x14ac:dyDescent="0.25">
      <c r="A4056" s="5"/>
    </row>
    <row r="4057" spans="1:1" x14ac:dyDescent="0.25">
      <c r="A4057" s="5"/>
    </row>
    <row r="4058" spans="1:1" x14ac:dyDescent="0.25">
      <c r="A4058" s="5"/>
    </row>
    <row r="4059" spans="1:1" x14ac:dyDescent="0.25">
      <c r="A4059" s="5"/>
    </row>
    <row r="4060" spans="1:1" x14ac:dyDescent="0.25">
      <c r="A4060" s="5"/>
    </row>
    <row r="4061" spans="1:1" x14ac:dyDescent="0.25">
      <c r="A4061" s="5"/>
    </row>
    <row r="4062" spans="1:1" x14ac:dyDescent="0.25">
      <c r="A4062" s="5"/>
    </row>
    <row r="4063" spans="1:1" x14ac:dyDescent="0.25">
      <c r="A4063" s="5"/>
    </row>
    <row r="4064" spans="1:1" x14ac:dyDescent="0.25">
      <c r="A4064" s="5"/>
    </row>
    <row r="4065" spans="1:1" x14ac:dyDescent="0.25">
      <c r="A4065" s="5"/>
    </row>
    <row r="4066" spans="1:1" x14ac:dyDescent="0.25">
      <c r="A4066" s="5"/>
    </row>
    <row r="4067" spans="1:1" x14ac:dyDescent="0.25">
      <c r="A4067" s="5"/>
    </row>
    <row r="4068" spans="1:1" x14ac:dyDescent="0.25">
      <c r="A4068" s="5"/>
    </row>
    <row r="4069" spans="1:1" x14ac:dyDescent="0.25">
      <c r="A4069" s="5"/>
    </row>
    <row r="4070" spans="1:1" x14ac:dyDescent="0.25">
      <c r="A4070" s="5"/>
    </row>
    <row r="4071" spans="1:1" x14ac:dyDescent="0.25">
      <c r="A4071" s="5"/>
    </row>
    <row r="4072" spans="1:1" x14ac:dyDescent="0.25">
      <c r="A4072" s="5"/>
    </row>
    <row r="4073" spans="1:1" x14ac:dyDescent="0.25">
      <c r="A4073" s="5"/>
    </row>
    <row r="4074" spans="1:1" x14ac:dyDescent="0.25">
      <c r="A4074" s="5"/>
    </row>
    <row r="4075" spans="1:1" x14ac:dyDescent="0.25">
      <c r="A4075" s="5"/>
    </row>
    <row r="4076" spans="1:1" x14ac:dyDescent="0.25">
      <c r="A4076" s="5"/>
    </row>
    <row r="4077" spans="1:1" x14ac:dyDescent="0.25">
      <c r="A4077" s="5"/>
    </row>
    <row r="4078" spans="1:1" x14ac:dyDescent="0.25">
      <c r="A4078" s="5"/>
    </row>
    <row r="4079" spans="1:1" x14ac:dyDescent="0.25">
      <c r="A4079" s="5"/>
    </row>
    <row r="4080" spans="1:1" x14ac:dyDescent="0.25">
      <c r="A4080" s="5"/>
    </row>
    <row r="4081" spans="1:1" x14ac:dyDescent="0.25">
      <c r="A4081" s="5"/>
    </row>
    <row r="4082" spans="1:1" x14ac:dyDescent="0.25">
      <c r="A4082" s="5"/>
    </row>
    <row r="4083" spans="1:1" x14ac:dyDescent="0.25">
      <c r="A4083" s="5"/>
    </row>
    <row r="4084" spans="1:1" x14ac:dyDescent="0.25">
      <c r="A4084" s="5"/>
    </row>
    <row r="4085" spans="1:1" x14ac:dyDescent="0.25">
      <c r="A4085" s="5"/>
    </row>
    <row r="4086" spans="1:1" x14ac:dyDescent="0.25">
      <c r="A4086" s="5"/>
    </row>
    <row r="4087" spans="1:1" x14ac:dyDescent="0.25">
      <c r="A4087" s="5"/>
    </row>
    <row r="4088" spans="1:1" x14ac:dyDescent="0.25">
      <c r="A4088" s="5"/>
    </row>
    <row r="4089" spans="1:1" x14ac:dyDescent="0.25">
      <c r="A4089" s="5"/>
    </row>
    <row r="4090" spans="1:1" x14ac:dyDescent="0.25">
      <c r="A4090" s="5"/>
    </row>
    <row r="4091" spans="1:1" x14ac:dyDescent="0.25">
      <c r="A4091" s="5"/>
    </row>
    <row r="4092" spans="1:1" x14ac:dyDescent="0.25">
      <c r="A4092" s="5"/>
    </row>
    <row r="4093" spans="1:1" x14ac:dyDescent="0.25">
      <c r="A4093" s="5"/>
    </row>
    <row r="4094" spans="1:1" x14ac:dyDescent="0.25">
      <c r="A4094" s="5"/>
    </row>
    <row r="4095" spans="1:1" x14ac:dyDescent="0.25">
      <c r="A4095" s="5"/>
    </row>
    <row r="4096" spans="1:1" x14ac:dyDescent="0.25">
      <c r="A4096" s="5"/>
    </row>
    <row r="4097" spans="1:1" x14ac:dyDescent="0.25">
      <c r="A4097" s="5"/>
    </row>
    <row r="4098" spans="1:1" x14ac:dyDescent="0.25">
      <c r="A4098" s="5"/>
    </row>
    <row r="4099" spans="1:1" x14ac:dyDescent="0.25">
      <c r="A4099" s="5"/>
    </row>
    <row r="4100" spans="1:1" x14ac:dyDescent="0.25">
      <c r="A4100" s="5"/>
    </row>
    <row r="4101" spans="1:1" x14ac:dyDescent="0.25">
      <c r="A4101" s="5"/>
    </row>
    <row r="4102" spans="1:1" x14ac:dyDescent="0.25">
      <c r="A4102" s="5"/>
    </row>
    <row r="4103" spans="1:1" x14ac:dyDescent="0.25">
      <c r="A4103" s="5"/>
    </row>
    <row r="4104" spans="1:1" x14ac:dyDescent="0.25">
      <c r="A4104" s="5"/>
    </row>
    <row r="4105" spans="1:1" x14ac:dyDescent="0.25">
      <c r="A4105" s="5"/>
    </row>
    <row r="4106" spans="1:1" x14ac:dyDescent="0.25">
      <c r="A4106" s="5"/>
    </row>
    <row r="4107" spans="1:1" x14ac:dyDescent="0.25">
      <c r="A4107" s="5"/>
    </row>
    <row r="4108" spans="1:1" x14ac:dyDescent="0.25">
      <c r="A4108" s="5"/>
    </row>
    <row r="4109" spans="1:1" x14ac:dyDescent="0.25">
      <c r="A4109" s="5"/>
    </row>
    <row r="4110" spans="1:1" x14ac:dyDescent="0.25">
      <c r="A4110" s="5"/>
    </row>
    <row r="4111" spans="1:1" x14ac:dyDescent="0.25">
      <c r="A4111" s="5"/>
    </row>
    <row r="4112" spans="1:1" x14ac:dyDescent="0.25">
      <c r="A4112" s="5"/>
    </row>
    <row r="4113" spans="1:1" x14ac:dyDescent="0.25">
      <c r="A4113" s="5"/>
    </row>
    <row r="4114" spans="1:1" x14ac:dyDescent="0.25">
      <c r="A4114" s="5"/>
    </row>
    <row r="4115" spans="1:1" x14ac:dyDescent="0.25">
      <c r="A4115" s="5"/>
    </row>
    <row r="4116" spans="1:1" x14ac:dyDescent="0.25">
      <c r="A4116" s="5"/>
    </row>
    <row r="4117" spans="1:1" x14ac:dyDescent="0.25">
      <c r="A4117" s="5"/>
    </row>
    <row r="4118" spans="1:1" x14ac:dyDescent="0.25">
      <c r="A4118" s="5"/>
    </row>
    <row r="4119" spans="1:1" x14ac:dyDescent="0.25">
      <c r="A4119" s="5"/>
    </row>
    <row r="4120" spans="1:1" x14ac:dyDescent="0.25">
      <c r="A4120" s="5"/>
    </row>
    <row r="4121" spans="1:1" x14ac:dyDescent="0.25">
      <c r="A4121" s="5"/>
    </row>
    <row r="4122" spans="1:1" x14ac:dyDescent="0.25">
      <c r="A4122" s="5"/>
    </row>
    <row r="4123" spans="1:1" x14ac:dyDescent="0.25">
      <c r="A4123" s="5"/>
    </row>
    <row r="4124" spans="1:1" x14ac:dyDescent="0.25">
      <c r="A4124" s="5"/>
    </row>
    <row r="4125" spans="1:1" x14ac:dyDescent="0.25">
      <c r="A4125" s="5"/>
    </row>
    <row r="4126" spans="1:1" x14ac:dyDescent="0.25">
      <c r="A4126" s="5"/>
    </row>
    <row r="4127" spans="1:1" x14ac:dyDescent="0.25">
      <c r="A4127" s="5"/>
    </row>
    <row r="4128" spans="1:1" x14ac:dyDescent="0.25">
      <c r="A4128" s="5"/>
    </row>
    <row r="4129" spans="1:1" x14ac:dyDescent="0.25">
      <c r="A4129" s="5"/>
    </row>
    <row r="4130" spans="1:1" x14ac:dyDescent="0.25">
      <c r="A4130" s="5"/>
    </row>
    <row r="4131" spans="1:1" x14ac:dyDescent="0.25">
      <c r="A4131" s="5"/>
    </row>
    <row r="4132" spans="1:1" x14ac:dyDescent="0.25">
      <c r="A4132" s="5"/>
    </row>
    <row r="4133" spans="1:1" x14ac:dyDescent="0.25">
      <c r="A4133" s="5"/>
    </row>
    <row r="4134" spans="1:1" x14ac:dyDescent="0.25">
      <c r="A4134" s="5"/>
    </row>
    <row r="4135" spans="1:1" x14ac:dyDescent="0.25">
      <c r="A4135" s="5"/>
    </row>
    <row r="4136" spans="1:1" x14ac:dyDescent="0.25">
      <c r="A4136" s="5"/>
    </row>
    <row r="4137" spans="1:1" x14ac:dyDescent="0.25">
      <c r="A4137" s="5"/>
    </row>
    <row r="4138" spans="1:1" x14ac:dyDescent="0.25">
      <c r="A4138" s="5"/>
    </row>
    <row r="4139" spans="1:1" x14ac:dyDescent="0.25">
      <c r="A4139" s="5"/>
    </row>
    <row r="4140" spans="1:1" x14ac:dyDescent="0.25">
      <c r="A4140" s="5"/>
    </row>
    <row r="4141" spans="1:1" x14ac:dyDescent="0.25">
      <c r="A4141" s="5"/>
    </row>
    <row r="4142" spans="1:1" x14ac:dyDescent="0.25">
      <c r="A4142" s="5"/>
    </row>
    <row r="4143" spans="1:1" x14ac:dyDescent="0.25">
      <c r="A4143" s="5"/>
    </row>
    <row r="4144" spans="1:1" x14ac:dyDescent="0.25">
      <c r="A4144" s="5"/>
    </row>
    <row r="4145" spans="1:1" x14ac:dyDescent="0.25">
      <c r="A4145" s="5"/>
    </row>
    <row r="4146" spans="1:1" x14ac:dyDescent="0.25">
      <c r="A4146" s="5"/>
    </row>
    <row r="4147" spans="1:1" x14ac:dyDescent="0.25">
      <c r="A4147" s="5"/>
    </row>
    <row r="4148" spans="1:1" x14ac:dyDescent="0.25">
      <c r="A4148" s="5"/>
    </row>
    <row r="4149" spans="1:1" x14ac:dyDescent="0.25">
      <c r="A4149" s="5"/>
    </row>
    <row r="4150" spans="1:1" x14ac:dyDescent="0.25">
      <c r="A4150" s="5"/>
    </row>
    <row r="4151" spans="1:1" x14ac:dyDescent="0.25">
      <c r="A4151" s="5"/>
    </row>
    <row r="4152" spans="1:1" x14ac:dyDescent="0.25">
      <c r="A4152" s="5"/>
    </row>
    <row r="4153" spans="1:1" x14ac:dyDescent="0.25">
      <c r="A4153" s="5"/>
    </row>
    <row r="4154" spans="1:1" x14ac:dyDescent="0.25">
      <c r="A4154" s="5"/>
    </row>
    <row r="4155" spans="1:1" x14ac:dyDescent="0.25">
      <c r="A4155" s="5"/>
    </row>
    <row r="4156" spans="1:1" x14ac:dyDescent="0.25">
      <c r="A4156" s="5"/>
    </row>
    <row r="4157" spans="1:1" x14ac:dyDescent="0.25">
      <c r="A4157" s="5"/>
    </row>
    <row r="4158" spans="1:1" x14ac:dyDescent="0.25">
      <c r="A4158" s="5"/>
    </row>
    <row r="4159" spans="1:1" x14ac:dyDescent="0.25">
      <c r="A4159" s="5"/>
    </row>
    <row r="4160" spans="1:1" x14ac:dyDescent="0.25">
      <c r="A4160" s="5"/>
    </row>
    <row r="4161" spans="1:1" x14ac:dyDescent="0.25">
      <c r="A4161" s="5"/>
    </row>
    <row r="4162" spans="1:1" x14ac:dyDescent="0.25">
      <c r="A4162" s="5"/>
    </row>
    <row r="4163" spans="1:1" x14ac:dyDescent="0.25">
      <c r="A4163" s="5"/>
    </row>
    <row r="4164" spans="1:1" x14ac:dyDescent="0.25">
      <c r="A4164" s="5"/>
    </row>
    <row r="4165" spans="1:1" x14ac:dyDescent="0.25">
      <c r="A4165" s="5"/>
    </row>
    <row r="4166" spans="1:1" x14ac:dyDescent="0.25">
      <c r="A4166" s="5"/>
    </row>
    <row r="4167" spans="1:1" x14ac:dyDescent="0.25">
      <c r="A4167" s="5"/>
    </row>
    <row r="4168" spans="1:1" x14ac:dyDescent="0.25">
      <c r="A4168" s="5"/>
    </row>
    <row r="4169" spans="1:1" x14ac:dyDescent="0.25">
      <c r="A4169" s="5"/>
    </row>
    <row r="4170" spans="1:1" x14ac:dyDescent="0.25">
      <c r="A4170" s="5"/>
    </row>
    <row r="4171" spans="1:1" x14ac:dyDescent="0.25">
      <c r="A4171" s="5"/>
    </row>
    <row r="4172" spans="1:1" x14ac:dyDescent="0.25">
      <c r="A4172" s="5"/>
    </row>
    <row r="4173" spans="1:1" x14ac:dyDescent="0.25">
      <c r="A4173" s="5"/>
    </row>
    <row r="4174" spans="1:1" x14ac:dyDescent="0.25">
      <c r="A4174" s="5"/>
    </row>
    <row r="4175" spans="1:1" x14ac:dyDescent="0.25">
      <c r="A4175" s="5"/>
    </row>
    <row r="4176" spans="1:1" x14ac:dyDescent="0.25">
      <c r="A4176" s="5"/>
    </row>
    <row r="4177" spans="1:1" x14ac:dyDescent="0.25">
      <c r="A4177" s="5"/>
    </row>
    <row r="4178" spans="1:1" x14ac:dyDescent="0.25">
      <c r="A4178" s="5"/>
    </row>
    <row r="4179" spans="1:1" x14ac:dyDescent="0.25">
      <c r="A4179" s="5"/>
    </row>
    <row r="4180" spans="1:1" x14ac:dyDescent="0.25">
      <c r="A4180" s="5"/>
    </row>
    <row r="4181" spans="1:1" x14ac:dyDescent="0.25">
      <c r="A4181" s="5"/>
    </row>
    <row r="4182" spans="1:1" x14ac:dyDescent="0.25">
      <c r="A4182" s="5"/>
    </row>
    <row r="4183" spans="1:1" x14ac:dyDescent="0.25">
      <c r="A4183" s="5"/>
    </row>
    <row r="4184" spans="1:1" x14ac:dyDescent="0.25">
      <c r="A4184" s="5"/>
    </row>
    <row r="4185" spans="1:1" x14ac:dyDescent="0.25">
      <c r="A4185" s="5"/>
    </row>
    <row r="4186" spans="1:1" x14ac:dyDescent="0.25">
      <c r="A4186" s="5"/>
    </row>
    <row r="4187" spans="1:1" x14ac:dyDescent="0.25">
      <c r="A4187" s="5"/>
    </row>
    <row r="4188" spans="1:1" x14ac:dyDescent="0.25">
      <c r="A4188" s="5"/>
    </row>
    <row r="4189" spans="1:1" x14ac:dyDescent="0.25">
      <c r="A4189" s="5"/>
    </row>
    <row r="4190" spans="1:1" x14ac:dyDescent="0.25">
      <c r="A4190" s="5"/>
    </row>
    <row r="4191" spans="1:1" x14ac:dyDescent="0.25">
      <c r="A4191" s="5"/>
    </row>
    <row r="4192" spans="1:1" x14ac:dyDescent="0.25">
      <c r="A4192" s="5"/>
    </row>
    <row r="4193" spans="1:1" x14ac:dyDescent="0.25">
      <c r="A4193" s="5"/>
    </row>
    <row r="4194" spans="1:1" x14ac:dyDescent="0.25">
      <c r="A4194" s="5"/>
    </row>
    <row r="4195" spans="1:1" x14ac:dyDescent="0.25">
      <c r="A4195" s="5"/>
    </row>
    <row r="4196" spans="1:1" x14ac:dyDescent="0.25">
      <c r="A4196" s="5"/>
    </row>
    <row r="4197" spans="1:1" x14ac:dyDescent="0.25">
      <c r="A4197" s="5"/>
    </row>
    <row r="4198" spans="1:1" x14ac:dyDescent="0.25">
      <c r="A4198" s="5"/>
    </row>
    <row r="4199" spans="1:1" x14ac:dyDescent="0.25">
      <c r="A4199" s="5"/>
    </row>
    <row r="4200" spans="1:1" x14ac:dyDescent="0.25">
      <c r="A4200" s="5"/>
    </row>
    <row r="4201" spans="1:1" x14ac:dyDescent="0.25">
      <c r="A4201" s="5"/>
    </row>
    <row r="4202" spans="1:1" x14ac:dyDescent="0.25">
      <c r="A4202" s="5"/>
    </row>
    <row r="4203" spans="1:1" x14ac:dyDescent="0.25">
      <c r="A4203" s="5"/>
    </row>
    <row r="4204" spans="1:1" x14ac:dyDescent="0.25">
      <c r="A4204" s="5"/>
    </row>
    <row r="4205" spans="1:1" x14ac:dyDescent="0.25">
      <c r="A4205" s="5"/>
    </row>
    <row r="4206" spans="1:1" x14ac:dyDescent="0.25">
      <c r="A4206" s="5"/>
    </row>
    <row r="4207" spans="1:1" x14ac:dyDescent="0.25">
      <c r="A4207" s="5"/>
    </row>
    <row r="4208" spans="1:1" x14ac:dyDescent="0.25">
      <c r="A4208" s="5"/>
    </row>
    <row r="4209" spans="1:1" x14ac:dyDescent="0.25">
      <c r="A4209" s="5"/>
    </row>
    <row r="4210" spans="1:1" x14ac:dyDescent="0.25">
      <c r="A4210" s="5"/>
    </row>
    <row r="4211" spans="1:1" x14ac:dyDescent="0.25">
      <c r="A4211" s="5"/>
    </row>
    <row r="4212" spans="1:1" x14ac:dyDescent="0.25">
      <c r="A4212" s="5"/>
    </row>
    <row r="4213" spans="1:1" x14ac:dyDescent="0.25">
      <c r="A4213" s="5"/>
    </row>
    <row r="4214" spans="1:1" x14ac:dyDescent="0.25">
      <c r="A4214" s="5"/>
    </row>
    <row r="4215" spans="1:1" x14ac:dyDescent="0.25">
      <c r="A4215" s="5"/>
    </row>
    <row r="4216" spans="1:1" x14ac:dyDescent="0.25">
      <c r="A4216" s="5"/>
    </row>
    <row r="4217" spans="1:1" x14ac:dyDescent="0.25">
      <c r="A4217" s="5"/>
    </row>
    <row r="4218" spans="1:1" x14ac:dyDescent="0.25">
      <c r="A4218" s="5"/>
    </row>
    <row r="4219" spans="1:1" x14ac:dyDescent="0.25">
      <c r="A4219" s="5"/>
    </row>
    <row r="4220" spans="1:1" x14ac:dyDescent="0.25">
      <c r="A4220" s="5"/>
    </row>
    <row r="4221" spans="1:1" x14ac:dyDescent="0.25">
      <c r="A4221" s="5"/>
    </row>
    <row r="4222" spans="1:1" x14ac:dyDescent="0.25">
      <c r="A4222" s="5"/>
    </row>
    <row r="4223" spans="1:1" x14ac:dyDescent="0.25">
      <c r="A4223" s="5"/>
    </row>
    <row r="4224" spans="1:1" x14ac:dyDescent="0.25">
      <c r="A4224" s="5"/>
    </row>
    <row r="4225" spans="1:1" x14ac:dyDescent="0.25">
      <c r="A4225" s="5"/>
    </row>
    <row r="4226" spans="1:1" x14ac:dyDescent="0.25">
      <c r="A4226" s="5"/>
    </row>
    <row r="4227" spans="1:1" x14ac:dyDescent="0.25">
      <c r="A4227" s="5"/>
    </row>
    <row r="4228" spans="1:1" x14ac:dyDescent="0.25">
      <c r="A4228" s="5"/>
    </row>
    <row r="4229" spans="1:1" x14ac:dyDescent="0.25">
      <c r="A4229" s="5"/>
    </row>
    <row r="4230" spans="1:1" x14ac:dyDescent="0.25">
      <c r="A4230" s="5"/>
    </row>
    <row r="4231" spans="1:1" x14ac:dyDescent="0.25">
      <c r="A4231" s="5"/>
    </row>
    <row r="4232" spans="1:1" x14ac:dyDescent="0.25">
      <c r="A4232" s="5"/>
    </row>
    <row r="4233" spans="1:1" x14ac:dyDescent="0.25">
      <c r="A4233" s="5"/>
    </row>
    <row r="4234" spans="1:1" x14ac:dyDescent="0.25">
      <c r="A4234" s="5"/>
    </row>
    <row r="4235" spans="1:1" x14ac:dyDescent="0.25">
      <c r="A4235" s="5"/>
    </row>
    <row r="4236" spans="1:1" x14ac:dyDescent="0.25">
      <c r="A4236" s="5"/>
    </row>
    <row r="4237" spans="1:1" x14ac:dyDescent="0.25">
      <c r="A4237" s="5"/>
    </row>
    <row r="4238" spans="1:1" x14ac:dyDescent="0.25">
      <c r="A4238" s="5"/>
    </row>
    <row r="4239" spans="1:1" x14ac:dyDescent="0.25">
      <c r="A4239" s="5"/>
    </row>
    <row r="4240" spans="1:1" x14ac:dyDescent="0.25">
      <c r="A4240" s="5"/>
    </row>
    <row r="4241" spans="1:1" x14ac:dyDescent="0.25">
      <c r="A4241" s="5"/>
    </row>
    <row r="4242" spans="1:1" x14ac:dyDescent="0.25">
      <c r="A4242" s="5"/>
    </row>
    <row r="4243" spans="1:1" x14ac:dyDescent="0.25">
      <c r="A4243" s="5"/>
    </row>
    <row r="4244" spans="1:1" x14ac:dyDescent="0.25">
      <c r="A4244" s="5"/>
    </row>
    <row r="4245" spans="1:1" x14ac:dyDescent="0.25">
      <c r="A4245" s="5"/>
    </row>
    <row r="4246" spans="1:1" x14ac:dyDescent="0.25">
      <c r="A4246" s="5"/>
    </row>
    <row r="4247" spans="1:1" x14ac:dyDescent="0.25">
      <c r="A4247" s="5"/>
    </row>
    <row r="4248" spans="1:1" x14ac:dyDescent="0.25">
      <c r="A4248" s="5"/>
    </row>
    <row r="4249" spans="1:1" x14ac:dyDescent="0.25">
      <c r="A4249" s="5"/>
    </row>
    <row r="4250" spans="1:1" x14ac:dyDescent="0.25">
      <c r="A4250" s="5"/>
    </row>
    <row r="4251" spans="1:1" x14ac:dyDescent="0.25">
      <c r="A4251" s="5"/>
    </row>
    <row r="4252" spans="1:1" x14ac:dyDescent="0.25">
      <c r="A4252" s="5"/>
    </row>
    <row r="4253" spans="1:1" x14ac:dyDescent="0.25">
      <c r="A4253" s="5"/>
    </row>
    <row r="4254" spans="1:1" x14ac:dyDescent="0.25">
      <c r="A4254" s="5"/>
    </row>
    <row r="4255" spans="1:1" x14ac:dyDescent="0.25">
      <c r="A4255" s="5"/>
    </row>
    <row r="4256" spans="1:1" x14ac:dyDescent="0.25">
      <c r="A4256" s="5"/>
    </row>
    <row r="4257" spans="1:1" x14ac:dyDescent="0.25">
      <c r="A4257" s="5"/>
    </row>
    <row r="4258" spans="1:1" x14ac:dyDescent="0.25">
      <c r="A4258" s="5"/>
    </row>
    <row r="4259" spans="1:1" x14ac:dyDescent="0.25">
      <c r="A4259" s="5"/>
    </row>
    <row r="4260" spans="1:1" x14ac:dyDescent="0.25">
      <c r="A4260" s="5"/>
    </row>
    <row r="4261" spans="1:1" x14ac:dyDescent="0.25">
      <c r="A4261" s="5"/>
    </row>
    <row r="4262" spans="1:1" x14ac:dyDescent="0.25">
      <c r="A4262" s="5"/>
    </row>
    <row r="4263" spans="1:1" x14ac:dyDescent="0.25">
      <c r="A4263" s="5"/>
    </row>
    <row r="4264" spans="1:1" x14ac:dyDescent="0.25">
      <c r="A4264" s="5"/>
    </row>
    <row r="4265" spans="1:1" x14ac:dyDescent="0.25">
      <c r="A4265" s="5"/>
    </row>
    <row r="4266" spans="1:1" x14ac:dyDescent="0.25">
      <c r="A4266" s="5"/>
    </row>
    <row r="4267" spans="1:1" x14ac:dyDescent="0.25">
      <c r="A4267" s="5"/>
    </row>
    <row r="4268" spans="1:1" x14ac:dyDescent="0.25">
      <c r="A4268" s="5"/>
    </row>
    <row r="4269" spans="1:1" x14ac:dyDescent="0.25">
      <c r="A4269" s="5"/>
    </row>
    <row r="4270" spans="1:1" x14ac:dyDescent="0.25">
      <c r="A4270" s="5"/>
    </row>
    <row r="4271" spans="1:1" x14ac:dyDescent="0.25">
      <c r="A4271" s="5"/>
    </row>
    <row r="4272" spans="1:1" x14ac:dyDescent="0.25">
      <c r="A4272" s="5"/>
    </row>
    <row r="4273" spans="1:1" x14ac:dyDescent="0.25">
      <c r="A4273" s="5"/>
    </row>
    <row r="4274" spans="1:1" x14ac:dyDescent="0.25">
      <c r="A4274" s="5"/>
    </row>
    <row r="4275" spans="1:1" x14ac:dyDescent="0.25">
      <c r="A4275" s="5"/>
    </row>
    <row r="4276" spans="1:1" x14ac:dyDescent="0.25">
      <c r="A4276" s="5"/>
    </row>
    <row r="4277" spans="1:1" x14ac:dyDescent="0.25">
      <c r="A4277" s="5"/>
    </row>
    <row r="4278" spans="1:1" x14ac:dyDescent="0.25">
      <c r="A4278" s="5"/>
    </row>
    <row r="4279" spans="1:1" x14ac:dyDescent="0.25">
      <c r="A4279" s="5"/>
    </row>
    <row r="4280" spans="1:1" x14ac:dyDescent="0.25">
      <c r="A4280" s="5"/>
    </row>
    <row r="4281" spans="1:1" x14ac:dyDescent="0.25">
      <c r="A4281" s="5"/>
    </row>
    <row r="4282" spans="1:1" x14ac:dyDescent="0.25">
      <c r="A4282" s="5"/>
    </row>
    <row r="4283" spans="1:1" x14ac:dyDescent="0.25">
      <c r="A4283" s="5"/>
    </row>
    <row r="4284" spans="1:1" x14ac:dyDescent="0.25">
      <c r="A4284" s="5"/>
    </row>
    <row r="4285" spans="1:1" x14ac:dyDescent="0.25">
      <c r="A4285" s="5"/>
    </row>
    <row r="4286" spans="1:1" x14ac:dyDescent="0.25">
      <c r="A4286" s="5"/>
    </row>
    <row r="4287" spans="1:1" x14ac:dyDescent="0.25">
      <c r="A4287" s="5"/>
    </row>
    <row r="4288" spans="1:1" x14ac:dyDescent="0.25">
      <c r="A4288" s="5"/>
    </row>
    <row r="4289" spans="1:1" x14ac:dyDescent="0.25">
      <c r="A4289" s="5"/>
    </row>
    <row r="4290" spans="1:1" x14ac:dyDescent="0.25">
      <c r="A4290" s="5"/>
    </row>
    <row r="4291" spans="1:1" x14ac:dyDescent="0.25">
      <c r="A4291" s="5"/>
    </row>
    <row r="4292" spans="1:1" x14ac:dyDescent="0.25">
      <c r="A4292" s="5"/>
    </row>
    <row r="4293" spans="1:1" x14ac:dyDescent="0.25">
      <c r="A4293" s="5"/>
    </row>
    <row r="4294" spans="1:1" x14ac:dyDescent="0.25">
      <c r="A4294" s="5"/>
    </row>
    <row r="4295" spans="1:1" x14ac:dyDescent="0.25">
      <c r="A4295" s="5"/>
    </row>
    <row r="4296" spans="1:1" x14ac:dyDescent="0.25">
      <c r="A4296" s="5"/>
    </row>
    <row r="4297" spans="1:1" x14ac:dyDescent="0.25">
      <c r="A4297" s="5"/>
    </row>
    <row r="4298" spans="1:1" x14ac:dyDescent="0.25">
      <c r="A4298" s="5"/>
    </row>
    <row r="4299" spans="1:1" x14ac:dyDescent="0.25">
      <c r="A4299" s="5"/>
    </row>
    <row r="4300" spans="1:1" x14ac:dyDescent="0.25">
      <c r="A4300" s="5"/>
    </row>
    <row r="4301" spans="1:1" x14ac:dyDescent="0.25">
      <c r="A4301" s="5"/>
    </row>
    <row r="4302" spans="1:1" x14ac:dyDescent="0.25">
      <c r="A4302" s="5"/>
    </row>
    <row r="4303" spans="1:1" x14ac:dyDescent="0.25">
      <c r="A4303" s="5"/>
    </row>
    <row r="4304" spans="1:1" x14ac:dyDescent="0.25">
      <c r="A4304" s="5"/>
    </row>
    <row r="4305" spans="1:1" x14ac:dyDescent="0.25">
      <c r="A4305" s="5"/>
    </row>
    <row r="4306" spans="1:1" x14ac:dyDescent="0.25">
      <c r="A4306" s="5"/>
    </row>
    <row r="4307" spans="1:1" x14ac:dyDescent="0.25">
      <c r="A4307" s="5"/>
    </row>
    <row r="4308" spans="1:1" x14ac:dyDescent="0.25">
      <c r="A4308" s="5"/>
    </row>
    <row r="4309" spans="1:1" x14ac:dyDescent="0.25">
      <c r="A4309" s="5"/>
    </row>
    <row r="4310" spans="1:1" x14ac:dyDescent="0.25">
      <c r="A4310" s="5"/>
    </row>
    <row r="4311" spans="1:1" x14ac:dyDescent="0.25">
      <c r="A4311" s="5"/>
    </row>
    <row r="4312" spans="1:1" x14ac:dyDescent="0.25">
      <c r="A4312" s="5"/>
    </row>
    <row r="4313" spans="1:1" x14ac:dyDescent="0.25">
      <c r="A4313" s="5"/>
    </row>
    <row r="4314" spans="1:1" x14ac:dyDescent="0.25">
      <c r="A4314" s="5"/>
    </row>
    <row r="4315" spans="1:1" x14ac:dyDescent="0.25">
      <c r="A4315" s="5"/>
    </row>
    <row r="4316" spans="1:1" x14ac:dyDescent="0.25">
      <c r="A4316" s="5"/>
    </row>
    <row r="4317" spans="1:1" x14ac:dyDescent="0.25">
      <c r="A4317" s="5"/>
    </row>
    <row r="4318" spans="1:1" x14ac:dyDescent="0.25">
      <c r="A4318" s="5"/>
    </row>
    <row r="4319" spans="1:1" x14ac:dyDescent="0.25">
      <c r="A4319" s="5"/>
    </row>
    <row r="4320" spans="1:1" x14ac:dyDescent="0.25">
      <c r="A4320" s="5"/>
    </row>
    <row r="4321" spans="1:1" x14ac:dyDescent="0.25">
      <c r="A4321" s="5"/>
    </row>
    <row r="4322" spans="1:1" x14ac:dyDescent="0.25">
      <c r="A4322" s="5"/>
    </row>
    <row r="4323" spans="1:1" x14ac:dyDescent="0.25">
      <c r="A4323" s="5"/>
    </row>
    <row r="4324" spans="1:1" x14ac:dyDescent="0.25">
      <c r="A4324" s="5"/>
    </row>
    <row r="4325" spans="1:1" x14ac:dyDescent="0.25">
      <c r="A4325" s="5"/>
    </row>
    <row r="4326" spans="1:1" x14ac:dyDescent="0.25">
      <c r="A4326" s="5"/>
    </row>
    <row r="4327" spans="1:1" x14ac:dyDescent="0.25">
      <c r="A4327" s="5"/>
    </row>
    <row r="4328" spans="1:1" x14ac:dyDescent="0.25">
      <c r="A4328" s="5"/>
    </row>
    <row r="4329" spans="1:1" x14ac:dyDescent="0.25">
      <c r="A4329" s="5"/>
    </row>
    <row r="4330" spans="1:1" x14ac:dyDescent="0.25">
      <c r="A4330" s="5"/>
    </row>
    <row r="4331" spans="1:1" x14ac:dyDescent="0.25">
      <c r="A4331" s="5"/>
    </row>
    <row r="4332" spans="1:1" x14ac:dyDescent="0.25">
      <c r="A4332" s="5"/>
    </row>
    <row r="4333" spans="1:1" x14ac:dyDescent="0.25">
      <c r="A4333" s="5"/>
    </row>
    <row r="4334" spans="1:1" x14ac:dyDescent="0.25">
      <c r="A4334" s="5"/>
    </row>
    <row r="4335" spans="1:1" x14ac:dyDescent="0.25">
      <c r="A4335" s="5"/>
    </row>
    <row r="4336" spans="1:1" x14ac:dyDescent="0.25">
      <c r="A4336" s="5"/>
    </row>
    <row r="4337" spans="1:1" x14ac:dyDescent="0.25">
      <c r="A4337" s="5"/>
    </row>
    <row r="4338" spans="1:1" x14ac:dyDescent="0.25">
      <c r="A4338" s="5"/>
    </row>
    <row r="4339" spans="1:1" x14ac:dyDescent="0.25">
      <c r="A4339" s="5"/>
    </row>
    <row r="4340" spans="1:1" x14ac:dyDescent="0.25">
      <c r="A4340" s="5"/>
    </row>
    <row r="4341" spans="1:1" x14ac:dyDescent="0.25">
      <c r="A4341" s="5"/>
    </row>
    <row r="4342" spans="1:1" x14ac:dyDescent="0.25">
      <c r="A4342" s="5"/>
    </row>
    <row r="4343" spans="1:1" x14ac:dyDescent="0.25">
      <c r="A4343" s="5"/>
    </row>
    <row r="4344" spans="1:1" x14ac:dyDescent="0.25">
      <c r="A4344" s="5"/>
    </row>
    <row r="4345" spans="1:1" x14ac:dyDescent="0.25">
      <c r="A4345" s="5"/>
    </row>
    <row r="4346" spans="1:1" x14ac:dyDescent="0.25">
      <c r="A4346" s="5"/>
    </row>
    <row r="4347" spans="1:1" x14ac:dyDescent="0.25">
      <c r="A4347" s="5"/>
    </row>
    <row r="4348" spans="1:1" x14ac:dyDescent="0.25">
      <c r="A4348" s="5"/>
    </row>
    <row r="4349" spans="1:1" x14ac:dyDescent="0.25">
      <c r="A4349" s="5"/>
    </row>
    <row r="4350" spans="1:1" x14ac:dyDescent="0.25">
      <c r="A4350" s="5"/>
    </row>
    <row r="4351" spans="1:1" x14ac:dyDescent="0.25">
      <c r="A4351" s="5"/>
    </row>
    <row r="4352" spans="1:1" x14ac:dyDescent="0.25">
      <c r="A4352" s="5"/>
    </row>
    <row r="4353" spans="1:1" x14ac:dyDescent="0.25">
      <c r="A4353" s="5"/>
    </row>
    <row r="4354" spans="1:1" x14ac:dyDescent="0.25">
      <c r="A4354" s="5"/>
    </row>
    <row r="4355" spans="1:1" x14ac:dyDescent="0.25">
      <c r="A4355" s="5"/>
    </row>
    <row r="4356" spans="1:1" x14ac:dyDescent="0.25">
      <c r="A4356" s="5"/>
    </row>
    <row r="4357" spans="1:1" x14ac:dyDescent="0.25">
      <c r="A4357" s="5"/>
    </row>
    <row r="4358" spans="1:1" x14ac:dyDescent="0.25">
      <c r="A4358" s="5"/>
    </row>
    <row r="4359" spans="1:1" x14ac:dyDescent="0.25">
      <c r="A4359" s="5"/>
    </row>
    <row r="4360" spans="1:1" x14ac:dyDescent="0.25">
      <c r="A4360" s="5"/>
    </row>
    <row r="4361" spans="1:1" x14ac:dyDescent="0.25">
      <c r="A4361" s="5"/>
    </row>
    <row r="4362" spans="1:1" x14ac:dyDescent="0.25">
      <c r="A4362" s="5"/>
    </row>
    <row r="4363" spans="1:1" x14ac:dyDescent="0.25">
      <c r="A4363" s="5"/>
    </row>
    <row r="4364" spans="1:1" x14ac:dyDescent="0.25">
      <c r="A4364" s="5"/>
    </row>
    <row r="4365" spans="1:1" x14ac:dyDescent="0.25">
      <c r="A4365" s="5"/>
    </row>
    <row r="4366" spans="1:1" x14ac:dyDescent="0.25">
      <c r="A4366" s="5"/>
    </row>
    <row r="4367" spans="1:1" x14ac:dyDescent="0.25">
      <c r="A4367" s="5"/>
    </row>
    <row r="4368" spans="1:1" x14ac:dyDescent="0.25">
      <c r="A4368" s="5"/>
    </row>
    <row r="4369" spans="1:1" x14ac:dyDescent="0.25">
      <c r="A4369" s="5"/>
    </row>
    <row r="4370" spans="1:1" x14ac:dyDescent="0.25">
      <c r="A4370" s="5"/>
    </row>
    <row r="4371" spans="1:1" x14ac:dyDescent="0.25">
      <c r="A4371" s="5"/>
    </row>
    <row r="4372" spans="1:1" x14ac:dyDescent="0.25">
      <c r="A4372" s="5"/>
    </row>
    <row r="4373" spans="1:1" x14ac:dyDescent="0.25">
      <c r="A4373" s="5"/>
    </row>
    <row r="4374" spans="1:1" x14ac:dyDescent="0.25">
      <c r="A4374" s="5"/>
    </row>
    <row r="4375" spans="1:1" x14ac:dyDescent="0.25">
      <c r="A4375" s="5"/>
    </row>
    <row r="4376" spans="1:1" x14ac:dyDescent="0.25">
      <c r="A4376" s="5"/>
    </row>
    <row r="4377" spans="1:1" x14ac:dyDescent="0.25">
      <c r="A4377" s="5"/>
    </row>
    <row r="4378" spans="1:1" x14ac:dyDescent="0.25">
      <c r="A4378" s="5"/>
    </row>
    <row r="4379" spans="1:1" x14ac:dyDescent="0.25">
      <c r="A4379" s="5"/>
    </row>
    <row r="4380" spans="1:1" x14ac:dyDescent="0.25">
      <c r="A4380" s="5"/>
    </row>
    <row r="4381" spans="1:1" x14ac:dyDescent="0.25">
      <c r="A4381" s="5"/>
    </row>
    <row r="4382" spans="1:1" x14ac:dyDescent="0.25">
      <c r="A4382" s="5"/>
    </row>
    <row r="4383" spans="1:1" x14ac:dyDescent="0.25">
      <c r="A4383" s="5"/>
    </row>
    <row r="4384" spans="1:1" x14ac:dyDescent="0.25">
      <c r="A4384" s="5"/>
    </row>
    <row r="4385" spans="1:1" x14ac:dyDescent="0.25">
      <c r="A4385" s="5"/>
    </row>
    <row r="4386" spans="1:1" x14ac:dyDescent="0.25">
      <c r="A4386" s="5"/>
    </row>
    <row r="4387" spans="1:1" x14ac:dyDescent="0.25">
      <c r="A4387" s="5"/>
    </row>
    <row r="4388" spans="1:1" x14ac:dyDescent="0.25">
      <c r="A4388" s="5"/>
    </row>
    <row r="4389" spans="1:1" x14ac:dyDescent="0.25">
      <c r="A4389" s="5"/>
    </row>
    <row r="4390" spans="1:1" x14ac:dyDescent="0.25">
      <c r="A4390" s="5"/>
    </row>
    <row r="4391" spans="1:1" x14ac:dyDescent="0.25">
      <c r="A4391" s="5"/>
    </row>
    <row r="4392" spans="1:1" x14ac:dyDescent="0.25">
      <c r="A4392" s="5"/>
    </row>
    <row r="4393" spans="1:1" x14ac:dyDescent="0.25">
      <c r="A4393" s="5"/>
    </row>
    <row r="4394" spans="1:1" x14ac:dyDescent="0.25">
      <c r="A4394" s="5"/>
    </row>
    <row r="4395" spans="1:1" x14ac:dyDescent="0.25">
      <c r="A4395" s="5"/>
    </row>
    <row r="4396" spans="1:1" x14ac:dyDescent="0.25">
      <c r="A4396" s="5"/>
    </row>
    <row r="4397" spans="1:1" x14ac:dyDescent="0.25">
      <c r="A4397" s="5"/>
    </row>
    <row r="4398" spans="1:1" x14ac:dyDescent="0.25">
      <c r="A4398" s="5"/>
    </row>
    <row r="4399" spans="1:1" x14ac:dyDescent="0.25">
      <c r="A4399" s="5"/>
    </row>
    <row r="4400" spans="1:1" x14ac:dyDescent="0.25">
      <c r="A4400" s="5"/>
    </row>
    <row r="4401" spans="1:1" x14ac:dyDescent="0.25">
      <c r="A4401" s="5"/>
    </row>
    <row r="4402" spans="1:1" x14ac:dyDescent="0.25">
      <c r="A4402" s="5"/>
    </row>
    <row r="4403" spans="1:1" x14ac:dyDescent="0.25">
      <c r="A4403" s="5"/>
    </row>
    <row r="4404" spans="1:1" x14ac:dyDescent="0.25">
      <c r="A4404" s="5"/>
    </row>
    <row r="4405" spans="1:1" x14ac:dyDescent="0.25">
      <c r="A4405" s="5"/>
    </row>
    <row r="4406" spans="1:1" x14ac:dyDescent="0.25">
      <c r="A4406" s="5"/>
    </row>
    <row r="4407" spans="1:1" x14ac:dyDescent="0.25">
      <c r="A4407" s="5"/>
    </row>
    <row r="4408" spans="1:1" x14ac:dyDescent="0.25">
      <c r="A4408" s="5"/>
    </row>
    <row r="4409" spans="1:1" x14ac:dyDescent="0.25">
      <c r="A4409" s="5"/>
    </row>
    <row r="4410" spans="1:1" x14ac:dyDescent="0.25">
      <c r="A4410" s="5"/>
    </row>
    <row r="4411" spans="1:1" x14ac:dyDescent="0.25">
      <c r="A4411" s="5"/>
    </row>
    <row r="4412" spans="1:1" x14ac:dyDescent="0.25">
      <c r="A4412" s="5"/>
    </row>
    <row r="4413" spans="1:1" x14ac:dyDescent="0.25">
      <c r="A4413" s="5"/>
    </row>
    <row r="4414" spans="1:1" x14ac:dyDescent="0.25">
      <c r="A4414" s="5"/>
    </row>
    <row r="4415" spans="1:1" x14ac:dyDescent="0.25">
      <c r="A4415" s="5"/>
    </row>
    <row r="4416" spans="1:1" x14ac:dyDescent="0.25">
      <c r="A4416" s="5"/>
    </row>
    <row r="4417" spans="1:1" x14ac:dyDescent="0.25">
      <c r="A4417" s="5"/>
    </row>
    <row r="4418" spans="1:1" x14ac:dyDescent="0.25">
      <c r="A4418" s="5"/>
    </row>
    <row r="4419" spans="1:1" x14ac:dyDescent="0.25">
      <c r="A4419" s="5"/>
    </row>
    <row r="4420" spans="1:1" x14ac:dyDescent="0.25">
      <c r="A4420" s="5"/>
    </row>
    <row r="4421" spans="1:1" x14ac:dyDescent="0.25">
      <c r="A4421" s="5"/>
    </row>
    <row r="4422" spans="1:1" x14ac:dyDescent="0.25">
      <c r="A4422" s="5"/>
    </row>
    <row r="4423" spans="1:1" x14ac:dyDescent="0.25">
      <c r="A4423" s="5"/>
    </row>
    <row r="4424" spans="1:1" x14ac:dyDescent="0.25">
      <c r="A4424" s="5"/>
    </row>
    <row r="4425" spans="1:1" x14ac:dyDescent="0.25">
      <c r="A4425" s="5"/>
    </row>
    <row r="4426" spans="1:1" x14ac:dyDescent="0.25">
      <c r="A4426" s="5"/>
    </row>
    <row r="4427" spans="1:1" x14ac:dyDescent="0.25">
      <c r="A4427" s="5"/>
    </row>
    <row r="4428" spans="1:1" x14ac:dyDescent="0.25">
      <c r="A4428" s="5"/>
    </row>
    <row r="4429" spans="1:1" x14ac:dyDescent="0.25">
      <c r="A4429" s="5"/>
    </row>
    <row r="4430" spans="1:1" x14ac:dyDescent="0.25">
      <c r="A4430" s="5"/>
    </row>
    <row r="4431" spans="1:1" x14ac:dyDescent="0.25">
      <c r="A4431" s="5"/>
    </row>
    <row r="4432" spans="1:1" x14ac:dyDescent="0.25">
      <c r="A4432" s="5"/>
    </row>
    <row r="4433" spans="1:1" x14ac:dyDescent="0.25">
      <c r="A4433" s="5"/>
    </row>
    <row r="4434" spans="1:1" x14ac:dyDescent="0.25">
      <c r="A4434" s="5"/>
    </row>
    <row r="4435" spans="1:1" x14ac:dyDescent="0.25">
      <c r="A4435" s="5"/>
    </row>
    <row r="4436" spans="1:1" x14ac:dyDescent="0.25">
      <c r="A4436" s="5"/>
    </row>
    <row r="4437" spans="1:1" x14ac:dyDescent="0.25">
      <c r="A4437" s="5"/>
    </row>
    <row r="4438" spans="1:1" x14ac:dyDescent="0.25">
      <c r="A4438" s="5"/>
    </row>
    <row r="4439" spans="1:1" x14ac:dyDescent="0.25">
      <c r="A4439" s="5"/>
    </row>
    <row r="4440" spans="1:1" x14ac:dyDescent="0.25">
      <c r="A4440" s="5"/>
    </row>
    <row r="4441" spans="1:1" x14ac:dyDescent="0.25">
      <c r="A4441" s="5"/>
    </row>
    <row r="4442" spans="1:1" x14ac:dyDescent="0.25">
      <c r="A4442" s="5"/>
    </row>
    <row r="4443" spans="1:1" x14ac:dyDescent="0.25">
      <c r="A4443" s="5"/>
    </row>
    <row r="4444" spans="1:1" x14ac:dyDescent="0.25">
      <c r="A4444" s="5"/>
    </row>
    <row r="4445" spans="1:1" x14ac:dyDescent="0.25">
      <c r="A4445" s="5"/>
    </row>
    <row r="4446" spans="1:1" x14ac:dyDescent="0.25">
      <c r="A4446" s="5"/>
    </row>
    <row r="4447" spans="1:1" x14ac:dyDescent="0.25">
      <c r="A4447" s="5"/>
    </row>
    <row r="4448" spans="1:1" x14ac:dyDescent="0.25">
      <c r="A4448" s="5"/>
    </row>
    <row r="4449" spans="1:1" x14ac:dyDescent="0.25">
      <c r="A4449" s="5"/>
    </row>
    <row r="4450" spans="1:1" x14ac:dyDescent="0.25">
      <c r="A4450" s="5"/>
    </row>
    <row r="4451" spans="1:1" x14ac:dyDescent="0.25">
      <c r="A4451" s="5"/>
    </row>
    <row r="4452" spans="1:1" x14ac:dyDescent="0.25">
      <c r="A4452" s="5"/>
    </row>
    <row r="4453" spans="1:1" x14ac:dyDescent="0.25">
      <c r="A4453" s="5"/>
    </row>
    <row r="4454" spans="1:1" x14ac:dyDescent="0.25">
      <c r="A4454" s="5"/>
    </row>
    <row r="4455" spans="1:1" x14ac:dyDescent="0.25">
      <c r="A4455" s="5"/>
    </row>
    <row r="4456" spans="1:1" x14ac:dyDescent="0.25">
      <c r="A4456" s="5"/>
    </row>
    <row r="4457" spans="1:1" x14ac:dyDescent="0.25">
      <c r="A4457" s="5"/>
    </row>
    <row r="4458" spans="1:1" x14ac:dyDescent="0.25">
      <c r="A4458" s="5"/>
    </row>
    <row r="4459" spans="1:1" x14ac:dyDescent="0.25">
      <c r="A4459" s="5"/>
    </row>
    <row r="4460" spans="1:1" x14ac:dyDescent="0.25">
      <c r="A4460" s="5"/>
    </row>
    <row r="4461" spans="1:1" x14ac:dyDescent="0.25">
      <c r="A4461" s="5"/>
    </row>
    <row r="4462" spans="1:1" x14ac:dyDescent="0.25">
      <c r="A4462" s="5"/>
    </row>
    <row r="4463" spans="1:1" x14ac:dyDescent="0.25">
      <c r="A4463" s="5"/>
    </row>
    <row r="4464" spans="1:1" x14ac:dyDescent="0.25">
      <c r="A4464" s="5"/>
    </row>
    <row r="4465" spans="1:1" x14ac:dyDescent="0.25">
      <c r="A4465" s="5"/>
    </row>
    <row r="4466" spans="1:1" x14ac:dyDescent="0.25">
      <c r="A4466" s="5"/>
    </row>
    <row r="4467" spans="1:1" x14ac:dyDescent="0.25">
      <c r="A4467" s="5"/>
    </row>
    <row r="4468" spans="1:1" x14ac:dyDescent="0.25">
      <c r="A4468" s="5"/>
    </row>
    <row r="4469" spans="1:1" x14ac:dyDescent="0.25">
      <c r="A4469" s="5"/>
    </row>
    <row r="4470" spans="1:1" x14ac:dyDescent="0.25">
      <c r="A4470" s="5"/>
    </row>
    <row r="4471" spans="1:1" x14ac:dyDescent="0.25">
      <c r="A4471" s="5"/>
    </row>
    <row r="4472" spans="1:1" x14ac:dyDescent="0.25">
      <c r="A4472" s="5"/>
    </row>
    <row r="4473" spans="1:1" x14ac:dyDescent="0.25">
      <c r="A4473" s="5"/>
    </row>
    <row r="4474" spans="1:1" x14ac:dyDescent="0.25">
      <c r="A4474" s="5"/>
    </row>
    <row r="4475" spans="1:1" x14ac:dyDescent="0.25">
      <c r="A4475" s="5"/>
    </row>
    <row r="4476" spans="1:1" x14ac:dyDescent="0.25">
      <c r="A4476" s="5"/>
    </row>
    <row r="4477" spans="1:1" x14ac:dyDescent="0.25">
      <c r="A4477" s="5"/>
    </row>
    <row r="4478" spans="1:1" x14ac:dyDescent="0.25">
      <c r="A4478" s="5"/>
    </row>
    <row r="4479" spans="1:1" x14ac:dyDescent="0.25">
      <c r="A4479" s="5"/>
    </row>
    <row r="4480" spans="1:1" x14ac:dyDescent="0.25">
      <c r="A4480" s="5"/>
    </row>
    <row r="4481" spans="1:1" x14ac:dyDescent="0.25">
      <c r="A4481" s="5"/>
    </row>
    <row r="4482" spans="1:1" x14ac:dyDescent="0.25">
      <c r="A4482" s="5"/>
    </row>
    <row r="4483" spans="1:1" x14ac:dyDescent="0.25">
      <c r="A4483" s="5"/>
    </row>
    <row r="4484" spans="1:1" x14ac:dyDescent="0.25">
      <c r="A4484" s="5"/>
    </row>
    <row r="4485" spans="1:1" x14ac:dyDescent="0.25">
      <c r="A4485" s="5"/>
    </row>
    <row r="4486" spans="1:1" x14ac:dyDescent="0.25">
      <c r="A4486" s="5"/>
    </row>
    <row r="4487" spans="1:1" x14ac:dyDescent="0.25">
      <c r="A4487" s="5"/>
    </row>
    <row r="4488" spans="1:1" x14ac:dyDescent="0.25">
      <c r="A4488" s="5"/>
    </row>
    <row r="4489" spans="1:1" x14ac:dyDescent="0.25">
      <c r="A4489" s="5"/>
    </row>
    <row r="4490" spans="1:1" x14ac:dyDescent="0.25">
      <c r="A4490" s="5"/>
    </row>
    <row r="4491" spans="1:1" x14ac:dyDescent="0.25">
      <c r="A4491" s="5"/>
    </row>
    <row r="4492" spans="1:1" x14ac:dyDescent="0.25">
      <c r="A4492" s="5"/>
    </row>
    <row r="4493" spans="1:1" x14ac:dyDescent="0.25">
      <c r="A4493" s="5"/>
    </row>
    <row r="4494" spans="1:1" x14ac:dyDescent="0.25">
      <c r="A4494" s="5"/>
    </row>
    <row r="4495" spans="1:1" x14ac:dyDescent="0.25">
      <c r="A4495" s="5"/>
    </row>
    <row r="4496" spans="1:1" x14ac:dyDescent="0.25">
      <c r="A4496" s="5"/>
    </row>
    <row r="4497" spans="1:1" x14ac:dyDescent="0.25">
      <c r="A4497" s="5"/>
    </row>
    <row r="4498" spans="1:1" x14ac:dyDescent="0.25">
      <c r="A4498" s="5"/>
    </row>
    <row r="4499" spans="1:1" x14ac:dyDescent="0.25">
      <c r="A4499" s="5"/>
    </row>
    <row r="4500" spans="1:1" x14ac:dyDescent="0.25">
      <c r="A4500" s="5"/>
    </row>
    <row r="4501" spans="1:1" x14ac:dyDescent="0.25">
      <c r="A4501" s="5"/>
    </row>
    <row r="4502" spans="1:1" x14ac:dyDescent="0.25">
      <c r="A4502" s="5"/>
    </row>
    <row r="4503" spans="1:1" x14ac:dyDescent="0.25">
      <c r="A4503" s="5"/>
    </row>
    <row r="4504" spans="1:1" x14ac:dyDescent="0.25">
      <c r="A4504" s="5"/>
    </row>
    <row r="4505" spans="1:1" x14ac:dyDescent="0.25">
      <c r="A4505" s="5"/>
    </row>
    <row r="4506" spans="1:1" x14ac:dyDescent="0.25">
      <c r="A4506" s="5"/>
    </row>
    <row r="4507" spans="1:1" x14ac:dyDescent="0.25">
      <c r="A4507" s="5"/>
    </row>
    <row r="4508" spans="1:1" x14ac:dyDescent="0.25">
      <c r="A4508" s="5"/>
    </row>
    <row r="4509" spans="1:1" x14ac:dyDescent="0.25">
      <c r="A4509" s="5"/>
    </row>
    <row r="4510" spans="1:1" x14ac:dyDescent="0.25">
      <c r="A4510" s="5"/>
    </row>
    <row r="4511" spans="1:1" x14ac:dyDescent="0.25">
      <c r="A4511" s="5"/>
    </row>
    <row r="4512" spans="1:1" x14ac:dyDescent="0.25">
      <c r="A4512" s="5"/>
    </row>
    <row r="4513" spans="1:1" x14ac:dyDescent="0.25">
      <c r="A4513" s="5"/>
    </row>
    <row r="4514" spans="1:1" x14ac:dyDescent="0.25">
      <c r="A4514" s="5"/>
    </row>
    <row r="4515" spans="1:1" x14ac:dyDescent="0.25">
      <c r="A4515" s="5"/>
    </row>
    <row r="4516" spans="1:1" x14ac:dyDescent="0.25">
      <c r="A4516" s="5"/>
    </row>
    <row r="4517" spans="1:1" x14ac:dyDescent="0.25">
      <c r="A4517" s="5"/>
    </row>
    <row r="4518" spans="1:1" x14ac:dyDescent="0.25">
      <c r="A4518" s="5"/>
    </row>
    <row r="4519" spans="1:1" x14ac:dyDescent="0.25">
      <c r="A4519" s="5"/>
    </row>
    <row r="4520" spans="1:1" x14ac:dyDescent="0.25">
      <c r="A4520" s="5"/>
    </row>
    <row r="4521" spans="1:1" x14ac:dyDescent="0.25">
      <c r="A4521" s="5"/>
    </row>
    <row r="4522" spans="1:1" x14ac:dyDescent="0.25">
      <c r="A4522" s="5"/>
    </row>
    <row r="4523" spans="1:1" x14ac:dyDescent="0.25">
      <c r="A4523" s="5"/>
    </row>
    <row r="4524" spans="1:1" x14ac:dyDescent="0.25">
      <c r="A4524" s="5"/>
    </row>
    <row r="4525" spans="1:1" x14ac:dyDescent="0.25">
      <c r="A4525" s="5"/>
    </row>
    <row r="4526" spans="1:1" x14ac:dyDescent="0.25">
      <c r="A4526" s="5"/>
    </row>
    <row r="4527" spans="1:1" x14ac:dyDescent="0.25">
      <c r="A4527" s="5"/>
    </row>
    <row r="4528" spans="1:1" x14ac:dyDescent="0.25">
      <c r="A4528" s="5"/>
    </row>
    <row r="4529" spans="1:1" x14ac:dyDescent="0.25">
      <c r="A4529" s="5"/>
    </row>
    <row r="4530" spans="1:1" x14ac:dyDescent="0.25">
      <c r="A4530" s="5"/>
    </row>
    <row r="4531" spans="1:1" x14ac:dyDescent="0.25">
      <c r="A4531" s="5"/>
    </row>
    <row r="4532" spans="1:1" x14ac:dyDescent="0.25">
      <c r="A4532" s="5"/>
    </row>
    <row r="4533" spans="1:1" x14ac:dyDescent="0.25">
      <c r="A4533" s="5"/>
    </row>
    <row r="4534" spans="1:1" x14ac:dyDescent="0.25">
      <c r="A4534" s="5"/>
    </row>
    <row r="4535" spans="1:1" x14ac:dyDescent="0.25">
      <c r="A4535" s="5"/>
    </row>
    <row r="4536" spans="1:1" x14ac:dyDescent="0.25">
      <c r="A4536" s="5"/>
    </row>
    <row r="4537" spans="1:1" x14ac:dyDescent="0.25">
      <c r="A4537" s="5"/>
    </row>
    <row r="4538" spans="1:1" x14ac:dyDescent="0.25">
      <c r="A4538" s="5"/>
    </row>
    <row r="4539" spans="1:1" x14ac:dyDescent="0.25">
      <c r="A4539" s="5"/>
    </row>
    <row r="4540" spans="1:1" x14ac:dyDescent="0.25">
      <c r="A4540" s="5"/>
    </row>
    <row r="4541" spans="1:1" x14ac:dyDescent="0.25">
      <c r="A4541" s="5"/>
    </row>
    <row r="4542" spans="1:1" x14ac:dyDescent="0.25">
      <c r="A4542" s="5"/>
    </row>
    <row r="4543" spans="1:1" x14ac:dyDescent="0.25">
      <c r="A4543" s="5"/>
    </row>
    <row r="4544" spans="1:1" x14ac:dyDescent="0.25">
      <c r="A4544" s="5"/>
    </row>
    <row r="4545" spans="1:1" x14ac:dyDescent="0.25">
      <c r="A4545" s="5"/>
    </row>
    <row r="4546" spans="1:1" x14ac:dyDescent="0.25">
      <c r="A4546" s="5"/>
    </row>
    <row r="4547" spans="1:1" x14ac:dyDescent="0.25">
      <c r="A4547" s="5"/>
    </row>
    <row r="4548" spans="1:1" x14ac:dyDescent="0.25">
      <c r="A4548" s="5"/>
    </row>
    <row r="4549" spans="1:1" x14ac:dyDescent="0.25">
      <c r="A4549" s="5"/>
    </row>
    <row r="4550" spans="1:1" x14ac:dyDescent="0.25">
      <c r="A4550" s="5"/>
    </row>
    <row r="4551" spans="1:1" x14ac:dyDescent="0.25">
      <c r="A4551" s="5"/>
    </row>
    <row r="4552" spans="1:1" x14ac:dyDescent="0.25">
      <c r="A4552" s="5"/>
    </row>
    <row r="4553" spans="1:1" x14ac:dyDescent="0.25">
      <c r="A4553" s="5"/>
    </row>
    <row r="4554" spans="1:1" x14ac:dyDescent="0.25">
      <c r="A4554" s="5"/>
    </row>
    <row r="4555" spans="1:1" x14ac:dyDescent="0.25">
      <c r="A4555" s="5"/>
    </row>
    <row r="4556" spans="1:1" x14ac:dyDescent="0.25">
      <c r="A4556" s="5"/>
    </row>
    <row r="4557" spans="1:1" x14ac:dyDescent="0.25">
      <c r="A4557" s="5"/>
    </row>
    <row r="4558" spans="1:1" x14ac:dyDescent="0.25">
      <c r="A4558" s="5"/>
    </row>
    <row r="4559" spans="1:1" x14ac:dyDescent="0.25">
      <c r="A4559" s="5"/>
    </row>
    <row r="4560" spans="1:1" x14ac:dyDescent="0.25">
      <c r="A4560" s="5"/>
    </row>
    <row r="4561" spans="1:1" x14ac:dyDescent="0.25">
      <c r="A4561" s="5"/>
    </row>
    <row r="4562" spans="1:1" x14ac:dyDescent="0.25">
      <c r="A4562" s="5"/>
    </row>
    <row r="4563" spans="1:1" x14ac:dyDescent="0.25">
      <c r="A4563" s="5"/>
    </row>
    <row r="4564" spans="1:1" x14ac:dyDescent="0.25">
      <c r="A4564" s="5"/>
    </row>
    <row r="4565" spans="1:1" x14ac:dyDescent="0.25">
      <c r="A4565" s="5"/>
    </row>
    <row r="4566" spans="1:1" x14ac:dyDescent="0.25">
      <c r="A4566" s="5"/>
    </row>
    <row r="4567" spans="1:1" x14ac:dyDescent="0.25">
      <c r="A4567" s="5"/>
    </row>
    <row r="4568" spans="1:1" x14ac:dyDescent="0.25">
      <c r="A4568" s="5"/>
    </row>
    <row r="4569" spans="1:1" x14ac:dyDescent="0.25">
      <c r="A4569" s="5"/>
    </row>
    <row r="4570" spans="1:1" x14ac:dyDescent="0.25">
      <c r="A4570" s="5"/>
    </row>
    <row r="4571" spans="1:1" x14ac:dyDescent="0.25">
      <c r="A4571" s="5"/>
    </row>
    <row r="4572" spans="1:1" x14ac:dyDescent="0.25">
      <c r="A4572" s="5"/>
    </row>
    <row r="4573" spans="1:1" x14ac:dyDescent="0.25">
      <c r="A4573" s="5"/>
    </row>
    <row r="4574" spans="1:1" x14ac:dyDescent="0.25">
      <c r="A4574" s="5"/>
    </row>
    <row r="4575" spans="1:1" x14ac:dyDescent="0.25">
      <c r="A4575" s="5"/>
    </row>
    <row r="4576" spans="1:1" x14ac:dyDescent="0.25">
      <c r="A4576" s="5"/>
    </row>
    <row r="4577" spans="1:1" x14ac:dyDescent="0.25">
      <c r="A4577" s="5"/>
    </row>
    <row r="4578" spans="1:1" x14ac:dyDescent="0.25">
      <c r="A4578" s="5"/>
    </row>
    <row r="4579" spans="1:1" x14ac:dyDescent="0.25">
      <c r="A4579" s="5"/>
    </row>
    <row r="4580" spans="1:1" x14ac:dyDescent="0.25">
      <c r="A4580" s="5"/>
    </row>
    <row r="4581" spans="1:1" x14ac:dyDescent="0.25">
      <c r="A4581" s="5"/>
    </row>
    <row r="4582" spans="1:1" x14ac:dyDescent="0.25">
      <c r="A4582" s="5"/>
    </row>
    <row r="4583" spans="1:1" x14ac:dyDescent="0.25">
      <c r="A4583" s="5"/>
    </row>
    <row r="4584" spans="1:1" x14ac:dyDescent="0.25">
      <c r="A4584" s="5"/>
    </row>
    <row r="4585" spans="1:1" x14ac:dyDescent="0.25">
      <c r="A4585" s="5"/>
    </row>
    <row r="4586" spans="1:1" x14ac:dyDescent="0.25">
      <c r="A4586" s="5"/>
    </row>
    <row r="4587" spans="1:1" x14ac:dyDescent="0.25">
      <c r="A4587" s="5"/>
    </row>
    <row r="4588" spans="1:1" x14ac:dyDescent="0.25">
      <c r="A4588" s="5"/>
    </row>
    <row r="4589" spans="1:1" x14ac:dyDescent="0.25">
      <c r="A4589" s="5"/>
    </row>
    <row r="4590" spans="1:1" x14ac:dyDescent="0.25">
      <c r="A4590" s="5"/>
    </row>
    <row r="4591" spans="1:1" x14ac:dyDescent="0.25">
      <c r="A4591" s="5"/>
    </row>
    <row r="4592" spans="1:1" x14ac:dyDescent="0.25">
      <c r="A4592" s="5"/>
    </row>
    <row r="4593" spans="1:1" x14ac:dyDescent="0.25">
      <c r="A4593" s="5"/>
    </row>
    <row r="4594" spans="1:1" x14ac:dyDescent="0.25">
      <c r="A4594" s="5"/>
    </row>
    <row r="4595" spans="1:1" x14ac:dyDescent="0.25">
      <c r="A4595" s="5"/>
    </row>
    <row r="4596" spans="1:1" x14ac:dyDescent="0.25">
      <c r="A4596" s="5"/>
    </row>
    <row r="4597" spans="1:1" x14ac:dyDescent="0.25">
      <c r="A4597" s="5"/>
    </row>
    <row r="4598" spans="1:1" x14ac:dyDescent="0.25">
      <c r="A4598" s="5"/>
    </row>
    <row r="4599" spans="1:1" x14ac:dyDescent="0.25">
      <c r="A4599" s="5"/>
    </row>
    <row r="4600" spans="1:1" x14ac:dyDescent="0.25">
      <c r="A4600" s="5"/>
    </row>
    <row r="4601" spans="1:1" x14ac:dyDescent="0.25">
      <c r="A4601" s="5"/>
    </row>
    <row r="4602" spans="1:1" x14ac:dyDescent="0.25">
      <c r="A4602" s="5"/>
    </row>
    <row r="4603" spans="1:1" x14ac:dyDescent="0.25">
      <c r="A4603" s="5"/>
    </row>
    <row r="4604" spans="1:1" x14ac:dyDescent="0.25">
      <c r="A4604" s="5"/>
    </row>
    <row r="4605" spans="1:1" x14ac:dyDescent="0.25">
      <c r="A4605" s="5"/>
    </row>
    <row r="4606" spans="1:1" x14ac:dyDescent="0.25">
      <c r="A4606" s="5"/>
    </row>
    <row r="4607" spans="1:1" x14ac:dyDescent="0.25">
      <c r="A4607" s="5"/>
    </row>
    <row r="4608" spans="1:1" x14ac:dyDescent="0.25">
      <c r="A4608" s="5"/>
    </row>
    <row r="4609" spans="1:1" x14ac:dyDescent="0.25">
      <c r="A4609" s="5"/>
    </row>
    <row r="4610" spans="1:1" x14ac:dyDescent="0.25">
      <c r="A4610" s="5"/>
    </row>
    <row r="4611" spans="1:1" x14ac:dyDescent="0.25">
      <c r="A4611" s="5"/>
    </row>
    <row r="4612" spans="1:1" x14ac:dyDescent="0.25">
      <c r="A4612" s="5"/>
    </row>
    <row r="4613" spans="1:1" x14ac:dyDescent="0.25">
      <c r="A4613" s="5"/>
    </row>
    <row r="4614" spans="1:1" x14ac:dyDescent="0.25">
      <c r="A4614" s="5"/>
    </row>
    <row r="4615" spans="1:1" x14ac:dyDescent="0.25">
      <c r="A4615" s="5"/>
    </row>
    <row r="4616" spans="1:1" x14ac:dyDescent="0.25">
      <c r="A4616" s="5"/>
    </row>
    <row r="4617" spans="1:1" x14ac:dyDescent="0.25">
      <c r="A4617" s="5"/>
    </row>
    <row r="4618" spans="1:1" x14ac:dyDescent="0.25">
      <c r="A4618" s="5"/>
    </row>
    <row r="4619" spans="1:1" x14ac:dyDescent="0.25">
      <c r="A4619" s="5"/>
    </row>
    <row r="4620" spans="1:1" x14ac:dyDescent="0.25">
      <c r="A4620" s="5"/>
    </row>
    <row r="4621" spans="1:1" x14ac:dyDescent="0.25">
      <c r="A4621" s="5"/>
    </row>
    <row r="4622" spans="1:1" x14ac:dyDescent="0.25">
      <c r="A4622" s="5"/>
    </row>
    <row r="4623" spans="1:1" x14ac:dyDescent="0.25">
      <c r="A4623" s="5"/>
    </row>
    <row r="4624" spans="1:1" x14ac:dyDescent="0.25">
      <c r="A4624" s="5"/>
    </row>
    <row r="4625" spans="1:1" x14ac:dyDescent="0.25">
      <c r="A4625" s="5"/>
    </row>
    <row r="4626" spans="1:1" x14ac:dyDescent="0.25">
      <c r="A4626" s="5"/>
    </row>
    <row r="4627" spans="1:1" x14ac:dyDescent="0.25">
      <c r="A4627" s="5"/>
    </row>
    <row r="4628" spans="1:1" x14ac:dyDescent="0.25">
      <c r="A4628" s="5"/>
    </row>
    <row r="4629" spans="1:1" x14ac:dyDescent="0.25">
      <c r="A4629" s="5"/>
    </row>
    <row r="4630" spans="1:1" x14ac:dyDescent="0.25">
      <c r="A4630" s="5"/>
    </row>
    <row r="4631" spans="1:1" x14ac:dyDescent="0.25">
      <c r="A4631" s="5"/>
    </row>
    <row r="4632" spans="1:1" x14ac:dyDescent="0.25">
      <c r="A4632" s="5"/>
    </row>
    <row r="4633" spans="1:1" x14ac:dyDescent="0.25">
      <c r="A4633" s="5"/>
    </row>
    <row r="4634" spans="1:1" x14ac:dyDescent="0.25">
      <c r="A4634" s="5"/>
    </row>
    <row r="4635" spans="1:1" x14ac:dyDescent="0.25">
      <c r="A4635" s="5"/>
    </row>
    <row r="4636" spans="1:1" x14ac:dyDescent="0.25">
      <c r="A4636" s="5"/>
    </row>
    <row r="4637" spans="1:1" x14ac:dyDescent="0.25">
      <c r="A4637" s="5"/>
    </row>
    <row r="4638" spans="1:1" x14ac:dyDescent="0.25">
      <c r="A4638" s="5"/>
    </row>
    <row r="4639" spans="1:1" x14ac:dyDescent="0.25">
      <c r="A4639" s="5"/>
    </row>
    <row r="4640" spans="1:1" x14ac:dyDescent="0.25">
      <c r="A4640" s="5"/>
    </row>
    <row r="4641" spans="1:1" x14ac:dyDescent="0.25">
      <c r="A4641" s="5"/>
    </row>
    <row r="4642" spans="1:1" x14ac:dyDescent="0.25">
      <c r="A4642" s="5"/>
    </row>
    <row r="4643" spans="1:1" x14ac:dyDescent="0.25">
      <c r="A4643" s="5"/>
    </row>
    <row r="4644" spans="1:1" x14ac:dyDescent="0.25">
      <c r="A4644" s="5"/>
    </row>
    <row r="4645" spans="1:1" x14ac:dyDescent="0.25">
      <c r="A4645" s="5"/>
    </row>
    <row r="4646" spans="1:1" x14ac:dyDescent="0.25">
      <c r="A4646" s="5"/>
    </row>
    <row r="4647" spans="1:1" x14ac:dyDescent="0.25">
      <c r="A4647" s="5"/>
    </row>
    <row r="4648" spans="1:1" x14ac:dyDescent="0.25">
      <c r="A4648" s="5"/>
    </row>
    <row r="4649" spans="1:1" x14ac:dyDescent="0.25">
      <c r="A4649" s="5"/>
    </row>
    <row r="4650" spans="1:1" x14ac:dyDescent="0.25">
      <c r="A4650" s="5"/>
    </row>
    <row r="4651" spans="1:1" x14ac:dyDescent="0.25">
      <c r="A4651" s="5"/>
    </row>
    <row r="4652" spans="1:1" x14ac:dyDescent="0.25">
      <c r="A4652" s="5"/>
    </row>
    <row r="4653" spans="1:1" x14ac:dyDescent="0.25">
      <c r="A4653" s="5"/>
    </row>
    <row r="4654" spans="1:1" x14ac:dyDescent="0.25">
      <c r="A4654" s="5"/>
    </row>
    <row r="4655" spans="1:1" x14ac:dyDescent="0.25">
      <c r="A4655" s="5"/>
    </row>
    <row r="4656" spans="1:1" x14ac:dyDescent="0.25">
      <c r="A4656" s="5"/>
    </row>
    <row r="4657" spans="1:1" x14ac:dyDescent="0.25">
      <c r="A4657" s="5"/>
    </row>
    <row r="4658" spans="1:1" x14ac:dyDescent="0.25">
      <c r="A4658" s="5"/>
    </row>
    <row r="4659" spans="1:1" x14ac:dyDescent="0.25">
      <c r="A4659" s="5"/>
    </row>
    <row r="4660" spans="1:1" x14ac:dyDescent="0.25">
      <c r="A4660" s="5"/>
    </row>
    <row r="4661" spans="1:1" x14ac:dyDescent="0.25">
      <c r="A4661" s="5"/>
    </row>
    <row r="4662" spans="1:1" x14ac:dyDescent="0.25">
      <c r="A4662" s="5"/>
    </row>
    <row r="4663" spans="1:1" x14ac:dyDescent="0.25">
      <c r="A4663" s="5"/>
    </row>
    <row r="4664" spans="1:1" x14ac:dyDescent="0.25">
      <c r="A4664" s="5"/>
    </row>
    <row r="4665" spans="1:1" x14ac:dyDescent="0.25">
      <c r="A4665" s="5"/>
    </row>
    <row r="4666" spans="1:1" x14ac:dyDescent="0.25">
      <c r="A4666" s="5"/>
    </row>
    <row r="4667" spans="1:1" x14ac:dyDescent="0.25">
      <c r="A4667" s="5"/>
    </row>
    <row r="4668" spans="1:1" x14ac:dyDescent="0.25">
      <c r="A4668" s="5"/>
    </row>
    <row r="4669" spans="1:1" x14ac:dyDescent="0.25">
      <c r="A4669" s="5"/>
    </row>
    <row r="4670" spans="1:1" x14ac:dyDescent="0.25">
      <c r="A4670" s="5"/>
    </row>
    <row r="4671" spans="1:1" x14ac:dyDescent="0.25">
      <c r="A4671" s="5"/>
    </row>
    <row r="4672" spans="1:1" x14ac:dyDescent="0.25">
      <c r="A4672" s="5"/>
    </row>
    <row r="4673" spans="1:1" x14ac:dyDescent="0.25">
      <c r="A4673" s="5"/>
    </row>
    <row r="4674" spans="1:1" x14ac:dyDescent="0.25">
      <c r="A4674" s="5"/>
    </row>
    <row r="4675" spans="1:1" x14ac:dyDescent="0.25">
      <c r="A4675" s="5"/>
    </row>
    <row r="4676" spans="1:1" x14ac:dyDescent="0.25">
      <c r="A4676" s="5"/>
    </row>
    <row r="4677" spans="1:1" x14ac:dyDescent="0.25">
      <c r="A4677" s="5"/>
    </row>
    <row r="4678" spans="1:1" x14ac:dyDescent="0.25">
      <c r="A4678" s="5"/>
    </row>
    <row r="4679" spans="1:1" x14ac:dyDescent="0.25">
      <c r="A4679" s="5"/>
    </row>
    <row r="4680" spans="1:1" x14ac:dyDescent="0.25">
      <c r="A4680" s="5"/>
    </row>
    <row r="4681" spans="1:1" x14ac:dyDescent="0.25">
      <c r="A4681" s="5"/>
    </row>
    <row r="4682" spans="1:1" x14ac:dyDescent="0.25">
      <c r="A4682" s="5"/>
    </row>
    <row r="4683" spans="1:1" x14ac:dyDescent="0.25">
      <c r="A4683" s="5"/>
    </row>
    <row r="4684" spans="1:1" x14ac:dyDescent="0.25">
      <c r="A4684" s="5"/>
    </row>
    <row r="4685" spans="1:1" x14ac:dyDescent="0.25">
      <c r="A4685" s="5"/>
    </row>
    <row r="4686" spans="1:1" x14ac:dyDescent="0.25">
      <c r="A4686" s="5"/>
    </row>
    <row r="4687" spans="1:1" x14ac:dyDescent="0.25">
      <c r="A4687" s="5"/>
    </row>
    <row r="4688" spans="1:1" x14ac:dyDescent="0.25">
      <c r="A4688" s="5"/>
    </row>
    <row r="4689" spans="1:1" x14ac:dyDescent="0.25">
      <c r="A4689" s="5"/>
    </row>
    <row r="4690" spans="1:1" x14ac:dyDescent="0.25">
      <c r="A4690" s="5"/>
    </row>
    <row r="4691" spans="1:1" x14ac:dyDescent="0.25">
      <c r="A4691" s="5"/>
    </row>
    <row r="4692" spans="1:1" x14ac:dyDescent="0.25">
      <c r="A4692" s="5"/>
    </row>
    <row r="4693" spans="1:1" x14ac:dyDescent="0.25">
      <c r="A4693" s="5"/>
    </row>
    <row r="4694" spans="1:1" x14ac:dyDescent="0.25">
      <c r="A4694" s="5"/>
    </row>
    <row r="4695" spans="1:1" x14ac:dyDescent="0.25">
      <c r="A4695" s="5"/>
    </row>
    <row r="4696" spans="1:1" x14ac:dyDescent="0.25">
      <c r="A4696" s="5"/>
    </row>
    <row r="4697" spans="1:1" x14ac:dyDescent="0.25">
      <c r="A4697" s="5"/>
    </row>
    <row r="4698" spans="1:1" x14ac:dyDescent="0.25">
      <c r="A4698" s="5"/>
    </row>
    <row r="4699" spans="1:1" x14ac:dyDescent="0.25">
      <c r="A4699" s="5"/>
    </row>
    <row r="4700" spans="1:1" x14ac:dyDescent="0.25">
      <c r="A4700" s="5"/>
    </row>
    <row r="4701" spans="1:1" x14ac:dyDescent="0.25">
      <c r="A4701" s="5"/>
    </row>
    <row r="4702" spans="1:1" x14ac:dyDescent="0.25">
      <c r="A4702" s="5"/>
    </row>
    <row r="4703" spans="1:1" x14ac:dyDescent="0.25">
      <c r="A4703" s="5"/>
    </row>
    <row r="4704" spans="1:1" x14ac:dyDescent="0.25">
      <c r="A4704" s="5"/>
    </row>
    <row r="4705" spans="1:1" x14ac:dyDescent="0.25">
      <c r="A4705" s="5"/>
    </row>
    <row r="4706" spans="1:1" x14ac:dyDescent="0.25">
      <c r="A4706" s="5"/>
    </row>
    <row r="4707" spans="1:1" x14ac:dyDescent="0.25">
      <c r="A4707" s="5"/>
    </row>
    <row r="4708" spans="1:1" x14ac:dyDescent="0.25">
      <c r="A4708" s="5"/>
    </row>
    <row r="4709" spans="1:1" x14ac:dyDescent="0.25">
      <c r="A4709" s="5"/>
    </row>
    <row r="4710" spans="1:1" x14ac:dyDescent="0.25">
      <c r="A4710" s="5"/>
    </row>
    <row r="4711" spans="1:1" x14ac:dyDescent="0.25">
      <c r="A4711" s="5"/>
    </row>
    <row r="4712" spans="1:1" x14ac:dyDescent="0.25">
      <c r="A4712" s="5"/>
    </row>
    <row r="4713" spans="1:1" x14ac:dyDescent="0.25">
      <c r="A4713" s="5"/>
    </row>
    <row r="4714" spans="1:1" x14ac:dyDescent="0.25">
      <c r="A4714" s="5"/>
    </row>
    <row r="4715" spans="1:1" x14ac:dyDescent="0.25">
      <c r="A4715" s="5"/>
    </row>
    <row r="4716" spans="1:1" x14ac:dyDescent="0.25">
      <c r="A4716" s="5"/>
    </row>
    <row r="4717" spans="1:1" x14ac:dyDescent="0.25">
      <c r="A4717" s="5"/>
    </row>
    <row r="4718" spans="1:1" x14ac:dyDescent="0.25">
      <c r="A4718" s="5"/>
    </row>
    <row r="4719" spans="1:1" x14ac:dyDescent="0.25">
      <c r="A4719" s="5"/>
    </row>
    <row r="4720" spans="1:1" x14ac:dyDescent="0.25">
      <c r="A4720" s="5"/>
    </row>
    <row r="4721" spans="1:1" x14ac:dyDescent="0.25">
      <c r="A4721" s="5"/>
    </row>
    <row r="4722" spans="1:1" x14ac:dyDescent="0.25">
      <c r="A4722" s="5"/>
    </row>
    <row r="4723" spans="1:1" x14ac:dyDescent="0.25">
      <c r="A4723" s="5"/>
    </row>
    <row r="4724" spans="1:1" x14ac:dyDescent="0.25">
      <c r="A4724" s="5"/>
    </row>
    <row r="4725" spans="1:1" x14ac:dyDescent="0.25">
      <c r="A4725" s="5"/>
    </row>
    <row r="4726" spans="1:1" x14ac:dyDescent="0.25">
      <c r="A4726" s="5"/>
    </row>
    <row r="4727" spans="1:1" x14ac:dyDescent="0.25">
      <c r="A4727" s="5"/>
    </row>
    <row r="4728" spans="1:1" x14ac:dyDescent="0.25">
      <c r="A4728" s="5"/>
    </row>
    <row r="4729" spans="1:1" x14ac:dyDescent="0.25">
      <c r="A4729" s="5"/>
    </row>
    <row r="4730" spans="1:1" x14ac:dyDescent="0.25">
      <c r="A4730" s="5"/>
    </row>
    <row r="4731" spans="1:1" x14ac:dyDescent="0.25">
      <c r="A4731" s="5"/>
    </row>
    <row r="4732" spans="1:1" x14ac:dyDescent="0.25">
      <c r="A4732" s="5"/>
    </row>
    <row r="4733" spans="1:1" x14ac:dyDescent="0.25">
      <c r="A4733" s="5"/>
    </row>
    <row r="4734" spans="1:1" x14ac:dyDescent="0.25">
      <c r="A4734" s="5"/>
    </row>
    <row r="4735" spans="1:1" x14ac:dyDescent="0.25">
      <c r="A4735" s="5"/>
    </row>
    <row r="4736" spans="1:1" x14ac:dyDescent="0.25">
      <c r="A4736" s="5"/>
    </row>
    <row r="4737" spans="1:1" x14ac:dyDescent="0.25">
      <c r="A4737" s="5"/>
    </row>
    <row r="4738" spans="1:1" x14ac:dyDescent="0.25">
      <c r="A4738" s="5"/>
    </row>
    <row r="4739" spans="1:1" x14ac:dyDescent="0.25">
      <c r="A4739" s="5"/>
    </row>
    <row r="4740" spans="1:1" x14ac:dyDescent="0.25">
      <c r="A4740" s="5"/>
    </row>
    <row r="4741" spans="1:1" x14ac:dyDescent="0.25">
      <c r="A4741" s="5"/>
    </row>
    <row r="4742" spans="1:1" x14ac:dyDescent="0.25">
      <c r="A4742" s="5"/>
    </row>
    <row r="4743" spans="1:1" x14ac:dyDescent="0.25">
      <c r="A4743" s="5"/>
    </row>
    <row r="4744" spans="1:1" x14ac:dyDescent="0.25">
      <c r="A4744" s="5"/>
    </row>
    <row r="4745" spans="1:1" x14ac:dyDescent="0.25">
      <c r="A4745" s="5"/>
    </row>
    <row r="4746" spans="1:1" x14ac:dyDescent="0.25">
      <c r="A4746" s="5"/>
    </row>
    <row r="4747" spans="1:1" x14ac:dyDescent="0.25">
      <c r="A4747" s="5"/>
    </row>
    <row r="4748" spans="1:1" x14ac:dyDescent="0.25">
      <c r="A4748" s="5"/>
    </row>
    <row r="4749" spans="1:1" x14ac:dyDescent="0.25">
      <c r="A4749" s="5"/>
    </row>
    <row r="4750" spans="1:1" x14ac:dyDescent="0.25">
      <c r="A4750" s="5"/>
    </row>
    <row r="4751" spans="1:1" x14ac:dyDescent="0.25">
      <c r="A4751" s="5"/>
    </row>
    <row r="4752" spans="1:1" x14ac:dyDescent="0.25">
      <c r="A4752" s="5"/>
    </row>
    <row r="4753" spans="1:1" x14ac:dyDescent="0.25">
      <c r="A4753" s="5"/>
    </row>
    <row r="4754" spans="1:1" x14ac:dyDescent="0.25">
      <c r="A4754" s="5"/>
    </row>
    <row r="4755" spans="1:1" x14ac:dyDescent="0.25">
      <c r="A4755" s="5"/>
    </row>
    <row r="4756" spans="1:1" x14ac:dyDescent="0.25">
      <c r="A4756" s="5"/>
    </row>
    <row r="4757" spans="1:1" x14ac:dyDescent="0.25">
      <c r="A4757" s="5"/>
    </row>
    <row r="4758" spans="1:1" x14ac:dyDescent="0.25">
      <c r="A4758" s="5"/>
    </row>
    <row r="4759" spans="1:1" x14ac:dyDescent="0.25">
      <c r="A4759" s="5"/>
    </row>
    <row r="4760" spans="1:1" x14ac:dyDescent="0.25">
      <c r="A4760" s="5"/>
    </row>
    <row r="4761" spans="1:1" x14ac:dyDescent="0.25">
      <c r="A4761" s="5"/>
    </row>
    <row r="4762" spans="1:1" x14ac:dyDescent="0.25">
      <c r="A4762" s="5"/>
    </row>
    <row r="4763" spans="1:1" x14ac:dyDescent="0.25">
      <c r="A4763" s="5"/>
    </row>
    <row r="4764" spans="1:1" x14ac:dyDescent="0.25">
      <c r="A4764" s="5"/>
    </row>
    <row r="4765" spans="1:1" x14ac:dyDescent="0.25">
      <c r="A4765" s="5"/>
    </row>
    <row r="4766" spans="1:1" x14ac:dyDescent="0.25">
      <c r="A4766" s="5"/>
    </row>
    <row r="4767" spans="1:1" x14ac:dyDescent="0.25">
      <c r="A4767" s="5"/>
    </row>
    <row r="4768" spans="1:1" x14ac:dyDescent="0.25">
      <c r="A4768" s="5"/>
    </row>
    <row r="4769" spans="1:1" x14ac:dyDescent="0.25">
      <c r="A4769" s="5"/>
    </row>
    <row r="4770" spans="1:1" x14ac:dyDescent="0.25">
      <c r="A4770" s="5"/>
    </row>
    <row r="4771" spans="1:1" x14ac:dyDescent="0.25">
      <c r="A4771" s="5"/>
    </row>
    <row r="4772" spans="1:1" x14ac:dyDescent="0.25">
      <c r="A4772" s="5"/>
    </row>
    <row r="4773" spans="1:1" x14ac:dyDescent="0.25">
      <c r="A4773" s="5"/>
    </row>
    <row r="4774" spans="1:1" x14ac:dyDescent="0.25">
      <c r="A4774" s="5"/>
    </row>
    <row r="4775" spans="1:1" x14ac:dyDescent="0.25">
      <c r="A4775" s="5"/>
    </row>
    <row r="4776" spans="1:1" x14ac:dyDescent="0.25">
      <c r="A4776" s="5"/>
    </row>
    <row r="4777" spans="1:1" x14ac:dyDescent="0.25">
      <c r="A4777" s="5"/>
    </row>
    <row r="4778" spans="1:1" x14ac:dyDescent="0.25">
      <c r="A4778" s="5"/>
    </row>
    <row r="4779" spans="1:1" x14ac:dyDescent="0.25">
      <c r="A4779" s="5"/>
    </row>
    <row r="4780" spans="1:1" x14ac:dyDescent="0.25">
      <c r="A4780" s="5"/>
    </row>
    <row r="4781" spans="1:1" x14ac:dyDescent="0.25">
      <c r="A4781" s="5"/>
    </row>
    <row r="4782" spans="1:1" x14ac:dyDescent="0.25">
      <c r="A4782" s="5"/>
    </row>
    <row r="4783" spans="1:1" x14ac:dyDescent="0.25">
      <c r="A4783" s="5"/>
    </row>
    <row r="4784" spans="1:1" x14ac:dyDescent="0.25">
      <c r="A4784" s="5"/>
    </row>
    <row r="4785" spans="1:1" x14ac:dyDescent="0.25">
      <c r="A4785" s="5"/>
    </row>
    <row r="4786" spans="1:1" x14ac:dyDescent="0.25">
      <c r="A4786" s="5"/>
    </row>
    <row r="4787" spans="1:1" x14ac:dyDescent="0.25">
      <c r="A4787" s="5"/>
    </row>
    <row r="4788" spans="1:1" x14ac:dyDescent="0.25">
      <c r="A4788" s="5"/>
    </row>
    <row r="4789" spans="1:1" x14ac:dyDescent="0.25">
      <c r="A4789" s="5"/>
    </row>
    <row r="4790" spans="1:1" x14ac:dyDescent="0.25">
      <c r="A4790" s="5"/>
    </row>
    <row r="4791" spans="1:1" x14ac:dyDescent="0.25">
      <c r="A4791" s="5"/>
    </row>
    <row r="4792" spans="1:1" x14ac:dyDescent="0.25">
      <c r="A4792" s="5"/>
    </row>
    <row r="4793" spans="1:1" x14ac:dyDescent="0.25">
      <c r="A4793" s="5"/>
    </row>
    <row r="4794" spans="1:1" x14ac:dyDescent="0.25">
      <c r="A4794" s="5"/>
    </row>
    <row r="4795" spans="1:1" x14ac:dyDescent="0.25">
      <c r="A4795" s="5"/>
    </row>
    <row r="4796" spans="1:1" x14ac:dyDescent="0.25">
      <c r="A4796" s="5"/>
    </row>
    <row r="4797" spans="1:1" x14ac:dyDescent="0.25">
      <c r="A4797" s="5"/>
    </row>
    <row r="4798" spans="1:1" x14ac:dyDescent="0.25">
      <c r="A4798" s="5"/>
    </row>
    <row r="4799" spans="1:1" x14ac:dyDescent="0.25">
      <c r="A4799" s="5"/>
    </row>
    <row r="4800" spans="1:1" x14ac:dyDescent="0.25">
      <c r="A4800" s="5"/>
    </row>
    <row r="4801" spans="1:1" x14ac:dyDescent="0.25">
      <c r="A4801" s="5"/>
    </row>
    <row r="4802" spans="1:1" x14ac:dyDescent="0.25">
      <c r="A4802" s="5"/>
    </row>
    <row r="4803" spans="1:1" x14ac:dyDescent="0.25">
      <c r="A4803" s="5"/>
    </row>
    <row r="4804" spans="1:1" x14ac:dyDescent="0.25">
      <c r="A4804" s="5"/>
    </row>
    <row r="4805" spans="1:1" x14ac:dyDescent="0.25">
      <c r="A4805" s="5"/>
    </row>
    <row r="4806" spans="1:1" x14ac:dyDescent="0.25">
      <c r="A4806" s="5"/>
    </row>
    <row r="4807" spans="1:1" x14ac:dyDescent="0.25">
      <c r="A4807" s="5"/>
    </row>
    <row r="4808" spans="1:1" x14ac:dyDescent="0.25">
      <c r="A4808" s="5"/>
    </row>
    <row r="4809" spans="1:1" x14ac:dyDescent="0.25">
      <c r="A4809" s="5"/>
    </row>
    <row r="4810" spans="1:1" x14ac:dyDescent="0.25">
      <c r="A4810" s="5"/>
    </row>
    <row r="4811" spans="1:1" x14ac:dyDescent="0.25">
      <c r="A4811" s="5"/>
    </row>
    <row r="4812" spans="1:1" x14ac:dyDescent="0.25">
      <c r="A4812" s="5"/>
    </row>
    <row r="4813" spans="1:1" x14ac:dyDescent="0.25">
      <c r="A4813" s="5"/>
    </row>
    <row r="4814" spans="1:1" x14ac:dyDescent="0.25">
      <c r="A4814" s="5"/>
    </row>
    <row r="4815" spans="1:1" x14ac:dyDescent="0.25">
      <c r="A4815" s="5"/>
    </row>
    <row r="4816" spans="1:1" x14ac:dyDescent="0.25">
      <c r="A4816" s="5"/>
    </row>
    <row r="4817" spans="1:1" x14ac:dyDescent="0.25">
      <c r="A4817" s="5"/>
    </row>
    <row r="4818" spans="1:1" x14ac:dyDescent="0.25">
      <c r="A4818" s="5"/>
    </row>
    <row r="4819" spans="1:1" x14ac:dyDescent="0.25">
      <c r="A4819" s="5"/>
    </row>
    <row r="4820" spans="1:1" x14ac:dyDescent="0.25">
      <c r="A4820" s="5"/>
    </row>
    <row r="4821" spans="1:1" x14ac:dyDescent="0.25">
      <c r="A4821" s="5"/>
    </row>
    <row r="4822" spans="1:1" x14ac:dyDescent="0.25">
      <c r="A4822" s="5"/>
    </row>
    <row r="4823" spans="1:1" x14ac:dyDescent="0.25">
      <c r="A4823" s="5"/>
    </row>
    <row r="4824" spans="1:1" x14ac:dyDescent="0.25">
      <c r="A4824" s="5"/>
    </row>
    <row r="4825" spans="1:1" x14ac:dyDescent="0.25">
      <c r="A4825" s="5"/>
    </row>
    <row r="4826" spans="1:1" x14ac:dyDescent="0.25">
      <c r="A4826" s="5"/>
    </row>
    <row r="4827" spans="1:1" x14ac:dyDescent="0.25">
      <c r="A4827" s="5"/>
    </row>
    <row r="4828" spans="1:1" x14ac:dyDescent="0.25">
      <c r="A4828" s="5"/>
    </row>
    <row r="4829" spans="1:1" x14ac:dyDescent="0.25">
      <c r="A4829" s="5"/>
    </row>
    <row r="4830" spans="1:1" x14ac:dyDescent="0.25">
      <c r="A4830" s="5"/>
    </row>
    <row r="4831" spans="1:1" x14ac:dyDescent="0.25">
      <c r="A4831" s="5"/>
    </row>
    <row r="4832" spans="1:1" x14ac:dyDescent="0.25">
      <c r="A4832" s="5"/>
    </row>
    <row r="4833" spans="1:1" x14ac:dyDescent="0.25">
      <c r="A4833" s="5"/>
    </row>
    <row r="4834" spans="1:1" x14ac:dyDescent="0.25">
      <c r="A4834" s="5"/>
    </row>
    <row r="4835" spans="1:1" x14ac:dyDescent="0.25">
      <c r="A4835" s="5"/>
    </row>
    <row r="4836" spans="1:1" x14ac:dyDescent="0.25">
      <c r="A4836" s="5"/>
    </row>
    <row r="4837" spans="1:1" x14ac:dyDescent="0.25">
      <c r="A4837" s="5"/>
    </row>
    <row r="4838" spans="1:1" x14ac:dyDescent="0.25">
      <c r="A4838" s="5"/>
    </row>
    <row r="4839" spans="1:1" x14ac:dyDescent="0.25">
      <c r="A4839" s="5"/>
    </row>
    <row r="4840" spans="1:1" x14ac:dyDescent="0.25">
      <c r="A4840" s="5"/>
    </row>
    <row r="4841" spans="1:1" x14ac:dyDescent="0.25">
      <c r="A4841" s="5"/>
    </row>
    <row r="4842" spans="1:1" x14ac:dyDescent="0.25">
      <c r="A4842" s="5"/>
    </row>
    <row r="4843" spans="1:1" x14ac:dyDescent="0.25">
      <c r="A4843" s="5"/>
    </row>
    <row r="4844" spans="1:1" x14ac:dyDescent="0.25">
      <c r="A4844" s="5"/>
    </row>
    <row r="4845" spans="1:1" x14ac:dyDescent="0.25">
      <c r="A4845" s="5"/>
    </row>
    <row r="4846" spans="1:1" x14ac:dyDescent="0.25">
      <c r="A4846" s="5"/>
    </row>
    <row r="4847" spans="1:1" x14ac:dyDescent="0.25">
      <c r="A4847" s="5"/>
    </row>
    <row r="4848" spans="1:1" x14ac:dyDescent="0.25">
      <c r="A4848" s="5"/>
    </row>
    <row r="4849" spans="1:1" x14ac:dyDescent="0.25">
      <c r="A4849" s="5"/>
    </row>
    <row r="4850" spans="1:1" x14ac:dyDescent="0.25">
      <c r="A4850" s="5"/>
    </row>
    <row r="4851" spans="1:1" x14ac:dyDescent="0.25">
      <c r="A4851" s="5"/>
    </row>
    <row r="4852" spans="1:1" x14ac:dyDescent="0.25">
      <c r="A4852" s="5"/>
    </row>
    <row r="4853" spans="1:1" x14ac:dyDescent="0.25">
      <c r="A4853" s="5"/>
    </row>
    <row r="4854" spans="1:1" x14ac:dyDescent="0.25">
      <c r="A4854" s="5"/>
    </row>
    <row r="4855" spans="1:1" x14ac:dyDescent="0.25">
      <c r="A4855" s="5"/>
    </row>
    <row r="4856" spans="1:1" x14ac:dyDescent="0.25">
      <c r="A4856" s="5"/>
    </row>
    <row r="4857" spans="1:1" x14ac:dyDescent="0.25">
      <c r="A4857" s="5"/>
    </row>
    <row r="4858" spans="1:1" x14ac:dyDescent="0.25">
      <c r="A4858" s="5"/>
    </row>
    <row r="4859" spans="1:1" x14ac:dyDescent="0.25">
      <c r="A4859" s="5"/>
    </row>
    <row r="4860" spans="1:1" x14ac:dyDescent="0.25">
      <c r="A4860" s="5"/>
    </row>
    <row r="4861" spans="1:1" x14ac:dyDescent="0.25">
      <c r="A4861" s="5"/>
    </row>
    <row r="4862" spans="1:1" x14ac:dyDescent="0.25">
      <c r="A4862" s="5"/>
    </row>
    <row r="4863" spans="1:1" x14ac:dyDescent="0.25">
      <c r="A4863" s="5"/>
    </row>
    <row r="4864" spans="1:1" x14ac:dyDescent="0.25">
      <c r="A4864" s="5"/>
    </row>
    <row r="4865" spans="1:1" x14ac:dyDescent="0.25">
      <c r="A4865" s="5"/>
    </row>
    <row r="4866" spans="1:1" x14ac:dyDescent="0.25">
      <c r="A4866" s="5"/>
    </row>
    <row r="4867" spans="1:1" x14ac:dyDescent="0.25">
      <c r="A4867" s="5"/>
    </row>
    <row r="4868" spans="1:1" x14ac:dyDescent="0.25">
      <c r="A4868" s="5"/>
    </row>
    <row r="4869" spans="1:1" x14ac:dyDescent="0.25">
      <c r="A4869" s="5"/>
    </row>
    <row r="4870" spans="1:1" x14ac:dyDescent="0.25">
      <c r="A4870" s="5"/>
    </row>
    <row r="4871" spans="1:1" x14ac:dyDescent="0.25">
      <c r="A4871" s="5"/>
    </row>
    <row r="4872" spans="1:1" x14ac:dyDescent="0.25">
      <c r="A4872" s="5"/>
    </row>
    <row r="4873" spans="1:1" x14ac:dyDescent="0.25">
      <c r="A4873" s="5"/>
    </row>
    <row r="4874" spans="1:1" x14ac:dyDescent="0.25">
      <c r="A4874" s="5"/>
    </row>
    <row r="4875" spans="1:1" x14ac:dyDescent="0.25">
      <c r="A4875" s="5"/>
    </row>
    <row r="4876" spans="1:1" x14ac:dyDescent="0.25">
      <c r="A4876" s="5"/>
    </row>
    <row r="4877" spans="1:1" x14ac:dyDescent="0.25">
      <c r="A4877" s="5"/>
    </row>
    <row r="4878" spans="1:1" x14ac:dyDescent="0.25">
      <c r="A4878" s="5"/>
    </row>
    <row r="4879" spans="1:1" x14ac:dyDescent="0.25">
      <c r="A4879" s="5"/>
    </row>
    <row r="4880" spans="1:1" x14ac:dyDescent="0.25">
      <c r="A4880" s="5"/>
    </row>
    <row r="4881" spans="1:1" x14ac:dyDescent="0.25">
      <c r="A4881" s="5"/>
    </row>
    <row r="4882" spans="1:1" x14ac:dyDescent="0.25">
      <c r="A4882" s="5"/>
    </row>
    <row r="4883" spans="1:1" x14ac:dyDescent="0.25">
      <c r="A4883" s="5"/>
    </row>
    <row r="4884" spans="1:1" x14ac:dyDescent="0.25">
      <c r="A4884" s="5"/>
    </row>
    <row r="4885" spans="1:1" x14ac:dyDescent="0.25">
      <c r="A4885" s="5"/>
    </row>
    <row r="4886" spans="1:1" x14ac:dyDescent="0.25">
      <c r="A4886" s="5"/>
    </row>
    <row r="4887" spans="1:1" x14ac:dyDescent="0.25">
      <c r="A4887" s="5"/>
    </row>
    <row r="4888" spans="1:1" x14ac:dyDescent="0.25">
      <c r="A4888" s="5"/>
    </row>
    <row r="4889" spans="1:1" x14ac:dyDescent="0.25">
      <c r="A4889" s="5"/>
    </row>
    <row r="4890" spans="1:1" x14ac:dyDescent="0.25">
      <c r="A4890" s="5"/>
    </row>
    <row r="4891" spans="1:1" x14ac:dyDescent="0.25">
      <c r="A4891" s="5"/>
    </row>
    <row r="4892" spans="1:1" x14ac:dyDescent="0.25">
      <c r="A4892" s="5"/>
    </row>
    <row r="4893" spans="1:1" x14ac:dyDescent="0.25">
      <c r="A4893" s="5"/>
    </row>
    <row r="4894" spans="1:1" x14ac:dyDescent="0.25">
      <c r="A4894" s="5"/>
    </row>
    <row r="4895" spans="1:1" x14ac:dyDescent="0.25">
      <c r="A4895" s="5"/>
    </row>
    <row r="4896" spans="1:1" x14ac:dyDescent="0.25">
      <c r="A4896" s="5"/>
    </row>
    <row r="4897" spans="1:1" x14ac:dyDescent="0.25">
      <c r="A4897" s="5"/>
    </row>
    <row r="4898" spans="1:1" x14ac:dyDescent="0.25">
      <c r="A4898" s="5"/>
    </row>
    <row r="4899" spans="1:1" x14ac:dyDescent="0.25">
      <c r="A4899" s="5"/>
    </row>
    <row r="4900" spans="1:1" x14ac:dyDescent="0.25">
      <c r="A4900" s="5"/>
    </row>
    <row r="4901" spans="1:1" x14ac:dyDescent="0.25">
      <c r="A4901" s="5"/>
    </row>
    <row r="4902" spans="1:1" x14ac:dyDescent="0.25">
      <c r="A4902" s="5"/>
    </row>
    <row r="4903" spans="1:1" x14ac:dyDescent="0.25">
      <c r="A4903" s="5"/>
    </row>
    <row r="4904" spans="1:1" x14ac:dyDescent="0.25">
      <c r="A4904" s="5"/>
    </row>
    <row r="4905" spans="1:1" x14ac:dyDescent="0.25">
      <c r="A4905" s="5"/>
    </row>
    <row r="4906" spans="1:1" x14ac:dyDescent="0.25">
      <c r="A4906" s="5"/>
    </row>
    <row r="4907" spans="1:1" x14ac:dyDescent="0.25">
      <c r="A4907" s="5"/>
    </row>
    <row r="4908" spans="1:1" x14ac:dyDescent="0.25">
      <c r="A4908" s="5"/>
    </row>
    <row r="4909" spans="1:1" x14ac:dyDescent="0.25">
      <c r="A4909" s="5"/>
    </row>
    <row r="4910" spans="1:1" x14ac:dyDescent="0.25">
      <c r="A4910" s="5"/>
    </row>
    <row r="4911" spans="1:1" x14ac:dyDescent="0.25">
      <c r="A4911" s="5"/>
    </row>
    <row r="4912" spans="1:1" x14ac:dyDescent="0.25">
      <c r="A4912" s="5"/>
    </row>
    <row r="4913" spans="1:1" x14ac:dyDescent="0.25">
      <c r="A4913" s="5"/>
    </row>
    <row r="4914" spans="1:1" x14ac:dyDescent="0.25">
      <c r="A4914" s="5"/>
    </row>
    <row r="4915" spans="1:1" x14ac:dyDescent="0.25">
      <c r="A4915" s="5"/>
    </row>
    <row r="4916" spans="1:1" x14ac:dyDescent="0.25">
      <c r="A4916" s="5"/>
    </row>
    <row r="4917" spans="1:1" x14ac:dyDescent="0.25">
      <c r="A4917" s="5"/>
    </row>
    <row r="4918" spans="1:1" x14ac:dyDescent="0.25">
      <c r="A4918" s="5"/>
    </row>
    <row r="4919" spans="1:1" x14ac:dyDescent="0.25">
      <c r="A4919" s="5"/>
    </row>
    <row r="4920" spans="1:1" x14ac:dyDescent="0.25">
      <c r="A4920" s="5"/>
    </row>
    <row r="4921" spans="1:1" x14ac:dyDescent="0.25">
      <c r="A4921" s="5"/>
    </row>
    <row r="4922" spans="1:1" x14ac:dyDescent="0.25">
      <c r="A4922" s="5"/>
    </row>
    <row r="4923" spans="1:1" x14ac:dyDescent="0.25">
      <c r="A4923" s="5"/>
    </row>
    <row r="4924" spans="1:1" x14ac:dyDescent="0.25">
      <c r="A4924" s="5"/>
    </row>
    <row r="4925" spans="1:1" x14ac:dyDescent="0.25">
      <c r="A4925" s="5"/>
    </row>
    <row r="4926" spans="1:1" x14ac:dyDescent="0.25">
      <c r="A4926" s="5"/>
    </row>
    <row r="4927" spans="1:1" x14ac:dyDescent="0.25">
      <c r="A4927" s="5"/>
    </row>
    <row r="4928" spans="1:1" x14ac:dyDescent="0.25">
      <c r="A4928" s="5"/>
    </row>
    <row r="4929" spans="1:1" x14ac:dyDescent="0.25">
      <c r="A4929" s="5"/>
    </row>
    <row r="4930" spans="1:1" x14ac:dyDescent="0.25">
      <c r="A4930" s="5"/>
    </row>
    <row r="4931" spans="1:1" x14ac:dyDescent="0.25">
      <c r="A4931" s="5"/>
    </row>
    <row r="4932" spans="1:1" x14ac:dyDescent="0.25">
      <c r="A4932" s="5"/>
    </row>
    <row r="4933" spans="1:1" x14ac:dyDescent="0.25">
      <c r="A4933" s="5"/>
    </row>
    <row r="4934" spans="1:1" x14ac:dyDescent="0.25">
      <c r="A4934" s="5"/>
    </row>
    <row r="4935" spans="1:1" x14ac:dyDescent="0.25">
      <c r="A4935" s="5"/>
    </row>
    <row r="4936" spans="1:1" x14ac:dyDescent="0.25">
      <c r="A4936" s="5"/>
    </row>
    <row r="4937" spans="1:1" x14ac:dyDescent="0.25">
      <c r="A4937" s="5"/>
    </row>
    <row r="4938" spans="1:1" x14ac:dyDescent="0.25">
      <c r="A4938" s="5"/>
    </row>
    <row r="4939" spans="1:1" x14ac:dyDescent="0.25">
      <c r="A4939" s="5"/>
    </row>
    <row r="4940" spans="1:1" x14ac:dyDescent="0.25">
      <c r="A4940" s="5"/>
    </row>
    <row r="4941" spans="1:1" x14ac:dyDescent="0.25">
      <c r="A4941" s="5"/>
    </row>
    <row r="4942" spans="1:1" x14ac:dyDescent="0.25">
      <c r="A4942" s="5"/>
    </row>
    <row r="4943" spans="1:1" x14ac:dyDescent="0.25">
      <c r="A4943" s="5"/>
    </row>
    <row r="4944" spans="1:1" x14ac:dyDescent="0.25">
      <c r="A4944" s="5"/>
    </row>
    <row r="4945" spans="1:1" x14ac:dyDescent="0.25">
      <c r="A4945" s="5"/>
    </row>
    <row r="4946" spans="1:1" x14ac:dyDescent="0.25">
      <c r="A4946" s="5"/>
    </row>
    <row r="4947" spans="1:1" x14ac:dyDescent="0.25">
      <c r="A4947" s="5"/>
    </row>
    <row r="4948" spans="1:1" x14ac:dyDescent="0.25">
      <c r="A4948" s="5"/>
    </row>
    <row r="4949" spans="1:1" x14ac:dyDescent="0.25">
      <c r="A4949" s="5"/>
    </row>
    <row r="4950" spans="1:1" x14ac:dyDescent="0.25">
      <c r="A4950" s="5"/>
    </row>
    <row r="4951" spans="1:1" x14ac:dyDescent="0.25">
      <c r="A4951" s="5"/>
    </row>
    <row r="4952" spans="1:1" x14ac:dyDescent="0.25">
      <c r="A4952" s="5"/>
    </row>
    <row r="4953" spans="1:1" x14ac:dyDescent="0.25">
      <c r="A4953" s="5"/>
    </row>
    <row r="4954" spans="1:1" x14ac:dyDescent="0.25">
      <c r="A4954" s="5"/>
    </row>
    <row r="4955" spans="1:1" x14ac:dyDescent="0.25">
      <c r="A4955" s="5"/>
    </row>
    <row r="4956" spans="1:1" x14ac:dyDescent="0.25">
      <c r="A4956" s="5"/>
    </row>
    <row r="4957" spans="1:1" x14ac:dyDescent="0.25">
      <c r="A4957" s="5"/>
    </row>
    <row r="4958" spans="1:1" x14ac:dyDescent="0.25">
      <c r="A4958" s="5"/>
    </row>
    <row r="4959" spans="1:1" x14ac:dyDescent="0.25">
      <c r="A4959" s="5"/>
    </row>
    <row r="4960" spans="1:1" x14ac:dyDescent="0.25">
      <c r="A4960" s="5"/>
    </row>
    <row r="4961" spans="1:1" x14ac:dyDescent="0.25">
      <c r="A4961" s="5"/>
    </row>
    <row r="4962" spans="1:1" x14ac:dyDescent="0.25">
      <c r="A4962" s="5"/>
    </row>
    <row r="4963" spans="1:1" x14ac:dyDescent="0.25">
      <c r="A4963" s="5"/>
    </row>
    <row r="4964" spans="1:1" x14ac:dyDescent="0.25">
      <c r="A4964" s="5"/>
    </row>
    <row r="4965" spans="1:1" x14ac:dyDescent="0.25">
      <c r="A4965" s="5"/>
    </row>
    <row r="4966" spans="1:1" x14ac:dyDescent="0.25">
      <c r="A4966" s="5"/>
    </row>
    <row r="4967" spans="1:1" x14ac:dyDescent="0.25">
      <c r="A4967" s="5"/>
    </row>
    <row r="4968" spans="1:1" x14ac:dyDescent="0.25">
      <c r="A4968" s="5"/>
    </row>
    <row r="4969" spans="1:1" x14ac:dyDescent="0.25">
      <c r="A4969" s="5"/>
    </row>
    <row r="4970" spans="1:1" x14ac:dyDescent="0.25">
      <c r="A4970" s="5"/>
    </row>
    <row r="4971" spans="1:1" x14ac:dyDescent="0.25">
      <c r="A4971" s="5"/>
    </row>
    <row r="4972" spans="1:1" x14ac:dyDescent="0.25">
      <c r="A4972" s="5"/>
    </row>
    <row r="4973" spans="1:1" x14ac:dyDescent="0.25">
      <c r="A4973" s="5"/>
    </row>
    <row r="4974" spans="1:1" x14ac:dyDescent="0.25">
      <c r="A4974" s="5"/>
    </row>
    <row r="4975" spans="1:1" x14ac:dyDescent="0.25">
      <c r="A4975" s="5"/>
    </row>
    <row r="4976" spans="1:1" x14ac:dyDescent="0.25">
      <c r="A4976" s="5"/>
    </row>
    <row r="4977" spans="1:1" x14ac:dyDescent="0.25">
      <c r="A4977" s="5"/>
    </row>
    <row r="4978" spans="1:1" x14ac:dyDescent="0.25">
      <c r="A4978" s="5"/>
    </row>
    <row r="4979" spans="1:1" x14ac:dyDescent="0.25">
      <c r="A4979" s="5"/>
    </row>
    <row r="4980" spans="1:1" x14ac:dyDescent="0.25">
      <c r="A4980" s="5"/>
    </row>
    <row r="4981" spans="1:1" x14ac:dyDescent="0.25">
      <c r="A4981" s="5"/>
    </row>
    <row r="4982" spans="1:1" x14ac:dyDescent="0.25">
      <c r="A4982" s="5"/>
    </row>
    <row r="4983" spans="1:1" x14ac:dyDescent="0.25">
      <c r="A4983" s="5"/>
    </row>
    <row r="4984" spans="1:1" x14ac:dyDescent="0.25">
      <c r="A4984" s="5"/>
    </row>
    <row r="4985" spans="1:1" x14ac:dyDescent="0.25">
      <c r="A4985" s="5"/>
    </row>
    <row r="4986" spans="1:1" x14ac:dyDescent="0.25">
      <c r="A4986" s="5"/>
    </row>
    <row r="4987" spans="1:1" x14ac:dyDescent="0.25">
      <c r="A4987" s="5"/>
    </row>
    <row r="4988" spans="1:1" x14ac:dyDescent="0.25">
      <c r="A4988" s="5"/>
    </row>
    <row r="4989" spans="1:1" x14ac:dyDescent="0.25">
      <c r="A4989" s="5"/>
    </row>
    <row r="4990" spans="1:1" x14ac:dyDescent="0.25">
      <c r="A4990" s="5"/>
    </row>
    <row r="4991" spans="1:1" x14ac:dyDescent="0.25">
      <c r="A4991" s="5"/>
    </row>
    <row r="4992" spans="1:1" x14ac:dyDescent="0.25">
      <c r="A4992" s="5"/>
    </row>
    <row r="4993" spans="1:1" x14ac:dyDescent="0.25">
      <c r="A4993" s="5"/>
    </row>
    <row r="4994" spans="1:1" x14ac:dyDescent="0.25">
      <c r="A4994" s="5"/>
    </row>
    <row r="4995" spans="1:1" x14ac:dyDescent="0.25">
      <c r="A4995" s="5"/>
    </row>
    <row r="4996" spans="1:1" x14ac:dyDescent="0.25">
      <c r="A4996" s="5"/>
    </row>
    <row r="4997" spans="1:1" x14ac:dyDescent="0.25">
      <c r="A4997" s="5"/>
    </row>
    <row r="4998" spans="1:1" x14ac:dyDescent="0.25">
      <c r="A4998" s="5"/>
    </row>
    <row r="4999" spans="1:1" x14ac:dyDescent="0.25">
      <c r="A4999" s="5"/>
    </row>
    <row r="5000" spans="1:1" x14ac:dyDescent="0.25">
      <c r="A5000" s="5"/>
    </row>
    <row r="5001" spans="1:1" x14ac:dyDescent="0.25">
      <c r="A5001" s="5"/>
    </row>
    <row r="5002" spans="1:1" x14ac:dyDescent="0.25">
      <c r="A5002" s="5"/>
    </row>
    <row r="5003" spans="1:1" x14ac:dyDescent="0.25">
      <c r="A5003" s="5"/>
    </row>
    <row r="5004" spans="1:1" x14ac:dyDescent="0.25">
      <c r="A5004" s="5"/>
    </row>
    <row r="5005" spans="1:1" x14ac:dyDescent="0.25">
      <c r="A5005" s="5"/>
    </row>
    <row r="5006" spans="1:1" x14ac:dyDescent="0.25">
      <c r="A5006" s="5"/>
    </row>
    <row r="5007" spans="1:1" x14ac:dyDescent="0.25">
      <c r="A5007" s="5"/>
    </row>
    <row r="5008" spans="1:1" x14ac:dyDescent="0.25">
      <c r="A5008" s="5"/>
    </row>
    <row r="5009" spans="1:1" x14ac:dyDescent="0.25">
      <c r="A5009" s="5"/>
    </row>
    <row r="5010" spans="1:1" x14ac:dyDescent="0.25">
      <c r="A5010" s="5"/>
    </row>
    <row r="5011" spans="1:1" x14ac:dyDescent="0.25">
      <c r="A5011" s="5"/>
    </row>
    <row r="5012" spans="1:1" x14ac:dyDescent="0.25">
      <c r="A5012" s="5"/>
    </row>
    <row r="5013" spans="1:1" x14ac:dyDescent="0.25">
      <c r="A5013" s="5"/>
    </row>
    <row r="5014" spans="1:1" x14ac:dyDescent="0.25">
      <c r="A5014" s="5"/>
    </row>
    <row r="5015" spans="1:1" x14ac:dyDescent="0.25">
      <c r="A5015" s="5"/>
    </row>
    <row r="5016" spans="1:1" x14ac:dyDescent="0.25">
      <c r="A5016" s="5"/>
    </row>
    <row r="5017" spans="1:1" x14ac:dyDescent="0.25">
      <c r="A5017" s="5"/>
    </row>
    <row r="5018" spans="1:1" x14ac:dyDescent="0.25">
      <c r="A5018" s="5"/>
    </row>
    <row r="5019" spans="1:1" x14ac:dyDescent="0.25">
      <c r="A5019" s="5"/>
    </row>
    <row r="5020" spans="1:1" x14ac:dyDescent="0.25">
      <c r="A5020" s="5"/>
    </row>
    <row r="5021" spans="1:1" x14ac:dyDescent="0.25">
      <c r="A5021" s="5"/>
    </row>
    <row r="5022" spans="1:1" x14ac:dyDescent="0.25">
      <c r="A5022" s="5"/>
    </row>
    <row r="5023" spans="1:1" x14ac:dyDescent="0.25">
      <c r="A5023" s="5"/>
    </row>
    <row r="5024" spans="1:1" x14ac:dyDescent="0.25">
      <c r="A5024" s="5"/>
    </row>
    <row r="5025" spans="1:1" x14ac:dyDescent="0.25">
      <c r="A5025" s="5"/>
    </row>
    <row r="5026" spans="1:1" x14ac:dyDescent="0.25">
      <c r="A5026" s="5"/>
    </row>
    <row r="5027" spans="1:1" x14ac:dyDescent="0.25">
      <c r="A5027" s="5"/>
    </row>
    <row r="5028" spans="1:1" x14ac:dyDescent="0.25">
      <c r="A5028" s="5"/>
    </row>
    <row r="5029" spans="1:1" x14ac:dyDescent="0.25">
      <c r="A5029" s="5"/>
    </row>
    <row r="5030" spans="1:1" x14ac:dyDescent="0.25">
      <c r="A5030" s="5"/>
    </row>
    <row r="5031" spans="1:1" x14ac:dyDescent="0.25">
      <c r="A5031" s="5"/>
    </row>
    <row r="5032" spans="1:1" x14ac:dyDescent="0.25">
      <c r="A5032" s="5"/>
    </row>
    <row r="5033" spans="1:1" x14ac:dyDescent="0.25">
      <c r="A5033" s="5"/>
    </row>
    <row r="5034" spans="1:1" x14ac:dyDescent="0.25">
      <c r="A5034" s="5"/>
    </row>
    <row r="5035" spans="1:1" x14ac:dyDescent="0.25">
      <c r="A5035" s="5"/>
    </row>
    <row r="5036" spans="1:1" x14ac:dyDescent="0.25">
      <c r="A5036" s="5"/>
    </row>
    <row r="5037" spans="1:1" x14ac:dyDescent="0.25">
      <c r="A5037" s="5"/>
    </row>
    <row r="5038" spans="1:1" x14ac:dyDescent="0.25">
      <c r="A5038" s="5"/>
    </row>
    <row r="5039" spans="1:1" x14ac:dyDescent="0.25">
      <c r="A5039" s="5"/>
    </row>
    <row r="5040" spans="1:1" x14ac:dyDescent="0.25">
      <c r="A5040" s="5"/>
    </row>
    <row r="5041" spans="1:1" x14ac:dyDescent="0.25">
      <c r="A5041" s="5"/>
    </row>
    <row r="5042" spans="1:1" x14ac:dyDescent="0.25">
      <c r="A5042" s="5"/>
    </row>
    <row r="5043" spans="1:1" x14ac:dyDescent="0.25">
      <c r="A5043" s="5"/>
    </row>
    <row r="5044" spans="1:1" x14ac:dyDescent="0.25">
      <c r="A5044" s="5"/>
    </row>
    <row r="5045" spans="1:1" x14ac:dyDescent="0.25">
      <c r="A5045" s="5"/>
    </row>
    <row r="5046" spans="1:1" x14ac:dyDescent="0.25">
      <c r="A5046" s="5"/>
    </row>
    <row r="5047" spans="1:1" x14ac:dyDescent="0.25">
      <c r="A5047" s="5"/>
    </row>
    <row r="5048" spans="1:1" x14ac:dyDescent="0.25">
      <c r="A5048" s="5"/>
    </row>
    <row r="5049" spans="1:1" x14ac:dyDescent="0.25">
      <c r="A5049" s="5"/>
    </row>
    <row r="5050" spans="1:1" x14ac:dyDescent="0.25">
      <c r="A5050" s="5"/>
    </row>
    <row r="5051" spans="1:1" x14ac:dyDescent="0.25">
      <c r="A5051" s="5"/>
    </row>
    <row r="5052" spans="1:1" x14ac:dyDescent="0.25">
      <c r="A5052" s="5"/>
    </row>
    <row r="5053" spans="1:1" x14ac:dyDescent="0.25">
      <c r="A5053" s="5"/>
    </row>
    <row r="5054" spans="1:1" x14ac:dyDescent="0.25">
      <c r="A5054" s="5"/>
    </row>
    <row r="5055" spans="1:1" x14ac:dyDescent="0.25">
      <c r="A5055" s="5"/>
    </row>
    <row r="5056" spans="1:1" x14ac:dyDescent="0.25">
      <c r="A5056" s="5"/>
    </row>
    <row r="5057" spans="1:1" x14ac:dyDescent="0.25">
      <c r="A5057" s="5"/>
    </row>
    <row r="5058" spans="1:1" x14ac:dyDescent="0.25">
      <c r="A5058" s="5"/>
    </row>
    <row r="5059" spans="1:1" x14ac:dyDescent="0.25">
      <c r="A5059" s="5"/>
    </row>
    <row r="5060" spans="1:1" x14ac:dyDescent="0.25">
      <c r="A5060" s="5"/>
    </row>
    <row r="5061" spans="1:1" x14ac:dyDescent="0.25">
      <c r="A5061" s="5"/>
    </row>
    <row r="5062" spans="1:1" x14ac:dyDescent="0.25">
      <c r="A5062" s="5"/>
    </row>
    <row r="5063" spans="1:1" x14ac:dyDescent="0.25">
      <c r="A5063" s="5"/>
    </row>
    <row r="5064" spans="1:1" x14ac:dyDescent="0.25">
      <c r="A5064" s="5"/>
    </row>
    <row r="5065" spans="1:1" x14ac:dyDescent="0.25">
      <c r="A5065" s="5"/>
    </row>
    <row r="5066" spans="1:1" x14ac:dyDescent="0.25">
      <c r="A5066" s="5"/>
    </row>
    <row r="5067" spans="1:1" x14ac:dyDescent="0.25">
      <c r="A5067" s="5"/>
    </row>
    <row r="5068" spans="1:1" x14ac:dyDescent="0.25">
      <c r="A5068" s="5"/>
    </row>
    <row r="5069" spans="1:1" x14ac:dyDescent="0.25">
      <c r="A5069" s="5"/>
    </row>
    <row r="5070" spans="1:1" x14ac:dyDescent="0.25">
      <c r="A5070" s="5"/>
    </row>
    <row r="5071" spans="1:1" x14ac:dyDescent="0.25">
      <c r="A5071" s="5"/>
    </row>
    <row r="5072" spans="1:1" x14ac:dyDescent="0.25">
      <c r="A5072" s="5"/>
    </row>
    <row r="5073" spans="1:1" x14ac:dyDescent="0.25">
      <c r="A5073" s="5"/>
    </row>
    <row r="5074" spans="1:1" x14ac:dyDescent="0.25">
      <c r="A5074" s="5"/>
    </row>
    <row r="5075" spans="1:1" x14ac:dyDescent="0.25">
      <c r="A5075" s="5"/>
    </row>
    <row r="5076" spans="1:1" x14ac:dyDescent="0.25">
      <c r="A5076" s="5"/>
    </row>
    <row r="5077" spans="1:1" x14ac:dyDescent="0.25">
      <c r="A5077" s="5"/>
    </row>
    <row r="5078" spans="1:1" x14ac:dyDescent="0.25">
      <c r="A5078" s="5"/>
    </row>
    <row r="5079" spans="1:1" x14ac:dyDescent="0.25">
      <c r="A5079" s="5"/>
    </row>
    <row r="5080" spans="1:1" x14ac:dyDescent="0.25">
      <c r="A5080" s="5"/>
    </row>
    <row r="5081" spans="1:1" x14ac:dyDescent="0.25">
      <c r="A5081" s="5"/>
    </row>
    <row r="5082" spans="1:1" x14ac:dyDescent="0.25">
      <c r="A5082" s="5"/>
    </row>
    <row r="5083" spans="1:1" x14ac:dyDescent="0.25">
      <c r="A5083" s="5"/>
    </row>
    <row r="5084" spans="1:1" x14ac:dyDescent="0.25">
      <c r="A5084" s="5"/>
    </row>
    <row r="5085" spans="1:1" x14ac:dyDescent="0.25">
      <c r="A5085" s="5"/>
    </row>
    <row r="5086" spans="1:1" x14ac:dyDescent="0.25">
      <c r="A5086" s="5"/>
    </row>
    <row r="5087" spans="1:1" x14ac:dyDescent="0.25">
      <c r="A5087" s="5"/>
    </row>
    <row r="5088" spans="1:1" x14ac:dyDescent="0.25">
      <c r="A5088" s="5"/>
    </row>
    <row r="5089" spans="1:1" x14ac:dyDescent="0.25">
      <c r="A5089" s="5"/>
    </row>
    <row r="5090" spans="1:1" x14ac:dyDescent="0.25">
      <c r="A5090" s="5"/>
    </row>
    <row r="5091" spans="1:1" x14ac:dyDescent="0.25">
      <c r="A5091" s="5"/>
    </row>
    <row r="5092" spans="1:1" x14ac:dyDescent="0.25">
      <c r="A5092" s="5"/>
    </row>
    <row r="5093" spans="1:1" x14ac:dyDescent="0.25">
      <c r="A5093" s="5"/>
    </row>
    <row r="5094" spans="1:1" x14ac:dyDescent="0.25">
      <c r="A5094" s="5"/>
    </row>
    <row r="5095" spans="1:1" x14ac:dyDescent="0.25">
      <c r="A5095" s="5"/>
    </row>
    <row r="5096" spans="1:1" x14ac:dyDescent="0.25">
      <c r="A5096" s="5"/>
    </row>
    <row r="5097" spans="1:1" x14ac:dyDescent="0.25">
      <c r="A5097" s="5"/>
    </row>
    <row r="5098" spans="1:1" x14ac:dyDescent="0.25">
      <c r="A5098" s="5"/>
    </row>
    <row r="5099" spans="1:1" x14ac:dyDescent="0.25">
      <c r="A5099" s="5"/>
    </row>
    <row r="5100" spans="1:1" x14ac:dyDescent="0.25">
      <c r="A5100" s="5"/>
    </row>
    <row r="5101" spans="1:1" x14ac:dyDescent="0.25">
      <c r="A5101" s="5"/>
    </row>
    <row r="5102" spans="1:1" x14ac:dyDescent="0.25">
      <c r="A5102" s="5"/>
    </row>
    <row r="5103" spans="1:1" x14ac:dyDescent="0.25">
      <c r="A5103" s="5"/>
    </row>
    <row r="5104" spans="1:1" x14ac:dyDescent="0.25">
      <c r="A5104" s="5"/>
    </row>
    <row r="5105" spans="1:1" x14ac:dyDescent="0.25">
      <c r="A5105" s="5"/>
    </row>
    <row r="5106" spans="1:1" x14ac:dyDescent="0.25">
      <c r="A5106" s="5"/>
    </row>
    <row r="5107" spans="1:1" x14ac:dyDescent="0.25">
      <c r="A5107" s="5"/>
    </row>
    <row r="5108" spans="1:1" x14ac:dyDescent="0.25">
      <c r="A5108" s="5"/>
    </row>
    <row r="5109" spans="1:1" x14ac:dyDescent="0.25">
      <c r="A5109" s="5"/>
    </row>
    <row r="5110" spans="1:1" x14ac:dyDescent="0.25">
      <c r="A5110" s="5"/>
    </row>
    <row r="5111" spans="1:1" x14ac:dyDescent="0.25">
      <c r="A5111" s="5"/>
    </row>
    <row r="5112" spans="1:1" x14ac:dyDescent="0.25">
      <c r="A5112" s="5"/>
    </row>
    <row r="5113" spans="1:1" x14ac:dyDescent="0.25">
      <c r="A5113" s="5"/>
    </row>
    <row r="5114" spans="1:1" x14ac:dyDescent="0.25">
      <c r="A5114" s="5"/>
    </row>
    <row r="5115" spans="1:1" x14ac:dyDescent="0.25">
      <c r="A5115" s="5"/>
    </row>
    <row r="5116" spans="1:1" x14ac:dyDescent="0.25">
      <c r="A5116" s="5"/>
    </row>
    <row r="5117" spans="1:1" x14ac:dyDescent="0.25">
      <c r="A5117" s="5"/>
    </row>
    <row r="5118" spans="1:1" x14ac:dyDescent="0.25">
      <c r="A5118" s="5"/>
    </row>
    <row r="5119" spans="1:1" x14ac:dyDescent="0.25">
      <c r="A5119" s="5"/>
    </row>
    <row r="5120" spans="1:1" x14ac:dyDescent="0.25">
      <c r="A5120" s="5"/>
    </row>
    <row r="5121" spans="1:1" x14ac:dyDescent="0.25">
      <c r="A5121" s="5"/>
    </row>
    <row r="5122" spans="1:1" x14ac:dyDescent="0.25">
      <c r="A5122" s="5"/>
    </row>
    <row r="5123" spans="1:1" x14ac:dyDescent="0.25">
      <c r="A5123" s="5"/>
    </row>
    <row r="5124" spans="1:1" x14ac:dyDescent="0.25">
      <c r="A5124" s="5"/>
    </row>
    <row r="5125" spans="1:1" x14ac:dyDescent="0.25">
      <c r="A5125" s="5"/>
    </row>
    <row r="5126" spans="1:1" x14ac:dyDescent="0.25">
      <c r="A5126" s="5"/>
    </row>
    <row r="5127" spans="1:1" x14ac:dyDescent="0.25">
      <c r="A5127" s="5"/>
    </row>
    <row r="5128" spans="1:1" x14ac:dyDescent="0.25">
      <c r="A5128" s="5"/>
    </row>
    <row r="5129" spans="1:1" x14ac:dyDescent="0.25">
      <c r="A5129" s="5"/>
    </row>
    <row r="5130" spans="1:1" x14ac:dyDescent="0.25">
      <c r="A5130" s="5"/>
    </row>
    <row r="5131" spans="1:1" x14ac:dyDescent="0.25">
      <c r="A5131" s="5"/>
    </row>
    <row r="5132" spans="1:1" x14ac:dyDescent="0.25">
      <c r="A5132" s="5"/>
    </row>
    <row r="5133" spans="1:1" x14ac:dyDescent="0.25">
      <c r="A5133" s="5"/>
    </row>
    <row r="5134" spans="1:1" x14ac:dyDescent="0.25">
      <c r="A5134" s="5"/>
    </row>
    <row r="5135" spans="1:1" x14ac:dyDescent="0.25">
      <c r="A5135" s="5"/>
    </row>
    <row r="5136" spans="1:1" x14ac:dyDescent="0.25">
      <c r="A5136" s="5"/>
    </row>
    <row r="5137" spans="1:1" x14ac:dyDescent="0.25">
      <c r="A5137" s="5"/>
    </row>
    <row r="5138" spans="1:1" x14ac:dyDescent="0.25">
      <c r="A5138" s="5"/>
    </row>
    <row r="5139" spans="1:1" x14ac:dyDescent="0.25">
      <c r="A5139" s="5"/>
    </row>
    <row r="5140" spans="1:1" x14ac:dyDescent="0.25">
      <c r="A5140" s="5"/>
    </row>
    <row r="5141" spans="1:1" x14ac:dyDescent="0.25">
      <c r="A5141" s="5"/>
    </row>
    <row r="5142" spans="1:1" x14ac:dyDescent="0.25">
      <c r="A5142" s="5"/>
    </row>
    <row r="5143" spans="1:1" x14ac:dyDescent="0.25">
      <c r="A5143" s="5"/>
    </row>
    <row r="5144" spans="1:1" x14ac:dyDescent="0.25">
      <c r="A5144" s="5"/>
    </row>
    <row r="5145" spans="1:1" x14ac:dyDescent="0.25">
      <c r="A5145" s="5"/>
    </row>
    <row r="5146" spans="1:1" x14ac:dyDescent="0.25">
      <c r="A5146" s="5"/>
    </row>
    <row r="5147" spans="1:1" x14ac:dyDescent="0.25">
      <c r="A5147" s="5"/>
    </row>
    <row r="5148" spans="1:1" x14ac:dyDescent="0.25">
      <c r="A5148" s="5"/>
    </row>
    <row r="5149" spans="1:1" x14ac:dyDescent="0.25">
      <c r="A5149" s="5"/>
    </row>
    <row r="5150" spans="1:1" x14ac:dyDescent="0.25">
      <c r="A5150" s="5"/>
    </row>
    <row r="5151" spans="1:1" x14ac:dyDescent="0.25">
      <c r="A5151" s="5"/>
    </row>
    <row r="5152" spans="1:1" x14ac:dyDescent="0.25">
      <c r="A5152" s="5"/>
    </row>
    <row r="5153" spans="1:1" x14ac:dyDescent="0.25">
      <c r="A5153" s="5"/>
    </row>
    <row r="5154" spans="1:1" x14ac:dyDescent="0.25">
      <c r="A5154" s="5"/>
    </row>
    <row r="5155" spans="1:1" x14ac:dyDescent="0.25">
      <c r="A5155" s="5"/>
    </row>
    <row r="5156" spans="1:1" x14ac:dyDescent="0.25">
      <c r="A5156" s="5"/>
    </row>
    <row r="5157" spans="1:1" x14ac:dyDescent="0.25">
      <c r="A5157" s="5"/>
    </row>
    <row r="5158" spans="1:1" x14ac:dyDescent="0.25">
      <c r="A5158" s="5"/>
    </row>
    <row r="5159" spans="1:1" x14ac:dyDescent="0.25">
      <c r="A5159" s="5"/>
    </row>
    <row r="5160" spans="1:1" x14ac:dyDescent="0.25">
      <c r="A5160" s="5"/>
    </row>
    <row r="5161" spans="1:1" x14ac:dyDescent="0.25">
      <c r="A5161" s="5"/>
    </row>
    <row r="5162" spans="1:1" x14ac:dyDescent="0.25">
      <c r="A5162" s="5"/>
    </row>
    <row r="5163" spans="1:1" x14ac:dyDescent="0.25">
      <c r="A5163" s="5"/>
    </row>
    <row r="5164" spans="1:1" x14ac:dyDescent="0.25">
      <c r="A5164" s="5"/>
    </row>
    <row r="5165" spans="1:1" x14ac:dyDescent="0.25">
      <c r="A5165" s="5"/>
    </row>
    <row r="5166" spans="1:1" x14ac:dyDescent="0.25">
      <c r="A5166" s="5"/>
    </row>
    <row r="5167" spans="1:1" x14ac:dyDescent="0.25">
      <c r="A5167" s="5"/>
    </row>
    <row r="5168" spans="1:1" x14ac:dyDescent="0.25">
      <c r="A5168" s="5"/>
    </row>
    <row r="5169" spans="1:1" x14ac:dyDescent="0.25">
      <c r="A5169" s="5"/>
    </row>
    <row r="5170" spans="1:1" x14ac:dyDescent="0.25">
      <c r="A5170" s="5"/>
    </row>
    <row r="5171" spans="1:1" x14ac:dyDescent="0.25">
      <c r="A5171" s="5"/>
    </row>
    <row r="5172" spans="1:1" x14ac:dyDescent="0.25">
      <c r="A5172" s="5"/>
    </row>
    <row r="5173" spans="1:1" x14ac:dyDescent="0.25">
      <c r="A5173" s="5"/>
    </row>
    <row r="5174" spans="1:1" x14ac:dyDescent="0.25">
      <c r="A5174" s="5"/>
    </row>
    <row r="5175" spans="1:1" x14ac:dyDescent="0.25">
      <c r="A5175" s="5"/>
    </row>
    <row r="5176" spans="1:1" x14ac:dyDescent="0.25">
      <c r="A5176" s="5"/>
    </row>
    <row r="5177" spans="1:1" x14ac:dyDescent="0.25">
      <c r="A5177" s="5"/>
    </row>
    <row r="5178" spans="1:1" x14ac:dyDescent="0.25">
      <c r="A5178" s="5"/>
    </row>
    <row r="5179" spans="1:1" x14ac:dyDescent="0.25">
      <c r="A5179" s="5"/>
    </row>
    <row r="5180" spans="1:1" x14ac:dyDescent="0.25">
      <c r="A5180" s="5"/>
    </row>
    <row r="5181" spans="1:1" x14ac:dyDescent="0.25">
      <c r="A5181" s="5"/>
    </row>
    <row r="5182" spans="1:1" x14ac:dyDescent="0.25">
      <c r="A5182" s="5"/>
    </row>
    <row r="5183" spans="1:1" x14ac:dyDescent="0.25">
      <c r="A5183" s="5"/>
    </row>
    <row r="5184" spans="1:1" x14ac:dyDescent="0.25">
      <c r="A5184" s="5"/>
    </row>
    <row r="5185" spans="1:1" x14ac:dyDescent="0.25">
      <c r="A5185" s="5"/>
    </row>
    <row r="5186" spans="1:1" x14ac:dyDescent="0.25">
      <c r="A5186" s="5"/>
    </row>
    <row r="5187" spans="1:1" x14ac:dyDescent="0.25">
      <c r="A5187" s="5"/>
    </row>
    <row r="5188" spans="1:1" x14ac:dyDescent="0.25">
      <c r="A5188" s="5"/>
    </row>
    <row r="5189" spans="1:1" x14ac:dyDescent="0.25">
      <c r="A5189" s="5"/>
    </row>
    <row r="5190" spans="1:1" x14ac:dyDescent="0.25">
      <c r="A5190" s="5"/>
    </row>
    <row r="5191" spans="1:1" x14ac:dyDescent="0.25">
      <c r="A5191" s="5"/>
    </row>
    <row r="5192" spans="1:1" x14ac:dyDescent="0.25">
      <c r="A5192" s="5"/>
    </row>
    <row r="5193" spans="1:1" x14ac:dyDescent="0.25">
      <c r="A5193" s="5"/>
    </row>
    <row r="5194" spans="1:1" x14ac:dyDescent="0.25">
      <c r="A5194" s="5"/>
    </row>
    <row r="5195" spans="1:1" x14ac:dyDescent="0.25">
      <c r="A5195" s="5"/>
    </row>
    <row r="5196" spans="1:1" x14ac:dyDescent="0.25">
      <c r="A5196" s="5"/>
    </row>
    <row r="5197" spans="1:1" x14ac:dyDescent="0.25">
      <c r="A5197" s="5"/>
    </row>
    <row r="5198" spans="1:1" x14ac:dyDescent="0.25">
      <c r="A5198" s="5"/>
    </row>
    <row r="5199" spans="1:1" x14ac:dyDescent="0.25">
      <c r="A5199" s="5"/>
    </row>
    <row r="5200" spans="1:1" x14ac:dyDescent="0.25">
      <c r="A5200" s="5"/>
    </row>
    <row r="5201" spans="1:1" x14ac:dyDescent="0.25">
      <c r="A5201" s="5"/>
    </row>
    <row r="5202" spans="1:1" x14ac:dyDescent="0.25">
      <c r="A5202" s="5"/>
    </row>
    <row r="5203" spans="1:1" x14ac:dyDescent="0.25">
      <c r="A5203" s="5"/>
    </row>
    <row r="5204" spans="1:1" x14ac:dyDescent="0.25">
      <c r="A5204" s="5"/>
    </row>
    <row r="5205" spans="1:1" x14ac:dyDescent="0.25">
      <c r="A5205" s="5"/>
    </row>
    <row r="5206" spans="1:1" x14ac:dyDescent="0.25">
      <c r="A5206" s="5"/>
    </row>
    <row r="5207" spans="1:1" x14ac:dyDescent="0.25">
      <c r="A5207" s="5"/>
    </row>
    <row r="5208" spans="1:1" x14ac:dyDescent="0.25">
      <c r="A5208" s="5"/>
    </row>
    <row r="5209" spans="1:1" x14ac:dyDescent="0.25">
      <c r="A5209" s="5"/>
    </row>
    <row r="5210" spans="1:1" x14ac:dyDescent="0.25">
      <c r="A5210" s="5"/>
    </row>
    <row r="5211" spans="1:1" x14ac:dyDescent="0.25">
      <c r="A5211" s="5"/>
    </row>
    <row r="5212" spans="1:1" x14ac:dyDescent="0.25">
      <c r="A5212" s="5"/>
    </row>
    <row r="5213" spans="1:1" x14ac:dyDescent="0.25">
      <c r="A5213" s="5"/>
    </row>
    <row r="5214" spans="1:1" x14ac:dyDescent="0.25">
      <c r="A5214" s="5"/>
    </row>
    <row r="5215" spans="1:1" x14ac:dyDescent="0.25">
      <c r="A5215" s="5"/>
    </row>
    <row r="5216" spans="1:1" x14ac:dyDescent="0.25">
      <c r="A5216" s="5"/>
    </row>
    <row r="5217" spans="1:1" x14ac:dyDescent="0.25">
      <c r="A5217" s="5"/>
    </row>
    <row r="5218" spans="1:1" x14ac:dyDescent="0.25">
      <c r="A5218" s="5"/>
    </row>
    <row r="5219" spans="1:1" x14ac:dyDescent="0.25">
      <c r="A5219" s="5"/>
    </row>
    <row r="5220" spans="1:1" x14ac:dyDescent="0.25">
      <c r="A5220" s="5"/>
    </row>
    <row r="5221" spans="1:1" x14ac:dyDescent="0.25">
      <c r="A5221" s="5"/>
    </row>
    <row r="5222" spans="1:1" x14ac:dyDescent="0.25">
      <c r="A5222" s="5"/>
    </row>
    <row r="5223" spans="1:1" x14ac:dyDescent="0.25">
      <c r="A5223" s="5"/>
    </row>
    <row r="5224" spans="1:1" x14ac:dyDescent="0.25">
      <c r="A5224" s="5"/>
    </row>
    <row r="5225" spans="1:1" x14ac:dyDescent="0.25">
      <c r="A5225" s="5"/>
    </row>
    <row r="5226" spans="1:1" x14ac:dyDescent="0.25">
      <c r="A5226" s="5"/>
    </row>
    <row r="5227" spans="1:1" x14ac:dyDescent="0.25">
      <c r="A5227" s="5"/>
    </row>
    <row r="5228" spans="1:1" x14ac:dyDescent="0.25">
      <c r="A5228" s="5"/>
    </row>
    <row r="5229" spans="1:1" x14ac:dyDescent="0.25">
      <c r="A5229" s="5"/>
    </row>
    <row r="5230" spans="1:1" x14ac:dyDescent="0.25">
      <c r="A5230" s="5"/>
    </row>
    <row r="5231" spans="1:1" x14ac:dyDescent="0.25">
      <c r="A5231" s="5"/>
    </row>
    <row r="5232" spans="1:1" x14ac:dyDescent="0.25">
      <c r="A5232" s="5"/>
    </row>
    <row r="5233" spans="1:1" x14ac:dyDescent="0.25">
      <c r="A5233" s="5"/>
    </row>
    <row r="5234" spans="1:1" x14ac:dyDescent="0.25">
      <c r="A5234" s="5"/>
    </row>
    <row r="5235" spans="1:1" x14ac:dyDescent="0.25">
      <c r="A5235" s="5"/>
    </row>
    <row r="5236" spans="1:1" x14ac:dyDescent="0.25">
      <c r="A5236" s="5"/>
    </row>
    <row r="5237" spans="1:1" x14ac:dyDescent="0.25">
      <c r="A5237" s="5"/>
    </row>
    <row r="5238" spans="1:1" x14ac:dyDescent="0.25">
      <c r="A5238" s="5"/>
    </row>
    <row r="5239" spans="1:1" x14ac:dyDescent="0.25">
      <c r="A5239" s="5"/>
    </row>
    <row r="5240" spans="1:1" x14ac:dyDescent="0.25">
      <c r="A5240" s="5"/>
    </row>
    <row r="5241" spans="1:1" x14ac:dyDescent="0.25">
      <c r="A5241" s="5"/>
    </row>
    <row r="5242" spans="1:1" x14ac:dyDescent="0.25">
      <c r="A5242" s="5"/>
    </row>
    <row r="5243" spans="1:1" x14ac:dyDescent="0.25">
      <c r="A5243" s="5"/>
    </row>
    <row r="5244" spans="1:1" x14ac:dyDescent="0.25">
      <c r="A5244" s="5"/>
    </row>
    <row r="5245" spans="1:1" x14ac:dyDescent="0.25">
      <c r="A5245" s="5"/>
    </row>
    <row r="5246" spans="1:1" x14ac:dyDescent="0.25">
      <c r="A5246" s="5"/>
    </row>
    <row r="5247" spans="1:1" x14ac:dyDescent="0.25">
      <c r="A5247" s="5"/>
    </row>
    <row r="5248" spans="1:1" x14ac:dyDescent="0.25">
      <c r="A5248" s="5"/>
    </row>
    <row r="5249" spans="1:1" x14ac:dyDescent="0.25">
      <c r="A5249" s="5"/>
    </row>
    <row r="5250" spans="1:1" x14ac:dyDescent="0.25">
      <c r="A5250" s="5"/>
    </row>
    <row r="5251" spans="1:1" x14ac:dyDescent="0.25">
      <c r="A5251" s="5"/>
    </row>
    <row r="5252" spans="1:1" x14ac:dyDescent="0.25">
      <c r="A5252" s="5"/>
    </row>
    <row r="5253" spans="1:1" x14ac:dyDescent="0.25">
      <c r="A5253" s="5"/>
    </row>
    <row r="5254" spans="1:1" x14ac:dyDescent="0.25">
      <c r="A5254" s="5"/>
    </row>
    <row r="5255" spans="1:1" x14ac:dyDescent="0.25">
      <c r="A5255" s="5"/>
    </row>
    <row r="5256" spans="1:1" x14ac:dyDescent="0.25">
      <c r="A5256" s="5"/>
    </row>
    <row r="5257" spans="1:1" x14ac:dyDescent="0.25">
      <c r="A5257" s="5"/>
    </row>
    <row r="5258" spans="1:1" x14ac:dyDescent="0.25">
      <c r="A5258" s="5"/>
    </row>
    <row r="5259" spans="1:1" x14ac:dyDescent="0.25">
      <c r="A5259" s="5"/>
    </row>
    <row r="5260" spans="1:1" x14ac:dyDescent="0.25">
      <c r="A5260" s="5"/>
    </row>
    <row r="5261" spans="1:1" x14ac:dyDescent="0.25">
      <c r="A5261" s="5"/>
    </row>
    <row r="5262" spans="1:1" x14ac:dyDescent="0.25">
      <c r="A5262" s="5"/>
    </row>
    <row r="5263" spans="1:1" x14ac:dyDescent="0.25">
      <c r="A5263" s="5"/>
    </row>
    <row r="5264" spans="1:1" x14ac:dyDescent="0.25">
      <c r="A5264" s="5"/>
    </row>
    <row r="5265" spans="1:1" x14ac:dyDescent="0.25">
      <c r="A5265" s="5"/>
    </row>
    <row r="5266" spans="1:1" x14ac:dyDescent="0.25">
      <c r="A5266" s="5"/>
    </row>
    <row r="5267" spans="1:1" x14ac:dyDescent="0.25">
      <c r="A5267" s="5"/>
    </row>
    <row r="5268" spans="1:1" x14ac:dyDescent="0.25">
      <c r="A5268" s="5"/>
    </row>
    <row r="5269" spans="1:1" x14ac:dyDescent="0.25">
      <c r="A5269" s="5"/>
    </row>
    <row r="5270" spans="1:1" x14ac:dyDescent="0.25">
      <c r="A5270" s="5"/>
    </row>
    <row r="5271" spans="1:1" x14ac:dyDescent="0.25">
      <c r="A5271" s="5"/>
    </row>
    <row r="5272" spans="1:1" x14ac:dyDescent="0.25">
      <c r="A5272" s="5"/>
    </row>
    <row r="5273" spans="1:1" x14ac:dyDescent="0.25">
      <c r="A5273" s="5"/>
    </row>
    <row r="5274" spans="1:1" x14ac:dyDescent="0.25">
      <c r="A5274" s="5"/>
    </row>
    <row r="5275" spans="1:1" x14ac:dyDescent="0.25">
      <c r="A5275" s="5"/>
    </row>
    <row r="5276" spans="1:1" x14ac:dyDescent="0.25">
      <c r="A5276" s="5"/>
    </row>
    <row r="5277" spans="1:1" x14ac:dyDescent="0.25">
      <c r="A5277" s="5"/>
    </row>
    <row r="5278" spans="1:1" x14ac:dyDescent="0.25">
      <c r="A5278" s="5"/>
    </row>
    <row r="5279" spans="1:1" x14ac:dyDescent="0.25">
      <c r="A5279" s="5"/>
    </row>
    <row r="5280" spans="1:1" x14ac:dyDescent="0.25">
      <c r="A5280" s="5"/>
    </row>
    <row r="5281" spans="1:1" x14ac:dyDescent="0.25">
      <c r="A5281" s="5"/>
    </row>
    <row r="5282" spans="1:1" x14ac:dyDescent="0.25">
      <c r="A5282" s="5"/>
    </row>
    <row r="5283" spans="1:1" x14ac:dyDescent="0.25">
      <c r="A5283" s="5"/>
    </row>
    <row r="5284" spans="1:1" x14ac:dyDescent="0.25">
      <c r="A5284" s="5"/>
    </row>
    <row r="5285" spans="1:1" x14ac:dyDescent="0.25">
      <c r="A5285" s="5"/>
    </row>
    <row r="5286" spans="1:1" x14ac:dyDescent="0.25">
      <c r="A5286" s="5"/>
    </row>
    <row r="5287" spans="1:1" x14ac:dyDescent="0.25">
      <c r="A5287" s="5"/>
    </row>
    <row r="5288" spans="1:1" x14ac:dyDescent="0.25">
      <c r="A5288" s="5"/>
    </row>
    <row r="5289" spans="1:1" x14ac:dyDescent="0.25">
      <c r="A5289" s="5"/>
    </row>
    <row r="5290" spans="1:1" x14ac:dyDescent="0.25">
      <c r="A5290" s="5"/>
    </row>
    <row r="5291" spans="1:1" x14ac:dyDescent="0.25">
      <c r="A5291" s="5"/>
    </row>
    <row r="5292" spans="1:1" x14ac:dyDescent="0.25">
      <c r="A5292" s="5"/>
    </row>
    <row r="5293" spans="1:1" x14ac:dyDescent="0.25">
      <c r="A5293" s="5"/>
    </row>
    <row r="5294" spans="1:1" x14ac:dyDescent="0.25">
      <c r="A5294" s="5"/>
    </row>
    <row r="5295" spans="1:1" x14ac:dyDescent="0.25">
      <c r="A5295" s="5"/>
    </row>
    <row r="5296" spans="1:1" x14ac:dyDescent="0.25">
      <c r="A5296" s="5"/>
    </row>
    <row r="5297" spans="1:1" x14ac:dyDescent="0.25">
      <c r="A5297" s="5"/>
    </row>
    <row r="5298" spans="1:1" x14ac:dyDescent="0.25">
      <c r="A5298" s="5"/>
    </row>
    <row r="5299" spans="1:1" x14ac:dyDescent="0.25">
      <c r="A5299" s="5"/>
    </row>
    <row r="5300" spans="1:1" x14ac:dyDescent="0.25">
      <c r="A5300" s="5"/>
    </row>
    <row r="5301" spans="1:1" x14ac:dyDescent="0.25">
      <c r="A5301" s="5"/>
    </row>
    <row r="5302" spans="1:1" x14ac:dyDescent="0.25">
      <c r="A5302" s="5"/>
    </row>
    <row r="5303" spans="1:1" x14ac:dyDescent="0.25">
      <c r="A5303" s="5"/>
    </row>
    <row r="5304" spans="1:1" x14ac:dyDescent="0.25">
      <c r="A5304" s="5"/>
    </row>
    <row r="5305" spans="1:1" x14ac:dyDescent="0.25">
      <c r="A5305" s="5"/>
    </row>
    <row r="5306" spans="1:1" x14ac:dyDescent="0.25">
      <c r="A5306" s="5"/>
    </row>
    <row r="5307" spans="1:1" x14ac:dyDescent="0.25">
      <c r="A5307" s="5"/>
    </row>
    <row r="5308" spans="1:1" x14ac:dyDescent="0.25">
      <c r="A5308" s="5"/>
    </row>
    <row r="5309" spans="1:1" x14ac:dyDescent="0.25">
      <c r="A5309" s="5"/>
    </row>
    <row r="5310" spans="1:1" x14ac:dyDescent="0.25">
      <c r="A5310" s="5"/>
    </row>
    <row r="5311" spans="1:1" x14ac:dyDescent="0.25">
      <c r="A5311" s="5"/>
    </row>
    <row r="5312" spans="1:1" x14ac:dyDescent="0.25">
      <c r="A5312" s="5"/>
    </row>
    <row r="5313" spans="1:1" x14ac:dyDescent="0.25">
      <c r="A5313" s="5"/>
    </row>
    <row r="5314" spans="1:1" x14ac:dyDescent="0.25">
      <c r="A5314" s="5"/>
    </row>
    <row r="5315" spans="1:1" x14ac:dyDescent="0.25">
      <c r="A5315" s="5"/>
    </row>
    <row r="5316" spans="1:1" x14ac:dyDescent="0.25">
      <c r="A5316" s="5"/>
    </row>
    <row r="5317" spans="1:1" x14ac:dyDescent="0.25">
      <c r="A5317" s="5"/>
    </row>
    <row r="5318" spans="1:1" x14ac:dyDescent="0.25">
      <c r="A5318" s="5"/>
    </row>
    <row r="5319" spans="1:1" x14ac:dyDescent="0.25">
      <c r="A5319" s="5"/>
    </row>
    <row r="5320" spans="1:1" x14ac:dyDescent="0.25">
      <c r="A5320" s="5"/>
    </row>
    <row r="5321" spans="1:1" x14ac:dyDescent="0.25">
      <c r="A5321" s="5"/>
    </row>
    <row r="5322" spans="1:1" x14ac:dyDescent="0.25">
      <c r="A5322" s="5"/>
    </row>
    <row r="5323" spans="1:1" x14ac:dyDescent="0.25">
      <c r="A5323" s="5"/>
    </row>
    <row r="5324" spans="1:1" x14ac:dyDescent="0.25">
      <c r="A5324" s="5"/>
    </row>
    <row r="5325" spans="1:1" x14ac:dyDescent="0.25">
      <c r="A5325" s="5"/>
    </row>
    <row r="5326" spans="1:1" x14ac:dyDescent="0.25">
      <c r="A5326" s="5"/>
    </row>
    <row r="5327" spans="1:1" x14ac:dyDescent="0.25">
      <c r="A5327" s="5"/>
    </row>
    <row r="5328" spans="1:1" x14ac:dyDescent="0.25">
      <c r="A5328" s="5"/>
    </row>
    <row r="5329" spans="1:1" x14ac:dyDescent="0.25">
      <c r="A5329" s="5"/>
    </row>
    <row r="5330" spans="1:1" x14ac:dyDescent="0.25">
      <c r="A5330" s="5"/>
    </row>
    <row r="5331" spans="1:1" x14ac:dyDescent="0.25">
      <c r="A5331" s="5"/>
    </row>
    <row r="5332" spans="1:1" x14ac:dyDescent="0.25">
      <c r="A5332" s="5"/>
    </row>
    <row r="5333" spans="1:1" x14ac:dyDescent="0.25">
      <c r="A5333" s="5"/>
    </row>
    <row r="5334" spans="1:1" x14ac:dyDescent="0.25">
      <c r="A5334" s="5"/>
    </row>
    <row r="5335" spans="1:1" x14ac:dyDescent="0.25">
      <c r="A5335" s="5"/>
    </row>
    <row r="5336" spans="1:1" x14ac:dyDescent="0.25">
      <c r="A5336" s="5"/>
    </row>
    <row r="5337" spans="1:1" x14ac:dyDescent="0.25">
      <c r="A5337" s="5"/>
    </row>
    <row r="5338" spans="1:1" x14ac:dyDescent="0.25">
      <c r="A5338" s="5"/>
    </row>
    <row r="5339" spans="1:1" x14ac:dyDescent="0.25">
      <c r="A5339" s="5"/>
    </row>
    <row r="5340" spans="1:1" x14ac:dyDescent="0.25">
      <c r="A5340" s="5"/>
    </row>
    <row r="5341" spans="1:1" x14ac:dyDescent="0.25">
      <c r="A5341" s="5"/>
    </row>
    <row r="5342" spans="1:1" x14ac:dyDescent="0.25">
      <c r="A5342" s="5"/>
    </row>
    <row r="5343" spans="1:1" x14ac:dyDescent="0.25">
      <c r="A5343" s="5"/>
    </row>
    <row r="5344" spans="1:1" x14ac:dyDescent="0.25">
      <c r="A5344" s="5"/>
    </row>
    <row r="5345" spans="1:1" x14ac:dyDescent="0.25">
      <c r="A5345" s="5"/>
    </row>
    <row r="5346" spans="1:1" x14ac:dyDescent="0.25">
      <c r="A5346" s="5"/>
    </row>
    <row r="5347" spans="1:1" x14ac:dyDescent="0.25">
      <c r="A5347" s="5"/>
    </row>
    <row r="5348" spans="1:1" x14ac:dyDescent="0.25">
      <c r="A5348" s="5"/>
    </row>
    <row r="5349" spans="1:1" x14ac:dyDescent="0.25">
      <c r="A5349" s="5"/>
    </row>
    <row r="5350" spans="1:1" x14ac:dyDescent="0.25">
      <c r="A5350" s="5"/>
    </row>
    <row r="5351" spans="1:1" x14ac:dyDescent="0.25">
      <c r="A5351" s="5"/>
    </row>
    <row r="5352" spans="1:1" x14ac:dyDescent="0.25">
      <c r="A5352" s="5"/>
    </row>
    <row r="5353" spans="1:1" x14ac:dyDescent="0.25">
      <c r="A5353" s="5"/>
    </row>
    <row r="5354" spans="1:1" x14ac:dyDescent="0.25">
      <c r="A5354" s="5"/>
    </row>
    <row r="5355" spans="1:1" x14ac:dyDescent="0.25">
      <c r="A5355" s="5"/>
    </row>
    <row r="5356" spans="1:1" x14ac:dyDescent="0.25">
      <c r="A5356" s="5"/>
    </row>
    <row r="5357" spans="1:1" x14ac:dyDescent="0.25">
      <c r="A5357" s="5"/>
    </row>
    <row r="5358" spans="1:1" x14ac:dyDescent="0.25">
      <c r="A5358" s="5"/>
    </row>
    <row r="5359" spans="1:1" x14ac:dyDescent="0.25">
      <c r="A5359" s="5"/>
    </row>
    <row r="5360" spans="1:1" x14ac:dyDescent="0.25">
      <c r="A5360" s="5"/>
    </row>
    <row r="5361" spans="1:1" x14ac:dyDescent="0.25">
      <c r="A5361" s="5"/>
    </row>
    <row r="5362" spans="1:1" x14ac:dyDescent="0.25">
      <c r="A5362" s="5"/>
    </row>
    <row r="5363" spans="1:1" x14ac:dyDescent="0.25">
      <c r="A5363" s="5"/>
    </row>
    <row r="5364" spans="1:1" x14ac:dyDescent="0.25">
      <c r="A5364" s="5"/>
    </row>
    <row r="5365" spans="1:1" x14ac:dyDescent="0.25">
      <c r="A5365" s="5"/>
    </row>
    <row r="5366" spans="1:1" x14ac:dyDescent="0.25">
      <c r="A5366" s="5"/>
    </row>
    <row r="5367" spans="1:1" x14ac:dyDescent="0.25">
      <c r="A5367" s="5"/>
    </row>
    <row r="5368" spans="1:1" x14ac:dyDescent="0.25">
      <c r="A5368" s="5"/>
    </row>
    <row r="5369" spans="1:1" x14ac:dyDescent="0.25">
      <c r="A5369" s="5"/>
    </row>
    <row r="5370" spans="1:1" x14ac:dyDescent="0.25">
      <c r="A5370" s="5"/>
    </row>
    <row r="5371" spans="1:1" x14ac:dyDescent="0.25">
      <c r="A5371" s="5"/>
    </row>
    <row r="5372" spans="1:1" x14ac:dyDescent="0.25">
      <c r="A5372" s="5"/>
    </row>
    <row r="5373" spans="1:1" x14ac:dyDescent="0.25">
      <c r="A5373" s="5"/>
    </row>
    <row r="5374" spans="1:1" x14ac:dyDescent="0.25">
      <c r="A5374" s="5"/>
    </row>
    <row r="5375" spans="1:1" x14ac:dyDescent="0.25">
      <c r="A5375" s="5"/>
    </row>
    <row r="5376" spans="1:1" x14ac:dyDescent="0.25">
      <c r="A5376" s="5"/>
    </row>
    <row r="5377" spans="1:1" x14ac:dyDescent="0.25">
      <c r="A5377" s="5"/>
    </row>
    <row r="5378" spans="1:1" x14ac:dyDescent="0.25">
      <c r="A5378" s="5"/>
    </row>
    <row r="5379" spans="1:1" x14ac:dyDescent="0.25">
      <c r="A5379" s="5"/>
    </row>
    <row r="5380" spans="1:1" x14ac:dyDescent="0.25">
      <c r="A5380" s="5"/>
    </row>
    <row r="5381" spans="1:1" x14ac:dyDescent="0.25">
      <c r="A5381" s="5"/>
    </row>
    <row r="5382" spans="1:1" x14ac:dyDescent="0.25">
      <c r="A5382" s="5"/>
    </row>
    <row r="5383" spans="1:1" x14ac:dyDescent="0.25">
      <c r="A5383" s="5"/>
    </row>
    <row r="5384" spans="1:1" x14ac:dyDescent="0.25">
      <c r="A5384" s="5"/>
    </row>
    <row r="5385" spans="1:1" x14ac:dyDescent="0.25">
      <c r="A5385" s="5"/>
    </row>
    <row r="5386" spans="1:1" x14ac:dyDescent="0.25">
      <c r="A5386" s="5"/>
    </row>
    <row r="5387" spans="1:1" x14ac:dyDescent="0.25">
      <c r="A5387" s="5"/>
    </row>
    <row r="5388" spans="1:1" x14ac:dyDescent="0.25">
      <c r="A5388" s="5"/>
    </row>
    <row r="5389" spans="1:1" x14ac:dyDescent="0.25">
      <c r="A5389" s="5"/>
    </row>
    <row r="5390" spans="1:1" x14ac:dyDescent="0.25">
      <c r="A5390" s="5"/>
    </row>
    <row r="5391" spans="1:1" x14ac:dyDescent="0.25">
      <c r="A5391" s="5"/>
    </row>
    <row r="5392" spans="1:1" x14ac:dyDescent="0.25">
      <c r="A5392" s="5"/>
    </row>
    <row r="5393" spans="1:1" x14ac:dyDescent="0.25">
      <c r="A5393" s="5"/>
    </row>
    <row r="5394" spans="1:1" x14ac:dyDescent="0.25">
      <c r="A5394" s="5"/>
    </row>
    <row r="5395" spans="1:1" x14ac:dyDescent="0.25">
      <c r="A5395" s="5"/>
    </row>
    <row r="5396" spans="1:1" x14ac:dyDescent="0.25">
      <c r="A5396" s="5"/>
    </row>
    <row r="5397" spans="1:1" x14ac:dyDescent="0.25">
      <c r="A5397" s="5"/>
    </row>
    <row r="5398" spans="1:1" x14ac:dyDescent="0.25">
      <c r="A5398" s="5"/>
    </row>
    <row r="5399" spans="1:1" x14ac:dyDescent="0.25">
      <c r="A5399" s="5"/>
    </row>
    <row r="5400" spans="1:1" x14ac:dyDescent="0.25">
      <c r="A5400" s="5"/>
    </row>
    <row r="5401" spans="1:1" x14ac:dyDescent="0.25">
      <c r="A5401" s="5"/>
    </row>
    <row r="5402" spans="1:1" x14ac:dyDescent="0.25">
      <c r="A5402" s="5"/>
    </row>
    <row r="5403" spans="1:1" x14ac:dyDescent="0.25">
      <c r="A5403" s="5"/>
    </row>
    <row r="5404" spans="1:1" x14ac:dyDescent="0.25">
      <c r="A5404" s="5"/>
    </row>
    <row r="5405" spans="1:1" x14ac:dyDescent="0.25">
      <c r="A5405" s="5"/>
    </row>
    <row r="5406" spans="1:1" x14ac:dyDescent="0.25">
      <c r="A5406" s="5"/>
    </row>
    <row r="5407" spans="1:1" x14ac:dyDescent="0.25">
      <c r="A5407" s="5"/>
    </row>
    <row r="5408" spans="1:1" x14ac:dyDescent="0.25">
      <c r="A5408" s="5"/>
    </row>
    <row r="5409" spans="1:1" x14ac:dyDescent="0.25">
      <c r="A5409" s="5"/>
    </row>
    <row r="5410" spans="1:1" x14ac:dyDescent="0.25">
      <c r="A5410" s="5"/>
    </row>
    <row r="5411" spans="1:1" x14ac:dyDescent="0.25">
      <c r="A5411" s="5"/>
    </row>
    <row r="5412" spans="1:1" x14ac:dyDescent="0.25">
      <c r="A5412" s="5"/>
    </row>
    <row r="5413" spans="1:1" x14ac:dyDescent="0.25">
      <c r="A5413" s="5"/>
    </row>
    <row r="5414" spans="1:1" x14ac:dyDescent="0.25">
      <c r="A5414" s="5"/>
    </row>
    <row r="5415" spans="1:1" x14ac:dyDescent="0.25">
      <c r="A5415" s="5"/>
    </row>
    <row r="5416" spans="1:1" x14ac:dyDescent="0.25">
      <c r="A5416" s="5"/>
    </row>
    <row r="5417" spans="1:1" x14ac:dyDescent="0.25">
      <c r="A5417" s="5"/>
    </row>
    <row r="5418" spans="1:1" x14ac:dyDescent="0.25">
      <c r="A5418" s="5"/>
    </row>
    <row r="5419" spans="1:1" x14ac:dyDescent="0.25">
      <c r="A5419" s="5"/>
    </row>
    <row r="5420" spans="1:1" x14ac:dyDescent="0.25">
      <c r="A5420" s="5"/>
    </row>
    <row r="5421" spans="1:1" x14ac:dyDescent="0.25">
      <c r="A5421" s="5"/>
    </row>
    <row r="5422" spans="1:1" x14ac:dyDescent="0.25">
      <c r="A5422" s="5"/>
    </row>
    <row r="5423" spans="1:1" x14ac:dyDescent="0.25">
      <c r="A5423" s="5"/>
    </row>
    <row r="5424" spans="1:1" x14ac:dyDescent="0.25">
      <c r="A5424" s="5"/>
    </row>
    <row r="5425" spans="1:1" x14ac:dyDescent="0.25">
      <c r="A5425" s="5"/>
    </row>
    <row r="5426" spans="1:1" x14ac:dyDescent="0.25">
      <c r="A5426" s="5"/>
    </row>
    <row r="5427" spans="1:1" x14ac:dyDescent="0.25">
      <c r="A5427" s="5"/>
    </row>
    <row r="5428" spans="1:1" x14ac:dyDescent="0.25">
      <c r="A5428" s="5"/>
    </row>
    <row r="5429" spans="1:1" x14ac:dyDescent="0.25">
      <c r="A5429" s="5"/>
    </row>
    <row r="5430" spans="1:1" x14ac:dyDescent="0.25">
      <c r="A5430" s="5"/>
    </row>
    <row r="5431" spans="1:1" x14ac:dyDescent="0.25">
      <c r="A5431" s="5"/>
    </row>
    <row r="5432" spans="1:1" x14ac:dyDescent="0.25">
      <c r="A5432" s="5"/>
    </row>
    <row r="5433" spans="1:1" x14ac:dyDescent="0.25">
      <c r="A5433" s="5"/>
    </row>
    <row r="5434" spans="1:1" x14ac:dyDescent="0.25">
      <c r="A5434" s="5"/>
    </row>
    <row r="5435" spans="1:1" x14ac:dyDescent="0.25">
      <c r="A5435" s="5"/>
    </row>
    <row r="5436" spans="1:1" x14ac:dyDescent="0.25">
      <c r="A5436" s="5"/>
    </row>
    <row r="5437" spans="1:1" x14ac:dyDescent="0.25">
      <c r="A5437" s="5"/>
    </row>
    <row r="5438" spans="1:1" x14ac:dyDescent="0.25">
      <c r="A5438" s="5"/>
    </row>
    <row r="5439" spans="1:1" x14ac:dyDescent="0.25">
      <c r="A5439" s="5"/>
    </row>
    <row r="5440" spans="1:1" x14ac:dyDescent="0.25">
      <c r="A5440" s="5"/>
    </row>
    <row r="5441" spans="1:1" x14ac:dyDescent="0.25">
      <c r="A5441" s="5"/>
    </row>
    <row r="5442" spans="1:1" x14ac:dyDescent="0.25">
      <c r="A5442" s="5"/>
    </row>
    <row r="5443" spans="1:1" x14ac:dyDescent="0.25">
      <c r="A5443" s="5"/>
    </row>
    <row r="5444" spans="1:1" x14ac:dyDescent="0.25">
      <c r="A5444" s="5"/>
    </row>
    <row r="5445" spans="1:1" x14ac:dyDescent="0.25">
      <c r="A5445" s="5"/>
    </row>
    <row r="5446" spans="1:1" x14ac:dyDescent="0.25">
      <c r="A5446" s="5"/>
    </row>
    <row r="5447" spans="1:1" x14ac:dyDescent="0.25">
      <c r="A5447" s="5"/>
    </row>
    <row r="5448" spans="1:1" x14ac:dyDescent="0.25">
      <c r="A5448" s="5"/>
    </row>
    <row r="5449" spans="1:1" x14ac:dyDescent="0.25">
      <c r="A5449" s="5"/>
    </row>
    <row r="5450" spans="1:1" x14ac:dyDescent="0.25">
      <c r="A5450" s="5"/>
    </row>
    <row r="5451" spans="1:1" x14ac:dyDescent="0.25">
      <c r="A5451" s="5"/>
    </row>
    <row r="5452" spans="1:1" x14ac:dyDescent="0.25">
      <c r="A5452" s="5"/>
    </row>
    <row r="5453" spans="1:1" x14ac:dyDescent="0.25">
      <c r="A5453" s="5"/>
    </row>
    <row r="5454" spans="1:1" x14ac:dyDescent="0.25">
      <c r="A5454" s="5"/>
    </row>
    <row r="5455" spans="1:1" x14ac:dyDescent="0.25">
      <c r="A5455" s="5"/>
    </row>
    <row r="5456" spans="1:1" x14ac:dyDescent="0.25">
      <c r="A5456" s="5"/>
    </row>
    <row r="5457" spans="1:1" x14ac:dyDescent="0.25">
      <c r="A5457" s="5"/>
    </row>
    <row r="5458" spans="1:1" x14ac:dyDescent="0.25">
      <c r="A5458" s="5"/>
    </row>
    <row r="5459" spans="1:1" x14ac:dyDescent="0.25">
      <c r="A5459" s="5"/>
    </row>
    <row r="5460" spans="1:1" x14ac:dyDescent="0.25">
      <c r="A5460" s="5"/>
    </row>
    <row r="5461" spans="1:1" x14ac:dyDescent="0.25">
      <c r="A5461" s="5"/>
    </row>
    <row r="5462" spans="1:1" x14ac:dyDescent="0.25">
      <c r="A5462" s="5"/>
    </row>
    <row r="5463" spans="1:1" x14ac:dyDescent="0.25">
      <c r="A5463" s="5"/>
    </row>
    <row r="5464" spans="1:1" x14ac:dyDescent="0.25">
      <c r="A5464" s="5"/>
    </row>
    <row r="5465" spans="1:1" x14ac:dyDescent="0.25">
      <c r="A5465" s="5"/>
    </row>
    <row r="5466" spans="1:1" x14ac:dyDescent="0.25">
      <c r="A5466" s="5"/>
    </row>
    <row r="5467" spans="1:1" x14ac:dyDescent="0.25">
      <c r="A5467" s="5"/>
    </row>
    <row r="5468" spans="1:1" x14ac:dyDescent="0.25">
      <c r="A5468" s="5"/>
    </row>
    <row r="5469" spans="1:1" x14ac:dyDescent="0.25">
      <c r="A5469" s="5"/>
    </row>
    <row r="5470" spans="1:1" x14ac:dyDescent="0.25">
      <c r="A5470" s="5"/>
    </row>
    <row r="5471" spans="1:1" x14ac:dyDescent="0.25">
      <c r="A5471" s="5"/>
    </row>
    <row r="5472" spans="1:1" x14ac:dyDescent="0.25">
      <c r="A5472" s="5"/>
    </row>
    <row r="5473" spans="1:1" x14ac:dyDescent="0.25">
      <c r="A5473" s="5"/>
    </row>
    <row r="5474" spans="1:1" x14ac:dyDescent="0.25">
      <c r="A5474" s="5"/>
    </row>
    <row r="5475" spans="1:1" x14ac:dyDescent="0.25">
      <c r="A5475" s="5"/>
    </row>
    <row r="5476" spans="1:1" x14ac:dyDescent="0.25">
      <c r="A5476" s="5"/>
    </row>
    <row r="5477" spans="1:1" x14ac:dyDescent="0.25">
      <c r="A5477" s="5"/>
    </row>
    <row r="5478" spans="1:1" x14ac:dyDescent="0.25">
      <c r="A5478" s="5"/>
    </row>
    <row r="5479" spans="1:1" x14ac:dyDescent="0.25">
      <c r="A5479" s="5"/>
    </row>
    <row r="5480" spans="1:1" x14ac:dyDescent="0.25">
      <c r="A5480" s="5"/>
    </row>
    <row r="5481" spans="1:1" x14ac:dyDescent="0.25">
      <c r="A5481" s="5"/>
    </row>
    <row r="5482" spans="1:1" x14ac:dyDescent="0.25">
      <c r="A5482" s="5"/>
    </row>
    <row r="5483" spans="1:1" x14ac:dyDescent="0.25">
      <c r="A5483" s="5"/>
    </row>
    <row r="5484" spans="1:1" x14ac:dyDescent="0.25">
      <c r="A5484" s="5"/>
    </row>
    <row r="5485" spans="1:1" x14ac:dyDescent="0.25">
      <c r="A5485" s="5"/>
    </row>
    <row r="5486" spans="1:1" x14ac:dyDescent="0.25">
      <c r="A5486" s="5"/>
    </row>
    <row r="5487" spans="1:1" x14ac:dyDescent="0.25">
      <c r="A5487" s="5"/>
    </row>
    <row r="5488" spans="1:1" x14ac:dyDescent="0.25">
      <c r="A5488" s="5"/>
    </row>
    <row r="5489" spans="1:1" x14ac:dyDescent="0.25">
      <c r="A5489" s="5"/>
    </row>
    <row r="5490" spans="1:1" x14ac:dyDescent="0.25">
      <c r="A5490" s="5"/>
    </row>
    <row r="5491" spans="1:1" x14ac:dyDescent="0.25">
      <c r="A5491" s="5"/>
    </row>
    <row r="5492" spans="1:1" x14ac:dyDescent="0.25">
      <c r="A5492" s="5"/>
    </row>
    <row r="5493" spans="1:1" x14ac:dyDescent="0.25">
      <c r="A5493" s="5"/>
    </row>
    <row r="5494" spans="1:1" x14ac:dyDescent="0.25">
      <c r="A5494" s="5"/>
    </row>
    <row r="5495" spans="1:1" x14ac:dyDescent="0.25">
      <c r="A5495" s="5"/>
    </row>
    <row r="5496" spans="1:1" x14ac:dyDescent="0.25">
      <c r="A5496" s="5"/>
    </row>
    <row r="5497" spans="1:1" x14ac:dyDescent="0.25">
      <c r="A5497" s="5"/>
    </row>
    <row r="5498" spans="1:1" x14ac:dyDescent="0.25">
      <c r="A5498" s="5"/>
    </row>
    <row r="5499" spans="1:1" x14ac:dyDescent="0.25">
      <c r="A5499" s="5"/>
    </row>
    <row r="5500" spans="1:1" x14ac:dyDescent="0.25">
      <c r="A5500" s="5"/>
    </row>
    <row r="5501" spans="1:1" x14ac:dyDescent="0.25">
      <c r="A5501" s="5"/>
    </row>
    <row r="5502" spans="1:1" x14ac:dyDescent="0.25">
      <c r="A5502" s="5"/>
    </row>
    <row r="5503" spans="1:1" x14ac:dyDescent="0.25">
      <c r="A5503" s="5"/>
    </row>
    <row r="5504" spans="1:1" x14ac:dyDescent="0.25">
      <c r="A5504" s="5"/>
    </row>
    <row r="5505" spans="1:1" x14ac:dyDescent="0.25">
      <c r="A5505" s="5"/>
    </row>
    <row r="5506" spans="1:1" x14ac:dyDescent="0.25">
      <c r="A5506" s="5"/>
    </row>
    <row r="5507" spans="1:1" x14ac:dyDescent="0.25">
      <c r="A5507" s="5"/>
    </row>
    <row r="5508" spans="1:1" x14ac:dyDescent="0.25">
      <c r="A5508" s="5"/>
    </row>
    <row r="5509" spans="1:1" x14ac:dyDescent="0.25">
      <c r="A5509" s="5"/>
    </row>
    <row r="5510" spans="1:1" x14ac:dyDescent="0.25">
      <c r="A5510" s="5"/>
    </row>
    <row r="5511" spans="1:1" x14ac:dyDescent="0.25">
      <c r="A5511" s="5"/>
    </row>
    <row r="5512" spans="1:1" x14ac:dyDescent="0.25">
      <c r="A5512" s="5"/>
    </row>
    <row r="5513" spans="1:1" x14ac:dyDescent="0.25">
      <c r="A5513" s="5"/>
    </row>
    <row r="5514" spans="1:1" x14ac:dyDescent="0.25">
      <c r="A5514" s="5"/>
    </row>
    <row r="5515" spans="1:1" x14ac:dyDescent="0.25">
      <c r="A5515" s="5"/>
    </row>
    <row r="5516" spans="1:1" x14ac:dyDescent="0.25">
      <c r="A5516" s="5"/>
    </row>
    <row r="5517" spans="1:1" x14ac:dyDescent="0.25">
      <c r="A5517" s="5"/>
    </row>
    <row r="5518" spans="1:1" x14ac:dyDescent="0.25">
      <c r="A5518" s="5"/>
    </row>
    <row r="5519" spans="1:1" x14ac:dyDescent="0.25">
      <c r="A5519" s="5"/>
    </row>
    <row r="5520" spans="1:1" x14ac:dyDescent="0.25">
      <c r="A5520" s="5"/>
    </row>
    <row r="5521" spans="1:1" x14ac:dyDescent="0.25">
      <c r="A5521" s="5"/>
    </row>
    <row r="5522" spans="1:1" x14ac:dyDescent="0.25">
      <c r="A5522" s="5"/>
    </row>
    <row r="5523" spans="1:1" x14ac:dyDescent="0.25">
      <c r="A5523" s="5"/>
    </row>
    <row r="5524" spans="1:1" x14ac:dyDescent="0.25">
      <c r="A5524" s="5"/>
    </row>
    <row r="5525" spans="1:1" x14ac:dyDescent="0.25">
      <c r="A5525" s="5"/>
    </row>
    <row r="5526" spans="1:1" x14ac:dyDescent="0.25">
      <c r="A5526" s="5"/>
    </row>
    <row r="5527" spans="1:1" x14ac:dyDescent="0.25">
      <c r="A5527" s="5"/>
    </row>
    <row r="5528" spans="1:1" x14ac:dyDescent="0.25">
      <c r="A5528" s="5"/>
    </row>
    <row r="5529" spans="1:1" x14ac:dyDescent="0.25">
      <c r="A5529" s="5"/>
    </row>
    <row r="5530" spans="1:1" x14ac:dyDescent="0.25">
      <c r="A5530" s="5"/>
    </row>
    <row r="5531" spans="1:1" x14ac:dyDescent="0.25">
      <c r="A5531" s="5"/>
    </row>
    <row r="5532" spans="1:1" x14ac:dyDescent="0.25">
      <c r="A5532" s="5"/>
    </row>
    <row r="5533" spans="1:1" x14ac:dyDescent="0.25">
      <c r="A5533" s="5"/>
    </row>
    <row r="5534" spans="1:1" x14ac:dyDescent="0.25">
      <c r="A5534" s="5"/>
    </row>
    <row r="5535" spans="1:1" x14ac:dyDescent="0.25">
      <c r="A5535" s="5"/>
    </row>
    <row r="5536" spans="1:1" x14ac:dyDescent="0.25">
      <c r="A5536" s="5"/>
    </row>
    <row r="5537" spans="1:1" x14ac:dyDescent="0.25">
      <c r="A5537" s="5"/>
    </row>
    <row r="5538" spans="1:1" x14ac:dyDescent="0.25">
      <c r="A5538" s="5"/>
    </row>
    <row r="5539" spans="1:1" x14ac:dyDescent="0.25">
      <c r="A5539" s="5"/>
    </row>
    <row r="5540" spans="1:1" x14ac:dyDescent="0.25">
      <c r="A5540" s="5"/>
    </row>
    <row r="5541" spans="1:1" x14ac:dyDescent="0.25">
      <c r="A5541" s="5"/>
    </row>
    <row r="5542" spans="1:1" x14ac:dyDescent="0.25">
      <c r="A5542" s="5"/>
    </row>
    <row r="5543" spans="1:1" x14ac:dyDescent="0.25">
      <c r="A5543" s="5"/>
    </row>
    <row r="5544" spans="1:1" x14ac:dyDescent="0.25">
      <c r="A5544" s="5"/>
    </row>
    <row r="5545" spans="1:1" x14ac:dyDescent="0.25">
      <c r="A5545" s="5"/>
    </row>
    <row r="5546" spans="1:1" x14ac:dyDescent="0.25">
      <c r="A5546" s="5"/>
    </row>
    <row r="5547" spans="1:1" x14ac:dyDescent="0.25">
      <c r="A5547" s="5"/>
    </row>
    <row r="5548" spans="1:1" x14ac:dyDescent="0.25">
      <c r="A5548" s="5"/>
    </row>
    <row r="5549" spans="1:1" x14ac:dyDescent="0.25">
      <c r="A5549" s="5"/>
    </row>
    <row r="5550" spans="1:1" x14ac:dyDescent="0.25">
      <c r="A5550" s="5"/>
    </row>
    <row r="5551" spans="1:1" x14ac:dyDescent="0.25">
      <c r="A5551" s="5"/>
    </row>
    <row r="5552" spans="1:1" x14ac:dyDescent="0.25">
      <c r="A5552" s="5"/>
    </row>
    <row r="5553" spans="1:1" x14ac:dyDescent="0.25">
      <c r="A5553" s="5"/>
    </row>
    <row r="5554" spans="1:1" x14ac:dyDescent="0.25">
      <c r="A5554" s="5"/>
    </row>
    <row r="5555" spans="1:1" x14ac:dyDescent="0.25">
      <c r="A5555" s="5"/>
    </row>
    <row r="5556" spans="1:1" x14ac:dyDescent="0.25">
      <c r="A5556" s="5"/>
    </row>
    <row r="5557" spans="1:1" x14ac:dyDescent="0.25">
      <c r="A5557" s="5"/>
    </row>
    <row r="5558" spans="1:1" x14ac:dyDescent="0.25">
      <c r="A5558" s="5"/>
    </row>
    <row r="5559" spans="1:1" x14ac:dyDescent="0.25">
      <c r="A5559" s="5"/>
    </row>
    <row r="5560" spans="1:1" x14ac:dyDescent="0.25">
      <c r="A5560" s="5"/>
    </row>
    <row r="5561" spans="1:1" x14ac:dyDescent="0.25">
      <c r="A5561" s="5"/>
    </row>
    <row r="5562" spans="1:1" x14ac:dyDescent="0.25">
      <c r="A5562" s="5"/>
    </row>
    <row r="5563" spans="1:1" x14ac:dyDescent="0.25">
      <c r="A5563" s="5"/>
    </row>
    <row r="5564" spans="1:1" x14ac:dyDescent="0.25">
      <c r="A5564" s="5"/>
    </row>
    <row r="5565" spans="1:1" x14ac:dyDescent="0.25">
      <c r="A5565" s="5"/>
    </row>
    <row r="5566" spans="1:1" x14ac:dyDescent="0.25">
      <c r="A5566" s="5"/>
    </row>
    <row r="5567" spans="1:1" x14ac:dyDescent="0.25">
      <c r="A5567" s="5"/>
    </row>
    <row r="5568" spans="1:1" x14ac:dyDescent="0.25">
      <c r="A5568" s="5"/>
    </row>
    <row r="5569" spans="1:1" x14ac:dyDescent="0.25">
      <c r="A5569" s="5"/>
    </row>
    <row r="5570" spans="1:1" x14ac:dyDescent="0.25">
      <c r="A5570" s="5"/>
    </row>
    <row r="5571" spans="1:1" x14ac:dyDescent="0.25">
      <c r="A5571" s="5"/>
    </row>
    <row r="5572" spans="1:1" x14ac:dyDescent="0.25">
      <c r="A5572" s="5"/>
    </row>
    <row r="5573" spans="1:1" x14ac:dyDescent="0.25">
      <c r="A5573" s="5"/>
    </row>
    <row r="5574" spans="1:1" x14ac:dyDescent="0.25">
      <c r="A5574" s="5"/>
    </row>
    <row r="5575" spans="1:1" x14ac:dyDescent="0.25">
      <c r="A5575" s="5"/>
    </row>
    <row r="5576" spans="1:1" x14ac:dyDescent="0.25">
      <c r="A5576" s="5"/>
    </row>
    <row r="5577" spans="1:1" x14ac:dyDescent="0.25">
      <c r="A5577" s="5"/>
    </row>
    <row r="5578" spans="1:1" x14ac:dyDescent="0.25">
      <c r="A5578" s="5"/>
    </row>
    <row r="5579" spans="1:1" x14ac:dyDescent="0.25">
      <c r="A5579" s="5"/>
    </row>
    <row r="5580" spans="1:1" x14ac:dyDescent="0.25">
      <c r="A5580" s="5"/>
    </row>
    <row r="5581" spans="1:1" x14ac:dyDescent="0.25">
      <c r="A5581" s="5"/>
    </row>
    <row r="5582" spans="1:1" x14ac:dyDescent="0.25">
      <c r="A5582" s="5"/>
    </row>
    <row r="5583" spans="1:1" x14ac:dyDescent="0.25">
      <c r="A5583" s="5"/>
    </row>
    <row r="5584" spans="1:1" x14ac:dyDescent="0.25">
      <c r="A5584" s="5"/>
    </row>
    <row r="5585" spans="1:1" x14ac:dyDescent="0.25">
      <c r="A5585" s="5"/>
    </row>
    <row r="5586" spans="1:1" x14ac:dyDescent="0.25">
      <c r="A5586" s="5"/>
    </row>
    <row r="5587" spans="1:1" x14ac:dyDescent="0.25">
      <c r="A5587" s="5"/>
    </row>
    <row r="5588" spans="1:1" x14ac:dyDescent="0.25">
      <c r="A5588" s="5"/>
    </row>
    <row r="5589" spans="1:1" x14ac:dyDescent="0.25">
      <c r="A5589" s="5"/>
    </row>
    <row r="5590" spans="1:1" x14ac:dyDescent="0.25">
      <c r="A5590" s="5"/>
    </row>
    <row r="5591" spans="1:1" x14ac:dyDescent="0.25">
      <c r="A5591" s="5"/>
    </row>
    <row r="5592" spans="1:1" x14ac:dyDescent="0.25">
      <c r="A5592" s="5"/>
    </row>
    <row r="5593" spans="1:1" x14ac:dyDescent="0.25">
      <c r="A5593" s="5"/>
    </row>
    <row r="5594" spans="1:1" x14ac:dyDescent="0.25">
      <c r="A5594" s="5"/>
    </row>
    <row r="5595" spans="1:1" x14ac:dyDescent="0.25">
      <c r="A5595" s="5"/>
    </row>
    <row r="5596" spans="1:1" x14ac:dyDescent="0.25">
      <c r="A5596" s="5"/>
    </row>
    <row r="5597" spans="1:1" x14ac:dyDescent="0.25">
      <c r="A5597" s="5"/>
    </row>
    <row r="5598" spans="1:1" x14ac:dyDescent="0.25">
      <c r="A5598" s="5"/>
    </row>
    <row r="5599" spans="1:1" x14ac:dyDescent="0.25">
      <c r="A5599" s="5"/>
    </row>
    <row r="5600" spans="1:1" x14ac:dyDescent="0.25">
      <c r="A5600" s="5"/>
    </row>
    <row r="5601" spans="1:1" x14ac:dyDescent="0.25">
      <c r="A5601" s="5"/>
    </row>
    <row r="5602" spans="1:1" x14ac:dyDescent="0.25">
      <c r="A5602" s="5"/>
    </row>
    <row r="5603" spans="1:1" x14ac:dyDescent="0.25">
      <c r="A5603" s="5"/>
    </row>
    <row r="5604" spans="1:1" x14ac:dyDescent="0.25">
      <c r="A5604" s="5"/>
    </row>
    <row r="5605" spans="1:1" x14ac:dyDescent="0.25">
      <c r="A5605" s="5"/>
    </row>
    <row r="5606" spans="1:1" x14ac:dyDescent="0.25">
      <c r="A5606" s="5"/>
    </row>
    <row r="5607" spans="1:1" x14ac:dyDescent="0.25">
      <c r="A5607" s="5"/>
    </row>
    <row r="5608" spans="1:1" x14ac:dyDescent="0.25">
      <c r="A5608" s="5"/>
    </row>
    <row r="5609" spans="1:1" x14ac:dyDescent="0.25">
      <c r="A5609" s="5"/>
    </row>
    <row r="5610" spans="1:1" x14ac:dyDescent="0.25">
      <c r="A5610" s="5"/>
    </row>
    <row r="5611" spans="1:1" x14ac:dyDescent="0.25">
      <c r="A5611" s="5"/>
    </row>
    <row r="5612" spans="1:1" x14ac:dyDescent="0.25">
      <c r="A5612" s="5"/>
    </row>
    <row r="5613" spans="1:1" x14ac:dyDescent="0.25">
      <c r="A5613" s="5"/>
    </row>
    <row r="5614" spans="1:1" x14ac:dyDescent="0.25">
      <c r="A5614" s="5"/>
    </row>
    <row r="5615" spans="1:1" x14ac:dyDescent="0.25">
      <c r="A5615" s="5"/>
    </row>
    <row r="5616" spans="1:1" x14ac:dyDescent="0.25">
      <c r="A5616" s="5"/>
    </row>
    <row r="5617" spans="1:1" x14ac:dyDescent="0.25">
      <c r="A5617" s="5"/>
    </row>
    <row r="5618" spans="1:1" x14ac:dyDescent="0.25">
      <c r="A5618" s="5"/>
    </row>
    <row r="5619" spans="1:1" x14ac:dyDescent="0.25">
      <c r="A5619" s="5"/>
    </row>
    <row r="5620" spans="1:1" x14ac:dyDescent="0.25">
      <c r="A5620" s="5"/>
    </row>
    <row r="5621" spans="1:1" x14ac:dyDescent="0.25">
      <c r="A5621" s="5"/>
    </row>
    <row r="5622" spans="1:1" x14ac:dyDescent="0.25">
      <c r="A5622" s="5"/>
    </row>
    <row r="5623" spans="1:1" x14ac:dyDescent="0.25">
      <c r="A5623" s="5"/>
    </row>
    <row r="5624" spans="1:1" x14ac:dyDescent="0.25">
      <c r="A5624" s="5"/>
    </row>
    <row r="5625" spans="1:1" x14ac:dyDescent="0.25">
      <c r="A5625" s="5"/>
    </row>
    <row r="5626" spans="1:1" x14ac:dyDescent="0.25">
      <c r="A5626" s="5"/>
    </row>
    <row r="5627" spans="1:1" x14ac:dyDescent="0.25">
      <c r="A5627" s="5"/>
    </row>
    <row r="5628" spans="1:1" x14ac:dyDescent="0.25">
      <c r="A5628" s="5"/>
    </row>
    <row r="5629" spans="1:1" x14ac:dyDescent="0.25">
      <c r="A5629" s="5"/>
    </row>
    <row r="5630" spans="1:1" x14ac:dyDescent="0.25">
      <c r="A5630" s="5"/>
    </row>
    <row r="5631" spans="1:1" x14ac:dyDescent="0.25">
      <c r="A5631" s="5"/>
    </row>
    <row r="5632" spans="1:1" x14ac:dyDescent="0.25">
      <c r="A5632" s="5"/>
    </row>
    <row r="5633" spans="1:1" x14ac:dyDescent="0.25">
      <c r="A5633" s="5"/>
    </row>
    <row r="5634" spans="1:1" x14ac:dyDescent="0.25">
      <c r="A5634" s="5"/>
    </row>
    <row r="5635" spans="1:1" x14ac:dyDescent="0.25">
      <c r="A5635" s="5"/>
    </row>
    <row r="5636" spans="1:1" x14ac:dyDescent="0.25">
      <c r="A5636" s="5"/>
    </row>
    <row r="5637" spans="1:1" x14ac:dyDescent="0.25">
      <c r="A5637" s="5"/>
    </row>
    <row r="5638" spans="1:1" x14ac:dyDescent="0.25">
      <c r="A5638" s="5"/>
    </row>
    <row r="5639" spans="1:1" x14ac:dyDescent="0.25">
      <c r="A5639" s="5"/>
    </row>
    <row r="5640" spans="1:1" x14ac:dyDescent="0.25">
      <c r="A5640" s="5"/>
    </row>
    <row r="5641" spans="1:1" x14ac:dyDescent="0.25">
      <c r="A5641" s="5"/>
    </row>
    <row r="5642" spans="1:1" x14ac:dyDescent="0.25">
      <c r="A5642" s="5"/>
    </row>
    <row r="5643" spans="1:1" x14ac:dyDescent="0.25">
      <c r="A5643" s="5"/>
    </row>
    <row r="5644" spans="1:1" x14ac:dyDescent="0.25">
      <c r="A5644" s="5"/>
    </row>
    <row r="5645" spans="1:1" x14ac:dyDescent="0.25">
      <c r="A5645" s="5"/>
    </row>
    <row r="5646" spans="1:1" x14ac:dyDescent="0.25">
      <c r="A5646" s="5"/>
    </row>
    <row r="5647" spans="1:1" x14ac:dyDescent="0.25">
      <c r="A5647" s="5"/>
    </row>
    <row r="5648" spans="1:1" x14ac:dyDescent="0.25">
      <c r="A5648" s="5"/>
    </row>
    <row r="5649" spans="1:1" x14ac:dyDescent="0.25">
      <c r="A5649" s="5"/>
    </row>
    <row r="5650" spans="1:1" x14ac:dyDescent="0.25">
      <c r="A5650" s="5"/>
    </row>
    <row r="5651" spans="1:1" x14ac:dyDescent="0.25">
      <c r="A5651" s="5"/>
    </row>
    <row r="5652" spans="1:1" x14ac:dyDescent="0.25">
      <c r="A5652" s="5"/>
    </row>
    <row r="5653" spans="1:1" x14ac:dyDescent="0.25">
      <c r="A5653" s="5"/>
    </row>
    <row r="5654" spans="1:1" x14ac:dyDescent="0.25">
      <c r="A5654" s="5"/>
    </row>
    <row r="5655" spans="1:1" x14ac:dyDescent="0.25">
      <c r="A5655" s="5"/>
    </row>
    <row r="5656" spans="1:1" x14ac:dyDescent="0.25">
      <c r="A5656" s="5"/>
    </row>
    <row r="5657" spans="1:1" x14ac:dyDescent="0.25">
      <c r="A5657" s="5"/>
    </row>
    <row r="5658" spans="1:1" x14ac:dyDescent="0.25">
      <c r="A5658" s="5"/>
    </row>
    <row r="5659" spans="1:1" x14ac:dyDescent="0.25">
      <c r="A5659" s="5"/>
    </row>
    <row r="5660" spans="1:1" x14ac:dyDescent="0.25">
      <c r="A5660" s="5"/>
    </row>
    <row r="5661" spans="1:1" x14ac:dyDescent="0.25">
      <c r="A5661" s="5"/>
    </row>
    <row r="5662" spans="1:1" x14ac:dyDescent="0.25">
      <c r="A5662" s="5"/>
    </row>
    <row r="5663" spans="1:1" x14ac:dyDescent="0.25">
      <c r="A5663" s="5"/>
    </row>
    <row r="5664" spans="1:1" x14ac:dyDescent="0.25">
      <c r="A5664" s="5"/>
    </row>
    <row r="5665" spans="1:1" x14ac:dyDescent="0.25">
      <c r="A5665" s="5"/>
    </row>
    <row r="5666" spans="1:1" x14ac:dyDescent="0.25">
      <c r="A5666" s="5"/>
    </row>
    <row r="5667" spans="1:1" x14ac:dyDescent="0.25">
      <c r="A5667" s="5"/>
    </row>
    <row r="5668" spans="1:1" x14ac:dyDescent="0.25">
      <c r="A5668" s="5"/>
    </row>
    <row r="5669" spans="1:1" x14ac:dyDescent="0.25">
      <c r="A5669" s="5"/>
    </row>
    <row r="5670" spans="1:1" x14ac:dyDescent="0.25">
      <c r="A5670" s="5"/>
    </row>
    <row r="5671" spans="1:1" x14ac:dyDescent="0.25">
      <c r="A5671" s="5"/>
    </row>
    <row r="5672" spans="1:1" x14ac:dyDescent="0.25">
      <c r="A5672" s="5"/>
    </row>
    <row r="5673" spans="1:1" x14ac:dyDescent="0.25">
      <c r="A5673" s="5"/>
    </row>
    <row r="5674" spans="1:1" x14ac:dyDescent="0.25">
      <c r="A5674" s="5"/>
    </row>
    <row r="5675" spans="1:1" x14ac:dyDescent="0.25">
      <c r="A5675" s="5"/>
    </row>
    <row r="5676" spans="1:1" x14ac:dyDescent="0.25">
      <c r="A5676" s="5"/>
    </row>
    <row r="5677" spans="1:1" x14ac:dyDescent="0.25">
      <c r="A5677" s="5"/>
    </row>
    <row r="5678" spans="1:1" x14ac:dyDescent="0.25">
      <c r="A5678" s="5"/>
    </row>
    <row r="5679" spans="1:1" x14ac:dyDescent="0.25">
      <c r="A5679" s="5"/>
    </row>
    <row r="5680" spans="1:1" x14ac:dyDescent="0.25">
      <c r="A5680" s="5"/>
    </row>
    <row r="5681" spans="1:1" x14ac:dyDescent="0.25">
      <c r="A5681" s="5"/>
    </row>
    <row r="5682" spans="1:1" x14ac:dyDescent="0.25">
      <c r="A5682" s="5"/>
    </row>
    <row r="5683" spans="1:1" x14ac:dyDescent="0.25">
      <c r="A5683" s="5"/>
    </row>
    <row r="5684" spans="1:1" x14ac:dyDescent="0.25">
      <c r="A5684" s="5"/>
    </row>
    <row r="5685" spans="1:1" x14ac:dyDescent="0.25">
      <c r="A5685" s="5"/>
    </row>
    <row r="5686" spans="1:1" x14ac:dyDescent="0.25">
      <c r="A5686" s="5"/>
    </row>
    <row r="5687" spans="1:1" x14ac:dyDescent="0.25">
      <c r="A5687" s="5"/>
    </row>
    <row r="5688" spans="1:1" x14ac:dyDescent="0.25">
      <c r="A5688" s="5"/>
    </row>
    <row r="5689" spans="1:1" x14ac:dyDescent="0.25">
      <c r="A5689" s="5"/>
    </row>
    <row r="5690" spans="1:1" x14ac:dyDescent="0.25">
      <c r="A5690" s="5"/>
    </row>
    <row r="5691" spans="1:1" x14ac:dyDescent="0.25">
      <c r="A5691" s="5"/>
    </row>
    <row r="5692" spans="1:1" x14ac:dyDescent="0.25">
      <c r="A5692" s="5"/>
    </row>
    <row r="5693" spans="1:1" x14ac:dyDescent="0.25">
      <c r="A5693" s="5"/>
    </row>
    <row r="5694" spans="1:1" x14ac:dyDescent="0.25">
      <c r="A5694" s="5"/>
    </row>
    <row r="5695" spans="1:1" x14ac:dyDescent="0.25">
      <c r="A5695" s="5"/>
    </row>
    <row r="5696" spans="1:1" x14ac:dyDescent="0.25">
      <c r="A5696" s="5"/>
    </row>
    <row r="5697" spans="1:1" x14ac:dyDescent="0.25">
      <c r="A5697" s="5"/>
    </row>
    <row r="5698" spans="1:1" x14ac:dyDescent="0.25">
      <c r="A5698" s="5"/>
    </row>
    <row r="5699" spans="1:1" x14ac:dyDescent="0.25">
      <c r="A5699" s="5"/>
    </row>
    <row r="5700" spans="1:1" x14ac:dyDescent="0.25">
      <c r="A5700" s="5"/>
    </row>
    <row r="5701" spans="1:1" x14ac:dyDescent="0.25">
      <c r="A5701" s="5"/>
    </row>
    <row r="5702" spans="1:1" x14ac:dyDescent="0.25">
      <c r="A5702" s="5"/>
    </row>
    <row r="5703" spans="1:1" x14ac:dyDescent="0.25">
      <c r="A5703" s="5"/>
    </row>
    <row r="5704" spans="1:1" x14ac:dyDescent="0.25">
      <c r="A5704" s="5"/>
    </row>
    <row r="5705" spans="1:1" x14ac:dyDescent="0.25">
      <c r="A5705" s="5"/>
    </row>
    <row r="5706" spans="1:1" x14ac:dyDescent="0.25">
      <c r="A5706" s="5"/>
    </row>
    <row r="5707" spans="1:1" x14ac:dyDescent="0.25">
      <c r="A5707" s="5"/>
    </row>
    <row r="5708" spans="1:1" x14ac:dyDescent="0.25">
      <c r="A5708" s="5"/>
    </row>
    <row r="5709" spans="1:1" x14ac:dyDescent="0.25">
      <c r="A5709" s="5"/>
    </row>
    <row r="5710" spans="1:1" x14ac:dyDescent="0.25">
      <c r="A5710" s="5"/>
    </row>
    <row r="5711" spans="1:1" x14ac:dyDescent="0.25">
      <c r="A5711" s="5"/>
    </row>
    <row r="5712" spans="1:1" x14ac:dyDescent="0.25">
      <c r="A5712" s="5"/>
    </row>
    <row r="5713" spans="1:1" x14ac:dyDescent="0.25">
      <c r="A5713" s="5"/>
    </row>
    <row r="5714" spans="1:1" x14ac:dyDescent="0.25">
      <c r="A5714" s="5"/>
    </row>
    <row r="5715" spans="1:1" x14ac:dyDescent="0.25">
      <c r="A5715" s="5"/>
    </row>
    <row r="5716" spans="1:1" x14ac:dyDescent="0.25">
      <c r="A5716" s="5"/>
    </row>
    <row r="5717" spans="1:1" x14ac:dyDescent="0.25">
      <c r="A5717" s="5"/>
    </row>
    <row r="5718" spans="1:1" x14ac:dyDescent="0.25">
      <c r="A5718" s="5"/>
    </row>
    <row r="5719" spans="1:1" x14ac:dyDescent="0.25">
      <c r="A5719" s="5"/>
    </row>
    <row r="5720" spans="1:1" x14ac:dyDescent="0.25">
      <c r="A5720" s="5"/>
    </row>
    <row r="5721" spans="1:1" x14ac:dyDescent="0.25">
      <c r="A5721" s="5"/>
    </row>
    <row r="5722" spans="1:1" x14ac:dyDescent="0.25">
      <c r="A5722" s="5"/>
    </row>
    <row r="5723" spans="1:1" x14ac:dyDescent="0.25">
      <c r="A5723" s="5"/>
    </row>
    <row r="5724" spans="1:1" x14ac:dyDescent="0.25">
      <c r="A5724" s="5"/>
    </row>
    <row r="5725" spans="1:1" x14ac:dyDescent="0.25">
      <c r="A5725" s="5"/>
    </row>
    <row r="5726" spans="1:1" x14ac:dyDescent="0.25">
      <c r="A5726" s="5"/>
    </row>
    <row r="5727" spans="1:1" x14ac:dyDescent="0.25">
      <c r="A5727" s="5"/>
    </row>
    <row r="5728" spans="1:1" x14ac:dyDescent="0.25">
      <c r="A5728" s="5"/>
    </row>
    <row r="5729" spans="1:1" x14ac:dyDescent="0.25">
      <c r="A5729" s="5"/>
    </row>
    <row r="5730" spans="1:1" x14ac:dyDescent="0.25">
      <c r="A5730" s="5"/>
    </row>
    <row r="5731" spans="1:1" x14ac:dyDescent="0.25">
      <c r="A5731" s="5"/>
    </row>
    <row r="5732" spans="1:1" x14ac:dyDescent="0.25">
      <c r="A5732" s="5"/>
    </row>
    <row r="5733" spans="1:1" x14ac:dyDescent="0.25">
      <c r="A5733" s="5"/>
    </row>
    <row r="5734" spans="1:1" x14ac:dyDescent="0.25">
      <c r="A5734" s="5"/>
    </row>
    <row r="5735" spans="1:1" x14ac:dyDescent="0.25">
      <c r="A5735" s="5"/>
    </row>
    <row r="5736" spans="1:1" x14ac:dyDescent="0.25">
      <c r="A5736" s="5"/>
    </row>
    <row r="5737" spans="1:1" x14ac:dyDescent="0.25">
      <c r="A5737" s="5"/>
    </row>
    <row r="5738" spans="1:1" x14ac:dyDescent="0.25">
      <c r="A5738" s="5"/>
    </row>
    <row r="5739" spans="1:1" x14ac:dyDescent="0.25">
      <c r="A5739" s="5"/>
    </row>
    <row r="5740" spans="1:1" x14ac:dyDescent="0.25">
      <c r="A5740" s="5"/>
    </row>
    <row r="5741" spans="1:1" x14ac:dyDescent="0.25">
      <c r="A5741" s="5"/>
    </row>
    <row r="5742" spans="1:1" x14ac:dyDescent="0.25">
      <c r="A5742" s="5"/>
    </row>
    <row r="5743" spans="1:1" x14ac:dyDescent="0.25">
      <c r="A5743" s="5"/>
    </row>
    <row r="5744" spans="1:1" x14ac:dyDescent="0.25">
      <c r="A5744" s="5"/>
    </row>
    <row r="5745" spans="1:1" x14ac:dyDescent="0.25">
      <c r="A5745" s="5"/>
    </row>
    <row r="5746" spans="1:1" x14ac:dyDescent="0.25">
      <c r="A5746" s="5"/>
    </row>
    <row r="5747" spans="1:1" x14ac:dyDescent="0.25">
      <c r="A5747" s="5"/>
    </row>
    <row r="5748" spans="1:1" x14ac:dyDescent="0.25">
      <c r="A5748" s="5"/>
    </row>
    <row r="5749" spans="1:1" x14ac:dyDescent="0.25">
      <c r="A5749" s="5"/>
    </row>
    <row r="5750" spans="1:1" x14ac:dyDescent="0.25">
      <c r="A5750" s="5"/>
    </row>
    <row r="5751" spans="1:1" x14ac:dyDescent="0.25">
      <c r="A5751" s="5"/>
    </row>
    <row r="5752" spans="1:1" x14ac:dyDescent="0.25">
      <c r="A5752" s="5"/>
    </row>
    <row r="5753" spans="1:1" x14ac:dyDescent="0.25">
      <c r="A5753" s="5"/>
    </row>
    <row r="5754" spans="1:1" x14ac:dyDescent="0.25">
      <c r="A5754" s="5"/>
    </row>
    <row r="5755" spans="1:1" x14ac:dyDescent="0.25">
      <c r="A5755" s="5"/>
    </row>
    <row r="5756" spans="1:1" x14ac:dyDescent="0.25">
      <c r="A5756" s="5"/>
    </row>
    <row r="5757" spans="1:1" x14ac:dyDescent="0.25">
      <c r="A5757" s="5"/>
    </row>
    <row r="5758" spans="1:1" x14ac:dyDescent="0.25">
      <c r="A5758" s="5"/>
    </row>
    <row r="5759" spans="1:1" x14ac:dyDescent="0.25">
      <c r="A5759" s="5"/>
    </row>
    <row r="5760" spans="1:1" x14ac:dyDescent="0.25">
      <c r="A5760" s="5"/>
    </row>
    <row r="5761" spans="1:1" x14ac:dyDescent="0.25">
      <c r="A5761" s="5"/>
    </row>
    <row r="5762" spans="1:1" x14ac:dyDescent="0.25">
      <c r="A5762" s="5"/>
    </row>
    <row r="5763" spans="1:1" x14ac:dyDescent="0.25">
      <c r="A5763" s="5"/>
    </row>
    <row r="5764" spans="1:1" x14ac:dyDescent="0.25">
      <c r="A5764" s="5"/>
    </row>
    <row r="5765" spans="1:1" x14ac:dyDescent="0.25">
      <c r="A5765" s="5"/>
    </row>
    <row r="5766" spans="1:1" x14ac:dyDescent="0.25">
      <c r="A5766" s="5"/>
    </row>
    <row r="5767" spans="1:1" x14ac:dyDescent="0.25">
      <c r="A5767" s="5"/>
    </row>
    <row r="5768" spans="1:1" x14ac:dyDescent="0.25">
      <c r="A5768" s="5"/>
    </row>
    <row r="5769" spans="1:1" x14ac:dyDescent="0.25">
      <c r="A5769" s="5"/>
    </row>
    <row r="5770" spans="1:1" x14ac:dyDescent="0.25">
      <c r="A5770" s="5"/>
    </row>
    <row r="5771" spans="1:1" x14ac:dyDescent="0.25">
      <c r="A5771" s="5"/>
    </row>
    <row r="5772" spans="1:1" x14ac:dyDescent="0.25">
      <c r="A5772" s="5"/>
    </row>
    <row r="5773" spans="1:1" x14ac:dyDescent="0.25">
      <c r="A5773" s="5"/>
    </row>
    <row r="5774" spans="1:1" x14ac:dyDescent="0.25">
      <c r="A5774" s="5"/>
    </row>
    <row r="5775" spans="1:1" x14ac:dyDescent="0.25">
      <c r="A5775" s="5"/>
    </row>
    <row r="5776" spans="1:1" x14ac:dyDescent="0.25">
      <c r="A5776" s="5"/>
    </row>
    <row r="5777" spans="1:1" x14ac:dyDescent="0.25">
      <c r="A5777" s="5"/>
    </row>
    <row r="5778" spans="1:1" x14ac:dyDescent="0.25">
      <c r="A5778" s="5"/>
    </row>
    <row r="5779" spans="1:1" x14ac:dyDescent="0.25">
      <c r="A5779" s="5"/>
    </row>
    <row r="5780" spans="1:1" x14ac:dyDescent="0.25">
      <c r="A5780" s="5"/>
    </row>
    <row r="5781" spans="1:1" x14ac:dyDescent="0.25">
      <c r="A5781" s="5"/>
    </row>
    <row r="5782" spans="1:1" x14ac:dyDescent="0.25">
      <c r="A5782" s="5"/>
    </row>
    <row r="5783" spans="1:1" x14ac:dyDescent="0.25">
      <c r="A5783" s="5"/>
    </row>
    <row r="5784" spans="1:1" x14ac:dyDescent="0.25">
      <c r="A5784" s="5"/>
    </row>
    <row r="5785" spans="1:1" x14ac:dyDescent="0.25">
      <c r="A5785" s="5"/>
    </row>
    <row r="5786" spans="1:1" x14ac:dyDescent="0.25">
      <c r="A5786" s="5"/>
    </row>
    <row r="5787" spans="1:1" x14ac:dyDescent="0.25">
      <c r="A5787" s="5"/>
    </row>
    <row r="5788" spans="1:1" x14ac:dyDescent="0.25">
      <c r="A5788" s="5"/>
    </row>
    <row r="5789" spans="1:1" x14ac:dyDescent="0.25">
      <c r="A5789" s="5"/>
    </row>
    <row r="5790" spans="1:1" x14ac:dyDescent="0.25">
      <c r="A5790" s="5"/>
    </row>
    <row r="5791" spans="1:1" x14ac:dyDescent="0.25">
      <c r="A5791" s="5"/>
    </row>
    <row r="5792" spans="1:1" x14ac:dyDescent="0.25">
      <c r="A5792" s="5"/>
    </row>
    <row r="5793" spans="1:1" x14ac:dyDescent="0.25">
      <c r="A5793" s="5"/>
    </row>
    <row r="5794" spans="1:1" x14ac:dyDescent="0.25">
      <c r="A5794" s="5"/>
    </row>
    <row r="5795" spans="1:1" x14ac:dyDescent="0.25">
      <c r="A5795" s="5"/>
    </row>
    <row r="5796" spans="1:1" x14ac:dyDescent="0.25">
      <c r="A5796" s="5"/>
    </row>
    <row r="5797" spans="1:1" x14ac:dyDescent="0.25">
      <c r="A5797" s="5"/>
    </row>
    <row r="5798" spans="1:1" x14ac:dyDescent="0.25">
      <c r="A5798" s="5"/>
    </row>
    <row r="5799" spans="1:1" x14ac:dyDescent="0.25">
      <c r="A5799" s="5"/>
    </row>
    <row r="5800" spans="1:1" x14ac:dyDescent="0.25">
      <c r="A5800" s="5"/>
    </row>
    <row r="5801" spans="1:1" x14ac:dyDescent="0.25">
      <c r="A5801" s="5"/>
    </row>
    <row r="5802" spans="1:1" x14ac:dyDescent="0.25">
      <c r="A5802" s="5"/>
    </row>
    <row r="5803" spans="1:1" x14ac:dyDescent="0.25">
      <c r="A5803" s="5"/>
    </row>
    <row r="5804" spans="1:1" x14ac:dyDescent="0.25">
      <c r="A5804" s="5"/>
    </row>
    <row r="5805" spans="1:1" x14ac:dyDescent="0.25">
      <c r="A5805" s="5"/>
    </row>
    <row r="5806" spans="1:1" x14ac:dyDescent="0.25">
      <c r="A5806" s="5"/>
    </row>
    <row r="5807" spans="1:1" x14ac:dyDescent="0.25">
      <c r="A5807" s="5"/>
    </row>
    <row r="5808" spans="1:1" x14ac:dyDescent="0.25">
      <c r="A5808" s="5"/>
    </row>
    <row r="5809" spans="1:1" x14ac:dyDescent="0.25">
      <c r="A5809" s="5"/>
    </row>
    <row r="5810" spans="1:1" x14ac:dyDescent="0.25">
      <c r="A5810" s="5"/>
    </row>
    <row r="5811" spans="1:1" x14ac:dyDescent="0.25">
      <c r="A5811" s="5"/>
    </row>
    <row r="5812" spans="1:1" x14ac:dyDescent="0.25">
      <c r="A5812" s="5"/>
    </row>
    <row r="5813" spans="1:1" x14ac:dyDescent="0.25">
      <c r="A5813" s="5"/>
    </row>
    <row r="5814" spans="1:1" x14ac:dyDescent="0.25">
      <c r="A5814" s="5"/>
    </row>
    <row r="5815" spans="1:1" x14ac:dyDescent="0.25">
      <c r="A5815" s="5"/>
    </row>
    <row r="5816" spans="1:1" x14ac:dyDescent="0.25">
      <c r="A5816" s="5"/>
    </row>
    <row r="5817" spans="1:1" x14ac:dyDescent="0.25">
      <c r="A5817" s="5"/>
    </row>
    <row r="5818" spans="1:1" x14ac:dyDescent="0.25">
      <c r="A5818" s="5"/>
    </row>
    <row r="5819" spans="1:1" x14ac:dyDescent="0.25">
      <c r="A5819" s="5"/>
    </row>
    <row r="5820" spans="1:1" x14ac:dyDescent="0.25">
      <c r="A5820" s="5"/>
    </row>
    <row r="5821" spans="1:1" x14ac:dyDescent="0.25">
      <c r="A5821" s="5"/>
    </row>
    <row r="5822" spans="1:1" x14ac:dyDescent="0.25">
      <c r="A5822" s="5"/>
    </row>
    <row r="5823" spans="1:1" x14ac:dyDescent="0.25">
      <c r="A5823" s="5"/>
    </row>
    <row r="5824" spans="1:1" x14ac:dyDescent="0.25">
      <c r="A5824" s="5"/>
    </row>
    <row r="5825" spans="1:1" x14ac:dyDescent="0.25">
      <c r="A5825" s="5"/>
    </row>
    <row r="5826" spans="1:1" x14ac:dyDescent="0.25">
      <c r="A5826" s="5"/>
    </row>
    <row r="5827" spans="1:1" x14ac:dyDescent="0.25">
      <c r="A5827" s="5"/>
    </row>
    <row r="5828" spans="1:1" x14ac:dyDescent="0.25">
      <c r="A5828" s="5"/>
    </row>
    <row r="5829" spans="1:1" x14ac:dyDescent="0.25">
      <c r="A5829" s="5"/>
    </row>
    <row r="5830" spans="1:1" x14ac:dyDescent="0.25">
      <c r="A5830" s="5"/>
    </row>
    <row r="5831" spans="1:1" x14ac:dyDescent="0.25">
      <c r="A5831" s="5"/>
    </row>
    <row r="5832" spans="1:1" x14ac:dyDescent="0.25">
      <c r="A5832" s="5"/>
    </row>
    <row r="5833" spans="1:1" x14ac:dyDescent="0.25">
      <c r="A5833" s="5"/>
    </row>
    <row r="5834" spans="1:1" x14ac:dyDescent="0.25">
      <c r="A5834" s="5"/>
    </row>
    <row r="5835" spans="1:1" x14ac:dyDescent="0.25">
      <c r="A5835" s="5"/>
    </row>
    <row r="5836" spans="1:1" x14ac:dyDescent="0.25">
      <c r="A5836" s="5"/>
    </row>
    <row r="5837" spans="1:1" x14ac:dyDescent="0.25">
      <c r="A5837" s="5"/>
    </row>
    <row r="5838" spans="1:1" x14ac:dyDescent="0.25">
      <c r="A5838" s="5"/>
    </row>
    <row r="5839" spans="1:1" x14ac:dyDescent="0.25">
      <c r="A5839" s="5"/>
    </row>
    <row r="5840" spans="1:1" x14ac:dyDescent="0.25">
      <c r="A5840" s="5"/>
    </row>
    <row r="5841" spans="1:1" x14ac:dyDescent="0.25">
      <c r="A5841" s="5"/>
    </row>
    <row r="5842" spans="1:1" x14ac:dyDescent="0.25">
      <c r="A5842" s="5"/>
    </row>
    <row r="5843" spans="1:1" x14ac:dyDescent="0.25">
      <c r="A5843" s="5"/>
    </row>
    <row r="5844" spans="1:1" x14ac:dyDescent="0.25">
      <c r="A5844" s="5"/>
    </row>
    <row r="5845" spans="1:1" x14ac:dyDescent="0.25">
      <c r="A5845" s="5"/>
    </row>
    <row r="5846" spans="1:1" x14ac:dyDescent="0.25">
      <c r="A5846" s="5"/>
    </row>
    <row r="5847" spans="1:1" x14ac:dyDescent="0.25">
      <c r="A5847" s="5"/>
    </row>
    <row r="5848" spans="1:1" x14ac:dyDescent="0.25">
      <c r="A5848" s="5"/>
    </row>
    <row r="5849" spans="1:1" x14ac:dyDescent="0.25">
      <c r="A5849" s="5"/>
    </row>
    <row r="5850" spans="1:1" x14ac:dyDescent="0.25">
      <c r="A5850" s="5"/>
    </row>
    <row r="5851" spans="1:1" x14ac:dyDescent="0.25">
      <c r="A5851" s="5"/>
    </row>
    <row r="5852" spans="1:1" x14ac:dyDescent="0.25">
      <c r="A5852" s="5"/>
    </row>
    <row r="5853" spans="1:1" x14ac:dyDescent="0.25">
      <c r="A5853" s="5"/>
    </row>
    <row r="5854" spans="1:1" x14ac:dyDescent="0.25">
      <c r="A5854" s="5"/>
    </row>
    <row r="5855" spans="1:1" x14ac:dyDescent="0.25">
      <c r="A5855" s="5"/>
    </row>
    <row r="5856" spans="1:1" x14ac:dyDescent="0.25">
      <c r="A5856" s="5"/>
    </row>
    <row r="5857" spans="1:1" x14ac:dyDescent="0.25">
      <c r="A5857" s="5"/>
    </row>
    <row r="5858" spans="1:1" x14ac:dyDescent="0.25">
      <c r="A5858" s="5"/>
    </row>
    <row r="5859" spans="1:1" x14ac:dyDescent="0.25">
      <c r="A5859" s="5"/>
    </row>
    <row r="5860" spans="1:1" x14ac:dyDescent="0.25">
      <c r="A5860" s="5"/>
    </row>
    <row r="5861" spans="1:1" x14ac:dyDescent="0.25">
      <c r="A5861" s="5"/>
    </row>
    <row r="5862" spans="1:1" x14ac:dyDescent="0.25">
      <c r="A5862" s="5"/>
    </row>
    <row r="5863" spans="1:1" x14ac:dyDescent="0.25">
      <c r="A5863" s="5"/>
    </row>
    <row r="5864" spans="1:1" x14ac:dyDescent="0.25">
      <c r="A5864" s="5"/>
    </row>
    <row r="5865" spans="1:1" x14ac:dyDescent="0.25">
      <c r="A5865" s="5"/>
    </row>
    <row r="5866" spans="1:1" x14ac:dyDescent="0.25">
      <c r="A5866" s="5"/>
    </row>
    <row r="5867" spans="1:1" x14ac:dyDescent="0.25">
      <c r="A5867" s="5"/>
    </row>
    <row r="5868" spans="1:1" x14ac:dyDescent="0.25">
      <c r="A5868" s="5"/>
    </row>
    <row r="5869" spans="1:1" x14ac:dyDescent="0.25">
      <c r="A5869" s="5"/>
    </row>
    <row r="5870" spans="1:1" x14ac:dyDescent="0.25">
      <c r="A5870" s="5"/>
    </row>
    <row r="5871" spans="1:1" x14ac:dyDescent="0.25">
      <c r="A5871" s="5"/>
    </row>
    <row r="5872" spans="1:1" x14ac:dyDescent="0.25">
      <c r="A5872" s="5"/>
    </row>
    <row r="5873" spans="1:1" x14ac:dyDescent="0.25">
      <c r="A5873" s="5"/>
    </row>
    <row r="5874" spans="1:1" x14ac:dyDescent="0.25">
      <c r="A5874" s="5"/>
    </row>
    <row r="5875" spans="1:1" x14ac:dyDescent="0.25">
      <c r="A5875" s="5"/>
    </row>
    <row r="5876" spans="1:1" x14ac:dyDescent="0.25">
      <c r="A5876" s="5"/>
    </row>
    <row r="5877" spans="1:1" x14ac:dyDescent="0.25">
      <c r="A5877" s="5"/>
    </row>
    <row r="5878" spans="1:1" x14ac:dyDescent="0.25">
      <c r="A5878" s="5"/>
    </row>
    <row r="5879" spans="1:1" x14ac:dyDescent="0.25">
      <c r="A5879" s="5"/>
    </row>
    <row r="5880" spans="1:1" x14ac:dyDescent="0.25">
      <c r="A5880" s="5"/>
    </row>
    <row r="5881" spans="1:1" x14ac:dyDescent="0.25">
      <c r="A5881" s="5"/>
    </row>
    <row r="5882" spans="1:1" x14ac:dyDescent="0.25">
      <c r="A5882" s="5"/>
    </row>
    <row r="5883" spans="1:1" x14ac:dyDescent="0.25">
      <c r="A5883" s="5"/>
    </row>
    <row r="5884" spans="1:1" x14ac:dyDescent="0.25">
      <c r="A5884" s="5"/>
    </row>
    <row r="5885" spans="1:1" x14ac:dyDescent="0.25">
      <c r="A5885" s="5"/>
    </row>
    <row r="5886" spans="1:1" x14ac:dyDescent="0.25">
      <c r="A5886" s="5"/>
    </row>
    <row r="5887" spans="1:1" x14ac:dyDescent="0.25">
      <c r="A5887" s="5"/>
    </row>
    <row r="5888" spans="1:1" x14ac:dyDescent="0.25">
      <c r="A5888" s="5"/>
    </row>
    <row r="5889" spans="1:1" x14ac:dyDescent="0.25">
      <c r="A5889" s="5"/>
    </row>
    <row r="5890" spans="1:1" x14ac:dyDescent="0.25">
      <c r="A5890" s="5"/>
    </row>
    <row r="5891" spans="1:1" x14ac:dyDescent="0.25">
      <c r="A5891" s="5"/>
    </row>
    <row r="5892" spans="1:1" x14ac:dyDescent="0.25">
      <c r="A5892" s="5"/>
    </row>
    <row r="5893" spans="1:1" x14ac:dyDescent="0.25">
      <c r="A5893" s="5"/>
    </row>
    <row r="5894" spans="1:1" x14ac:dyDescent="0.25">
      <c r="A5894" s="5"/>
    </row>
    <row r="5895" spans="1:1" x14ac:dyDescent="0.25">
      <c r="A5895" s="5"/>
    </row>
    <row r="5896" spans="1:1" x14ac:dyDescent="0.25">
      <c r="A5896" s="5"/>
    </row>
    <row r="5897" spans="1:1" x14ac:dyDescent="0.25">
      <c r="A5897" s="5"/>
    </row>
    <row r="5898" spans="1:1" x14ac:dyDescent="0.25">
      <c r="A5898" s="5"/>
    </row>
    <row r="5899" spans="1:1" x14ac:dyDescent="0.25">
      <c r="A5899" s="5"/>
    </row>
    <row r="5900" spans="1:1" x14ac:dyDescent="0.25">
      <c r="A5900" s="5"/>
    </row>
    <row r="5901" spans="1:1" x14ac:dyDescent="0.25">
      <c r="A5901" s="5"/>
    </row>
    <row r="5902" spans="1:1" x14ac:dyDescent="0.25">
      <c r="A5902" s="5"/>
    </row>
    <row r="5903" spans="1:1" x14ac:dyDescent="0.25">
      <c r="A5903" s="5"/>
    </row>
    <row r="5904" spans="1:1" x14ac:dyDescent="0.25">
      <c r="A5904" s="5"/>
    </row>
    <row r="5905" spans="1:1" x14ac:dyDescent="0.25">
      <c r="A5905" s="5"/>
    </row>
    <row r="5906" spans="1:1" x14ac:dyDescent="0.25">
      <c r="A5906" s="5"/>
    </row>
    <row r="5907" spans="1:1" x14ac:dyDescent="0.25">
      <c r="A5907" s="5"/>
    </row>
    <row r="5908" spans="1:1" x14ac:dyDescent="0.25">
      <c r="A5908" s="5"/>
    </row>
    <row r="5909" spans="1:1" x14ac:dyDescent="0.25">
      <c r="A5909" s="5"/>
    </row>
    <row r="5910" spans="1:1" x14ac:dyDescent="0.25">
      <c r="A5910" s="5"/>
    </row>
    <row r="5911" spans="1:1" x14ac:dyDescent="0.25">
      <c r="A5911" s="5"/>
    </row>
    <row r="5912" spans="1:1" x14ac:dyDescent="0.25">
      <c r="A5912" s="5"/>
    </row>
    <row r="5913" spans="1:1" x14ac:dyDescent="0.25">
      <c r="A5913" s="5"/>
    </row>
    <row r="5914" spans="1:1" x14ac:dyDescent="0.25">
      <c r="A5914" s="5"/>
    </row>
    <row r="5915" spans="1:1" x14ac:dyDescent="0.25">
      <c r="A5915" s="5"/>
    </row>
    <row r="5916" spans="1:1" x14ac:dyDescent="0.25">
      <c r="A5916" s="5"/>
    </row>
    <row r="5917" spans="1:1" x14ac:dyDescent="0.25">
      <c r="A5917" s="5"/>
    </row>
    <row r="5918" spans="1:1" x14ac:dyDescent="0.25">
      <c r="A5918" s="5"/>
    </row>
    <row r="5919" spans="1:1" x14ac:dyDescent="0.25">
      <c r="A5919" s="5"/>
    </row>
    <row r="5920" spans="1:1" x14ac:dyDescent="0.25">
      <c r="A5920" s="5"/>
    </row>
    <row r="5921" spans="1:1" x14ac:dyDescent="0.25">
      <c r="A5921" s="5"/>
    </row>
    <row r="5922" spans="1:1" x14ac:dyDescent="0.25">
      <c r="A5922" s="5"/>
    </row>
    <row r="5923" spans="1:1" x14ac:dyDescent="0.25">
      <c r="A5923" s="5"/>
    </row>
    <row r="5924" spans="1:1" x14ac:dyDescent="0.25">
      <c r="A5924" s="5"/>
    </row>
    <row r="5925" spans="1:1" x14ac:dyDescent="0.25">
      <c r="A5925" s="5"/>
    </row>
    <row r="5926" spans="1:1" x14ac:dyDescent="0.25">
      <c r="A5926" s="5"/>
    </row>
    <row r="5927" spans="1:1" x14ac:dyDescent="0.25">
      <c r="A5927" s="5"/>
    </row>
    <row r="5928" spans="1:1" x14ac:dyDescent="0.25">
      <c r="A5928" s="5"/>
    </row>
    <row r="5929" spans="1:1" x14ac:dyDescent="0.25">
      <c r="A5929" s="5"/>
    </row>
    <row r="5930" spans="1:1" x14ac:dyDescent="0.25">
      <c r="A5930" s="5"/>
    </row>
    <row r="5931" spans="1:1" x14ac:dyDescent="0.25">
      <c r="A5931" s="5"/>
    </row>
    <row r="5932" spans="1:1" x14ac:dyDescent="0.25">
      <c r="A5932" s="5"/>
    </row>
    <row r="5933" spans="1:1" x14ac:dyDescent="0.25">
      <c r="A5933" s="5"/>
    </row>
    <row r="5934" spans="1:1" x14ac:dyDescent="0.25">
      <c r="A5934" s="5"/>
    </row>
    <row r="5935" spans="1:1" x14ac:dyDescent="0.25">
      <c r="A5935" s="5"/>
    </row>
    <row r="5936" spans="1:1" x14ac:dyDescent="0.25">
      <c r="A5936" s="5"/>
    </row>
    <row r="5937" spans="1:1" x14ac:dyDescent="0.25">
      <c r="A5937" s="5"/>
    </row>
    <row r="5938" spans="1:1" x14ac:dyDescent="0.25">
      <c r="A5938" s="5"/>
    </row>
    <row r="5939" spans="1:1" x14ac:dyDescent="0.25">
      <c r="A5939" s="5"/>
    </row>
    <row r="5940" spans="1:1" x14ac:dyDescent="0.25">
      <c r="A5940" s="5"/>
    </row>
    <row r="5941" spans="1:1" x14ac:dyDescent="0.25">
      <c r="A5941" s="5"/>
    </row>
    <row r="5942" spans="1:1" x14ac:dyDescent="0.25">
      <c r="A5942" s="5"/>
    </row>
    <row r="5943" spans="1:1" x14ac:dyDescent="0.25">
      <c r="A5943" s="5"/>
    </row>
    <row r="5944" spans="1:1" x14ac:dyDescent="0.25">
      <c r="A5944" s="5"/>
    </row>
    <row r="5945" spans="1:1" x14ac:dyDescent="0.25">
      <c r="A5945" s="5"/>
    </row>
    <row r="5946" spans="1:1" x14ac:dyDescent="0.25">
      <c r="A5946" s="5"/>
    </row>
    <row r="5947" spans="1:1" x14ac:dyDescent="0.25">
      <c r="A5947" s="5"/>
    </row>
    <row r="5948" spans="1:1" x14ac:dyDescent="0.25">
      <c r="A5948" s="5"/>
    </row>
    <row r="5949" spans="1:1" x14ac:dyDescent="0.25">
      <c r="A5949" s="5"/>
    </row>
    <row r="5950" spans="1:1" x14ac:dyDescent="0.25">
      <c r="A5950" s="5"/>
    </row>
    <row r="5951" spans="1:1" x14ac:dyDescent="0.25">
      <c r="A5951" s="5"/>
    </row>
    <row r="5952" spans="1:1" x14ac:dyDescent="0.25">
      <c r="A5952" s="5"/>
    </row>
    <row r="5953" spans="1:1" x14ac:dyDescent="0.25">
      <c r="A5953" s="5"/>
    </row>
    <row r="5954" spans="1:1" x14ac:dyDescent="0.25">
      <c r="A5954" s="5"/>
    </row>
    <row r="5955" spans="1:1" x14ac:dyDescent="0.25">
      <c r="A5955" s="5"/>
    </row>
    <row r="5956" spans="1:1" x14ac:dyDescent="0.25">
      <c r="A5956" s="5"/>
    </row>
    <row r="5957" spans="1:1" x14ac:dyDescent="0.25">
      <c r="A5957" s="5"/>
    </row>
    <row r="5958" spans="1:1" x14ac:dyDescent="0.25">
      <c r="A5958" s="5"/>
    </row>
    <row r="5959" spans="1:1" x14ac:dyDescent="0.25">
      <c r="A5959" s="5"/>
    </row>
    <row r="5960" spans="1:1" x14ac:dyDescent="0.25">
      <c r="A5960" s="5"/>
    </row>
    <row r="5961" spans="1:1" x14ac:dyDescent="0.25">
      <c r="A5961" s="5"/>
    </row>
    <row r="5962" spans="1:1" x14ac:dyDescent="0.25">
      <c r="A5962" s="5"/>
    </row>
    <row r="5963" spans="1:1" x14ac:dyDescent="0.25">
      <c r="A5963" s="5"/>
    </row>
    <row r="5964" spans="1:1" x14ac:dyDescent="0.25">
      <c r="A5964" s="5"/>
    </row>
    <row r="5965" spans="1:1" x14ac:dyDescent="0.25">
      <c r="A5965" s="5"/>
    </row>
    <row r="5966" spans="1:1" x14ac:dyDescent="0.25">
      <c r="A5966" s="5"/>
    </row>
    <row r="5967" spans="1:1" x14ac:dyDescent="0.25">
      <c r="A5967" s="5"/>
    </row>
    <row r="5968" spans="1:1" x14ac:dyDescent="0.25">
      <c r="A5968" s="5"/>
    </row>
    <row r="5969" spans="1:1" x14ac:dyDescent="0.25">
      <c r="A5969" s="5"/>
    </row>
    <row r="5970" spans="1:1" x14ac:dyDescent="0.25">
      <c r="A5970" s="5"/>
    </row>
    <row r="5971" spans="1:1" x14ac:dyDescent="0.25">
      <c r="A5971" s="5"/>
    </row>
    <row r="5972" spans="1:1" x14ac:dyDescent="0.25">
      <c r="A5972" s="5"/>
    </row>
    <row r="5973" spans="1:1" x14ac:dyDescent="0.25">
      <c r="A5973" s="5"/>
    </row>
    <row r="5974" spans="1:1" x14ac:dyDescent="0.25">
      <c r="A5974" s="5"/>
    </row>
    <row r="5975" spans="1:1" x14ac:dyDescent="0.25">
      <c r="A5975" s="5"/>
    </row>
    <row r="5976" spans="1:1" x14ac:dyDescent="0.25">
      <c r="A5976" s="5"/>
    </row>
    <row r="5977" spans="1:1" x14ac:dyDescent="0.25">
      <c r="A5977" s="5"/>
    </row>
    <row r="5978" spans="1:1" x14ac:dyDescent="0.25">
      <c r="A5978" s="5"/>
    </row>
    <row r="5979" spans="1:1" x14ac:dyDescent="0.25">
      <c r="A5979" s="5"/>
    </row>
    <row r="5980" spans="1:1" x14ac:dyDescent="0.25">
      <c r="A5980" s="5"/>
    </row>
    <row r="5981" spans="1:1" x14ac:dyDescent="0.25">
      <c r="A5981" s="5"/>
    </row>
    <row r="5982" spans="1:1" x14ac:dyDescent="0.25">
      <c r="A5982" s="5"/>
    </row>
    <row r="5983" spans="1:1" x14ac:dyDescent="0.25">
      <c r="A5983" s="5"/>
    </row>
    <row r="5984" spans="1:1" x14ac:dyDescent="0.25">
      <c r="A5984" s="5"/>
    </row>
    <row r="5985" spans="1:1" x14ac:dyDescent="0.25">
      <c r="A5985" s="5"/>
    </row>
    <row r="5986" spans="1:1" x14ac:dyDescent="0.25">
      <c r="A5986" s="5"/>
    </row>
    <row r="5987" spans="1:1" x14ac:dyDescent="0.25">
      <c r="A5987" s="5"/>
    </row>
    <row r="5988" spans="1:1" x14ac:dyDescent="0.25">
      <c r="A5988" s="5"/>
    </row>
    <row r="5989" spans="1:1" x14ac:dyDescent="0.25">
      <c r="A5989" s="5"/>
    </row>
    <row r="5990" spans="1:1" x14ac:dyDescent="0.25">
      <c r="A5990" s="5"/>
    </row>
    <row r="5991" spans="1:1" x14ac:dyDescent="0.25">
      <c r="A5991" s="5"/>
    </row>
    <row r="5992" spans="1:1" x14ac:dyDescent="0.25">
      <c r="A5992" s="5"/>
    </row>
    <row r="5993" spans="1:1" x14ac:dyDescent="0.25">
      <c r="A5993" s="5"/>
    </row>
    <row r="5994" spans="1:1" x14ac:dyDescent="0.25">
      <c r="A5994" s="5"/>
    </row>
    <row r="5995" spans="1:1" x14ac:dyDescent="0.25">
      <c r="A5995" s="5"/>
    </row>
    <row r="5996" spans="1:1" x14ac:dyDescent="0.25">
      <c r="A5996" s="5"/>
    </row>
    <row r="5997" spans="1:1" x14ac:dyDescent="0.25">
      <c r="A5997" s="5"/>
    </row>
    <row r="5998" spans="1:1" x14ac:dyDescent="0.25">
      <c r="A5998" s="5"/>
    </row>
    <row r="5999" spans="1:1" x14ac:dyDescent="0.25">
      <c r="A5999" s="5"/>
    </row>
    <row r="6000" spans="1:1" x14ac:dyDescent="0.25">
      <c r="A6000" s="5"/>
    </row>
    <row r="6001" spans="1:1" x14ac:dyDescent="0.25">
      <c r="A6001" s="5"/>
    </row>
    <row r="6002" spans="1:1" x14ac:dyDescent="0.25">
      <c r="A6002" s="5"/>
    </row>
    <row r="6003" spans="1:1" x14ac:dyDescent="0.25">
      <c r="A6003" s="5"/>
    </row>
    <row r="6004" spans="1:1" x14ac:dyDescent="0.25">
      <c r="A6004" s="5"/>
    </row>
    <row r="6005" spans="1:1" x14ac:dyDescent="0.25">
      <c r="A6005" s="5"/>
    </row>
    <row r="6006" spans="1:1" x14ac:dyDescent="0.25">
      <c r="A6006" s="5"/>
    </row>
    <row r="6007" spans="1:1" x14ac:dyDescent="0.25">
      <c r="A6007" s="5"/>
    </row>
    <row r="6008" spans="1:1" x14ac:dyDescent="0.25">
      <c r="A6008" s="5"/>
    </row>
    <row r="6009" spans="1:1" x14ac:dyDescent="0.25">
      <c r="A6009" s="5"/>
    </row>
    <row r="6010" spans="1:1" x14ac:dyDescent="0.25">
      <c r="A6010" s="5"/>
    </row>
    <row r="6011" spans="1:1" x14ac:dyDescent="0.25">
      <c r="A6011" s="5"/>
    </row>
    <row r="6012" spans="1:1" x14ac:dyDescent="0.25">
      <c r="A6012" s="5"/>
    </row>
    <row r="6013" spans="1:1" x14ac:dyDescent="0.25">
      <c r="A6013" s="5"/>
    </row>
    <row r="6014" spans="1:1" x14ac:dyDescent="0.25">
      <c r="A6014" s="5"/>
    </row>
    <row r="6015" spans="1:1" x14ac:dyDescent="0.25">
      <c r="A6015" s="5"/>
    </row>
    <row r="6016" spans="1:1" x14ac:dyDescent="0.25">
      <c r="A6016" s="5"/>
    </row>
    <row r="6017" spans="1:1" x14ac:dyDescent="0.25">
      <c r="A6017" s="5"/>
    </row>
    <row r="6018" spans="1:1" x14ac:dyDescent="0.25">
      <c r="A6018" s="5"/>
    </row>
    <row r="6019" spans="1:1" x14ac:dyDescent="0.25">
      <c r="A6019" s="5"/>
    </row>
    <row r="6020" spans="1:1" x14ac:dyDescent="0.25">
      <c r="A6020" s="5"/>
    </row>
    <row r="6021" spans="1:1" x14ac:dyDescent="0.25">
      <c r="A6021" s="5"/>
    </row>
    <row r="6022" spans="1:1" x14ac:dyDescent="0.25">
      <c r="A6022" s="5"/>
    </row>
    <row r="6023" spans="1:1" x14ac:dyDescent="0.25">
      <c r="A6023" s="5"/>
    </row>
    <row r="6024" spans="1:1" x14ac:dyDescent="0.25">
      <c r="A6024" s="5"/>
    </row>
    <row r="6025" spans="1:1" x14ac:dyDescent="0.25">
      <c r="A6025" s="5"/>
    </row>
    <row r="6026" spans="1:1" x14ac:dyDescent="0.25">
      <c r="A6026" s="5"/>
    </row>
    <row r="6027" spans="1:1" x14ac:dyDescent="0.25">
      <c r="A6027" s="5"/>
    </row>
    <row r="6028" spans="1:1" x14ac:dyDescent="0.25">
      <c r="A6028" s="5"/>
    </row>
    <row r="6029" spans="1:1" x14ac:dyDescent="0.25">
      <c r="A6029" s="5"/>
    </row>
    <row r="6030" spans="1:1" x14ac:dyDescent="0.25">
      <c r="A6030" s="5"/>
    </row>
    <row r="6031" spans="1:1" x14ac:dyDescent="0.25">
      <c r="A6031" s="5"/>
    </row>
    <row r="6032" spans="1:1" x14ac:dyDescent="0.25">
      <c r="A6032" s="5"/>
    </row>
    <row r="6033" spans="1:1" x14ac:dyDescent="0.25">
      <c r="A6033" s="5"/>
    </row>
    <row r="6034" spans="1:1" x14ac:dyDescent="0.25">
      <c r="A6034" s="5"/>
    </row>
    <row r="6035" spans="1:1" x14ac:dyDescent="0.25">
      <c r="A6035" s="5"/>
    </row>
    <row r="6036" spans="1:1" x14ac:dyDescent="0.25">
      <c r="A6036" s="5"/>
    </row>
    <row r="6037" spans="1:1" x14ac:dyDescent="0.25">
      <c r="A6037" s="5"/>
    </row>
    <row r="6038" spans="1:1" x14ac:dyDescent="0.25">
      <c r="A6038" s="5"/>
    </row>
    <row r="6039" spans="1:1" x14ac:dyDescent="0.25">
      <c r="A6039" s="5"/>
    </row>
    <row r="6040" spans="1:1" x14ac:dyDescent="0.25">
      <c r="A6040" s="5"/>
    </row>
    <row r="6041" spans="1:1" x14ac:dyDescent="0.25">
      <c r="A6041" s="5"/>
    </row>
    <row r="6042" spans="1:1" x14ac:dyDescent="0.25">
      <c r="A6042" s="5"/>
    </row>
    <row r="6043" spans="1:1" x14ac:dyDescent="0.25">
      <c r="A6043" s="5"/>
    </row>
    <row r="6044" spans="1:1" x14ac:dyDescent="0.25">
      <c r="A6044" s="5"/>
    </row>
    <row r="6045" spans="1:1" x14ac:dyDescent="0.25">
      <c r="A6045" s="5"/>
    </row>
    <row r="6046" spans="1:1" x14ac:dyDescent="0.25">
      <c r="A6046" s="5"/>
    </row>
    <row r="6047" spans="1:1" x14ac:dyDescent="0.25">
      <c r="A6047" s="5"/>
    </row>
    <row r="6048" spans="1:1" x14ac:dyDescent="0.25">
      <c r="A6048" s="5"/>
    </row>
    <row r="6049" spans="1:1" x14ac:dyDescent="0.25">
      <c r="A6049" s="5"/>
    </row>
    <row r="6050" spans="1:1" x14ac:dyDescent="0.25">
      <c r="A6050" s="5"/>
    </row>
    <row r="6051" spans="1:1" x14ac:dyDescent="0.25">
      <c r="A6051" s="5"/>
    </row>
    <row r="6052" spans="1:1" x14ac:dyDescent="0.25">
      <c r="A6052" s="5"/>
    </row>
    <row r="6053" spans="1:1" x14ac:dyDescent="0.25">
      <c r="A6053" s="5"/>
    </row>
    <row r="6054" spans="1:1" x14ac:dyDescent="0.25">
      <c r="A6054" s="5"/>
    </row>
    <row r="6055" spans="1:1" x14ac:dyDescent="0.25">
      <c r="A6055" s="5"/>
    </row>
    <row r="6056" spans="1:1" x14ac:dyDescent="0.25">
      <c r="A6056" s="5"/>
    </row>
    <row r="6057" spans="1:1" x14ac:dyDescent="0.25">
      <c r="A6057" s="5"/>
    </row>
    <row r="6058" spans="1:1" x14ac:dyDescent="0.25">
      <c r="A6058" s="5"/>
    </row>
    <row r="6059" spans="1:1" x14ac:dyDescent="0.25">
      <c r="A6059" s="5"/>
    </row>
    <row r="6060" spans="1:1" x14ac:dyDescent="0.25">
      <c r="A6060" s="5"/>
    </row>
    <row r="6061" spans="1:1" x14ac:dyDescent="0.25">
      <c r="A6061" s="5"/>
    </row>
    <row r="6062" spans="1:1" x14ac:dyDescent="0.25">
      <c r="A6062" s="5"/>
    </row>
    <row r="6063" spans="1:1" x14ac:dyDescent="0.25">
      <c r="A6063" s="5"/>
    </row>
    <row r="6064" spans="1:1" x14ac:dyDescent="0.25">
      <c r="A6064" s="5"/>
    </row>
    <row r="6065" spans="1:1" x14ac:dyDescent="0.25">
      <c r="A6065" s="5"/>
    </row>
    <row r="6066" spans="1:1" x14ac:dyDescent="0.25">
      <c r="A6066" s="5"/>
    </row>
    <row r="6067" spans="1:1" x14ac:dyDescent="0.25">
      <c r="A6067" s="5"/>
    </row>
    <row r="6068" spans="1:1" x14ac:dyDescent="0.25">
      <c r="A6068" s="5"/>
    </row>
    <row r="6069" spans="1:1" x14ac:dyDescent="0.25">
      <c r="A6069" s="5"/>
    </row>
    <row r="6070" spans="1:1" x14ac:dyDescent="0.25">
      <c r="A6070" s="5"/>
    </row>
    <row r="6071" spans="1:1" x14ac:dyDescent="0.25">
      <c r="A6071" s="5"/>
    </row>
    <row r="6072" spans="1:1" x14ac:dyDescent="0.25">
      <c r="A6072" s="5"/>
    </row>
    <row r="6073" spans="1:1" x14ac:dyDescent="0.25">
      <c r="A6073" s="5"/>
    </row>
    <row r="6074" spans="1:1" x14ac:dyDescent="0.25">
      <c r="A6074" s="5"/>
    </row>
    <row r="6075" spans="1:1" x14ac:dyDescent="0.25">
      <c r="A6075" s="5"/>
    </row>
    <row r="6076" spans="1:1" x14ac:dyDescent="0.25">
      <c r="A6076" s="5"/>
    </row>
    <row r="6077" spans="1:1" x14ac:dyDescent="0.25">
      <c r="A6077" s="5"/>
    </row>
    <row r="6078" spans="1:1" x14ac:dyDescent="0.25">
      <c r="A6078" s="5"/>
    </row>
    <row r="6079" spans="1:1" x14ac:dyDescent="0.25">
      <c r="A6079" s="5"/>
    </row>
    <row r="6080" spans="1:1" x14ac:dyDescent="0.25">
      <c r="A6080" s="5"/>
    </row>
    <row r="6081" spans="1:1" x14ac:dyDescent="0.25">
      <c r="A6081" s="5"/>
    </row>
    <row r="6082" spans="1:1" x14ac:dyDescent="0.25">
      <c r="A6082" s="5"/>
    </row>
    <row r="6083" spans="1:1" x14ac:dyDescent="0.25">
      <c r="A6083" s="5"/>
    </row>
    <row r="6084" spans="1:1" x14ac:dyDescent="0.25">
      <c r="A6084" s="5"/>
    </row>
    <row r="6085" spans="1:1" x14ac:dyDescent="0.25">
      <c r="A6085" s="5"/>
    </row>
    <row r="6086" spans="1:1" x14ac:dyDescent="0.25">
      <c r="A6086" s="5"/>
    </row>
    <row r="6087" spans="1:1" x14ac:dyDescent="0.25">
      <c r="A6087" s="5"/>
    </row>
    <row r="6088" spans="1:1" x14ac:dyDescent="0.25">
      <c r="A6088" s="5"/>
    </row>
    <row r="6089" spans="1:1" x14ac:dyDescent="0.25">
      <c r="A6089" s="5"/>
    </row>
    <row r="6090" spans="1:1" x14ac:dyDescent="0.25">
      <c r="A6090" s="5"/>
    </row>
    <row r="6091" spans="1:1" x14ac:dyDescent="0.25">
      <c r="A6091" s="5"/>
    </row>
    <row r="6092" spans="1:1" x14ac:dyDescent="0.25">
      <c r="A6092" s="5"/>
    </row>
    <row r="6093" spans="1:1" x14ac:dyDescent="0.25">
      <c r="A6093" s="5"/>
    </row>
    <row r="6094" spans="1:1" x14ac:dyDescent="0.25">
      <c r="A6094" s="5"/>
    </row>
    <row r="6095" spans="1:1" x14ac:dyDescent="0.25">
      <c r="A6095" s="5"/>
    </row>
    <row r="6096" spans="1:1" x14ac:dyDescent="0.25">
      <c r="A6096" s="5"/>
    </row>
    <row r="6097" spans="1:1" x14ac:dyDescent="0.25">
      <c r="A6097" s="5"/>
    </row>
    <row r="6098" spans="1:1" x14ac:dyDescent="0.25">
      <c r="A6098" s="5"/>
    </row>
    <row r="6099" spans="1:1" x14ac:dyDescent="0.25">
      <c r="A6099" s="5"/>
    </row>
    <row r="6100" spans="1:1" x14ac:dyDescent="0.25">
      <c r="A6100" s="5"/>
    </row>
    <row r="6101" spans="1:1" x14ac:dyDescent="0.25">
      <c r="A6101" s="5"/>
    </row>
    <row r="6102" spans="1:1" x14ac:dyDescent="0.25">
      <c r="A6102" s="5"/>
    </row>
    <row r="6103" spans="1:1" x14ac:dyDescent="0.25">
      <c r="A6103" s="5"/>
    </row>
    <row r="6104" spans="1:1" x14ac:dyDescent="0.25">
      <c r="A6104" s="5"/>
    </row>
    <row r="6105" spans="1:1" x14ac:dyDescent="0.25">
      <c r="A6105" s="5"/>
    </row>
    <row r="6106" spans="1:1" x14ac:dyDescent="0.25">
      <c r="A6106" s="5"/>
    </row>
    <row r="6107" spans="1:1" x14ac:dyDescent="0.25">
      <c r="A6107" s="5"/>
    </row>
    <row r="6108" spans="1:1" x14ac:dyDescent="0.25">
      <c r="A6108" s="5"/>
    </row>
    <row r="6109" spans="1:1" x14ac:dyDescent="0.25">
      <c r="A6109" s="5"/>
    </row>
    <row r="6110" spans="1:1" x14ac:dyDescent="0.25">
      <c r="A6110" s="5"/>
    </row>
    <row r="6111" spans="1:1" x14ac:dyDescent="0.25">
      <c r="A6111" s="5"/>
    </row>
    <row r="6112" spans="1:1" x14ac:dyDescent="0.25">
      <c r="A6112" s="5"/>
    </row>
    <row r="6113" spans="1:1" x14ac:dyDescent="0.25">
      <c r="A6113" s="5"/>
    </row>
    <row r="6114" spans="1:1" x14ac:dyDescent="0.25">
      <c r="A6114" s="5"/>
    </row>
    <row r="6115" spans="1:1" x14ac:dyDescent="0.25">
      <c r="A6115" s="5"/>
    </row>
    <row r="6116" spans="1:1" x14ac:dyDescent="0.25">
      <c r="A6116" s="5"/>
    </row>
    <row r="6117" spans="1:1" x14ac:dyDescent="0.25">
      <c r="A6117" s="5"/>
    </row>
    <row r="6118" spans="1:1" x14ac:dyDescent="0.25">
      <c r="A6118" s="5"/>
    </row>
    <row r="6119" spans="1:1" x14ac:dyDescent="0.25">
      <c r="A6119" s="5"/>
    </row>
    <row r="6120" spans="1:1" x14ac:dyDescent="0.25">
      <c r="A6120" s="5"/>
    </row>
    <row r="6121" spans="1:1" x14ac:dyDescent="0.25">
      <c r="A6121" s="5"/>
    </row>
    <row r="6122" spans="1:1" x14ac:dyDescent="0.25">
      <c r="A6122" s="5"/>
    </row>
    <row r="6123" spans="1:1" x14ac:dyDescent="0.25">
      <c r="A6123" s="5"/>
    </row>
    <row r="6124" spans="1:1" x14ac:dyDescent="0.25">
      <c r="A6124" s="5"/>
    </row>
    <row r="6125" spans="1:1" x14ac:dyDescent="0.25">
      <c r="A6125" s="5"/>
    </row>
    <row r="6126" spans="1:1" x14ac:dyDescent="0.25">
      <c r="A6126" s="5"/>
    </row>
    <row r="6127" spans="1:1" x14ac:dyDescent="0.25">
      <c r="A6127" s="5"/>
    </row>
    <row r="6128" spans="1:1" x14ac:dyDescent="0.25">
      <c r="A6128" s="5"/>
    </row>
    <row r="6129" spans="1:1" x14ac:dyDescent="0.25">
      <c r="A6129" s="5"/>
    </row>
    <row r="6130" spans="1:1" x14ac:dyDescent="0.25">
      <c r="A6130" s="5"/>
    </row>
    <row r="6131" spans="1:1" x14ac:dyDescent="0.25">
      <c r="A6131" s="5"/>
    </row>
    <row r="6132" spans="1:1" x14ac:dyDescent="0.25">
      <c r="A6132" s="5"/>
    </row>
    <row r="6133" spans="1:1" x14ac:dyDescent="0.25">
      <c r="A6133" s="5"/>
    </row>
    <row r="6134" spans="1:1" x14ac:dyDescent="0.25">
      <c r="A6134" s="5"/>
    </row>
    <row r="6135" spans="1:1" x14ac:dyDescent="0.25">
      <c r="A6135" s="5"/>
    </row>
    <row r="6136" spans="1:1" x14ac:dyDescent="0.25">
      <c r="A6136" s="5"/>
    </row>
    <row r="6137" spans="1:1" x14ac:dyDescent="0.25">
      <c r="A6137" s="5"/>
    </row>
    <row r="6138" spans="1:1" x14ac:dyDescent="0.25">
      <c r="A6138" s="5"/>
    </row>
    <row r="6139" spans="1:1" x14ac:dyDescent="0.25">
      <c r="A6139" s="5"/>
    </row>
    <row r="6140" spans="1:1" x14ac:dyDescent="0.25">
      <c r="A6140" s="5"/>
    </row>
    <row r="6141" spans="1:1" x14ac:dyDescent="0.25">
      <c r="A6141" s="5"/>
    </row>
    <row r="6142" spans="1:1" x14ac:dyDescent="0.25">
      <c r="A6142" s="5"/>
    </row>
    <row r="6143" spans="1:1" x14ac:dyDescent="0.25">
      <c r="A6143" s="5"/>
    </row>
    <row r="6144" spans="1:1" x14ac:dyDescent="0.25">
      <c r="A6144" s="5"/>
    </row>
    <row r="6145" spans="1:1" x14ac:dyDescent="0.25">
      <c r="A6145" s="5"/>
    </row>
    <row r="6146" spans="1:1" x14ac:dyDescent="0.25">
      <c r="A6146" s="5"/>
    </row>
    <row r="6147" spans="1:1" x14ac:dyDescent="0.25">
      <c r="A6147" s="5"/>
    </row>
    <row r="6148" spans="1:1" x14ac:dyDescent="0.25">
      <c r="A6148" s="5"/>
    </row>
    <row r="6149" spans="1:1" x14ac:dyDescent="0.25">
      <c r="A6149" s="5"/>
    </row>
    <row r="6150" spans="1:1" x14ac:dyDescent="0.25">
      <c r="A6150" s="5"/>
    </row>
    <row r="6151" spans="1:1" x14ac:dyDescent="0.25">
      <c r="A6151" s="5"/>
    </row>
    <row r="6152" spans="1:1" x14ac:dyDescent="0.25">
      <c r="A6152" s="5"/>
    </row>
    <row r="6153" spans="1:1" x14ac:dyDescent="0.25">
      <c r="A6153" s="5"/>
    </row>
    <row r="6154" spans="1:1" x14ac:dyDescent="0.25">
      <c r="A6154" s="5"/>
    </row>
    <row r="6155" spans="1:1" x14ac:dyDescent="0.25">
      <c r="A6155" s="5"/>
    </row>
    <row r="6156" spans="1:1" x14ac:dyDescent="0.25">
      <c r="A6156" s="5"/>
    </row>
    <row r="6157" spans="1:1" x14ac:dyDescent="0.25">
      <c r="A6157" s="5"/>
    </row>
    <row r="6158" spans="1:1" x14ac:dyDescent="0.25">
      <c r="A6158" s="5"/>
    </row>
    <row r="6159" spans="1:1" x14ac:dyDescent="0.25">
      <c r="A6159" s="5"/>
    </row>
    <row r="6160" spans="1:1" x14ac:dyDescent="0.25">
      <c r="A6160" s="5"/>
    </row>
    <row r="6161" spans="1:1" x14ac:dyDescent="0.25">
      <c r="A6161" s="5"/>
    </row>
    <row r="6162" spans="1:1" x14ac:dyDescent="0.25">
      <c r="A6162" s="5"/>
    </row>
    <row r="6163" spans="1:1" x14ac:dyDescent="0.25">
      <c r="A6163" s="5"/>
    </row>
    <row r="6164" spans="1:1" x14ac:dyDescent="0.25">
      <c r="A6164" s="5"/>
    </row>
    <row r="6165" spans="1:1" x14ac:dyDescent="0.25">
      <c r="A6165" s="5"/>
    </row>
    <row r="6166" spans="1:1" x14ac:dyDescent="0.25">
      <c r="A6166" s="5"/>
    </row>
    <row r="6167" spans="1:1" x14ac:dyDescent="0.25">
      <c r="A6167" s="5"/>
    </row>
    <row r="6168" spans="1:1" x14ac:dyDescent="0.25">
      <c r="A6168" s="5"/>
    </row>
    <row r="6169" spans="1:1" x14ac:dyDescent="0.25">
      <c r="A6169" s="5"/>
    </row>
    <row r="6170" spans="1:1" x14ac:dyDescent="0.25">
      <c r="A6170" s="5"/>
    </row>
    <row r="6171" spans="1:1" x14ac:dyDescent="0.25">
      <c r="A6171" s="5"/>
    </row>
    <row r="6172" spans="1:1" x14ac:dyDescent="0.25">
      <c r="A6172" s="5"/>
    </row>
    <row r="6173" spans="1:1" x14ac:dyDescent="0.25">
      <c r="A6173" s="5"/>
    </row>
    <row r="6174" spans="1:1" x14ac:dyDescent="0.25">
      <c r="A6174" s="5"/>
    </row>
    <row r="6175" spans="1:1" x14ac:dyDescent="0.25">
      <c r="A6175" s="5"/>
    </row>
    <row r="6176" spans="1:1" x14ac:dyDescent="0.25">
      <c r="A6176" s="5"/>
    </row>
    <row r="6177" spans="1:1" x14ac:dyDescent="0.25">
      <c r="A6177" s="5"/>
    </row>
    <row r="6178" spans="1:1" x14ac:dyDescent="0.25">
      <c r="A6178" s="5"/>
    </row>
    <row r="6179" spans="1:1" x14ac:dyDescent="0.25">
      <c r="A6179" s="5"/>
    </row>
    <row r="6180" spans="1:1" x14ac:dyDescent="0.25">
      <c r="A6180" s="5"/>
    </row>
    <row r="6181" spans="1:1" x14ac:dyDescent="0.25">
      <c r="A6181" s="5"/>
    </row>
    <row r="6182" spans="1:1" x14ac:dyDescent="0.25">
      <c r="A6182" s="5"/>
    </row>
    <row r="6183" spans="1:1" x14ac:dyDescent="0.25">
      <c r="A6183" s="5"/>
    </row>
    <row r="6184" spans="1:1" x14ac:dyDescent="0.25">
      <c r="A6184" s="5"/>
    </row>
    <row r="6185" spans="1:1" x14ac:dyDescent="0.25">
      <c r="A6185" s="5"/>
    </row>
    <row r="6186" spans="1:1" x14ac:dyDescent="0.25">
      <c r="A6186" s="5"/>
    </row>
    <row r="6187" spans="1:1" x14ac:dyDescent="0.25">
      <c r="A6187" s="5"/>
    </row>
    <row r="6188" spans="1:1" x14ac:dyDescent="0.25">
      <c r="A6188" s="5"/>
    </row>
    <row r="6189" spans="1:1" x14ac:dyDescent="0.25">
      <c r="A6189" s="5"/>
    </row>
    <row r="6190" spans="1:1" x14ac:dyDescent="0.25">
      <c r="A6190" s="5"/>
    </row>
    <row r="6191" spans="1:1" x14ac:dyDescent="0.25">
      <c r="A6191" s="5"/>
    </row>
    <row r="6192" spans="1:1" x14ac:dyDescent="0.25">
      <c r="A6192" s="5"/>
    </row>
    <row r="6193" spans="1:1" x14ac:dyDescent="0.25">
      <c r="A6193" s="5"/>
    </row>
    <row r="6194" spans="1:1" x14ac:dyDescent="0.25">
      <c r="A6194" s="5"/>
    </row>
    <row r="6195" spans="1:1" x14ac:dyDescent="0.25">
      <c r="A6195" s="5"/>
    </row>
    <row r="6196" spans="1:1" x14ac:dyDescent="0.25">
      <c r="A6196" s="5"/>
    </row>
    <row r="6197" spans="1:1" x14ac:dyDescent="0.25">
      <c r="A6197" s="5"/>
    </row>
    <row r="6198" spans="1:1" x14ac:dyDescent="0.25">
      <c r="A6198" s="5"/>
    </row>
    <row r="6199" spans="1:1" x14ac:dyDescent="0.25">
      <c r="A6199" s="5"/>
    </row>
    <row r="6200" spans="1:1" x14ac:dyDescent="0.25">
      <c r="A6200" s="5"/>
    </row>
    <row r="6201" spans="1:1" x14ac:dyDescent="0.25">
      <c r="A6201" s="5"/>
    </row>
    <row r="6202" spans="1:1" x14ac:dyDescent="0.25">
      <c r="A6202" s="5"/>
    </row>
    <row r="6203" spans="1:1" x14ac:dyDescent="0.25">
      <c r="A6203" s="5"/>
    </row>
    <row r="6204" spans="1:1" x14ac:dyDescent="0.25">
      <c r="A6204" s="5"/>
    </row>
    <row r="6205" spans="1:1" x14ac:dyDescent="0.25">
      <c r="A6205" s="5"/>
    </row>
    <row r="6206" spans="1:1" x14ac:dyDescent="0.25">
      <c r="A6206" s="5"/>
    </row>
    <row r="6207" spans="1:1" x14ac:dyDescent="0.25">
      <c r="A6207" s="5"/>
    </row>
    <row r="6208" spans="1:1" x14ac:dyDescent="0.25">
      <c r="A6208" s="5"/>
    </row>
    <row r="6209" spans="1:1" x14ac:dyDescent="0.25">
      <c r="A6209" s="5"/>
    </row>
    <row r="6210" spans="1:1" x14ac:dyDescent="0.25">
      <c r="A6210" s="5"/>
    </row>
    <row r="6211" spans="1:1" x14ac:dyDescent="0.25">
      <c r="A6211" s="5"/>
    </row>
    <row r="6212" spans="1:1" x14ac:dyDescent="0.25">
      <c r="A6212" s="5"/>
    </row>
    <row r="6213" spans="1:1" x14ac:dyDescent="0.25">
      <c r="A6213" s="5"/>
    </row>
    <row r="6214" spans="1:1" x14ac:dyDescent="0.25">
      <c r="A6214" s="5"/>
    </row>
    <row r="6215" spans="1:1" x14ac:dyDescent="0.25">
      <c r="A6215" s="5"/>
    </row>
    <row r="6216" spans="1:1" x14ac:dyDescent="0.25">
      <c r="A6216" s="5"/>
    </row>
    <row r="6217" spans="1:1" x14ac:dyDescent="0.25">
      <c r="A6217" s="5"/>
    </row>
    <row r="6218" spans="1:1" x14ac:dyDescent="0.25">
      <c r="A6218" s="5"/>
    </row>
    <row r="6219" spans="1:1" x14ac:dyDescent="0.25">
      <c r="A6219" s="5"/>
    </row>
    <row r="6220" spans="1:1" x14ac:dyDescent="0.25">
      <c r="A6220" s="5"/>
    </row>
    <row r="6221" spans="1:1" x14ac:dyDescent="0.25">
      <c r="A6221" s="5"/>
    </row>
    <row r="6222" spans="1:1" x14ac:dyDescent="0.25">
      <c r="A6222" s="5"/>
    </row>
    <row r="6223" spans="1:1" x14ac:dyDescent="0.25">
      <c r="A6223" s="5"/>
    </row>
    <row r="6224" spans="1:1" x14ac:dyDescent="0.25">
      <c r="A6224" s="5"/>
    </row>
    <row r="6225" spans="1:1" x14ac:dyDescent="0.25">
      <c r="A6225" s="5"/>
    </row>
    <row r="6226" spans="1:1" x14ac:dyDescent="0.25">
      <c r="A6226" s="5"/>
    </row>
    <row r="6227" spans="1:1" x14ac:dyDescent="0.25">
      <c r="A6227" s="5"/>
    </row>
    <row r="6228" spans="1:1" x14ac:dyDescent="0.25">
      <c r="A6228" s="5"/>
    </row>
    <row r="6229" spans="1:1" x14ac:dyDescent="0.25">
      <c r="A6229" s="5"/>
    </row>
    <row r="6230" spans="1:1" x14ac:dyDescent="0.25">
      <c r="A6230" s="5"/>
    </row>
    <row r="6231" spans="1:1" x14ac:dyDescent="0.25">
      <c r="A6231" s="5"/>
    </row>
    <row r="6232" spans="1:1" x14ac:dyDescent="0.25">
      <c r="A6232" s="5"/>
    </row>
    <row r="6233" spans="1:1" x14ac:dyDescent="0.25">
      <c r="A6233" s="5"/>
    </row>
    <row r="6234" spans="1:1" x14ac:dyDescent="0.25">
      <c r="A6234" s="5"/>
    </row>
    <row r="6235" spans="1:1" x14ac:dyDescent="0.25">
      <c r="A6235" s="5"/>
    </row>
    <row r="6236" spans="1:1" x14ac:dyDescent="0.25">
      <c r="A6236" s="5"/>
    </row>
    <row r="6237" spans="1:1" x14ac:dyDescent="0.25">
      <c r="A6237" s="5"/>
    </row>
    <row r="6238" spans="1:1" x14ac:dyDescent="0.25">
      <c r="A6238" s="5"/>
    </row>
    <row r="6239" spans="1:1" x14ac:dyDescent="0.25">
      <c r="A6239" s="5"/>
    </row>
    <row r="6240" spans="1:1" x14ac:dyDescent="0.25">
      <c r="A6240" s="5"/>
    </row>
    <row r="6241" spans="1:1" x14ac:dyDescent="0.25">
      <c r="A6241" s="5"/>
    </row>
    <row r="6242" spans="1:1" x14ac:dyDescent="0.25">
      <c r="A6242" s="5"/>
    </row>
    <row r="6243" spans="1:1" x14ac:dyDescent="0.25">
      <c r="A6243" s="5"/>
    </row>
    <row r="6244" spans="1:1" x14ac:dyDescent="0.25">
      <c r="A6244" s="5"/>
    </row>
    <row r="6245" spans="1:1" x14ac:dyDescent="0.25">
      <c r="A6245" s="5"/>
    </row>
    <row r="6246" spans="1:1" x14ac:dyDescent="0.25">
      <c r="A6246" s="5"/>
    </row>
    <row r="6247" spans="1:1" x14ac:dyDescent="0.25">
      <c r="A6247" s="5"/>
    </row>
    <row r="6248" spans="1:1" x14ac:dyDescent="0.25">
      <c r="A6248" s="5"/>
    </row>
    <row r="6249" spans="1:1" x14ac:dyDescent="0.25">
      <c r="A6249" s="5"/>
    </row>
    <row r="6250" spans="1:1" x14ac:dyDescent="0.25">
      <c r="A6250" s="5"/>
    </row>
    <row r="6251" spans="1:1" x14ac:dyDescent="0.25">
      <c r="A6251" s="5"/>
    </row>
    <row r="6252" spans="1:1" x14ac:dyDescent="0.25">
      <c r="A6252" s="5"/>
    </row>
    <row r="6253" spans="1:1" x14ac:dyDescent="0.25">
      <c r="A6253" s="5"/>
    </row>
    <row r="6254" spans="1:1" x14ac:dyDescent="0.25">
      <c r="A6254" s="5"/>
    </row>
    <row r="6255" spans="1:1" x14ac:dyDescent="0.25">
      <c r="A6255" s="5"/>
    </row>
    <row r="6256" spans="1:1" x14ac:dyDescent="0.25">
      <c r="A6256" s="5"/>
    </row>
    <row r="6257" spans="1:1" x14ac:dyDescent="0.25">
      <c r="A6257" s="5"/>
    </row>
    <row r="6258" spans="1:1" x14ac:dyDescent="0.25">
      <c r="A6258" s="5"/>
    </row>
    <row r="6259" spans="1:1" x14ac:dyDescent="0.25">
      <c r="A6259" s="5"/>
    </row>
    <row r="6260" spans="1:1" x14ac:dyDescent="0.25">
      <c r="A6260" s="5"/>
    </row>
    <row r="6261" spans="1:1" x14ac:dyDescent="0.25">
      <c r="A6261" s="5"/>
    </row>
    <row r="6262" spans="1:1" x14ac:dyDescent="0.25">
      <c r="A6262" s="5"/>
    </row>
    <row r="6263" spans="1:1" x14ac:dyDescent="0.25">
      <c r="A6263" s="5"/>
    </row>
    <row r="6264" spans="1:1" x14ac:dyDescent="0.25">
      <c r="A6264" s="5"/>
    </row>
    <row r="6265" spans="1:1" x14ac:dyDescent="0.25">
      <c r="A6265" s="5"/>
    </row>
    <row r="6266" spans="1:1" x14ac:dyDescent="0.25">
      <c r="A6266" s="5"/>
    </row>
    <row r="6267" spans="1:1" x14ac:dyDescent="0.25">
      <c r="A6267" s="5"/>
    </row>
    <row r="6268" spans="1:1" x14ac:dyDescent="0.25">
      <c r="A6268" s="5"/>
    </row>
    <row r="6269" spans="1:1" x14ac:dyDescent="0.25">
      <c r="A6269" s="5"/>
    </row>
    <row r="6270" spans="1:1" x14ac:dyDescent="0.25">
      <c r="A6270" s="5"/>
    </row>
    <row r="6271" spans="1:1" x14ac:dyDescent="0.25">
      <c r="A6271" s="5"/>
    </row>
    <row r="6272" spans="1:1" x14ac:dyDescent="0.25">
      <c r="A6272" s="5"/>
    </row>
    <row r="6273" spans="1:1" x14ac:dyDescent="0.25">
      <c r="A6273" s="5"/>
    </row>
    <row r="6274" spans="1:1" x14ac:dyDescent="0.25">
      <c r="A6274" s="5"/>
    </row>
    <row r="6275" spans="1:1" x14ac:dyDescent="0.25">
      <c r="A6275" s="5"/>
    </row>
    <row r="6276" spans="1:1" x14ac:dyDescent="0.25">
      <c r="A6276" s="5"/>
    </row>
    <row r="6277" spans="1:1" x14ac:dyDescent="0.25">
      <c r="A6277" s="5"/>
    </row>
    <row r="6278" spans="1:1" x14ac:dyDescent="0.25">
      <c r="A6278" s="5"/>
    </row>
    <row r="6279" spans="1:1" x14ac:dyDescent="0.25">
      <c r="A6279" s="5"/>
    </row>
    <row r="6280" spans="1:1" x14ac:dyDescent="0.25">
      <c r="A6280" s="5"/>
    </row>
    <row r="6281" spans="1:1" x14ac:dyDescent="0.25">
      <c r="A6281" s="5"/>
    </row>
    <row r="6282" spans="1:1" x14ac:dyDescent="0.25">
      <c r="A6282" s="5"/>
    </row>
    <row r="6283" spans="1:1" x14ac:dyDescent="0.25">
      <c r="A6283" s="5"/>
    </row>
    <row r="6284" spans="1:1" x14ac:dyDescent="0.25">
      <c r="A6284" s="5"/>
    </row>
    <row r="6285" spans="1:1" x14ac:dyDescent="0.25">
      <c r="A6285" s="5"/>
    </row>
    <row r="6286" spans="1:1" x14ac:dyDescent="0.25">
      <c r="A6286" s="5"/>
    </row>
    <row r="6287" spans="1:1" x14ac:dyDescent="0.25">
      <c r="A6287" s="5"/>
    </row>
    <row r="6288" spans="1:1" x14ac:dyDescent="0.25">
      <c r="A6288" s="5"/>
    </row>
    <row r="6289" spans="1:1" x14ac:dyDescent="0.25">
      <c r="A6289" s="5"/>
    </row>
    <row r="6290" spans="1:1" x14ac:dyDescent="0.25">
      <c r="A6290" s="5"/>
    </row>
    <row r="6291" spans="1:1" x14ac:dyDescent="0.25">
      <c r="A6291" s="5"/>
    </row>
    <row r="6292" spans="1:1" x14ac:dyDescent="0.25">
      <c r="A6292" s="5"/>
    </row>
    <row r="6293" spans="1:1" x14ac:dyDescent="0.25">
      <c r="A6293" s="5"/>
    </row>
    <row r="6294" spans="1:1" x14ac:dyDescent="0.25">
      <c r="A6294" s="5"/>
    </row>
    <row r="6295" spans="1:1" x14ac:dyDescent="0.25">
      <c r="A6295" s="5"/>
    </row>
    <row r="6296" spans="1:1" x14ac:dyDescent="0.25">
      <c r="A6296" s="5"/>
    </row>
    <row r="6297" spans="1:1" x14ac:dyDescent="0.25">
      <c r="A6297" s="5"/>
    </row>
    <row r="6298" spans="1:1" x14ac:dyDescent="0.25">
      <c r="A6298" s="5"/>
    </row>
    <row r="6299" spans="1:1" x14ac:dyDescent="0.25">
      <c r="A6299" s="5"/>
    </row>
    <row r="6300" spans="1:1" x14ac:dyDescent="0.25">
      <c r="A6300" s="5"/>
    </row>
    <row r="6301" spans="1:1" x14ac:dyDescent="0.25">
      <c r="A6301" s="5"/>
    </row>
    <row r="6302" spans="1:1" x14ac:dyDescent="0.25">
      <c r="A6302" s="5"/>
    </row>
    <row r="6303" spans="1:1" x14ac:dyDescent="0.25">
      <c r="A6303" s="5"/>
    </row>
    <row r="6304" spans="1:1" x14ac:dyDescent="0.25">
      <c r="A6304" s="5"/>
    </row>
    <row r="6305" spans="1:1" x14ac:dyDescent="0.25">
      <c r="A6305" s="5"/>
    </row>
    <row r="6306" spans="1:1" x14ac:dyDescent="0.25">
      <c r="A6306" s="5"/>
    </row>
    <row r="6307" spans="1:1" x14ac:dyDescent="0.25">
      <c r="A6307" s="5"/>
    </row>
    <row r="6308" spans="1:1" x14ac:dyDescent="0.25">
      <c r="A6308" s="5"/>
    </row>
    <row r="6309" spans="1:1" x14ac:dyDescent="0.25">
      <c r="A6309" s="5"/>
    </row>
    <row r="6310" spans="1:1" x14ac:dyDescent="0.25">
      <c r="A6310" s="5"/>
    </row>
    <row r="6311" spans="1:1" x14ac:dyDescent="0.25">
      <c r="A6311" s="5"/>
    </row>
    <row r="6312" spans="1:1" x14ac:dyDescent="0.25">
      <c r="A6312" s="5"/>
    </row>
    <row r="6313" spans="1:1" x14ac:dyDescent="0.25">
      <c r="A6313" s="5"/>
    </row>
    <row r="6314" spans="1:1" x14ac:dyDescent="0.25">
      <c r="A6314" s="5"/>
    </row>
    <row r="6315" spans="1:1" x14ac:dyDescent="0.25">
      <c r="A6315" s="5"/>
    </row>
    <row r="6316" spans="1:1" x14ac:dyDescent="0.25">
      <c r="A6316" s="5"/>
    </row>
    <row r="6317" spans="1:1" x14ac:dyDescent="0.25">
      <c r="A6317" s="5"/>
    </row>
    <row r="6318" spans="1:1" x14ac:dyDescent="0.25">
      <c r="A6318" s="5"/>
    </row>
    <row r="6319" spans="1:1" x14ac:dyDescent="0.25">
      <c r="A6319" s="5"/>
    </row>
    <row r="6320" spans="1:1" x14ac:dyDescent="0.25">
      <c r="A6320" s="5"/>
    </row>
    <row r="6321" spans="1:1" x14ac:dyDescent="0.25">
      <c r="A6321" s="5"/>
    </row>
    <row r="6322" spans="1:1" x14ac:dyDescent="0.25">
      <c r="A6322" s="5"/>
    </row>
    <row r="6323" spans="1:1" x14ac:dyDescent="0.25">
      <c r="A6323" s="5"/>
    </row>
    <row r="6324" spans="1:1" x14ac:dyDescent="0.25">
      <c r="A6324" s="5"/>
    </row>
    <row r="6325" spans="1:1" x14ac:dyDescent="0.25">
      <c r="A6325" s="5"/>
    </row>
    <row r="6326" spans="1:1" x14ac:dyDescent="0.25">
      <c r="A6326" s="5"/>
    </row>
    <row r="6327" spans="1:1" x14ac:dyDescent="0.25">
      <c r="A6327" s="5"/>
    </row>
    <row r="6328" spans="1:1" x14ac:dyDescent="0.25">
      <c r="A6328" s="5"/>
    </row>
    <row r="6329" spans="1:1" x14ac:dyDescent="0.25">
      <c r="A6329" s="5"/>
    </row>
    <row r="6330" spans="1:1" x14ac:dyDescent="0.25">
      <c r="A6330" s="5"/>
    </row>
    <row r="6331" spans="1:1" x14ac:dyDescent="0.25">
      <c r="A6331" s="5"/>
    </row>
    <row r="6332" spans="1:1" x14ac:dyDescent="0.25">
      <c r="A6332" s="5"/>
    </row>
    <row r="6333" spans="1:1" x14ac:dyDescent="0.25">
      <c r="A6333" s="5"/>
    </row>
    <row r="6334" spans="1:1" x14ac:dyDescent="0.25">
      <c r="A6334" s="5"/>
    </row>
    <row r="6335" spans="1:1" x14ac:dyDescent="0.25">
      <c r="A6335" s="5"/>
    </row>
    <row r="6336" spans="1:1" x14ac:dyDescent="0.25">
      <c r="A6336" s="5"/>
    </row>
    <row r="6337" spans="1:1" x14ac:dyDescent="0.25">
      <c r="A6337" s="5"/>
    </row>
    <row r="6338" spans="1:1" x14ac:dyDescent="0.25">
      <c r="A6338" s="5"/>
    </row>
    <row r="6339" spans="1:1" x14ac:dyDescent="0.25">
      <c r="A6339" s="5"/>
    </row>
    <row r="6340" spans="1:1" x14ac:dyDescent="0.25">
      <c r="A6340" s="5"/>
    </row>
    <row r="6341" spans="1:1" x14ac:dyDescent="0.25">
      <c r="A6341" s="5"/>
    </row>
    <row r="6342" spans="1:1" x14ac:dyDescent="0.25">
      <c r="A6342" s="5"/>
    </row>
    <row r="6343" spans="1:1" x14ac:dyDescent="0.25">
      <c r="A6343" s="5"/>
    </row>
    <row r="6344" spans="1:1" x14ac:dyDescent="0.25">
      <c r="A6344" s="5"/>
    </row>
    <row r="6345" spans="1:1" x14ac:dyDescent="0.25">
      <c r="A6345" s="5"/>
    </row>
    <row r="6346" spans="1:1" x14ac:dyDescent="0.25">
      <c r="A6346" s="5"/>
    </row>
    <row r="6347" spans="1:1" x14ac:dyDescent="0.25">
      <c r="A6347" s="5"/>
    </row>
    <row r="6348" spans="1:1" x14ac:dyDescent="0.25">
      <c r="A6348" s="5"/>
    </row>
    <row r="6349" spans="1:1" x14ac:dyDescent="0.25">
      <c r="A6349" s="5"/>
    </row>
    <row r="6350" spans="1:1" x14ac:dyDescent="0.25">
      <c r="A6350" s="5"/>
    </row>
    <row r="6351" spans="1:1" x14ac:dyDescent="0.25">
      <c r="A6351" s="5"/>
    </row>
    <row r="6352" spans="1:1" x14ac:dyDescent="0.25">
      <c r="A6352" s="5"/>
    </row>
    <row r="6353" spans="1:1" x14ac:dyDescent="0.25">
      <c r="A6353" s="5"/>
    </row>
    <row r="6354" spans="1:1" x14ac:dyDescent="0.25">
      <c r="A6354" s="5"/>
    </row>
    <row r="6355" spans="1:1" x14ac:dyDescent="0.25">
      <c r="A6355" s="5"/>
    </row>
    <row r="6356" spans="1:1" x14ac:dyDescent="0.25">
      <c r="A6356" s="5"/>
    </row>
    <row r="6357" spans="1:1" x14ac:dyDescent="0.25">
      <c r="A6357" s="5"/>
    </row>
    <row r="6358" spans="1:1" x14ac:dyDescent="0.25">
      <c r="A6358" s="5"/>
    </row>
    <row r="6359" spans="1:1" x14ac:dyDescent="0.25">
      <c r="A6359" s="5"/>
    </row>
    <row r="6360" spans="1:1" x14ac:dyDescent="0.25">
      <c r="A6360" s="5"/>
    </row>
    <row r="6361" spans="1:1" x14ac:dyDescent="0.25">
      <c r="A6361" s="5"/>
    </row>
    <row r="6362" spans="1:1" x14ac:dyDescent="0.25">
      <c r="A6362" s="5"/>
    </row>
    <row r="6363" spans="1:1" x14ac:dyDescent="0.25">
      <c r="A6363" s="5"/>
    </row>
    <row r="6364" spans="1:1" x14ac:dyDescent="0.25">
      <c r="A6364" s="5"/>
    </row>
    <row r="6365" spans="1:1" x14ac:dyDescent="0.25">
      <c r="A6365" s="5"/>
    </row>
    <row r="6366" spans="1:1" x14ac:dyDescent="0.25">
      <c r="A6366" s="5"/>
    </row>
    <row r="6367" spans="1:1" x14ac:dyDescent="0.25">
      <c r="A6367" s="5"/>
    </row>
    <row r="6368" spans="1:1" x14ac:dyDescent="0.25">
      <c r="A6368" s="5"/>
    </row>
    <row r="6369" spans="1:1" x14ac:dyDescent="0.25">
      <c r="A6369" s="5"/>
    </row>
    <row r="6370" spans="1:1" x14ac:dyDescent="0.25">
      <c r="A6370" s="5"/>
    </row>
    <row r="6371" spans="1:1" x14ac:dyDescent="0.25">
      <c r="A6371" s="5"/>
    </row>
    <row r="6372" spans="1:1" x14ac:dyDescent="0.25">
      <c r="A6372" s="5"/>
    </row>
    <row r="6373" spans="1:1" x14ac:dyDescent="0.25">
      <c r="A6373" s="5"/>
    </row>
    <row r="6374" spans="1:1" x14ac:dyDescent="0.25">
      <c r="A6374" s="5"/>
    </row>
    <row r="6375" spans="1:1" x14ac:dyDescent="0.25">
      <c r="A6375" s="5"/>
    </row>
    <row r="6376" spans="1:1" x14ac:dyDescent="0.25">
      <c r="A6376" s="5"/>
    </row>
    <row r="6377" spans="1:1" x14ac:dyDescent="0.25">
      <c r="A6377" s="5"/>
    </row>
    <row r="6378" spans="1:1" x14ac:dyDescent="0.25">
      <c r="A6378" s="5"/>
    </row>
    <row r="6379" spans="1:1" x14ac:dyDescent="0.25">
      <c r="A6379" s="5"/>
    </row>
    <row r="6380" spans="1:1" x14ac:dyDescent="0.25">
      <c r="A6380" s="5"/>
    </row>
    <row r="6381" spans="1:1" x14ac:dyDescent="0.25">
      <c r="A6381" s="5"/>
    </row>
    <row r="6382" spans="1:1" x14ac:dyDescent="0.25">
      <c r="A6382" s="5"/>
    </row>
    <row r="6383" spans="1:1" x14ac:dyDescent="0.25">
      <c r="A6383" s="5"/>
    </row>
    <row r="6384" spans="1:1" x14ac:dyDescent="0.25">
      <c r="A6384" s="5"/>
    </row>
    <row r="6385" spans="1:1" x14ac:dyDescent="0.25">
      <c r="A6385" s="5"/>
    </row>
    <row r="6386" spans="1:1" x14ac:dyDescent="0.25">
      <c r="A6386" s="5"/>
    </row>
    <row r="6387" spans="1:1" x14ac:dyDescent="0.25">
      <c r="A6387" s="5"/>
    </row>
    <row r="6388" spans="1:1" x14ac:dyDescent="0.25">
      <c r="A6388" s="5"/>
    </row>
    <row r="6389" spans="1:1" x14ac:dyDescent="0.25">
      <c r="A6389" s="5"/>
    </row>
    <row r="6390" spans="1:1" x14ac:dyDescent="0.25">
      <c r="A6390" s="5"/>
    </row>
    <row r="6391" spans="1:1" x14ac:dyDescent="0.25">
      <c r="A6391" s="5"/>
    </row>
    <row r="6392" spans="1:1" x14ac:dyDescent="0.25">
      <c r="A6392" s="5"/>
    </row>
    <row r="6393" spans="1:1" x14ac:dyDescent="0.25">
      <c r="A6393" s="5"/>
    </row>
    <row r="6394" spans="1:1" x14ac:dyDescent="0.25">
      <c r="A6394" s="5"/>
    </row>
    <row r="6395" spans="1:1" x14ac:dyDescent="0.25">
      <c r="A6395" s="5"/>
    </row>
    <row r="6396" spans="1:1" x14ac:dyDescent="0.25">
      <c r="A6396" s="5"/>
    </row>
    <row r="6397" spans="1:1" x14ac:dyDescent="0.25">
      <c r="A6397" s="5"/>
    </row>
    <row r="6398" spans="1:1" x14ac:dyDescent="0.25">
      <c r="A6398" s="5"/>
    </row>
    <row r="6399" spans="1:1" x14ac:dyDescent="0.25">
      <c r="A6399" s="5"/>
    </row>
    <row r="6400" spans="1:1" x14ac:dyDescent="0.25">
      <c r="A6400" s="5"/>
    </row>
    <row r="6401" spans="1:1" x14ac:dyDescent="0.25">
      <c r="A6401" s="5"/>
    </row>
    <row r="6402" spans="1:1" x14ac:dyDescent="0.25">
      <c r="A6402" s="5"/>
    </row>
    <row r="6403" spans="1:1" x14ac:dyDescent="0.25">
      <c r="A6403" s="5"/>
    </row>
    <row r="6404" spans="1:1" x14ac:dyDescent="0.25">
      <c r="A6404" s="5"/>
    </row>
    <row r="6405" spans="1:1" x14ac:dyDescent="0.25">
      <c r="A6405" s="5"/>
    </row>
    <row r="6406" spans="1:1" x14ac:dyDescent="0.25">
      <c r="A6406" s="5"/>
    </row>
    <row r="6407" spans="1:1" x14ac:dyDescent="0.25">
      <c r="A6407" s="5"/>
    </row>
    <row r="6408" spans="1:1" x14ac:dyDescent="0.25">
      <c r="A6408" s="5"/>
    </row>
    <row r="6409" spans="1:1" x14ac:dyDescent="0.25">
      <c r="A6409" s="5"/>
    </row>
    <row r="6410" spans="1:1" x14ac:dyDescent="0.25">
      <c r="A6410" s="5"/>
    </row>
    <row r="6411" spans="1:1" x14ac:dyDescent="0.25">
      <c r="A6411" s="5"/>
    </row>
    <row r="6412" spans="1:1" x14ac:dyDescent="0.25">
      <c r="A6412" s="5"/>
    </row>
    <row r="6413" spans="1:1" x14ac:dyDescent="0.25">
      <c r="A6413" s="5"/>
    </row>
    <row r="6414" spans="1:1" x14ac:dyDescent="0.25">
      <c r="A6414" s="5"/>
    </row>
    <row r="6415" spans="1:1" x14ac:dyDescent="0.25">
      <c r="A6415" s="5"/>
    </row>
    <row r="6416" spans="1:1" x14ac:dyDescent="0.25">
      <c r="A6416" s="5"/>
    </row>
    <row r="6417" spans="1:1" x14ac:dyDescent="0.25">
      <c r="A6417" s="5"/>
    </row>
    <row r="6418" spans="1:1" x14ac:dyDescent="0.25">
      <c r="A6418" s="5"/>
    </row>
    <row r="6419" spans="1:1" x14ac:dyDescent="0.25">
      <c r="A6419" s="5"/>
    </row>
    <row r="6420" spans="1:1" x14ac:dyDescent="0.25">
      <c r="A6420" s="5"/>
    </row>
    <row r="6421" spans="1:1" x14ac:dyDescent="0.25">
      <c r="A6421" s="5"/>
    </row>
    <row r="6422" spans="1:1" x14ac:dyDescent="0.25">
      <c r="A6422" s="5"/>
    </row>
    <row r="6423" spans="1:1" x14ac:dyDescent="0.25">
      <c r="A6423" s="5"/>
    </row>
    <row r="6424" spans="1:1" x14ac:dyDescent="0.25">
      <c r="A6424" s="5"/>
    </row>
    <row r="6425" spans="1:1" x14ac:dyDescent="0.25">
      <c r="A6425" s="5"/>
    </row>
    <row r="6426" spans="1:1" x14ac:dyDescent="0.25">
      <c r="A6426" s="5"/>
    </row>
    <row r="6427" spans="1:1" x14ac:dyDescent="0.25">
      <c r="A6427" s="5"/>
    </row>
    <row r="6428" spans="1:1" x14ac:dyDescent="0.25">
      <c r="A6428" s="5"/>
    </row>
    <row r="6429" spans="1:1" x14ac:dyDescent="0.25">
      <c r="A6429" s="5"/>
    </row>
    <row r="6430" spans="1:1" x14ac:dyDescent="0.25">
      <c r="A6430" s="5"/>
    </row>
    <row r="6431" spans="1:1" x14ac:dyDescent="0.25">
      <c r="A6431" s="5"/>
    </row>
    <row r="6432" spans="1:1" x14ac:dyDescent="0.25">
      <c r="A6432" s="5"/>
    </row>
    <row r="6433" spans="1:1" x14ac:dyDescent="0.25">
      <c r="A6433" s="5"/>
    </row>
    <row r="6434" spans="1:1" x14ac:dyDescent="0.25">
      <c r="A6434" s="5"/>
    </row>
    <row r="6435" spans="1:1" x14ac:dyDescent="0.25">
      <c r="A6435" s="5"/>
    </row>
    <row r="6436" spans="1:1" x14ac:dyDescent="0.25">
      <c r="A6436" s="5"/>
    </row>
    <row r="6437" spans="1:1" x14ac:dyDescent="0.25">
      <c r="A6437" s="5"/>
    </row>
    <row r="6438" spans="1:1" x14ac:dyDescent="0.25">
      <c r="A6438" s="5"/>
    </row>
    <row r="6439" spans="1:1" x14ac:dyDescent="0.25">
      <c r="A6439" s="5"/>
    </row>
    <row r="6440" spans="1:1" x14ac:dyDescent="0.25">
      <c r="A6440" s="5"/>
    </row>
    <row r="6441" spans="1:1" x14ac:dyDescent="0.25">
      <c r="A6441" s="5"/>
    </row>
    <row r="6442" spans="1:1" x14ac:dyDescent="0.25">
      <c r="A6442" s="5"/>
    </row>
    <row r="6443" spans="1:1" x14ac:dyDescent="0.25">
      <c r="A6443" s="5"/>
    </row>
    <row r="6444" spans="1:1" x14ac:dyDescent="0.25">
      <c r="A6444" s="5"/>
    </row>
    <row r="6445" spans="1:1" x14ac:dyDescent="0.25">
      <c r="A6445" s="5"/>
    </row>
    <row r="6446" spans="1:1" x14ac:dyDescent="0.25">
      <c r="A6446" s="5"/>
    </row>
    <row r="6447" spans="1:1" x14ac:dyDescent="0.25">
      <c r="A6447" s="5"/>
    </row>
    <row r="6448" spans="1:1" x14ac:dyDescent="0.25">
      <c r="A6448" s="5"/>
    </row>
    <row r="6449" spans="1:1" x14ac:dyDescent="0.25">
      <c r="A6449" s="5"/>
    </row>
    <row r="6450" spans="1:1" x14ac:dyDescent="0.25">
      <c r="A6450" s="5"/>
    </row>
    <row r="6451" spans="1:1" x14ac:dyDescent="0.25">
      <c r="A6451" s="5"/>
    </row>
    <row r="6452" spans="1:1" x14ac:dyDescent="0.25">
      <c r="A6452" s="5"/>
    </row>
    <row r="6453" spans="1:1" x14ac:dyDescent="0.25">
      <c r="A6453" s="5"/>
    </row>
    <row r="6454" spans="1:1" x14ac:dyDescent="0.25">
      <c r="A6454" s="5"/>
    </row>
    <row r="6455" spans="1:1" x14ac:dyDescent="0.25">
      <c r="A6455" s="5"/>
    </row>
    <row r="6456" spans="1:1" x14ac:dyDescent="0.25">
      <c r="A6456" s="5"/>
    </row>
    <row r="6457" spans="1:1" x14ac:dyDescent="0.25">
      <c r="A6457" s="5"/>
    </row>
    <row r="6458" spans="1:1" x14ac:dyDescent="0.25">
      <c r="A6458" s="5"/>
    </row>
    <row r="6459" spans="1:1" x14ac:dyDescent="0.25">
      <c r="A6459" s="5"/>
    </row>
    <row r="6460" spans="1:1" x14ac:dyDescent="0.25">
      <c r="A6460" s="5"/>
    </row>
    <row r="6461" spans="1:1" x14ac:dyDescent="0.25">
      <c r="A6461" s="5"/>
    </row>
    <row r="6462" spans="1:1" x14ac:dyDescent="0.25">
      <c r="A6462" s="5"/>
    </row>
    <row r="6463" spans="1:1" x14ac:dyDescent="0.25">
      <c r="A6463" s="5"/>
    </row>
    <row r="6464" spans="1:1" x14ac:dyDescent="0.25">
      <c r="A6464" s="5"/>
    </row>
    <row r="6465" spans="1:1" x14ac:dyDescent="0.25">
      <c r="A6465" s="5"/>
    </row>
    <row r="6466" spans="1:1" x14ac:dyDescent="0.25">
      <c r="A6466" s="5"/>
    </row>
    <row r="6467" spans="1:1" x14ac:dyDescent="0.25">
      <c r="A6467" s="5"/>
    </row>
    <row r="6468" spans="1:1" x14ac:dyDescent="0.25">
      <c r="A6468" s="5"/>
    </row>
    <row r="6469" spans="1:1" x14ac:dyDescent="0.25">
      <c r="A6469" s="5"/>
    </row>
    <row r="6470" spans="1:1" x14ac:dyDescent="0.25">
      <c r="A6470" s="5"/>
    </row>
    <row r="6471" spans="1:1" x14ac:dyDescent="0.25">
      <c r="A6471" s="5"/>
    </row>
    <row r="6472" spans="1:1" x14ac:dyDescent="0.25">
      <c r="A6472" s="5"/>
    </row>
    <row r="6473" spans="1:1" x14ac:dyDescent="0.25">
      <c r="A6473" s="5"/>
    </row>
    <row r="6474" spans="1:1" x14ac:dyDescent="0.25">
      <c r="A6474" s="5"/>
    </row>
    <row r="6475" spans="1:1" x14ac:dyDescent="0.25">
      <c r="A6475" s="5"/>
    </row>
    <row r="6476" spans="1:1" x14ac:dyDescent="0.25">
      <c r="A6476" s="5"/>
    </row>
    <row r="6477" spans="1:1" x14ac:dyDescent="0.25">
      <c r="A6477" s="5"/>
    </row>
    <row r="6478" spans="1:1" x14ac:dyDescent="0.25">
      <c r="A6478" s="5"/>
    </row>
    <row r="6479" spans="1:1" x14ac:dyDescent="0.25">
      <c r="A6479" s="5"/>
    </row>
    <row r="6480" spans="1:1" x14ac:dyDescent="0.25">
      <c r="A6480" s="5"/>
    </row>
    <row r="6481" spans="1:1" x14ac:dyDescent="0.25">
      <c r="A6481" s="5"/>
    </row>
    <row r="6482" spans="1:1" x14ac:dyDescent="0.25">
      <c r="A6482" s="5"/>
    </row>
    <row r="6483" spans="1:1" x14ac:dyDescent="0.25">
      <c r="A6483" s="5"/>
    </row>
    <row r="6484" spans="1:1" x14ac:dyDescent="0.25">
      <c r="A6484" s="5"/>
    </row>
    <row r="6485" spans="1:1" x14ac:dyDescent="0.25">
      <c r="A6485" s="5"/>
    </row>
    <row r="6486" spans="1:1" x14ac:dyDescent="0.25">
      <c r="A6486" s="5"/>
    </row>
    <row r="6487" spans="1:1" x14ac:dyDescent="0.25">
      <c r="A6487" s="5"/>
    </row>
    <row r="6488" spans="1:1" x14ac:dyDescent="0.25">
      <c r="A6488" s="5"/>
    </row>
    <row r="6489" spans="1:1" x14ac:dyDescent="0.25">
      <c r="A6489" s="5"/>
    </row>
    <row r="6490" spans="1:1" x14ac:dyDescent="0.25">
      <c r="A6490" s="5"/>
    </row>
    <row r="6491" spans="1:1" x14ac:dyDescent="0.25">
      <c r="A6491" s="5"/>
    </row>
    <row r="6492" spans="1:1" x14ac:dyDescent="0.25">
      <c r="A6492" s="5"/>
    </row>
    <row r="6493" spans="1:1" x14ac:dyDescent="0.25">
      <c r="A6493" s="5"/>
    </row>
    <row r="6494" spans="1:1" x14ac:dyDescent="0.25">
      <c r="A6494" s="5"/>
    </row>
    <row r="6495" spans="1:1" x14ac:dyDescent="0.25">
      <c r="A6495" s="5"/>
    </row>
    <row r="6496" spans="1:1" x14ac:dyDescent="0.25">
      <c r="A6496" s="5"/>
    </row>
    <row r="6497" spans="1:1" x14ac:dyDescent="0.25">
      <c r="A6497" s="5"/>
    </row>
    <row r="6498" spans="1:1" x14ac:dyDescent="0.25">
      <c r="A6498" s="5"/>
    </row>
    <row r="6499" spans="1:1" x14ac:dyDescent="0.25">
      <c r="A6499" s="5"/>
    </row>
    <row r="6500" spans="1:1" x14ac:dyDescent="0.25">
      <c r="A6500" s="5"/>
    </row>
    <row r="6501" spans="1:1" x14ac:dyDescent="0.25">
      <c r="A6501" s="5"/>
    </row>
    <row r="6502" spans="1:1" x14ac:dyDescent="0.25">
      <c r="A6502" s="5"/>
    </row>
    <row r="6503" spans="1:1" x14ac:dyDescent="0.25">
      <c r="A6503" s="5"/>
    </row>
    <row r="6504" spans="1:1" x14ac:dyDescent="0.25">
      <c r="A6504" s="5"/>
    </row>
    <row r="6505" spans="1:1" x14ac:dyDescent="0.25">
      <c r="A6505" s="5"/>
    </row>
    <row r="6506" spans="1:1" x14ac:dyDescent="0.25">
      <c r="A6506" s="5"/>
    </row>
    <row r="6507" spans="1:1" x14ac:dyDescent="0.25">
      <c r="A6507" s="5"/>
    </row>
    <row r="6508" spans="1:1" x14ac:dyDescent="0.25">
      <c r="A6508" s="5"/>
    </row>
    <row r="6509" spans="1:1" x14ac:dyDescent="0.25">
      <c r="A6509" s="5"/>
    </row>
    <row r="6510" spans="1:1" x14ac:dyDescent="0.25">
      <c r="A6510" s="5"/>
    </row>
    <row r="6511" spans="1:1" x14ac:dyDescent="0.25">
      <c r="A6511" s="5"/>
    </row>
    <row r="6512" spans="1:1" x14ac:dyDescent="0.25">
      <c r="A6512" s="5"/>
    </row>
    <row r="6513" spans="1:1" x14ac:dyDescent="0.25">
      <c r="A6513" s="5"/>
    </row>
    <row r="6514" spans="1:1" x14ac:dyDescent="0.25">
      <c r="A6514" s="5"/>
    </row>
    <row r="6515" spans="1:1" x14ac:dyDescent="0.25">
      <c r="A6515" s="5"/>
    </row>
    <row r="6516" spans="1:1" x14ac:dyDescent="0.25">
      <c r="A6516" s="5"/>
    </row>
    <row r="6517" spans="1:1" x14ac:dyDescent="0.25">
      <c r="A6517" s="5"/>
    </row>
    <row r="6518" spans="1:1" x14ac:dyDescent="0.25">
      <c r="A6518" s="5"/>
    </row>
    <row r="6519" spans="1:1" x14ac:dyDescent="0.25">
      <c r="A6519" s="5"/>
    </row>
    <row r="6520" spans="1:1" x14ac:dyDescent="0.25">
      <c r="A6520" s="5"/>
    </row>
    <row r="6521" spans="1:1" x14ac:dyDescent="0.25">
      <c r="A6521" s="5"/>
    </row>
    <row r="6522" spans="1:1" x14ac:dyDescent="0.25">
      <c r="A6522" s="5"/>
    </row>
    <row r="6523" spans="1:1" x14ac:dyDescent="0.25">
      <c r="A6523" s="5"/>
    </row>
    <row r="6524" spans="1:1" x14ac:dyDescent="0.25">
      <c r="A6524" s="5"/>
    </row>
    <row r="6525" spans="1:1" x14ac:dyDescent="0.25">
      <c r="A6525" s="5"/>
    </row>
    <row r="6526" spans="1:1" x14ac:dyDescent="0.25">
      <c r="A6526" s="5"/>
    </row>
    <row r="6527" spans="1:1" x14ac:dyDescent="0.25">
      <c r="A6527" s="5"/>
    </row>
    <row r="6528" spans="1:1" x14ac:dyDescent="0.25">
      <c r="A6528" s="5"/>
    </row>
    <row r="6529" spans="1:1" x14ac:dyDescent="0.25">
      <c r="A6529" s="5"/>
    </row>
    <row r="6530" spans="1:1" x14ac:dyDescent="0.25">
      <c r="A6530" s="5"/>
    </row>
    <row r="6531" spans="1:1" x14ac:dyDescent="0.25">
      <c r="A6531" s="5"/>
    </row>
    <row r="6532" spans="1:1" x14ac:dyDescent="0.25">
      <c r="A6532" s="5"/>
    </row>
    <row r="6533" spans="1:1" x14ac:dyDescent="0.25">
      <c r="A6533" s="5"/>
    </row>
    <row r="6534" spans="1:1" x14ac:dyDescent="0.25">
      <c r="A6534" s="5"/>
    </row>
    <row r="6535" spans="1:1" x14ac:dyDescent="0.25">
      <c r="A6535" s="5"/>
    </row>
    <row r="6536" spans="1:1" x14ac:dyDescent="0.25">
      <c r="A6536" s="5"/>
    </row>
    <row r="6537" spans="1:1" x14ac:dyDescent="0.25">
      <c r="A6537" s="5"/>
    </row>
    <row r="6538" spans="1:1" x14ac:dyDescent="0.25">
      <c r="A6538" s="5"/>
    </row>
    <row r="6539" spans="1:1" x14ac:dyDescent="0.25">
      <c r="A6539" s="5"/>
    </row>
    <row r="6540" spans="1:1" x14ac:dyDescent="0.25">
      <c r="A6540" s="5"/>
    </row>
    <row r="6541" spans="1:1" x14ac:dyDescent="0.25">
      <c r="A6541" s="5"/>
    </row>
    <row r="6542" spans="1:1" x14ac:dyDescent="0.25">
      <c r="A6542" s="5"/>
    </row>
    <row r="6543" spans="1:1" x14ac:dyDescent="0.25">
      <c r="A6543" s="5"/>
    </row>
    <row r="6544" spans="1:1" x14ac:dyDescent="0.25">
      <c r="A6544" s="5"/>
    </row>
    <row r="6545" spans="1:1" x14ac:dyDescent="0.25">
      <c r="A6545" s="5"/>
    </row>
    <row r="6546" spans="1:1" x14ac:dyDescent="0.25">
      <c r="A6546" s="5"/>
    </row>
    <row r="6547" spans="1:1" x14ac:dyDescent="0.25">
      <c r="A6547" s="5"/>
    </row>
    <row r="6548" spans="1:1" x14ac:dyDescent="0.25">
      <c r="A6548" s="5"/>
    </row>
    <row r="6549" spans="1:1" x14ac:dyDescent="0.25">
      <c r="A6549" s="5"/>
    </row>
    <row r="6550" spans="1:1" x14ac:dyDescent="0.25">
      <c r="A6550" s="5"/>
    </row>
    <row r="6551" spans="1:1" x14ac:dyDescent="0.25">
      <c r="A6551" s="5"/>
    </row>
    <row r="6552" spans="1:1" x14ac:dyDescent="0.25">
      <c r="A6552" s="5"/>
    </row>
    <row r="6553" spans="1:1" x14ac:dyDescent="0.25">
      <c r="A6553" s="5"/>
    </row>
    <row r="6554" spans="1:1" x14ac:dyDescent="0.25">
      <c r="A6554" s="5"/>
    </row>
    <row r="6555" spans="1:1" x14ac:dyDescent="0.25">
      <c r="A6555" s="5"/>
    </row>
    <row r="6556" spans="1:1" x14ac:dyDescent="0.25">
      <c r="A6556" s="5"/>
    </row>
    <row r="6557" spans="1:1" x14ac:dyDescent="0.25">
      <c r="A6557" s="5"/>
    </row>
    <row r="6558" spans="1:1" x14ac:dyDescent="0.25">
      <c r="A6558" s="5"/>
    </row>
    <row r="6559" spans="1:1" x14ac:dyDescent="0.25">
      <c r="A6559" s="5"/>
    </row>
    <row r="6560" spans="1:1" x14ac:dyDescent="0.25">
      <c r="A6560" s="5"/>
    </row>
    <row r="6561" spans="1:1" x14ac:dyDescent="0.25">
      <c r="A6561" s="5"/>
    </row>
    <row r="6562" spans="1:1" x14ac:dyDescent="0.25">
      <c r="A6562" s="5"/>
    </row>
    <row r="6563" spans="1:1" x14ac:dyDescent="0.25">
      <c r="A6563" s="5"/>
    </row>
    <row r="6564" spans="1:1" x14ac:dyDescent="0.25">
      <c r="A6564" s="5"/>
    </row>
    <row r="6565" spans="1:1" x14ac:dyDescent="0.25">
      <c r="A6565" s="5"/>
    </row>
    <row r="6566" spans="1:1" x14ac:dyDescent="0.25">
      <c r="A6566" s="5"/>
    </row>
    <row r="6567" spans="1:1" x14ac:dyDescent="0.25">
      <c r="A6567" s="5"/>
    </row>
    <row r="6568" spans="1:1" x14ac:dyDescent="0.25">
      <c r="A6568" s="5"/>
    </row>
    <row r="6569" spans="1:1" x14ac:dyDescent="0.25">
      <c r="A6569" s="5"/>
    </row>
    <row r="6570" spans="1:1" x14ac:dyDescent="0.25">
      <c r="A6570" s="5"/>
    </row>
    <row r="6571" spans="1:1" x14ac:dyDescent="0.25">
      <c r="A6571" s="5"/>
    </row>
    <row r="6572" spans="1:1" x14ac:dyDescent="0.25">
      <c r="A6572" s="5"/>
    </row>
    <row r="6573" spans="1:1" x14ac:dyDescent="0.25">
      <c r="A6573" s="5"/>
    </row>
    <row r="6574" spans="1:1" x14ac:dyDescent="0.25">
      <c r="A6574" s="5"/>
    </row>
    <row r="6575" spans="1:1" x14ac:dyDescent="0.25">
      <c r="A6575" s="5"/>
    </row>
    <row r="6576" spans="1:1" x14ac:dyDescent="0.25">
      <c r="A6576" s="5"/>
    </row>
    <row r="6577" spans="1:1" x14ac:dyDescent="0.25">
      <c r="A6577" s="5"/>
    </row>
    <row r="6578" spans="1:1" x14ac:dyDescent="0.25">
      <c r="A6578" s="5"/>
    </row>
    <row r="6579" spans="1:1" x14ac:dyDescent="0.25">
      <c r="A6579" s="5"/>
    </row>
    <row r="6580" spans="1:1" x14ac:dyDescent="0.25">
      <c r="A6580" s="5"/>
    </row>
    <row r="6581" spans="1:1" x14ac:dyDescent="0.25">
      <c r="A6581" s="5"/>
    </row>
    <row r="6582" spans="1:1" x14ac:dyDescent="0.25">
      <c r="A6582" s="5"/>
    </row>
    <row r="6583" spans="1:1" x14ac:dyDescent="0.25">
      <c r="A6583" s="5"/>
    </row>
    <row r="6584" spans="1:1" x14ac:dyDescent="0.25">
      <c r="A6584" s="5"/>
    </row>
    <row r="6585" spans="1:1" x14ac:dyDescent="0.25">
      <c r="A6585" s="5"/>
    </row>
    <row r="6586" spans="1:1" x14ac:dyDescent="0.25">
      <c r="A6586" s="5"/>
    </row>
    <row r="6587" spans="1:1" x14ac:dyDescent="0.25">
      <c r="A6587" s="5"/>
    </row>
    <row r="6588" spans="1:1" x14ac:dyDescent="0.25">
      <c r="A6588" s="5"/>
    </row>
    <row r="6589" spans="1:1" x14ac:dyDescent="0.25">
      <c r="A6589" s="5"/>
    </row>
    <row r="6590" spans="1:1" x14ac:dyDescent="0.25">
      <c r="A6590" s="5"/>
    </row>
    <row r="6591" spans="1:1" x14ac:dyDescent="0.25">
      <c r="A6591" s="5"/>
    </row>
    <row r="6592" spans="1:1" x14ac:dyDescent="0.25">
      <c r="A6592" s="5"/>
    </row>
    <row r="6593" spans="1:1" x14ac:dyDescent="0.25">
      <c r="A6593" s="5"/>
    </row>
    <row r="6594" spans="1:1" x14ac:dyDescent="0.25">
      <c r="A6594" s="5"/>
    </row>
    <row r="6595" spans="1:1" x14ac:dyDescent="0.25">
      <c r="A6595" s="5"/>
    </row>
    <row r="6596" spans="1:1" x14ac:dyDescent="0.25">
      <c r="A6596" s="5"/>
    </row>
    <row r="6597" spans="1:1" x14ac:dyDescent="0.25">
      <c r="A6597" s="5"/>
    </row>
    <row r="6598" spans="1:1" x14ac:dyDescent="0.25">
      <c r="A6598" s="5"/>
    </row>
    <row r="6599" spans="1:1" x14ac:dyDescent="0.25">
      <c r="A6599" s="5"/>
    </row>
    <row r="6600" spans="1:1" x14ac:dyDescent="0.25">
      <c r="A6600" s="5"/>
    </row>
    <row r="6601" spans="1:1" x14ac:dyDescent="0.25">
      <c r="A6601" s="5"/>
    </row>
    <row r="6602" spans="1:1" x14ac:dyDescent="0.25">
      <c r="A6602" s="5"/>
    </row>
    <row r="6603" spans="1:1" x14ac:dyDescent="0.25">
      <c r="A6603" s="5"/>
    </row>
    <row r="6604" spans="1:1" x14ac:dyDescent="0.25">
      <c r="A6604" s="5"/>
    </row>
    <row r="6605" spans="1:1" x14ac:dyDescent="0.25">
      <c r="A6605" s="5"/>
    </row>
    <row r="6606" spans="1:1" x14ac:dyDescent="0.25">
      <c r="A6606" s="5"/>
    </row>
    <row r="6607" spans="1:1" x14ac:dyDescent="0.25">
      <c r="A6607" s="5"/>
    </row>
    <row r="6608" spans="1:1" x14ac:dyDescent="0.25">
      <c r="A6608" s="5"/>
    </row>
    <row r="6609" spans="1:1" x14ac:dyDescent="0.25">
      <c r="A6609" s="5"/>
    </row>
    <row r="6610" spans="1:1" x14ac:dyDescent="0.25">
      <c r="A6610" s="5"/>
    </row>
    <row r="6611" spans="1:1" x14ac:dyDescent="0.25">
      <c r="A6611" s="5"/>
    </row>
    <row r="6612" spans="1:1" x14ac:dyDescent="0.25">
      <c r="A6612" s="5"/>
    </row>
    <row r="6613" spans="1:1" x14ac:dyDescent="0.25">
      <c r="A6613" s="5"/>
    </row>
    <row r="6614" spans="1:1" x14ac:dyDescent="0.25">
      <c r="A6614" s="5"/>
    </row>
    <row r="6615" spans="1:1" x14ac:dyDescent="0.25">
      <c r="A6615" s="5"/>
    </row>
    <row r="6616" spans="1:1" x14ac:dyDescent="0.25">
      <c r="A6616" s="5"/>
    </row>
    <row r="6617" spans="1:1" x14ac:dyDescent="0.25">
      <c r="A6617" s="5"/>
    </row>
    <row r="6618" spans="1:1" x14ac:dyDescent="0.25">
      <c r="A6618" s="5"/>
    </row>
    <row r="6619" spans="1:1" x14ac:dyDescent="0.25">
      <c r="A6619" s="5"/>
    </row>
    <row r="6620" spans="1:1" x14ac:dyDescent="0.25">
      <c r="A6620" s="5"/>
    </row>
    <row r="6621" spans="1:1" x14ac:dyDescent="0.25">
      <c r="A6621" s="5"/>
    </row>
    <row r="6622" spans="1:1" x14ac:dyDescent="0.25">
      <c r="A6622" s="5"/>
    </row>
    <row r="6623" spans="1:1" x14ac:dyDescent="0.25">
      <c r="A6623" s="5"/>
    </row>
    <row r="6624" spans="1:1" x14ac:dyDescent="0.25">
      <c r="A6624" s="5"/>
    </row>
    <row r="6625" spans="1:1" x14ac:dyDescent="0.25">
      <c r="A6625" s="5"/>
    </row>
    <row r="6626" spans="1:1" x14ac:dyDescent="0.25">
      <c r="A6626" s="5"/>
    </row>
    <row r="6627" spans="1:1" x14ac:dyDescent="0.25">
      <c r="A6627" s="5"/>
    </row>
    <row r="6628" spans="1:1" x14ac:dyDescent="0.25">
      <c r="A6628" s="5"/>
    </row>
    <row r="6629" spans="1:1" x14ac:dyDescent="0.25">
      <c r="A6629" s="5"/>
    </row>
    <row r="6630" spans="1:1" x14ac:dyDescent="0.25">
      <c r="A6630" s="5"/>
    </row>
    <row r="6631" spans="1:1" x14ac:dyDescent="0.25">
      <c r="A6631" s="5"/>
    </row>
    <row r="6632" spans="1:1" x14ac:dyDescent="0.25">
      <c r="A6632" s="5"/>
    </row>
    <row r="6633" spans="1:1" x14ac:dyDescent="0.25">
      <c r="A6633" s="5"/>
    </row>
    <row r="6634" spans="1:1" x14ac:dyDescent="0.25">
      <c r="A6634" s="5"/>
    </row>
    <row r="6635" spans="1:1" x14ac:dyDescent="0.25">
      <c r="A6635" s="5"/>
    </row>
    <row r="6636" spans="1:1" x14ac:dyDescent="0.25">
      <c r="A6636" s="5"/>
    </row>
    <row r="6637" spans="1:1" x14ac:dyDescent="0.25">
      <c r="A6637" s="5"/>
    </row>
    <row r="6638" spans="1:1" x14ac:dyDescent="0.25">
      <c r="A6638" s="5"/>
    </row>
    <row r="6639" spans="1:1" x14ac:dyDescent="0.25">
      <c r="A6639" s="5"/>
    </row>
    <row r="6640" spans="1:1" x14ac:dyDescent="0.25">
      <c r="A6640" s="5"/>
    </row>
    <row r="6641" spans="1:1" x14ac:dyDescent="0.25">
      <c r="A6641" s="5"/>
    </row>
    <row r="6642" spans="1:1" x14ac:dyDescent="0.25">
      <c r="A6642" s="5"/>
    </row>
    <row r="6643" spans="1:1" x14ac:dyDescent="0.25">
      <c r="A6643" s="5"/>
    </row>
    <row r="6644" spans="1:1" x14ac:dyDescent="0.25">
      <c r="A6644" s="5"/>
    </row>
    <row r="6645" spans="1:1" x14ac:dyDescent="0.25">
      <c r="A6645" s="5"/>
    </row>
    <row r="6646" spans="1:1" x14ac:dyDescent="0.25">
      <c r="A6646" s="5"/>
    </row>
    <row r="6647" spans="1:1" x14ac:dyDescent="0.25">
      <c r="A6647" s="5"/>
    </row>
    <row r="6648" spans="1:1" x14ac:dyDescent="0.25">
      <c r="A6648" s="5"/>
    </row>
    <row r="6649" spans="1:1" x14ac:dyDescent="0.25">
      <c r="A6649" s="5"/>
    </row>
    <row r="6650" spans="1:1" x14ac:dyDescent="0.25">
      <c r="A6650" s="5"/>
    </row>
    <row r="6651" spans="1:1" x14ac:dyDescent="0.25">
      <c r="A6651" s="5"/>
    </row>
    <row r="6652" spans="1:1" x14ac:dyDescent="0.25">
      <c r="A6652" s="5"/>
    </row>
    <row r="6653" spans="1:1" x14ac:dyDescent="0.25">
      <c r="A6653" s="5"/>
    </row>
    <row r="6654" spans="1:1" x14ac:dyDescent="0.25">
      <c r="A6654" s="5"/>
    </row>
    <row r="6655" spans="1:1" x14ac:dyDescent="0.25">
      <c r="A6655" s="5"/>
    </row>
    <row r="6656" spans="1:1" x14ac:dyDescent="0.25">
      <c r="A6656" s="5"/>
    </row>
    <row r="6657" spans="1:1" x14ac:dyDescent="0.25">
      <c r="A6657" s="5"/>
    </row>
    <row r="6658" spans="1:1" x14ac:dyDescent="0.25">
      <c r="A6658" s="5"/>
    </row>
    <row r="6659" spans="1:1" x14ac:dyDescent="0.25">
      <c r="A6659" s="5"/>
    </row>
    <row r="6660" spans="1:1" x14ac:dyDescent="0.25">
      <c r="A6660" s="5"/>
    </row>
    <row r="6661" spans="1:1" x14ac:dyDescent="0.25">
      <c r="A6661" s="5"/>
    </row>
    <row r="6662" spans="1:1" x14ac:dyDescent="0.25">
      <c r="A6662" s="5"/>
    </row>
    <row r="6663" spans="1:1" x14ac:dyDescent="0.25">
      <c r="A6663" s="5"/>
    </row>
    <row r="6664" spans="1:1" x14ac:dyDescent="0.25">
      <c r="A6664" s="5"/>
    </row>
    <row r="6665" spans="1:1" x14ac:dyDescent="0.25">
      <c r="A6665" s="5"/>
    </row>
    <row r="6666" spans="1:1" x14ac:dyDescent="0.25">
      <c r="A6666" s="5"/>
    </row>
    <row r="6667" spans="1:1" x14ac:dyDescent="0.25">
      <c r="A6667" s="5"/>
    </row>
    <row r="6668" spans="1:1" x14ac:dyDescent="0.25">
      <c r="A6668" s="5"/>
    </row>
    <row r="6669" spans="1:1" x14ac:dyDescent="0.25">
      <c r="A6669" s="5"/>
    </row>
    <row r="6670" spans="1:1" x14ac:dyDescent="0.25">
      <c r="A6670" s="5"/>
    </row>
    <row r="6671" spans="1:1" x14ac:dyDescent="0.25">
      <c r="A6671" s="5"/>
    </row>
    <row r="6672" spans="1:1" x14ac:dyDescent="0.25">
      <c r="A6672" s="5"/>
    </row>
    <row r="6673" spans="1:1" x14ac:dyDescent="0.25">
      <c r="A6673" s="5"/>
    </row>
    <row r="6674" spans="1:1" x14ac:dyDescent="0.25">
      <c r="A6674" s="5"/>
    </row>
    <row r="6675" spans="1:1" x14ac:dyDescent="0.25">
      <c r="A6675" s="5"/>
    </row>
    <row r="6676" spans="1:1" x14ac:dyDescent="0.25">
      <c r="A6676" s="5"/>
    </row>
    <row r="6677" spans="1:1" x14ac:dyDescent="0.25">
      <c r="A6677" s="5"/>
    </row>
    <row r="6678" spans="1:1" x14ac:dyDescent="0.25">
      <c r="A6678" s="5"/>
    </row>
    <row r="6679" spans="1:1" x14ac:dyDescent="0.25">
      <c r="A6679" s="5"/>
    </row>
    <row r="6680" spans="1:1" x14ac:dyDescent="0.25">
      <c r="A6680" s="5"/>
    </row>
    <row r="6681" spans="1:1" x14ac:dyDescent="0.25">
      <c r="A6681" s="5"/>
    </row>
    <row r="6682" spans="1:1" x14ac:dyDescent="0.25">
      <c r="A6682" s="5"/>
    </row>
    <row r="6683" spans="1:1" x14ac:dyDescent="0.25">
      <c r="A6683" s="5"/>
    </row>
    <row r="6684" spans="1:1" x14ac:dyDescent="0.25">
      <c r="A6684" s="5"/>
    </row>
    <row r="6685" spans="1:1" x14ac:dyDescent="0.25">
      <c r="A6685" s="5"/>
    </row>
    <row r="6686" spans="1:1" x14ac:dyDescent="0.25">
      <c r="A6686" s="5"/>
    </row>
    <row r="6687" spans="1:1" x14ac:dyDescent="0.25">
      <c r="A6687" s="5"/>
    </row>
    <row r="6688" spans="1:1" x14ac:dyDescent="0.25">
      <c r="A6688" s="5"/>
    </row>
    <row r="6689" spans="1:1" x14ac:dyDescent="0.25">
      <c r="A6689" s="5"/>
    </row>
    <row r="6690" spans="1:1" x14ac:dyDescent="0.25">
      <c r="A6690" s="5"/>
    </row>
    <row r="6691" spans="1:1" x14ac:dyDescent="0.25">
      <c r="A6691" s="5"/>
    </row>
    <row r="6692" spans="1:1" x14ac:dyDescent="0.25">
      <c r="A6692" s="5"/>
    </row>
    <row r="6693" spans="1:1" x14ac:dyDescent="0.25">
      <c r="A6693" s="5"/>
    </row>
    <row r="6694" spans="1:1" x14ac:dyDescent="0.25">
      <c r="A6694" s="5"/>
    </row>
    <row r="6695" spans="1:1" x14ac:dyDescent="0.25">
      <c r="A6695" s="5"/>
    </row>
    <row r="6696" spans="1:1" x14ac:dyDescent="0.25">
      <c r="A6696" s="5"/>
    </row>
    <row r="6697" spans="1:1" x14ac:dyDescent="0.25">
      <c r="A6697" s="5"/>
    </row>
    <row r="6698" spans="1:1" x14ac:dyDescent="0.25">
      <c r="A6698" s="5"/>
    </row>
    <row r="6699" spans="1:1" x14ac:dyDescent="0.25">
      <c r="A6699" s="5"/>
    </row>
    <row r="6700" spans="1:1" x14ac:dyDescent="0.25">
      <c r="A6700" s="5"/>
    </row>
    <row r="6701" spans="1:1" x14ac:dyDescent="0.25">
      <c r="A6701" s="5"/>
    </row>
    <row r="6702" spans="1:1" x14ac:dyDescent="0.25">
      <c r="A6702" s="5"/>
    </row>
    <row r="6703" spans="1:1" x14ac:dyDescent="0.25">
      <c r="A6703" s="5"/>
    </row>
    <row r="6704" spans="1:1" x14ac:dyDescent="0.25">
      <c r="A6704" s="5"/>
    </row>
    <row r="6705" spans="1:1" x14ac:dyDescent="0.25">
      <c r="A6705" s="5"/>
    </row>
    <row r="6706" spans="1:1" x14ac:dyDescent="0.25">
      <c r="A6706" s="5"/>
    </row>
    <row r="6707" spans="1:1" x14ac:dyDescent="0.25">
      <c r="A6707" s="5"/>
    </row>
    <row r="6708" spans="1:1" x14ac:dyDescent="0.25">
      <c r="A6708" s="5"/>
    </row>
    <row r="6709" spans="1:1" x14ac:dyDescent="0.25">
      <c r="A6709" s="5"/>
    </row>
    <row r="6710" spans="1:1" x14ac:dyDescent="0.25">
      <c r="A6710" s="5"/>
    </row>
    <row r="6711" spans="1:1" x14ac:dyDescent="0.25">
      <c r="A6711" s="5"/>
    </row>
    <row r="6712" spans="1:1" x14ac:dyDescent="0.25">
      <c r="A6712" s="5"/>
    </row>
    <row r="6713" spans="1:1" x14ac:dyDescent="0.25">
      <c r="A6713" s="5"/>
    </row>
    <row r="6714" spans="1:1" x14ac:dyDescent="0.25">
      <c r="A6714" s="5"/>
    </row>
    <row r="6715" spans="1:1" x14ac:dyDescent="0.25">
      <c r="A6715" s="5"/>
    </row>
    <row r="6716" spans="1:1" x14ac:dyDescent="0.25">
      <c r="A6716" s="5"/>
    </row>
    <row r="6717" spans="1:1" x14ac:dyDescent="0.25">
      <c r="A6717" s="5"/>
    </row>
    <row r="6718" spans="1:1" x14ac:dyDescent="0.25">
      <c r="A6718" s="5"/>
    </row>
    <row r="6719" spans="1:1" x14ac:dyDescent="0.25">
      <c r="A6719" s="5"/>
    </row>
    <row r="6720" spans="1:1" x14ac:dyDescent="0.25">
      <c r="A6720" s="5"/>
    </row>
    <row r="6721" spans="1:1" x14ac:dyDescent="0.25">
      <c r="A6721" s="5"/>
    </row>
    <row r="6722" spans="1:1" x14ac:dyDescent="0.25">
      <c r="A6722" s="5"/>
    </row>
    <row r="6723" spans="1:1" x14ac:dyDescent="0.25">
      <c r="A6723" s="5"/>
    </row>
    <row r="6724" spans="1:1" x14ac:dyDescent="0.25">
      <c r="A6724" s="5"/>
    </row>
    <row r="6725" spans="1:1" x14ac:dyDescent="0.25">
      <c r="A6725" s="5"/>
    </row>
    <row r="6726" spans="1:1" x14ac:dyDescent="0.25">
      <c r="A6726" s="5"/>
    </row>
    <row r="6727" spans="1:1" x14ac:dyDescent="0.25">
      <c r="A6727" s="5"/>
    </row>
    <row r="6728" spans="1:1" x14ac:dyDescent="0.25">
      <c r="A6728" s="5"/>
    </row>
    <row r="6729" spans="1:1" x14ac:dyDescent="0.25">
      <c r="A6729" s="5"/>
    </row>
    <row r="6730" spans="1:1" x14ac:dyDescent="0.25">
      <c r="A6730" s="5"/>
    </row>
    <row r="6731" spans="1:1" x14ac:dyDescent="0.25">
      <c r="A6731" s="5"/>
    </row>
    <row r="6732" spans="1:1" x14ac:dyDescent="0.25">
      <c r="A6732" s="5"/>
    </row>
    <row r="6733" spans="1:1" x14ac:dyDescent="0.25">
      <c r="A6733" s="5"/>
    </row>
    <row r="6734" spans="1:1" x14ac:dyDescent="0.25">
      <c r="A6734" s="5"/>
    </row>
    <row r="6735" spans="1:1" x14ac:dyDescent="0.25">
      <c r="A6735" s="5"/>
    </row>
    <row r="6736" spans="1:1" x14ac:dyDescent="0.25">
      <c r="A6736" s="5"/>
    </row>
    <row r="6737" spans="1:1" x14ac:dyDescent="0.25">
      <c r="A6737" s="5"/>
    </row>
    <row r="6738" spans="1:1" x14ac:dyDescent="0.25">
      <c r="A6738" s="5"/>
    </row>
    <row r="6739" spans="1:1" x14ac:dyDescent="0.25">
      <c r="A6739" s="5"/>
    </row>
    <row r="6740" spans="1:1" x14ac:dyDescent="0.25">
      <c r="A6740" s="5"/>
    </row>
    <row r="6741" spans="1:1" x14ac:dyDescent="0.25">
      <c r="A6741" s="5"/>
    </row>
    <row r="6742" spans="1:1" x14ac:dyDescent="0.25">
      <c r="A6742" s="5"/>
    </row>
    <row r="6743" spans="1:1" x14ac:dyDescent="0.25">
      <c r="A6743" s="5"/>
    </row>
    <row r="6744" spans="1:1" x14ac:dyDescent="0.25">
      <c r="A6744" s="5"/>
    </row>
    <row r="6745" spans="1:1" x14ac:dyDescent="0.25">
      <c r="A6745" s="5"/>
    </row>
    <row r="6746" spans="1:1" x14ac:dyDescent="0.25">
      <c r="A6746" s="5"/>
    </row>
    <row r="6747" spans="1:1" x14ac:dyDescent="0.25">
      <c r="A6747" s="5"/>
    </row>
    <row r="6748" spans="1:1" x14ac:dyDescent="0.25">
      <c r="A6748" s="5"/>
    </row>
    <row r="6749" spans="1:1" x14ac:dyDescent="0.25">
      <c r="A6749" s="5"/>
    </row>
    <row r="6750" spans="1:1" x14ac:dyDescent="0.25">
      <c r="A6750" s="5"/>
    </row>
    <row r="6751" spans="1:1" x14ac:dyDescent="0.25">
      <c r="A6751" s="5"/>
    </row>
    <row r="6752" spans="1:1" x14ac:dyDescent="0.25">
      <c r="A6752" s="5"/>
    </row>
    <row r="6753" spans="1:1" x14ac:dyDescent="0.25">
      <c r="A6753" s="5"/>
    </row>
    <row r="6754" spans="1:1" x14ac:dyDescent="0.25">
      <c r="A6754" s="5"/>
    </row>
    <row r="6755" spans="1:1" x14ac:dyDescent="0.25">
      <c r="A6755" s="5"/>
    </row>
    <row r="6756" spans="1:1" x14ac:dyDescent="0.25">
      <c r="A6756" s="5"/>
    </row>
    <row r="6757" spans="1:1" x14ac:dyDescent="0.25">
      <c r="A6757" s="5"/>
    </row>
    <row r="6758" spans="1:1" x14ac:dyDescent="0.25">
      <c r="A6758" s="5"/>
    </row>
    <row r="6759" spans="1:1" x14ac:dyDescent="0.25">
      <c r="A6759" s="5"/>
    </row>
    <row r="6760" spans="1:1" x14ac:dyDescent="0.25">
      <c r="A6760" s="5"/>
    </row>
    <row r="6761" spans="1:1" x14ac:dyDescent="0.25">
      <c r="A6761" s="5"/>
    </row>
    <row r="6762" spans="1:1" x14ac:dyDescent="0.25">
      <c r="A6762" s="5"/>
    </row>
    <row r="6763" spans="1:1" x14ac:dyDescent="0.25">
      <c r="A6763" s="5"/>
    </row>
    <row r="6764" spans="1:1" x14ac:dyDescent="0.25">
      <c r="A6764" s="5"/>
    </row>
    <row r="6765" spans="1:1" x14ac:dyDescent="0.25">
      <c r="A6765" s="5"/>
    </row>
    <row r="6766" spans="1:1" x14ac:dyDescent="0.25">
      <c r="A6766" s="5"/>
    </row>
    <row r="6767" spans="1:1" x14ac:dyDescent="0.25">
      <c r="A6767" s="5"/>
    </row>
    <row r="6768" spans="1:1" x14ac:dyDescent="0.25">
      <c r="A6768" s="5"/>
    </row>
    <row r="6769" spans="1:1" x14ac:dyDescent="0.25">
      <c r="A6769" s="5"/>
    </row>
    <row r="6770" spans="1:1" x14ac:dyDescent="0.25">
      <c r="A6770" s="5"/>
    </row>
    <row r="6771" spans="1:1" x14ac:dyDescent="0.25">
      <c r="A6771" s="5"/>
    </row>
    <row r="6772" spans="1:1" x14ac:dyDescent="0.25">
      <c r="A6772" s="5"/>
    </row>
    <row r="6773" spans="1:1" x14ac:dyDescent="0.25">
      <c r="A6773" s="5"/>
    </row>
    <row r="6774" spans="1:1" x14ac:dyDescent="0.25">
      <c r="A6774" s="5"/>
    </row>
    <row r="6775" spans="1:1" x14ac:dyDescent="0.25">
      <c r="A6775" s="5"/>
    </row>
    <row r="6776" spans="1:1" x14ac:dyDescent="0.25">
      <c r="A6776" s="5"/>
    </row>
    <row r="6777" spans="1:1" x14ac:dyDescent="0.25">
      <c r="A6777" s="5"/>
    </row>
    <row r="6778" spans="1:1" x14ac:dyDescent="0.25">
      <c r="A6778" s="5"/>
    </row>
    <row r="6779" spans="1:1" x14ac:dyDescent="0.25">
      <c r="A6779" s="5"/>
    </row>
    <row r="6780" spans="1:1" x14ac:dyDescent="0.25">
      <c r="A6780" s="5"/>
    </row>
    <row r="6781" spans="1:1" x14ac:dyDescent="0.25">
      <c r="A6781" s="5"/>
    </row>
    <row r="6782" spans="1:1" x14ac:dyDescent="0.25">
      <c r="A6782" s="5"/>
    </row>
    <row r="6783" spans="1:1" x14ac:dyDescent="0.25">
      <c r="A6783" s="5"/>
    </row>
    <row r="6784" spans="1:1" x14ac:dyDescent="0.25">
      <c r="A6784" s="5"/>
    </row>
    <row r="6785" spans="1:1" x14ac:dyDescent="0.25">
      <c r="A6785" s="5"/>
    </row>
    <row r="6786" spans="1:1" x14ac:dyDescent="0.25">
      <c r="A6786" s="5"/>
    </row>
    <row r="6787" spans="1:1" x14ac:dyDescent="0.25">
      <c r="A6787" s="5"/>
    </row>
    <row r="6788" spans="1:1" x14ac:dyDescent="0.25">
      <c r="A6788" s="5"/>
    </row>
    <row r="6789" spans="1:1" x14ac:dyDescent="0.25">
      <c r="A6789" s="5"/>
    </row>
    <row r="6790" spans="1:1" x14ac:dyDescent="0.25">
      <c r="A6790" s="5"/>
    </row>
    <row r="6791" spans="1:1" x14ac:dyDescent="0.25">
      <c r="A6791" s="5"/>
    </row>
    <row r="6792" spans="1:1" x14ac:dyDescent="0.25">
      <c r="A6792" s="5"/>
    </row>
    <row r="6793" spans="1:1" x14ac:dyDescent="0.25">
      <c r="A6793" s="5"/>
    </row>
    <row r="6794" spans="1:1" x14ac:dyDescent="0.25">
      <c r="A6794" s="5"/>
    </row>
    <row r="6795" spans="1:1" x14ac:dyDescent="0.25">
      <c r="A6795" s="5"/>
    </row>
    <row r="6796" spans="1:1" x14ac:dyDescent="0.25">
      <c r="A6796" s="5"/>
    </row>
    <row r="6797" spans="1:1" x14ac:dyDescent="0.25">
      <c r="A6797" s="5"/>
    </row>
    <row r="6798" spans="1:1" x14ac:dyDescent="0.25">
      <c r="A6798" s="5"/>
    </row>
    <row r="6799" spans="1:1" x14ac:dyDescent="0.25">
      <c r="A6799" s="5"/>
    </row>
    <row r="6800" spans="1:1" x14ac:dyDescent="0.25">
      <c r="A6800" s="5"/>
    </row>
    <row r="6801" spans="1:1" x14ac:dyDescent="0.25">
      <c r="A6801" s="5"/>
    </row>
    <row r="6802" spans="1:1" x14ac:dyDescent="0.25">
      <c r="A6802" s="5"/>
    </row>
    <row r="6803" spans="1:1" x14ac:dyDescent="0.25">
      <c r="A6803" s="5"/>
    </row>
    <row r="6804" spans="1:1" x14ac:dyDescent="0.25">
      <c r="A6804" s="5"/>
    </row>
    <row r="6805" spans="1:1" x14ac:dyDescent="0.25">
      <c r="A6805" s="5"/>
    </row>
    <row r="6806" spans="1:1" x14ac:dyDescent="0.25">
      <c r="A6806" s="5"/>
    </row>
    <row r="6807" spans="1:1" x14ac:dyDescent="0.25">
      <c r="A6807" s="5"/>
    </row>
    <row r="6808" spans="1:1" x14ac:dyDescent="0.25">
      <c r="A6808" s="5"/>
    </row>
    <row r="6809" spans="1:1" x14ac:dyDescent="0.25">
      <c r="A6809" s="5"/>
    </row>
    <row r="6810" spans="1:1" x14ac:dyDescent="0.25">
      <c r="A6810" s="5"/>
    </row>
    <row r="6811" spans="1:1" x14ac:dyDescent="0.25">
      <c r="A6811" s="5"/>
    </row>
    <row r="6812" spans="1:1" x14ac:dyDescent="0.25">
      <c r="A6812" s="5"/>
    </row>
    <row r="6813" spans="1:1" x14ac:dyDescent="0.25">
      <c r="A6813" s="5"/>
    </row>
    <row r="6814" spans="1:1" x14ac:dyDescent="0.25">
      <c r="A6814" s="5"/>
    </row>
    <row r="6815" spans="1:1" x14ac:dyDescent="0.25">
      <c r="A6815" s="5"/>
    </row>
    <row r="6816" spans="1:1" x14ac:dyDescent="0.25">
      <c r="A6816" s="5"/>
    </row>
    <row r="6817" spans="1:1" x14ac:dyDescent="0.25">
      <c r="A6817" s="5"/>
    </row>
    <row r="6818" spans="1:1" x14ac:dyDescent="0.25">
      <c r="A6818" s="5"/>
    </row>
    <row r="6819" spans="1:1" x14ac:dyDescent="0.25">
      <c r="A6819" s="5"/>
    </row>
    <row r="6820" spans="1:1" x14ac:dyDescent="0.25">
      <c r="A6820" s="5"/>
    </row>
    <row r="6821" spans="1:1" x14ac:dyDescent="0.25">
      <c r="A6821" s="5"/>
    </row>
    <row r="6822" spans="1:1" x14ac:dyDescent="0.25">
      <c r="A6822" s="5"/>
    </row>
    <row r="6823" spans="1:1" x14ac:dyDescent="0.25">
      <c r="A6823" s="5"/>
    </row>
    <row r="6824" spans="1:1" x14ac:dyDescent="0.25">
      <c r="A6824" s="5"/>
    </row>
    <row r="6825" spans="1:1" x14ac:dyDescent="0.25">
      <c r="A6825" s="5"/>
    </row>
    <row r="6826" spans="1:1" x14ac:dyDescent="0.25">
      <c r="A6826" s="5"/>
    </row>
    <row r="6827" spans="1:1" x14ac:dyDescent="0.25">
      <c r="A6827" s="5"/>
    </row>
    <row r="6828" spans="1:1" x14ac:dyDescent="0.25">
      <c r="A6828" s="5"/>
    </row>
    <row r="6829" spans="1:1" x14ac:dyDescent="0.25">
      <c r="A6829" s="5"/>
    </row>
    <row r="6830" spans="1:1" x14ac:dyDescent="0.25">
      <c r="A6830" s="5"/>
    </row>
    <row r="6831" spans="1:1" x14ac:dyDescent="0.25">
      <c r="A6831" s="5"/>
    </row>
    <row r="6832" spans="1:1" x14ac:dyDescent="0.25">
      <c r="A6832" s="5"/>
    </row>
    <row r="6833" spans="1:1" x14ac:dyDescent="0.25">
      <c r="A6833" s="5"/>
    </row>
    <row r="6834" spans="1:1" x14ac:dyDescent="0.25">
      <c r="A6834" s="5"/>
    </row>
    <row r="6835" spans="1:1" x14ac:dyDescent="0.25">
      <c r="A6835" s="5"/>
    </row>
    <row r="6836" spans="1:1" x14ac:dyDescent="0.25">
      <c r="A6836" s="5"/>
    </row>
    <row r="6837" spans="1:1" x14ac:dyDescent="0.25">
      <c r="A6837" s="5"/>
    </row>
    <row r="6838" spans="1:1" x14ac:dyDescent="0.25">
      <c r="A6838" s="5"/>
    </row>
    <row r="6839" spans="1:1" x14ac:dyDescent="0.25">
      <c r="A6839" s="5"/>
    </row>
    <row r="6840" spans="1:1" x14ac:dyDescent="0.25">
      <c r="A6840" s="5"/>
    </row>
    <row r="6841" spans="1:1" x14ac:dyDescent="0.25">
      <c r="A6841" s="5"/>
    </row>
    <row r="6842" spans="1:1" x14ac:dyDescent="0.25">
      <c r="A6842" s="5"/>
    </row>
    <row r="6843" spans="1:1" x14ac:dyDescent="0.25">
      <c r="A6843" s="5"/>
    </row>
    <row r="6844" spans="1:1" x14ac:dyDescent="0.25">
      <c r="A6844" s="5"/>
    </row>
    <row r="6845" spans="1:1" x14ac:dyDescent="0.25">
      <c r="A6845" s="5"/>
    </row>
    <row r="6846" spans="1:1" x14ac:dyDescent="0.25">
      <c r="A6846" s="5"/>
    </row>
    <row r="6847" spans="1:1" x14ac:dyDescent="0.25">
      <c r="A6847" s="5"/>
    </row>
    <row r="6848" spans="1:1" x14ac:dyDescent="0.25">
      <c r="A6848" s="5"/>
    </row>
    <row r="6849" spans="1:1" x14ac:dyDescent="0.25">
      <c r="A6849" s="5"/>
    </row>
    <row r="6850" spans="1:1" x14ac:dyDescent="0.25">
      <c r="A6850" s="5"/>
    </row>
    <row r="6851" spans="1:1" x14ac:dyDescent="0.25">
      <c r="A6851" s="5"/>
    </row>
    <row r="6852" spans="1:1" x14ac:dyDescent="0.25">
      <c r="A6852" s="5"/>
    </row>
    <row r="6853" spans="1:1" x14ac:dyDescent="0.25">
      <c r="A6853" s="5"/>
    </row>
    <row r="6854" spans="1:1" x14ac:dyDescent="0.25">
      <c r="A6854" s="5"/>
    </row>
    <row r="6855" spans="1:1" x14ac:dyDescent="0.25">
      <c r="A6855" s="5"/>
    </row>
    <row r="6856" spans="1:1" x14ac:dyDescent="0.25">
      <c r="A6856" s="5"/>
    </row>
    <row r="6857" spans="1:1" x14ac:dyDescent="0.25">
      <c r="A6857" s="5"/>
    </row>
    <row r="6858" spans="1:1" x14ac:dyDescent="0.25">
      <c r="A6858" s="5"/>
    </row>
    <row r="6859" spans="1:1" x14ac:dyDescent="0.25">
      <c r="A6859" s="5"/>
    </row>
    <row r="6860" spans="1:1" x14ac:dyDescent="0.25">
      <c r="A6860" s="5"/>
    </row>
    <row r="6861" spans="1:1" x14ac:dyDescent="0.25">
      <c r="A6861" s="5"/>
    </row>
    <row r="6862" spans="1:1" x14ac:dyDescent="0.25">
      <c r="A6862" s="5"/>
    </row>
    <row r="6863" spans="1:1" x14ac:dyDescent="0.25">
      <c r="A6863" s="5"/>
    </row>
    <row r="6864" spans="1:1" x14ac:dyDescent="0.25">
      <c r="A6864" s="5"/>
    </row>
    <row r="6865" spans="1:1" x14ac:dyDescent="0.25">
      <c r="A6865" s="5"/>
    </row>
    <row r="6866" spans="1:1" x14ac:dyDescent="0.25">
      <c r="A6866" s="5"/>
    </row>
    <row r="6867" spans="1:1" x14ac:dyDescent="0.25">
      <c r="A6867" s="5"/>
    </row>
    <row r="6868" spans="1:1" x14ac:dyDescent="0.25">
      <c r="A6868" s="5"/>
    </row>
    <row r="6869" spans="1:1" x14ac:dyDescent="0.25">
      <c r="A6869" s="5"/>
    </row>
    <row r="6870" spans="1:1" x14ac:dyDescent="0.25">
      <c r="A6870" s="5"/>
    </row>
    <row r="6871" spans="1:1" x14ac:dyDescent="0.25">
      <c r="A6871" s="5"/>
    </row>
    <row r="6872" spans="1:1" x14ac:dyDescent="0.25">
      <c r="A6872" s="5"/>
    </row>
    <row r="6873" spans="1:1" x14ac:dyDescent="0.25">
      <c r="A6873" s="5"/>
    </row>
    <row r="6874" spans="1:1" x14ac:dyDescent="0.25">
      <c r="A6874" s="5"/>
    </row>
    <row r="6875" spans="1:1" x14ac:dyDescent="0.25">
      <c r="A6875" s="5"/>
    </row>
    <row r="6876" spans="1:1" x14ac:dyDescent="0.25">
      <c r="A6876" s="5"/>
    </row>
    <row r="6877" spans="1:1" x14ac:dyDescent="0.25">
      <c r="A6877" s="5"/>
    </row>
    <row r="6878" spans="1:1" x14ac:dyDescent="0.25">
      <c r="A6878" s="5"/>
    </row>
    <row r="6879" spans="1:1" x14ac:dyDescent="0.25">
      <c r="A6879" s="5"/>
    </row>
    <row r="6880" spans="1:1" x14ac:dyDescent="0.25">
      <c r="A6880" s="5"/>
    </row>
    <row r="6881" spans="1:1" x14ac:dyDescent="0.25">
      <c r="A6881" s="5"/>
    </row>
    <row r="6882" spans="1:1" x14ac:dyDescent="0.25">
      <c r="A6882" s="5"/>
    </row>
    <row r="6883" spans="1:1" x14ac:dyDescent="0.25">
      <c r="A6883" s="5"/>
    </row>
    <row r="6884" spans="1:1" x14ac:dyDescent="0.25">
      <c r="A6884" s="5"/>
    </row>
    <row r="6885" spans="1:1" x14ac:dyDescent="0.25">
      <c r="A6885" s="5"/>
    </row>
    <row r="6886" spans="1:1" x14ac:dyDescent="0.25">
      <c r="A6886" s="5"/>
    </row>
    <row r="6887" spans="1:1" x14ac:dyDescent="0.25">
      <c r="A6887" s="5"/>
    </row>
    <row r="6888" spans="1:1" x14ac:dyDescent="0.25">
      <c r="A6888" s="5"/>
    </row>
    <row r="6889" spans="1:1" x14ac:dyDescent="0.25">
      <c r="A6889" s="5"/>
    </row>
    <row r="6890" spans="1:1" x14ac:dyDescent="0.25">
      <c r="A6890" s="5"/>
    </row>
    <row r="6891" spans="1:1" x14ac:dyDescent="0.25">
      <c r="A6891" s="5"/>
    </row>
    <row r="6892" spans="1:1" x14ac:dyDescent="0.25">
      <c r="A6892" s="5"/>
    </row>
    <row r="6893" spans="1:1" x14ac:dyDescent="0.25">
      <c r="A6893" s="5"/>
    </row>
    <row r="6894" spans="1:1" x14ac:dyDescent="0.25">
      <c r="A6894" s="5"/>
    </row>
    <row r="6895" spans="1:1" x14ac:dyDescent="0.25">
      <c r="A6895" s="5"/>
    </row>
    <row r="6896" spans="1:1" x14ac:dyDescent="0.25">
      <c r="A6896" s="5"/>
    </row>
    <row r="6897" spans="1:1" x14ac:dyDescent="0.25">
      <c r="A6897" s="5"/>
    </row>
    <row r="6898" spans="1:1" x14ac:dyDescent="0.25">
      <c r="A6898" s="5"/>
    </row>
    <row r="6899" spans="1:1" x14ac:dyDescent="0.25">
      <c r="A6899" s="5"/>
    </row>
    <row r="6900" spans="1:1" x14ac:dyDescent="0.25">
      <c r="A6900" s="5"/>
    </row>
    <row r="6901" spans="1:1" x14ac:dyDescent="0.25">
      <c r="A6901" s="5"/>
    </row>
    <row r="6902" spans="1:1" x14ac:dyDescent="0.25">
      <c r="A6902" s="5"/>
    </row>
    <row r="6903" spans="1:1" x14ac:dyDescent="0.25">
      <c r="A6903" s="5"/>
    </row>
    <row r="6904" spans="1:1" x14ac:dyDescent="0.25">
      <c r="A6904" s="5"/>
    </row>
    <row r="6905" spans="1:1" x14ac:dyDescent="0.25">
      <c r="A6905" s="5"/>
    </row>
    <row r="6906" spans="1:1" x14ac:dyDescent="0.25">
      <c r="A6906" s="5"/>
    </row>
    <row r="6907" spans="1:1" x14ac:dyDescent="0.25">
      <c r="A6907" s="5"/>
    </row>
    <row r="6908" spans="1:1" x14ac:dyDescent="0.25">
      <c r="A6908" s="5"/>
    </row>
    <row r="6909" spans="1:1" x14ac:dyDescent="0.25">
      <c r="A6909" s="5"/>
    </row>
    <row r="6910" spans="1:1" x14ac:dyDescent="0.25">
      <c r="A6910" s="5"/>
    </row>
    <row r="6911" spans="1:1" x14ac:dyDescent="0.25">
      <c r="A6911" s="5"/>
    </row>
    <row r="6912" spans="1:1" x14ac:dyDescent="0.25">
      <c r="A6912" s="5"/>
    </row>
    <row r="6913" spans="1:1" x14ac:dyDescent="0.25">
      <c r="A6913" s="5"/>
    </row>
    <row r="6914" spans="1:1" x14ac:dyDescent="0.25">
      <c r="A6914" s="5"/>
    </row>
    <row r="6915" spans="1:1" x14ac:dyDescent="0.25">
      <c r="A6915" s="5"/>
    </row>
    <row r="6916" spans="1:1" x14ac:dyDescent="0.25">
      <c r="A6916" s="5"/>
    </row>
    <row r="6917" spans="1:1" x14ac:dyDescent="0.25">
      <c r="A6917" s="5"/>
    </row>
    <row r="6918" spans="1:1" x14ac:dyDescent="0.25">
      <c r="A6918" s="5"/>
    </row>
    <row r="6919" spans="1:1" x14ac:dyDescent="0.25">
      <c r="A6919" s="5"/>
    </row>
    <row r="6920" spans="1:1" x14ac:dyDescent="0.25">
      <c r="A6920" s="5"/>
    </row>
    <row r="6921" spans="1:1" x14ac:dyDescent="0.25">
      <c r="A6921" s="5"/>
    </row>
    <row r="6922" spans="1:1" x14ac:dyDescent="0.25">
      <c r="A6922" s="5"/>
    </row>
    <row r="6923" spans="1:1" x14ac:dyDescent="0.25">
      <c r="A6923" s="5"/>
    </row>
    <row r="6924" spans="1:1" x14ac:dyDescent="0.25">
      <c r="A6924" s="5"/>
    </row>
    <row r="6925" spans="1:1" x14ac:dyDescent="0.25">
      <c r="A6925" s="5"/>
    </row>
    <row r="6926" spans="1:1" x14ac:dyDescent="0.25">
      <c r="A6926" s="5"/>
    </row>
    <row r="6927" spans="1:1" x14ac:dyDescent="0.25">
      <c r="A6927" s="5"/>
    </row>
    <row r="6928" spans="1:1" x14ac:dyDescent="0.25">
      <c r="A6928" s="5"/>
    </row>
    <row r="6929" spans="1:1" x14ac:dyDescent="0.25">
      <c r="A6929" s="5"/>
    </row>
    <row r="6930" spans="1:1" x14ac:dyDescent="0.25">
      <c r="A6930" s="5"/>
    </row>
    <row r="6931" spans="1:1" x14ac:dyDescent="0.25">
      <c r="A6931" s="5"/>
    </row>
    <row r="6932" spans="1:1" x14ac:dyDescent="0.25">
      <c r="A6932" s="5"/>
    </row>
    <row r="6933" spans="1:1" x14ac:dyDescent="0.25">
      <c r="A6933" s="5"/>
    </row>
    <row r="6934" spans="1:1" x14ac:dyDescent="0.25">
      <c r="A6934" s="5"/>
    </row>
    <row r="6935" spans="1:1" x14ac:dyDescent="0.25">
      <c r="A6935" s="5"/>
    </row>
    <row r="6936" spans="1:1" x14ac:dyDescent="0.25">
      <c r="A6936" s="5"/>
    </row>
    <row r="6937" spans="1:1" x14ac:dyDescent="0.25">
      <c r="A6937" s="5"/>
    </row>
    <row r="6938" spans="1:1" x14ac:dyDescent="0.25">
      <c r="A6938" s="5"/>
    </row>
    <row r="6939" spans="1:1" x14ac:dyDescent="0.25">
      <c r="A6939" s="5"/>
    </row>
    <row r="6940" spans="1:1" x14ac:dyDescent="0.25">
      <c r="A6940" s="5"/>
    </row>
    <row r="6941" spans="1:1" x14ac:dyDescent="0.25">
      <c r="A6941" s="5"/>
    </row>
    <row r="6942" spans="1:1" x14ac:dyDescent="0.25">
      <c r="A6942" s="5"/>
    </row>
    <row r="6943" spans="1:1" x14ac:dyDescent="0.25">
      <c r="A6943" s="5"/>
    </row>
    <row r="6944" spans="1:1" x14ac:dyDescent="0.25">
      <c r="A6944" s="5"/>
    </row>
    <row r="6945" spans="1:1" x14ac:dyDescent="0.25">
      <c r="A6945" s="5"/>
    </row>
    <row r="6946" spans="1:1" x14ac:dyDescent="0.25">
      <c r="A6946" s="5"/>
    </row>
    <row r="6947" spans="1:1" x14ac:dyDescent="0.25">
      <c r="A6947" s="5"/>
    </row>
    <row r="6948" spans="1:1" x14ac:dyDescent="0.25">
      <c r="A6948" s="5"/>
    </row>
    <row r="6949" spans="1:1" x14ac:dyDescent="0.25">
      <c r="A6949" s="5"/>
    </row>
    <row r="6950" spans="1:1" x14ac:dyDescent="0.25">
      <c r="A6950" s="5"/>
    </row>
    <row r="6951" spans="1:1" x14ac:dyDescent="0.25">
      <c r="A6951" s="5"/>
    </row>
    <row r="6952" spans="1:1" x14ac:dyDescent="0.25">
      <c r="A6952" s="5"/>
    </row>
    <row r="6953" spans="1:1" x14ac:dyDescent="0.25">
      <c r="A6953" s="5"/>
    </row>
    <row r="6954" spans="1:1" x14ac:dyDescent="0.25">
      <c r="A6954" s="5"/>
    </row>
    <row r="6955" spans="1:1" x14ac:dyDescent="0.25">
      <c r="A6955" s="5"/>
    </row>
    <row r="6956" spans="1:1" x14ac:dyDescent="0.25">
      <c r="A6956" s="5"/>
    </row>
    <row r="6957" spans="1:1" x14ac:dyDescent="0.25">
      <c r="A6957" s="5"/>
    </row>
    <row r="6958" spans="1:1" x14ac:dyDescent="0.25">
      <c r="A6958" s="5"/>
    </row>
    <row r="6959" spans="1:1" x14ac:dyDescent="0.25">
      <c r="A6959" s="5"/>
    </row>
    <row r="6960" spans="1:1" x14ac:dyDescent="0.25">
      <c r="A6960" s="5"/>
    </row>
    <row r="6961" spans="1:1" x14ac:dyDescent="0.25">
      <c r="A6961" s="5"/>
    </row>
    <row r="6962" spans="1:1" x14ac:dyDescent="0.25">
      <c r="A6962" s="5"/>
    </row>
    <row r="6963" spans="1:1" x14ac:dyDescent="0.25">
      <c r="A6963" s="5"/>
    </row>
    <row r="6964" spans="1:1" x14ac:dyDescent="0.25">
      <c r="A6964" s="5"/>
    </row>
    <row r="6965" spans="1:1" x14ac:dyDescent="0.25">
      <c r="A6965" s="5"/>
    </row>
    <row r="6966" spans="1:1" x14ac:dyDescent="0.25">
      <c r="A6966" s="5"/>
    </row>
    <row r="6967" spans="1:1" x14ac:dyDescent="0.25">
      <c r="A6967" s="5"/>
    </row>
    <row r="6968" spans="1:1" x14ac:dyDescent="0.25">
      <c r="A6968" s="5"/>
    </row>
    <row r="6969" spans="1:1" x14ac:dyDescent="0.25">
      <c r="A6969" s="5"/>
    </row>
    <row r="6970" spans="1:1" x14ac:dyDescent="0.25">
      <c r="A6970" s="5"/>
    </row>
    <row r="6971" spans="1:1" x14ac:dyDescent="0.25">
      <c r="A6971" s="5"/>
    </row>
    <row r="6972" spans="1:1" x14ac:dyDescent="0.25">
      <c r="A6972" s="5"/>
    </row>
    <row r="6973" spans="1:1" x14ac:dyDescent="0.25">
      <c r="A6973" s="5"/>
    </row>
    <row r="6974" spans="1:1" x14ac:dyDescent="0.25">
      <c r="A6974" s="5"/>
    </row>
    <row r="6975" spans="1:1" x14ac:dyDescent="0.25">
      <c r="A6975" s="5"/>
    </row>
    <row r="6976" spans="1:1" x14ac:dyDescent="0.25">
      <c r="A6976" s="5"/>
    </row>
    <row r="6977" spans="1:1" x14ac:dyDescent="0.25">
      <c r="A6977" s="5"/>
    </row>
    <row r="6978" spans="1:1" x14ac:dyDescent="0.25">
      <c r="A6978" s="5"/>
    </row>
    <row r="6979" spans="1:1" x14ac:dyDescent="0.25">
      <c r="A6979" s="5"/>
    </row>
    <row r="6980" spans="1:1" x14ac:dyDescent="0.25">
      <c r="A6980" s="5"/>
    </row>
    <row r="6981" spans="1:1" x14ac:dyDescent="0.25">
      <c r="A6981" s="5"/>
    </row>
    <row r="6982" spans="1:1" x14ac:dyDescent="0.25">
      <c r="A6982" s="5"/>
    </row>
    <row r="6983" spans="1:1" x14ac:dyDescent="0.25">
      <c r="A6983" s="5"/>
    </row>
    <row r="6984" spans="1:1" x14ac:dyDescent="0.25">
      <c r="A6984" s="5"/>
    </row>
    <row r="6985" spans="1:1" x14ac:dyDescent="0.25">
      <c r="A6985" s="5"/>
    </row>
    <row r="6986" spans="1:1" x14ac:dyDescent="0.25">
      <c r="A6986" s="5"/>
    </row>
    <row r="6987" spans="1:1" x14ac:dyDescent="0.25">
      <c r="A6987" s="5"/>
    </row>
    <row r="6988" spans="1:1" x14ac:dyDescent="0.25">
      <c r="A6988" s="5"/>
    </row>
    <row r="6989" spans="1:1" x14ac:dyDescent="0.25">
      <c r="A6989" s="5"/>
    </row>
    <row r="6990" spans="1:1" x14ac:dyDescent="0.25">
      <c r="A6990" s="5"/>
    </row>
    <row r="6991" spans="1:1" x14ac:dyDescent="0.25">
      <c r="A6991" s="5"/>
    </row>
    <row r="6992" spans="1:1" x14ac:dyDescent="0.25">
      <c r="A6992" s="5"/>
    </row>
    <row r="6993" spans="1:1" x14ac:dyDescent="0.25">
      <c r="A6993" s="5"/>
    </row>
    <row r="6994" spans="1:1" x14ac:dyDescent="0.25">
      <c r="A6994" s="5"/>
    </row>
    <row r="6995" spans="1:1" x14ac:dyDescent="0.25">
      <c r="A6995" s="5"/>
    </row>
    <row r="6996" spans="1:1" x14ac:dyDescent="0.25">
      <c r="A6996" s="5"/>
    </row>
    <row r="6997" spans="1:1" x14ac:dyDescent="0.25">
      <c r="A6997" s="5"/>
    </row>
    <row r="6998" spans="1:1" x14ac:dyDescent="0.25">
      <c r="A6998" s="5"/>
    </row>
    <row r="6999" spans="1:1" x14ac:dyDescent="0.25">
      <c r="A6999" s="5"/>
    </row>
    <row r="7000" spans="1:1" x14ac:dyDescent="0.25">
      <c r="A7000" s="5"/>
    </row>
    <row r="7001" spans="1:1" x14ac:dyDescent="0.25">
      <c r="A7001" s="5"/>
    </row>
    <row r="7002" spans="1:1" x14ac:dyDescent="0.25">
      <c r="A7002" s="5"/>
    </row>
    <row r="7003" spans="1:1" x14ac:dyDescent="0.25">
      <c r="A7003" s="5"/>
    </row>
    <row r="7004" spans="1:1" x14ac:dyDescent="0.25">
      <c r="A7004" s="5"/>
    </row>
    <row r="7005" spans="1:1" x14ac:dyDescent="0.25">
      <c r="A7005" s="5"/>
    </row>
    <row r="7006" spans="1:1" x14ac:dyDescent="0.25">
      <c r="A7006" s="5"/>
    </row>
    <row r="7007" spans="1:1" x14ac:dyDescent="0.25">
      <c r="A7007" s="5"/>
    </row>
    <row r="7008" spans="1:1" x14ac:dyDescent="0.25">
      <c r="A7008" s="5"/>
    </row>
    <row r="7009" spans="1:1" x14ac:dyDescent="0.25">
      <c r="A7009" s="5"/>
    </row>
    <row r="7010" spans="1:1" x14ac:dyDescent="0.25">
      <c r="A7010" s="5"/>
    </row>
    <row r="7011" spans="1:1" x14ac:dyDescent="0.25">
      <c r="A7011" s="5"/>
    </row>
    <row r="7012" spans="1:1" x14ac:dyDescent="0.25">
      <c r="A7012" s="5"/>
    </row>
    <row r="7013" spans="1:1" x14ac:dyDescent="0.25">
      <c r="A7013" s="5"/>
    </row>
    <row r="7014" spans="1:1" x14ac:dyDescent="0.25">
      <c r="A7014" s="5"/>
    </row>
    <row r="7015" spans="1:1" x14ac:dyDescent="0.25">
      <c r="A7015" s="5"/>
    </row>
    <row r="7016" spans="1:1" x14ac:dyDescent="0.25">
      <c r="A7016" s="5"/>
    </row>
    <row r="7017" spans="1:1" x14ac:dyDescent="0.25">
      <c r="A7017" s="5"/>
    </row>
    <row r="7018" spans="1:1" x14ac:dyDescent="0.25">
      <c r="A7018" s="5"/>
    </row>
    <row r="7019" spans="1:1" x14ac:dyDescent="0.25">
      <c r="A7019" s="5"/>
    </row>
    <row r="7020" spans="1:1" x14ac:dyDescent="0.25">
      <c r="A7020" s="5"/>
    </row>
    <row r="7021" spans="1:1" x14ac:dyDescent="0.25">
      <c r="A7021" s="5"/>
    </row>
    <row r="7022" spans="1:1" x14ac:dyDescent="0.25">
      <c r="A7022" s="5"/>
    </row>
    <row r="7023" spans="1:1" x14ac:dyDescent="0.25">
      <c r="A7023" s="5"/>
    </row>
    <row r="7024" spans="1:1" x14ac:dyDescent="0.25">
      <c r="A7024" s="5"/>
    </row>
    <row r="7025" spans="1:1" x14ac:dyDescent="0.25">
      <c r="A7025" s="5"/>
    </row>
    <row r="7026" spans="1:1" x14ac:dyDescent="0.25">
      <c r="A7026" s="5"/>
    </row>
    <row r="7027" spans="1:1" x14ac:dyDescent="0.25">
      <c r="A7027" s="5"/>
    </row>
    <row r="7028" spans="1:1" x14ac:dyDescent="0.25">
      <c r="A7028" s="5"/>
    </row>
    <row r="7029" spans="1:1" x14ac:dyDescent="0.25">
      <c r="A7029" s="5"/>
    </row>
    <row r="7030" spans="1:1" x14ac:dyDescent="0.25">
      <c r="A7030" s="5"/>
    </row>
    <row r="7031" spans="1:1" x14ac:dyDescent="0.25">
      <c r="A7031" s="5"/>
    </row>
    <row r="7032" spans="1:1" x14ac:dyDescent="0.25">
      <c r="A7032" s="5"/>
    </row>
    <row r="7033" spans="1:1" x14ac:dyDescent="0.25">
      <c r="A7033" s="5"/>
    </row>
    <row r="7034" spans="1:1" x14ac:dyDescent="0.25">
      <c r="A7034" s="5"/>
    </row>
    <row r="7035" spans="1:1" x14ac:dyDescent="0.25">
      <c r="A7035" s="5"/>
    </row>
    <row r="7036" spans="1:1" x14ac:dyDescent="0.25">
      <c r="A7036" s="5"/>
    </row>
    <row r="7037" spans="1:1" x14ac:dyDescent="0.25">
      <c r="A7037" s="5"/>
    </row>
    <row r="7038" spans="1:1" x14ac:dyDescent="0.25">
      <c r="A7038" s="5"/>
    </row>
    <row r="7039" spans="1:1" x14ac:dyDescent="0.25">
      <c r="A7039" s="5"/>
    </row>
    <row r="7040" spans="1:1" x14ac:dyDescent="0.25">
      <c r="A7040" s="5"/>
    </row>
    <row r="7041" spans="1:1" x14ac:dyDescent="0.25">
      <c r="A7041" s="5"/>
    </row>
    <row r="7042" spans="1:1" x14ac:dyDescent="0.25">
      <c r="A7042" s="5"/>
    </row>
    <row r="7043" spans="1:1" x14ac:dyDescent="0.25">
      <c r="A7043" s="5"/>
    </row>
    <row r="7044" spans="1:1" x14ac:dyDescent="0.25">
      <c r="A7044" s="5"/>
    </row>
    <row r="7045" spans="1:1" x14ac:dyDescent="0.25">
      <c r="A7045" s="5"/>
    </row>
    <row r="7046" spans="1:1" x14ac:dyDescent="0.25">
      <c r="A7046" s="5"/>
    </row>
    <row r="7047" spans="1:1" x14ac:dyDescent="0.25">
      <c r="A7047" s="5"/>
    </row>
    <row r="7048" spans="1:1" x14ac:dyDescent="0.25">
      <c r="A7048" s="5"/>
    </row>
    <row r="7049" spans="1:1" x14ac:dyDescent="0.25">
      <c r="A7049" s="5"/>
    </row>
    <row r="7050" spans="1:1" x14ac:dyDescent="0.25">
      <c r="A7050" s="5"/>
    </row>
    <row r="7051" spans="1:1" x14ac:dyDescent="0.25">
      <c r="A7051" s="5"/>
    </row>
    <row r="7052" spans="1:1" x14ac:dyDescent="0.25">
      <c r="A7052" s="5"/>
    </row>
    <row r="7053" spans="1:1" x14ac:dyDescent="0.25">
      <c r="A7053" s="5"/>
    </row>
    <row r="7054" spans="1:1" x14ac:dyDescent="0.25">
      <c r="A7054" s="5"/>
    </row>
    <row r="7055" spans="1:1" x14ac:dyDescent="0.25">
      <c r="A7055" s="5"/>
    </row>
    <row r="7056" spans="1:1" x14ac:dyDescent="0.25">
      <c r="A7056" s="5"/>
    </row>
    <row r="7057" spans="1:1" x14ac:dyDescent="0.25">
      <c r="A7057" s="5"/>
    </row>
    <row r="7058" spans="1:1" x14ac:dyDescent="0.25">
      <c r="A7058" s="5"/>
    </row>
    <row r="7059" spans="1:1" x14ac:dyDescent="0.25">
      <c r="A7059" s="5"/>
    </row>
    <row r="7060" spans="1:1" x14ac:dyDescent="0.25">
      <c r="A7060" s="5"/>
    </row>
    <row r="7061" spans="1:1" x14ac:dyDescent="0.25">
      <c r="A7061" s="5"/>
    </row>
    <row r="7062" spans="1:1" x14ac:dyDescent="0.25">
      <c r="A7062" s="5"/>
    </row>
    <row r="7063" spans="1:1" x14ac:dyDescent="0.25">
      <c r="A7063" s="5"/>
    </row>
    <row r="7064" spans="1:1" x14ac:dyDescent="0.25">
      <c r="A7064" s="5"/>
    </row>
    <row r="7065" spans="1:1" x14ac:dyDescent="0.25">
      <c r="A7065" s="5"/>
    </row>
    <row r="7066" spans="1:1" x14ac:dyDescent="0.25">
      <c r="A7066" s="5"/>
    </row>
    <row r="7067" spans="1:1" x14ac:dyDescent="0.25">
      <c r="A7067" s="5"/>
    </row>
    <row r="7068" spans="1:1" x14ac:dyDescent="0.25">
      <c r="A7068" s="5"/>
    </row>
    <row r="7069" spans="1:1" x14ac:dyDescent="0.25">
      <c r="A7069" s="5"/>
    </row>
    <row r="7070" spans="1:1" x14ac:dyDescent="0.25">
      <c r="A7070" s="5"/>
    </row>
    <row r="7071" spans="1:1" x14ac:dyDescent="0.25">
      <c r="A7071" s="5"/>
    </row>
    <row r="7072" spans="1:1" x14ac:dyDescent="0.25">
      <c r="A7072" s="5"/>
    </row>
    <row r="7073" spans="1:1" x14ac:dyDescent="0.25">
      <c r="A7073" s="5"/>
    </row>
    <row r="7074" spans="1:1" x14ac:dyDescent="0.25">
      <c r="A7074" s="5"/>
    </row>
    <row r="7075" spans="1:1" x14ac:dyDescent="0.25">
      <c r="A7075" s="5"/>
    </row>
    <row r="7076" spans="1:1" x14ac:dyDescent="0.25">
      <c r="A7076" s="5"/>
    </row>
    <row r="7077" spans="1:1" x14ac:dyDescent="0.25">
      <c r="A7077" s="5"/>
    </row>
    <row r="7078" spans="1:1" x14ac:dyDescent="0.25">
      <c r="A7078" s="5"/>
    </row>
    <row r="7079" spans="1:1" x14ac:dyDescent="0.25">
      <c r="A7079" s="5"/>
    </row>
    <row r="7080" spans="1:1" x14ac:dyDescent="0.25">
      <c r="A7080" s="5"/>
    </row>
    <row r="7081" spans="1:1" x14ac:dyDescent="0.25">
      <c r="A7081" s="5"/>
    </row>
    <row r="7082" spans="1:1" x14ac:dyDescent="0.25">
      <c r="A7082" s="5"/>
    </row>
    <row r="7083" spans="1:1" x14ac:dyDescent="0.25">
      <c r="A7083" s="5"/>
    </row>
    <row r="7084" spans="1:1" x14ac:dyDescent="0.25">
      <c r="A7084" s="5"/>
    </row>
    <row r="7085" spans="1:1" x14ac:dyDescent="0.25">
      <c r="A7085" s="5"/>
    </row>
    <row r="7086" spans="1:1" x14ac:dyDescent="0.25">
      <c r="A7086" s="5"/>
    </row>
    <row r="7087" spans="1:1" x14ac:dyDescent="0.25">
      <c r="A7087" s="5"/>
    </row>
    <row r="7088" spans="1:1" x14ac:dyDescent="0.25">
      <c r="A7088" s="5"/>
    </row>
    <row r="7089" spans="1:1" x14ac:dyDescent="0.25">
      <c r="A7089" s="5"/>
    </row>
    <row r="7090" spans="1:1" x14ac:dyDescent="0.25">
      <c r="A7090" s="5"/>
    </row>
    <row r="7091" spans="1:1" x14ac:dyDescent="0.25">
      <c r="A7091" s="5"/>
    </row>
    <row r="7092" spans="1:1" x14ac:dyDescent="0.25">
      <c r="A7092" s="5"/>
    </row>
    <row r="7093" spans="1:1" x14ac:dyDescent="0.25">
      <c r="A7093" s="5"/>
    </row>
    <row r="7094" spans="1:1" x14ac:dyDescent="0.25">
      <c r="A7094" s="5"/>
    </row>
    <row r="7095" spans="1:1" x14ac:dyDescent="0.25">
      <c r="A7095" s="5"/>
    </row>
    <row r="7096" spans="1:1" x14ac:dyDescent="0.25">
      <c r="A7096" s="5"/>
    </row>
    <row r="7097" spans="1:1" x14ac:dyDescent="0.25">
      <c r="A7097" s="5"/>
    </row>
    <row r="7098" spans="1:1" x14ac:dyDescent="0.25">
      <c r="A7098" s="5"/>
    </row>
    <row r="7099" spans="1:1" x14ac:dyDescent="0.25">
      <c r="A7099" s="5"/>
    </row>
    <row r="7100" spans="1:1" x14ac:dyDescent="0.25">
      <c r="A7100" s="5"/>
    </row>
    <row r="7101" spans="1:1" x14ac:dyDescent="0.25">
      <c r="A7101" s="5"/>
    </row>
    <row r="7102" spans="1:1" x14ac:dyDescent="0.25">
      <c r="A7102" s="5"/>
    </row>
    <row r="7103" spans="1:1" x14ac:dyDescent="0.25">
      <c r="A7103" s="5"/>
    </row>
    <row r="7104" spans="1:1" x14ac:dyDescent="0.25">
      <c r="A7104" s="5"/>
    </row>
    <row r="7105" spans="1:1" x14ac:dyDescent="0.25">
      <c r="A7105" s="5"/>
    </row>
    <row r="7106" spans="1:1" x14ac:dyDescent="0.25">
      <c r="A7106" s="5"/>
    </row>
    <row r="7107" spans="1:1" x14ac:dyDescent="0.25">
      <c r="A7107" s="5"/>
    </row>
    <row r="7108" spans="1:1" x14ac:dyDescent="0.25">
      <c r="A7108" s="5"/>
    </row>
    <row r="7109" spans="1:1" x14ac:dyDescent="0.25">
      <c r="A7109" s="5"/>
    </row>
    <row r="7110" spans="1:1" x14ac:dyDescent="0.25">
      <c r="A7110" s="5"/>
    </row>
    <row r="7111" spans="1:1" x14ac:dyDescent="0.25">
      <c r="A7111" s="5"/>
    </row>
    <row r="7112" spans="1:1" x14ac:dyDescent="0.25">
      <c r="A7112" s="5"/>
    </row>
    <row r="7113" spans="1:1" x14ac:dyDescent="0.25">
      <c r="A7113" s="5"/>
    </row>
    <row r="7114" spans="1:1" x14ac:dyDescent="0.25">
      <c r="A7114" s="5"/>
    </row>
    <row r="7115" spans="1:1" x14ac:dyDescent="0.25">
      <c r="A7115" s="5"/>
    </row>
    <row r="7116" spans="1:1" x14ac:dyDescent="0.25">
      <c r="A7116" s="5"/>
    </row>
    <row r="7117" spans="1:1" x14ac:dyDescent="0.25">
      <c r="A7117" s="5"/>
    </row>
    <row r="7118" spans="1:1" x14ac:dyDescent="0.25">
      <c r="A7118" s="5"/>
    </row>
    <row r="7119" spans="1:1" x14ac:dyDescent="0.25">
      <c r="A7119" s="5"/>
    </row>
    <row r="7120" spans="1:1" x14ac:dyDescent="0.25">
      <c r="A7120" s="5"/>
    </row>
    <row r="7121" spans="1:1" x14ac:dyDescent="0.25">
      <c r="A7121" s="5"/>
    </row>
    <row r="7122" spans="1:1" x14ac:dyDescent="0.25">
      <c r="A7122" s="5"/>
    </row>
    <row r="7123" spans="1:1" x14ac:dyDescent="0.25">
      <c r="A7123" s="5"/>
    </row>
    <row r="7124" spans="1:1" x14ac:dyDescent="0.25">
      <c r="A7124" s="5"/>
    </row>
    <row r="7125" spans="1:1" x14ac:dyDescent="0.25">
      <c r="A7125" s="5"/>
    </row>
    <row r="7126" spans="1:1" x14ac:dyDescent="0.25">
      <c r="A7126" s="5"/>
    </row>
    <row r="7127" spans="1:1" x14ac:dyDescent="0.25">
      <c r="A7127" s="5"/>
    </row>
    <row r="7128" spans="1:1" x14ac:dyDescent="0.25">
      <c r="A7128" s="5"/>
    </row>
    <row r="7129" spans="1:1" x14ac:dyDescent="0.25">
      <c r="A7129" s="5"/>
    </row>
    <row r="7130" spans="1:1" x14ac:dyDescent="0.25">
      <c r="A7130" s="5"/>
    </row>
    <row r="7131" spans="1:1" x14ac:dyDescent="0.25">
      <c r="A7131" s="5"/>
    </row>
    <row r="7132" spans="1:1" x14ac:dyDescent="0.25">
      <c r="A7132" s="5"/>
    </row>
    <row r="7133" spans="1:1" x14ac:dyDescent="0.25">
      <c r="A7133" s="5"/>
    </row>
    <row r="7134" spans="1:1" x14ac:dyDescent="0.25">
      <c r="A7134" s="5"/>
    </row>
    <row r="7135" spans="1:1" x14ac:dyDescent="0.25">
      <c r="A7135" s="5"/>
    </row>
    <row r="7136" spans="1:1" x14ac:dyDescent="0.25">
      <c r="A7136" s="5"/>
    </row>
    <row r="7137" spans="1:1" x14ac:dyDescent="0.25">
      <c r="A7137" s="5"/>
    </row>
    <row r="7138" spans="1:1" x14ac:dyDescent="0.25">
      <c r="A7138" s="5"/>
    </row>
    <row r="7139" spans="1:1" x14ac:dyDescent="0.25">
      <c r="A7139" s="5"/>
    </row>
    <row r="7140" spans="1:1" x14ac:dyDescent="0.25">
      <c r="A7140" s="5"/>
    </row>
    <row r="7141" spans="1:1" x14ac:dyDescent="0.25">
      <c r="A7141" s="5"/>
    </row>
    <row r="7142" spans="1:1" x14ac:dyDescent="0.25">
      <c r="A7142" s="5"/>
    </row>
    <row r="7143" spans="1:1" x14ac:dyDescent="0.25">
      <c r="A7143" s="5"/>
    </row>
    <row r="7144" spans="1:1" x14ac:dyDescent="0.25">
      <c r="A7144" s="5"/>
    </row>
    <row r="7145" spans="1:1" x14ac:dyDescent="0.25">
      <c r="A7145" s="5"/>
    </row>
    <row r="7146" spans="1:1" x14ac:dyDescent="0.25">
      <c r="A7146" s="5"/>
    </row>
    <row r="7147" spans="1:1" x14ac:dyDescent="0.25">
      <c r="A7147" s="5"/>
    </row>
    <row r="7148" spans="1:1" x14ac:dyDescent="0.25">
      <c r="A7148" s="5"/>
    </row>
    <row r="7149" spans="1:1" x14ac:dyDescent="0.25">
      <c r="A7149" s="5"/>
    </row>
    <row r="7150" spans="1:1" x14ac:dyDescent="0.25">
      <c r="A7150" s="5"/>
    </row>
    <row r="7151" spans="1:1" x14ac:dyDescent="0.25">
      <c r="A7151" s="5"/>
    </row>
    <row r="7152" spans="1:1" x14ac:dyDescent="0.25">
      <c r="A7152" s="5"/>
    </row>
    <row r="7153" spans="1:1" x14ac:dyDescent="0.25">
      <c r="A7153" s="5"/>
    </row>
    <row r="7154" spans="1:1" x14ac:dyDescent="0.25">
      <c r="A7154" s="5"/>
    </row>
    <row r="7155" spans="1:1" x14ac:dyDescent="0.25">
      <c r="A7155" s="5"/>
    </row>
    <row r="7156" spans="1:1" x14ac:dyDescent="0.25">
      <c r="A7156" s="5"/>
    </row>
    <row r="7157" spans="1:1" x14ac:dyDescent="0.25">
      <c r="A7157" s="5"/>
    </row>
    <row r="7158" spans="1:1" x14ac:dyDescent="0.25">
      <c r="A7158" s="5"/>
    </row>
    <row r="7159" spans="1:1" x14ac:dyDescent="0.25">
      <c r="A7159" s="5"/>
    </row>
    <row r="7160" spans="1:1" x14ac:dyDescent="0.25">
      <c r="A7160" s="5"/>
    </row>
    <row r="7161" spans="1:1" x14ac:dyDescent="0.25">
      <c r="A7161" s="5"/>
    </row>
    <row r="7162" spans="1:1" x14ac:dyDescent="0.25">
      <c r="A7162" s="5"/>
    </row>
    <row r="7163" spans="1:1" x14ac:dyDescent="0.25">
      <c r="A7163" s="5"/>
    </row>
    <row r="7164" spans="1:1" x14ac:dyDescent="0.25">
      <c r="A7164" s="5"/>
    </row>
    <row r="7165" spans="1:1" x14ac:dyDescent="0.25">
      <c r="A7165" s="5"/>
    </row>
    <row r="7166" spans="1:1" x14ac:dyDescent="0.25">
      <c r="A7166" s="5"/>
    </row>
    <row r="7167" spans="1:1" x14ac:dyDescent="0.25">
      <c r="A7167" s="5"/>
    </row>
    <row r="7168" spans="1:1" x14ac:dyDescent="0.25">
      <c r="A7168" s="5"/>
    </row>
    <row r="7169" spans="1:1" x14ac:dyDescent="0.25">
      <c r="A7169" s="5"/>
    </row>
    <row r="7170" spans="1:1" x14ac:dyDescent="0.25">
      <c r="A7170" s="5"/>
    </row>
    <row r="7171" spans="1:1" x14ac:dyDescent="0.25">
      <c r="A7171" s="5"/>
    </row>
    <row r="7172" spans="1:1" x14ac:dyDescent="0.25">
      <c r="A7172" s="5"/>
    </row>
    <row r="7173" spans="1:1" x14ac:dyDescent="0.25">
      <c r="A7173" s="5"/>
    </row>
    <row r="7174" spans="1:1" x14ac:dyDescent="0.25">
      <c r="A7174" s="5"/>
    </row>
    <row r="7175" spans="1:1" x14ac:dyDescent="0.25">
      <c r="A7175" s="5"/>
    </row>
    <row r="7176" spans="1:1" x14ac:dyDescent="0.25">
      <c r="A7176" s="5"/>
    </row>
    <row r="7177" spans="1:1" x14ac:dyDescent="0.25">
      <c r="A7177" s="5"/>
    </row>
    <row r="7178" spans="1:1" x14ac:dyDescent="0.25">
      <c r="A7178" s="5"/>
    </row>
    <row r="7179" spans="1:1" x14ac:dyDescent="0.25">
      <c r="A7179" s="5"/>
    </row>
    <row r="7180" spans="1:1" x14ac:dyDescent="0.25">
      <c r="A7180" s="5"/>
    </row>
    <row r="7181" spans="1:1" x14ac:dyDescent="0.25">
      <c r="A7181" s="5"/>
    </row>
    <row r="7182" spans="1:1" x14ac:dyDescent="0.25">
      <c r="A7182" s="5"/>
    </row>
    <row r="7183" spans="1:1" x14ac:dyDescent="0.25">
      <c r="A7183" s="5"/>
    </row>
    <row r="7184" spans="1:1" x14ac:dyDescent="0.25">
      <c r="A7184" s="5"/>
    </row>
    <row r="7185" spans="1:1" x14ac:dyDescent="0.25">
      <c r="A7185" s="5"/>
    </row>
    <row r="7186" spans="1:1" x14ac:dyDescent="0.25">
      <c r="A7186" s="5"/>
    </row>
    <row r="7187" spans="1:1" x14ac:dyDescent="0.25">
      <c r="A7187" s="5"/>
    </row>
    <row r="7188" spans="1:1" x14ac:dyDescent="0.25">
      <c r="A7188" s="5"/>
    </row>
    <row r="7189" spans="1:1" x14ac:dyDescent="0.25">
      <c r="A7189" s="5"/>
    </row>
    <row r="7190" spans="1:1" x14ac:dyDescent="0.25">
      <c r="A7190" s="5"/>
    </row>
    <row r="7191" spans="1:1" x14ac:dyDescent="0.25">
      <c r="A7191" s="5"/>
    </row>
    <row r="7192" spans="1:1" x14ac:dyDescent="0.25">
      <c r="A7192" s="5"/>
    </row>
    <row r="7193" spans="1:1" x14ac:dyDescent="0.25">
      <c r="A7193" s="5"/>
    </row>
    <row r="7194" spans="1:1" x14ac:dyDescent="0.25">
      <c r="A7194" s="5"/>
    </row>
    <row r="7195" spans="1:1" x14ac:dyDescent="0.25">
      <c r="A7195" s="5"/>
    </row>
    <row r="7196" spans="1:1" x14ac:dyDescent="0.25">
      <c r="A7196" s="5"/>
    </row>
    <row r="7197" spans="1:1" x14ac:dyDescent="0.25">
      <c r="A7197" s="5"/>
    </row>
    <row r="7198" spans="1:1" x14ac:dyDescent="0.25">
      <c r="A7198" s="5"/>
    </row>
    <row r="7199" spans="1:1" x14ac:dyDescent="0.25">
      <c r="A7199" s="5"/>
    </row>
    <row r="7200" spans="1:1" x14ac:dyDescent="0.25">
      <c r="A7200" s="5"/>
    </row>
    <row r="7201" spans="1:1" x14ac:dyDescent="0.25">
      <c r="A7201" s="5"/>
    </row>
    <row r="7202" spans="1:1" x14ac:dyDescent="0.25">
      <c r="A7202" s="5"/>
    </row>
    <row r="7203" spans="1:1" x14ac:dyDescent="0.25">
      <c r="A7203" s="5"/>
    </row>
    <row r="7204" spans="1:1" x14ac:dyDescent="0.25">
      <c r="A7204" s="5"/>
    </row>
    <row r="7205" spans="1:1" x14ac:dyDescent="0.25">
      <c r="A7205" s="5"/>
    </row>
    <row r="7206" spans="1:1" x14ac:dyDescent="0.25">
      <c r="A7206" s="5"/>
    </row>
    <row r="7207" spans="1:1" x14ac:dyDescent="0.25">
      <c r="A7207" s="5"/>
    </row>
    <row r="7208" spans="1:1" x14ac:dyDescent="0.25">
      <c r="A7208" s="5"/>
    </row>
    <row r="7209" spans="1:1" x14ac:dyDescent="0.25">
      <c r="A7209" s="5"/>
    </row>
    <row r="7210" spans="1:1" x14ac:dyDescent="0.25">
      <c r="A7210" s="5"/>
    </row>
    <row r="7211" spans="1:1" x14ac:dyDescent="0.25">
      <c r="A7211" s="5"/>
    </row>
    <row r="7212" spans="1:1" x14ac:dyDescent="0.25">
      <c r="A7212" s="5"/>
    </row>
    <row r="7213" spans="1:1" x14ac:dyDescent="0.25">
      <c r="A7213" s="5"/>
    </row>
    <row r="7214" spans="1:1" x14ac:dyDescent="0.25">
      <c r="A7214" s="5"/>
    </row>
    <row r="7215" spans="1:1" x14ac:dyDescent="0.25">
      <c r="A7215" s="5"/>
    </row>
    <row r="7216" spans="1:1" x14ac:dyDescent="0.25">
      <c r="A7216" s="5"/>
    </row>
    <row r="7217" spans="1:1" x14ac:dyDescent="0.25">
      <c r="A7217" s="5"/>
    </row>
    <row r="7218" spans="1:1" x14ac:dyDescent="0.25">
      <c r="A7218" s="5"/>
    </row>
    <row r="7219" spans="1:1" x14ac:dyDescent="0.25">
      <c r="A7219" s="5"/>
    </row>
    <row r="7220" spans="1:1" x14ac:dyDescent="0.25">
      <c r="A7220" s="5"/>
    </row>
    <row r="7221" spans="1:1" x14ac:dyDescent="0.25">
      <c r="A7221" s="5"/>
    </row>
    <row r="7222" spans="1:1" x14ac:dyDescent="0.25">
      <c r="A7222" s="5"/>
    </row>
    <row r="7223" spans="1:1" x14ac:dyDescent="0.25">
      <c r="A7223" s="5"/>
    </row>
    <row r="7224" spans="1:1" x14ac:dyDescent="0.25">
      <c r="A7224" s="5"/>
    </row>
    <row r="7225" spans="1:1" x14ac:dyDescent="0.25">
      <c r="A7225" s="5"/>
    </row>
    <row r="7226" spans="1:1" x14ac:dyDescent="0.25">
      <c r="A7226" s="5"/>
    </row>
    <row r="7227" spans="1:1" x14ac:dyDescent="0.25">
      <c r="A7227" s="5"/>
    </row>
    <row r="7228" spans="1:1" x14ac:dyDescent="0.25">
      <c r="A7228" s="5"/>
    </row>
    <row r="7229" spans="1:1" x14ac:dyDescent="0.25">
      <c r="A7229" s="5"/>
    </row>
    <row r="7230" spans="1:1" x14ac:dyDescent="0.25">
      <c r="A7230" s="5"/>
    </row>
    <row r="7231" spans="1:1" x14ac:dyDescent="0.25">
      <c r="A7231" s="5"/>
    </row>
    <row r="7232" spans="1:1" x14ac:dyDescent="0.25">
      <c r="A7232" s="5"/>
    </row>
    <row r="7233" spans="1:1" x14ac:dyDescent="0.25">
      <c r="A7233" s="5"/>
    </row>
    <row r="7234" spans="1:1" x14ac:dyDescent="0.25">
      <c r="A7234" s="5"/>
    </row>
    <row r="7235" spans="1:1" x14ac:dyDescent="0.25">
      <c r="A7235" s="5"/>
    </row>
    <row r="7236" spans="1:1" x14ac:dyDescent="0.25">
      <c r="A7236" s="5"/>
    </row>
    <row r="7237" spans="1:1" x14ac:dyDescent="0.25">
      <c r="A7237" s="5"/>
    </row>
    <row r="7238" spans="1:1" x14ac:dyDescent="0.25">
      <c r="A7238" s="5"/>
    </row>
    <row r="7239" spans="1:1" x14ac:dyDescent="0.25">
      <c r="A7239" s="5"/>
    </row>
    <row r="7240" spans="1:1" x14ac:dyDescent="0.25">
      <c r="A7240" s="5"/>
    </row>
    <row r="7241" spans="1:1" x14ac:dyDescent="0.25">
      <c r="A7241" s="5"/>
    </row>
    <row r="7242" spans="1:1" x14ac:dyDescent="0.25">
      <c r="A7242" s="5"/>
    </row>
    <row r="7243" spans="1:1" x14ac:dyDescent="0.25">
      <c r="A7243" s="5"/>
    </row>
    <row r="7244" spans="1:1" x14ac:dyDescent="0.25">
      <c r="A7244" s="5"/>
    </row>
    <row r="7245" spans="1:1" x14ac:dyDescent="0.25">
      <c r="A7245" s="5"/>
    </row>
    <row r="7246" spans="1:1" x14ac:dyDescent="0.25">
      <c r="A7246" s="5"/>
    </row>
    <row r="7247" spans="1:1" x14ac:dyDescent="0.25">
      <c r="A7247" s="5"/>
    </row>
    <row r="7248" spans="1:1" x14ac:dyDescent="0.25">
      <c r="A7248" s="5"/>
    </row>
    <row r="7249" spans="1:1" x14ac:dyDescent="0.25">
      <c r="A7249" s="5"/>
    </row>
    <row r="7250" spans="1:1" x14ac:dyDescent="0.25">
      <c r="A7250" s="5"/>
    </row>
    <row r="7251" spans="1:1" x14ac:dyDescent="0.25">
      <c r="A7251" s="5"/>
    </row>
    <row r="7252" spans="1:1" x14ac:dyDescent="0.25">
      <c r="A7252" s="5"/>
    </row>
    <row r="7253" spans="1:1" x14ac:dyDescent="0.25">
      <c r="A7253" s="5"/>
    </row>
    <row r="7254" spans="1:1" x14ac:dyDescent="0.25">
      <c r="A7254" s="5"/>
    </row>
    <row r="7255" spans="1:1" x14ac:dyDescent="0.25">
      <c r="A7255" s="5"/>
    </row>
    <row r="7256" spans="1:1" x14ac:dyDescent="0.25">
      <c r="A7256" s="5"/>
    </row>
    <row r="7257" spans="1:1" x14ac:dyDescent="0.25">
      <c r="A7257" s="5"/>
    </row>
    <row r="7258" spans="1:1" x14ac:dyDescent="0.25">
      <c r="A7258" s="5"/>
    </row>
    <row r="7259" spans="1:1" x14ac:dyDescent="0.25">
      <c r="A7259" s="5"/>
    </row>
    <row r="7260" spans="1:1" x14ac:dyDescent="0.25">
      <c r="A7260" s="5"/>
    </row>
    <row r="7261" spans="1:1" x14ac:dyDescent="0.25">
      <c r="A7261" s="5"/>
    </row>
    <row r="7262" spans="1:1" x14ac:dyDescent="0.25">
      <c r="A7262" s="5"/>
    </row>
    <row r="7263" spans="1:1" x14ac:dyDescent="0.25">
      <c r="A7263" s="5"/>
    </row>
    <row r="7264" spans="1:1" x14ac:dyDescent="0.25">
      <c r="A7264" s="5"/>
    </row>
    <row r="7265" spans="1:1" x14ac:dyDescent="0.25">
      <c r="A7265" s="5"/>
    </row>
    <row r="7266" spans="1:1" x14ac:dyDescent="0.25">
      <c r="A7266" s="5"/>
    </row>
    <row r="7267" spans="1:1" x14ac:dyDescent="0.25">
      <c r="A7267" s="5"/>
    </row>
    <row r="7268" spans="1:1" x14ac:dyDescent="0.25">
      <c r="A7268" s="5"/>
    </row>
    <row r="7269" spans="1:1" x14ac:dyDescent="0.25">
      <c r="A7269" s="5"/>
    </row>
    <row r="7270" spans="1:1" x14ac:dyDescent="0.25">
      <c r="A7270" s="5"/>
    </row>
    <row r="7271" spans="1:1" x14ac:dyDescent="0.25">
      <c r="A7271" s="5"/>
    </row>
    <row r="7272" spans="1:1" x14ac:dyDescent="0.25">
      <c r="A7272" s="5"/>
    </row>
    <row r="7273" spans="1:1" x14ac:dyDescent="0.25">
      <c r="A7273" s="5"/>
    </row>
    <row r="7274" spans="1:1" x14ac:dyDescent="0.25">
      <c r="A7274" s="5"/>
    </row>
    <row r="7275" spans="1:1" x14ac:dyDescent="0.25">
      <c r="A7275" s="5"/>
    </row>
    <row r="7276" spans="1:1" x14ac:dyDescent="0.25">
      <c r="A7276" s="5"/>
    </row>
    <row r="7277" spans="1:1" x14ac:dyDescent="0.25">
      <c r="A7277" s="5"/>
    </row>
    <row r="7278" spans="1:1" x14ac:dyDescent="0.25">
      <c r="A7278" s="5"/>
    </row>
    <row r="7279" spans="1:1" x14ac:dyDescent="0.25">
      <c r="A7279" s="5"/>
    </row>
    <row r="7280" spans="1:1" x14ac:dyDescent="0.25">
      <c r="A7280" s="5"/>
    </row>
    <row r="7281" spans="1:1" x14ac:dyDescent="0.25">
      <c r="A7281" s="5"/>
    </row>
    <row r="7282" spans="1:1" x14ac:dyDescent="0.25">
      <c r="A7282" s="5"/>
    </row>
    <row r="7283" spans="1:1" x14ac:dyDescent="0.25">
      <c r="A7283" s="5"/>
    </row>
    <row r="7284" spans="1:1" x14ac:dyDescent="0.25">
      <c r="A7284" s="5"/>
    </row>
    <row r="7285" spans="1:1" x14ac:dyDescent="0.25">
      <c r="A7285" s="5"/>
    </row>
    <row r="7286" spans="1:1" x14ac:dyDescent="0.25">
      <c r="A7286" s="5"/>
    </row>
    <row r="7287" spans="1:1" x14ac:dyDescent="0.25">
      <c r="A7287" s="5"/>
    </row>
    <row r="7288" spans="1:1" x14ac:dyDescent="0.25">
      <c r="A7288" s="5"/>
    </row>
    <row r="7289" spans="1:1" x14ac:dyDescent="0.25">
      <c r="A7289" s="5"/>
    </row>
    <row r="7290" spans="1:1" x14ac:dyDescent="0.25">
      <c r="A7290" s="5"/>
    </row>
    <row r="7291" spans="1:1" x14ac:dyDescent="0.25">
      <c r="A7291" s="5"/>
    </row>
    <row r="7292" spans="1:1" x14ac:dyDescent="0.25">
      <c r="A7292" s="5"/>
    </row>
    <row r="7293" spans="1:1" x14ac:dyDescent="0.25">
      <c r="A7293" s="5"/>
    </row>
    <row r="7294" spans="1:1" x14ac:dyDescent="0.25">
      <c r="A7294" s="5"/>
    </row>
    <row r="7295" spans="1:1" x14ac:dyDescent="0.25">
      <c r="A7295" s="5"/>
    </row>
    <row r="7296" spans="1:1" x14ac:dyDescent="0.25">
      <c r="A7296" s="5"/>
    </row>
    <row r="7297" spans="1:1" x14ac:dyDescent="0.25">
      <c r="A7297" s="5"/>
    </row>
    <row r="7298" spans="1:1" x14ac:dyDescent="0.25">
      <c r="A7298" s="5"/>
    </row>
    <row r="7299" spans="1:1" x14ac:dyDescent="0.25">
      <c r="A7299" s="5"/>
    </row>
    <row r="7300" spans="1:1" x14ac:dyDescent="0.25">
      <c r="A7300" s="5"/>
    </row>
    <row r="7301" spans="1:1" x14ac:dyDescent="0.25">
      <c r="A7301" s="5"/>
    </row>
    <row r="7302" spans="1:1" x14ac:dyDescent="0.25">
      <c r="A7302" s="5"/>
    </row>
    <row r="7303" spans="1:1" x14ac:dyDescent="0.25">
      <c r="A7303" s="5"/>
    </row>
    <row r="7304" spans="1:1" x14ac:dyDescent="0.25">
      <c r="A7304" s="5"/>
    </row>
    <row r="7305" spans="1:1" x14ac:dyDescent="0.25">
      <c r="A7305" s="5"/>
    </row>
    <row r="7306" spans="1:1" x14ac:dyDescent="0.25">
      <c r="A7306" s="5"/>
    </row>
    <row r="7307" spans="1:1" x14ac:dyDescent="0.25">
      <c r="A7307" s="5"/>
    </row>
    <row r="7308" spans="1:1" x14ac:dyDescent="0.25">
      <c r="A7308" s="5"/>
    </row>
    <row r="7309" spans="1:1" x14ac:dyDescent="0.25">
      <c r="A7309" s="5"/>
    </row>
    <row r="7310" spans="1:1" x14ac:dyDescent="0.25">
      <c r="A7310" s="5"/>
    </row>
    <row r="7311" spans="1:1" x14ac:dyDescent="0.25">
      <c r="A7311" s="5"/>
    </row>
    <row r="7312" spans="1:1" x14ac:dyDescent="0.25">
      <c r="A7312" s="5"/>
    </row>
    <row r="7313" spans="1:1" x14ac:dyDescent="0.25">
      <c r="A7313" s="5"/>
    </row>
    <row r="7314" spans="1:1" x14ac:dyDescent="0.25">
      <c r="A7314" s="5"/>
    </row>
    <row r="7315" spans="1:1" x14ac:dyDescent="0.25">
      <c r="A7315" s="5"/>
    </row>
    <row r="7316" spans="1:1" x14ac:dyDescent="0.25">
      <c r="A7316" s="5"/>
    </row>
    <row r="7317" spans="1:1" x14ac:dyDescent="0.25">
      <c r="A7317" s="5"/>
    </row>
    <row r="7318" spans="1:1" x14ac:dyDescent="0.25">
      <c r="A7318" s="5"/>
    </row>
    <row r="7319" spans="1:1" x14ac:dyDescent="0.25">
      <c r="A7319" s="5"/>
    </row>
    <row r="7320" spans="1:1" x14ac:dyDescent="0.25">
      <c r="A7320" s="5"/>
    </row>
    <row r="7321" spans="1:1" x14ac:dyDescent="0.25">
      <c r="A7321" s="5"/>
    </row>
    <row r="7322" spans="1:1" x14ac:dyDescent="0.25">
      <c r="A7322" s="5"/>
    </row>
    <row r="7323" spans="1:1" x14ac:dyDescent="0.25">
      <c r="A7323" s="5"/>
    </row>
    <row r="7324" spans="1:1" x14ac:dyDescent="0.25">
      <c r="A7324" s="5"/>
    </row>
    <row r="7325" spans="1:1" x14ac:dyDescent="0.25">
      <c r="A7325" s="5"/>
    </row>
    <row r="7326" spans="1:1" x14ac:dyDescent="0.25">
      <c r="A7326" s="5"/>
    </row>
    <row r="7327" spans="1:1" x14ac:dyDescent="0.25">
      <c r="A7327" s="5"/>
    </row>
    <row r="7328" spans="1:1" x14ac:dyDescent="0.25">
      <c r="A7328" s="5"/>
    </row>
    <row r="7329" spans="1:1" x14ac:dyDescent="0.25">
      <c r="A7329" s="5"/>
    </row>
    <row r="7330" spans="1:1" x14ac:dyDescent="0.25">
      <c r="A7330" s="5"/>
    </row>
    <row r="7331" spans="1:1" x14ac:dyDescent="0.25">
      <c r="A7331" s="5"/>
    </row>
    <row r="7332" spans="1:1" x14ac:dyDescent="0.25">
      <c r="A7332" s="5"/>
    </row>
    <row r="7333" spans="1:1" x14ac:dyDescent="0.25">
      <c r="A7333" s="5"/>
    </row>
    <row r="7334" spans="1:1" x14ac:dyDescent="0.25">
      <c r="A7334" s="5"/>
    </row>
    <row r="7335" spans="1:1" x14ac:dyDescent="0.25">
      <c r="A7335" s="5"/>
    </row>
    <row r="7336" spans="1:1" x14ac:dyDescent="0.25">
      <c r="A7336" s="5"/>
    </row>
    <row r="7337" spans="1:1" x14ac:dyDescent="0.25">
      <c r="A7337" s="5"/>
    </row>
    <row r="7338" spans="1:1" x14ac:dyDescent="0.25">
      <c r="A7338" s="5"/>
    </row>
    <row r="7339" spans="1:1" x14ac:dyDescent="0.25">
      <c r="A7339" s="5"/>
    </row>
    <row r="7340" spans="1:1" x14ac:dyDescent="0.25">
      <c r="A7340" s="5"/>
    </row>
    <row r="7341" spans="1:1" x14ac:dyDescent="0.25">
      <c r="A7341" s="5"/>
    </row>
    <row r="7342" spans="1:1" x14ac:dyDescent="0.25">
      <c r="A7342" s="5"/>
    </row>
    <row r="7343" spans="1:1" x14ac:dyDescent="0.25">
      <c r="A7343" s="5"/>
    </row>
    <row r="7344" spans="1:1" x14ac:dyDescent="0.25">
      <c r="A7344" s="5"/>
    </row>
    <row r="7345" spans="1:1" x14ac:dyDescent="0.25">
      <c r="A7345" s="5"/>
    </row>
    <row r="7346" spans="1:1" x14ac:dyDescent="0.25">
      <c r="A7346" s="5"/>
    </row>
    <row r="7347" spans="1:1" x14ac:dyDescent="0.25">
      <c r="A7347" s="5"/>
    </row>
    <row r="7348" spans="1:1" x14ac:dyDescent="0.25">
      <c r="A7348" s="5"/>
    </row>
    <row r="7349" spans="1:1" x14ac:dyDescent="0.25">
      <c r="A7349" s="5"/>
    </row>
    <row r="7350" spans="1:1" x14ac:dyDescent="0.25">
      <c r="A7350" s="5"/>
    </row>
    <row r="7351" spans="1:1" x14ac:dyDescent="0.25">
      <c r="A7351" s="5"/>
    </row>
    <row r="7352" spans="1:1" x14ac:dyDescent="0.25">
      <c r="A7352" s="5"/>
    </row>
    <row r="7353" spans="1:1" x14ac:dyDescent="0.25">
      <c r="A7353" s="5"/>
    </row>
    <row r="7354" spans="1:1" x14ac:dyDescent="0.25">
      <c r="A7354" s="5"/>
    </row>
    <row r="7355" spans="1:1" x14ac:dyDescent="0.25">
      <c r="A7355" s="5"/>
    </row>
    <row r="7356" spans="1:1" x14ac:dyDescent="0.25">
      <c r="A7356" s="5"/>
    </row>
    <row r="7357" spans="1:1" x14ac:dyDescent="0.25">
      <c r="A7357" s="5"/>
    </row>
    <row r="7358" spans="1:1" x14ac:dyDescent="0.25">
      <c r="A7358" s="5"/>
    </row>
    <row r="7359" spans="1:1" x14ac:dyDescent="0.25">
      <c r="A7359" s="5"/>
    </row>
    <row r="7360" spans="1:1" x14ac:dyDescent="0.25">
      <c r="A7360" s="5"/>
    </row>
    <row r="7361" spans="1:1" x14ac:dyDescent="0.25">
      <c r="A7361" s="5"/>
    </row>
    <row r="7362" spans="1:1" x14ac:dyDescent="0.25">
      <c r="A7362" s="5"/>
    </row>
    <row r="7363" spans="1:1" x14ac:dyDescent="0.25">
      <c r="A7363" s="5"/>
    </row>
    <row r="7364" spans="1:1" x14ac:dyDescent="0.25">
      <c r="A7364" s="5"/>
    </row>
    <row r="7365" spans="1:1" x14ac:dyDescent="0.25">
      <c r="A7365" s="5"/>
    </row>
    <row r="7366" spans="1:1" x14ac:dyDescent="0.25">
      <c r="A7366" s="5"/>
    </row>
    <row r="7367" spans="1:1" x14ac:dyDescent="0.25">
      <c r="A7367" s="5"/>
    </row>
    <row r="7368" spans="1:1" x14ac:dyDescent="0.25">
      <c r="A7368" s="5"/>
    </row>
    <row r="7369" spans="1:1" x14ac:dyDescent="0.25">
      <c r="A7369" s="5"/>
    </row>
    <row r="7370" spans="1:1" x14ac:dyDescent="0.25">
      <c r="A7370" s="5"/>
    </row>
    <row r="7371" spans="1:1" x14ac:dyDescent="0.25">
      <c r="A7371" s="5"/>
    </row>
    <row r="7372" spans="1:1" x14ac:dyDescent="0.25">
      <c r="A7372" s="5"/>
    </row>
    <row r="7373" spans="1:1" x14ac:dyDescent="0.25">
      <c r="A7373" s="5"/>
    </row>
    <row r="7374" spans="1:1" x14ac:dyDescent="0.25">
      <c r="A7374" s="5"/>
    </row>
    <row r="7375" spans="1:1" x14ac:dyDescent="0.25">
      <c r="A7375" s="5"/>
    </row>
    <row r="7376" spans="1:1" x14ac:dyDescent="0.25">
      <c r="A7376" s="5"/>
    </row>
    <row r="7377" spans="1:1" x14ac:dyDescent="0.25">
      <c r="A7377" s="5"/>
    </row>
    <row r="7378" spans="1:1" x14ac:dyDescent="0.25">
      <c r="A7378" s="5"/>
    </row>
    <row r="7379" spans="1:1" x14ac:dyDescent="0.25">
      <c r="A7379" s="5"/>
    </row>
    <row r="7380" spans="1:1" x14ac:dyDescent="0.25">
      <c r="A7380" s="5"/>
    </row>
    <row r="7381" spans="1:1" x14ac:dyDescent="0.25">
      <c r="A7381" s="5"/>
    </row>
    <row r="7382" spans="1:1" x14ac:dyDescent="0.25">
      <c r="A7382" s="5"/>
    </row>
    <row r="7383" spans="1:1" x14ac:dyDescent="0.25">
      <c r="A7383" s="5"/>
    </row>
    <row r="7384" spans="1:1" x14ac:dyDescent="0.25">
      <c r="A7384" s="5"/>
    </row>
    <row r="7385" spans="1:1" x14ac:dyDescent="0.25">
      <c r="A7385" s="5"/>
    </row>
    <row r="7386" spans="1:1" x14ac:dyDescent="0.25">
      <c r="A7386" s="5"/>
    </row>
    <row r="7387" spans="1:1" x14ac:dyDescent="0.25">
      <c r="A7387" s="5"/>
    </row>
    <row r="7388" spans="1:1" x14ac:dyDescent="0.25">
      <c r="A7388" s="5"/>
    </row>
    <row r="7389" spans="1:1" x14ac:dyDescent="0.25">
      <c r="A7389" s="5"/>
    </row>
    <row r="7390" spans="1:1" x14ac:dyDescent="0.25">
      <c r="A7390" s="5"/>
    </row>
    <row r="7391" spans="1:1" x14ac:dyDescent="0.25">
      <c r="A7391" s="5"/>
    </row>
    <row r="7392" spans="1:1" x14ac:dyDescent="0.25">
      <c r="A7392" s="5"/>
    </row>
    <row r="7393" spans="1:1" x14ac:dyDescent="0.25">
      <c r="A7393" s="5"/>
    </row>
    <row r="7394" spans="1:1" x14ac:dyDescent="0.25">
      <c r="A7394" s="5"/>
    </row>
    <row r="7395" spans="1:1" x14ac:dyDescent="0.25">
      <c r="A7395" s="5"/>
    </row>
    <row r="7396" spans="1:1" x14ac:dyDescent="0.25">
      <c r="A7396" s="5"/>
    </row>
    <row r="7397" spans="1:1" x14ac:dyDescent="0.25">
      <c r="A7397" s="5"/>
    </row>
    <row r="7398" spans="1:1" x14ac:dyDescent="0.25">
      <c r="A7398" s="5"/>
    </row>
    <row r="7399" spans="1:1" x14ac:dyDescent="0.25">
      <c r="A7399" s="5"/>
    </row>
    <row r="7400" spans="1:1" x14ac:dyDescent="0.25">
      <c r="A7400" s="5"/>
    </row>
    <row r="7401" spans="1:1" x14ac:dyDescent="0.25">
      <c r="A7401" s="5"/>
    </row>
    <row r="7402" spans="1:1" x14ac:dyDescent="0.25">
      <c r="A7402" s="5"/>
    </row>
    <row r="7403" spans="1:1" x14ac:dyDescent="0.25">
      <c r="A7403" s="5"/>
    </row>
    <row r="7404" spans="1:1" x14ac:dyDescent="0.25">
      <c r="A7404" s="5"/>
    </row>
    <row r="7405" spans="1:1" x14ac:dyDescent="0.25">
      <c r="A7405" s="5"/>
    </row>
    <row r="7406" spans="1:1" x14ac:dyDescent="0.25">
      <c r="A7406" s="5"/>
    </row>
    <row r="7407" spans="1:1" x14ac:dyDescent="0.25">
      <c r="A7407" s="5"/>
    </row>
    <row r="7408" spans="1:1" x14ac:dyDescent="0.25">
      <c r="A7408" s="5"/>
    </row>
    <row r="7409" spans="1:1" x14ac:dyDescent="0.25">
      <c r="A7409" s="5"/>
    </row>
    <row r="7410" spans="1:1" x14ac:dyDescent="0.25">
      <c r="A7410" s="5"/>
    </row>
    <row r="7411" spans="1:1" x14ac:dyDescent="0.25">
      <c r="A7411" s="5"/>
    </row>
    <row r="7412" spans="1:1" x14ac:dyDescent="0.25">
      <c r="A7412" s="5"/>
    </row>
    <row r="7413" spans="1:1" x14ac:dyDescent="0.25">
      <c r="A7413" s="5"/>
    </row>
    <row r="7414" spans="1:1" x14ac:dyDescent="0.25">
      <c r="A7414" s="5"/>
    </row>
    <row r="7415" spans="1:1" x14ac:dyDescent="0.25">
      <c r="A7415" s="5"/>
    </row>
    <row r="7416" spans="1:1" x14ac:dyDescent="0.25">
      <c r="A7416" s="5"/>
    </row>
    <row r="7417" spans="1:1" x14ac:dyDescent="0.25">
      <c r="A7417" s="5"/>
    </row>
    <row r="7418" spans="1:1" x14ac:dyDescent="0.25">
      <c r="A7418" s="5"/>
    </row>
    <row r="7419" spans="1:1" x14ac:dyDescent="0.25">
      <c r="A7419" s="5"/>
    </row>
    <row r="7420" spans="1:1" x14ac:dyDescent="0.25">
      <c r="A7420" s="5"/>
    </row>
    <row r="7421" spans="1:1" x14ac:dyDescent="0.25">
      <c r="A7421" s="5"/>
    </row>
    <row r="7422" spans="1:1" x14ac:dyDescent="0.25">
      <c r="A7422" s="5"/>
    </row>
    <row r="7423" spans="1:1" x14ac:dyDescent="0.25">
      <c r="A7423" s="5"/>
    </row>
    <row r="7424" spans="1:1" x14ac:dyDescent="0.25">
      <c r="A7424" s="5"/>
    </row>
    <row r="7425" spans="1:1" x14ac:dyDescent="0.25">
      <c r="A7425" s="5"/>
    </row>
    <row r="7426" spans="1:1" x14ac:dyDescent="0.25">
      <c r="A7426" s="5"/>
    </row>
    <row r="7427" spans="1:1" x14ac:dyDescent="0.25">
      <c r="A7427" s="5"/>
    </row>
    <row r="7428" spans="1:1" x14ac:dyDescent="0.25">
      <c r="A7428" s="5"/>
    </row>
    <row r="7429" spans="1:1" x14ac:dyDescent="0.25">
      <c r="A7429" s="5"/>
    </row>
    <row r="7430" spans="1:1" x14ac:dyDescent="0.25">
      <c r="A7430" s="5"/>
    </row>
    <row r="7431" spans="1:1" x14ac:dyDescent="0.25">
      <c r="A7431" s="5"/>
    </row>
    <row r="7432" spans="1:1" x14ac:dyDescent="0.25">
      <c r="A7432" s="5"/>
    </row>
    <row r="7433" spans="1:1" x14ac:dyDescent="0.25">
      <c r="A7433" s="5"/>
    </row>
    <row r="7434" spans="1:1" x14ac:dyDescent="0.25">
      <c r="A7434" s="5"/>
    </row>
    <row r="7435" spans="1:1" x14ac:dyDescent="0.25">
      <c r="A7435" s="5"/>
    </row>
    <row r="7436" spans="1:1" x14ac:dyDescent="0.25">
      <c r="A7436" s="5"/>
    </row>
    <row r="7437" spans="1:1" x14ac:dyDescent="0.25">
      <c r="A7437" s="5"/>
    </row>
    <row r="7438" spans="1:1" x14ac:dyDescent="0.25">
      <c r="A7438" s="5"/>
    </row>
    <row r="7439" spans="1:1" x14ac:dyDescent="0.25">
      <c r="A7439" s="5"/>
    </row>
    <row r="7440" spans="1:1" x14ac:dyDescent="0.25">
      <c r="A7440" s="5"/>
    </row>
    <row r="7441" spans="1:1" x14ac:dyDescent="0.25">
      <c r="A7441" s="5"/>
    </row>
    <row r="7442" spans="1:1" x14ac:dyDescent="0.25">
      <c r="A7442" s="5"/>
    </row>
    <row r="7443" spans="1:1" x14ac:dyDescent="0.25">
      <c r="A7443" s="5"/>
    </row>
    <row r="7444" spans="1:1" x14ac:dyDescent="0.25">
      <c r="A7444" s="5"/>
    </row>
    <row r="7445" spans="1:1" x14ac:dyDescent="0.25">
      <c r="A7445" s="5"/>
    </row>
    <row r="7446" spans="1:1" x14ac:dyDescent="0.25">
      <c r="A7446" s="5"/>
    </row>
    <row r="7447" spans="1:1" x14ac:dyDescent="0.25">
      <c r="A7447" s="5"/>
    </row>
    <row r="7448" spans="1:1" x14ac:dyDescent="0.25">
      <c r="A7448" s="5"/>
    </row>
    <row r="7449" spans="1:1" x14ac:dyDescent="0.25">
      <c r="A7449" s="5"/>
    </row>
    <row r="7450" spans="1:1" x14ac:dyDescent="0.25">
      <c r="A7450" s="5"/>
    </row>
    <row r="7451" spans="1:1" x14ac:dyDescent="0.25">
      <c r="A7451" s="5"/>
    </row>
    <row r="7452" spans="1:1" x14ac:dyDescent="0.25">
      <c r="A7452" s="5"/>
    </row>
    <row r="7453" spans="1:1" x14ac:dyDescent="0.25">
      <c r="A7453" s="5"/>
    </row>
    <row r="7454" spans="1:1" x14ac:dyDescent="0.25">
      <c r="A7454" s="5"/>
    </row>
    <row r="7455" spans="1:1" x14ac:dyDescent="0.25">
      <c r="A7455" s="5"/>
    </row>
    <row r="7456" spans="1:1" x14ac:dyDescent="0.25">
      <c r="A7456" s="5"/>
    </row>
    <row r="7457" spans="1:1" x14ac:dyDescent="0.25">
      <c r="A7457" s="5"/>
    </row>
    <row r="7458" spans="1:1" x14ac:dyDescent="0.25">
      <c r="A7458" s="5"/>
    </row>
    <row r="7459" spans="1:1" x14ac:dyDescent="0.25">
      <c r="A7459" s="5"/>
    </row>
    <row r="7460" spans="1:1" x14ac:dyDescent="0.25">
      <c r="A7460" s="5"/>
    </row>
    <row r="7461" spans="1:1" x14ac:dyDescent="0.25">
      <c r="A7461" s="5"/>
    </row>
    <row r="7462" spans="1:1" x14ac:dyDescent="0.25">
      <c r="A7462" s="5"/>
    </row>
    <row r="7463" spans="1:1" x14ac:dyDescent="0.25">
      <c r="A7463" s="5"/>
    </row>
    <row r="7464" spans="1:1" x14ac:dyDescent="0.25">
      <c r="A7464" s="5"/>
    </row>
    <row r="7465" spans="1:1" x14ac:dyDescent="0.25">
      <c r="A7465" s="5"/>
    </row>
    <row r="7466" spans="1:1" x14ac:dyDescent="0.25">
      <c r="A7466" s="5"/>
    </row>
    <row r="7467" spans="1:1" x14ac:dyDescent="0.25">
      <c r="A7467" s="5"/>
    </row>
    <row r="7468" spans="1:1" x14ac:dyDescent="0.25">
      <c r="A7468" s="5"/>
    </row>
    <row r="7469" spans="1:1" x14ac:dyDescent="0.25">
      <c r="A7469" s="5"/>
    </row>
    <row r="7470" spans="1:1" x14ac:dyDescent="0.25">
      <c r="A7470" s="5"/>
    </row>
    <row r="7471" spans="1:1" x14ac:dyDescent="0.25">
      <c r="A7471" s="5"/>
    </row>
    <row r="7472" spans="1:1" x14ac:dyDescent="0.25">
      <c r="A7472" s="5"/>
    </row>
    <row r="7473" spans="1:1" x14ac:dyDescent="0.25">
      <c r="A7473" s="5"/>
    </row>
    <row r="7474" spans="1:1" x14ac:dyDescent="0.25">
      <c r="A7474" s="5"/>
    </row>
    <row r="7475" spans="1:1" x14ac:dyDescent="0.25">
      <c r="A7475" s="5"/>
    </row>
    <row r="7476" spans="1:1" x14ac:dyDescent="0.25">
      <c r="A7476" s="5"/>
    </row>
    <row r="7477" spans="1:1" x14ac:dyDescent="0.25">
      <c r="A7477" s="5"/>
    </row>
    <row r="7478" spans="1:1" x14ac:dyDescent="0.25">
      <c r="A7478" s="5"/>
    </row>
    <row r="7479" spans="1:1" x14ac:dyDescent="0.25">
      <c r="A7479" s="5"/>
    </row>
    <row r="7480" spans="1:1" x14ac:dyDescent="0.25">
      <c r="A7480" s="5"/>
    </row>
    <row r="7481" spans="1:1" x14ac:dyDescent="0.25">
      <c r="A7481" s="5"/>
    </row>
    <row r="7482" spans="1:1" x14ac:dyDescent="0.25">
      <c r="A7482" s="5"/>
    </row>
    <row r="7483" spans="1:1" x14ac:dyDescent="0.25">
      <c r="A7483" s="5"/>
    </row>
    <row r="7484" spans="1:1" x14ac:dyDescent="0.25">
      <c r="A7484" s="5"/>
    </row>
    <row r="7485" spans="1:1" x14ac:dyDescent="0.25">
      <c r="A7485" s="5"/>
    </row>
    <row r="7486" spans="1:1" x14ac:dyDescent="0.25">
      <c r="A7486" s="5"/>
    </row>
    <row r="7487" spans="1:1" x14ac:dyDescent="0.25">
      <c r="A7487" s="5"/>
    </row>
    <row r="7488" spans="1:1" x14ac:dyDescent="0.25">
      <c r="A7488" s="5"/>
    </row>
    <row r="7489" spans="1:1" x14ac:dyDescent="0.25">
      <c r="A7489" s="5"/>
    </row>
    <row r="7490" spans="1:1" x14ac:dyDescent="0.25">
      <c r="A7490" s="5"/>
    </row>
    <row r="7491" spans="1:1" x14ac:dyDescent="0.25">
      <c r="A7491" s="5"/>
    </row>
    <row r="7492" spans="1:1" x14ac:dyDescent="0.25">
      <c r="A7492" s="5"/>
    </row>
    <row r="7493" spans="1:1" x14ac:dyDescent="0.25">
      <c r="A7493" s="5"/>
    </row>
    <row r="7494" spans="1:1" x14ac:dyDescent="0.25">
      <c r="A7494" s="5"/>
    </row>
    <row r="7495" spans="1:1" x14ac:dyDescent="0.25">
      <c r="A7495" s="5"/>
    </row>
    <row r="7496" spans="1:1" x14ac:dyDescent="0.25">
      <c r="A7496" s="5"/>
    </row>
    <row r="7497" spans="1:1" x14ac:dyDescent="0.25">
      <c r="A7497" s="5"/>
    </row>
    <row r="7498" spans="1:1" x14ac:dyDescent="0.25">
      <c r="A7498" s="5"/>
    </row>
    <row r="7499" spans="1:1" x14ac:dyDescent="0.25">
      <c r="A7499" s="5"/>
    </row>
    <row r="7500" spans="1:1" x14ac:dyDescent="0.25">
      <c r="A7500" s="5"/>
    </row>
    <row r="7501" spans="1:1" x14ac:dyDescent="0.25">
      <c r="A7501" s="5"/>
    </row>
    <row r="7502" spans="1:1" x14ac:dyDescent="0.25">
      <c r="A7502" s="5"/>
    </row>
    <row r="7503" spans="1:1" x14ac:dyDescent="0.25">
      <c r="A7503" s="5"/>
    </row>
    <row r="7504" spans="1:1" x14ac:dyDescent="0.25">
      <c r="A7504" s="5"/>
    </row>
    <row r="7505" spans="1:1" x14ac:dyDescent="0.25">
      <c r="A7505" s="5"/>
    </row>
    <row r="7506" spans="1:1" x14ac:dyDescent="0.25">
      <c r="A7506" s="5"/>
    </row>
    <row r="7507" spans="1:1" x14ac:dyDescent="0.25">
      <c r="A7507" s="5"/>
    </row>
    <row r="7508" spans="1:1" x14ac:dyDescent="0.25">
      <c r="A7508" s="5"/>
    </row>
    <row r="7509" spans="1:1" x14ac:dyDescent="0.25">
      <c r="A7509" s="5"/>
    </row>
    <row r="7510" spans="1:1" x14ac:dyDescent="0.25">
      <c r="A7510" s="5"/>
    </row>
    <row r="7511" spans="1:1" x14ac:dyDescent="0.25">
      <c r="A7511" s="5"/>
    </row>
    <row r="7512" spans="1:1" x14ac:dyDescent="0.25">
      <c r="A7512" s="5"/>
    </row>
    <row r="7513" spans="1:1" x14ac:dyDescent="0.25">
      <c r="A7513" s="5"/>
    </row>
    <row r="7514" spans="1:1" x14ac:dyDescent="0.25">
      <c r="A7514" s="5"/>
    </row>
    <row r="7515" spans="1:1" x14ac:dyDescent="0.25">
      <c r="A7515" s="5"/>
    </row>
    <row r="7516" spans="1:1" x14ac:dyDescent="0.25">
      <c r="A7516" s="5"/>
    </row>
    <row r="7517" spans="1:1" x14ac:dyDescent="0.25">
      <c r="A7517" s="5"/>
    </row>
    <row r="7518" spans="1:1" x14ac:dyDescent="0.25">
      <c r="A7518" s="5"/>
    </row>
    <row r="7519" spans="1:1" x14ac:dyDescent="0.25">
      <c r="A7519" s="5"/>
    </row>
    <row r="7520" spans="1:1" x14ac:dyDescent="0.25">
      <c r="A7520" s="5"/>
    </row>
    <row r="7521" spans="1:1" x14ac:dyDescent="0.25">
      <c r="A7521" s="5"/>
    </row>
    <row r="7522" spans="1:1" x14ac:dyDescent="0.25">
      <c r="A7522" s="5"/>
    </row>
    <row r="7523" spans="1:1" x14ac:dyDescent="0.25">
      <c r="A7523" s="5"/>
    </row>
    <row r="7524" spans="1:1" x14ac:dyDescent="0.25">
      <c r="A7524" s="5"/>
    </row>
    <row r="7525" spans="1:1" x14ac:dyDescent="0.25">
      <c r="A7525" s="5"/>
    </row>
    <row r="7526" spans="1:1" x14ac:dyDescent="0.25">
      <c r="A7526" s="5"/>
    </row>
    <row r="7527" spans="1:1" x14ac:dyDescent="0.25">
      <c r="A7527" s="5"/>
    </row>
    <row r="7528" spans="1:1" x14ac:dyDescent="0.25">
      <c r="A7528" s="5"/>
    </row>
    <row r="7529" spans="1:1" x14ac:dyDescent="0.25">
      <c r="A7529" s="5"/>
    </row>
    <row r="7530" spans="1:1" x14ac:dyDescent="0.25">
      <c r="A7530" s="5"/>
    </row>
    <row r="7531" spans="1:1" x14ac:dyDescent="0.25">
      <c r="A7531" s="5"/>
    </row>
    <row r="7532" spans="1:1" x14ac:dyDescent="0.25">
      <c r="A7532" s="5"/>
    </row>
    <row r="7533" spans="1:1" x14ac:dyDescent="0.25">
      <c r="A7533" s="5"/>
    </row>
    <row r="7534" spans="1:1" x14ac:dyDescent="0.25">
      <c r="A7534" s="5"/>
    </row>
    <row r="7535" spans="1:1" x14ac:dyDescent="0.25">
      <c r="A7535" s="5"/>
    </row>
    <row r="7536" spans="1:1" x14ac:dyDescent="0.25">
      <c r="A7536" s="5"/>
    </row>
    <row r="7537" spans="1:1" x14ac:dyDescent="0.25">
      <c r="A7537" s="5"/>
    </row>
    <row r="7538" spans="1:1" x14ac:dyDescent="0.25">
      <c r="A7538" s="5"/>
    </row>
    <row r="7539" spans="1:1" x14ac:dyDescent="0.25">
      <c r="A7539" s="5"/>
    </row>
    <row r="7540" spans="1:1" x14ac:dyDescent="0.25">
      <c r="A7540" s="5"/>
    </row>
    <row r="7541" spans="1:1" x14ac:dyDescent="0.25">
      <c r="A7541" s="5"/>
    </row>
    <row r="7542" spans="1:1" x14ac:dyDescent="0.25">
      <c r="A7542" s="5"/>
    </row>
    <row r="7543" spans="1:1" x14ac:dyDescent="0.25">
      <c r="A7543" s="5"/>
    </row>
    <row r="7544" spans="1:1" x14ac:dyDescent="0.25">
      <c r="A7544" s="5"/>
    </row>
    <row r="7545" spans="1:1" x14ac:dyDescent="0.25">
      <c r="A7545" s="5"/>
    </row>
    <row r="7546" spans="1:1" x14ac:dyDescent="0.25">
      <c r="A7546" s="5"/>
    </row>
    <row r="7547" spans="1:1" x14ac:dyDescent="0.25">
      <c r="A7547" s="5"/>
    </row>
    <row r="7548" spans="1:1" x14ac:dyDescent="0.25">
      <c r="A7548" s="5"/>
    </row>
    <row r="7549" spans="1:1" x14ac:dyDescent="0.25">
      <c r="A7549" s="5"/>
    </row>
    <row r="7550" spans="1:1" x14ac:dyDescent="0.25">
      <c r="A7550" s="5"/>
    </row>
    <row r="7551" spans="1:1" x14ac:dyDescent="0.25">
      <c r="A7551" s="5"/>
    </row>
    <row r="7552" spans="1:1" x14ac:dyDescent="0.25">
      <c r="A7552" s="5"/>
    </row>
    <row r="7553" spans="1:1" x14ac:dyDescent="0.25">
      <c r="A7553" s="5"/>
    </row>
    <row r="7554" spans="1:1" x14ac:dyDescent="0.25">
      <c r="A7554" s="5"/>
    </row>
    <row r="7555" spans="1:1" x14ac:dyDescent="0.25">
      <c r="A7555" s="5"/>
    </row>
    <row r="7556" spans="1:1" x14ac:dyDescent="0.25">
      <c r="A7556" s="5"/>
    </row>
    <row r="7557" spans="1:1" x14ac:dyDescent="0.25">
      <c r="A7557" s="5"/>
    </row>
    <row r="7558" spans="1:1" x14ac:dyDescent="0.25">
      <c r="A7558" s="5"/>
    </row>
    <row r="7559" spans="1:1" x14ac:dyDescent="0.25">
      <c r="A7559" s="5"/>
    </row>
    <row r="7560" spans="1:1" x14ac:dyDescent="0.25">
      <c r="A7560" s="5"/>
    </row>
    <row r="7561" spans="1:1" x14ac:dyDescent="0.25">
      <c r="A7561" s="5"/>
    </row>
    <row r="7562" spans="1:1" x14ac:dyDescent="0.25">
      <c r="A7562" s="5"/>
    </row>
    <row r="7563" spans="1:1" x14ac:dyDescent="0.25">
      <c r="A7563" s="5"/>
    </row>
    <row r="7564" spans="1:1" x14ac:dyDescent="0.25">
      <c r="A7564" s="5"/>
    </row>
    <row r="7565" spans="1:1" x14ac:dyDescent="0.25">
      <c r="A7565" s="5"/>
    </row>
    <row r="7566" spans="1:1" x14ac:dyDescent="0.25">
      <c r="A7566" s="5"/>
    </row>
    <row r="7567" spans="1:1" x14ac:dyDescent="0.25">
      <c r="A7567" s="5"/>
    </row>
    <row r="7568" spans="1:1" x14ac:dyDescent="0.25">
      <c r="A7568" s="5"/>
    </row>
    <row r="7569" spans="1:1" x14ac:dyDescent="0.25">
      <c r="A7569" s="5"/>
    </row>
    <row r="7570" spans="1:1" x14ac:dyDescent="0.25">
      <c r="A7570" s="5"/>
    </row>
    <row r="7571" spans="1:1" x14ac:dyDescent="0.25">
      <c r="A7571" s="5"/>
    </row>
    <row r="7572" spans="1:1" x14ac:dyDescent="0.25">
      <c r="A7572" s="5"/>
    </row>
    <row r="7573" spans="1:1" x14ac:dyDescent="0.25">
      <c r="A7573" s="5"/>
    </row>
    <row r="7574" spans="1:1" x14ac:dyDescent="0.25">
      <c r="A7574" s="5"/>
    </row>
    <row r="7575" spans="1:1" x14ac:dyDescent="0.25">
      <c r="A7575" s="5"/>
    </row>
    <row r="7576" spans="1:1" x14ac:dyDescent="0.25">
      <c r="A7576" s="5"/>
    </row>
    <row r="7577" spans="1:1" x14ac:dyDescent="0.25">
      <c r="A7577" s="5"/>
    </row>
    <row r="7578" spans="1:1" x14ac:dyDescent="0.25">
      <c r="A7578" s="5"/>
    </row>
    <row r="7579" spans="1:1" x14ac:dyDescent="0.25">
      <c r="A7579" s="5"/>
    </row>
    <row r="7580" spans="1:1" x14ac:dyDescent="0.25">
      <c r="A7580" s="5"/>
    </row>
    <row r="7581" spans="1:1" x14ac:dyDescent="0.25">
      <c r="A7581" s="5"/>
    </row>
    <row r="7582" spans="1:1" x14ac:dyDescent="0.25">
      <c r="A7582" s="5"/>
    </row>
    <row r="7583" spans="1:1" x14ac:dyDescent="0.25">
      <c r="A7583" s="5"/>
    </row>
    <row r="7584" spans="1:1" x14ac:dyDescent="0.25">
      <c r="A7584" s="5"/>
    </row>
    <row r="7585" spans="1:1" x14ac:dyDescent="0.25">
      <c r="A7585" s="5"/>
    </row>
    <row r="7586" spans="1:1" x14ac:dyDescent="0.25">
      <c r="A7586" s="5"/>
    </row>
    <row r="7587" spans="1:1" x14ac:dyDescent="0.25">
      <c r="A7587" s="5"/>
    </row>
    <row r="7588" spans="1:1" x14ac:dyDescent="0.25">
      <c r="A7588" s="5"/>
    </row>
    <row r="7589" spans="1:1" x14ac:dyDescent="0.25">
      <c r="A7589" s="5"/>
    </row>
    <row r="7590" spans="1:1" x14ac:dyDescent="0.25">
      <c r="A7590" s="5"/>
    </row>
    <row r="7591" spans="1:1" x14ac:dyDescent="0.25">
      <c r="A7591" s="5"/>
    </row>
    <row r="7592" spans="1:1" x14ac:dyDescent="0.25">
      <c r="A7592" s="5"/>
    </row>
    <row r="7593" spans="1:1" x14ac:dyDescent="0.25">
      <c r="A7593" s="5"/>
    </row>
    <row r="7594" spans="1:1" x14ac:dyDescent="0.25">
      <c r="A7594" s="5"/>
    </row>
    <row r="7595" spans="1:1" x14ac:dyDescent="0.25">
      <c r="A7595" s="5"/>
    </row>
    <row r="7596" spans="1:1" x14ac:dyDescent="0.25">
      <c r="A7596" s="5"/>
    </row>
    <row r="7597" spans="1:1" x14ac:dyDescent="0.25">
      <c r="A7597" s="5"/>
    </row>
    <row r="7598" spans="1:1" x14ac:dyDescent="0.25">
      <c r="A7598" s="5"/>
    </row>
    <row r="7599" spans="1:1" x14ac:dyDescent="0.25">
      <c r="A7599" s="5"/>
    </row>
    <row r="7600" spans="1:1" x14ac:dyDescent="0.25">
      <c r="A7600" s="5"/>
    </row>
    <row r="7601" spans="1:1" x14ac:dyDescent="0.25">
      <c r="A7601" s="5"/>
    </row>
    <row r="7602" spans="1:1" x14ac:dyDescent="0.25">
      <c r="A7602" s="5"/>
    </row>
    <row r="7603" spans="1:1" x14ac:dyDescent="0.25">
      <c r="A7603" s="5"/>
    </row>
    <row r="7604" spans="1:1" x14ac:dyDescent="0.25">
      <c r="A7604" s="5"/>
    </row>
    <row r="7605" spans="1:1" x14ac:dyDescent="0.25">
      <c r="A7605" s="5"/>
    </row>
    <row r="7606" spans="1:1" x14ac:dyDescent="0.25">
      <c r="A7606" s="5"/>
    </row>
    <row r="7607" spans="1:1" x14ac:dyDescent="0.25">
      <c r="A7607" s="5"/>
    </row>
    <row r="7608" spans="1:1" x14ac:dyDescent="0.25">
      <c r="A7608" s="5"/>
    </row>
    <row r="7609" spans="1:1" x14ac:dyDescent="0.25">
      <c r="A7609" s="5"/>
    </row>
    <row r="7610" spans="1:1" x14ac:dyDescent="0.25">
      <c r="A7610" s="5"/>
    </row>
    <row r="7611" spans="1:1" x14ac:dyDescent="0.25">
      <c r="A7611" s="5"/>
    </row>
    <row r="7612" spans="1:1" x14ac:dyDescent="0.25">
      <c r="A7612" s="5"/>
    </row>
    <row r="7613" spans="1:1" x14ac:dyDescent="0.25">
      <c r="A7613" s="5"/>
    </row>
    <row r="7614" spans="1:1" x14ac:dyDescent="0.25">
      <c r="A7614" s="5"/>
    </row>
    <row r="7615" spans="1:1" x14ac:dyDescent="0.25">
      <c r="A7615" s="5"/>
    </row>
    <row r="7616" spans="1:1" x14ac:dyDescent="0.25">
      <c r="A7616" s="5"/>
    </row>
    <row r="7617" spans="1:1" x14ac:dyDescent="0.25">
      <c r="A7617" s="5"/>
    </row>
    <row r="7618" spans="1:1" x14ac:dyDescent="0.25">
      <c r="A7618" s="5"/>
    </row>
    <row r="7619" spans="1:1" x14ac:dyDescent="0.25">
      <c r="A7619" s="5"/>
    </row>
    <row r="7620" spans="1:1" x14ac:dyDescent="0.25">
      <c r="A7620" s="5"/>
    </row>
    <row r="7621" spans="1:1" x14ac:dyDescent="0.25">
      <c r="A7621" s="5"/>
    </row>
    <row r="7622" spans="1:1" x14ac:dyDescent="0.25">
      <c r="A7622" s="5"/>
    </row>
    <row r="7623" spans="1:1" x14ac:dyDescent="0.25">
      <c r="A7623" s="5"/>
    </row>
    <row r="7624" spans="1:1" x14ac:dyDescent="0.25">
      <c r="A7624" s="5"/>
    </row>
    <row r="7625" spans="1:1" x14ac:dyDescent="0.25">
      <c r="A7625" s="5"/>
    </row>
    <row r="7626" spans="1:1" x14ac:dyDescent="0.25">
      <c r="A7626" s="5"/>
    </row>
    <row r="7627" spans="1:1" x14ac:dyDescent="0.25">
      <c r="A7627" s="5"/>
    </row>
    <row r="7628" spans="1:1" x14ac:dyDescent="0.25">
      <c r="A7628" s="5"/>
    </row>
    <row r="7629" spans="1:1" x14ac:dyDescent="0.25">
      <c r="A7629" s="5"/>
    </row>
    <row r="7630" spans="1:1" x14ac:dyDescent="0.25">
      <c r="A7630" s="5"/>
    </row>
    <row r="7631" spans="1:1" x14ac:dyDescent="0.25">
      <c r="A7631" s="5"/>
    </row>
    <row r="7632" spans="1:1" x14ac:dyDescent="0.25">
      <c r="A7632" s="5"/>
    </row>
    <row r="7633" spans="1:1" x14ac:dyDescent="0.25">
      <c r="A7633" s="5"/>
    </row>
    <row r="7634" spans="1:1" x14ac:dyDescent="0.25">
      <c r="A7634" s="5"/>
    </row>
    <row r="7635" spans="1:1" x14ac:dyDescent="0.25">
      <c r="A7635" s="5"/>
    </row>
    <row r="7636" spans="1:1" x14ac:dyDescent="0.25">
      <c r="A7636" s="5"/>
    </row>
    <row r="7637" spans="1:1" x14ac:dyDescent="0.25">
      <c r="A7637" s="5"/>
    </row>
    <row r="7638" spans="1:1" x14ac:dyDescent="0.25">
      <c r="A7638" s="5"/>
    </row>
    <row r="7639" spans="1:1" x14ac:dyDescent="0.25">
      <c r="A7639" s="5"/>
    </row>
    <row r="7640" spans="1:1" x14ac:dyDescent="0.25">
      <c r="A7640" s="5"/>
    </row>
    <row r="7641" spans="1:1" x14ac:dyDescent="0.25">
      <c r="A7641" s="5"/>
    </row>
    <row r="7642" spans="1:1" x14ac:dyDescent="0.25">
      <c r="A7642" s="5"/>
    </row>
    <row r="7643" spans="1:1" x14ac:dyDescent="0.25">
      <c r="A7643" s="5"/>
    </row>
    <row r="7644" spans="1:1" x14ac:dyDescent="0.25">
      <c r="A7644" s="5"/>
    </row>
    <row r="7645" spans="1:1" x14ac:dyDescent="0.25">
      <c r="A7645" s="5"/>
    </row>
    <row r="7646" spans="1:1" x14ac:dyDescent="0.25">
      <c r="A7646" s="5"/>
    </row>
    <row r="7647" spans="1:1" x14ac:dyDescent="0.25">
      <c r="A7647" s="5"/>
    </row>
    <row r="7648" spans="1:1" x14ac:dyDescent="0.25">
      <c r="A7648" s="5"/>
    </row>
    <row r="7649" spans="1:1" x14ac:dyDescent="0.25">
      <c r="A7649" s="5"/>
    </row>
    <row r="7650" spans="1:1" x14ac:dyDescent="0.25">
      <c r="A7650" s="5"/>
    </row>
    <row r="7651" spans="1:1" x14ac:dyDescent="0.25">
      <c r="A7651" s="5"/>
    </row>
    <row r="7652" spans="1:1" x14ac:dyDescent="0.25">
      <c r="A7652" s="5"/>
    </row>
    <row r="7653" spans="1:1" x14ac:dyDescent="0.25">
      <c r="A7653" s="5"/>
    </row>
    <row r="7654" spans="1:1" x14ac:dyDescent="0.25">
      <c r="A7654" s="5"/>
    </row>
    <row r="7655" spans="1:1" x14ac:dyDescent="0.25">
      <c r="A7655" s="5"/>
    </row>
    <row r="7656" spans="1:1" x14ac:dyDescent="0.25">
      <c r="A7656" s="5"/>
    </row>
    <row r="7657" spans="1:1" x14ac:dyDescent="0.25">
      <c r="A7657" s="5"/>
    </row>
    <row r="7658" spans="1:1" x14ac:dyDescent="0.25">
      <c r="A7658" s="5"/>
    </row>
    <row r="7659" spans="1:1" x14ac:dyDescent="0.25">
      <c r="A7659" s="5"/>
    </row>
    <row r="7660" spans="1:1" x14ac:dyDescent="0.25">
      <c r="A7660" s="5"/>
    </row>
    <row r="7661" spans="1:1" x14ac:dyDescent="0.25">
      <c r="A7661" s="5"/>
    </row>
    <row r="7662" spans="1:1" x14ac:dyDescent="0.25">
      <c r="A7662" s="5"/>
    </row>
    <row r="7663" spans="1:1" x14ac:dyDescent="0.25">
      <c r="A7663" s="5"/>
    </row>
    <row r="7664" spans="1:1" x14ac:dyDescent="0.25">
      <c r="A7664" s="5"/>
    </row>
    <row r="7665" spans="1:1" x14ac:dyDescent="0.25">
      <c r="A7665" s="5"/>
    </row>
    <row r="7666" spans="1:1" x14ac:dyDescent="0.25">
      <c r="A7666" s="5"/>
    </row>
    <row r="7667" spans="1:1" x14ac:dyDescent="0.25">
      <c r="A7667" s="5"/>
    </row>
    <row r="7668" spans="1:1" x14ac:dyDescent="0.25">
      <c r="A7668" s="5"/>
    </row>
    <row r="7669" spans="1:1" x14ac:dyDescent="0.25">
      <c r="A7669" s="5"/>
    </row>
    <row r="7670" spans="1:1" x14ac:dyDescent="0.25">
      <c r="A7670" s="5"/>
    </row>
    <row r="7671" spans="1:1" x14ac:dyDescent="0.25">
      <c r="A7671" s="5"/>
    </row>
    <row r="7672" spans="1:1" x14ac:dyDescent="0.25">
      <c r="A7672" s="5"/>
    </row>
    <row r="7673" spans="1:1" x14ac:dyDescent="0.25">
      <c r="A7673" s="5"/>
    </row>
    <row r="7674" spans="1:1" x14ac:dyDescent="0.25">
      <c r="A7674" s="5"/>
    </row>
    <row r="7675" spans="1:1" x14ac:dyDescent="0.25">
      <c r="A7675" s="5"/>
    </row>
    <row r="7676" spans="1:1" x14ac:dyDescent="0.25">
      <c r="A7676" s="5"/>
    </row>
    <row r="7677" spans="1:1" x14ac:dyDescent="0.25">
      <c r="A7677" s="5"/>
    </row>
    <row r="7678" spans="1:1" x14ac:dyDescent="0.25">
      <c r="A7678" s="5"/>
    </row>
    <row r="7679" spans="1:1" x14ac:dyDescent="0.25">
      <c r="A7679" s="5"/>
    </row>
    <row r="7680" spans="1:1" x14ac:dyDescent="0.25">
      <c r="A7680" s="5"/>
    </row>
    <row r="7681" spans="1:1" x14ac:dyDescent="0.25">
      <c r="A7681" s="5"/>
    </row>
    <row r="7682" spans="1:1" x14ac:dyDescent="0.25">
      <c r="A7682" s="5"/>
    </row>
    <row r="7683" spans="1:1" x14ac:dyDescent="0.25">
      <c r="A7683" s="5"/>
    </row>
    <row r="7684" spans="1:1" x14ac:dyDescent="0.25">
      <c r="A7684" s="5"/>
    </row>
    <row r="7685" spans="1:1" x14ac:dyDescent="0.25">
      <c r="A7685" s="5"/>
    </row>
    <row r="7686" spans="1:1" x14ac:dyDescent="0.25">
      <c r="A7686" s="5"/>
    </row>
    <row r="7687" spans="1:1" x14ac:dyDescent="0.25">
      <c r="A7687" s="5"/>
    </row>
    <row r="7688" spans="1:1" x14ac:dyDescent="0.25">
      <c r="A7688" s="5"/>
    </row>
    <row r="7689" spans="1:1" x14ac:dyDescent="0.25">
      <c r="A7689" s="5"/>
    </row>
    <row r="7690" spans="1:1" x14ac:dyDescent="0.25">
      <c r="A7690" s="5"/>
    </row>
    <row r="7691" spans="1:1" x14ac:dyDescent="0.25">
      <c r="A7691" s="5"/>
    </row>
    <row r="7692" spans="1:1" x14ac:dyDescent="0.25">
      <c r="A7692" s="5"/>
    </row>
    <row r="7693" spans="1:1" x14ac:dyDescent="0.25">
      <c r="A7693" s="5"/>
    </row>
    <row r="7694" spans="1:1" x14ac:dyDescent="0.25">
      <c r="A7694" s="5"/>
    </row>
    <row r="7695" spans="1:1" x14ac:dyDescent="0.25">
      <c r="A7695" s="5"/>
    </row>
    <row r="7696" spans="1:1" x14ac:dyDescent="0.25">
      <c r="A7696" s="5"/>
    </row>
    <row r="7697" spans="1:1" x14ac:dyDescent="0.25">
      <c r="A7697" s="5"/>
    </row>
    <row r="7698" spans="1:1" x14ac:dyDescent="0.25">
      <c r="A7698" s="5"/>
    </row>
    <row r="7699" spans="1:1" x14ac:dyDescent="0.25">
      <c r="A7699" s="5"/>
    </row>
    <row r="7700" spans="1:1" x14ac:dyDescent="0.25">
      <c r="A7700" s="5"/>
    </row>
    <row r="7701" spans="1:1" x14ac:dyDescent="0.25">
      <c r="A7701" s="5"/>
    </row>
    <row r="7702" spans="1:1" x14ac:dyDescent="0.25">
      <c r="A7702" s="5"/>
    </row>
    <row r="7703" spans="1:1" x14ac:dyDescent="0.25">
      <c r="A7703" s="5"/>
    </row>
    <row r="7704" spans="1:1" x14ac:dyDescent="0.25">
      <c r="A7704" s="5"/>
    </row>
    <row r="7705" spans="1:1" x14ac:dyDescent="0.25">
      <c r="A7705" s="5"/>
    </row>
    <row r="7706" spans="1:1" x14ac:dyDescent="0.25">
      <c r="A7706" s="5"/>
    </row>
    <row r="7707" spans="1:1" x14ac:dyDescent="0.25">
      <c r="A7707" s="5"/>
    </row>
    <row r="7708" spans="1:1" x14ac:dyDescent="0.25">
      <c r="A7708" s="5"/>
    </row>
    <row r="7709" spans="1:1" x14ac:dyDescent="0.25">
      <c r="A7709" s="5"/>
    </row>
    <row r="7710" spans="1:1" x14ac:dyDescent="0.25">
      <c r="A7710" s="5"/>
    </row>
    <row r="7711" spans="1:1" x14ac:dyDescent="0.25">
      <c r="A7711" s="5"/>
    </row>
    <row r="7712" spans="1:1" x14ac:dyDescent="0.25">
      <c r="A7712" s="5"/>
    </row>
    <row r="7713" spans="1:1" x14ac:dyDescent="0.25">
      <c r="A7713" s="5"/>
    </row>
    <row r="7714" spans="1:1" x14ac:dyDescent="0.25">
      <c r="A7714" s="5"/>
    </row>
    <row r="7715" spans="1:1" x14ac:dyDescent="0.25">
      <c r="A7715" s="5"/>
    </row>
    <row r="7716" spans="1:1" x14ac:dyDescent="0.25">
      <c r="A7716" s="5"/>
    </row>
    <row r="7717" spans="1:1" x14ac:dyDescent="0.25">
      <c r="A7717" s="5"/>
    </row>
    <row r="7718" spans="1:1" x14ac:dyDescent="0.25">
      <c r="A7718" s="5"/>
    </row>
    <row r="7719" spans="1:1" x14ac:dyDescent="0.25">
      <c r="A7719" s="5"/>
    </row>
    <row r="7720" spans="1:1" x14ac:dyDescent="0.25">
      <c r="A7720" s="5"/>
    </row>
    <row r="7721" spans="1:1" x14ac:dyDescent="0.25">
      <c r="A7721" s="5"/>
    </row>
    <row r="7722" spans="1:1" x14ac:dyDescent="0.25">
      <c r="A7722" s="5"/>
    </row>
    <row r="7723" spans="1:1" x14ac:dyDescent="0.25">
      <c r="A7723" s="5"/>
    </row>
    <row r="7724" spans="1:1" x14ac:dyDescent="0.25">
      <c r="A7724" s="5"/>
    </row>
    <row r="7725" spans="1:1" x14ac:dyDescent="0.25">
      <c r="A7725" s="5"/>
    </row>
    <row r="7726" spans="1:1" x14ac:dyDescent="0.25">
      <c r="A7726" s="5"/>
    </row>
    <row r="7727" spans="1:1" x14ac:dyDescent="0.25">
      <c r="A7727" s="5"/>
    </row>
    <row r="7728" spans="1:1" x14ac:dyDescent="0.25">
      <c r="A7728" s="5"/>
    </row>
    <row r="7729" spans="1:1" x14ac:dyDescent="0.25">
      <c r="A7729" s="5"/>
    </row>
    <row r="7730" spans="1:1" x14ac:dyDescent="0.25">
      <c r="A7730" s="5"/>
    </row>
    <row r="7731" spans="1:1" x14ac:dyDescent="0.25">
      <c r="A7731" s="5"/>
    </row>
    <row r="7732" spans="1:1" x14ac:dyDescent="0.25">
      <c r="A7732" s="5"/>
    </row>
    <row r="7733" spans="1:1" x14ac:dyDescent="0.25">
      <c r="A7733" s="5"/>
    </row>
    <row r="7734" spans="1:1" x14ac:dyDescent="0.25">
      <c r="A7734" s="5"/>
    </row>
    <row r="7735" spans="1:1" x14ac:dyDescent="0.25">
      <c r="A7735" s="5"/>
    </row>
    <row r="7736" spans="1:1" x14ac:dyDescent="0.25">
      <c r="A7736" s="5"/>
    </row>
    <row r="7737" spans="1:1" x14ac:dyDescent="0.25">
      <c r="A7737" s="5"/>
    </row>
    <row r="7738" spans="1:1" x14ac:dyDescent="0.25">
      <c r="A7738" s="5"/>
    </row>
    <row r="7739" spans="1:1" x14ac:dyDescent="0.25">
      <c r="A7739" s="5"/>
    </row>
    <row r="7740" spans="1:1" x14ac:dyDescent="0.25">
      <c r="A7740" s="5"/>
    </row>
    <row r="7741" spans="1:1" x14ac:dyDescent="0.25">
      <c r="A7741" s="5"/>
    </row>
    <row r="7742" spans="1:1" x14ac:dyDescent="0.25">
      <c r="A7742" s="5"/>
    </row>
    <row r="7743" spans="1:1" x14ac:dyDescent="0.25">
      <c r="A7743" s="5"/>
    </row>
    <row r="7744" spans="1:1" x14ac:dyDescent="0.25">
      <c r="A7744" s="5"/>
    </row>
    <row r="7745" spans="1:1" x14ac:dyDescent="0.25">
      <c r="A7745" s="5"/>
    </row>
    <row r="7746" spans="1:1" x14ac:dyDescent="0.25">
      <c r="A7746" s="5"/>
    </row>
    <row r="7747" spans="1:1" x14ac:dyDescent="0.25">
      <c r="A7747" s="5"/>
    </row>
    <row r="7748" spans="1:1" x14ac:dyDescent="0.25">
      <c r="A7748" s="5"/>
    </row>
    <row r="7749" spans="1:1" x14ac:dyDescent="0.25">
      <c r="A7749" s="5"/>
    </row>
    <row r="7750" spans="1:1" x14ac:dyDescent="0.25">
      <c r="A7750" s="5"/>
    </row>
    <row r="7751" spans="1:1" x14ac:dyDescent="0.25">
      <c r="A7751" s="5"/>
    </row>
    <row r="7752" spans="1:1" x14ac:dyDescent="0.25">
      <c r="A7752" s="5"/>
    </row>
    <row r="7753" spans="1:1" x14ac:dyDescent="0.25">
      <c r="A7753" s="5"/>
    </row>
    <row r="7754" spans="1:1" x14ac:dyDescent="0.25">
      <c r="A7754" s="5"/>
    </row>
    <row r="7755" spans="1:1" x14ac:dyDescent="0.25">
      <c r="A7755" s="5"/>
    </row>
    <row r="7756" spans="1:1" x14ac:dyDescent="0.25">
      <c r="A7756" s="5"/>
    </row>
    <row r="7757" spans="1:1" x14ac:dyDescent="0.25">
      <c r="A7757" s="5"/>
    </row>
    <row r="7758" spans="1:1" x14ac:dyDescent="0.25">
      <c r="A7758" s="5"/>
    </row>
    <row r="7759" spans="1:1" x14ac:dyDescent="0.25">
      <c r="A7759" s="5"/>
    </row>
    <row r="7760" spans="1:1" x14ac:dyDescent="0.25">
      <c r="A7760" s="5"/>
    </row>
    <row r="7761" spans="1:1" x14ac:dyDescent="0.25">
      <c r="A7761" s="5"/>
    </row>
    <row r="7762" spans="1:1" x14ac:dyDescent="0.25">
      <c r="A7762" s="5"/>
    </row>
    <row r="7763" spans="1:1" x14ac:dyDescent="0.25">
      <c r="A7763" s="5"/>
    </row>
    <row r="7764" spans="1:1" x14ac:dyDescent="0.25">
      <c r="A7764" s="5"/>
    </row>
    <row r="7765" spans="1:1" x14ac:dyDescent="0.25">
      <c r="A7765" s="5"/>
    </row>
    <row r="7766" spans="1:1" x14ac:dyDescent="0.25">
      <c r="A7766" s="5"/>
    </row>
    <row r="7767" spans="1:1" x14ac:dyDescent="0.25">
      <c r="A7767" s="5"/>
    </row>
    <row r="7768" spans="1:1" x14ac:dyDescent="0.25">
      <c r="A7768" s="5"/>
    </row>
    <row r="7769" spans="1:1" x14ac:dyDescent="0.25">
      <c r="A7769" s="5"/>
    </row>
    <row r="7770" spans="1:1" x14ac:dyDescent="0.25">
      <c r="A7770" s="5"/>
    </row>
    <row r="7771" spans="1:1" x14ac:dyDescent="0.25">
      <c r="A7771" s="5"/>
    </row>
    <row r="7772" spans="1:1" x14ac:dyDescent="0.25">
      <c r="A7772" s="5"/>
    </row>
    <row r="7773" spans="1:1" x14ac:dyDescent="0.25">
      <c r="A7773" s="5"/>
    </row>
    <row r="7774" spans="1:1" x14ac:dyDescent="0.25">
      <c r="A7774" s="5"/>
    </row>
    <row r="7775" spans="1:1" x14ac:dyDescent="0.25">
      <c r="A7775" s="5"/>
    </row>
    <row r="7776" spans="1:1" x14ac:dyDescent="0.25">
      <c r="A7776" s="5"/>
    </row>
    <row r="7777" spans="1:1" x14ac:dyDescent="0.25">
      <c r="A7777" s="5"/>
    </row>
    <row r="7778" spans="1:1" x14ac:dyDescent="0.25">
      <c r="A7778" s="5"/>
    </row>
    <row r="7779" spans="1:1" x14ac:dyDescent="0.25">
      <c r="A7779" s="5"/>
    </row>
    <row r="7780" spans="1:1" x14ac:dyDescent="0.25">
      <c r="A7780" s="5"/>
    </row>
    <row r="7781" spans="1:1" x14ac:dyDescent="0.25">
      <c r="A7781" s="5"/>
    </row>
    <row r="7782" spans="1:1" x14ac:dyDescent="0.25">
      <c r="A7782" s="5"/>
    </row>
    <row r="7783" spans="1:1" x14ac:dyDescent="0.25">
      <c r="A7783" s="5"/>
    </row>
    <row r="7784" spans="1:1" x14ac:dyDescent="0.25">
      <c r="A7784" s="5"/>
    </row>
    <row r="7785" spans="1:1" x14ac:dyDescent="0.25">
      <c r="A7785" s="5"/>
    </row>
    <row r="7786" spans="1:1" x14ac:dyDescent="0.25">
      <c r="A7786" s="5"/>
    </row>
    <row r="7787" spans="1:1" x14ac:dyDescent="0.25">
      <c r="A7787" s="5"/>
    </row>
    <row r="7788" spans="1:1" x14ac:dyDescent="0.25">
      <c r="A7788" s="5"/>
    </row>
    <row r="7789" spans="1:1" x14ac:dyDescent="0.25">
      <c r="A7789" s="5"/>
    </row>
    <row r="7790" spans="1:1" x14ac:dyDescent="0.25">
      <c r="A7790" s="5"/>
    </row>
    <row r="7791" spans="1:1" x14ac:dyDescent="0.25">
      <c r="A7791" s="5"/>
    </row>
    <row r="7792" spans="1:1" x14ac:dyDescent="0.25">
      <c r="A7792" s="5"/>
    </row>
    <row r="7793" spans="1:1" x14ac:dyDescent="0.25">
      <c r="A7793" s="5"/>
    </row>
    <row r="7794" spans="1:1" x14ac:dyDescent="0.25">
      <c r="A7794" s="5"/>
    </row>
    <row r="7795" spans="1:1" x14ac:dyDescent="0.25">
      <c r="A7795" s="5"/>
    </row>
    <row r="7796" spans="1:1" x14ac:dyDescent="0.25">
      <c r="A7796" s="5"/>
    </row>
    <row r="7797" spans="1:1" x14ac:dyDescent="0.25">
      <c r="A7797" s="5"/>
    </row>
    <row r="7798" spans="1:1" x14ac:dyDescent="0.25">
      <c r="A7798" s="5"/>
    </row>
    <row r="7799" spans="1:1" x14ac:dyDescent="0.25">
      <c r="A7799" s="5"/>
    </row>
    <row r="7800" spans="1:1" x14ac:dyDescent="0.25">
      <c r="A7800" s="5"/>
    </row>
    <row r="7801" spans="1:1" x14ac:dyDescent="0.25">
      <c r="A7801" s="5"/>
    </row>
    <row r="7802" spans="1:1" x14ac:dyDescent="0.25">
      <c r="A7802" s="5"/>
    </row>
    <row r="7803" spans="1:1" x14ac:dyDescent="0.25">
      <c r="A7803" s="5"/>
    </row>
    <row r="7804" spans="1:1" x14ac:dyDescent="0.25">
      <c r="A7804" s="5"/>
    </row>
    <row r="7805" spans="1:1" x14ac:dyDescent="0.25">
      <c r="A7805" s="5"/>
    </row>
    <row r="7806" spans="1:1" x14ac:dyDescent="0.25">
      <c r="A7806" s="5"/>
    </row>
    <row r="7807" spans="1:1" x14ac:dyDescent="0.25">
      <c r="A7807" s="5"/>
    </row>
    <row r="7808" spans="1:1" x14ac:dyDescent="0.25">
      <c r="A7808" s="5"/>
    </row>
    <row r="7809" spans="1:1" x14ac:dyDescent="0.25">
      <c r="A7809" s="5"/>
    </row>
    <row r="7810" spans="1:1" x14ac:dyDescent="0.25">
      <c r="A7810" s="5"/>
    </row>
    <row r="7811" spans="1:1" x14ac:dyDescent="0.25">
      <c r="A7811" s="5"/>
    </row>
    <row r="7812" spans="1:1" x14ac:dyDescent="0.25">
      <c r="A7812" s="5"/>
    </row>
    <row r="7813" spans="1:1" x14ac:dyDescent="0.25">
      <c r="A7813" s="5"/>
    </row>
    <row r="7814" spans="1:1" x14ac:dyDescent="0.25">
      <c r="A7814" s="5"/>
    </row>
    <row r="7815" spans="1:1" x14ac:dyDescent="0.25">
      <c r="A7815" s="5"/>
    </row>
    <row r="7816" spans="1:1" x14ac:dyDescent="0.25">
      <c r="A7816" s="5"/>
    </row>
    <row r="7817" spans="1:1" x14ac:dyDescent="0.25">
      <c r="A7817" s="5"/>
    </row>
    <row r="7818" spans="1:1" x14ac:dyDescent="0.25">
      <c r="A7818" s="5"/>
    </row>
    <row r="7819" spans="1:1" x14ac:dyDescent="0.25">
      <c r="A7819" s="5"/>
    </row>
    <row r="7820" spans="1:1" x14ac:dyDescent="0.25">
      <c r="A7820" s="5"/>
    </row>
    <row r="7821" spans="1:1" x14ac:dyDescent="0.25">
      <c r="A7821" s="5"/>
    </row>
    <row r="7822" spans="1:1" x14ac:dyDescent="0.25">
      <c r="A7822" s="5"/>
    </row>
    <row r="7823" spans="1:1" x14ac:dyDescent="0.25">
      <c r="A7823" s="5"/>
    </row>
    <row r="7824" spans="1:1" x14ac:dyDescent="0.25">
      <c r="A7824" s="5"/>
    </row>
    <row r="7825" spans="1:1" x14ac:dyDescent="0.25">
      <c r="A7825" s="5"/>
    </row>
    <row r="7826" spans="1:1" x14ac:dyDescent="0.25">
      <c r="A7826" s="5"/>
    </row>
    <row r="7827" spans="1:1" x14ac:dyDescent="0.25">
      <c r="A7827" s="5"/>
    </row>
    <row r="7828" spans="1:1" x14ac:dyDescent="0.25">
      <c r="A7828" s="5"/>
    </row>
    <row r="7829" spans="1:1" x14ac:dyDescent="0.25">
      <c r="A7829" s="5"/>
    </row>
    <row r="7830" spans="1:1" x14ac:dyDescent="0.25">
      <c r="A7830" s="5"/>
    </row>
    <row r="7831" spans="1:1" x14ac:dyDescent="0.25">
      <c r="A7831" s="5"/>
    </row>
    <row r="7832" spans="1:1" x14ac:dyDescent="0.25">
      <c r="A7832" s="5"/>
    </row>
    <row r="7833" spans="1:1" x14ac:dyDescent="0.25">
      <c r="A7833" s="5"/>
    </row>
    <row r="7834" spans="1:1" x14ac:dyDescent="0.25">
      <c r="A7834" s="5"/>
    </row>
    <row r="7835" spans="1:1" x14ac:dyDescent="0.25">
      <c r="A7835" s="5"/>
    </row>
    <row r="7836" spans="1:1" x14ac:dyDescent="0.25">
      <c r="A7836" s="5"/>
    </row>
    <row r="7837" spans="1:1" x14ac:dyDescent="0.25">
      <c r="A7837" s="5"/>
    </row>
    <row r="7838" spans="1:1" x14ac:dyDescent="0.25">
      <c r="A7838" s="5"/>
    </row>
    <row r="7839" spans="1:1" x14ac:dyDescent="0.25">
      <c r="A7839" s="5"/>
    </row>
    <row r="7840" spans="1:1" x14ac:dyDescent="0.25">
      <c r="A7840" s="5"/>
    </row>
    <row r="7841" spans="1:1" x14ac:dyDescent="0.25">
      <c r="A7841" s="5"/>
    </row>
    <row r="7842" spans="1:1" x14ac:dyDescent="0.25">
      <c r="A7842" s="5"/>
    </row>
    <row r="7843" spans="1:1" x14ac:dyDescent="0.25">
      <c r="A7843" s="5"/>
    </row>
    <row r="7844" spans="1:1" x14ac:dyDescent="0.25">
      <c r="A7844" s="5"/>
    </row>
    <row r="7845" spans="1:1" x14ac:dyDescent="0.25">
      <c r="A7845" s="5"/>
    </row>
    <row r="7846" spans="1:1" x14ac:dyDescent="0.25">
      <c r="A7846" s="5"/>
    </row>
    <row r="7847" spans="1:1" x14ac:dyDescent="0.25">
      <c r="A7847" s="5"/>
    </row>
    <row r="7848" spans="1:1" x14ac:dyDescent="0.25">
      <c r="A7848" s="5"/>
    </row>
    <row r="7849" spans="1:1" x14ac:dyDescent="0.25">
      <c r="A7849" s="5"/>
    </row>
    <row r="7850" spans="1:1" x14ac:dyDescent="0.25">
      <c r="A7850" s="5"/>
    </row>
    <row r="7851" spans="1:1" x14ac:dyDescent="0.25">
      <c r="A7851" s="5"/>
    </row>
    <row r="7852" spans="1:1" x14ac:dyDescent="0.25">
      <c r="A7852" s="5"/>
    </row>
    <row r="7853" spans="1:1" x14ac:dyDescent="0.25">
      <c r="A7853" s="5"/>
    </row>
    <row r="7854" spans="1:1" x14ac:dyDescent="0.25">
      <c r="A7854" s="5"/>
    </row>
    <row r="7855" spans="1:1" x14ac:dyDescent="0.25">
      <c r="A7855" s="5"/>
    </row>
    <row r="7856" spans="1:1" x14ac:dyDescent="0.25">
      <c r="A7856" s="5"/>
    </row>
    <row r="7857" spans="1:1" x14ac:dyDescent="0.25">
      <c r="A7857" s="5"/>
    </row>
    <row r="7858" spans="1:1" x14ac:dyDescent="0.25">
      <c r="A7858" s="5"/>
    </row>
    <row r="7859" spans="1:1" x14ac:dyDescent="0.25">
      <c r="A7859" s="5"/>
    </row>
    <row r="7860" spans="1:1" x14ac:dyDescent="0.25">
      <c r="A7860" s="5"/>
    </row>
    <row r="7861" spans="1:1" x14ac:dyDescent="0.25">
      <c r="A7861" s="5"/>
    </row>
    <row r="7862" spans="1:1" x14ac:dyDescent="0.25">
      <c r="A7862" s="5"/>
    </row>
    <row r="7863" spans="1:1" x14ac:dyDescent="0.25">
      <c r="A7863" s="5"/>
    </row>
    <row r="7864" spans="1:1" x14ac:dyDescent="0.25">
      <c r="A7864" s="5"/>
    </row>
    <row r="7865" spans="1:1" x14ac:dyDescent="0.25">
      <c r="A7865" s="5"/>
    </row>
    <row r="7866" spans="1:1" x14ac:dyDescent="0.25">
      <c r="A7866" s="5"/>
    </row>
    <row r="7867" spans="1:1" x14ac:dyDescent="0.25">
      <c r="A7867" s="5"/>
    </row>
    <row r="7868" spans="1:1" x14ac:dyDescent="0.25">
      <c r="A7868" s="5"/>
    </row>
    <row r="7869" spans="1:1" x14ac:dyDescent="0.25">
      <c r="A7869" s="5"/>
    </row>
    <row r="7870" spans="1:1" x14ac:dyDescent="0.25">
      <c r="A7870" s="5"/>
    </row>
    <row r="7871" spans="1:1" x14ac:dyDescent="0.25">
      <c r="A7871" s="5"/>
    </row>
    <row r="7872" spans="1:1" x14ac:dyDescent="0.25">
      <c r="A7872" s="5"/>
    </row>
    <row r="7873" spans="1:1" x14ac:dyDescent="0.25">
      <c r="A7873" s="5"/>
    </row>
    <row r="7874" spans="1:1" x14ac:dyDescent="0.25">
      <c r="A7874" s="5"/>
    </row>
    <row r="7875" spans="1:1" x14ac:dyDescent="0.25">
      <c r="A7875" s="5"/>
    </row>
    <row r="7876" spans="1:1" x14ac:dyDescent="0.25">
      <c r="A7876" s="5"/>
    </row>
    <row r="7877" spans="1:1" x14ac:dyDescent="0.25">
      <c r="A7877" s="5"/>
    </row>
    <row r="7878" spans="1:1" x14ac:dyDescent="0.25">
      <c r="A7878" s="5"/>
    </row>
    <row r="7879" spans="1:1" x14ac:dyDescent="0.25">
      <c r="A7879" s="5"/>
    </row>
    <row r="7880" spans="1:1" x14ac:dyDescent="0.25">
      <c r="A7880" s="5"/>
    </row>
    <row r="7881" spans="1:1" x14ac:dyDescent="0.25">
      <c r="A7881" s="5"/>
    </row>
    <row r="7882" spans="1:1" x14ac:dyDescent="0.25">
      <c r="A7882" s="5"/>
    </row>
    <row r="7883" spans="1:1" x14ac:dyDescent="0.25">
      <c r="A7883" s="5"/>
    </row>
    <row r="7884" spans="1:1" x14ac:dyDescent="0.25">
      <c r="A7884" s="5"/>
    </row>
    <row r="7885" spans="1:1" x14ac:dyDescent="0.25">
      <c r="A7885" s="5"/>
    </row>
    <row r="7886" spans="1:1" x14ac:dyDescent="0.25">
      <c r="A7886" s="5"/>
    </row>
    <row r="7887" spans="1:1" x14ac:dyDescent="0.25">
      <c r="A7887" s="5"/>
    </row>
    <row r="7888" spans="1:1" x14ac:dyDescent="0.25">
      <c r="A7888" s="5"/>
    </row>
    <row r="7889" spans="1:1" x14ac:dyDescent="0.25">
      <c r="A7889" s="5"/>
    </row>
    <row r="7890" spans="1:1" x14ac:dyDescent="0.25">
      <c r="A7890" s="5"/>
    </row>
    <row r="7891" spans="1:1" x14ac:dyDescent="0.25">
      <c r="A7891" s="5"/>
    </row>
    <row r="7892" spans="1:1" x14ac:dyDescent="0.25">
      <c r="A7892" s="5"/>
    </row>
    <row r="7893" spans="1:1" x14ac:dyDescent="0.25">
      <c r="A7893" s="5"/>
    </row>
    <row r="7894" spans="1:1" x14ac:dyDescent="0.25">
      <c r="A7894" s="5"/>
    </row>
    <row r="7895" spans="1:1" x14ac:dyDescent="0.25">
      <c r="A7895" s="5"/>
    </row>
    <row r="7896" spans="1:1" x14ac:dyDescent="0.25">
      <c r="A7896" s="5"/>
    </row>
    <row r="7897" spans="1:1" x14ac:dyDescent="0.25">
      <c r="A7897" s="5"/>
    </row>
    <row r="7898" spans="1:1" x14ac:dyDescent="0.25">
      <c r="A7898" s="5"/>
    </row>
    <row r="7899" spans="1:1" x14ac:dyDescent="0.25">
      <c r="A7899" s="5"/>
    </row>
    <row r="7900" spans="1:1" x14ac:dyDescent="0.25">
      <c r="A7900" s="5"/>
    </row>
    <row r="7901" spans="1:1" x14ac:dyDescent="0.25">
      <c r="A7901" s="5"/>
    </row>
    <row r="7902" spans="1:1" x14ac:dyDescent="0.25">
      <c r="A7902" s="5"/>
    </row>
    <row r="7903" spans="1:1" x14ac:dyDescent="0.25">
      <c r="A7903" s="5"/>
    </row>
    <row r="7904" spans="1:1" x14ac:dyDescent="0.25">
      <c r="A7904" s="5"/>
    </row>
    <row r="7905" spans="1:1" x14ac:dyDescent="0.25">
      <c r="A7905" s="5"/>
    </row>
    <row r="7906" spans="1:1" x14ac:dyDescent="0.25">
      <c r="A7906" s="5"/>
    </row>
    <row r="7907" spans="1:1" x14ac:dyDescent="0.25">
      <c r="A7907" s="5"/>
    </row>
    <row r="7908" spans="1:1" x14ac:dyDescent="0.25">
      <c r="A7908" s="5"/>
    </row>
    <row r="7909" spans="1:1" x14ac:dyDescent="0.25">
      <c r="A7909" s="5"/>
    </row>
    <row r="7910" spans="1:1" x14ac:dyDescent="0.25">
      <c r="A7910" s="5"/>
    </row>
    <row r="7911" spans="1:1" x14ac:dyDescent="0.25">
      <c r="A7911" s="5"/>
    </row>
    <row r="7912" spans="1:1" x14ac:dyDescent="0.25">
      <c r="A7912" s="5"/>
    </row>
    <row r="7913" spans="1:1" x14ac:dyDescent="0.25">
      <c r="A7913" s="5"/>
    </row>
    <row r="7914" spans="1:1" x14ac:dyDescent="0.25">
      <c r="A7914" s="5"/>
    </row>
    <row r="7915" spans="1:1" x14ac:dyDescent="0.25">
      <c r="A7915" s="5"/>
    </row>
    <row r="7916" spans="1:1" x14ac:dyDescent="0.25">
      <c r="A7916" s="5"/>
    </row>
    <row r="7917" spans="1:1" x14ac:dyDescent="0.25">
      <c r="A7917" s="5"/>
    </row>
    <row r="7918" spans="1:1" x14ac:dyDescent="0.25">
      <c r="A7918" s="5"/>
    </row>
    <row r="7919" spans="1:1" x14ac:dyDescent="0.25">
      <c r="A7919" s="5"/>
    </row>
    <row r="7920" spans="1:1" x14ac:dyDescent="0.25">
      <c r="A7920" s="5"/>
    </row>
    <row r="7921" spans="1:1" x14ac:dyDescent="0.25">
      <c r="A7921" s="5"/>
    </row>
    <row r="7922" spans="1:1" x14ac:dyDescent="0.25">
      <c r="A7922" s="5"/>
    </row>
    <row r="7923" spans="1:1" x14ac:dyDescent="0.25">
      <c r="A7923" s="5"/>
    </row>
    <row r="7924" spans="1:1" x14ac:dyDescent="0.25">
      <c r="A7924" s="5"/>
    </row>
    <row r="7925" spans="1:1" x14ac:dyDescent="0.25">
      <c r="A7925" s="5"/>
    </row>
    <row r="7926" spans="1:1" x14ac:dyDescent="0.25">
      <c r="A7926" s="5"/>
    </row>
    <row r="7927" spans="1:1" x14ac:dyDescent="0.25">
      <c r="A7927" s="5"/>
    </row>
    <row r="7928" spans="1:1" x14ac:dyDescent="0.25">
      <c r="A7928" s="5"/>
    </row>
    <row r="7929" spans="1:1" x14ac:dyDescent="0.25">
      <c r="A7929" s="5"/>
    </row>
    <row r="7930" spans="1:1" x14ac:dyDescent="0.25">
      <c r="A7930" s="5"/>
    </row>
    <row r="7931" spans="1:1" x14ac:dyDescent="0.25">
      <c r="A7931" s="5"/>
    </row>
    <row r="7932" spans="1:1" x14ac:dyDescent="0.25">
      <c r="A7932" s="5"/>
    </row>
    <row r="7933" spans="1:1" x14ac:dyDescent="0.25">
      <c r="A7933" s="5"/>
    </row>
    <row r="7934" spans="1:1" x14ac:dyDescent="0.25">
      <c r="A7934" s="5"/>
    </row>
    <row r="7935" spans="1:1" x14ac:dyDescent="0.25">
      <c r="A7935" s="5"/>
    </row>
    <row r="7936" spans="1:1" x14ac:dyDescent="0.25">
      <c r="A7936" s="5"/>
    </row>
    <row r="7937" spans="1:1" x14ac:dyDescent="0.25">
      <c r="A7937" s="5"/>
    </row>
    <row r="7938" spans="1:1" x14ac:dyDescent="0.25">
      <c r="A7938" s="5"/>
    </row>
    <row r="7939" spans="1:1" x14ac:dyDescent="0.25">
      <c r="A7939" s="5"/>
    </row>
    <row r="7940" spans="1:1" x14ac:dyDescent="0.25">
      <c r="A7940" s="5"/>
    </row>
    <row r="7941" spans="1:1" x14ac:dyDescent="0.25">
      <c r="A7941" s="5"/>
    </row>
    <row r="7942" spans="1:1" x14ac:dyDescent="0.25">
      <c r="A7942" s="5"/>
    </row>
    <row r="7943" spans="1:1" x14ac:dyDescent="0.25">
      <c r="A7943" s="5"/>
    </row>
    <row r="7944" spans="1:1" x14ac:dyDescent="0.25">
      <c r="A7944" s="5"/>
    </row>
    <row r="7945" spans="1:1" x14ac:dyDescent="0.25">
      <c r="A7945" s="5"/>
    </row>
    <row r="7946" spans="1:1" x14ac:dyDescent="0.25">
      <c r="A7946" s="5"/>
    </row>
    <row r="7947" spans="1:1" x14ac:dyDescent="0.25">
      <c r="A7947" s="5"/>
    </row>
    <row r="7948" spans="1:1" x14ac:dyDescent="0.25">
      <c r="A7948" s="5"/>
    </row>
    <row r="7949" spans="1:1" x14ac:dyDescent="0.25">
      <c r="A7949" s="5"/>
    </row>
    <row r="7950" spans="1:1" x14ac:dyDescent="0.25">
      <c r="A7950" s="5"/>
    </row>
    <row r="7951" spans="1:1" x14ac:dyDescent="0.25">
      <c r="A7951" s="5"/>
    </row>
    <row r="7952" spans="1:1" x14ac:dyDescent="0.25">
      <c r="A7952" s="5"/>
    </row>
    <row r="7953" spans="1:1" x14ac:dyDescent="0.25">
      <c r="A7953" s="5"/>
    </row>
    <row r="7954" spans="1:1" x14ac:dyDescent="0.25">
      <c r="A7954" s="5"/>
    </row>
    <row r="7955" spans="1:1" x14ac:dyDescent="0.25">
      <c r="A7955" s="5"/>
    </row>
    <row r="7956" spans="1:1" x14ac:dyDescent="0.25">
      <c r="A7956" s="5"/>
    </row>
    <row r="7957" spans="1:1" x14ac:dyDescent="0.25">
      <c r="A7957" s="5"/>
    </row>
    <row r="7958" spans="1:1" x14ac:dyDescent="0.25">
      <c r="A7958" s="5"/>
    </row>
    <row r="7959" spans="1:1" x14ac:dyDescent="0.25">
      <c r="A7959" s="5"/>
    </row>
    <row r="7960" spans="1:1" x14ac:dyDescent="0.25">
      <c r="A7960" s="5"/>
    </row>
    <row r="7961" spans="1:1" x14ac:dyDescent="0.25">
      <c r="A7961" s="5"/>
    </row>
    <row r="7962" spans="1:1" x14ac:dyDescent="0.25">
      <c r="A7962" s="5"/>
    </row>
    <row r="7963" spans="1:1" x14ac:dyDescent="0.25">
      <c r="A7963" s="5"/>
    </row>
    <row r="7964" spans="1:1" x14ac:dyDescent="0.25">
      <c r="A7964" s="5"/>
    </row>
    <row r="7965" spans="1:1" x14ac:dyDescent="0.25">
      <c r="A7965" s="5"/>
    </row>
    <row r="7966" spans="1:1" x14ac:dyDescent="0.25">
      <c r="A7966" s="5"/>
    </row>
    <row r="7967" spans="1:1" x14ac:dyDescent="0.25">
      <c r="A7967" s="5"/>
    </row>
    <row r="7968" spans="1:1" x14ac:dyDescent="0.25">
      <c r="A7968" s="5"/>
    </row>
    <row r="7969" spans="1:1" x14ac:dyDescent="0.25">
      <c r="A7969" s="5"/>
    </row>
    <row r="7970" spans="1:1" x14ac:dyDescent="0.25">
      <c r="A7970" s="5"/>
    </row>
    <row r="7971" spans="1:1" x14ac:dyDescent="0.25">
      <c r="A7971" s="5"/>
    </row>
    <row r="7972" spans="1:1" x14ac:dyDescent="0.25">
      <c r="A7972" s="5"/>
    </row>
    <row r="7973" spans="1:1" x14ac:dyDescent="0.25">
      <c r="A7973" s="5"/>
    </row>
    <row r="7974" spans="1:1" x14ac:dyDescent="0.25">
      <c r="A7974" s="5"/>
    </row>
    <row r="7975" spans="1:1" x14ac:dyDescent="0.25">
      <c r="A7975" s="5"/>
    </row>
    <row r="7976" spans="1:1" x14ac:dyDescent="0.25">
      <c r="A7976" s="5"/>
    </row>
    <row r="7977" spans="1:1" x14ac:dyDescent="0.25">
      <c r="A7977" s="5"/>
    </row>
    <row r="7978" spans="1:1" x14ac:dyDescent="0.25">
      <c r="A7978" s="5"/>
    </row>
    <row r="7979" spans="1:1" x14ac:dyDescent="0.25">
      <c r="A7979" s="5"/>
    </row>
    <row r="7980" spans="1:1" x14ac:dyDescent="0.25">
      <c r="A7980" s="5"/>
    </row>
    <row r="7981" spans="1:1" x14ac:dyDescent="0.25">
      <c r="A7981" s="5"/>
    </row>
    <row r="7982" spans="1:1" x14ac:dyDescent="0.25">
      <c r="A7982" s="5"/>
    </row>
    <row r="7983" spans="1:1" x14ac:dyDescent="0.25">
      <c r="A7983" s="5"/>
    </row>
    <row r="7984" spans="1:1" x14ac:dyDescent="0.25">
      <c r="A7984" s="5"/>
    </row>
    <row r="7985" spans="1:1" x14ac:dyDescent="0.25">
      <c r="A7985" s="5"/>
    </row>
    <row r="7986" spans="1:1" x14ac:dyDescent="0.25">
      <c r="A7986" s="5"/>
    </row>
    <row r="7987" spans="1:1" x14ac:dyDescent="0.25">
      <c r="A7987" s="5"/>
    </row>
    <row r="7988" spans="1:1" x14ac:dyDescent="0.25">
      <c r="A7988" s="5"/>
    </row>
    <row r="7989" spans="1:1" x14ac:dyDescent="0.25">
      <c r="A7989" s="5"/>
    </row>
    <row r="7990" spans="1:1" x14ac:dyDescent="0.25">
      <c r="A7990" s="5"/>
    </row>
    <row r="7991" spans="1:1" x14ac:dyDescent="0.25">
      <c r="A7991" s="5"/>
    </row>
    <row r="7992" spans="1:1" x14ac:dyDescent="0.25">
      <c r="A7992" s="5"/>
    </row>
    <row r="7993" spans="1:1" x14ac:dyDescent="0.25">
      <c r="A7993" s="5"/>
    </row>
    <row r="7994" spans="1:1" x14ac:dyDescent="0.25">
      <c r="A7994" s="5"/>
    </row>
    <row r="7995" spans="1:1" x14ac:dyDescent="0.25">
      <c r="A7995" s="5"/>
    </row>
    <row r="7996" spans="1:1" x14ac:dyDescent="0.25">
      <c r="A7996" s="5"/>
    </row>
    <row r="7997" spans="1:1" x14ac:dyDescent="0.25">
      <c r="A7997" s="5"/>
    </row>
    <row r="7998" spans="1:1" x14ac:dyDescent="0.25">
      <c r="A7998" s="5"/>
    </row>
    <row r="7999" spans="1:1" x14ac:dyDescent="0.25">
      <c r="A7999" s="5"/>
    </row>
    <row r="8000" spans="1:1" x14ac:dyDescent="0.25">
      <c r="A8000" s="5"/>
    </row>
    <row r="8001" spans="1:1" x14ac:dyDescent="0.25">
      <c r="A8001" s="5"/>
    </row>
    <row r="8002" spans="1:1" x14ac:dyDescent="0.25">
      <c r="A8002" s="5"/>
    </row>
    <row r="8003" spans="1:1" x14ac:dyDescent="0.25">
      <c r="A8003" s="5"/>
    </row>
    <row r="8004" spans="1:1" x14ac:dyDescent="0.25">
      <c r="A8004" s="5"/>
    </row>
    <row r="8005" spans="1:1" x14ac:dyDescent="0.25">
      <c r="A8005" s="5"/>
    </row>
    <row r="8006" spans="1:1" x14ac:dyDescent="0.25">
      <c r="A8006" s="5"/>
    </row>
    <row r="8007" spans="1:1" x14ac:dyDescent="0.25">
      <c r="A8007" s="5"/>
    </row>
    <row r="8008" spans="1:1" x14ac:dyDescent="0.25">
      <c r="A8008" s="5"/>
    </row>
    <row r="8009" spans="1:1" x14ac:dyDescent="0.25">
      <c r="A8009" s="5"/>
    </row>
    <row r="8010" spans="1:1" x14ac:dyDescent="0.25">
      <c r="A8010" s="5"/>
    </row>
    <row r="8011" spans="1:1" x14ac:dyDescent="0.25">
      <c r="A8011" s="5"/>
    </row>
    <row r="8012" spans="1:1" x14ac:dyDescent="0.25">
      <c r="A8012" s="5"/>
    </row>
    <row r="8013" spans="1:1" x14ac:dyDescent="0.25">
      <c r="A8013" s="5"/>
    </row>
    <row r="8014" spans="1:1" x14ac:dyDescent="0.25">
      <c r="A8014" s="5"/>
    </row>
    <row r="8015" spans="1:1" x14ac:dyDescent="0.25">
      <c r="A8015" s="5"/>
    </row>
    <row r="8016" spans="1:1" x14ac:dyDescent="0.25">
      <c r="A8016" s="5"/>
    </row>
    <row r="8017" spans="1:1" x14ac:dyDescent="0.25">
      <c r="A8017" s="5"/>
    </row>
    <row r="8018" spans="1:1" x14ac:dyDescent="0.25">
      <c r="A8018" s="5"/>
    </row>
    <row r="8019" spans="1:1" x14ac:dyDescent="0.25">
      <c r="A8019" s="5"/>
    </row>
    <row r="8020" spans="1:1" x14ac:dyDescent="0.25">
      <c r="A8020" s="5"/>
    </row>
    <row r="8021" spans="1:1" x14ac:dyDescent="0.25">
      <c r="A8021" s="5"/>
    </row>
    <row r="8022" spans="1:1" x14ac:dyDescent="0.25">
      <c r="A8022" s="5"/>
    </row>
    <row r="8023" spans="1:1" x14ac:dyDescent="0.25">
      <c r="A8023" s="5"/>
    </row>
    <row r="8024" spans="1:1" x14ac:dyDescent="0.25">
      <c r="A8024" s="5"/>
    </row>
    <row r="8025" spans="1:1" x14ac:dyDescent="0.25">
      <c r="A8025" s="5"/>
    </row>
    <row r="8026" spans="1:1" x14ac:dyDescent="0.25">
      <c r="A8026" s="5"/>
    </row>
    <row r="8027" spans="1:1" x14ac:dyDescent="0.25">
      <c r="A8027" s="5"/>
    </row>
    <row r="8028" spans="1:1" x14ac:dyDescent="0.25">
      <c r="A8028" s="5"/>
    </row>
    <row r="8029" spans="1:1" x14ac:dyDescent="0.25">
      <c r="A8029" s="5"/>
    </row>
    <row r="8030" spans="1:1" x14ac:dyDescent="0.25">
      <c r="A8030" s="5"/>
    </row>
    <row r="8031" spans="1:1" x14ac:dyDescent="0.25">
      <c r="A8031" s="5"/>
    </row>
    <row r="8032" spans="1:1" x14ac:dyDescent="0.25">
      <c r="A8032" s="5"/>
    </row>
    <row r="8033" spans="1:1" x14ac:dyDescent="0.25">
      <c r="A8033" s="5"/>
    </row>
    <row r="8034" spans="1:1" x14ac:dyDescent="0.25">
      <c r="A8034" s="5"/>
    </row>
    <row r="8035" spans="1:1" x14ac:dyDescent="0.25">
      <c r="A8035" s="5"/>
    </row>
    <row r="8036" spans="1:1" x14ac:dyDescent="0.25">
      <c r="A8036" s="5"/>
    </row>
    <row r="8037" spans="1:1" x14ac:dyDescent="0.25">
      <c r="A8037" s="5"/>
    </row>
    <row r="8038" spans="1:1" x14ac:dyDescent="0.25">
      <c r="A8038" s="5"/>
    </row>
    <row r="8039" spans="1:1" x14ac:dyDescent="0.25">
      <c r="A8039" s="5"/>
    </row>
    <row r="8040" spans="1:1" x14ac:dyDescent="0.25">
      <c r="A8040" s="5"/>
    </row>
    <row r="8041" spans="1:1" x14ac:dyDescent="0.25">
      <c r="A8041" s="5"/>
    </row>
    <row r="8042" spans="1:1" x14ac:dyDescent="0.25">
      <c r="A8042" s="5"/>
    </row>
    <row r="8043" spans="1:1" x14ac:dyDescent="0.25">
      <c r="A8043" s="5"/>
    </row>
    <row r="8044" spans="1:1" x14ac:dyDescent="0.25">
      <c r="A8044" s="5"/>
    </row>
    <row r="8045" spans="1:1" x14ac:dyDescent="0.25">
      <c r="A8045" s="5"/>
    </row>
    <row r="8046" spans="1:1" x14ac:dyDescent="0.25">
      <c r="A8046" s="5"/>
    </row>
    <row r="8047" spans="1:1" x14ac:dyDescent="0.25">
      <c r="A8047" s="5"/>
    </row>
    <row r="8048" spans="1:1" x14ac:dyDescent="0.25">
      <c r="A8048" s="5"/>
    </row>
    <row r="8049" spans="1:1" x14ac:dyDescent="0.25">
      <c r="A8049" s="5"/>
    </row>
    <row r="8050" spans="1:1" x14ac:dyDescent="0.25">
      <c r="A8050" s="5"/>
    </row>
    <row r="8051" spans="1:1" x14ac:dyDescent="0.25">
      <c r="A8051" s="5"/>
    </row>
    <row r="8052" spans="1:1" x14ac:dyDescent="0.25">
      <c r="A8052" s="5"/>
    </row>
    <row r="8053" spans="1:1" x14ac:dyDescent="0.25">
      <c r="A8053" s="5"/>
    </row>
    <row r="8054" spans="1:1" x14ac:dyDescent="0.25">
      <c r="A8054" s="5"/>
    </row>
    <row r="8055" spans="1:1" x14ac:dyDescent="0.25">
      <c r="A8055" s="5"/>
    </row>
    <row r="8056" spans="1:1" x14ac:dyDescent="0.25">
      <c r="A8056" s="5"/>
    </row>
    <row r="8057" spans="1:1" x14ac:dyDescent="0.25">
      <c r="A8057" s="5"/>
    </row>
    <row r="8058" spans="1:1" x14ac:dyDescent="0.25">
      <c r="A8058" s="5"/>
    </row>
    <row r="8059" spans="1:1" x14ac:dyDescent="0.25">
      <c r="A8059" s="5"/>
    </row>
    <row r="8060" spans="1:1" x14ac:dyDescent="0.25">
      <c r="A8060" s="5"/>
    </row>
    <row r="8061" spans="1:1" x14ac:dyDescent="0.25">
      <c r="A8061" s="5"/>
    </row>
    <row r="8062" spans="1:1" x14ac:dyDescent="0.25">
      <c r="A8062" s="5"/>
    </row>
    <row r="8063" spans="1:1" x14ac:dyDescent="0.25">
      <c r="A8063" s="5"/>
    </row>
    <row r="8064" spans="1:1" x14ac:dyDescent="0.25">
      <c r="A8064" s="5"/>
    </row>
    <row r="8065" spans="1:1" x14ac:dyDescent="0.25">
      <c r="A8065" s="5"/>
    </row>
    <row r="8066" spans="1:1" x14ac:dyDescent="0.25">
      <c r="A8066" s="5"/>
    </row>
    <row r="8067" spans="1:1" x14ac:dyDescent="0.25">
      <c r="A8067" s="5"/>
    </row>
    <row r="8068" spans="1:1" x14ac:dyDescent="0.25">
      <c r="A8068" s="5"/>
    </row>
    <row r="8069" spans="1:1" x14ac:dyDescent="0.25">
      <c r="A8069" s="5"/>
    </row>
    <row r="8070" spans="1:1" x14ac:dyDescent="0.25">
      <c r="A8070" s="5"/>
    </row>
    <row r="8071" spans="1:1" x14ac:dyDescent="0.25">
      <c r="A8071" s="5"/>
    </row>
    <row r="8072" spans="1:1" x14ac:dyDescent="0.25">
      <c r="A8072" s="5"/>
    </row>
    <row r="8073" spans="1:1" x14ac:dyDescent="0.25">
      <c r="A8073" s="5"/>
    </row>
    <row r="8074" spans="1:1" x14ac:dyDescent="0.25">
      <c r="A8074" s="5"/>
    </row>
    <row r="8075" spans="1:1" x14ac:dyDescent="0.25">
      <c r="A8075" s="5"/>
    </row>
    <row r="8076" spans="1:1" x14ac:dyDescent="0.25">
      <c r="A8076" s="5"/>
    </row>
    <row r="8077" spans="1:1" x14ac:dyDescent="0.25">
      <c r="A8077" s="5"/>
    </row>
    <row r="8078" spans="1:1" x14ac:dyDescent="0.25">
      <c r="A8078" s="5"/>
    </row>
    <row r="8079" spans="1:1" x14ac:dyDescent="0.25">
      <c r="A8079" s="5"/>
    </row>
    <row r="8080" spans="1:1" x14ac:dyDescent="0.25">
      <c r="A8080" s="5"/>
    </row>
    <row r="8081" spans="1:1" x14ac:dyDescent="0.25">
      <c r="A8081" s="5"/>
    </row>
    <row r="8082" spans="1:1" x14ac:dyDescent="0.25">
      <c r="A8082" s="5"/>
    </row>
    <row r="8083" spans="1:1" x14ac:dyDescent="0.25">
      <c r="A8083" s="5"/>
    </row>
    <row r="8084" spans="1:1" x14ac:dyDescent="0.25">
      <c r="A8084" s="5"/>
    </row>
    <row r="8085" spans="1:1" x14ac:dyDescent="0.25">
      <c r="A8085" s="5"/>
    </row>
    <row r="8086" spans="1:1" x14ac:dyDescent="0.25">
      <c r="A8086" s="5"/>
    </row>
    <row r="8087" spans="1:1" x14ac:dyDescent="0.25">
      <c r="A8087" s="5"/>
    </row>
    <row r="8088" spans="1:1" x14ac:dyDescent="0.25">
      <c r="A8088" s="5"/>
    </row>
    <row r="8089" spans="1:1" x14ac:dyDescent="0.25">
      <c r="A8089" s="5"/>
    </row>
    <row r="8090" spans="1:1" x14ac:dyDescent="0.25">
      <c r="A8090" s="5"/>
    </row>
    <row r="8091" spans="1:1" x14ac:dyDescent="0.25">
      <c r="A8091" s="5"/>
    </row>
    <row r="8092" spans="1:1" x14ac:dyDescent="0.25">
      <c r="A8092" s="5"/>
    </row>
    <row r="8093" spans="1:1" x14ac:dyDescent="0.25">
      <c r="A8093" s="5"/>
    </row>
    <row r="8094" spans="1:1" x14ac:dyDescent="0.25">
      <c r="A8094" s="5"/>
    </row>
    <row r="8095" spans="1:1" x14ac:dyDescent="0.25">
      <c r="A8095" s="5"/>
    </row>
    <row r="8096" spans="1:1" x14ac:dyDescent="0.25">
      <c r="A8096" s="5"/>
    </row>
    <row r="8097" spans="1:1" x14ac:dyDescent="0.25">
      <c r="A8097" s="5"/>
    </row>
    <row r="8098" spans="1:1" x14ac:dyDescent="0.25">
      <c r="A8098" s="5"/>
    </row>
    <row r="8099" spans="1:1" x14ac:dyDescent="0.25">
      <c r="A8099" s="5"/>
    </row>
    <row r="8100" spans="1:1" x14ac:dyDescent="0.25">
      <c r="A8100" s="5"/>
    </row>
    <row r="8101" spans="1:1" x14ac:dyDescent="0.25">
      <c r="A8101" s="5"/>
    </row>
    <row r="8102" spans="1:1" x14ac:dyDescent="0.25">
      <c r="A8102" s="5"/>
    </row>
    <row r="8103" spans="1:1" x14ac:dyDescent="0.25">
      <c r="A8103" s="5"/>
    </row>
    <row r="8104" spans="1:1" x14ac:dyDescent="0.25">
      <c r="A8104" s="5"/>
    </row>
    <row r="8105" spans="1:1" x14ac:dyDescent="0.25">
      <c r="A8105" s="5"/>
    </row>
    <row r="8106" spans="1:1" x14ac:dyDescent="0.25">
      <c r="A8106" s="5"/>
    </row>
    <row r="8107" spans="1:1" x14ac:dyDescent="0.25">
      <c r="A8107" s="5"/>
    </row>
    <row r="8108" spans="1:1" x14ac:dyDescent="0.25">
      <c r="A8108" s="5"/>
    </row>
    <row r="8109" spans="1:1" x14ac:dyDescent="0.25">
      <c r="A8109" s="5"/>
    </row>
    <row r="8110" spans="1:1" x14ac:dyDescent="0.25">
      <c r="A8110" s="5"/>
    </row>
    <row r="8111" spans="1:1" x14ac:dyDescent="0.25">
      <c r="A8111" s="5"/>
    </row>
    <row r="8112" spans="1:1" x14ac:dyDescent="0.25">
      <c r="A8112" s="5"/>
    </row>
    <row r="8113" spans="1:1" x14ac:dyDescent="0.25">
      <c r="A8113" s="5"/>
    </row>
    <row r="8114" spans="1:1" x14ac:dyDescent="0.25">
      <c r="A8114" s="5"/>
    </row>
    <row r="8115" spans="1:1" x14ac:dyDescent="0.25">
      <c r="A8115" s="5"/>
    </row>
    <row r="8116" spans="1:1" x14ac:dyDescent="0.25">
      <c r="A8116" s="5"/>
    </row>
    <row r="8117" spans="1:1" x14ac:dyDescent="0.25">
      <c r="A8117" s="5"/>
    </row>
    <row r="8118" spans="1:1" x14ac:dyDescent="0.25">
      <c r="A8118" s="5"/>
    </row>
    <row r="8119" spans="1:1" x14ac:dyDescent="0.25">
      <c r="A8119" s="5"/>
    </row>
    <row r="8120" spans="1:1" x14ac:dyDescent="0.25">
      <c r="A8120" s="5"/>
    </row>
    <row r="8121" spans="1:1" x14ac:dyDescent="0.25">
      <c r="A8121" s="5"/>
    </row>
    <row r="8122" spans="1:1" x14ac:dyDescent="0.25">
      <c r="A8122" s="5"/>
    </row>
    <row r="8123" spans="1:1" x14ac:dyDescent="0.25">
      <c r="A8123" s="5"/>
    </row>
    <row r="8124" spans="1:1" x14ac:dyDescent="0.25">
      <c r="A8124" s="5"/>
    </row>
    <row r="8125" spans="1:1" x14ac:dyDescent="0.25">
      <c r="A8125" s="5"/>
    </row>
    <row r="8126" spans="1:1" x14ac:dyDescent="0.25">
      <c r="A8126" s="5"/>
    </row>
    <row r="8127" spans="1:1" x14ac:dyDescent="0.25">
      <c r="A8127" s="5"/>
    </row>
    <row r="8128" spans="1:1" x14ac:dyDescent="0.25">
      <c r="A8128" s="5"/>
    </row>
    <row r="8129" spans="1:1" x14ac:dyDescent="0.25">
      <c r="A8129" s="5"/>
    </row>
    <row r="8130" spans="1:1" x14ac:dyDescent="0.25">
      <c r="A8130" s="5"/>
    </row>
    <row r="8131" spans="1:1" x14ac:dyDescent="0.25">
      <c r="A8131" s="5"/>
    </row>
    <row r="8132" spans="1:1" x14ac:dyDescent="0.25">
      <c r="A8132" s="5"/>
    </row>
    <row r="8133" spans="1:1" x14ac:dyDescent="0.25">
      <c r="A8133" s="5"/>
    </row>
    <row r="8134" spans="1:1" x14ac:dyDescent="0.25">
      <c r="A8134" s="5"/>
    </row>
    <row r="8135" spans="1:1" x14ac:dyDescent="0.25">
      <c r="A8135" s="5"/>
    </row>
    <row r="8136" spans="1:1" x14ac:dyDescent="0.25">
      <c r="A8136" s="5"/>
    </row>
    <row r="8137" spans="1:1" x14ac:dyDescent="0.25">
      <c r="A8137" s="5"/>
    </row>
    <row r="8138" spans="1:1" x14ac:dyDescent="0.25">
      <c r="A8138" s="5"/>
    </row>
    <row r="8139" spans="1:1" x14ac:dyDescent="0.25">
      <c r="A8139" s="5"/>
    </row>
    <row r="8140" spans="1:1" x14ac:dyDescent="0.25">
      <c r="A8140" s="5"/>
    </row>
    <row r="8141" spans="1:1" x14ac:dyDescent="0.25">
      <c r="A8141" s="5"/>
    </row>
    <row r="8142" spans="1:1" x14ac:dyDescent="0.25">
      <c r="A8142" s="5"/>
    </row>
    <row r="8143" spans="1:1" x14ac:dyDescent="0.25">
      <c r="A8143" s="5"/>
    </row>
    <row r="8144" spans="1:1" x14ac:dyDescent="0.25">
      <c r="A8144" s="5"/>
    </row>
    <row r="8145" spans="1:1" x14ac:dyDescent="0.25">
      <c r="A8145" s="5"/>
    </row>
    <row r="8146" spans="1:1" x14ac:dyDescent="0.25">
      <c r="A8146" s="5"/>
    </row>
    <row r="8147" spans="1:1" x14ac:dyDescent="0.25">
      <c r="A8147" s="5"/>
    </row>
    <row r="8148" spans="1:1" x14ac:dyDescent="0.25">
      <c r="A8148" s="5"/>
    </row>
    <row r="8149" spans="1:1" x14ac:dyDescent="0.25">
      <c r="A8149" s="5"/>
    </row>
    <row r="8150" spans="1:1" x14ac:dyDescent="0.25">
      <c r="A8150" s="5"/>
    </row>
    <row r="8151" spans="1:1" x14ac:dyDescent="0.25">
      <c r="A8151" s="5"/>
    </row>
    <row r="8152" spans="1:1" x14ac:dyDescent="0.25">
      <c r="A8152" s="5"/>
    </row>
    <row r="8153" spans="1:1" x14ac:dyDescent="0.25">
      <c r="A8153" s="5"/>
    </row>
    <row r="8154" spans="1:1" x14ac:dyDescent="0.25">
      <c r="A8154" s="5"/>
    </row>
    <row r="8155" spans="1:1" x14ac:dyDescent="0.25">
      <c r="A8155" s="5"/>
    </row>
    <row r="8156" spans="1:1" x14ac:dyDescent="0.25">
      <c r="A8156" s="5"/>
    </row>
    <row r="8157" spans="1:1" x14ac:dyDescent="0.25">
      <c r="A8157" s="5"/>
    </row>
    <row r="8158" spans="1:1" x14ac:dyDescent="0.25">
      <c r="A8158" s="5"/>
    </row>
    <row r="8159" spans="1:1" x14ac:dyDescent="0.25">
      <c r="A8159" s="5"/>
    </row>
    <row r="8160" spans="1:1" x14ac:dyDescent="0.25">
      <c r="A8160" s="5"/>
    </row>
    <row r="8161" spans="1:1" x14ac:dyDescent="0.25">
      <c r="A8161" s="5"/>
    </row>
    <row r="8162" spans="1:1" x14ac:dyDescent="0.25">
      <c r="A8162" s="5"/>
    </row>
    <row r="8163" spans="1:1" x14ac:dyDescent="0.25">
      <c r="A8163" s="5"/>
    </row>
    <row r="8164" spans="1:1" x14ac:dyDescent="0.25">
      <c r="A8164" s="5"/>
    </row>
    <row r="8165" spans="1:1" x14ac:dyDescent="0.25">
      <c r="A8165" s="5"/>
    </row>
    <row r="8166" spans="1:1" x14ac:dyDescent="0.25">
      <c r="A8166" s="5"/>
    </row>
    <row r="8167" spans="1:1" x14ac:dyDescent="0.25">
      <c r="A8167" s="5"/>
    </row>
    <row r="8168" spans="1:1" x14ac:dyDescent="0.25">
      <c r="A8168" s="5"/>
    </row>
    <row r="8169" spans="1:1" x14ac:dyDescent="0.25">
      <c r="A8169" s="5"/>
    </row>
    <row r="8170" spans="1:1" x14ac:dyDescent="0.25">
      <c r="A8170" s="5"/>
    </row>
    <row r="8171" spans="1:1" x14ac:dyDescent="0.25">
      <c r="A8171" s="5"/>
    </row>
    <row r="8172" spans="1:1" x14ac:dyDescent="0.25">
      <c r="A8172" s="5"/>
    </row>
    <row r="8173" spans="1:1" x14ac:dyDescent="0.25">
      <c r="A8173" s="5"/>
    </row>
    <row r="8174" spans="1:1" x14ac:dyDescent="0.25">
      <c r="A8174" s="5"/>
    </row>
    <row r="8175" spans="1:1" x14ac:dyDescent="0.25">
      <c r="A8175" s="5"/>
    </row>
    <row r="8176" spans="1:1" x14ac:dyDescent="0.25">
      <c r="A8176" s="5"/>
    </row>
    <row r="8177" spans="1:1" x14ac:dyDescent="0.25">
      <c r="A8177" s="5"/>
    </row>
    <row r="8178" spans="1:1" x14ac:dyDescent="0.25">
      <c r="A8178" s="5"/>
    </row>
    <row r="8179" spans="1:1" x14ac:dyDescent="0.25">
      <c r="A8179" s="5"/>
    </row>
    <row r="8180" spans="1:1" x14ac:dyDescent="0.25">
      <c r="A8180" s="5"/>
    </row>
    <row r="8181" spans="1:1" x14ac:dyDescent="0.25">
      <c r="A8181" s="5"/>
    </row>
    <row r="8182" spans="1:1" x14ac:dyDescent="0.25">
      <c r="A8182" s="5"/>
    </row>
    <row r="8183" spans="1:1" x14ac:dyDescent="0.25">
      <c r="A8183" s="5"/>
    </row>
    <row r="8184" spans="1:1" x14ac:dyDescent="0.25">
      <c r="A8184" s="5"/>
    </row>
    <row r="8185" spans="1:1" x14ac:dyDescent="0.25">
      <c r="A8185" s="5"/>
    </row>
    <row r="8186" spans="1:1" x14ac:dyDescent="0.25">
      <c r="A8186" s="5"/>
    </row>
    <row r="8187" spans="1:1" x14ac:dyDescent="0.25">
      <c r="A8187" s="5"/>
    </row>
    <row r="8188" spans="1:1" x14ac:dyDescent="0.25">
      <c r="A8188" s="5"/>
    </row>
    <row r="8189" spans="1:1" x14ac:dyDescent="0.25">
      <c r="A8189" s="5"/>
    </row>
    <row r="8190" spans="1:1" x14ac:dyDescent="0.25">
      <c r="A8190" s="5"/>
    </row>
    <row r="8191" spans="1:1" x14ac:dyDescent="0.25">
      <c r="A8191" s="5"/>
    </row>
    <row r="8192" spans="1:1" x14ac:dyDescent="0.25">
      <c r="A8192" s="5"/>
    </row>
    <row r="8193" spans="1:1" x14ac:dyDescent="0.25">
      <c r="A8193" s="5"/>
    </row>
    <row r="8194" spans="1:1" x14ac:dyDescent="0.25">
      <c r="A8194" s="5"/>
    </row>
    <row r="8195" spans="1:1" x14ac:dyDescent="0.25">
      <c r="A8195" s="5"/>
    </row>
    <row r="8196" spans="1:1" x14ac:dyDescent="0.25">
      <c r="A8196" s="5"/>
    </row>
    <row r="8197" spans="1:1" x14ac:dyDescent="0.25">
      <c r="A8197" s="5"/>
    </row>
    <row r="8198" spans="1:1" x14ac:dyDescent="0.25">
      <c r="A8198" s="5"/>
    </row>
    <row r="8199" spans="1:1" x14ac:dyDescent="0.25">
      <c r="A8199" s="5"/>
    </row>
    <row r="8200" spans="1:1" x14ac:dyDescent="0.25">
      <c r="A8200" s="5"/>
    </row>
    <row r="8201" spans="1:1" x14ac:dyDescent="0.25">
      <c r="A8201" s="5"/>
    </row>
    <row r="8202" spans="1:1" x14ac:dyDescent="0.25">
      <c r="A8202" s="5"/>
    </row>
    <row r="8203" spans="1:1" x14ac:dyDescent="0.25">
      <c r="A8203" s="5"/>
    </row>
    <row r="8204" spans="1:1" x14ac:dyDescent="0.25">
      <c r="A8204" s="5"/>
    </row>
    <row r="8205" spans="1:1" x14ac:dyDescent="0.25">
      <c r="A8205" s="5"/>
    </row>
    <row r="8206" spans="1:1" x14ac:dyDescent="0.25">
      <c r="A8206" s="5"/>
    </row>
    <row r="8207" spans="1:1" x14ac:dyDescent="0.25">
      <c r="A8207" s="5"/>
    </row>
    <row r="8208" spans="1:1" x14ac:dyDescent="0.25">
      <c r="A8208" s="5"/>
    </row>
    <row r="8209" spans="1:1" x14ac:dyDescent="0.25">
      <c r="A8209" s="5"/>
    </row>
    <row r="8210" spans="1:1" x14ac:dyDescent="0.25">
      <c r="A8210" s="5"/>
    </row>
    <row r="8211" spans="1:1" x14ac:dyDescent="0.25">
      <c r="A8211" s="5"/>
    </row>
    <row r="8212" spans="1:1" x14ac:dyDescent="0.25">
      <c r="A8212" s="5"/>
    </row>
    <row r="8213" spans="1:1" x14ac:dyDescent="0.25">
      <c r="A8213" s="5"/>
    </row>
    <row r="8214" spans="1:1" x14ac:dyDescent="0.25">
      <c r="A8214" s="5"/>
    </row>
    <row r="8215" spans="1:1" x14ac:dyDescent="0.25">
      <c r="A8215" s="5"/>
    </row>
    <row r="8216" spans="1:1" x14ac:dyDescent="0.25">
      <c r="A8216" s="5"/>
    </row>
    <row r="8217" spans="1:1" x14ac:dyDescent="0.25">
      <c r="A8217" s="5"/>
    </row>
    <row r="8218" spans="1:1" x14ac:dyDescent="0.25">
      <c r="A8218" s="5"/>
    </row>
    <row r="8219" spans="1:1" x14ac:dyDescent="0.25">
      <c r="A8219" s="5"/>
    </row>
    <row r="8220" spans="1:1" x14ac:dyDescent="0.25">
      <c r="A8220" s="5"/>
    </row>
    <row r="8221" spans="1:1" x14ac:dyDescent="0.25">
      <c r="A8221" s="5"/>
    </row>
    <row r="8222" spans="1:1" x14ac:dyDescent="0.25">
      <c r="A8222" s="5"/>
    </row>
    <row r="8223" spans="1:1" x14ac:dyDescent="0.25">
      <c r="A8223" s="5"/>
    </row>
    <row r="8224" spans="1:1" x14ac:dyDescent="0.25">
      <c r="A8224" s="5"/>
    </row>
    <row r="8225" spans="1:1" x14ac:dyDescent="0.25">
      <c r="A8225" s="5"/>
    </row>
    <row r="8226" spans="1:1" x14ac:dyDescent="0.25">
      <c r="A8226" s="5"/>
    </row>
    <row r="8227" spans="1:1" x14ac:dyDescent="0.25">
      <c r="A8227" s="5"/>
    </row>
    <row r="8228" spans="1:1" x14ac:dyDescent="0.25">
      <c r="A8228" s="5"/>
    </row>
    <row r="8229" spans="1:1" x14ac:dyDescent="0.25">
      <c r="A8229" s="5"/>
    </row>
    <row r="8230" spans="1:1" x14ac:dyDescent="0.25">
      <c r="A8230" s="5"/>
    </row>
    <row r="8231" spans="1:1" x14ac:dyDescent="0.25">
      <c r="A8231" s="5"/>
    </row>
    <row r="8232" spans="1:1" x14ac:dyDescent="0.25">
      <c r="A8232" s="5"/>
    </row>
    <row r="8233" spans="1:1" x14ac:dyDescent="0.25">
      <c r="A8233" s="5"/>
    </row>
    <row r="8234" spans="1:1" x14ac:dyDescent="0.25">
      <c r="A8234" s="5"/>
    </row>
    <row r="8235" spans="1:1" x14ac:dyDescent="0.25">
      <c r="A8235" s="5"/>
    </row>
    <row r="8236" spans="1:1" x14ac:dyDescent="0.25">
      <c r="A8236" s="5"/>
    </row>
    <row r="8237" spans="1:1" x14ac:dyDescent="0.25">
      <c r="A8237" s="5"/>
    </row>
    <row r="8238" spans="1:1" x14ac:dyDescent="0.25">
      <c r="A8238" s="5"/>
    </row>
    <row r="8239" spans="1:1" x14ac:dyDescent="0.25">
      <c r="A8239" s="5"/>
    </row>
    <row r="8240" spans="1:1" x14ac:dyDescent="0.25">
      <c r="A8240" s="5"/>
    </row>
    <row r="8241" spans="1:1" x14ac:dyDescent="0.25">
      <c r="A8241" s="5"/>
    </row>
    <row r="8242" spans="1:1" x14ac:dyDescent="0.25">
      <c r="A8242" s="5"/>
    </row>
    <row r="8243" spans="1:1" x14ac:dyDescent="0.25">
      <c r="A8243" s="5"/>
    </row>
    <row r="8244" spans="1:1" x14ac:dyDescent="0.25">
      <c r="A8244" s="5"/>
    </row>
    <row r="8245" spans="1:1" x14ac:dyDescent="0.25">
      <c r="A8245" s="5"/>
    </row>
    <row r="8246" spans="1:1" x14ac:dyDescent="0.25">
      <c r="A8246" s="5"/>
    </row>
    <row r="8247" spans="1:1" x14ac:dyDescent="0.25">
      <c r="A8247" s="5"/>
    </row>
    <row r="8248" spans="1:1" x14ac:dyDescent="0.25">
      <c r="A8248" s="5"/>
    </row>
    <row r="8249" spans="1:1" x14ac:dyDescent="0.25">
      <c r="A8249" s="5"/>
    </row>
    <row r="8250" spans="1:1" x14ac:dyDescent="0.25">
      <c r="A8250" s="5"/>
    </row>
    <row r="8251" spans="1:1" x14ac:dyDescent="0.25">
      <c r="A8251" s="5"/>
    </row>
    <row r="8252" spans="1:1" x14ac:dyDescent="0.25">
      <c r="A8252" s="5"/>
    </row>
    <row r="8253" spans="1:1" x14ac:dyDescent="0.25">
      <c r="A8253" s="5"/>
    </row>
    <row r="8254" spans="1:1" x14ac:dyDescent="0.25">
      <c r="A8254" s="5"/>
    </row>
    <row r="8255" spans="1:1" x14ac:dyDescent="0.25">
      <c r="A8255" s="5"/>
    </row>
    <row r="8256" spans="1:1" x14ac:dyDescent="0.25">
      <c r="A8256" s="5"/>
    </row>
    <row r="8257" spans="1:1" x14ac:dyDescent="0.25">
      <c r="A8257" s="5"/>
    </row>
    <row r="8258" spans="1:1" x14ac:dyDescent="0.25">
      <c r="A8258" s="5"/>
    </row>
    <row r="8259" spans="1:1" x14ac:dyDescent="0.25">
      <c r="A8259" s="5"/>
    </row>
    <row r="8260" spans="1:1" x14ac:dyDescent="0.25">
      <c r="A8260" s="5"/>
    </row>
    <row r="8261" spans="1:1" x14ac:dyDescent="0.25">
      <c r="A8261" s="5"/>
    </row>
    <row r="8262" spans="1:1" x14ac:dyDescent="0.25">
      <c r="A8262" s="5"/>
    </row>
    <row r="8263" spans="1:1" x14ac:dyDescent="0.25">
      <c r="A8263" s="5"/>
    </row>
    <row r="8264" spans="1:1" x14ac:dyDescent="0.25">
      <c r="A8264" s="5"/>
    </row>
    <row r="8265" spans="1:1" x14ac:dyDescent="0.25">
      <c r="A8265" s="5"/>
    </row>
    <row r="8266" spans="1:1" x14ac:dyDescent="0.25">
      <c r="A8266" s="5"/>
    </row>
    <row r="8267" spans="1:1" x14ac:dyDescent="0.25">
      <c r="A8267" s="5"/>
    </row>
    <row r="8268" spans="1:1" x14ac:dyDescent="0.25">
      <c r="A8268" s="5"/>
    </row>
    <row r="8269" spans="1:1" x14ac:dyDescent="0.25">
      <c r="A8269" s="5"/>
    </row>
    <row r="8270" spans="1:1" x14ac:dyDescent="0.25">
      <c r="A8270" s="5"/>
    </row>
    <row r="8271" spans="1:1" x14ac:dyDescent="0.25">
      <c r="A8271" s="5"/>
    </row>
    <row r="8272" spans="1:1" x14ac:dyDescent="0.25">
      <c r="A8272" s="5"/>
    </row>
    <row r="8273" spans="1:1" x14ac:dyDescent="0.25">
      <c r="A8273" s="5"/>
    </row>
    <row r="8274" spans="1:1" x14ac:dyDescent="0.25">
      <c r="A8274" s="5"/>
    </row>
    <row r="8275" spans="1:1" x14ac:dyDescent="0.25">
      <c r="A8275" s="5"/>
    </row>
    <row r="8276" spans="1:1" x14ac:dyDescent="0.25">
      <c r="A8276" s="5"/>
    </row>
    <row r="8277" spans="1:1" x14ac:dyDescent="0.25">
      <c r="A8277" s="5"/>
    </row>
    <row r="8278" spans="1:1" x14ac:dyDescent="0.25">
      <c r="A8278" s="5"/>
    </row>
    <row r="8279" spans="1:1" x14ac:dyDescent="0.25">
      <c r="A8279" s="5"/>
    </row>
    <row r="8280" spans="1:1" x14ac:dyDescent="0.25">
      <c r="A8280" s="5"/>
    </row>
    <row r="8281" spans="1:1" x14ac:dyDescent="0.25">
      <c r="A8281" s="5"/>
    </row>
    <row r="8282" spans="1:1" x14ac:dyDescent="0.25">
      <c r="A8282" s="5"/>
    </row>
    <row r="8283" spans="1:1" x14ac:dyDescent="0.25">
      <c r="A8283" s="5"/>
    </row>
    <row r="8284" spans="1:1" x14ac:dyDescent="0.25">
      <c r="A8284" s="5"/>
    </row>
    <row r="8285" spans="1:1" x14ac:dyDescent="0.25">
      <c r="A8285" s="5"/>
    </row>
    <row r="8286" spans="1:1" x14ac:dyDescent="0.25">
      <c r="A8286" s="5"/>
    </row>
    <row r="8287" spans="1:1" x14ac:dyDescent="0.25">
      <c r="A8287" s="5"/>
    </row>
    <row r="8288" spans="1:1" x14ac:dyDescent="0.25">
      <c r="A8288" s="5"/>
    </row>
    <row r="8289" spans="1:1" x14ac:dyDescent="0.25">
      <c r="A8289" s="5"/>
    </row>
    <row r="8290" spans="1:1" x14ac:dyDescent="0.25">
      <c r="A8290" s="5"/>
    </row>
    <row r="8291" spans="1:1" x14ac:dyDescent="0.25">
      <c r="A8291" s="5"/>
    </row>
    <row r="8292" spans="1:1" x14ac:dyDescent="0.25">
      <c r="A8292" s="5"/>
    </row>
    <row r="8293" spans="1:1" x14ac:dyDescent="0.25">
      <c r="A8293" s="5"/>
    </row>
    <row r="8294" spans="1:1" x14ac:dyDescent="0.25">
      <c r="A8294" s="5"/>
    </row>
    <row r="8295" spans="1:1" x14ac:dyDescent="0.25">
      <c r="A8295" s="5"/>
    </row>
    <row r="8296" spans="1:1" x14ac:dyDescent="0.25">
      <c r="A8296" s="5"/>
    </row>
    <row r="8297" spans="1:1" x14ac:dyDescent="0.25">
      <c r="A8297" s="5"/>
    </row>
    <row r="8298" spans="1:1" x14ac:dyDescent="0.25">
      <c r="A8298" s="5"/>
    </row>
    <row r="8299" spans="1:1" x14ac:dyDescent="0.25">
      <c r="A8299" s="5"/>
    </row>
    <row r="8300" spans="1:1" x14ac:dyDescent="0.25">
      <c r="A8300" s="5"/>
    </row>
    <row r="8301" spans="1:1" x14ac:dyDescent="0.25">
      <c r="A8301" s="5"/>
    </row>
    <row r="8302" spans="1:1" x14ac:dyDescent="0.25">
      <c r="A8302" s="5"/>
    </row>
    <row r="8303" spans="1:1" x14ac:dyDescent="0.25">
      <c r="A8303" s="5"/>
    </row>
    <row r="8304" spans="1:1" x14ac:dyDescent="0.25">
      <c r="A8304" s="5"/>
    </row>
    <row r="8305" spans="1:1" x14ac:dyDescent="0.25">
      <c r="A8305" s="5"/>
    </row>
    <row r="8306" spans="1:1" x14ac:dyDescent="0.25">
      <c r="A8306" s="5"/>
    </row>
    <row r="8307" spans="1:1" x14ac:dyDescent="0.25">
      <c r="A8307" s="5"/>
    </row>
    <row r="8308" spans="1:1" x14ac:dyDescent="0.25">
      <c r="A8308" s="5"/>
    </row>
    <row r="8309" spans="1:1" x14ac:dyDescent="0.25">
      <c r="A8309" s="5"/>
    </row>
    <row r="8310" spans="1:1" x14ac:dyDescent="0.25">
      <c r="A8310" s="5"/>
    </row>
    <row r="8311" spans="1:1" x14ac:dyDescent="0.25">
      <c r="A8311" s="5"/>
    </row>
    <row r="8312" spans="1:1" x14ac:dyDescent="0.25">
      <c r="A8312" s="5"/>
    </row>
    <row r="8313" spans="1:1" x14ac:dyDescent="0.25">
      <c r="A8313" s="5"/>
    </row>
    <row r="8314" spans="1:1" x14ac:dyDescent="0.25">
      <c r="A8314" s="5"/>
    </row>
    <row r="8315" spans="1:1" x14ac:dyDescent="0.25">
      <c r="A8315" s="5"/>
    </row>
    <row r="8316" spans="1:1" x14ac:dyDescent="0.25">
      <c r="A8316" s="5"/>
    </row>
    <row r="8317" spans="1:1" x14ac:dyDescent="0.25">
      <c r="A8317" s="5"/>
    </row>
    <row r="8318" spans="1:1" x14ac:dyDescent="0.25">
      <c r="A8318" s="5"/>
    </row>
    <row r="8319" spans="1:1" x14ac:dyDescent="0.25">
      <c r="A8319" s="5"/>
    </row>
    <row r="8320" spans="1:1" x14ac:dyDescent="0.25">
      <c r="A8320" s="5"/>
    </row>
    <row r="8321" spans="1:1" x14ac:dyDescent="0.25">
      <c r="A8321" s="5"/>
    </row>
    <row r="8322" spans="1:1" x14ac:dyDescent="0.25">
      <c r="A8322" s="5"/>
    </row>
    <row r="8323" spans="1:1" x14ac:dyDescent="0.25">
      <c r="A8323" s="5"/>
    </row>
    <row r="8324" spans="1:1" x14ac:dyDescent="0.25">
      <c r="A8324" s="5"/>
    </row>
    <row r="8325" spans="1:1" x14ac:dyDescent="0.25">
      <c r="A8325" s="5"/>
    </row>
    <row r="8326" spans="1:1" x14ac:dyDescent="0.25">
      <c r="A8326" s="5"/>
    </row>
    <row r="8327" spans="1:1" x14ac:dyDescent="0.25">
      <c r="A8327" s="5"/>
    </row>
    <row r="8328" spans="1:1" x14ac:dyDescent="0.25">
      <c r="A8328" s="5"/>
    </row>
    <row r="8329" spans="1:1" x14ac:dyDescent="0.25">
      <c r="A8329" s="5"/>
    </row>
    <row r="8330" spans="1:1" x14ac:dyDescent="0.25">
      <c r="A8330" s="5"/>
    </row>
    <row r="8331" spans="1:1" x14ac:dyDescent="0.25">
      <c r="A8331" s="5"/>
    </row>
    <row r="8332" spans="1:1" x14ac:dyDescent="0.25">
      <c r="A8332" s="5"/>
    </row>
    <row r="8333" spans="1:1" x14ac:dyDescent="0.25">
      <c r="A8333" s="5"/>
    </row>
    <row r="8334" spans="1:1" x14ac:dyDescent="0.25">
      <c r="A8334" s="5"/>
    </row>
    <row r="8335" spans="1:1" x14ac:dyDescent="0.25">
      <c r="A8335" s="5"/>
    </row>
    <row r="8336" spans="1:1" x14ac:dyDescent="0.25">
      <c r="A8336" s="5"/>
    </row>
    <row r="8337" spans="1:1" x14ac:dyDescent="0.25">
      <c r="A8337" s="5"/>
    </row>
    <row r="8338" spans="1:1" x14ac:dyDescent="0.25">
      <c r="A8338" s="5"/>
    </row>
    <row r="8339" spans="1:1" x14ac:dyDescent="0.25">
      <c r="A8339" s="5"/>
    </row>
    <row r="8340" spans="1:1" x14ac:dyDescent="0.25">
      <c r="A8340" s="5"/>
    </row>
    <row r="8341" spans="1:1" x14ac:dyDescent="0.25">
      <c r="A8341" s="5"/>
    </row>
    <row r="8342" spans="1:1" x14ac:dyDescent="0.25">
      <c r="A8342" s="5"/>
    </row>
    <row r="8343" spans="1:1" x14ac:dyDescent="0.25">
      <c r="A8343" s="5"/>
    </row>
    <row r="8344" spans="1:1" x14ac:dyDescent="0.25">
      <c r="A8344" s="5"/>
    </row>
    <row r="8345" spans="1:1" x14ac:dyDescent="0.25">
      <c r="A8345" s="5"/>
    </row>
    <row r="8346" spans="1:1" x14ac:dyDescent="0.25">
      <c r="A8346" s="5"/>
    </row>
    <row r="8347" spans="1:1" x14ac:dyDescent="0.25">
      <c r="A8347" s="5"/>
    </row>
    <row r="8348" spans="1:1" x14ac:dyDescent="0.25">
      <c r="A8348" s="5"/>
    </row>
    <row r="8349" spans="1:1" x14ac:dyDescent="0.25">
      <c r="A8349" s="5"/>
    </row>
    <row r="8350" spans="1:1" x14ac:dyDescent="0.25">
      <c r="A8350" s="5"/>
    </row>
    <row r="8351" spans="1:1" x14ac:dyDescent="0.25">
      <c r="A8351" s="5"/>
    </row>
    <row r="8352" spans="1:1" x14ac:dyDescent="0.25">
      <c r="A8352" s="5"/>
    </row>
    <row r="8353" spans="1:1" x14ac:dyDescent="0.25">
      <c r="A8353" s="5"/>
    </row>
    <row r="8354" spans="1:1" x14ac:dyDescent="0.25">
      <c r="A8354" s="5"/>
    </row>
    <row r="8355" spans="1:1" x14ac:dyDescent="0.25">
      <c r="A8355" s="5"/>
    </row>
    <row r="8356" spans="1:1" x14ac:dyDescent="0.25">
      <c r="A8356" s="5"/>
    </row>
    <row r="8357" spans="1:1" x14ac:dyDescent="0.25">
      <c r="A8357" s="5"/>
    </row>
    <row r="8358" spans="1:1" x14ac:dyDescent="0.25">
      <c r="A8358" s="5"/>
    </row>
    <row r="8359" spans="1:1" x14ac:dyDescent="0.25">
      <c r="A8359" s="5"/>
    </row>
    <row r="8360" spans="1:1" x14ac:dyDescent="0.25">
      <c r="A8360" s="5"/>
    </row>
    <row r="8361" spans="1:1" x14ac:dyDescent="0.25">
      <c r="A8361" s="5"/>
    </row>
    <row r="8362" spans="1:1" x14ac:dyDescent="0.25">
      <c r="A8362" s="5"/>
    </row>
    <row r="8363" spans="1:1" x14ac:dyDescent="0.25">
      <c r="A8363" s="5"/>
    </row>
    <row r="8364" spans="1:1" x14ac:dyDescent="0.25">
      <c r="A8364" s="5"/>
    </row>
    <row r="8365" spans="1:1" x14ac:dyDescent="0.25">
      <c r="A8365" s="5"/>
    </row>
    <row r="8366" spans="1:1" x14ac:dyDescent="0.25">
      <c r="A8366" s="5"/>
    </row>
    <row r="8367" spans="1:1" x14ac:dyDescent="0.25">
      <c r="A8367" s="5"/>
    </row>
    <row r="8368" spans="1:1" x14ac:dyDescent="0.25">
      <c r="A8368" s="5"/>
    </row>
    <row r="8369" spans="1:1" x14ac:dyDescent="0.25">
      <c r="A8369" s="5"/>
    </row>
    <row r="8370" spans="1:1" x14ac:dyDescent="0.25">
      <c r="A8370" s="5"/>
    </row>
    <row r="8371" spans="1:1" x14ac:dyDescent="0.25">
      <c r="A8371" s="5"/>
    </row>
    <row r="8372" spans="1:1" x14ac:dyDescent="0.25">
      <c r="A8372" s="5"/>
    </row>
    <row r="8373" spans="1:1" x14ac:dyDescent="0.25">
      <c r="A8373" s="5"/>
    </row>
    <row r="8374" spans="1:1" x14ac:dyDescent="0.25">
      <c r="A8374" s="5"/>
    </row>
    <row r="8375" spans="1:1" x14ac:dyDescent="0.25">
      <c r="A8375" s="5"/>
    </row>
    <row r="8376" spans="1:1" x14ac:dyDescent="0.25">
      <c r="A8376" s="5"/>
    </row>
    <row r="8377" spans="1:1" x14ac:dyDescent="0.25">
      <c r="A8377" s="5"/>
    </row>
    <row r="8378" spans="1:1" x14ac:dyDescent="0.25">
      <c r="A8378" s="5"/>
    </row>
    <row r="8379" spans="1:1" x14ac:dyDescent="0.25">
      <c r="A8379" s="5"/>
    </row>
    <row r="8380" spans="1:1" x14ac:dyDescent="0.25">
      <c r="A8380" s="5"/>
    </row>
    <row r="8381" spans="1:1" x14ac:dyDescent="0.25">
      <c r="A8381" s="5"/>
    </row>
    <row r="8382" spans="1:1" x14ac:dyDescent="0.25">
      <c r="A8382" s="5"/>
    </row>
    <row r="8383" spans="1:1" x14ac:dyDescent="0.25">
      <c r="A8383" s="5"/>
    </row>
    <row r="8384" spans="1:1" x14ac:dyDescent="0.25">
      <c r="A8384" s="5"/>
    </row>
    <row r="8385" spans="1:1" x14ac:dyDescent="0.25">
      <c r="A8385" s="5"/>
    </row>
    <row r="8386" spans="1:1" x14ac:dyDescent="0.25">
      <c r="A8386" s="5"/>
    </row>
    <row r="8387" spans="1:1" x14ac:dyDescent="0.25">
      <c r="A8387" s="5"/>
    </row>
    <row r="8388" spans="1:1" x14ac:dyDescent="0.25">
      <c r="A8388" s="5"/>
    </row>
    <row r="8389" spans="1:1" x14ac:dyDescent="0.25">
      <c r="A8389" s="5"/>
    </row>
    <row r="8390" spans="1:1" x14ac:dyDescent="0.25">
      <c r="A8390" s="5"/>
    </row>
    <row r="8391" spans="1:1" x14ac:dyDescent="0.25">
      <c r="A8391" s="5"/>
    </row>
    <row r="8392" spans="1:1" x14ac:dyDescent="0.25">
      <c r="A8392" s="5"/>
    </row>
    <row r="8393" spans="1:1" x14ac:dyDescent="0.25">
      <c r="A8393" s="5"/>
    </row>
    <row r="8394" spans="1:1" x14ac:dyDescent="0.25">
      <c r="A8394" s="5"/>
    </row>
    <row r="8395" spans="1:1" x14ac:dyDescent="0.25">
      <c r="A8395" s="5"/>
    </row>
    <row r="8396" spans="1:1" x14ac:dyDescent="0.25">
      <c r="A8396" s="5"/>
    </row>
    <row r="8397" spans="1:1" x14ac:dyDescent="0.25">
      <c r="A8397" s="5"/>
    </row>
    <row r="8398" spans="1:1" x14ac:dyDescent="0.25">
      <c r="A8398" s="5"/>
    </row>
    <row r="8399" spans="1:1" x14ac:dyDescent="0.25">
      <c r="A8399" s="5"/>
    </row>
    <row r="8400" spans="1:1" x14ac:dyDescent="0.25">
      <c r="A8400" s="5"/>
    </row>
    <row r="8401" spans="1:1" x14ac:dyDescent="0.25">
      <c r="A8401" s="5"/>
    </row>
    <row r="8402" spans="1:1" x14ac:dyDescent="0.25">
      <c r="A8402" s="5"/>
    </row>
    <row r="8403" spans="1:1" x14ac:dyDescent="0.25">
      <c r="A8403" s="5"/>
    </row>
    <row r="8404" spans="1:1" x14ac:dyDescent="0.25">
      <c r="A8404" s="5"/>
    </row>
    <row r="8405" spans="1:1" x14ac:dyDescent="0.25">
      <c r="A8405" s="5"/>
    </row>
    <row r="8406" spans="1:1" x14ac:dyDescent="0.25">
      <c r="A8406" s="5"/>
    </row>
    <row r="8407" spans="1:1" x14ac:dyDescent="0.25">
      <c r="A8407" s="5"/>
    </row>
    <row r="8408" spans="1:1" x14ac:dyDescent="0.25">
      <c r="A8408" s="5"/>
    </row>
    <row r="8409" spans="1:1" x14ac:dyDescent="0.25">
      <c r="A8409" s="5"/>
    </row>
    <row r="8410" spans="1:1" x14ac:dyDescent="0.25">
      <c r="A8410" s="5"/>
    </row>
    <row r="8411" spans="1:1" x14ac:dyDescent="0.25">
      <c r="A8411" s="5"/>
    </row>
    <row r="8412" spans="1:1" x14ac:dyDescent="0.25">
      <c r="A8412" s="5"/>
    </row>
    <row r="8413" spans="1:1" x14ac:dyDescent="0.25">
      <c r="A8413" s="5"/>
    </row>
    <row r="8414" spans="1:1" x14ac:dyDescent="0.25">
      <c r="A8414" s="5"/>
    </row>
    <row r="8415" spans="1:1" x14ac:dyDescent="0.25">
      <c r="A8415" s="5"/>
    </row>
    <row r="8416" spans="1:1" x14ac:dyDescent="0.25">
      <c r="A8416" s="5"/>
    </row>
    <row r="8417" spans="1:1" x14ac:dyDescent="0.25">
      <c r="A8417" s="5"/>
    </row>
    <row r="8418" spans="1:1" x14ac:dyDescent="0.25">
      <c r="A8418" s="5"/>
    </row>
    <row r="8419" spans="1:1" x14ac:dyDescent="0.25">
      <c r="A8419" s="5"/>
    </row>
    <row r="8420" spans="1:1" x14ac:dyDescent="0.25">
      <c r="A8420" s="5"/>
    </row>
    <row r="8421" spans="1:1" x14ac:dyDescent="0.25">
      <c r="A8421" s="5"/>
    </row>
    <row r="8422" spans="1:1" x14ac:dyDescent="0.25">
      <c r="A8422" s="5"/>
    </row>
    <row r="8423" spans="1:1" x14ac:dyDescent="0.25">
      <c r="A8423" s="5"/>
    </row>
    <row r="8424" spans="1:1" x14ac:dyDescent="0.25">
      <c r="A8424" s="5"/>
    </row>
    <row r="8425" spans="1:1" x14ac:dyDescent="0.25">
      <c r="A8425" s="5"/>
    </row>
    <row r="8426" spans="1:1" x14ac:dyDescent="0.25">
      <c r="A8426" s="5"/>
    </row>
    <row r="8427" spans="1:1" x14ac:dyDescent="0.25">
      <c r="A8427" s="5"/>
    </row>
    <row r="8428" spans="1:1" x14ac:dyDescent="0.25">
      <c r="A8428" s="5"/>
    </row>
    <row r="8429" spans="1:1" x14ac:dyDescent="0.25">
      <c r="A8429" s="5"/>
    </row>
    <row r="8430" spans="1:1" x14ac:dyDescent="0.25">
      <c r="A8430" s="5"/>
    </row>
    <row r="8431" spans="1:1" x14ac:dyDescent="0.25">
      <c r="A8431" s="5"/>
    </row>
    <row r="8432" spans="1:1" x14ac:dyDescent="0.25">
      <c r="A8432" s="5"/>
    </row>
    <row r="8433" spans="1:1" x14ac:dyDescent="0.25">
      <c r="A8433" s="5"/>
    </row>
    <row r="8434" spans="1:1" x14ac:dyDescent="0.25">
      <c r="A8434" s="5"/>
    </row>
    <row r="8435" spans="1:1" x14ac:dyDescent="0.25">
      <c r="A8435" s="5"/>
    </row>
    <row r="8436" spans="1:1" x14ac:dyDescent="0.25">
      <c r="A8436" s="5"/>
    </row>
    <row r="8437" spans="1:1" x14ac:dyDescent="0.25">
      <c r="A8437" s="5"/>
    </row>
    <row r="8438" spans="1:1" x14ac:dyDescent="0.25">
      <c r="A8438" s="5"/>
    </row>
    <row r="8439" spans="1:1" x14ac:dyDescent="0.25">
      <c r="A8439" s="5"/>
    </row>
    <row r="8440" spans="1:1" x14ac:dyDescent="0.25">
      <c r="A8440" s="5"/>
    </row>
    <row r="8441" spans="1:1" x14ac:dyDescent="0.25">
      <c r="A8441" s="5"/>
    </row>
    <row r="8442" spans="1:1" x14ac:dyDescent="0.25">
      <c r="A8442" s="5"/>
    </row>
    <row r="8443" spans="1:1" x14ac:dyDescent="0.25">
      <c r="A8443" s="5"/>
    </row>
    <row r="8444" spans="1:1" x14ac:dyDescent="0.25">
      <c r="A8444" s="5"/>
    </row>
    <row r="8445" spans="1:1" x14ac:dyDescent="0.25">
      <c r="A8445" s="5"/>
    </row>
    <row r="8446" spans="1:1" x14ac:dyDescent="0.25">
      <c r="A8446" s="5"/>
    </row>
    <row r="8447" spans="1:1" x14ac:dyDescent="0.25">
      <c r="A8447" s="5"/>
    </row>
    <row r="8448" spans="1:1" x14ac:dyDescent="0.25">
      <c r="A8448" s="5"/>
    </row>
    <row r="8449" spans="1:1" x14ac:dyDescent="0.25">
      <c r="A8449" s="5"/>
    </row>
    <row r="8450" spans="1:1" x14ac:dyDescent="0.25">
      <c r="A8450" s="5"/>
    </row>
    <row r="8451" spans="1:1" x14ac:dyDescent="0.25">
      <c r="A8451" s="5"/>
    </row>
    <row r="8452" spans="1:1" x14ac:dyDescent="0.25">
      <c r="A8452" s="5"/>
    </row>
    <row r="8453" spans="1:1" x14ac:dyDescent="0.25">
      <c r="A8453" s="5"/>
    </row>
    <row r="8454" spans="1:1" x14ac:dyDescent="0.25">
      <c r="A8454" s="5"/>
    </row>
    <row r="8455" spans="1:1" x14ac:dyDescent="0.25">
      <c r="A8455" s="5"/>
    </row>
    <row r="8456" spans="1:1" x14ac:dyDescent="0.25">
      <c r="A8456" s="5"/>
    </row>
    <row r="8457" spans="1:1" x14ac:dyDescent="0.25">
      <c r="A8457" s="5"/>
    </row>
    <row r="8458" spans="1:1" x14ac:dyDescent="0.25">
      <c r="A8458" s="5"/>
    </row>
    <row r="8459" spans="1:1" x14ac:dyDescent="0.25">
      <c r="A8459" s="5"/>
    </row>
    <row r="8460" spans="1:1" x14ac:dyDescent="0.25">
      <c r="A8460" s="5"/>
    </row>
    <row r="8461" spans="1:1" x14ac:dyDescent="0.25">
      <c r="A8461" s="5"/>
    </row>
    <row r="8462" spans="1:1" x14ac:dyDescent="0.25">
      <c r="A8462" s="5"/>
    </row>
    <row r="8463" spans="1:1" x14ac:dyDescent="0.25">
      <c r="A8463" s="5"/>
    </row>
    <row r="8464" spans="1:1" x14ac:dyDescent="0.25">
      <c r="A8464" s="5"/>
    </row>
    <row r="8465" spans="1:1" x14ac:dyDescent="0.25">
      <c r="A8465" s="5"/>
    </row>
    <row r="8466" spans="1:1" x14ac:dyDescent="0.25">
      <c r="A8466" s="5"/>
    </row>
    <row r="8467" spans="1:1" x14ac:dyDescent="0.25">
      <c r="A8467" s="5"/>
    </row>
    <row r="8468" spans="1:1" x14ac:dyDescent="0.25">
      <c r="A8468" s="5"/>
    </row>
    <row r="8469" spans="1:1" x14ac:dyDescent="0.25">
      <c r="A8469" s="5"/>
    </row>
    <row r="8470" spans="1:1" x14ac:dyDescent="0.25">
      <c r="A8470" s="5"/>
    </row>
    <row r="8471" spans="1:1" x14ac:dyDescent="0.25">
      <c r="A8471" s="5"/>
    </row>
    <row r="8472" spans="1:1" x14ac:dyDescent="0.25">
      <c r="A8472" s="5"/>
    </row>
    <row r="8473" spans="1:1" x14ac:dyDescent="0.25">
      <c r="A8473" s="5"/>
    </row>
    <row r="8474" spans="1:1" x14ac:dyDescent="0.25">
      <c r="A8474" s="5"/>
    </row>
    <row r="8475" spans="1:1" x14ac:dyDescent="0.25">
      <c r="A8475" s="5"/>
    </row>
    <row r="8476" spans="1:1" x14ac:dyDescent="0.25">
      <c r="A8476" s="5"/>
    </row>
    <row r="8477" spans="1:1" x14ac:dyDescent="0.25">
      <c r="A8477" s="5"/>
    </row>
    <row r="8478" spans="1:1" x14ac:dyDescent="0.25">
      <c r="A8478" s="5"/>
    </row>
    <row r="8479" spans="1:1" x14ac:dyDescent="0.25">
      <c r="A8479" s="5"/>
    </row>
    <row r="8480" spans="1:1" x14ac:dyDescent="0.25">
      <c r="A8480" s="5"/>
    </row>
    <row r="8481" spans="1:1" x14ac:dyDescent="0.25">
      <c r="A8481" s="5"/>
    </row>
    <row r="8482" spans="1:1" x14ac:dyDescent="0.25">
      <c r="A8482" s="5"/>
    </row>
    <row r="8483" spans="1:1" x14ac:dyDescent="0.25">
      <c r="A8483" s="5"/>
    </row>
    <row r="8484" spans="1:1" x14ac:dyDescent="0.25">
      <c r="A8484" s="5"/>
    </row>
    <row r="8485" spans="1:1" x14ac:dyDescent="0.25">
      <c r="A8485" s="5"/>
    </row>
    <row r="8486" spans="1:1" x14ac:dyDescent="0.25">
      <c r="A8486" s="5"/>
    </row>
    <row r="8487" spans="1:1" x14ac:dyDescent="0.25">
      <c r="A8487" s="5"/>
    </row>
    <row r="8488" spans="1:1" x14ac:dyDescent="0.25">
      <c r="A8488" s="5"/>
    </row>
    <row r="8489" spans="1:1" x14ac:dyDescent="0.25">
      <c r="A8489" s="5"/>
    </row>
    <row r="8490" spans="1:1" x14ac:dyDescent="0.25">
      <c r="A8490" s="5"/>
    </row>
    <row r="8491" spans="1:1" x14ac:dyDescent="0.25">
      <c r="A8491" s="5"/>
    </row>
    <row r="8492" spans="1:1" x14ac:dyDescent="0.25">
      <c r="A8492" s="5"/>
    </row>
    <row r="8493" spans="1:1" x14ac:dyDescent="0.25">
      <c r="A8493" s="5"/>
    </row>
    <row r="8494" spans="1:1" x14ac:dyDescent="0.25">
      <c r="A8494" s="5"/>
    </row>
    <row r="8495" spans="1:1" x14ac:dyDescent="0.25">
      <c r="A8495" s="5"/>
    </row>
    <row r="8496" spans="1:1" x14ac:dyDescent="0.25">
      <c r="A8496" s="5"/>
    </row>
    <row r="8497" spans="1:1" x14ac:dyDescent="0.25">
      <c r="A8497" s="5"/>
    </row>
    <row r="8498" spans="1:1" x14ac:dyDescent="0.25">
      <c r="A8498" s="5"/>
    </row>
    <row r="8499" spans="1:1" x14ac:dyDescent="0.25">
      <c r="A8499" s="5"/>
    </row>
    <row r="8500" spans="1:1" x14ac:dyDescent="0.25">
      <c r="A8500" s="5"/>
    </row>
    <row r="8501" spans="1:1" x14ac:dyDescent="0.25">
      <c r="A8501" s="5"/>
    </row>
    <row r="8502" spans="1:1" x14ac:dyDescent="0.25">
      <c r="A8502" s="5"/>
    </row>
    <row r="8503" spans="1:1" x14ac:dyDescent="0.25">
      <c r="A8503" s="5"/>
    </row>
    <row r="8504" spans="1:1" x14ac:dyDescent="0.25">
      <c r="A8504" s="5"/>
    </row>
    <row r="8505" spans="1:1" x14ac:dyDescent="0.25">
      <c r="A8505" s="5"/>
    </row>
    <row r="8506" spans="1:1" x14ac:dyDescent="0.25">
      <c r="A8506" s="5"/>
    </row>
    <row r="8507" spans="1:1" x14ac:dyDescent="0.25">
      <c r="A8507" s="5"/>
    </row>
    <row r="8508" spans="1:1" x14ac:dyDescent="0.25">
      <c r="A8508" s="5"/>
    </row>
    <row r="8509" spans="1:1" x14ac:dyDescent="0.25">
      <c r="A8509" s="5"/>
    </row>
    <row r="8510" spans="1:1" x14ac:dyDescent="0.25">
      <c r="A8510" s="5"/>
    </row>
    <row r="8511" spans="1:1" x14ac:dyDescent="0.25">
      <c r="A8511" s="5"/>
    </row>
    <row r="8512" spans="1:1" x14ac:dyDescent="0.25">
      <c r="A8512" s="5"/>
    </row>
    <row r="8513" spans="1:1" x14ac:dyDescent="0.25">
      <c r="A8513" s="5"/>
    </row>
    <row r="8514" spans="1:1" x14ac:dyDescent="0.25">
      <c r="A8514" s="5"/>
    </row>
    <row r="8515" spans="1:1" x14ac:dyDescent="0.25">
      <c r="A8515" s="5"/>
    </row>
    <row r="8516" spans="1:1" x14ac:dyDescent="0.25">
      <c r="A8516" s="5"/>
    </row>
    <row r="8517" spans="1:1" x14ac:dyDescent="0.25">
      <c r="A8517" s="5"/>
    </row>
    <row r="8518" spans="1:1" x14ac:dyDescent="0.25">
      <c r="A8518" s="5"/>
    </row>
    <row r="8519" spans="1:1" x14ac:dyDescent="0.25">
      <c r="A8519" s="5"/>
    </row>
    <row r="8520" spans="1:1" x14ac:dyDescent="0.25">
      <c r="A8520" s="5"/>
    </row>
    <row r="8521" spans="1:1" x14ac:dyDescent="0.25">
      <c r="A8521" s="5"/>
    </row>
    <row r="8522" spans="1:1" x14ac:dyDescent="0.25">
      <c r="A8522" s="5"/>
    </row>
    <row r="8523" spans="1:1" x14ac:dyDescent="0.25">
      <c r="A8523" s="5"/>
    </row>
    <row r="8524" spans="1:1" x14ac:dyDescent="0.25">
      <c r="A8524" s="5"/>
    </row>
    <row r="8525" spans="1:1" x14ac:dyDescent="0.25">
      <c r="A8525" s="5"/>
    </row>
    <row r="8526" spans="1:1" x14ac:dyDescent="0.25">
      <c r="A8526" s="5"/>
    </row>
    <row r="8527" spans="1:1" x14ac:dyDescent="0.25">
      <c r="A8527" s="5"/>
    </row>
    <row r="8528" spans="1:1" x14ac:dyDescent="0.25">
      <c r="A8528" s="5"/>
    </row>
    <row r="8529" spans="1:1" x14ac:dyDescent="0.25">
      <c r="A8529" s="5"/>
    </row>
    <row r="8530" spans="1:1" x14ac:dyDescent="0.25">
      <c r="A8530" s="5"/>
    </row>
    <row r="8531" spans="1:1" x14ac:dyDescent="0.25">
      <c r="A8531" s="5"/>
    </row>
    <row r="8532" spans="1:1" x14ac:dyDescent="0.25">
      <c r="A8532" s="5"/>
    </row>
    <row r="8533" spans="1:1" x14ac:dyDescent="0.25">
      <c r="A8533" s="5"/>
    </row>
    <row r="8534" spans="1:1" x14ac:dyDescent="0.25">
      <c r="A8534" s="5"/>
    </row>
    <row r="8535" spans="1:1" x14ac:dyDescent="0.25">
      <c r="A8535" s="5"/>
    </row>
    <row r="8536" spans="1:1" x14ac:dyDescent="0.25">
      <c r="A8536" s="5"/>
    </row>
    <row r="8537" spans="1:1" x14ac:dyDescent="0.25">
      <c r="A8537" s="5"/>
    </row>
    <row r="8538" spans="1:1" x14ac:dyDescent="0.25">
      <c r="A8538" s="5"/>
    </row>
    <row r="8539" spans="1:1" x14ac:dyDescent="0.25">
      <c r="A8539" s="5"/>
    </row>
    <row r="8540" spans="1:1" x14ac:dyDescent="0.25">
      <c r="A8540" s="5"/>
    </row>
    <row r="8541" spans="1:1" x14ac:dyDescent="0.25">
      <c r="A8541" s="5"/>
    </row>
    <row r="8542" spans="1:1" x14ac:dyDescent="0.25">
      <c r="A8542" s="5"/>
    </row>
    <row r="8543" spans="1:1" x14ac:dyDescent="0.25">
      <c r="A8543" s="5"/>
    </row>
    <row r="8544" spans="1:1" x14ac:dyDescent="0.25">
      <c r="A8544" s="5"/>
    </row>
    <row r="8545" spans="1:1" x14ac:dyDescent="0.25">
      <c r="A8545" s="5"/>
    </row>
    <row r="8546" spans="1:1" x14ac:dyDescent="0.25">
      <c r="A8546" s="5"/>
    </row>
    <row r="8547" spans="1:1" x14ac:dyDescent="0.25">
      <c r="A8547" s="5"/>
    </row>
    <row r="8548" spans="1:1" x14ac:dyDescent="0.25">
      <c r="A8548" s="5"/>
    </row>
    <row r="8549" spans="1:1" x14ac:dyDescent="0.25">
      <c r="A8549" s="5"/>
    </row>
    <row r="8550" spans="1:1" x14ac:dyDescent="0.25">
      <c r="A8550" s="5"/>
    </row>
    <row r="8551" spans="1:1" x14ac:dyDescent="0.25">
      <c r="A8551" s="5"/>
    </row>
    <row r="8552" spans="1:1" x14ac:dyDescent="0.25">
      <c r="A8552" s="5"/>
    </row>
    <row r="8553" spans="1:1" x14ac:dyDescent="0.25">
      <c r="A8553" s="5"/>
    </row>
    <row r="8554" spans="1:1" x14ac:dyDescent="0.25">
      <c r="A8554" s="5"/>
    </row>
    <row r="8555" spans="1:1" x14ac:dyDescent="0.25">
      <c r="A8555" s="5"/>
    </row>
    <row r="8556" spans="1:1" x14ac:dyDescent="0.25">
      <c r="A8556" s="5"/>
    </row>
    <row r="8557" spans="1:1" x14ac:dyDescent="0.25">
      <c r="A8557" s="5"/>
    </row>
    <row r="8558" spans="1:1" x14ac:dyDescent="0.25">
      <c r="A8558" s="5"/>
    </row>
    <row r="8559" spans="1:1" x14ac:dyDescent="0.25">
      <c r="A8559" s="5"/>
    </row>
    <row r="8560" spans="1:1" x14ac:dyDescent="0.25">
      <c r="A8560" s="5"/>
    </row>
    <row r="8561" spans="1:1" x14ac:dyDescent="0.25">
      <c r="A8561" s="5"/>
    </row>
    <row r="8562" spans="1:1" x14ac:dyDescent="0.25">
      <c r="A8562" s="5"/>
    </row>
    <row r="8563" spans="1:1" x14ac:dyDescent="0.25">
      <c r="A8563" s="5"/>
    </row>
    <row r="8564" spans="1:1" x14ac:dyDescent="0.25">
      <c r="A8564" s="5"/>
    </row>
    <row r="8565" spans="1:1" x14ac:dyDescent="0.25">
      <c r="A8565" s="5"/>
    </row>
    <row r="8566" spans="1:1" x14ac:dyDescent="0.25">
      <c r="A8566" s="5"/>
    </row>
    <row r="8567" spans="1:1" x14ac:dyDescent="0.25">
      <c r="A8567" s="5"/>
    </row>
    <row r="8568" spans="1:1" x14ac:dyDescent="0.25">
      <c r="A8568" s="5"/>
    </row>
    <row r="8569" spans="1:1" x14ac:dyDescent="0.25">
      <c r="A8569" s="5"/>
    </row>
    <row r="8570" spans="1:1" x14ac:dyDescent="0.25">
      <c r="A8570" s="5"/>
    </row>
    <row r="8571" spans="1:1" x14ac:dyDescent="0.25">
      <c r="A8571" s="5"/>
    </row>
    <row r="8572" spans="1:1" x14ac:dyDescent="0.25">
      <c r="A8572" s="5"/>
    </row>
    <row r="8573" spans="1:1" x14ac:dyDescent="0.25">
      <c r="A8573" s="5"/>
    </row>
    <row r="8574" spans="1:1" x14ac:dyDescent="0.25">
      <c r="A8574" s="5"/>
    </row>
    <row r="8575" spans="1:1" x14ac:dyDescent="0.25">
      <c r="A8575" s="5"/>
    </row>
    <row r="8576" spans="1:1" x14ac:dyDescent="0.25">
      <c r="A8576" s="5"/>
    </row>
    <row r="8577" spans="1:1" x14ac:dyDescent="0.25">
      <c r="A8577" s="5"/>
    </row>
    <row r="8578" spans="1:1" x14ac:dyDescent="0.25">
      <c r="A8578" s="5"/>
    </row>
    <row r="8579" spans="1:1" x14ac:dyDescent="0.25">
      <c r="A8579" s="5"/>
    </row>
    <row r="8580" spans="1:1" x14ac:dyDescent="0.25">
      <c r="A8580" s="5"/>
    </row>
    <row r="8581" spans="1:1" x14ac:dyDescent="0.25">
      <c r="A8581" s="5"/>
    </row>
    <row r="8582" spans="1:1" x14ac:dyDescent="0.25">
      <c r="A8582" s="5"/>
    </row>
    <row r="8583" spans="1:1" x14ac:dyDescent="0.25">
      <c r="A8583" s="5"/>
    </row>
    <row r="8584" spans="1:1" x14ac:dyDescent="0.25">
      <c r="A8584" s="5"/>
    </row>
    <row r="8585" spans="1:1" x14ac:dyDescent="0.25">
      <c r="A8585" s="5"/>
    </row>
    <row r="8586" spans="1:1" x14ac:dyDescent="0.25">
      <c r="A8586" s="5"/>
    </row>
    <row r="8587" spans="1:1" x14ac:dyDescent="0.25">
      <c r="A8587" s="5"/>
    </row>
    <row r="8588" spans="1:1" x14ac:dyDescent="0.25">
      <c r="A8588" s="5"/>
    </row>
    <row r="8589" spans="1:1" x14ac:dyDescent="0.25">
      <c r="A8589" s="5"/>
    </row>
    <row r="8590" spans="1:1" x14ac:dyDescent="0.25">
      <c r="A8590" s="5"/>
    </row>
    <row r="8591" spans="1:1" x14ac:dyDescent="0.25">
      <c r="A8591" s="5"/>
    </row>
    <row r="8592" spans="1:1" x14ac:dyDescent="0.25">
      <c r="A8592" s="5"/>
    </row>
    <row r="8593" spans="1:1" x14ac:dyDescent="0.25">
      <c r="A8593" s="5"/>
    </row>
    <row r="8594" spans="1:1" x14ac:dyDescent="0.25">
      <c r="A8594" s="5"/>
    </row>
    <row r="8595" spans="1:1" x14ac:dyDescent="0.25">
      <c r="A8595" s="5"/>
    </row>
    <row r="8596" spans="1:1" x14ac:dyDescent="0.25">
      <c r="A8596" s="5"/>
    </row>
    <row r="8597" spans="1:1" x14ac:dyDescent="0.25">
      <c r="A8597" s="5"/>
    </row>
    <row r="8598" spans="1:1" x14ac:dyDescent="0.25">
      <c r="A8598" s="5"/>
    </row>
    <row r="8599" spans="1:1" x14ac:dyDescent="0.25">
      <c r="A8599" s="5"/>
    </row>
    <row r="8600" spans="1:1" x14ac:dyDescent="0.25">
      <c r="A8600" s="5"/>
    </row>
    <row r="8601" spans="1:1" x14ac:dyDescent="0.25">
      <c r="A8601" s="5"/>
    </row>
    <row r="8602" spans="1:1" x14ac:dyDescent="0.25">
      <c r="A8602" s="5"/>
    </row>
    <row r="8603" spans="1:1" x14ac:dyDescent="0.25">
      <c r="A8603" s="5"/>
    </row>
    <row r="8604" spans="1:1" x14ac:dyDescent="0.25">
      <c r="A8604" s="5"/>
    </row>
    <row r="8605" spans="1:1" x14ac:dyDescent="0.25">
      <c r="A8605" s="5"/>
    </row>
    <row r="8606" spans="1:1" x14ac:dyDescent="0.25">
      <c r="A8606" s="5"/>
    </row>
    <row r="8607" spans="1:1" x14ac:dyDescent="0.25">
      <c r="A8607" s="5"/>
    </row>
    <row r="8608" spans="1:1" x14ac:dyDescent="0.25">
      <c r="A8608" s="5"/>
    </row>
    <row r="8609" spans="1:1" x14ac:dyDescent="0.25">
      <c r="A8609" s="5"/>
    </row>
    <row r="8610" spans="1:1" x14ac:dyDescent="0.25">
      <c r="A8610" s="5"/>
    </row>
    <row r="8611" spans="1:1" x14ac:dyDescent="0.25">
      <c r="A8611" s="5"/>
    </row>
    <row r="8612" spans="1:1" x14ac:dyDescent="0.25">
      <c r="A8612" s="5"/>
    </row>
    <row r="8613" spans="1:1" x14ac:dyDescent="0.25">
      <c r="A8613" s="5"/>
    </row>
    <row r="8614" spans="1:1" x14ac:dyDescent="0.25">
      <c r="A8614" s="5"/>
    </row>
    <row r="8615" spans="1:1" x14ac:dyDescent="0.25">
      <c r="A8615" s="5"/>
    </row>
    <row r="8616" spans="1:1" x14ac:dyDescent="0.25">
      <c r="A8616" s="5"/>
    </row>
    <row r="8617" spans="1:1" x14ac:dyDescent="0.25">
      <c r="A8617" s="5"/>
    </row>
    <row r="8618" spans="1:1" x14ac:dyDescent="0.25">
      <c r="A8618" s="5"/>
    </row>
    <row r="8619" spans="1:1" x14ac:dyDescent="0.25">
      <c r="A8619" s="5"/>
    </row>
    <row r="8620" spans="1:1" x14ac:dyDescent="0.25">
      <c r="A8620" s="5"/>
    </row>
    <row r="8621" spans="1:1" x14ac:dyDescent="0.25">
      <c r="A8621" s="5"/>
    </row>
    <row r="8622" spans="1:1" x14ac:dyDescent="0.25">
      <c r="A8622" s="5"/>
    </row>
    <row r="8623" spans="1:1" x14ac:dyDescent="0.25">
      <c r="A8623" s="5"/>
    </row>
    <row r="8624" spans="1:1" x14ac:dyDescent="0.25">
      <c r="A8624" s="5"/>
    </row>
    <row r="8625" spans="1:1" x14ac:dyDescent="0.25">
      <c r="A8625" s="5"/>
    </row>
    <row r="8626" spans="1:1" x14ac:dyDescent="0.25">
      <c r="A8626" s="5"/>
    </row>
    <row r="8627" spans="1:1" x14ac:dyDescent="0.25">
      <c r="A8627" s="5"/>
    </row>
    <row r="8628" spans="1:1" x14ac:dyDescent="0.25">
      <c r="A8628" s="5"/>
    </row>
    <row r="8629" spans="1:1" x14ac:dyDescent="0.25">
      <c r="A8629" s="5"/>
    </row>
    <row r="8630" spans="1:1" x14ac:dyDescent="0.25">
      <c r="A8630" s="5"/>
    </row>
    <row r="8631" spans="1:1" x14ac:dyDescent="0.25">
      <c r="A8631" s="5"/>
    </row>
    <row r="8632" spans="1:1" x14ac:dyDescent="0.25">
      <c r="A8632" s="5"/>
    </row>
    <row r="8633" spans="1:1" x14ac:dyDescent="0.25">
      <c r="A8633" s="5"/>
    </row>
    <row r="8634" spans="1:1" x14ac:dyDescent="0.25">
      <c r="A8634" s="5"/>
    </row>
    <row r="8635" spans="1:1" x14ac:dyDescent="0.25">
      <c r="A8635" s="5"/>
    </row>
    <row r="8636" spans="1:1" x14ac:dyDescent="0.25">
      <c r="A8636" s="5"/>
    </row>
    <row r="8637" spans="1:1" x14ac:dyDescent="0.25">
      <c r="A8637" s="5"/>
    </row>
    <row r="8638" spans="1:1" x14ac:dyDescent="0.25">
      <c r="A8638" s="5"/>
    </row>
    <row r="8639" spans="1:1" x14ac:dyDescent="0.25">
      <c r="A8639" s="5"/>
    </row>
    <row r="8640" spans="1:1" x14ac:dyDescent="0.25">
      <c r="A8640" s="5"/>
    </row>
    <row r="8641" spans="1:1" x14ac:dyDescent="0.25">
      <c r="A8641" s="5"/>
    </row>
    <row r="8642" spans="1:1" x14ac:dyDescent="0.25">
      <c r="A8642" s="5"/>
    </row>
    <row r="8643" spans="1:1" x14ac:dyDescent="0.25">
      <c r="A8643" s="5"/>
    </row>
    <row r="8644" spans="1:1" x14ac:dyDescent="0.25">
      <c r="A8644" s="5"/>
    </row>
    <row r="8645" spans="1:1" x14ac:dyDescent="0.25">
      <c r="A8645" s="5"/>
    </row>
    <row r="8646" spans="1:1" x14ac:dyDescent="0.25">
      <c r="A8646" s="5"/>
    </row>
    <row r="8647" spans="1:1" x14ac:dyDescent="0.25">
      <c r="A8647" s="5"/>
    </row>
    <row r="8648" spans="1:1" x14ac:dyDescent="0.25">
      <c r="A8648" s="5"/>
    </row>
    <row r="8649" spans="1:1" x14ac:dyDescent="0.25">
      <c r="A8649" s="5"/>
    </row>
    <row r="8650" spans="1:1" x14ac:dyDescent="0.25">
      <c r="A8650" s="5"/>
    </row>
    <row r="8651" spans="1:1" x14ac:dyDescent="0.25">
      <c r="A8651" s="5"/>
    </row>
    <row r="8652" spans="1:1" x14ac:dyDescent="0.25">
      <c r="A8652" s="5"/>
    </row>
    <row r="8653" spans="1:1" x14ac:dyDescent="0.25">
      <c r="A8653" s="5"/>
    </row>
    <row r="8654" spans="1:1" x14ac:dyDescent="0.25">
      <c r="A8654" s="5"/>
    </row>
    <row r="8655" spans="1:1" x14ac:dyDescent="0.25">
      <c r="A8655" s="5"/>
    </row>
    <row r="8656" spans="1:1" x14ac:dyDescent="0.25">
      <c r="A8656" s="5"/>
    </row>
    <row r="8657" spans="1:1" x14ac:dyDescent="0.25">
      <c r="A8657" s="5"/>
    </row>
    <row r="8658" spans="1:1" x14ac:dyDescent="0.25">
      <c r="A8658" s="5"/>
    </row>
    <row r="8659" spans="1:1" x14ac:dyDescent="0.25">
      <c r="A8659" s="5"/>
    </row>
    <row r="8660" spans="1:1" x14ac:dyDescent="0.25">
      <c r="A8660" s="5"/>
    </row>
    <row r="8661" spans="1:1" x14ac:dyDescent="0.25">
      <c r="A8661" s="5"/>
    </row>
    <row r="8662" spans="1:1" x14ac:dyDescent="0.25">
      <c r="A8662" s="5"/>
    </row>
    <row r="8663" spans="1:1" x14ac:dyDescent="0.25">
      <c r="A8663" s="5"/>
    </row>
    <row r="8664" spans="1:1" x14ac:dyDescent="0.25">
      <c r="A8664" s="5"/>
    </row>
    <row r="8665" spans="1:1" x14ac:dyDescent="0.25">
      <c r="A8665" s="5"/>
    </row>
    <row r="8666" spans="1:1" x14ac:dyDescent="0.25">
      <c r="A8666" s="5"/>
    </row>
    <row r="8667" spans="1:1" x14ac:dyDescent="0.25">
      <c r="A8667" s="5"/>
    </row>
    <row r="8668" spans="1:1" x14ac:dyDescent="0.25">
      <c r="A8668" s="5"/>
    </row>
    <row r="8669" spans="1:1" x14ac:dyDescent="0.25">
      <c r="A8669" s="5"/>
    </row>
    <row r="8670" spans="1:1" x14ac:dyDescent="0.25">
      <c r="A8670" s="5"/>
    </row>
    <row r="8671" spans="1:1" x14ac:dyDescent="0.25">
      <c r="A8671" s="5"/>
    </row>
    <row r="8672" spans="1:1" x14ac:dyDescent="0.25">
      <c r="A8672" s="5"/>
    </row>
    <row r="8673" spans="1:1" x14ac:dyDescent="0.25">
      <c r="A8673" s="5"/>
    </row>
    <row r="8674" spans="1:1" x14ac:dyDescent="0.25">
      <c r="A8674" s="5"/>
    </row>
    <row r="8675" spans="1:1" x14ac:dyDescent="0.25">
      <c r="A8675" s="5"/>
    </row>
    <row r="8676" spans="1:1" x14ac:dyDescent="0.25">
      <c r="A8676" s="5"/>
    </row>
    <row r="8677" spans="1:1" x14ac:dyDescent="0.25">
      <c r="A8677" s="5"/>
    </row>
    <row r="8678" spans="1:1" x14ac:dyDescent="0.25">
      <c r="A8678" s="5"/>
    </row>
    <row r="8679" spans="1:1" x14ac:dyDescent="0.25">
      <c r="A8679" s="5"/>
    </row>
    <row r="8680" spans="1:1" x14ac:dyDescent="0.25">
      <c r="A8680" s="5"/>
    </row>
    <row r="8681" spans="1:1" x14ac:dyDescent="0.25">
      <c r="A8681" s="5"/>
    </row>
    <row r="8682" spans="1:1" x14ac:dyDescent="0.25">
      <c r="A8682" s="5"/>
    </row>
    <row r="8683" spans="1:1" x14ac:dyDescent="0.25">
      <c r="A8683" s="5"/>
    </row>
    <row r="8684" spans="1:1" x14ac:dyDescent="0.25">
      <c r="A8684" s="5"/>
    </row>
    <row r="8685" spans="1:1" x14ac:dyDescent="0.25">
      <c r="A8685" s="5"/>
    </row>
    <row r="8686" spans="1:1" x14ac:dyDescent="0.25">
      <c r="A8686" s="5"/>
    </row>
    <row r="8687" spans="1:1" x14ac:dyDescent="0.25">
      <c r="A8687" s="5"/>
    </row>
    <row r="8688" spans="1:1" x14ac:dyDescent="0.25">
      <c r="A8688" s="5"/>
    </row>
    <row r="8689" spans="1:1" x14ac:dyDescent="0.25">
      <c r="A8689" s="5"/>
    </row>
    <row r="8690" spans="1:1" x14ac:dyDescent="0.25">
      <c r="A8690" s="5"/>
    </row>
    <row r="8691" spans="1:1" x14ac:dyDescent="0.25">
      <c r="A8691" s="5"/>
    </row>
    <row r="8692" spans="1:1" x14ac:dyDescent="0.25">
      <c r="A8692" s="5"/>
    </row>
    <row r="8693" spans="1:1" x14ac:dyDescent="0.25">
      <c r="A8693" s="5"/>
    </row>
    <row r="8694" spans="1:1" x14ac:dyDescent="0.25">
      <c r="A8694" s="5"/>
    </row>
    <row r="8695" spans="1:1" x14ac:dyDescent="0.25">
      <c r="A8695" s="5"/>
    </row>
    <row r="8696" spans="1:1" x14ac:dyDescent="0.25">
      <c r="A8696" s="5"/>
    </row>
    <row r="8697" spans="1:1" x14ac:dyDescent="0.25">
      <c r="A8697" s="5"/>
    </row>
    <row r="8698" spans="1:1" x14ac:dyDescent="0.25">
      <c r="A8698" s="5"/>
    </row>
    <row r="8699" spans="1:1" x14ac:dyDescent="0.25">
      <c r="A8699" s="5"/>
    </row>
    <row r="8700" spans="1:1" x14ac:dyDescent="0.25">
      <c r="A8700" s="5"/>
    </row>
    <row r="8701" spans="1:1" x14ac:dyDescent="0.25">
      <c r="A8701" s="5"/>
    </row>
    <row r="8702" spans="1:1" x14ac:dyDescent="0.25">
      <c r="A8702" s="5"/>
    </row>
    <row r="8703" spans="1:1" x14ac:dyDescent="0.25">
      <c r="A8703" s="5"/>
    </row>
    <row r="8704" spans="1:1" x14ac:dyDescent="0.25">
      <c r="A8704" s="5"/>
    </row>
    <row r="8705" spans="1:1" x14ac:dyDescent="0.25">
      <c r="A8705" s="5"/>
    </row>
    <row r="8706" spans="1:1" x14ac:dyDescent="0.25">
      <c r="A8706" s="5"/>
    </row>
    <row r="8707" spans="1:1" x14ac:dyDescent="0.25">
      <c r="A8707" s="5"/>
    </row>
    <row r="8708" spans="1:1" x14ac:dyDescent="0.25">
      <c r="A8708" s="5"/>
    </row>
    <row r="8709" spans="1:1" x14ac:dyDescent="0.25">
      <c r="A8709" s="5"/>
    </row>
    <row r="8710" spans="1:1" x14ac:dyDescent="0.25">
      <c r="A8710" s="5"/>
    </row>
    <row r="8711" spans="1:1" x14ac:dyDescent="0.25">
      <c r="A8711" s="5"/>
    </row>
    <row r="8712" spans="1:1" x14ac:dyDescent="0.25">
      <c r="A8712" s="5"/>
    </row>
    <row r="8713" spans="1:1" x14ac:dyDescent="0.25">
      <c r="A8713" s="5"/>
    </row>
    <row r="8714" spans="1:1" x14ac:dyDescent="0.25">
      <c r="A8714" s="5"/>
    </row>
    <row r="8715" spans="1:1" x14ac:dyDescent="0.25">
      <c r="A8715" s="5"/>
    </row>
    <row r="8716" spans="1:1" x14ac:dyDescent="0.25">
      <c r="A8716" s="5"/>
    </row>
    <row r="8717" spans="1:1" x14ac:dyDescent="0.25">
      <c r="A8717" s="5"/>
    </row>
    <row r="8718" spans="1:1" x14ac:dyDescent="0.25">
      <c r="A8718" s="5"/>
    </row>
    <row r="8719" spans="1:1" x14ac:dyDescent="0.25">
      <c r="A8719" s="5"/>
    </row>
    <row r="8720" spans="1:1" x14ac:dyDescent="0.25">
      <c r="A8720" s="5"/>
    </row>
    <row r="8721" spans="1:1" x14ac:dyDescent="0.25">
      <c r="A8721" s="5"/>
    </row>
    <row r="8722" spans="1:1" x14ac:dyDescent="0.25">
      <c r="A8722" s="5"/>
    </row>
    <row r="8723" spans="1:1" x14ac:dyDescent="0.25">
      <c r="A8723" s="5"/>
    </row>
    <row r="8724" spans="1:1" x14ac:dyDescent="0.25">
      <c r="A8724" s="5"/>
    </row>
    <row r="8725" spans="1:1" x14ac:dyDescent="0.25">
      <c r="A8725" s="5"/>
    </row>
    <row r="8726" spans="1:1" x14ac:dyDescent="0.25">
      <c r="A8726" s="5"/>
    </row>
    <row r="8727" spans="1:1" x14ac:dyDescent="0.25">
      <c r="A8727" s="5"/>
    </row>
    <row r="8728" spans="1:1" x14ac:dyDescent="0.25">
      <c r="A8728" s="5"/>
    </row>
    <row r="8729" spans="1:1" x14ac:dyDescent="0.25">
      <c r="A8729" s="5"/>
    </row>
    <row r="8730" spans="1:1" x14ac:dyDescent="0.25">
      <c r="A8730" s="5"/>
    </row>
    <row r="8731" spans="1:1" x14ac:dyDescent="0.25">
      <c r="A8731" s="5"/>
    </row>
    <row r="8732" spans="1:1" x14ac:dyDescent="0.25">
      <c r="A8732" s="5"/>
    </row>
    <row r="8733" spans="1:1" x14ac:dyDescent="0.25">
      <c r="A8733" s="5"/>
    </row>
    <row r="8734" spans="1:1" x14ac:dyDescent="0.25">
      <c r="A8734" s="5"/>
    </row>
    <row r="8735" spans="1:1" x14ac:dyDescent="0.25">
      <c r="A8735" s="5"/>
    </row>
    <row r="8736" spans="1:1" x14ac:dyDescent="0.25">
      <c r="A8736" s="5"/>
    </row>
    <row r="8737" spans="1:1" x14ac:dyDescent="0.25">
      <c r="A8737" s="5"/>
    </row>
    <row r="8738" spans="1:1" x14ac:dyDescent="0.25">
      <c r="A8738" s="5"/>
    </row>
    <row r="8739" spans="1:1" x14ac:dyDescent="0.25">
      <c r="A8739" s="5"/>
    </row>
    <row r="8740" spans="1:1" x14ac:dyDescent="0.25">
      <c r="A8740" s="5"/>
    </row>
    <row r="8741" spans="1:1" x14ac:dyDescent="0.25">
      <c r="A8741" s="5"/>
    </row>
    <row r="8742" spans="1:1" x14ac:dyDescent="0.25">
      <c r="A8742" s="5"/>
    </row>
    <row r="8743" spans="1:1" x14ac:dyDescent="0.25">
      <c r="A8743" s="5"/>
    </row>
    <row r="8744" spans="1:1" x14ac:dyDescent="0.25">
      <c r="A8744" s="5"/>
    </row>
    <row r="8745" spans="1:1" x14ac:dyDescent="0.25">
      <c r="A8745" s="5"/>
    </row>
    <row r="8746" spans="1:1" x14ac:dyDescent="0.25">
      <c r="A8746" s="5"/>
    </row>
    <row r="8747" spans="1:1" x14ac:dyDescent="0.25">
      <c r="A8747" s="5"/>
    </row>
    <row r="8748" spans="1:1" x14ac:dyDescent="0.25">
      <c r="A8748" s="5"/>
    </row>
    <row r="8749" spans="1:1" x14ac:dyDescent="0.25">
      <c r="A8749" s="5"/>
    </row>
    <row r="8750" spans="1:1" x14ac:dyDescent="0.25">
      <c r="A8750" s="5"/>
    </row>
    <row r="8751" spans="1:1" x14ac:dyDescent="0.25">
      <c r="A8751" s="5"/>
    </row>
    <row r="8752" spans="1:1" x14ac:dyDescent="0.25">
      <c r="A8752" s="5"/>
    </row>
    <row r="8753" spans="1:1" x14ac:dyDescent="0.25">
      <c r="A8753" s="5"/>
    </row>
    <row r="8754" spans="1:1" x14ac:dyDescent="0.25">
      <c r="A8754" s="5"/>
    </row>
    <row r="8755" spans="1:1" x14ac:dyDescent="0.25">
      <c r="A8755" s="5"/>
    </row>
    <row r="8756" spans="1:1" x14ac:dyDescent="0.25">
      <c r="A8756" s="5"/>
    </row>
    <row r="8757" spans="1:1" x14ac:dyDescent="0.25">
      <c r="A8757" s="5"/>
    </row>
    <row r="8758" spans="1:1" x14ac:dyDescent="0.25">
      <c r="A8758" s="5"/>
    </row>
    <row r="8759" spans="1:1" x14ac:dyDescent="0.25">
      <c r="A8759" s="5"/>
    </row>
    <row r="8760" spans="1:1" x14ac:dyDescent="0.25">
      <c r="A8760" s="5"/>
    </row>
    <row r="8761" spans="1:1" x14ac:dyDescent="0.25">
      <c r="A8761" s="5"/>
    </row>
    <row r="8762" spans="1:1" x14ac:dyDescent="0.25">
      <c r="A8762" s="5"/>
    </row>
    <row r="8763" spans="1:1" x14ac:dyDescent="0.25">
      <c r="A8763" s="5"/>
    </row>
    <row r="8764" spans="1:1" x14ac:dyDescent="0.25">
      <c r="A8764" s="5"/>
    </row>
    <row r="8765" spans="1:1" x14ac:dyDescent="0.25">
      <c r="A8765" s="5"/>
    </row>
    <row r="8766" spans="1:1" x14ac:dyDescent="0.25">
      <c r="A8766" s="5"/>
    </row>
    <row r="8767" spans="1:1" x14ac:dyDescent="0.25">
      <c r="A8767" s="5"/>
    </row>
    <row r="8768" spans="1:1" x14ac:dyDescent="0.25">
      <c r="A8768" s="5"/>
    </row>
    <row r="8769" spans="1:1" x14ac:dyDescent="0.25">
      <c r="A8769" s="5"/>
    </row>
    <row r="8770" spans="1:1" x14ac:dyDescent="0.25">
      <c r="A8770" s="5"/>
    </row>
    <row r="8771" spans="1:1" x14ac:dyDescent="0.25">
      <c r="A8771" s="5"/>
    </row>
    <row r="8772" spans="1:1" x14ac:dyDescent="0.25">
      <c r="A8772" s="5"/>
    </row>
    <row r="8773" spans="1:1" x14ac:dyDescent="0.25">
      <c r="A8773" s="5"/>
    </row>
    <row r="8774" spans="1:1" x14ac:dyDescent="0.25">
      <c r="A8774" s="5"/>
    </row>
    <row r="8775" spans="1:1" x14ac:dyDescent="0.25">
      <c r="A8775" s="5"/>
    </row>
    <row r="8776" spans="1:1" x14ac:dyDescent="0.25">
      <c r="A8776" s="5"/>
    </row>
    <row r="8777" spans="1:1" x14ac:dyDescent="0.25">
      <c r="A8777" s="5"/>
    </row>
    <row r="8778" spans="1:1" x14ac:dyDescent="0.25">
      <c r="A8778" s="5"/>
    </row>
    <row r="8779" spans="1:1" x14ac:dyDescent="0.25">
      <c r="A8779" s="5"/>
    </row>
    <row r="8780" spans="1:1" x14ac:dyDescent="0.25">
      <c r="A8780" s="5"/>
    </row>
    <row r="8781" spans="1:1" x14ac:dyDescent="0.25">
      <c r="A8781" s="5"/>
    </row>
    <row r="8782" spans="1:1" x14ac:dyDescent="0.25">
      <c r="A8782" s="5"/>
    </row>
    <row r="8783" spans="1:1" x14ac:dyDescent="0.25">
      <c r="A8783" s="5"/>
    </row>
    <row r="8784" spans="1:1" x14ac:dyDescent="0.25">
      <c r="A8784" s="5"/>
    </row>
    <row r="8785" spans="1:1" x14ac:dyDescent="0.25">
      <c r="A8785" s="5"/>
    </row>
    <row r="8786" spans="1:1" x14ac:dyDescent="0.25">
      <c r="A8786" s="5"/>
    </row>
    <row r="8787" spans="1:1" x14ac:dyDescent="0.25">
      <c r="A8787" s="5"/>
    </row>
    <row r="8788" spans="1:1" x14ac:dyDescent="0.25">
      <c r="A8788" s="5"/>
    </row>
    <row r="8789" spans="1:1" x14ac:dyDescent="0.25">
      <c r="A8789" s="5"/>
    </row>
    <row r="8790" spans="1:1" x14ac:dyDescent="0.25">
      <c r="A8790" s="5"/>
    </row>
    <row r="8791" spans="1:1" x14ac:dyDescent="0.25">
      <c r="A8791" s="5"/>
    </row>
    <row r="8792" spans="1:1" x14ac:dyDescent="0.25">
      <c r="A8792" s="5"/>
    </row>
    <row r="8793" spans="1:1" x14ac:dyDescent="0.25">
      <c r="A8793" s="5"/>
    </row>
    <row r="8794" spans="1:1" x14ac:dyDescent="0.25">
      <c r="A8794" s="5"/>
    </row>
    <row r="8795" spans="1:1" x14ac:dyDescent="0.25">
      <c r="A8795" s="5"/>
    </row>
    <row r="8796" spans="1:1" x14ac:dyDescent="0.25">
      <c r="A8796" s="5"/>
    </row>
    <row r="8797" spans="1:1" x14ac:dyDescent="0.25">
      <c r="A8797" s="5"/>
    </row>
    <row r="8798" spans="1:1" x14ac:dyDescent="0.25">
      <c r="A8798" s="5"/>
    </row>
    <row r="8799" spans="1:1" x14ac:dyDescent="0.25">
      <c r="A8799" s="5"/>
    </row>
    <row r="8800" spans="1:1" x14ac:dyDescent="0.25">
      <c r="A8800" s="5"/>
    </row>
    <row r="8801" spans="1:1" x14ac:dyDescent="0.25">
      <c r="A8801" s="5"/>
    </row>
    <row r="8802" spans="1:1" x14ac:dyDescent="0.25">
      <c r="A8802" s="5"/>
    </row>
    <row r="8803" spans="1:1" x14ac:dyDescent="0.25">
      <c r="A8803" s="5"/>
    </row>
    <row r="8804" spans="1:1" x14ac:dyDescent="0.25">
      <c r="A8804" s="5"/>
    </row>
    <row r="8805" spans="1:1" x14ac:dyDescent="0.25">
      <c r="A8805" s="5"/>
    </row>
    <row r="8806" spans="1:1" x14ac:dyDescent="0.25">
      <c r="A8806" s="5"/>
    </row>
    <row r="8807" spans="1:1" x14ac:dyDescent="0.25">
      <c r="A8807" s="5"/>
    </row>
    <row r="8808" spans="1:1" x14ac:dyDescent="0.25">
      <c r="A8808" s="5"/>
    </row>
    <row r="8809" spans="1:1" x14ac:dyDescent="0.25">
      <c r="A8809" s="5"/>
    </row>
    <row r="8810" spans="1:1" x14ac:dyDescent="0.25">
      <c r="A8810" s="5"/>
    </row>
    <row r="8811" spans="1:1" x14ac:dyDescent="0.25">
      <c r="A8811" s="5"/>
    </row>
    <row r="8812" spans="1:1" x14ac:dyDescent="0.25">
      <c r="A8812" s="5"/>
    </row>
    <row r="8813" spans="1:1" x14ac:dyDescent="0.25">
      <c r="A8813" s="5"/>
    </row>
    <row r="8814" spans="1:1" x14ac:dyDescent="0.25">
      <c r="A8814" s="5"/>
    </row>
    <row r="8815" spans="1:1" x14ac:dyDescent="0.25">
      <c r="A8815" s="5"/>
    </row>
    <row r="8816" spans="1:1" x14ac:dyDescent="0.25">
      <c r="A8816" s="5"/>
    </row>
    <row r="8817" spans="1:1" x14ac:dyDescent="0.25">
      <c r="A8817" s="5"/>
    </row>
    <row r="8818" spans="1:1" x14ac:dyDescent="0.25">
      <c r="A8818" s="5"/>
    </row>
    <row r="8819" spans="1:1" x14ac:dyDescent="0.25">
      <c r="A8819" s="5"/>
    </row>
    <row r="8820" spans="1:1" x14ac:dyDescent="0.25">
      <c r="A8820" s="5"/>
    </row>
    <row r="8821" spans="1:1" x14ac:dyDescent="0.25">
      <c r="A8821" s="5"/>
    </row>
    <row r="8822" spans="1:1" x14ac:dyDescent="0.25">
      <c r="A8822" s="5"/>
    </row>
    <row r="8823" spans="1:1" x14ac:dyDescent="0.25">
      <c r="A8823" s="5"/>
    </row>
    <row r="8824" spans="1:1" x14ac:dyDescent="0.25">
      <c r="A8824" s="5"/>
    </row>
    <row r="8825" spans="1:1" x14ac:dyDescent="0.25">
      <c r="A8825" s="5"/>
    </row>
    <row r="8826" spans="1:1" x14ac:dyDescent="0.25">
      <c r="A8826" s="5"/>
    </row>
    <row r="8827" spans="1:1" x14ac:dyDescent="0.25">
      <c r="A8827" s="5"/>
    </row>
    <row r="8828" spans="1:1" x14ac:dyDescent="0.25">
      <c r="A8828" s="5"/>
    </row>
    <row r="8829" spans="1:1" x14ac:dyDescent="0.25">
      <c r="A8829" s="5"/>
    </row>
    <row r="8830" spans="1:1" x14ac:dyDescent="0.25">
      <c r="A8830" s="5"/>
    </row>
    <row r="8831" spans="1:1" x14ac:dyDescent="0.25">
      <c r="A8831" s="5"/>
    </row>
    <row r="8832" spans="1:1" x14ac:dyDescent="0.25">
      <c r="A8832" s="5"/>
    </row>
    <row r="8833" spans="1:1" x14ac:dyDescent="0.25">
      <c r="A8833" s="5"/>
    </row>
    <row r="8834" spans="1:1" x14ac:dyDescent="0.25">
      <c r="A8834" s="5"/>
    </row>
    <row r="8835" spans="1:1" x14ac:dyDescent="0.25">
      <c r="A8835" s="5"/>
    </row>
    <row r="8836" spans="1:1" x14ac:dyDescent="0.25">
      <c r="A8836" s="5"/>
    </row>
    <row r="8837" spans="1:1" x14ac:dyDescent="0.25">
      <c r="A8837" s="5"/>
    </row>
    <row r="8838" spans="1:1" x14ac:dyDescent="0.25">
      <c r="A8838" s="5"/>
    </row>
    <row r="8839" spans="1:1" x14ac:dyDescent="0.25">
      <c r="A8839" s="5"/>
    </row>
    <row r="8840" spans="1:1" x14ac:dyDescent="0.25">
      <c r="A8840" s="5"/>
    </row>
    <row r="8841" spans="1:1" x14ac:dyDescent="0.25">
      <c r="A8841" s="5"/>
    </row>
    <row r="8842" spans="1:1" x14ac:dyDescent="0.25">
      <c r="A8842" s="5"/>
    </row>
    <row r="8843" spans="1:1" x14ac:dyDescent="0.25">
      <c r="A8843" s="5"/>
    </row>
    <row r="8844" spans="1:1" x14ac:dyDescent="0.25">
      <c r="A8844" s="5"/>
    </row>
    <row r="8845" spans="1:1" x14ac:dyDescent="0.25">
      <c r="A8845" s="5"/>
    </row>
    <row r="8846" spans="1:1" x14ac:dyDescent="0.25">
      <c r="A8846" s="5"/>
    </row>
    <row r="8847" spans="1:1" x14ac:dyDescent="0.25">
      <c r="A8847" s="5"/>
    </row>
    <row r="8848" spans="1:1" x14ac:dyDescent="0.25">
      <c r="A8848" s="5"/>
    </row>
    <row r="8849" spans="1:1" x14ac:dyDescent="0.25">
      <c r="A8849" s="5"/>
    </row>
    <row r="8850" spans="1:1" x14ac:dyDescent="0.25">
      <c r="A8850" s="5"/>
    </row>
    <row r="8851" spans="1:1" x14ac:dyDescent="0.25">
      <c r="A8851" s="5"/>
    </row>
    <row r="8852" spans="1:1" x14ac:dyDescent="0.25">
      <c r="A8852" s="5"/>
    </row>
    <row r="8853" spans="1:1" x14ac:dyDescent="0.25">
      <c r="A8853" s="5"/>
    </row>
    <row r="8854" spans="1:1" x14ac:dyDescent="0.25">
      <c r="A8854" s="5"/>
    </row>
    <row r="8855" spans="1:1" x14ac:dyDescent="0.25">
      <c r="A8855" s="5"/>
    </row>
    <row r="8856" spans="1:1" x14ac:dyDescent="0.25">
      <c r="A8856" s="5"/>
    </row>
    <row r="8857" spans="1:1" x14ac:dyDescent="0.25">
      <c r="A8857" s="5"/>
    </row>
    <row r="8858" spans="1:1" x14ac:dyDescent="0.25">
      <c r="A8858" s="5"/>
    </row>
    <row r="8859" spans="1:1" x14ac:dyDescent="0.25">
      <c r="A8859" s="5"/>
    </row>
    <row r="8860" spans="1:1" x14ac:dyDescent="0.25">
      <c r="A8860" s="5"/>
    </row>
    <row r="8861" spans="1:1" x14ac:dyDescent="0.25">
      <c r="A8861" s="5"/>
    </row>
    <row r="8862" spans="1:1" x14ac:dyDescent="0.25">
      <c r="A8862" s="5"/>
    </row>
    <row r="8863" spans="1:1" x14ac:dyDescent="0.25">
      <c r="A8863" s="5"/>
    </row>
    <row r="8864" spans="1:1" x14ac:dyDescent="0.25">
      <c r="A8864" s="5"/>
    </row>
    <row r="8865" spans="1:1" x14ac:dyDescent="0.25">
      <c r="A8865" s="5"/>
    </row>
    <row r="8866" spans="1:1" x14ac:dyDescent="0.25">
      <c r="A8866" s="5"/>
    </row>
    <row r="8867" spans="1:1" x14ac:dyDescent="0.25">
      <c r="A8867" s="5"/>
    </row>
    <row r="8868" spans="1:1" x14ac:dyDescent="0.25">
      <c r="A8868" s="5"/>
    </row>
    <row r="8869" spans="1:1" x14ac:dyDescent="0.25">
      <c r="A8869" s="5"/>
    </row>
    <row r="8870" spans="1:1" x14ac:dyDescent="0.25">
      <c r="A8870" s="5"/>
    </row>
    <row r="8871" spans="1:1" x14ac:dyDescent="0.25">
      <c r="A8871" s="5"/>
    </row>
    <row r="8872" spans="1:1" x14ac:dyDescent="0.25">
      <c r="A8872" s="5"/>
    </row>
    <row r="8873" spans="1:1" x14ac:dyDescent="0.25">
      <c r="A8873" s="5"/>
    </row>
    <row r="8874" spans="1:1" x14ac:dyDescent="0.25">
      <c r="A8874" s="5"/>
    </row>
    <row r="8875" spans="1:1" x14ac:dyDescent="0.25">
      <c r="A8875" s="5"/>
    </row>
    <row r="8876" spans="1:1" x14ac:dyDescent="0.25">
      <c r="A8876" s="5"/>
    </row>
    <row r="8877" spans="1:1" x14ac:dyDescent="0.25">
      <c r="A8877" s="5"/>
    </row>
    <row r="8878" spans="1:1" x14ac:dyDescent="0.25">
      <c r="A8878" s="5"/>
    </row>
    <row r="8879" spans="1:1" x14ac:dyDescent="0.25">
      <c r="A8879" s="5"/>
    </row>
    <row r="8880" spans="1:1" x14ac:dyDescent="0.25">
      <c r="A8880" s="5"/>
    </row>
    <row r="8881" spans="1:1" x14ac:dyDescent="0.25">
      <c r="A8881" s="5"/>
    </row>
    <row r="8882" spans="1:1" x14ac:dyDescent="0.25">
      <c r="A8882" s="5"/>
    </row>
    <row r="8883" spans="1:1" x14ac:dyDescent="0.25">
      <c r="A8883" s="5"/>
    </row>
    <row r="8884" spans="1:1" x14ac:dyDescent="0.25">
      <c r="A8884" s="5"/>
    </row>
    <row r="8885" spans="1:1" x14ac:dyDescent="0.25">
      <c r="A8885" s="5"/>
    </row>
    <row r="8886" spans="1:1" x14ac:dyDescent="0.25">
      <c r="A8886" s="5"/>
    </row>
    <row r="8887" spans="1:1" x14ac:dyDescent="0.25">
      <c r="A8887" s="5"/>
    </row>
    <row r="8888" spans="1:1" x14ac:dyDescent="0.25">
      <c r="A8888" s="5"/>
    </row>
    <row r="8889" spans="1:1" x14ac:dyDescent="0.25">
      <c r="A8889" s="5"/>
    </row>
    <row r="8890" spans="1:1" x14ac:dyDescent="0.25">
      <c r="A8890" s="5"/>
    </row>
    <row r="8891" spans="1:1" x14ac:dyDescent="0.25">
      <c r="A8891" s="5"/>
    </row>
    <row r="8892" spans="1:1" x14ac:dyDescent="0.25">
      <c r="A8892" s="5"/>
    </row>
    <row r="8893" spans="1:1" x14ac:dyDescent="0.25">
      <c r="A8893" s="5"/>
    </row>
    <row r="8894" spans="1:1" x14ac:dyDescent="0.25">
      <c r="A8894" s="5"/>
    </row>
    <row r="8895" spans="1:1" x14ac:dyDescent="0.25">
      <c r="A8895" s="5"/>
    </row>
    <row r="8896" spans="1:1" x14ac:dyDescent="0.25">
      <c r="A8896" s="5"/>
    </row>
    <row r="8897" spans="1:1" x14ac:dyDescent="0.25">
      <c r="A8897" s="5"/>
    </row>
    <row r="8898" spans="1:1" x14ac:dyDescent="0.25">
      <c r="A8898" s="5"/>
    </row>
    <row r="8899" spans="1:1" x14ac:dyDescent="0.25">
      <c r="A8899" s="5"/>
    </row>
    <row r="8900" spans="1:1" x14ac:dyDescent="0.25">
      <c r="A8900" s="5"/>
    </row>
    <row r="8901" spans="1:1" x14ac:dyDescent="0.25">
      <c r="A8901" s="5"/>
    </row>
    <row r="8902" spans="1:1" x14ac:dyDescent="0.25">
      <c r="A8902" s="5"/>
    </row>
    <row r="8903" spans="1:1" x14ac:dyDescent="0.25">
      <c r="A8903" s="5"/>
    </row>
    <row r="8904" spans="1:1" x14ac:dyDescent="0.25">
      <c r="A8904" s="5"/>
    </row>
    <row r="8905" spans="1:1" x14ac:dyDescent="0.25">
      <c r="A8905" s="5"/>
    </row>
    <row r="8906" spans="1:1" x14ac:dyDescent="0.25">
      <c r="A8906" s="5"/>
    </row>
    <row r="8907" spans="1:1" x14ac:dyDescent="0.25">
      <c r="A8907" s="5"/>
    </row>
    <row r="8908" spans="1:1" x14ac:dyDescent="0.25">
      <c r="A8908" s="5"/>
    </row>
    <row r="8909" spans="1:1" x14ac:dyDescent="0.25">
      <c r="A8909" s="5"/>
    </row>
    <row r="8910" spans="1:1" x14ac:dyDescent="0.25">
      <c r="A8910" s="5"/>
    </row>
    <row r="8911" spans="1:1" x14ac:dyDescent="0.25">
      <c r="A8911" s="5"/>
    </row>
    <row r="8912" spans="1:1" x14ac:dyDescent="0.25">
      <c r="A8912" s="5"/>
    </row>
    <row r="8913" spans="1:1" x14ac:dyDescent="0.25">
      <c r="A8913" s="5"/>
    </row>
    <row r="8914" spans="1:1" x14ac:dyDescent="0.25">
      <c r="A8914" s="5"/>
    </row>
    <row r="8915" spans="1:1" x14ac:dyDescent="0.25">
      <c r="A8915" s="5"/>
    </row>
    <row r="8916" spans="1:1" x14ac:dyDescent="0.25">
      <c r="A8916" s="5"/>
    </row>
    <row r="8917" spans="1:1" x14ac:dyDescent="0.25">
      <c r="A8917" s="5"/>
    </row>
    <row r="8918" spans="1:1" x14ac:dyDescent="0.25">
      <c r="A8918" s="5"/>
    </row>
    <row r="8919" spans="1:1" x14ac:dyDescent="0.25">
      <c r="A8919" s="5"/>
    </row>
    <row r="8920" spans="1:1" x14ac:dyDescent="0.25">
      <c r="A8920" s="5"/>
    </row>
    <row r="8921" spans="1:1" x14ac:dyDescent="0.25">
      <c r="A8921" s="5"/>
    </row>
    <row r="8922" spans="1:1" x14ac:dyDescent="0.25">
      <c r="A8922" s="5"/>
    </row>
    <row r="8923" spans="1:1" x14ac:dyDescent="0.25">
      <c r="A8923" s="5"/>
    </row>
    <row r="8924" spans="1:1" x14ac:dyDescent="0.25">
      <c r="A8924" s="5"/>
    </row>
    <row r="8925" spans="1:1" x14ac:dyDescent="0.25">
      <c r="A8925" s="5"/>
    </row>
    <row r="8926" spans="1:1" x14ac:dyDescent="0.25">
      <c r="A8926" s="5"/>
    </row>
    <row r="8927" spans="1:1" x14ac:dyDescent="0.25">
      <c r="A8927" s="5"/>
    </row>
    <row r="8928" spans="1:1" x14ac:dyDescent="0.25">
      <c r="A8928" s="5"/>
    </row>
    <row r="8929" spans="1:1" x14ac:dyDescent="0.25">
      <c r="A8929" s="5"/>
    </row>
    <row r="8930" spans="1:1" x14ac:dyDescent="0.25">
      <c r="A8930" s="5"/>
    </row>
    <row r="8931" spans="1:1" x14ac:dyDescent="0.25">
      <c r="A8931" s="5"/>
    </row>
    <row r="8932" spans="1:1" x14ac:dyDescent="0.25">
      <c r="A8932" s="5"/>
    </row>
    <row r="8933" spans="1:1" x14ac:dyDescent="0.25">
      <c r="A8933" s="5"/>
    </row>
    <row r="8934" spans="1:1" x14ac:dyDescent="0.25">
      <c r="A8934" s="5"/>
    </row>
    <row r="8935" spans="1:1" x14ac:dyDescent="0.25">
      <c r="A8935" s="5"/>
    </row>
    <row r="8936" spans="1:1" x14ac:dyDescent="0.25">
      <c r="A8936" s="5"/>
    </row>
    <row r="8937" spans="1:1" x14ac:dyDescent="0.25">
      <c r="A8937" s="5"/>
    </row>
    <row r="8938" spans="1:1" x14ac:dyDescent="0.25">
      <c r="A8938" s="5"/>
    </row>
    <row r="8939" spans="1:1" x14ac:dyDescent="0.25">
      <c r="A8939" s="5"/>
    </row>
    <row r="8940" spans="1:1" x14ac:dyDescent="0.25">
      <c r="A8940" s="5"/>
    </row>
    <row r="8941" spans="1:1" x14ac:dyDescent="0.25">
      <c r="A8941" s="5"/>
    </row>
    <row r="8942" spans="1:1" x14ac:dyDescent="0.25">
      <c r="A8942" s="5"/>
    </row>
    <row r="8943" spans="1:1" x14ac:dyDescent="0.25">
      <c r="A8943" s="5"/>
    </row>
    <row r="8944" spans="1:1" x14ac:dyDescent="0.25">
      <c r="A8944" s="5"/>
    </row>
    <row r="8945" spans="1:1" x14ac:dyDescent="0.25">
      <c r="A8945" s="5"/>
    </row>
    <row r="8946" spans="1:1" x14ac:dyDescent="0.25">
      <c r="A8946" s="5"/>
    </row>
    <row r="8947" spans="1:1" x14ac:dyDescent="0.25">
      <c r="A8947" s="5"/>
    </row>
    <row r="8948" spans="1:1" x14ac:dyDescent="0.25">
      <c r="A8948" s="5"/>
    </row>
    <row r="8949" spans="1:1" x14ac:dyDescent="0.25">
      <c r="A8949" s="5"/>
    </row>
    <row r="8950" spans="1:1" x14ac:dyDescent="0.25">
      <c r="A8950" s="5"/>
    </row>
    <row r="8951" spans="1:1" x14ac:dyDescent="0.25">
      <c r="A8951" s="5"/>
    </row>
    <row r="8952" spans="1:1" x14ac:dyDescent="0.25">
      <c r="A8952" s="5"/>
    </row>
    <row r="8953" spans="1:1" x14ac:dyDescent="0.25">
      <c r="A8953" s="5"/>
    </row>
    <row r="8954" spans="1:1" x14ac:dyDescent="0.25">
      <c r="A8954" s="5"/>
    </row>
    <row r="8955" spans="1:1" x14ac:dyDescent="0.25">
      <c r="A8955" s="5"/>
    </row>
    <row r="8956" spans="1:1" x14ac:dyDescent="0.25">
      <c r="A8956" s="5"/>
    </row>
    <row r="8957" spans="1:1" x14ac:dyDescent="0.25">
      <c r="A8957" s="5"/>
    </row>
    <row r="8958" spans="1:1" x14ac:dyDescent="0.25">
      <c r="A8958" s="5"/>
    </row>
    <row r="8959" spans="1:1" x14ac:dyDescent="0.25">
      <c r="A8959" s="5"/>
    </row>
    <row r="8960" spans="1:1" x14ac:dyDescent="0.25">
      <c r="A8960" s="5"/>
    </row>
    <row r="8961" spans="1:1" x14ac:dyDescent="0.25">
      <c r="A8961" s="5"/>
    </row>
    <row r="8962" spans="1:1" x14ac:dyDescent="0.25">
      <c r="A8962" s="5"/>
    </row>
    <row r="8963" spans="1:1" x14ac:dyDescent="0.25">
      <c r="A8963" s="5"/>
    </row>
    <row r="8964" spans="1:1" x14ac:dyDescent="0.25">
      <c r="A8964" s="5"/>
    </row>
    <row r="8965" spans="1:1" x14ac:dyDescent="0.25">
      <c r="A8965" s="5"/>
    </row>
    <row r="8966" spans="1:1" x14ac:dyDescent="0.25">
      <c r="A8966" s="5"/>
    </row>
    <row r="8967" spans="1:1" x14ac:dyDescent="0.25">
      <c r="A8967" s="5"/>
    </row>
    <row r="8968" spans="1:1" x14ac:dyDescent="0.25">
      <c r="A8968" s="5"/>
    </row>
    <row r="8969" spans="1:1" x14ac:dyDescent="0.25">
      <c r="A8969" s="5"/>
    </row>
    <row r="8970" spans="1:1" x14ac:dyDescent="0.25">
      <c r="A8970" s="5"/>
    </row>
    <row r="8971" spans="1:1" x14ac:dyDescent="0.25">
      <c r="A8971" s="5"/>
    </row>
    <row r="8972" spans="1:1" x14ac:dyDescent="0.25">
      <c r="A8972" s="5"/>
    </row>
    <row r="8973" spans="1:1" x14ac:dyDescent="0.25">
      <c r="A8973" s="5"/>
    </row>
    <row r="8974" spans="1:1" x14ac:dyDescent="0.25">
      <c r="A8974" s="5"/>
    </row>
    <row r="8975" spans="1:1" x14ac:dyDescent="0.25">
      <c r="A8975" s="5"/>
    </row>
    <row r="8976" spans="1:1" x14ac:dyDescent="0.25">
      <c r="A8976" s="5"/>
    </row>
    <row r="8977" spans="1:1" x14ac:dyDescent="0.25">
      <c r="A8977" s="5"/>
    </row>
    <row r="8978" spans="1:1" x14ac:dyDescent="0.25">
      <c r="A8978" s="5"/>
    </row>
    <row r="8979" spans="1:1" x14ac:dyDescent="0.25">
      <c r="A8979" s="5"/>
    </row>
    <row r="8980" spans="1:1" x14ac:dyDescent="0.25">
      <c r="A8980" s="5"/>
    </row>
    <row r="8981" spans="1:1" x14ac:dyDescent="0.25">
      <c r="A8981" s="5"/>
    </row>
    <row r="8982" spans="1:1" x14ac:dyDescent="0.25">
      <c r="A8982" s="5"/>
    </row>
    <row r="8983" spans="1:1" x14ac:dyDescent="0.25">
      <c r="A8983" s="5"/>
    </row>
    <row r="8984" spans="1:1" x14ac:dyDescent="0.25">
      <c r="A8984" s="5"/>
    </row>
    <row r="8985" spans="1:1" x14ac:dyDescent="0.25">
      <c r="A8985" s="5"/>
    </row>
    <row r="8986" spans="1:1" x14ac:dyDescent="0.25">
      <c r="A8986" s="5"/>
    </row>
    <row r="8987" spans="1:1" x14ac:dyDescent="0.25">
      <c r="A8987" s="5"/>
    </row>
    <row r="8988" spans="1:1" x14ac:dyDescent="0.25">
      <c r="A8988" s="5"/>
    </row>
    <row r="8989" spans="1:1" x14ac:dyDescent="0.25">
      <c r="A8989" s="5"/>
    </row>
    <row r="8990" spans="1:1" x14ac:dyDescent="0.25">
      <c r="A8990" s="5"/>
    </row>
    <row r="8991" spans="1:1" x14ac:dyDescent="0.25">
      <c r="A8991" s="5"/>
    </row>
    <row r="8992" spans="1:1" x14ac:dyDescent="0.25">
      <c r="A8992" s="5"/>
    </row>
    <row r="8993" spans="1:1" x14ac:dyDescent="0.25">
      <c r="A8993" s="5"/>
    </row>
    <row r="8994" spans="1:1" x14ac:dyDescent="0.25">
      <c r="A8994" s="5"/>
    </row>
    <row r="8995" spans="1:1" x14ac:dyDescent="0.25">
      <c r="A8995" s="5"/>
    </row>
    <row r="8996" spans="1:1" x14ac:dyDescent="0.25">
      <c r="A8996" s="5"/>
    </row>
    <row r="8997" spans="1:1" x14ac:dyDescent="0.25">
      <c r="A8997" s="5"/>
    </row>
    <row r="8998" spans="1:1" x14ac:dyDescent="0.25">
      <c r="A8998" s="5"/>
    </row>
    <row r="8999" spans="1:1" x14ac:dyDescent="0.25">
      <c r="A8999" s="5"/>
    </row>
    <row r="9000" spans="1:1" x14ac:dyDescent="0.25">
      <c r="A9000" s="5"/>
    </row>
    <row r="9001" spans="1:1" x14ac:dyDescent="0.25">
      <c r="A9001" s="5"/>
    </row>
    <row r="9002" spans="1:1" x14ac:dyDescent="0.25">
      <c r="A9002" s="5"/>
    </row>
    <row r="9003" spans="1:1" x14ac:dyDescent="0.25">
      <c r="A9003" s="5"/>
    </row>
    <row r="9004" spans="1:1" x14ac:dyDescent="0.25">
      <c r="A9004" s="5"/>
    </row>
    <row r="9005" spans="1:1" x14ac:dyDescent="0.25">
      <c r="A9005" s="5"/>
    </row>
    <row r="9006" spans="1:1" x14ac:dyDescent="0.25">
      <c r="A9006" s="5"/>
    </row>
    <row r="9007" spans="1:1" x14ac:dyDescent="0.25">
      <c r="A9007" s="5"/>
    </row>
    <row r="9008" spans="1:1" x14ac:dyDescent="0.25">
      <c r="A9008" s="5"/>
    </row>
    <row r="9009" spans="1:1" x14ac:dyDescent="0.25">
      <c r="A9009" s="5"/>
    </row>
    <row r="9010" spans="1:1" x14ac:dyDescent="0.25">
      <c r="A9010" s="5"/>
    </row>
    <row r="9011" spans="1:1" x14ac:dyDescent="0.25">
      <c r="A9011" s="5"/>
    </row>
    <row r="9012" spans="1:1" x14ac:dyDescent="0.25">
      <c r="A9012" s="5"/>
    </row>
    <row r="9013" spans="1:1" x14ac:dyDescent="0.25">
      <c r="A9013" s="5"/>
    </row>
    <row r="9014" spans="1:1" x14ac:dyDescent="0.25">
      <c r="A9014" s="5"/>
    </row>
    <row r="9015" spans="1:1" x14ac:dyDescent="0.25">
      <c r="A9015" s="5"/>
    </row>
    <row r="9016" spans="1:1" x14ac:dyDescent="0.25">
      <c r="A9016" s="5"/>
    </row>
    <row r="9017" spans="1:1" x14ac:dyDescent="0.25">
      <c r="A9017" s="5"/>
    </row>
    <row r="9018" spans="1:1" x14ac:dyDescent="0.25">
      <c r="A9018" s="5"/>
    </row>
    <row r="9019" spans="1:1" x14ac:dyDescent="0.25">
      <c r="A9019" s="5"/>
    </row>
    <row r="9020" spans="1:1" x14ac:dyDescent="0.25">
      <c r="A9020" s="5"/>
    </row>
    <row r="9021" spans="1:1" x14ac:dyDescent="0.25">
      <c r="A9021" s="5"/>
    </row>
    <row r="9022" spans="1:1" x14ac:dyDescent="0.25">
      <c r="A9022" s="5"/>
    </row>
    <row r="9023" spans="1:1" x14ac:dyDescent="0.25">
      <c r="A9023" s="5"/>
    </row>
    <row r="9024" spans="1:1" x14ac:dyDescent="0.25">
      <c r="A9024" s="5"/>
    </row>
    <row r="9025" spans="1:1" x14ac:dyDescent="0.25">
      <c r="A9025" s="5"/>
    </row>
    <row r="9026" spans="1:1" x14ac:dyDescent="0.25">
      <c r="A9026" s="5"/>
    </row>
    <row r="9027" spans="1:1" x14ac:dyDescent="0.25">
      <c r="A9027" s="5"/>
    </row>
    <row r="9028" spans="1:1" x14ac:dyDescent="0.25">
      <c r="A9028" s="5"/>
    </row>
    <row r="9029" spans="1:1" x14ac:dyDescent="0.25">
      <c r="A9029" s="5"/>
    </row>
    <row r="9030" spans="1:1" x14ac:dyDescent="0.25">
      <c r="A9030" s="5"/>
    </row>
    <row r="9031" spans="1:1" x14ac:dyDescent="0.25">
      <c r="A9031" s="5"/>
    </row>
    <row r="9032" spans="1:1" x14ac:dyDescent="0.25">
      <c r="A9032" s="5"/>
    </row>
    <row r="9033" spans="1:1" x14ac:dyDescent="0.25">
      <c r="A9033" s="5"/>
    </row>
    <row r="9034" spans="1:1" x14ac:dyDescent="0.25">
      <c r="A9034" s="5"/>
    </row>
    <row r="9035" spans="1:1" x14ac:dyDescent="0.25">
      <c r="A9035" s="5"/>
    </row>
    <row r="9036" spans="1:1" x14ac:dyDescent="0.25">
      <c r="A9036" s="5"/>
    </row>
    <row r="9037" spans="1:1" x14ac:dyDescent="0.25">
      <c r="A9037" s="5"/>
    </row>
    <row r="9038" spans="1:1" x14ac:dyDescent="0.25">
      <c r="A9038" s="5"/>
    </row>
    <row r="9039" spans="1:1" x14ac:dyDescent="0.25">
      <c r="A9039" s="5"/>
    </row>
    <row r="9040" spans="1:1" x14ac:dyDescent="0.25">
      <c r="A9040" s="5"/>
    </row>
    <row r="9041" spans="1:1" x14ac:dyDescent="0.25">
      <c r="A9041" s="5"/>
    </row>
    <row r="9042" spans="1:1" x14ac:dyDescent="0.25">
      <c r="A9042" s="5"/>
    </row>
    <row r="9043" spans="1:1" x14ac:dyDescent="0.25">
      <c r="A9043" s="5"/>
    </row>
    <row r="9044" spans="1:1" x14ac:dyDescent="0.25">
      <c r="A9044" s="5"/>
    </row>
    <row r="9045" spans="1:1" x14ac:dyDescent="0.25">
      <c r="A9045" s="5"/>
    </row>
    <row r="9046" spans="1:1" x14ac:dyDescent="0.25">
      <c r="A9046" s="5"/>
    </row>
    <row r="9047" spans="1:1" x14ac:dyDescent="0.25">
      <c r="A9047" s="5"/>
    </row>
    <row r="9048" spans="1:1" x14ac:dyDescent="0.25">
      <c r="A9048" s="5"/>
    </row>
    <row r="9049" spans="1:1" x14ac:dyDescent="0.25">
      <c r="A9049" s="5"/>
    </row>
    <row r="9050" spans="1:1" x14ac:dyDescent="0.25">
      <c r="A9050" s="5"/>
    </row>
    <row r="9051" spans="1:1" x14ac:dyDescent="0.25">
      <c r="A9051" s="5"/>
    </row>
    <row r="9052" spans="1:1" x14ac:dyDescent="0.25">
      <c r="A9052" s="5"/>
    </row>
    <row r="9053" spans="1:1" x14ac:dyDescent="0.25">
      <c r="A9053" s="5"/>
    </row>
    <row r="9054" spans="1:1" x14ac:dyDescent="0.25">
      <c r="A9054" s="5"/>
    </row>
    <row r="9055" spans="1:1" x14ac:dyDescent="0.25">
      <c r="A9055" s="5"/>
    </row>
    <row r="9056" spans="1:1" x14ac:dyDescent="0.25">
      <c r="A9056" s="5"/>
    </row>
    <row r="9057" spans="1:1" x14ac:dyDescent="0.25">
      <c r="A9057" s="5"/>
    </row>
    <row r="9058" spans="1:1" x14ac:dyDescent="0.25">
      <c r="A9058" s="5"/>
    </row>
    <row r="9059" spans="1:1" x14ac:dyDescent="0.25">
      <c r="A9059" s="5"/>
    </row>
    <row r="9060" spans="1:1" x14ac:dyDescent="0.25">
      <c r="A9060" s="5"/>
    </row>
    <row r="9061" spans="1:1" x14ac:dyDescent="0.25">
      <c r="A9061" s="5"/>
    </row>
    <row r="9062" spans="1:1" x14ac:dyDescent="0.25">
      <c r="A9062" s="5"/>
    </row>
    <row r="9063" spans="1:1" x14ac:dyDescent="0.25">
      <c r="A9063" s="5"/>
    </row>
    <row r="9064" spans="1:1" x14ac:dyDescent="0.25">
      <c r="A9064" s="5"/>
    </row>
    <row r="9065" spans="1:1" x14ac:dyDescent="0.25">
      <c r="A9065" s="5"/>
    </row>
    <row r="9066" spans="1:1" x14ac:dyDescent="0.25">
      <c r="A9066" s="5"/>
    </row>
    <row r="9067" spans="1:1" x14ac:dyDescent="0.25">
      <c r="A9067" s="5"/>
    </row>
    <row r="9068" spans="1:1" x14ac:dyDescent="0.25">
      <c r="A9068" s="5"/>
    </row>
    <row r="9069" spans="1:1" x14ac:dyDescent="0.25">
      <c r="A9069" s="5"/>
    </row>
    <row r="9070" spans="1:1" x14ac:dyDescent="0.25">
      <c r="A9070" s="5"/>
    </row>
    <row r="9071" spans="1:1" x14ac:dyDescent="0.25">
      <c r="A9071" s="5"/>
    </row>
    <row r="9072" spans="1:1" x14ac:dyDescent="0.25">
      <c r="A9072" s="5"/>
    </row>
    <row r="9073" spans="1:1" x14ac:dyDescent="0.25">
      <c r="A9073" s="5"/>
    </row>
    <row r="9074" spans="1:1" x14ac:dyDescent="0.25">
      <c r="A9074" s="5"/>
    </row>
    <row r="9075" spans="1:1" x14ac:dyDescent="0.25">
      <c r="A9075" s="5"/>
    </row>
    <row r="9076" spans="1:1" x14ac:dyDescent="0.25">
      <c r="A9076" s="5"/>
    </row>
    <row r="9077" spans="1:1" x14ac:dyDescent="0.25">
      <c r="A9077" s="5"/>
    </row>
    <row r="9078" spans="1:1" x14ac:dyDescent="0.25">
      <c r="A9078" s="5"/>
    </row>
    <row r="9079" spans="1:1" x14ac:dyDescent="0.25">
      <c r="A9079" s="5"/>
    </row>
    <row r="9080" spans="1:1" x14ac:dyDescent="0.25">
      <c r="A9080" s="5"/>
    </row>
    <row r="9081" spans="1:1" x14ac:dyDescent="0.25">
      <c r="A9081" s="5"/>
    </row>
    <row r="9082" spans="1:1" x14ac:dyDescent="0.25">
      <c r="A9082" s="5"/>
    </row>
    <row r="9083" spans="1:1" x14ac:dyDescent="0.25">
      <c r="A9083" s="5"/>
    </row>
    <row r="9084" spans="1:1" x14ac:dyDescent="0.25">
      <c r="A9084" s="5"/>
    </row>
    <row r="9085" spans="1:1" x14ac:dyDescent="0.25">
      <c r="A9085" s="5"/>
    </row>
    <row r="9086" spans="1:1" x14ac:dyDescent="0.25">
      <c r="A9086" s="5"/>
    </row>
    <row r="9087" spans="1:1" x14ac:dyDescent="0.25">
      <c r="A9087" s="5"/>
    </row>
    <row r="9088" spans="1:1" x14ac:dyDescent="0.25">
      <c r="A9088" s="5"/>
    </row>
    <row r="9089" spans="1:1" x14ac:dyDescent="0.25">
      <c r="A9089" s="5"/>
    </row>
    <row r="9090" spans="1:1" x14ac:dyDescent="0.25">
      <c r="A9090" s="5"/>
    </row>
    <row r="9091" spans="1:1" x14ac:dyDescent="0.25">
      <c r="A9091" s="5"/>
    </row>
    <row r="9092" spans="1:1" x14ac:dyDescent="0.25">
      <c r="A9092" s="5"/>
    </row>
    <row r="9093" spans="1:1" x14ac:dyDescent="0.25">
      <c r="A9093" s="5"/>
    </row>
    <row r="9094" spans="1:1" x14ac:dyDescent="0.25">
      <c r="A9094" s="5"/>
    </row>
    <row r="9095" spans="1:1" x14ac:dyDescent="0.25">
      <c r="A9095" s="5"/>
    </row>
    <row r="9096" spans="1:1" x14ac:dyDescent="0.25">
      <c r="A9096" s="5"/>
    </row>
    <row r="9097" spans="1:1" x14ac:dyDescent="0.25">
      <c r="A9097" s="5"/>
    </row>
    <row r="9098" spans="1:1" x14ac:dyDescent="0.25">
      <c r="A9098" s="5"/>
    </row>
    <row r="9099" spans="1:1" x14ac:dyDescent="0.25">
      <c r="A9099" s="5"/>
    </row>
    <row r="9100" spans="1:1" x14ac:dyDescent="0.25">
      <c r="A9100" s="5"/>
    </row>
    <row r="9101" spans="1:1" x14ac:dyDescent="0.25">
      <c r="A9101" s="5"/>
    </row>
    <row r="9102" spans="1:1" x14ac:dyDescent="0.25">
      <c r="A9102" s="5"/>
    </row>
    <row r="9103" spans="1:1" x14ac:dyDescent="0.25">
      <c r="A9103" s="5"/>
    </row>
    <row r="9104" spans="1:1" x14ac:dyDescent="0.25">
      <c r="A9104" s="5"/>
    </row>
    <row r="9105" spans="1:1" x14ac:dyDescent="0.25">
      <c r="A9105" s="5"/>
    </row>
    <row r="9106" spans="1:1" x14ac:dyDescent="0.25">
      <c r="A9106" s="5"/>
    </row>
    <row r="9107" spans="1:1" x14ac:dyDescent="0.25">
      <c r="A9107" s="5"/>
    </row>
    <row r="9108" spans="1:1" x14ac:dyDescent="0.25">
      <c r="A9108" s="5"/>
    </row>
    <row r="9109" spans="1:1" x14ac:dyDescent="0.25">
      <c r="A9109" s="5"/>
    </row>
    <row r="9110" spans="1:1" x14ac:dyDescent="0.25">
      <c r="A9110" s="5"/>
    </row>
    <row r="9111" spans="1:1" x14ac:dyDescent="0.25">
      <c r="A9111" s="5"/>
    </row>
    <row r="9112" spans="1:1" x14ac:dyDescent="0.25">
      <c r="A9112" s="5"/>
    </row>
    <row r="9113" spans="1:1" x14ac:dyDescent="0.25">
      <c r="A9113" s="5"/>
    </row>
    <row r="9114" spans="1:1" x14ac:dyDescent="0.25">
      <c r="A9114" s="5"/>
    </row>
    <row r="9115" spans="1:1" x14ac:dyDescent="0.25">
      <c r="A9115" s="5"/>
    </row>
    <row r="9116" spans="1:1" x14ac:dyDescent="0.25">
      <c r="A9116" s="5"/>
    </row>
    <row r="9117" spans="1:1" x14ac:dyDescent="0.25">
      <c r="A9117" s="5"/>
    </row>
    <row r="9118" spans="1:1" x14ac:dyDescent="0.25">
      <c r="A9118" s="5"/>
    </row>
    <row r="9119" spans="1:1" x14ac:dyDescent="0.25">
      <c r="A9119" s="5"/>
    </row>
    <row r="9120" spans="1:1" x14ac:dyDescent="0.25">
      <c r="A9120" s="5"/>
    </row>
    <row r="9121" spans="1:1" x14ac:dyDescent="0.25">
      <c r="A9121" s="5"/>
    </row>
    <row r="9122" spans="1:1" x14ac:dyDescent="0.25">
      <c r="A9122" s="5"/>
    </row>
    <row r="9123" spans="1:1" x14ac:dyDescent="0.25">
      <c r="A9123" s="5"/>
    </row>
    <row r="9124" spans="1:1" x14ac:dyDescent="0.25">
      <c r="A9124" s="5"/>
    </row>
    <row r="9125" spans="1:1" x14ac:dyDescent="0.25">
      <c r="A9125" s="5"/>
    </row>
    <row r="9126" spans="1:1" x14ac:dyDescent="0.25">
      <c r="A9126" s="5"/>
    </row>
    <row r="9127" spans="1:1" x14ac:dyDescent="0.25">
      <c r="A9127" s="5"/>
    </row>
    <row r="9128" spans="1:1" x14ac:dyDescent="0.25">
      <c r="A9128" s="5"/>
    </row>
    <row r="9129" spans="1:1" x14ac:dyDescent="0.25">
      <c r="A9129" s="5"/>
    </row>
    <row r="9130" spans="1:1" x14ac:dyDescent="0.25">
      <c r="A9130" s="5"/>
    </row>
    <row r="9131" spans="1:1" x14ac:dyDescent="0.25">
      <c r="A9131" s="5"/>
    </row>
    <row r="9132" spans="1:1" x14ac:dyDescent="0.25">
      <c r="A9132" s="5"/>
    </row>
    <row r="9133" spans="1:1" x14ac:dyDescent="0.25">
      <c r="A9133" s="5"/>
    </row>
    <row r="9134" spans="1:1" x14ac:dyDescent="0.25">
      <c r="A9134" s="5"/>
    </row>
    <row r="9135" spans="1:1" x14ac:dyDescent="0.25">
      <c r="A9135" s="5"/>
    </row>
    <row r="9136" spans="1:1" x14ac:dyDescent="0.25">
      <c r="A9136" s="5"/>
    </row>
    <row r="9137" spans="1:1" x14ac:dyDescent="0.25">
      <c r="A9137" s="5"/>
    </row>
    <row r="9138" spans="1:1" x14ac:dyDescent="0.25">
      <c r="A9138" s="5"/>
    </row>
    <row r="9139" spans="1:1" x14ac:dyDescent="0.25">
      <c r="A9139" s="5"/>
    </row>
    <row r="9140" spans="1:1" x14ac:dyDescent="0.25">
      <c r="A9140" s="5"/>
    </row>
    <row r="9141" spans="1:1" x14ac:dyDescent="0.25">
      <c r="A9141" s="5"/>
    </row>
    <row r="9142" spans="1:1" x14ac:dyDescent="0.25">
      <c r="A9142" s="5"/>
    </row>
    <row r="9143" spans="1:1" x14ac:dyDescent="0.25">
      <c r="A9143" s="5"/>
    </row>
    <row r="9144" spans="1:1" x14ac:dyDescent="0.25">
      <c r="A9144" s="5"/>
    </row>
    <row r="9145" spans="1:1" x14ac:dyDescent="0.25">
      <c r="A9145" s="5"/>
    </row>
    <row r="9146" spans="1:1" x14ac:dyDescent="0.25">
      <c r="A9146" s="5"/>
    </row>
    <row r="9147" spans="1:1" x14ac:dyDescent="0.25">
      <c r="A9147" s="5"/>
    </row>
    <row r="9148" spans="1:1" x14ac:dyDescent="0.25">
      <c r="A9148" s="5"/>
    </row>
    <row r="9149" spans="1:1" x14ac:dyDescent="0.25">
      <c r="A9149" s="5"/>
    </row>
    <row r="9150" spans="1:1" x14ac:dyDescent="0.25">
      <c r="A9150" s="5"/>
    </row>
    <row r="9151" spans="1:1" x14ac:dyDescent="0.25">
      <c r="A9151" s="5"/>
    </row>
    <row r="9152" spans="1:1" x14ac:dyDescent="0.25">
      <c r="A9152" s="5"/>
    </row>
    <row r="9153" spans="1:1" x14ac:dyDescent="0.25">
      <c r="A9153" s="5"/>
    </row>
    <row r="9154" spans="1:1" x14ac:dyDescent="0.25">
      <c r="A9154" s="5"/>
    </row>
    <row r="9155" spans="1:1" x14ac:dyDescent="0.25">
      <c r="A9155" s="5"/>
    </row>
    <row r="9156" spans="1:1" x14ac:dyDescent="0.25">
      <c r="A9156" s="5"/>
    </row>
    <row r="9157" spans="1:1" x14ac:dyDescent="0.25">
      <c r="A9157" s="5"/>
    </row>
    <row r="9158" spans="1:1" x14ac:dyDescent="0.25">
      <c r="A9158" s="5"/>
    </row>
    <row r="9159" spans="1:1" x14ac:dyDescent="0.25">
      <c r="A9159" s="5"/>
    </row>
    <row r="9160" spans="1:1" x14ac:dyDescent="0.25">
      <c r="A9160" s="5"/>
    </row>
    <row r="9161" spans="1:1" x14ac:dyDescent="0.25">
      <c r="A9161" s="5"/>
    </row>
    <row r="9162" spans="1:1" x14ac:dyDescent="0.25">
      <c r="A9162" s="5"/>
    </row>
    <row r="9163" spans="1:1" x14ac:dyDescent="0.25">
      <c r="A9163" s="5"/>
    </row>
    <row r="9164" spans="1:1" x14ac:dyDescent="0.25">
      <c r="A9164" s="5"/>
    </row>
    <row r="9165" spans="1:1" x14ac:dyDescent="0.25">
      <c r="A9165" s="5"/>
    </row>
    <row r="9166" spans="1:1" x14ac:dyDescent="0.25">
      <c r="A9166" s="5"/>
    </row>
    <row r="9167" spans="1:1" x14ac:dyDescent="0.25">
      <c r="A9167" s="5"/>
    </row>
    <row r="9168" spans="1:1" x14ac:dyDescent="0.25">
      <c r="A9168" s="5"/>
    </row>
    <row r="9169" spans="1:1" x14ac:dyDescent="0.25">
      <c r="A9169" s="5"/>
    </row>
    <row r="9170" spans="1:1" x14ac:dyDescent="0.25">
      <c r="A9170" s="5"/>
    </row>
    <row r="9171" spans="1:1" x14ac:dyDescent="0.25">
      <c r="A9171" s="5"/>
    </row>
    <row r="9172" spans="1:1" x14ac:dyDescent="0.25">
      <c r="A9172" s="5"/>
    </row>
    <row r="9173" spans="1:1" x14ac:dyDescent="0.25">
      <c r="A9173" s="5"/>
    </row>
    <row r="9174" spans="1:1" x14ac:dyDescent="0.25">
      <c r="A9174" s="5"/>
    </row>
    <row r="9175" spans="1:1" x14ac:dyDescent="0.25">
      <c r="A9175" s="5"/>
    </row>
    <row r="9176" spans="1:1" x14ac:dyDescent="0.25">
      <c r="A9176" s="5"/>
    </row>
    <row r="9177" spans="1:1" x14ac:dyDescent="0.25">
      <c r="A9177" s="5"/>
    </row>
    <row r="9178" spans="1:1" x14ac:dyDescent="0.25">
      <c r="A9178" s="5"/>
    </row>
    <row r="9179" spans="1:1" x14ac:dyDescent="0.25">
      <c r="A9179" s="5"/>
    </row>
    <row r="9180" spans="1:1" x14ac:dyDescent="0.25">
      <c r="A9180" s="5"/>
    </row>
    <row r="9181" spans="1:1" x14ac:dyDescent="0.25">
      <c r="A9181" s="5"/>
    </row>
    <row r="9182" spans="1:1" x14ac:dyDescent="0.25">
      <c r="A9182" s="5"/>
    </row>
    <row r="9183" spans="1:1" x14ac:dyDescent="0.25">
      <c r="A9183" s="5"/>
    </row>
    <row r="9184" spans="1:1" x14ac:dyDescent="0.25">
      <c r="A9184" s="5"/>
    </row>
    <row r="9185" spans="1:1" x14ac:dyDescent="0.25">
      <c r="A9185" s="5"/>
    </row>
    <row r="9186" spans="1:1" x14ac:dyDescent="0.25">
      <c r="A9186" s="5"/>
    </row>
    <row r="9187" spans="1:1" x14ac:dyDescent="0.25">
      <c r="A9187" s="5"/>
    </row>
    <row r="9188" spans="1:1" x14ac:dyDescent="0.25">
      <c r="A9188" s="5"/>
    </row>
    <row r="9189" spans="1:1" x14ac:dyDescent="0.25">
      <c r="A9189" s="5"/>
    </row>
    <row r="9190" spans="1:1" x14ac:dyDescent="0.25">
      <c r="A9190" s="5"/>
    </row>
    <row r="9191" spans="1:1" x14ac:dyDescent="0.25">
      <c r="A9191" s="5"/>
    </row>
    <row r="9192" spans="1:1" x14ac:dyDescent="0.25">
      <c r="A9192" s="5"/>
    </row>
    <row r="9193" spans="1:1" x14ac:dyDescent="0.25">
      <c r="A9193" s="5"/>
    </row>
    <row r="9194" spans="1:1" x14ac:dyDescent="0.25">
      <c r="A9194" s="5"/>
    </row>
    <row r="9195" spans="1:1" x14ac:dyDescent="0.25">
      <c r="A9195" s="5"/>
    </row>
    <row r="9196" spans="1:1" x14ac:dyDescent="0.25">
      <c r="A9196" s="5"/>
    </row>
    <row r="9197" spans="1:1" x14ac:dyDescent="0.25">
      <c r="A9197" s="5"/>
    </row>
    <row r="9198" spans="1:1" x14ac:dyDescent="0.25">
      <c r="A9198" s="5"/>
    </row>
    <row r="9199" spans="1:1" x14ac:dyDescent="0.25">
      <c r="A9199" s="5"/>
    </row>
    <row r="9200" spans="1:1" x14ac:dyDescent="0.25">
      <c r="A9200" s="5"/>
    </row>
    <row r="9201" spans="1:1" x14ac:dyDescent="0.25">
      <c r="A9201" s="5"/>
    </row>
    <row r="9202" spans="1:1" x14ac:dyDescent="0.25">
      <c r="A9202" s="5"/>
    </row>
    <row r="9203" spans="1:1" x14ac:dyDescent="0.25">
      <c r="A9203" s="5"/>
    </row>
    <row r="9204" spans="1:1" x14ac:dyDescent="0.25">
      <c r="A9204" s="5"/>
    </row>
    <row r="9205" spans="1:1" x14ac:dyDescent="0.25">
      <c r="A9205" s="5"/>
    </row>
    <row r="9206" spans="1:1" x14ac:dyDescent="0.25">
      <c r="A9206" s="5"/>
    </row>
    <row r="9207" spans="1:1" x14ac:dyDescent="0.25">
      <c r="A9207" s="5"/>
    </row>
    <row r="9208" spans="1:1" x14ac:dyDescent="0.25">
      <c r="A9208" s="5"/>
    </row>
    <row r="9209" spans="1:1" x14ac:dyDescent="0.25">
      <c r="A9209" s="5"/>
    </row>
    <row r="9210" spans="1:1" x14ac:dyDescent="0.25">
      <c r="A9210" s="5"/>
    </row>
    <row r="9211" spans="1:1" x14ac:dyDescent="0.25">
      <c r="A9211" s="5"/>
    </row>
    <row r="9212" spans="1:1" x14ac:dyDescent="0.25">
      <c r="A9212" s="5"/>
    </row>
    <row r="9213" spans="1:1" x14ac:dyDescent="0.25">
      <c r="A9213" s="5"/>
    </row>
    <row r="9214" spans="1:1" x14ac:dyDescent="0.25">
      <c r="A9214" s="5"/>
    </row>
    <row r="9215" spans="1:1" x14ac:dyDescent="0.25">
      <c r="A9215" s="5"/>
    </row>
    <row r="9216" spans="1:1" x14ac:dyDescent="0.25">
      <c r="A9216" s="5"/>
    </row>
    <row r="9217" spans="1:1" x14ac:dyDescent="0.25">
      <c r="A9217" s="5"/>
    </row>
    <row r="9218" spans="1:1" x14ac:dyDescent="0.25">
      <c r="A9218" s="5"/>
    </row>
    <row r="9219" spans="1:1" x14ac:dyDescent="0.25">
      <c r="A9219" s="5"/>
    </row>
    <row r="9220" spans="1:1" x14ac:dyDescent="0.25">
      <c r="A9220" s="5"/>
    </row>
    <row r="9221" spans="1:1" x14ac:dyDescent="0.25">
      <c r="A9221" s="5"/>
    </row>
    <row r="9222" spans="1:1" x14ac:dyDescent="0.25">
      <c r="A9222" s="5"/>
    </row>
    <row r="9223" spans="1:1" x14ac:dyDescent="0.25">
      <c r="A9223" s="5"/>
    </row>
    <row r="9224" spans="1:1" x14ac:dyDescent="0.25">
      <c r="A9224" s="5"/>
    </row>
    <row r="9225" spans="1:1" x14ac:dyDescent="0.25">
      <c r="A9225" s="5"/>
    </row>
    <row r="9226" spans="1:1" x14ac:dyDescent="0.25">
      <c r="A9226" s="5"/>
    </row>
    <row r="9227" spans="1:1" x14ac:dyDescent="0.25">
      <c r="A9227" s="5"/>
    </row>
    <row r="9228" spans="1:1" x14ac:dyDescent="0.25">
      <c r="A9228" s="5"/>
    </row>
    <row r="9229" spans="1:1" x14ac:dyDescent="0.25">
      <c r="A9229" s="5"/>
    </row>
    <row r="9230" spans="1:1" x14ac:dyDescent="0.25">
      <c r="A9230" s="5"/>
    </row>
    <row r="9231" spans="1:1" x14ac:dyDescent="0.25">
      <c r="A9231" s="5"/>
    </row>
    <row r="9232" spans="1:1" x14ac:dyDescent="0.25">
      <c r="A9232" s="5"/>
    </row>
    <row r="9233" spans="1:1" x14ac:dyDescent="0.25">
      <c r="A9233" s="5"/>
    </row>
    <row r="9234" spans="1:1" x14ac:dyDescent="0.25">
      <c r="A9234" s="5"/>
    </row>
    <row r="9235" spans="1:1" x14ac:dyDescent="0.25">
      <c r="A9235" s="5"/>
    </row>
    <row r="9236" spans="1:1" x14ac:dyDescent="0.25">
      <c r="A9236" s="5"/>
    </row>
    <row r="9237" spans="1:1" x14ac:dyDescent="0.25">
      <c r="A9237" s="5"/>
    </row>
    <row r="9238" spans="1:1" x14ac:dyDescent="0.25">
      <c r="A9238" s="5"/>
    </row>
    <row r="9239" spans="1:1" x14ac:dyDescent="0.25">
      <c r="A9239" s="5"/>
    </row>
    <row r="9240" spans="1:1" x14ac:dyDescent="0.25">
      <c r="A9240" s="5"/>
    </row>
    <row r="9241" spans="1:1" x14ac:dyDescent="0.25">
      <c r="A9241" s="5"/>
    </row>
    <row r="9242" spans="1:1" x14ac:dyDescent="0.25">
      <c r="A9242" s="5"/>
    </row>
    <row r="9243" spans="1:1" x14ac:dyDescent="0.25">
      <c r="A9243" s="5"/>
    </row>
    <row r="9244" spans="1:1" x14ac:dyDescent="0.25">
      <c r="A9244" s="5"/>
    </row>
    <row r="9245" spans="1:1" x14ac:dyDescent="0.25">
      <c r="A9245" s="5"/>
    </row>
    <row r="9246" spans="1:1" x14ac:dyDescent="0.25">
      <c r="A9246" s="5"/>
    </row>
    <row r="9247" spans="1:1" x14ac:dyDescent="0.25">
      <c r="A9247" s="5"/>
    </row>
    <row r="9248" spans="1:1" x14ac:dyDescent="0.25">
      <c r="A9248" s="5"/>
    </row>
    <row r="9249" spans="1:1" x14ac:dyDescent="0.25">
      <c r="A9249" s="5"/>
    </row>
    <row r="9250" spans="1:1" x14ac:dyDescent="0.25">
      <c r="A9250" s="5"/>
    </row>
    <row r="9251" spans="1:1" x14ac:dyDescent="0.25">
      <c r="A9251" s="5"/>
    </row>
    <row r="9252" spans="1:1" x14ac:dyDescent="0.25">
      <c r="A9252" s="5"/>
    </row>
    <row r="9253" spans="1:1" x14ac:dyDescent="0.25">
      <c r="A9253" s="5"/>
    </row>
    <row r="9254" spans="1:1" x14ac:dyDescent="0.25">
      <c r="A9254" s="5"/>
    </row>
    <row r="9255" spans="1:1" x14ac:dyDescent="0.25">
      <c r="A9255" s="5"/>
    </row>
    <row r="9256" spans="1:1" x14ac:dyDescent="0.25">
      <c r="A9256" s="5"/>
    </row>
    <row r="9257" spans="1:1" x14ac:dyDescent="0.25">
      <c r="A9257" s="5"/>
    </row>
    <row r="9258" spans="1:1" x14ac:dyDescent="0.25">
      <c r="A9258" s="5"/>
    </row>
    <row r="9259" spans="1:1" x14ac:dyDescent="0.25">
      <c r="A9259" s="5"/>
    </row>
    <row r="9260" spans="1:1" x14ac:dyDescent="0.25">
      <c r="A9260" s="5"/>
    </row>
    <row r="9261" spans="1:1" x14ac:dyDescent="0.25">
      <c r="A9261" s="5"/>
    </row>
    <row r="9262" spans="1:1" x14ac:dyDescent="0.25">
      <c r="A9262" s="5"/>
    </row>
    <row r="9263" spans="1:1" x14ac:dyDescent="0.25">
      <c r="A9263" s="5"/>
    </row>
    <row r="9264" spans="1:1" x14ac:dyDescent="0.25">
      <c r="A9264" s="5"/>
    </row>
    <row r="9265" spans="1:1" x14ac:dyDescent="0.25">
      <c r="A9265" s="5"/>
    </row>
    <row r="9266" spans="1:1" x14ac:dyDescent="0.25">
      <c r="A9266" s="5"/>
    </row>
    <row r="9267" spans="1:1" x14ac:dyDescent="0.25">
      <c r="A9267" s="5"/>
    </row>
    <row r="9268" spans="1:1" x14ac:dyDescent="0.25">
      <c r="A9268" s="5"/>
    </row>
    <row r="9269" spans="1:1" x14ac:dyDescent="0.25">
      <c r="A9269" s="5"/>
    </row>
    <row r="9270" spans="1:1" x14ac:dyDescent="0.25">
      <c r="A9270" s="5"/>
    </row>
    <row r="9271" spans="1:1" x14ac:dyDescent="0.25">
      <c r="A9271" s="5"/>
    </row>
    <row r="9272" spans="1:1" x14ac:dyDescent="0.25">
      <c r="A9272" s="5"/>
    </row>
    <row r="9273" spans="1:1" x14ac:dyDescent="0.25">
      <c r="A9273" s="5"/>
    </row>
    <row r="9274" spans="1:1" x14ac:dyDescent="0.25">
      <c r="A9274" s="5"/>
    </row>
    <row r="9275" spans="1:1" x14ac:dyDescent="0.25">
      <c r="A9275" s="5"/>
    </row>
    <row r="9276" spans="1:1" x14ac:dyDescent="0.25">
      <c r="A9276" s="5"/>
    </row>
    <row r="9277" spans="1:1" x14ac:dyDescent="0.25">
      <c r="A9277" s="5"/>
    </row>
    <row r="9278" spans="1:1" x14ac:dyDescent="0.25">
      <c r="A9278" s="5"/>
    </row>
    <row r="9279" spans="1:1" x14ac:dyDescent="0.25">
      <c r="A9279" s="5"/>
    </row>
    <row r="9280" spans="1:1" x14ac:dyDescent="0.25">
      <c r="A9280" s="5"/>
    </row>
    <row r="9281" spans="1:1" x14ac:dyDescent="0.25">
      <c r="A9281" s="5"/>
    </row>
    <row r="9282" spans="1:1" x14ac:dyDescent="0.25">
      <c r="A9282" s="5"/>
    </row>
    <row r="9283" spans="1:1" x14ac:dyDescent="0.25">
      <c r="A9283" s="5"/>
    </row>
    <row r="9284" spans="1:1" x14ac:dyDescent="0.25">
      <c r="A9284" s="5"/>
    </row>
    <row r="9285" spans="1:1" x14ac:dyDescent="0.25">
      <c r="A9285" s="5"/>
    </row>
    <row r="9286" spans="1:1" x14ac:dyDescent="0.25">
      <c r="A9286" s="5"/>
    </row>
    <row r="9287" spans="1:1" x14ac:dyDescent="0.25">
      <c r="A9287" s="5"/>
    </row>
    <row r="9288" spans="1:1" x14ac:dyDescent="0.25">
      <c r="A9288" s="5"/>
    </row>
    <row r="9289" spans="1:1" x14ac:dyDescent="0.25">
      <c r="A9289" s="5"/>
    </row>
    <row r="9290" spans="1:1" x14ac:dyDescent="0.25">
      <c r="A9290" s="5"/>
    </row>
    <row r="9291" spans="1:1" x14ac:dyDescent="0.25">
      <c r="A9291" s="5"/>
    </row>
    <row r="9292" spans="1:1" x14ac:dyDescent="0.25">
      <c r="A9292" s="5"/>
    </row>
    <row r="9293" spans="1:1" x14ac:dyDescent="0.25">
      <c r="A9293" s="5"/>
    </row>
    <row r="9294" spans="1:1" x14ac:dyDescent="0.25">
      <c r="A9294" s="5"/>
    </row>
    <row r="9295" spans="1:1" x14ac:dyDescent="0.25">
      <c r="A9295" s="5"/>
    </row>
    <row r="9296" spans="1:1" x14ac:dyDescent="0.25">
      <c r="A9296" s="5"/>
    </row>
    <row r="9297" spans="1:1" x14ac:dyDescent="0.25">
      <c r="A9297" s="5"/>
    </row>
    <row r="9298" spans="1:1" x14ac:dyDescent="0.25">
      <c r="A9298" s="5"/>
    </row>
    <row r="9299" spans="1:1" x14ac:dyDescent="0.25">
      <c r="A9299" s="5"/>
    </row>
    <row r="9300" spans="1:1" x14ac:dyDescent="0.25">
      <c r="A9300" s="5"/>
    </row>
    <row r="9301" spans="1:1" x14ac:dyDescent="0.25">
      <c r="A9301" s="5"/>
    </row>
    <row r="9302" spans="1:1" x14ac:dyDescent="0.25">
      <c r="A9302" s="5"/>
    </row>
    <row r="9303" spans="1:1" x14ac:dyDescent="0.25">
      <c r="A9303" s="5"/>
    </row>
    <row r="9304" spans="1:1" x14ac:dyDescent="0.25">
      <c r="A9304" s="5"/>
    </row>
    <row r="9305" spans="1:1" x14ac:dyDescent="0.25">
      <c r="A9305" s="5"/>
    </row>
    <row r="9306" spans="1:1" x14ac:dyDescent="0.25">
      <c r="A9306" s="5"/>
    </row>
    <row r="9307" spans="1:1" x14ac:dyDescent="0.25">
      <c r="A9307" s="5"/>
    </row>
    <row r="9308" spans="1:1" x14ac:dyDescent="0.25">
      <c r="A9308" s="5"/>
    </row>
    <row r="9309" spans="1:1" x14ac:dyDescent="0.25">
      <c r="A9309" s="5"/>
    </row>
    <row r="9310" spans="1:1" x14ac:dyDescent="0.25">
      <c r="A9310" s="5"/>
    </row>
    <row r="9311" spans="1:1" x14ac:dyDescent="0.25">
      <c r="A9311" s="5"/>
    </row>
    <row r="9312" spans="1:1" x14ac:dyDescent="0.25">
      <c r="A9312" s="5"/>
    </row>
    <row r="9313" spans="1:1" x14ac:dyDescent="0.25">
      <c r="A9313" s="5"/>
    </row>
    <row r="9314" spans="1:1" x14ac:dyDescent="0.25">
      <c r="A9314" s="5"/>
    </row>
    <row r="9315" spans="1:1" x14ac:dyDescent="0.25">
      <c r="A9315" s="5"/>
    </row>
    <row r="9316" spans="1:1" x14ac:dyDescent="0.25">
      <c r="A9316" s="5"/>
    </row>
    <row r="9317" spans="1:1" x14ac:dyDescent="0.25">
      <c r="A9317" s="5"/>
    </row>
    <row r="9318" spans="1:1" x14ac:dyDescent="0.25">
      <c r="A9318" s="5"/>
    </row>
    <row r="9319" spans="1:1" x14ac:dyDescent="0.25">
      <c r="A9319" s="5"/>
    </row>
    <row r="9320" spans="1:1" x14ac:dyDescent="0.25">
      <c r="A9320" s="5"/>
    </row>
    <row r="9321" spans="1:1" x14ac:dyDescent="0.25">
      <c r="A9321" s="5"/>
    </row>
    <row r="9322" spans="1:1" x14ac:dyDescent="0.25">
      <c r="A9322" s="5"/>
    </row>
    <row r="9323" spans="1:1" x14ac:dyDescent="0.25">
      <c r="A9323" s="5"/>
    </row>
    <row r="9324" spans="1:1" x14ac:dyDescent="0.25">
      <c r="A9324" s="5"/>
    </row>
    <row r="9325" spans="1:1" x14ac:dyDescent="0.25">
      <c r="A9325" s="5"/>
    </row>
    <row r="9326" spans="1:1" x14ac:dyDescent="0.25">
      <c r="A9326" s="5"/>
    </row>
    <row r="9327" spans="1:1" x14ac:dyDescent="0.25">
      <c r="A9327" s="5"/>
    </row>
    <row r="9328" spans="1:1" x14ac:dyDescent="0.25">
      <c r="A9328" s="5"/>
    </row>
    <row r="9329" spans="1:1" x14ac:dyDescent="0.25">
      <c r="A9329" s="5"/>
    </row>
    <row r="9330" spans="1:1" x14ac:dyDescent="0.25">
      <c r="A9330" s="5"/>
    </row>
    <row r="9331" spans="1:1" x14ac:dyDescent="0.25">
      <c r="A9331" s="5"/>
    </row>
    <row r="9332" spans="1:1" x14ac:dyDescent="0.25">
      <c r="A9332" s="5"/>
    </row>
    <row r="9333" spans="1:1" x14ac:dyDescent="0.25">
      <c r="A9333" s="5"/>
    </row>
    <row r="9334" spans="1:1" x14ac:dyDescent="0.25">
      <c r="A9334" s="5"/>
    </row>
    <row r="9335" spans="1:1" x14ac:dyDescent="0.25">
      <c r="A9335" s="5"/>
    </row>
    <row r="9336" spans="1:1" x14ac:dyDescent="0.25">
      <c r="A9336" s="5"/>
    </row>
    <row r="9337" spans="1:1" x14ac:dyDescent="0.25">
      <c r="A9337" s="5"/>
    </row>
    <row r="9338" spans="1:1" x14ac:dyDescent="0.25">
      <c r="A9338" s="5"/>
    </row>
    <row r="9339" spans="1:1" x14ac:dyDescent="0.25">
      <c r="A9339" s="5"/>
    </row>
    <row r="9340" spans="1:1" x14ac:dyDescent="0.25">
      <c r="A9340" s="5"/>
    </row>
    <row r="9341" spans="1:1" x14ac:dyDescent="0.25">
      <c r="A9341" s="5"/>
    </row>
    <row r="9342" spans="1:1" x14ac:dyDescent="0.25">
      <c r="A9342" s="5"/>
    </row>
    <row r="9343" spans="1:1" x14ac:dyDescent="0.25">
      <c r="A9343" s="5"/>
    </row>
    <row r="9344" spans="1:1" x14ac:dyDescent="0.25">
      <c r="A9344" s="5"/>
    </row>
    <row r="9345" spans="1:1" x14ac:dyDescent="0.25">
      <c r="A9345" s="5"/>
    </row>
    <row r="9346" spans="1:1" x14ac:dyDescent="0.25">
      <c r="A9346" s="5"/>
    </row>
    <row r="9347" spans="1:1" x14ac:dyDescent="0.25">
      <c r="A9347" s="5"/>
    </row>
    <row r="9348" spans="1:1" x14ac:dyDescent="0.25">
      <c r="A9348" s="5"/>
    </row>
    <row r="9349" spans="1:1" x14ac:dyDescent="0.25">
      <c r="A9349" s="5"/>
    </row>
    <row r="9350" spans="1:1" x14ac:dyDescent="0.25">
      <c r="A9350" s="5"/>
    </row>
    <row r="9351" spans="1:1" x14ac:dyDescent="0.25">
      <c r="A9351" s="5"/>
    </row>
    <row r="9352" spans="1:1" x14ac:dyDescent="0.25">
      <c r="A9352" s="5"/>
    </row>
    <row r="9353" spans="1:1" x14ac:dyDescent="0.25">
      <c r="A9353" s="5"/>
    </row>
    <row r="9354" spans="1:1" x14ac:dyDescent="0.25">
      <c r="A9354" s="5"/>
    </row>
    <row r="9355" spans="1:1" x14ac:dyDescent="0.25">
      <c r="A9355" s="5"/>
    </row>
    <row r="9356" spans="1:1" x14ac:dyDescent="0.25">
      <c r="A9356" s="5"/>
    </row>
    <row r="9357" spans="1:1" x14ac:dyDescent="0.25">
      <c r="A9357" s="5"/>
    </row>
    <row r="9358" spans="1:1" x14ac:dyDescent="0.25">
      <c r="A9358" s="5"/>
    </row>
    <row r="9359" spans="1:1" x14ac:dyDescent="0.25">
      <c r="A9359" s="5"/>
    </row>
    <row r="9360" spans="1:1" x14ac:dyDescent="0.25">
      <c r="A9360" s="5"/>
    </row>
    <row r="9361" spans="1:1" x14ac:dyDescent="0.25">
      <c r="A9361" s="5"/>
    </row>
    <row r="9362" spans="1:1" x14ac:dyDescent="0.25">
      <c r="A9362" s="5"/>
    </row>
    <row r="9363" spans="1:1" x14ac:dyDescent="0.25">
      <c r="A9363" s="5"/>
    </row>
    <row r="9364" spans="1:1" x14ac:dyDescent="0.25">
      <c r="A9364" s="5"/>
    </row>
    <row r="9365" spans="1:1" x14ac:dyDescent="0.25">
      <c r="A9365" s="5"/>
    </row>
    <row r="9366" spans="1:1" x14ac:dyDescent="0.25">
      <c r="A9366" s="5"/>
    </row>
    <row r="9367" spans="1:1" x14ac:dyDescent="0.25">
      <c r="A9367" s="5"/>
    </row>
    <row r="9368" spans="1:1" x14ac:dyDescent="0.25">
      <c r="A9368" s="5"/>
    </row>
    <row r="9369" spans="1:1" x14ac:dyDescent="0.25">
      <c r="A9369" s="5"/>
    </row>
    <row r="9370" spans="1:1" x14ac:dyDescent="0.25">
      <c r="A9370" s="5"/>
    </row>
    <row r="9371" spans="1:1" x14ac:dyDescent="0.25">
      <c r="A9371" s="5"/>
    </row>
    <row r="9372" spans="1:1" x14ac:dyDescent="0.25">
      <c r="A9372" s="5"/>
    </row>
    <row r="9373" spans="1:1" x14ac:dyDescent="0.25">
      <c r="A9373" s="5"/>
    </row>
    <row r="9374" spans="1:1" x14ac:dyDescent="0.25">
      <c r="A9374" s="5"/>
    </row>
    <row r="9375" spans="1:1" x14ac:dyDescent="0.25">
      <c r="A9375" s="5"/>
    </row>
    <row r="9376" spans="1:1" x14ac:dyDescent="0.25">
      <c r="A9376" s="5"/>
    </row>
    <row r="9377" spans="1:1" x14ac:dyDescent="0.25">
      <c r="A9377" s="5"/>
    </row>
    <row r="9378" spans="1:1" x14ac:dyDescent="0.25">
      <c r="A9378" s="5"/>
    </row>
    <row r="9379" spans="1:1" x14ac:dyDescent="0.25">
      <c r="A9379" s="5"/>
    </row>
    <row r="9380" spans="1:1" x14ac:dyDescent="0.25">
      <c r="A9380" s="5"/>
    </row>
    <row r="9381" spans="1:1" x14ac:dyDescent="0.25">
      <c r="A9381" s="5"/>
    </row>
    <row r="9382" spans="1:1" x14ac:dyDescent="0.25">
      <c r="A9382" s="5"/>
    </row>
    <row r="9383" spans="1:1" x14ac:dyDescent="0.25">
      <c r="A9383" s="5"/>
    </row>
    <row r="9384" spans="1:1" x14ac:dyDescent="0.25">
      <c r="A9384" s="5"/>
    </row>
    <row r="9385" spans="1:1" x14ac:dyDescent="0.25">
      <c r="A9385" s="5"/>
    </row>
    <row r="9386" spans="1:1" x14ac:dyDescent="0.25">
      <c r="A9386" s="5"/>
    </row>
    <row r="9387" spans="1:1" x14ac:dyDescent="0.25">
      <c r="A9387" s="5"/>
    </row>
    <row r="9388" spans="1:1" x14ac:dyDescent="0.25">
      <c r="A9388" s="5"/>
    </row>
    <row r="9389" spans="1:1" x14ac:dyDescent="0.25">
      <c r="A9389" s="5"/>
    </row>
    <row r="9390" spans="1:1" x14ac:dyDescent="0.25">
      <c r="A9390" s="5"/>
    </row>
    <row r="9391" spans="1:1" x14ac:dyDescent="0.25">
      <c r="A9391" s="5"/>
    </row>
    <row r="9392" spans="1:1" x14ac:dyDescent="0.25">
      <c r="A9392" s="5"/>
    </row>
    <row r="9393" spans="1:1" x14ac:dyDescent="0.25">
      <c r="A9393" s="5"/>
    </row>
    <row r="9394" spans="1:1" x14ac:dyDescent="0.25">
      <c r="A9394" s="5"/>
    </row>
    <row r="9395" spans="1:1" x14ac:dyDescent="0.25">
      <c r="A9395" s="5"/>
    </row>
    <row r="9396" spans="1:1" x14ac:dyDescent="0.25">
      <c r="A9396" s="5"/>
    </row>
    <row r="9397" spans="1:1" x14ac:dyDescent="0.25">
      <c r="A9397" s="5"/>
    </row>
    <row r="9398" spans="1:1" x14ac:dyDescent="0.25">
      <c r="A9398" s="5"/>
    </row>
    <row r="9399" spans="1:1" x14ac:dyDescent="0.25">
      <c r="A9399" s="5"/>
    </row>
    <row r="9400" spans="1:1" x14ac:dyDescent="0.25">
      <c r="A9400" s="5"/>
    </row>
    <row r="9401" spans="1:1" x14ac:dyDescent="0.25">
      <c r="A9401" s="5"/>
    </row>
    <row r="9402" spans="1:1" x14ac:dyDescent="0.25">
      <c r="A9402" s="5"/>
    </row>
    <row r="9403" spans="1:1" x14ac:dyDescent="0.25">
      <c r="A9403" s="5"/>
    </row>
    <row r="9404" spans="1:1" x14ac:dyDescent="0.25">
      <c r="A9404" s="5"/>
    </row>
    <row r="9405" spans="1:1" x14ac:dyDescent="0.25">
      <c r="A9405" s="5"/>
    </row>
    <row r="9406" spans="1:1" x14ac:dyDescent="0.25">
      <c r="A9406" s="5"/>
    </row>
    <row r="9407" spans="1:1" x14ac:dyDescent="0.25">
      <c r="A9407" s="5"/>
    </row>
    <row r="9408" spans="1:1" x14ac:dyDescent="0.25">
      <c r="A9408" s="5"/>
    </row>
    <row r="9409" spans="1:1" x14ac:dyDescent="0.25">
      <c r="A9409" s="5"/>
    </row>
    <row r="9410" spans="1:1" x14ac:dyDescent="0.25">
      <c r="A9410" s="5"/>
    </row>
    <row r="9411" spans="1:1" x14ac:dyDescent="0.25">
      <c r="A9411" s="5"/>
    </row>
    <row r="9412" spans="1:1" x14ac:dyDescent="0.25">
      <c r="A9412" s="5"/>
    </row>
    <row r="9413" spans="1:1" x14ac:dyDescent="0.25">
      <c r="A9413" s="5"/>
    </row>
    <row r="9414" spans="1:1" x14ac:dyDescent="0.25">
      <c r="A9414" s="5"/>
    </row>
    <row r="9415" spans="1:1" x14ac:dyDescent="0.25">
      <c r="A9415" s="5"/>
    </row>
    <row r="9416" spans="1:1" x14ac:dyDescent="0.25">
      <c r="A9416" s="5"/>
    </row>
    <row r="9417" spans="1:1" x14ac:dyDescent="0.25">
      <c r="A9417" s="5"/>
    </row>
    <row r="9418" spans="1:1" x14ac:dyDescent="0.25">
      <c r="A9418" s="5"/>
    </row>
    <row r="9419" spans="1:1" x14ac:dyDescent="0.25">
      <c r="A9419" s="5"/>
    </row>
    <row r="9420" spans="1:1" x14ac:dyDescent="0.25">
      <c r="A9420" s="5"/>
    </row>
    <row r="9421" spans="1:1" x14ac:dyDescent="0.25">
      <c r="A9421" s="5"/>
    </row>
    <row r="9422" spans="1:1" x14ac:dyDescent="0.25">
      <c r="A9422" s="5"/>
    </row>
    <row r="9423" spans="1:1" x14ac:dyDescent="0.25">
      <c r="A9423" s="5"/>
    </row>
    <row r="9424" spans="1:1" x14ac:dyDescent="0.25">
      <c r="A9424" s="5"/>
    </row>
    <row r="9425" spans="1:1" x14ac:dyDescent="0.25">
      <c r="A9425" s="5"/>
    </row>
    <row r="9426" spans="1:1" x14ac:dyDescent="0.25">
      <c r="A9426" s="5"/>
    </row>
    <row r="9427" spans="1:1" x14ac:dyDescent="0.25">
      <c r="A9427" s="5"/>
    </row>
    <row r="9428" spans="1:1" x14ac:dyDescent="0.25">
      <c r="A9428" s="5"/>
    </row>
    <row r="9429" spans="1:1" x14ac:dyDescent="0.25">
      <c r="A9429" s="5"/>
    </row>
    <row r="9430" spans="1:1" x14ac:dyDescent="0.25">
      <c r="A9430" s="5"/>
    </row>
    <row r="9431" spans="1:1" x14ac:dyDescent="0.25">
      <c r="A9431" s="5"/>
    </row>
    <row r="9432" spans="1:1" x14ac:dyDescent="0.25">
      <c r="A9432" s="5"/>
    </row>
    <row r="9433" spans="1:1" x14ac:dyDescent="0.25">
      <c r="A9433" s="5"/>
    </row>
    <row r="9434" spans="1:1" x14ac:dyDescent="0.25">
      <c r="A9434" s="5"/>
    </row>
    <row r="9435" spans="1:1" x14ac:dyDescent="0.25">
      <c r="A9435" s="5"/>
    </row>
    <row r="9436" spans="1:1" x14ac:dyDescent="0.25">
      <c r="A9436" s="5"/>
    </row>
    <row r="9437" spans="1:1" x14ac:dyDescent="0.25">
      <c r="A9437" s="5"/>
    </row>
    <row r="9438" spans="1:1" x14ac:dyDescent="0.25">
      <c r="A9438" s="5"/>
    </row>
    <row r="9439" spans="1:1" x14ac:dyDescent="0.25">
      <c r="A9439" s="5"/>
    </row>
    <row r="9440" spans="1:1" x14ac:dyDescent="0.25">
      <c r="A9440" s="5"/>
    </row>
    <row r="9441" spans="1:1" x14ac:dyDescent="0.25">
      <c r="A9441" s="5"/>
    </row>
    <row r="9442" spans="1:1" x14ac:dyDescent="0.25">
      <c r="A9442" s="5"/>
    </row>
    <row r="9443" spans="1:1" x14ac:dyDescent="0.25">
      <c r="A9443" s="5"/>
    </row>
    <row r="9444" spans="1:1" x14ac:dyDescent="0.25">
      <c r="A9444" s="5"/>
    </row>
    <row r="9445" spans="1:1" x14ac:dyDescent="0.25">
      <c r="A9445" s="5"/>
    </row>
    <row r="9446" spans="1:1" x14ac:dyDescent="0.25">
      <c r="A9446" s="5"/>
    </row>
    <row r="9447" spans="1:1" x14ac:dyDescent="0.25">
      <c r="A9447" s="5"/>
    </row>
    <row r="9448" spans="1:1" x14ac:dyDescent="0.25">
      <c r="A9448" s="5"/>
    </row>
    <row r="9449" spans="1:1" x14ac:dyDescent="0.25">
      <c r="A9449" s="5"/>
    </row>
    <row r="9450" spans="1:1" x14ac:dyDescent="0.25">
      <c r="A9450" s="5"/>
    </row>
    <row r="9451" spans="1:1" x14ac:dyDescent="0.25">
      <c r="A9451" s="5"/>
    </row>
    <row r="9452" spans="1:1" x14ac:dyDescent="0.25">
      <c r="A9452" s="5"/>
    </row>
    <row r="9453" spans="1:1" x14ac:dyDescent="0.25">
      <c r="A9453" s="5"/>
    </row>
    <row r="9454" spans="1:1" x14ac:dyDescent="0.25">
      <c r="A9454" s="5"/>
    </row>
    <row r="9455" spans="1:1" x14ac:dyDescent="0.25">
      <c r="A9455" s="5"/>
    </row>
    <row r="9456" spans="1:1" x14ac:dyDescent="0.25">
      <c r="A9456" s="5"/>
    </row>
    <row r="9457" spans="1:1" x14ac:dyDescent="0.25">
      <c r="A9457" s="5"/>
    </row>
    <row r="9458" spans="1:1" x14ac:dyDescent="0.25">
      <c r="A9458" s="5"/>
    </row>
    <row r="9459" spans="1:1" x14ac:dyDescent="0.25">
      <c r="A9459" s="5"/>
    </row>
    <row r="9460" spans="1:1" x14ac:dyDescent="0.25">
      <c r="A9460" s="5"/>
    </row>
    <row r="9461" spans="1:1" x14ac:dyDescent="0.25">
      <c r="A9461" s="5"/>
    </row>
    <row r="9462" spans="1:1" x14ac:dyDescent="0.25">
      <c r="A9462" s="5"/>
    </row>
    <row r="9463" spans="1:1" x14ac:dyDescent="0.25">
      <c r="A9463" s="5"/>
    </row>
    <row r="9464" spans="1:1" x14ac:dyDescent="0.25">
      <c r="A9464" s="5"/>
    </row>
    <row r="9465" spans="1:1" x14ac:dyDescent="0.25">
      <c r="A9465" s="5"/>
    </row>
    <row r="9466" spans="1:1" x14ac:dyDescent="0.25">
      <c r="A9466" s="5"/>
    </row>
    <row r="9467" spans="1:1" x14ac:dyDescent="0.25">
      <c r="A9467" s="5"/>
    </row>
    <row r="9468" spans="1:1" x14ac:dyDescent="0.25">
      <c r="A9468" s="5"/>
    </row>
    <row r="9469" spans="1:1" x14ac:dyDescent="0.25">
      <c r="A9469" s="5"/>
    </row>
    <row r="9470" spans="1:1" x14ac:dyDescent="0.25">
      <c r="A9470" s="5"/>
    </row>
    <row r="9471" spans="1:1" x14ac:dyDescent="0.25">
      <c r="A9471" s="5"/>
    </row>
    <row r="9472" spans="1:1" x14ac:dyDescent="0.25">
      <c r="A9472" s="5"/>
    </row>
    <row r="9473" spans="1:1" x14ac:dyDescent="0.25">
      <c r="A9473" s="5"/>
    </row>
    <row r="9474" spans="1:1" x14ac:dyDescent="0.25">
      <c r="A9474" s="5"/>
    </row>
    <row r="9475" spans="1:1" x14ac:dyDescent="0.25">
      <c r="A9475" s="5"/>
    </row>
    <row r="9476" spans="1:1" x14ac:dyDescent="0.25">
      <c r="A9476" s="5"/>
    </row>
    <row r="9477" spans="1:1" x14ac:dyDescent="0.25">
      <c r="A9477" s="5"/>
    </row>
    <row r="9478" spans="1:1" x14ac:dyDescent="0.25">
      <c r="A9478" s="5"/>
    </row>
    <row r="9479" spans="1:1" x14ac:dyDescent="0.25">
      <c r="A9479" s="5"/>
    </row>
    <row r="9480" spans="1:1" x14ac:dyDescent="0.25">
      <c r="A9480" s="5"/>
    </row>
    <row r="9481" spans="1:1" x14ac:dyDescent="0.25">
      <c r="A9481" s="5"/>
    </row>
    <row r="9482" spans="1:1" x14ac:dyDescent="0.25">
      <c r="A9482" s="5"/>
    </row>
    <row r="9483" spans="1:1" x14ac:dyDescent="0.25">
      <c r="A9483" s="5"/>
    </row>
    <row r="9484" spans="1:1" x14ac:dyDescent="0.25">
      <c r="A9484" s="5"/>
    </row>
    <row r="9485" spans="1:1" x14ac:dyDescent="0.25">
      <c r="A9485" s="5"/>
    </row>
    <row r="9486" spans="1:1" x14ac:dyDescent="0.25">
      <c r="A9486" s="5"/>
    </row>
    <row r="9487" spans="1:1" x14ac:dyDescent="0.25">
      <c r="A9487" s="5"/>
    </row>
    <row r="9488" spans="1:1" x14ac:dyDescent="0.25">
      <c r="A9488" s="5"/>
    </row>
    <row r="9489" spans="1:1" x14ac:dyDescent="0.25">
      <c r="A9489" s="5"/>
    </row>
    <row r="9490" spans="1:1" x14ac:dyDescent="0.25">
      <c r="A9490" s="5"/>
    </row>
    <row r="9491" spans="1:1" x14ac:dyDescent="0.25">
      <c r="A9491" s="5"/>
    </row>
    <row r="9492" spans="1:1" x14ac:dyDescent="0.25">
      <c r="A9492" s="5"/>
    </row>
    <row r="9493" spans="1:1" x14ac:dyDescent="0.25">
      <c r="A9493" s="5"/>
    </row>
    <row r="9494" spans="1:1" x14ac:dyDescent="0.25">
      <c r="A9494" s="5"/>
    </row>
    <row r="9495" spans="1:1" x14ac:dyDescent="0.25">
      <c r="A9495" s="5"/>
    </row>
    <row r="9496" spans="1:1" x14ac:dyDescent="0.25">
      <c r="A9496" s="5"/>
    </row>
    <row r="9497" spans="1:1" x14ac:dyDescent="0.25">
      <c r="A9497" s="5"/>
    </row>
    <row r="9498" spans="1:1" x14ac:dyDescent="0.25">
      <c r="A9498" s="5"/>
    </row>
    <row r="9499" spans="1:1" x14ac:dyDescent="0.25">
      <c r="A9499" s="5"/>
    </row>
    <row r="9500" spans="1:1" x14ac:dyDescent="0.25">
      <c r="A9500" s="5"/>
    </row>
    <row r="9501" spans="1:1" x14ac:dyDescent="0.25">
      <c r="A9501" s="5"/>
    </row>
    <row r="9502" spans="1:1" x14ac:dyDescent="0.25">
      <c r="A9502" s="5"/>
    </row>
    <row r="9503" spans="1:1" x14ac:dyDescent="0.25">
      <c r="A9503" s="5"/>
    </row>
    <row r="9504" spans="1:1" x14ac:dyDescent="0.25">
      <c r="A9504" s="5"/>
    </row>
    <row r="9505" spans="1:1" x14ac:dyDescent="0.25">
      <c r="A9505" s="5"/>
    </row>
    <row r="9506" spans="1:1" x14ac:dyDescent="0.25">
      <c r="A9506" s="5"/>
    </row>
    <row r="9507" spans="1:1" x14ac:dyDescent="0.25">
      <c r="A9507" s="5"/>
    </row>
    <row r="9508" spans="1:1" x14ac:dyDescent="0.25">
      <c r="A9508" s="5"/>
    </row>
    <row r="9509" spans="1:1" x14ac:dyDescent="0.25">
      <c r="A9509" s="5"/>
    </row>
    <row r="9510" spans="1:1" x14ac:dyDescent="0.25">
      <c r="A9510" s="5"/>
    </row>
    <row r="9511" spans="1:1" x14ac:dyDescent="0.25">
      <c r="A9511" s="5"/>
    </row>
    <row r="9512" spans="1:1" x14ac:dyDescent="0.25">
      <c r="A9512" s="5"/>
    </row>
    <row r="9513" spans="1:1" x14ac:dyDescent="0.25">
      <c r="A9513" s="5"/>
    </row>
    <row r="9514" spans="1:1" x14ac:dyDescent="0.25">
      <c r="A9514" s="5"/>
    </row>
    <row r="9515" spans="1:1" x14ac:dyDescent="0.25">
      <c r="A9515" s="5"/>
    </row>
    <row r="9516" spans="1:1" x14ac:dyDescent="0.25">
      <c r="A9516" s="5"/>
    </row>
    <row r="9517" spans="1:1" x14ac:dyDescent="0.25">
      <c r="A9517" s="5"/>
    </row>
    <row r="9518" spans="1:1" x14ac:dyDescent="0.25">
      <c r="A9518" s="5"/>
    </row>
    <row r="9519" spans="1:1" x14ac:dyDescent="0.25">
      <c r="A9519" s="5"/>
    </row>
    <row r="9520" spans="1:1" x14ac:dyDescent="0.25">
      <c r="A9520" s="5"/>
    </row>
    <row r="9521" spans="1:1" x14ac:dyDescent="0.25">
      <c r="A9521" s="5"/>
    </row>
    <row r="9522" spans="1:1" x14ac:dyDescent="0.25">
      <c r="A9522" s="5"/>
    </row>
    <row r="9523" spans="1:1" x14ac:dyDescent="0.25">
      <c r="A9523" s="5"/>
    </row>
    <row r="9524" spans="1:1" x14ac:dyDescent="0.25">
      <c r="A9524" s="5"/>
    </row>
    <row r="9525" spans="1:1" x14ac:dyDescent="0.25">
      <c r="A9525" s="5"/>
    </row>
    <row r="9526" spans="1:1" x14ac:dyDescent="0.25">
      <c r="A9526" s="5"/>
    </row>
    <row r="9527" spans="1:1" x14ac:dyDescent="0.25">
      <c r="A9527" s="5"/>
    </row>
    <row r="9528" spans="1:1" x14ac:dyDescent="0.25">
      <c r="A9528" s="5"/>
    </row>
    <row r="9529" spans="1:1" x14ac:dyDescent="0.25">
      <c r="A9529" s="5"/>
    </row>
    <row r="9530" spans="1:1" x14ac:dyDescent="0.25">
      <c r="A9530" s="5"/>
    </row>
    <row r="9531" spans="1:1" x14ac:dyDescent="0.25">
      <c r="A9531" s="5"/>
    </row>
    <row r="9532" spans="1:1" x14ac:dyDescent="0.25">
      <c r="A9532" s="5"/>
    </row>
    <row r="9533" spans="1:1" x14ac:dyDescent="0.25">
      <c r="A9533" s="5"/>
    </row>
    <row r="9534" spans="1:1" x14ac:dyDescent="0.25">
      <c r="A9534" s="5"/>
    </row>
    <row r="9535" spans="1:1" x14ac:dyDescent="0.25">
      <c r="A9535" s="5"/>
    </row>
    <row r="9536" spans="1:1" x14ac:dyDescent="0.25">
      <c r="A9536" s="5"/>
    </row>
    <row r="9537" spans="1:1" x14ac:dyDescent="0.25">
      <c r="A9537" s="5"/>
    </row>
    <row r="9538" spans="1:1" x14ac:dyDescent="0.25">
      <c r="A9538" s="5"/>
    </row>
    <row r="9539" spans="1:1" x14ac:dyDescent="0.25">
      <c r="A9539" s="5"/>
    </row>
    <row r="9540" spans="1:1" x14ac:dyDescent="0.25">
      <c r="A9540" s="5"/>
    </row>
    <row r="9541" spans="1:1" x14ac:dyDescent="0.25">
      <c r="A9541" s="5"/>
    </row>
    <row r="9542" spans="1:1" x14ac:dyDescent="0.25">
      <c r="A9542" s="5"/>
    </row>
    <row r="9543" spans="1:1" x14ac:dyDescent="0.25">
      <c r="A9543" s="5"/>
    </row>
    <row r="9544" spans="1:1" x14ac:dyDescent="0.25">
      <c r="A9544" s="5"/>
    </row>
    <row r="9545" spans="1:1" x14ac:dyDescent="0.25">
      <c r="A9545" s="5"/>
    </row>
    <row r="9546" spans="1:1" x14ac:dyDescent="0.25">
      <c r="A9546" s="5"/>
    </row>
    <row r="9547" spans="1:1" x14ac:dyDescent="0.25">
      <c r="A9547" s="5"/>
    </row>
    <row r="9548" spans="1:1" x14ac:dyDescent="0.25">
      <c r="A9548" s="5"/>
    </row>
    <row r="9549" spans="1:1" x14ac:dyDescent="0.25">
      <c r="A9549" s="5"/>
    </row>
    <row r="9550" spans="1:1" x14ac:dyDescent="0.25">
      <c r="A9550" s="5"/>
    </row>
    <row r="9551" spans="1:1" x14ac:dyDescent="0.25">
      <c r="A9551" s="5"/>
    </row>
    <row r="9552" spans="1:1" x14ac:dyDescent="0.25">
      <c r="A9552" s="5"/>
    </row>
    <row r="9553" spans="1:1" x14ac:dyDescent="0.25">
      <c r="A9553" s="5"/>
    </row>
    <row r="9554" spans="1:1" x14ac:dyDescent="0.25">
      <c r="A9554" s="5"/>
    </row>
    <row r="9555" spans="1:1" x14ac:dyDescent="0.25">
      <c r="A9555" s="5"/>
    </row>
    <row r="9556" spans="1:1" x14ac:dyDescent="0.25">
      <c r="A9556" s="5"/>
    </row>
    <row r="9557" spans="1:1" x14ac:dyDescent="0.25">
      <c r="A9557" s="5"/>
    </row>
    <row r="9558" spans="1:1" x14ac:dyDescent="0.25">
      <c r="A9558" s="5"/>
    </row>
    <row r="9559" spans="1:1" x14ac:dyDescent="0.25">
      <c r="A9559" s="5"/>
    </row>
    <row r="9560" spans="1:1" x14ac:dyDescent="0.25">
      <c r="A9560" s="5"/>
    </row>
    <row r="9561" spans="1:1" x14ac:dyDescent="0.25">
      <c r="A9561" s="5"/>
    </row>
    <row r="9562" spans="1:1" x14ac:dyDescent="0.25">
      <c r="A9562" s="5"/>
    </row>
    <row r="9563" spans="1:1" x14ac:dyDescent="0.25">
      <c r="A9563" s="5"/>
    </row>
    <row r="9564" spans="1:1" x14ac:dyDescent="0.25">
      <c r="A9564" s="5"/>
    </row>
    <row r="9565" spans="1:1" x14ac:dyDescent="0.25">
      <c r="A9565" s="5"/>
    </row>
    <row r="9566" spans="1:1" x14ac:dyDescent="0.25">
      <c r="A9566" s="5"/>
    </row>
    <row r="9567" spans="1:1" x14ac:dyDescent="0.25">
      <c r="A9567" s="5"/>
    </row>
    <row r="9568" spans="1:1" x14ac:dyDescent="0.25">
      <c r="A9568" s="5"/>
    </row>
    <row r="9569" spans="1:1" x14ac:dyDescent="0.25">
      <c r="A9569" s="5"/>
    </row>
    <row r="9570" spans="1:1" x14ac:dyDescent="0.25">
      <c r="A9570" s="5"/>
    </row>
    <row r="9571" spans="1:1" x14ac:dyDescent="0.25">
      <c r="A9571" s="5"/>
    </row>
    <row r="9572" spans="1:1" x14ac:dyDescent="0.25">
      <c r="A9572" s="5"/>
    </row>
    <row r="9573" spans="1:1" x14ac:dyDescent="0.25">
      <c r="A9573" s="5"/>
    </row>
    <row r="9574" spans="1:1" x14ac:dyDescent="0.25">
      <c r="A9574" s="5"/>
    </row>
    <row r="9575" spans="1:1" x14ac:dyDescent="0.25">
      <c r="A9575" s="5"/>
    </row>
    <row r="9576" spans="1:1" x14ac:dyDescent="0.25">
      <c r="A9576" s="5"/>
    </row>
    <row r="9577" spans="1:1" x14ac:dyDescent="0.25">
      <c r="A9577" s="5"/>
    </row>
    <row r="9578" spans="1:1" x14ac:dyDescent="0.25">
      <c r="A9578" s="5"/>
    </row>
    <row r="9579" spans="1:1" x14ac:dyDescent="0.25">
      <c r="A9579" s="5"/>
    </row>
    <row r="9580" spans="1:1" x14ac:dyDescent="0.25">
      <c r="A9580" s="5"/>
    </row>
    <row r="9581" spans="1:1" x14ac:dyDescent="0.25">
      <c r="A9581" s="5"/>
    </row>
    <row r="9582" spans="1:1" x14ac:dyDescent="0.25">
      <c r="A9582" s="5"/>
    </row>
    <row r="9583" spans="1:1" x14ac:dyDescent="0.25">
      <c r="A9583" s="5"/>
    </row>
    <row r="9584" spans="1:1" x14ac:dyDescent="0.25">
      <c r="A9584" s="5"/>
    </row>
    <row r="9585" spans="1:1" x14ac:dyDescent="0.25">
      <c r="A9585" s="5"/>
    </row>
    <row r="9586" spans="1:1" x14ac:dyDescent="0.25">
      <c r="A9586" s="5"/>
    </row>
    <row r="9587" spans="1:1" x14ac:dyDescent="0.25">
      <c r="A9587" s="5"/>
    </row>
    <row r="9588" spans="1:1" x14ac:dyDescent="0.25">
      <c r="A9588" s="5"/>
    </row>
    <row r="9589" spans="1:1" x14ac:dyDescent="0.25">
      <c r="A9589" s="5"/>
    </row>
    <row r="9590" spans="1:1" x14ac:dyDescent="0.25">
      <c r="A9590" s="5"/>
    </row>
    <row r="9591" spans="1:1" x14ac:dyDescent="0.25">
      <c r="A9591" s="5"/>
    </row>
    <row r="9592" spans="1:1" x14ac:dyDescent="0.25">
      <c r="A9592" s="5"/>
    </row>
    <row r="9593" spans="1:1" x14ac:dyDescent="0.25">
      <c r="A9593" s="5"/>
    </row>
    <row r="9594" spans="1:1" x14ac:dyDescent="0.25">
      <c r="A9594" s="5"/>
    </row>
    <row r="9595" spans="1:1" x14ac:dyDescent="0.25">
      <c r="A9595" s="5"/>
    </row>
    <row r="9596" spans="1:1" x14ac:dyDescent="0.25">
      <c r="A9596" s="5"/>
    </row>
    <row r="9597" spans="1:1" x14ac:dyDescent="0.25">
      <c r="A9597" s="5"/>
    </row>
    <row r="9598" spans="1:1" x14ac:dyDescent="0.25">
      <c r="A9598" s="5"/>
    </row>
    <row r="9599" spans="1:1" x14ac:dyDescent="0.25">
      <c r="A9599" s="5"/>
    </row>
    <row r="9600" spans="1:1" x14ac:dyDescent="0.25">
      <c r="A9600" s="5"/>
    </row>
    <row r="9601" spans="1:1" x14ac:dyDescent="0.25">
      <c r="A9601" s="5"/>
    </row>
    <row r="9602" spans="1:1" x14ac:dyDescent="0.25">
      <c r="A9602" s="5"/>
    </row>
    <row r="9603" spans="1:1" x14ac:dyDescent="0.25">
      <c r="A9603" s="5"/>
    </row>
    <row r="9604" spans="1:1" x14ac:dyDescent="0.25">
      <c r="A9604" s="5"/>
    </row>
    <row r="9605" spans="1:1" x14ac:dyDescent="0.25">
      <c r="A9605" s="5"/>
    </row>
    <row r="9606" spans="1:1" x14ac:dyDescent="0.25">
      <c r="A9606" s="5"/>
    </row>
    <row r="9607" spans="1:1" x14ac:dyDescent="0.25">
      <c r="A9607" s="5"/>
    </row>
    <row r="9608" spans="1:1" x14ac:dyDescent="0.25">
      <c r="A9608" s="5"/>
    </row>
    <row r="9609" spans="1:1" x14ac:dyDescent="0.25">
      <c r="A9609" s="5"/>
    </row>
    <row r="9610" spans="1:1" x14ac:dyDescent="0.25">
      <c r="A9610" s="5"/>
    </row>
    <row r="9611" spans="1:1" x14ac:dyDescent="0.25">
      <c r="A9611" s="5"/>
    </row>
    <row r="9612" spans="1:1" x14ac:dyDescent="0.25">
      <c r="A9612" s="5"/>
    </row>
    <row r="9613" spans="1:1" x14ac:dyDescent="0.25">
      <c r="A9613" s="5"/>
    </row>
    <row r="9614" spans="1:1" x14ac:dyDescent="0.25">
      <c r="A9614" s="5"/>
    </row>
    <row r="9615" spans="1:1" x14ac:dyDescent="0.25">
      <c r="A9615" s="5"/>
    </row>
    <row r="9616" spans="1:1" x14ac:dyDescent="0.25">
      <c r="A9616" s="5"/>
    </row>
    <row r="9617" spans="1:1" x14ac:dyDescent="0.25">
      <c r="A9617" s="5"/>
    </row>
    <row r="9618" spans="1:1" x14ac:dyDescent="0.25">
      <c r="A9618" s="5"/>
    </row>
    <row r="9619" spans="1:1" x14ac:dyDescent="0.25">
      <c r="A9619" s="5"/>
    </row>
    <row r="9620" spans="1:1" x14ac:dyDescent="0.25">
      <c r="A9620" s="5"/>
    </row>
    <row r="9621" spans="1:1" x14ac:dyDescent="0.25">
      <c r="A9621" s="5"/>
    </row>
    <row r="9622" spans="1:1" x14ac:dyDescent="0.25">
      <c r="A9622" s="5"/>
    </row>
    <row r="9623" spans="1:1" x14ac:dyDescent="0.25">
      <c r="A9623" s="5"/>
    </row>
    <row r="9624" spans="1:1" x14ac:dyDescent="0.25">
      <c r="A9624" s="5"/>
    </row>
    <row r="9625" spans="1:1" x14ac:dyDescent="0.25">
      <c r="A9625" s="5"/>
    </row>
    <row r="9626" spans="1:1" x14ac:dyDescent="0.25">
      <c r="A9626" s="5"/>
    </row>
    <row r="9627" spans="1:1" x14ac:dyDescent="0.25">
      <c r="A9627" s="5"/>
    </row>
    <row r="9628" spans="1:1" x14ac:dyDescent="0.25">
      <c r="A9628" s="5"/>
    </row>
    <row r="9629" spans="1:1" x14ac:dyDescent="0.25">
      <c r="A9629" s="5"/>
    </row>
    <row r="9630" spans="1:1" x14ac:dyDescent="0.25">
      <c r="A9630" s="5"/>
    </row>
    <row r="9631" spans="1:1" x14ac:dyDescent="0.25">
      <c r="A9631" s="5"/>
    </row>
    <row r="9632" spans="1:1" x14ac:dyDescent="0.25">
      <c r="A9632" s="5"/>
    </row>
    <row r="9633" spans="1:1" x14ac:dyDescent="0.25">
      <c r="A9633" s="5"/>
    </row>
    <row r="9634" spans="1:1" x14ac:dyDescent="0.25">
      <c r="A9634" s="5"/>
    </row>
    <row r="9635" spans="1:1" x14ac:dyDescent="0.25">
      <c r="A9635" s="5"/>
    </row>
    <row r="9636" spans="1:1" x14ac:dyDescent="0.25">
      <c r="A9636" s="5"/>
    </row>
    <row r="9637" spans="1:1" x14ac:dyDescent="0.25">
      <c r="A9637" s="5"/>
    </row>
    <row r="9638" spans="1:1" x14ac:dyDescent="0.25">
      <c r="A9638" s="5"/>
    </row>
    <row r="9639" spans="1:1" x14ac:dyDescent="0.25">
      <c r="A9639" s="5"/>
    </row>
    <row r="9640" spans="1:1" x14ac:dyDescent="0.25">
      <c r="A9640" s="5"/>
    </row>
    <row r="9641" spans="1:1" x14ac:dyDescent="0.25">
      <c r="A9641" s="5"/>
    </row>
    <row r="9642" spans="1:1" x14ac:dyDescent="0.25">
      <c r="A9642" s="5"/>
    </row>
    <row r="9643" spans="1:1" x14ac:dyDescent="0.25">
      <c r="A9643" s="5"/>
    </row>
    <row r="9644" spans="1:1" x14ac:dyDescent="0.25">
      <c r="A9644" s="5"/>
    </row>
    <row r="9645" spans="1:1" x14ac:dyDescent="0.25">
      <c r="A9645" s="5"/>
    </row>
    <row r="9646" spans="1:1" x14ac:dyDescent="0.25">
      <c r="A9646" s="5"/>
    </row>
    <row r="9647" spans="1:1" x14ac:dyDescent="0.25">
      <c r="A9647" s="5"/>
    </row>
    <row r="9648" spans="1:1" x14ac:dyDescent="0.25">
      <c r="A9648" s="5"/>
    </row>
    <row r="9649" spans="1:1" x14ac:dyDescent="0.25">
      <c r="A9649" s="5"/>
    </row>
    <row r="9650" spans="1:1" x14ac:dyDescent="0.25">
      <c r="A9650" s="5"/>
    </row>
    <row r="9651" spans="1:1" x14ac:dyDescent="0.25">
      <c r="A9651" s="5"/>
    </row>
    <row r="9652" spans="1:1" x14ac:dyDescent="0.25">
      <c r="A9652" s="5"/>
    </row>
    <row r="9653" spans="1:1" x14ac:dyDescent="0.25">
      <c r="A9653" s="5"/>
    </row>
    <row r="9654" spans="1:1" x14ac:dyDescent="0.25">
      <c r="A9654" s="5"/>
    </row>
    <row r="9655" spans="1:1" x14ac:dyDescent="0.25">
      <c r="A9655" s="5"/>
    </row>
    <row r="9656" spans="1:1" x14ac:dyDescent="0.25">
      <c r="A9656" s="5"/>
    </row>
    <row r="9657" spans="1:1" x14ac:dyDescent="0.25">
      <c r="A9657" s="5"/>
    </row>
    <row r="9658" spans="1:1" x14ac:dyDescent="0.25">
      <c r="A9658" s="5"/>
    </row>
    <row r="9659" spans="1:1" x14ac:dyDescent="0.25">
      <c r="A9659" s="5"/>
    </row>
    <row r="9660" spans="1:1" x14ac:dyDescent="0.25">
      <c r="A9660" s="5"/>
    </row>
    <row r="9661" spans="1:1" x14ac:dyDescent="0.25">
      <c r="A9661" s="5"/>
    </row>
    <row r="9662" spans="1:1" x14ac:dyDescent="0.25">
      <c r="A9662" s="5"/>
    </row>
    <row r="9663" spans="1:1" x14ac:dyDescent="0.25">
      <c r="A9663" s="5"/>
    </row>
    <row r="9664" spans="1:1" x14ac:dyDescent="0.25">
      <c r="A9664" s="5"/>
    </row>
    <row r="9665" spans="1:1" x14ac:dyDescent="0.25">
      <c r="A9665" s="5"/>
    </row>
    <row r="9666" spans="1:1" x14ac:dyDescent="0.25">
      <c r="A9666" s="5"/>
    </row>
    <row r="9667" spans="1:1" x14ac:dyDescent="0.25">
      <c r="A9667" s="5"/>
    </row>
    <row r="9668" spans="1:1" x14ac:dyDescent="0.25">
      <c r="A9668" s="5"/>
    </row>
    <row r="9669" spans="1:1" x14ac:dyDescent="0.25">
      <c r="A9669" s="5"/>
    </row>
    <row r="9670" spans="1:1" x14ac:dyDescent="0.25">
      <c r="A9670" s="5"/>
    </row>
    <row r="9671" spans="1:1" x14ac:dyDescent="0.25">
      <c r="A9671" s="5"/>
    </row>
    <row r="9672" spans="1:1" x14ac:dyDescent="0.25">
      <c r="A9672" s="5"/>
    </row>
    <row r="9673" spans="1:1" x14ac:dyDescent="0.25">
      <c r="A9673" s="5"/>
    </row>
    <row r="9674" spans="1:1" x14ac:dyDescent="0.25">
      <c r="A9674" s="5"/>
    </row>
    <row r="9675" spans="1:1" x14ac:dyDescent="0.25">
      <c r="A9675" s="5"/>
    </row>
    <row r="9676" spans="1:1" x14ac:dyDescent="0.25">
      <c r="A9676" s="5"/>
    </row>
    <row r="9677" spans="1:1" x14ac:dyDescent="0.25">
      <c r="A9677" s="5"/>
    </row>
    <row r="9678" spans="1:1" x14ac:dyDescent="0.25">
      <c r="A9678" s="5"/>
    </row>
    <row r="9679" spans="1:1" x14ac:dyDescent="0.25">
      <c r="A9679" s="5"/>
    </row>
    <row r="9680" spans="1:1" x14ac:dyDescent="0.25">
      <c r="A9680" s="5"/>
    </row>
    <row r="9681" spans="1:1" x14ac:dyDescent="0.25">
      <c r="A9681" s="5"/>
    </row>
    <row r="9682" spans="1:1" x14ac:dyDescent="0.25">
      <c r="A9682" s="5"/>
    </row>
    <row r="9683" spans="1:1" x14ac:dyDescent="0.25">
      <c r="A9683" s="5"/>
    </row>
    <row r="9684" spans="1:1" x14ac:dyDescent="0.25">
      <c r="A9684" s="5"/>
    </row>
    <row r="9685" spans="1:1" x14ac:dyDescent="0.25">
      <c r="A9685" s="5"/>
    </row>
    <row r="9686" spans="1:1" x14ac:dyDescent="0.25">
      <c r="A9686" s="5"/>
    </row>
    <row r="9687" spans="1:1" x14ac:dyDescent="0.25">
      <c r="A9687" s="5"/>
    </row>
    <row r="9688" spans="1:1" x14ac:dyDescent="0.25">
      <c r="A9688" s="5"/>
    </row>
    <row r="9689" spans="1:1" x14ac:dyDescent="0.25">
      <c r="A9689" s="5"/>
    </row>
    <row r="9690" spans="1:1" x14ac:dyDescent="0.25">
      <c r="A9690" s="5"/>
    </row>
    <row r="9691" spans="1:1" x14ac:dyDescent="0.25">
      <c r="A9691" s="5"/>
    </row>
    <row r="9692" spans="1:1" x14ac:dyDescent="0.25">
      <c r="A9692" s="5"/>
    </row>
    <row r="9693" spans="1:1" x14ac:dyDescent="0.25">
      <c r="A9693" s="5"/>
    </row>
    <row r="9694" spans="1:1" x14ac:dyDescent="0.25">
      <c r="A9694" s="5"/>
    </row>
    <row r="9695" spans="1:1" x14ac:dyDescent="0.25">
      <c r="A9695" s="5"/>
    </row>
    <row r="9696" spans="1:1" x14ac:dyDescent="0.25">
      <c r="A9696" s="5"/>
    </row>
    <row r="9697" spans="1:1" x14ac:dyDescent="0.25">
      <c r="A9697" s="5"/>
    </row>
    <row r="9698" spans="1:1" x14ac:dyDescent="0.25">
      <c r="A9698" s="5"/>
    </row>
    <row r="9699" spans="1:1" x14ac:dyDescent="0.25">
      <c r="A9699" s="5"/>
    </row>
    <row r="9700" spans="1:1" x14ac:dyDescent="0.25">
      <c r="A9700" s="5"/>
    </row>
    <row r="9701" spans="1:1" x14ac:dyDescent="0.25">
      <c r="A9701" s="5"/>
    </row>
    <row r="9702" spans="1:1" x14ac:dyDescent="0.25">
      <c r="A9702" s="5"/>
    </row>
    <row r="9703" spans="1:1" x14ac:dyDescent="0.25">
      <c r="A9703" s="5"/>
    </row>
    <row r="9704" spans="1:1" x14ac:dyDescent="0.25">
      <c r="A9704" s="5"/>
    </row>
    <row r="9705" spans="1:1" x14ac:dyDescent="0.25">
      <c r="A9705" s="5"/>
    </row>
    <row r="9706" spans="1:1" x14ac:dyDescent="0.25">
      <c r="A9706" s="5"/>
    </row>
    <row r="9707" spans="1:1" x14ac:dyDescent="0.25">
      <c r="A9707" s="5"/>
    </row>
    <row r="9708" spans="1:1" x14ac:dyDescent="0.25">
      <c r="A9708" s="5"/>
    </row>
    <row r="9709" spans="1:1" x14ac:dyDescent="0.25">
      <c r="A9709" s="5"/>
    </row>
    <row r="9710" spans="1:1" x14ac:dyDescent="0.25">
      <c r="A9710" s="5"/>
    </row>
    <row r="9711" spans="1:1" x14ac:dyDescent="0.25">
      <c r="A9711" s="5"/>
    </row>
    <row r="9712" spans="1:1" x14ac:dyDescent="0.25">
      <c r="A9712" s="5"/>
    </row>
    <row r="9713" spans="1:1" x14ac:dyDescent="0.25">
      <c r="A9713" s="5"/>
    </row>
    <row r="9714" spans="1:1" x14ac:dyDescent="0.25">
      <c r="A9714" s="5"/>
    </row>
    <row r="9715" spans="1:1" x14ac:dyDescent="0.25">
      <c r="A9715" s="5"/>
    </row>
    <row r="9716" spans="1:1" x14ac:dyDescent="0.25">
      <c r="A9716" s="5"/>
    </row>
    <row r="9717" spans="1:1" x14ac:dyDescent="0.25">
      <c r="A9717" s="5"/>
    </row>
    <row r="9718" spans="1:1" x14ac:dyDescent="0.25">
      <c r="A9718" s="5"/>
    </row>
    <row r="9719" spans="1:1" x14ac:dyDescent="0.25">
      <c r="A9719" s="5"/>
    </row>
    <row r="9720" spans="1:1" x14ac:dyDescent="0.25">
      <c r="A9720" s="5"/>
    </row>
    <row r="9721" spans="1:1" x14ac:dyDescent="0.25">
      <c r="A9721" s="5"/>
    </row>
    <row r="9722" spans="1:1" x14ac:dyDescent="0.25">
      <c r="A9722" s="5"/>
    </row>
    <row r="9723" spans="1:1" x14ac:dyDescent="0.25">
      <c r="A9723" s="5"/>
    </row>
    <row r="9724" spans="1:1" x14ac:dyDescent="0.25">
      <c r="A9724" s="5"/>
    </row>
    <row r="9725" spans="1:1" x14ac:dyDescent="0.25">
      <c r="A9725" s="5"/>
    </row>
    <row r="9726" spans="1:1" x14ac:dyDescent="0.25">
      <c r="A9726" s="5"/>
    </row>
    <row r="9727" spans="1:1" x14ac:dyDescent="0.25">
      <c r="A9727" s="5"/>
    </row>
    <row r="9728" spans="1:1" x14ac:dyDescent="0.25">
      <c r="A9728" s="5"/>
    </row>
    <row r="9729" spans="1:1" x14ac:dyDescent="0.25">
      <c r="A9729" s="5"/>
    </row>
    <row r="9730" spans="1:1" x14ac:dyDescent="0.25">
      <c r="A9730" s="5"/>
    </row>
    <row r="9731" spans="1:1" x14ac:dyDescent="0.25">
      <c r="A9731" s="5"/>
    </row>
    <row r="9732" spans="1:1" x14ac:dyDescent="0.25">
      <c r="A9732" s="5"/>
    </row>
    <row r="9733" spans="1:1" x14ac:dyDescent="0.25">
      <c r="A9733" s="5"/>
    </row>
    <row r="9734" spans="1:1" x14ac:dyDescent="0.25">
      <c r="A9734" s="5"/>
    </row>
    <row r="9735" spans="1:1" x14ac:dyDescent="0.25">
      <c r="A9735" s="5"/>
    </row>
    <row r="9736" spans="1:1" x14ac:dyDescent="0.25">
      <c r="A9736" s="5"/>
    </row>
    <row r="9737" spans="1:1" x14ac:dyDescent="0.25">
      <c r="A9737" s="5"/>
    </row>
    <row r="9738" spans="1:1" x14ac:dyDescent="0.25">
      <c r="A9738" s="5"/>
    </row>
    <row r="9739" spans="1:1" x14ac:dyDescent="0.25">
      <c r="A9739" s="5"/>
    </row>
    <row r="9740" spans="1:1" x14ac:dyDescent="0.25">
      <c r="A9740" s="5"/>
    </row>
    <row r="9741" spans="1:1" x14ac:dyDescent="0.25">
      <c r="A9741" s="5"/>
    </row>
    <row r="9742" spans="1:1" x14ac:dyDescent="0.25">
      <c r="A9742" s="5"/>
    </row>
    <row r="9743" spans="1:1" x14ac:dyDescent="0.25">
      <c r="A9743" s="5"/>
    </row>
    <row r="9744" spans="1:1" x14ac:dyDescent="0.25">
      <c r="A9744" s="5"/>
    </row>
    <row r="9745" spans="1:1" x14ac:dyDescent="0.25">
      <c r="A9745" s="5"/>
    </row>
    <row r="9746" spans="1:1" x14ac:dyDescent="0.25">
      <c r="A9746" s="5"/>
    </row>
    <row r="9747" spans="1:1" x14ac:dyDescent="0.25">
      <c r="A9747" s="5"/>
    </row>
    <row r="9748" spans="1:1" x14ac:dyDescent="0.25">
      <c r="A9748" s="5"/>
    </row>
    <row r="9749" spans="1:1" x14ac:dyDescent="0.25">
      <c r="A9749" s="5"/>
    </row>
    <row r="9750" spans="1:1" x14ac:dyDescent="0.25">
      <c r="A9750" s="5"/>
    </row>
    <row r="9751" spans="1:1" x14ac:dyDescent="0.25">
      <c r="A9751" s="5"/>
    </row>
    <row r="9752" spans="1:1" x14ac:dyDescent="0.25">
      <c r="A9752" s="5"/>
    </row>
    <row r="9753" spans="1:1" x14ac:dyDescent="0.25">
      <c r="A9753" s="5"/>
    </row>
    <row r="9754" spans="1:1" x14ac:dyDescent="0.25">
      <c r="A9754" s="5"/>
    </row>
    <row r="9755" spans="1:1" x14ac:dyDescent="0.25">
      <c r="A9755" s="5"/>
    </row>
    <row r="9756" spans="1:1" x14ac:dyDescent="0.25">
      <c r="A9756" s="5"/>
    </row>
    <row r="9757" spans="1:1" x14ac:dyDescent="0.25">
      <c r="A9757" s="5"/>
    </row>
    <row r="9758" spans="1:1" x14ac:dyDescent="0.25">
      <c r="A9758" s="5"/>
    </row>
    <row r="9759" spans="1:1" x14ac:dyDescent="0.25">
      <c r="A9759" s="5"/>
    </row>
    <row r="9760" spans="1:1" x14ac:dyDescent="0.25">
      <c r="A9760" s="5"/>
    </row>
    <row r="9761" spans="1:1" x14ac:dyDescent="0.25">
      <c r="A9761" s="5"/>
    </row>
    <row r="9762" spans="1:1" x14ac:dyDescent="0.25">
      <c r="A9762" s="5"/>
    </row>
    <row r="9763" spans="1:1" x14ac:dyDescent="0.25">
      <c r="A9763" s="5"/>
    </row>
    <row r="9764" spans="1:1" x14ac:dyDescent="0.25">
      <c r="A9764" s="5"/>
    </row>
    <row r="9765" spans="1:1" x14ac:dyDescent="0.25">
      <c r="A9765" s="5"/>
    </row>
    <row r="9766" spans="1:1" x14ac:dyDescent="0.25">
      <c r="A9766" s="5"/>
    </row>
    <row r="9767" spans="1:1" x14ac:dyDescent="0.25">
      <c r="A9767" s="5"/>
    </row>
    <row r="9768" spans="1:1" x14ac:dyDescent="0.25">
      <c r="A9768" s="5"/>
    </row>
    <row r="9769" spans="1:1" x14ac:dyDescent="0.25">
      <c r="A9769" s="5"/>
    </row>
    <row r="9770" spans="1:1" x14ac:dyDescent="0.25">
      <c r="A9770" s="5"/>
    </row>
    <row r="9771" spans="1:1" x14ac:dyDescent="0.25">
      <c r="A9771" s="5"/>
    </row>
    <row r="9772" spans="1:1" x14ac:dyDescent="0.25">
      <c r="A9772" s="5"/>
    </row>
    <row r="9773" spans="1:1" x14ac:dyDescent="0.25">
      <c r="A9773" s="5"/>
    </row>
    <row r="9774" spans="1:1" x14ac:dyDescent="0.25">
      <c r="A9774" s="5"/>
    </row>
    <row r="9775" spans="1:1" x14ac:dyDescent="0.25">
      <c r="A9775" s="5"/>
    </row>
    <row r="9776" spans="1:1" x14ac:dyDescent="0.25">
      <c r="A9776" s="5"/>
    </row>
    <row r="9777" spans="1:1" x14ac:dyDescent="0.25">
      <c r="A9777" s="5"/>
    </row>
    <row r="9778" spans="1:1" x14ac:dyDescent="0.25">
      <c r="A9778" s="5"/>
    </row>
    <row r="9779" spans="1:1" x14ac:dyDescent="0.25">
      <c r="A9779" s="5"/>
    </row>
    <row r="9780" spans="1:1" x14ac:dyDescent="0.25">
      <c r="A9780" s="5"/>
    </row>
    <row r="9781" spans="1:1" x14ac:dyDescent="0.25">
      <c r="A9781" s="5"/>
    </row>
    <row r="9782" spans="1:1" x14ac:dyDescent="0.25">
      <c r="A9782" s="5"/>
    </row>
    <row r="9783" spans="1:1" x14ac:dyDescent="0.25">
      <c r="A9783" s="5"/>
    </row>
    <row r="9784" spans="1:1" x14ac:dyDescent="0.25">
      <c r="A9784" s="5"/>
    </row>
    <row r="9785" spans="1:1" x14ac:dyDescent="0.25">
      <c r="A9785" s="5"/>
    </row>
    <row r="9786" spans="1:1" x14ac:dyDescent="0.25">
      <c r="A9786" s="5"/>
    </row>
    <row r="9787" spans="1:1" x14ac:dyDescent="0.25">
      <c r="A9787" s="5"/>
    </row>
    <row r="9788" spans="1:1" x14ac:dyDescent="0.25">
      <c r="A9788" s="5"/>
    </row>
    <row r="9789" spans="1:1" x14ac:dyDescent="0.25">
      <c r="A9789" s="5"/>
    </row>
    <row r="9790" spans="1:1" x14ac:dyDescent="0.25">
      <c r="A9790" s="5"/>
    </row>
    <row r="9791" spans="1:1" x14ac:dyDescent="0.25">
      <c r="A9791" s="5"/>
    </row>
    <row r="9792" spans="1:1" x14ac:dyDescent="0.25">
      <c r="A9792" s="5"/>
    </row>
    <row r="9793" spans="1:1" x14ac:dyDescent="0.25">
      <c r="A9793" s="5"/>
    </row>
    <row r="9794" spans="1:1" x14ac:dyDescent="0.25">
      <c r="A9794" s="5"/>
    </row>
    <row r="9795" spans="1:1" x14ac:dyDescent="0.25">
      <c r="A9795" s="5"/>
    </row>
    <row r="9796" spans="1:1" x14ac:dyDescent="0.25">
      <c r="A9796" s="5"/>
    </row>
    <row r="9797" spans="1:1" x14ac:dyDescent="0.25">
      <c r="A9797" s="5"/>
    </row>
    <row r="9798" spans="1:1" x14ac:dyDescent="0.25">
      <c r="A9798" s="5"/>
    </row>
    <row r="9799" spans="1:1" x14ac:dyDescent="0.25">
      <c r="A9799" s="5"/>
    </row>
    <row r="9800" spans="1:1" x14ac:dyDescent="0.25">
      <c r="A9800" s="5"/>
    </row>
    <row r="9801" spans="1:1" x14ac:dyDescent="0.25">
      <c r="A9801" s="5"/>
    </row>
    <row r="9802" spans="1:1" x14ac:dyDescent="0.25">
      <c r="A9802" s="5"/>
    </row>
    <row r="9803" spans="1:1" x14ac:dyDescent="0.25">
      <c r="A9803" s="5"/>
    </row>
    <row r="9804" spans="1:1" x14ac:dyDescent="0.25">
      <c r="A9804" s="5"/>
    </row>
    <row r="9805" spans="1:1" x14ac:dyDescent="0.25">
      <c r="A9805" s="5"/>
    </row>
    <row r="9806" spans="1:1" x14ac:dyDescent="0.25">
      <c r="A9806" s="5"/>
    </row>
    <row r="9807" spans="1:1" x14ac:dyDescent="0.25">
      <c r="A9807" s="5"/>
    </row>
    <row r="9808" spans="1:1" x14ac:dyDescent="0.25">
      <c r="A9808" s="5"/>
    </row>
    <row r="9809" spans="1:1" x14ac:dyDescent="0.25">
      <c r="A9809" s="5"/>
    </row>
    <row r="9810" spans="1:1" x14ac:dyDescent="0.25">
      <c r="A9810" s="5"/>
    </row>
    <row r="9811" spans="1:1" x14ac:dyDescent="0.25">
      <c r="A9811" s="5"/>
    </row>
    <row r="9812" spans="1:1" x14ac:dyDescent="0.25">
      <c r="A9812" s="5"/>
    </row>
    <row r="9813" spans="1:1" x14ac:dyDescent="0.25">
      <c r="A9813" s="5"/>
    </row>
    <row r="9814" spans="1:1" x14ac:dyDescent="0.25">
      <c r="A9814" s="5"/>
    </row>
    <row r="9815" spans="1:1" x14ac:dyDescent="0.25">
      <c r="A9815" s="5"/>
    </row>
    <row r="9816" spans="1:1" x14ac:dyDescent="0.25">
      <c r="A9816" s="5"/>
    </row>
    <row r="9817" spans="1:1" x14ac:dyDescent="0.25">
      <c r="A9817" s="5"/>
    </row>
    <row r="9818" spans="1:1" x14ac:dyDescent="0.25">
      <c r="A9818" s="5"/>
    </row>
    <row r="9819" spans="1:1" x14ac:dyDescent="0.25">
      <c r="A9819" s="5"/>
    </row>
    <row r="9820" spans="1:1" x14ac:dyDescent="0.25">
      <c r="A9820" s="5"/>
    </row>
    <row r="9821" spans="1:1" x14ac:dyDescent="0.25">
      <c r="A9821" s="5"/>
    </row>
    <row r="9822" spans="1:1" x14ac:dyDescent="0.25">
      <c r="A9822" s="5"/>
    </row>
    <row r="9823" spans="1:1" x14ac:dyDescent="0.25">
      <c r="A9823" s="5"/>
    </row>
    <row r="9824" spans="1:1" x14ac:dyDescent="0.25">
      <c r="A9824" s="5"/>
    </row>
    <row r="9825" spans="1:1" x14ac:dyDescent="0.25">
      <c r="A9825" s="5"/>
    </row>
    <row r="9826" spans="1:1" x14ac:dyDescent="0.25">
      <c r="A9826" s="5"/>
    </row>
    <row r="9827" spans="1:1" x14ac:dyDescent="0.25">
      <c r="A9827" s="5"/>
    </row>
    <row r="9828" spans="1:1" x14ac:dyDescent="0.25">
      <c r="A9828" s="5"/>
    </row>
    <row r="9829" spans="1:1" x14ac:dyDescent="0.25">
      <c r="A9829" s="5"/>
    </row>
    <row r="9830" spans="1:1" x14ac:dyDescent="0.25">
      <c r="A9830" s="5"/>
    </row>
    <row r="9831" spans="1:1" x14ac:dyDescent="0.25">
      <c r="A9831" s="5"/>
    </row>
    <row r="9832" spans="1:1" x14ac:dyDescent="0.25">
      <c r="A9832" s="5"/>
    </row>
    <row r="9833" spans="1:1" x14ac:dyDescent="0.25">
      <c r="A9833" s="5"/>
    </row>
    <row r="9834" spans="1:1" x14ac:dyDescent="0.25">
      <c r="A9834" s="5"/>
    </row>
    <row r="9835" spans="1:1" x14ac:dyDescent="0.25">
      <c r="A9835" s="5"/>
    </row>
    <row r="9836" spans="1:1" x14ac:dyDescent="0.25">
      <c r="A9836" s="5"/>
    </row>
    <row r="9837" spans="1:1" x14ac:dyDescent="0.25">
      <c r="A9837" s="5"/>
    </row>
    <row r="9838" spans="1:1" x14ac:dyDescent="0.25">
      <c r="A9838" s="5"/>
    </row>
    <row r="9839" spans="1:1" x14ac:dyDescent="0.25">
      <c r="A9839" s="5"/>
    </row>
    <row r="9840" spans="1:1" x14ac:dyDescent="0.25">
      <c r="A9840" s="5"/>
    </row>
    <row r="9841" spans="1:1" x14ac:dyDescent="0.25">
      <c r="A9841" s="5"/>
    </row>
    <row r="9842" spans="1:1" x14ac:dyDescent="0.25">
      <c r="A9842" s="5"/>
    </row>
    <row r="9843" spans="1:1" x14ac:dyDescent="0.25">
      <c r="A9843" s="5"/>
    </row>
    <row r="9844" spans="1:1" x14ac:dyDescent="0.25">
      <c r="A9844" s="5"/>
    </row>
    <row r="9845" spans="1:1" x14ac:dyDescent="0.25">
      <c r="A9845" s="5"/>
    </row>
    <row r="9846" spans="1:1" x14ac:dyDescent="0.25">
      <c r="A9846" s="5"/>
    </row>
    <row r="9847" spans="1:1" x14ac:dyDescent="0.25">
      <c r="A9847" s="5"/>
    </row>
    <row r="9848" spans="1:1" x14ac:dyDescent="0.25">
      <c r="A9848" s="5"/>
    </row>
    <row r="9849" spans="1:1" x14ac:dyDescent="0.25">
      <c r="A9849" s="5"/>
    </row>
    <row r="9850" spans="1:1" x14ac:dyDescent="0.25">
      <c r="A9850" s="5"/>
    </row>
    <row r="9851" spans="1:1" x14ac:dyDescent="0.25">
      <c r="A9851" s="5"/>
    </row>
    <row r="9852" spans="1:1" x14ac:dyDescent="0.25">
      <c r="A9852" s="5"/>
    </row>
    <row r="9853" spans="1:1" x14ac:dyDescent="0.25">
      <c r="A9853" s="5"/>
    </row>
    <row r="9854" spans="1:1" x14ac:dyDescent="0.25">
      <c r="A9854" s="5"/>
    </row>
    <row r="9855" spans="1:1" x14ac:dyDescent="0.25">
      <c r="A9855" s="5"/>
    </row>
    <row r="9856" spans="1:1" x14ac:dyDescent="0.25">
      <c r="A9856" s="5"/>
    </row>
    <row r="9857" spans="1:1" x14ac:dyDescent="0.25">
      <c r="A9857" s="5"/>
    </row>
    <row r="9858" spans="1:1" x14ac:dyDescent="0.25">
      <c r="A9858" s="5"/>
    </row>
    <row r="9859" spans="1:1" x14ac:dyDescent="0.25">
      <c r="A9859" s="5"/>
    </row>
    <row r="9860" spans="1:1" x14ac:dyDescent="0.25">
      <c r="A9860" s="5"/>
    </row>
    <row r="9861" spans="1:1" x14ac:dyDescent="0.25">
      <c r="A9861" s="5"/>
    </row>
    <row r="9862" spans="1:1" x14ac:dyDescent="0.25">
      <c r="A9862" s="5"/>
    </row>
    <row r="9863" spans="1:1" x14ac:dyDescent="0.25">
      <c r="A9863" s="5"/>
    </row>
    <row r="9864" spans="1:1" x14ac:dyDescent="0.25">
      <c r="A9864" s="5"/>
    </row>
    <row r="9865" spans="1:1" x14ac:dyDescent="0.25">
      <c r="A9865" s="5"/>
    </row>
    <row r="9866" spans="1:1" x14ac:dyDescent="0.25">
      <c r="A9866" s="5"/>
    </row>
    <row r="9867" spans="1:1" x14ac:dyDescent="0.25">
      <c r="A9867" s="5"/>
    </row>
    <row r="9868" spans="1:1" x14ac:dyDescent="0.25">
      <c r="A9868" s="5"/>
    </row>
    <row r="9869" spans="1:1" x14ac:dyDescent="0.25">
      <c r="A9869" s="5"/>
    </row>
    <row r="9870" spans="1:1" x14ac:dyDescent="0.25">
      <c r="A9870" s="5"/>
    </row>
    <row r="9871" spans="1:1" x14ac:dyDescent="0.25">
      <c r="A9871" s="5"/>
    </row>
    <row r="9872" spans="1:1" x14ac:dyDescent="0.25">
      <c r="A9872" s="5"/>
    </row>
    <row r="9873" spans="1:1" x14ac:dyDescent="0.25">
      <c r="A9873" s="5"/>
    </row>
    <row r="9874" spans="1:1" x14ac:dyDescent="0.25">
      <c r="A9874" s="5"/>
    </row>
    <row r="9875" spans="1:1" x14ac:dyDescent="0.25">
      <c r="A9875" s="5"/>
    </row>
    <row r="9876" spans="1:1" x14ac:dyDescent="0.25">
      <c r="A9876" s="5"/>
    </row>
    <row r="9877" spans="1:1" x14ac:dyDescent="0.25">
      <c r="A9877" s="5"/>
    </row>
    <row r="9878" spans="1:1" x14ac:dyDescent="0.25">
      <c r="A9878" s="5"/>
    </row>
    <row r="9879" spans="1:1" x14ac:dyDescent="0.25">
      <c r="A9879" s="5"/>
    </row>
    <row r="9880" spans="1:1" x14ac:dyDescent="0.25">
      <c r="A9880" s="5"/>
    </row>
    <row r="9881" spans="1:1" x14ac:dyDescent="0.25">
      <c r="A9881" s="5"/>
    </row>
    <row r="9882" spans="1:1" x14ac:dyDescent="0.25">
      <c r="A9882" s="5"/>
    </row>
    <row r="9883" spans="1:1" x14ac:dyDescent="0.25">
      <c r="A9883" s="5"/>
    </row>
    <row r="9884" spans="1:1" x14ac:dyDescent="0.25">
      <c r="A9884" s="5"/>
    </row>
    <row r="9885" spans="1:1" x14ac:dyDescent="0.25">
      <c r="A9885" s="5"/>
    </row>
    <row r="9886" spans="1:1" x14ac:dyDescent="0.25">
      <c r="A9886" s="5"/>
    </row>
    <row r="9887" spans="1:1" x14ac:dyDescent="0.25">
      <c r="A9887" s="5"/>
    </row>
    <row r="9888" spans="1:1" x14ac:dyDescent="0.25">
      <c r="A9888" s="5"/>
    </row>
    <row r="9889" spans="1:1" x14ac:dyDescent="0.25">
      <c r="A9889" s="5"/>
    </row>
    <row r="9890" spans="1:1" x14ac:dyDescent="0.25">
      <c r="A9890" s="5"/>
    </row>
    <row r="9891" spans="1:1" x14ac:dyDescent="0.25">
      <c r="A9891" s="5"/>
    </row>
    <row r="9892" spans="1:1" x14ac:dyDescent="0.25">
      <c r="A9892" s="5"/>
    </row>
    <row r="9893" spans="1:1" x14ac:dyDescent="0.25">
      <c r="A9893" s="5"/>
    </row>
    <row r="9894" spans="1:1" x14ac:dyDescent="0.25">
      <c r="A9894" s="5"/>
    </row>
    <row r="9895" spans="1:1" x14ac:dyDescent="0.25">
      <c r="A9895" s="5"/>
    </row>
    <row r="9896" spans="1:1" x14ac:dyDescent="0.25">
      <c r="A9896" s="5"/>
    </row>
    <row r="9897" spans="1:1" x14ac:dyDescent="0.25">
      <c r="A9897" s="5"/>
    </row>
    <row r="9898" spans="1:1" x14ac:dyDescent="0.25">
      <c r="A9898" s="5"/>
    </row>
    <row r="9899" spans="1:1" x14ac:dyDescent="0.25">
      <c r="A9899" s="5"/>
    </row>
    <row r="9900" spans="1:1" x14ac:dyDescent="0.25">
      <c r="A9900" s="5"/>
    </row>
    <row r="9901" spans="1:1" x14ac:dyDescent="0.25">
      <c r="A9901" s="5"/>
    </row>
    <row r="9902" spans="1:1" x14ac:dyDescent="0.25">
      <c r="A9902" s="5"/>
    </row>
    <row r="9903" spans="1:1" x14ac:dyDescent="0.25">
      <c r="A9903" s="5"/>
    </row>
    <row r="9904" spans="1:1" x14ac:dyDescent="0.25">
      <c r="A9904" s="5"/>
    </row>
    <row r="9905" spans="1:1" x14ac:dyDescent="0.25">
      <c r="A9905" s="5"/>
    </row>
    <row r="9906" spans="1:1" x14ac:dyDescent="0.25">
      <c r="A9906" s="5"/>
    </row>
    <row r="9907" spans="1:1" x14ac:dyDescent="0.25">
      <c r="A9907" s="5"/>
    </row>
    <row r="9908" spans="1:1" x14ac:dyDescent="0.25">
      <c r="A9908" s="5"/>
    </row>
    <row r="9909" spans="1:1" x14ac:dyDescent="0.25">
      <c r="A9909" s="5"/>
    </row>
    <row r="9910" spans="1:1" x14ac:dyDescent="0.25">
      <c r="A9910" s="5"/>
    </row>
    <row r="9911" spans="1:1" x14ac:dyDescent="0.25">
      <c r="A9911" s="5"/>
    </row>
    <row r="9912" spans="1:1" x14ac:dyDescent="0.25">
      <c r="A9912" s="5"/>
    </row>
    <row r="9913" spans="1:1" x14ac:dyDescent="0.25">
      <c r="A9913" s="5"/>
    </row>
    <row r="9914" spans="1:1" x14ac:dyDescent="0.25">
      <c r="A9914" s="5"/>
    </row>
    <row r="9915" spans="1:1" x14ac:dyDescent="0.25">
      <c r="A9915" s="5"/>
    </row>
    <row r="9916" spans="1:1" x14ac:dyDescent="0.25">
      <c r="A9916" s="5"/>
    </row>
    <row r="9917" spans="1:1" x14ac:dyDescent="0.25">
      <c r="A9917" s="5"/>
    </row>
    <row r="9918" spans="1:1" x14ac:dyDescent="0.25">
      <c r="A9918" s="5"/>
    </row>
    <row r="9919" spans="1:1" x14ac:dyDescent="0.25">
      <c r="A9919" s="5"/>
    </row>
    <row r="9920" spans="1:1" x14ac:dyDescent="0.25">
      <c r="A9920" s="5"/>
    </row>
    <row r="9921" spans="1:1" x14ac:dyDescent="0.25">
      <c r="A9921" s="5"/>
    </row>
    <row r="9922" spans="1:1" x14ac:dyDescent="0.25">
      <c r="A9922" s="5"/>
    </row>
    <row r="9923" spans="1:1" x14ac:dyDescent="0.25">
      <c r="A9923" s="5"/>
    </row>
    <row r="9924" spans="1:1" x14ac:dyDescent="0.25">
      <c r="A9924" s="5"/>
    </row>
    <row r="9925" spans="1:1" x14ac:dyDescent="0.25">
      <c r="A9925" s="5"/>
    </row>
    <row r="9926" spans="1:1" x14ac:dyDescent="0.25">
      <c r="A9926" s="5"/>
    </row>
    <row r="9927" spans="1:1" x14ac:dyDescent="0.25">
      <c r="A9927" s="5"/>
    </row>
    <row r="9928" spans="1:1" x14ac:dyDescent="0.25">
      <c r="A9928" s="5"/>
    </row>
    <row r="9929" spans="1:1" x14ac:dyDescent="0.25">
      <c r="A9929" s="5"/>
    </row>
    <row r="9930" spans="1:1" x14ac:dyDescent="0.25">
      <c r="A9930" s="5"/>
    </row>
    <row r="9931" spans="1:1" x14ac:dyDescent="0.25">
      <c r="A9931" s="5"/>
    </row>
    <row r="9932" spans="1:1" x14ac:dyDescent="0.25">
      <c r="A9932" s="5"/>
    </row>
    <row r="9933" spans="1:1" x14ac:dyDescent="0.25">
      <c r="A9933" s="5"/>
    </row>
    <row r="9934" spans="1:1" x14ac:dyDescent="0.25">
      <c r="A9934" s="5"/>
    </row>
    <row r="9935" spans="1:1" x14ac:dyDescent="0.25">
      <c r="A9935" s="5"/>
    </row>
    <row r="9936" spans="1:1" x14ac:dyDescent="0.25">
      <c r="A9936" s="5"/>
    </row>
    <row r="9937" spans="1:1" x14ac:dyDescent="0.25">
      <c r="A9937" s="5"/>
    </row>
    <row r="9938" spans="1:1" x14ac:dyDescent="0.25">
      <c r="A9938" s="5"/>
    </row>
    <row r="9939" spans="1:1" x14ac:dyDescent="0.25">
      <c r="A9939" s="5"/>
    </row>
    <row r="9940" spans="1:1" x14ac:dyDescent="0.25">
      <c r="A9940" s="5"/>
    </row>
    <row r="9941" spans="1:1" x14ac:dyDescent="0.25">
      <c r="A9941" s="5"/>
    </row>
    <row r="9942" spans="1:1" x14ac:dyDescent="0.25">
      <c r="A9942" s="5"/>
    </row>
    <row r="9943" spans="1:1" x14ac:dyDescent="0.25">
      <c r="A9943" s="5"/>
    </row>
    <row r="9944" spans="1:1" x14ac:dyDescent="0.25">
      <c r="A9944" s="5"/>
    </row>
    <row r="9945" spans="1:1" x14ac:dyDescent="0.25">
      <c r="A9945" s="5"/>
    </row>
    <row r="9946" spans="1:1" x14ac:dyDescent="0.25">
      <c r="A9946" s="5"/>
    </row>
    <row r="9947" spans="1:1" x14ac:dyDescent="0.25">
      <c r="A9947" s="5"/>
    </row>
    <row r="9948" spans="1:1" x14ac:dyDescent="0.25">
      <c r="A9948" s="5"/>
    </row>
    <row r="9949" spans="1:1" x14ac:dyDescent="0.25">
      <c r="A9949" s="5"/>
    </row>
    <row r="9950" spans="1:1" x14ac:dyDescent="0.25">
      <c r="A9950" s="5"/>
    </row>
    <row r="9951" spans="1:1" x14ac:dyDescent="0.25">
      <c r="A9951" s="5"/>
    </row>
    <row r="9952" spans="1:1" x14ac:dyDescent="0.25">
      <c r="A9952" s="5"/>
    </row>
    <row r="9953" spans="1:1" x14ac:dyDescent="0.25">
      <c r="A9953" s="5"/>
    </row>
    <row r="9954" spans="1:1" x14ac:dyDescent="0.25">
      <c r="A9954" s="5"/>
    </row>
    <row r="9955" spans="1:1" x14ac:dyDescent="0.25">
      <c r="A9955" s="5"/>
    </row>
    <row r="9956" spans="1:1" x14ac:dyDescent="0.25">
      <c r="A9956" s="5"/>
    </row>
    <row r="9957" spans="1:1" x14ac:dyDescent="0.25">
      <c r="A9957" s="5"/>
    </row>
    <row r="9958" spans="1:1" x14ac:dyDescent="0.25">
      <c r="A9958" s="5"/>
    </row>
    <row r="9959" spans="1:1" x14ac:dyDescent="0.25">
      <c r="A9959" s="5"/>
    </row>
    <row r="9960" spans="1:1" x14ac:dyDescent="0.25">
      <c r="A9960" s="5"/>
    </row>
    <row r="9961" spans="1:1" x14ac:dyDescent="0.25">
      <c r="A9961" s="5"/>
    </row>
    <row r="9962" spans="1:1" x14ac:dyDescent="0.25">
      <c r="A9962" s="5"/>
    </row>
    <row r="9963" spans="1:1" x14ac:dyDescent="0.25">
      <c r="A9963" s="5"/>
    </row>
    <row r="9964" spans="1:1" x14ac:dyDescent="0.25">
      <c r="A9964" s="5"/>
    </row>
    <row r="9965" spans="1:1" x14ac:dyDescent="0.25">
      <c r="A9965" s="5"/>
    </row>
    <row r="9966" spans="1:1" x14ac:dyDescent="0.25">
      <c r="A9966" s="5"/>
    </row>
    <row r="9967" spans="1:1" x14ac:dyDescent="0.25">
      <c r="A9967" s="5"/>
    </row>
    <row r="9968" spans="1:1" x14ac:dyDescent="0.25">
      <c r="A9968" s="5"/>
    </row>
    <row r="9969" spans="1:1" x14ac:dyDescent="0.25">
      <c r="A9969" s="5"/>
    </row>
    <row r="9970" spans="1:1" x14ac:dyDescent="0.25">
      <c r="A9970" s="5"/>
    </row>
    <row r="9971" spans="1:1" x14ac:dyDescent="0.25">
      <c r="A9971" s="5"/>
    </row>
    <row r="9972" spans="1:1" x14ac:dyDescent="0.25">
      <c r="A9972" s="5"/>
    </row>
    <row r="9973" spans="1:1" x14ac:dyDescent="0.25">
      <c r="A9973" s="5"/>
    </row>
    <row r="9974" spans="1:1" x14ac:dyDescent="0.25">
      <c r="A9974" s="5"/>
    </row>
    <row r="9975" spans="1:1" x14ac:dyDescent="0.25">
      <c r="A9975" s="5"/>
    </row>
    <row r="9976" spans="1:1" x14ac:dyDescent="0.25">
      <c r="A9976" s="5"/>
    </row>
    <row r="9977" spans="1:1" x14ac:dyDescent="0.25">
      <c r="A9977" s="5"/>
    </row>
    <row r="9978" spans="1:1" x14ac:dyDescent="0.25">
      <c r="A9978" s="5"/>
    </row>
    <row r="9979" spans="1:1" x14ac:dyDescent="0.25">
      <c r="A9979" s="5"/>
    </row>
    <row r="9980" spans="1:1" x14ac:dyDescent="0.25">
      <c r="A9980" s="5"/>
    </row>
    <row r="9981" spans="1:1" x14ac:dyDescent="0.25">
      <c r="A9981" s="5"/>
    </row>
    <row r="9982" spans="1:1" x14ac:dyDescent="0.25">
      <c r="A9982" s="5"/>
    </row>
    <row r="9983" spans="1:1" x14ac:dyDescent="0.25">
      <c r="A9983" s="5"/>
    </row>
    <row r="9984" spans="1:1" x14ac:dyDescent="0.25">
      <c r="A9984" s="5"/>
    </row>
    <row r="9985" spans="1:1" x14ac:dyDescent="0.25">
      <c r="A9985" s="5"/>
    </row>
    <row r="9986" spans="1:1" x14ac:dyDescent="0.25">
      <c r="A9986" s="5"/>
    </row>
    <row r="9987" spans="1:1" x14ac:dyDescent="0.25">
      <c r="A9987" s="5"/>
    </row>
    <row r="9988" spans="1:1" x14ac:dyDescent="0.25">
      <c r="A9988" s="5"/>
    </row>
    <row r="9989" spans="1:1" x14ac:dyDescent="0.25">
      <c r="A9989" s="5"/>
    </row>
    <row r="9990" spans="1:1" x14ac:dyDescent="0.25">
      <c r="A9990" s="5"/>
    </row>
    <row r="9991" spans="1:1" x14ac:dyDescent="0.25">
      <c r="A9991" s="5"/>
    </row>
    <row r="9992" spans="1:1" x14ac:dyDescent="0.25">
      <c r="A9992" s="5"/>
    </row>
    <row r="9993" spans="1:1" x14ac:dyDescent="0.25">
      <c r="A9993" s="5"/>
    </row>
    <row r="9994" spans="1:1" x14ac:dyDescent="0.25">
      <c r="A9994" s="5"/>
    </row>
    <row r="9995" spans="1:1" x14ac:dyDescent="0.25">
      <c r="A9995" s="5"/>
    </row>
    <row r="9996" spans="1:1" x14ac:dyDescent="0.25">
      <c r="A9996" s="5"/>
    </row>
    <row r="9997" spans="1:1" x14ac:dyDescent="0.25">
      <c r="A9997" s="5"/>
    </row>
    <row r="9998" spans="1:1" x14ac:dyDescent="0.25">
      <c r="A9998" s="5"/>
    </row>
    <row r="9999" spans="1:1" x14ac:dyDescent="0.25">
      <c r="A9999" s="5"/>
    </row>
    <row r="10000" spans="1:1" x14ac:dyDescent="0.25">
      <c r="A10000" s="5"/>
    </row>
    <row r="10001" spans="1:1" x14ac:dyDescent="0.25">
      <c r="A10001" s="5"/>
    </row>
    <row r="10002" spans="1:1" x14ac:dyDescent="0.25">
      <c r="A10002" s="5"/>
    </row>
    <row r="10003" spans="1:1" x14ac:dyDescent="0.25">
      <c r="A10003" s="5"/>
    </row>
    <row r="10004" spans="1:1" x14ac:dyDescent="0.25">
      <c r="A10004" s="5"/>
    </row>
    <row r="10005" spans="1:1" x14ac:dyDescent="0.25">
      <c r="A10005" s="5"/>
    </row>
    <row r="10006" spans="1:1" x14ac:dyDescent="0.25">
      <c r="A10006" s="5"/>
    </row>
    <row r="10007" spans="1:1" x14ac:dyDescent="0.25">
      <c r="A10007" s="5"/>
    </row>
    <row r="10008" spans="1:1" x14ac:dyDescent="0.25">
      <c r="A10008" s="5"/>
    </row>
    <row r="10009" spans="1:1" x14ac:dyDescent="0.25">
      <c r="A10009" s="5"/>
    </row>
    <row r="10010" spans="1:1" x14ac:dyDescent="0.25">
      <c r="A10010" s="5"/>
    </row>
    <row r="10011" spans="1:1" x14ac:dyDescent="0.25">
      <c r="A10011" s="5"/>
    </row>
    <row r="10012" spans="1:1" x14ac:dyDescent="0.25">
      <c r="A10012" s="5"/>
    </row>
    <row r="10013" spans="1:1" x14ac:dyDescent="0.25">
      <c r="A10013" s="5"/>
    </row>
    <row r="10014" spans="1:1" x14ac:dyDescent="0.25">
      <c r="A10014" s="5"/>
    </row>
    <row r="10015" spans="1:1" x14ac:dyDescent="0.25">
      <c r="A10015" s="5"/>
    </row>
    <row r="10016" spans="1:1" x14ac:dyDescent="0.25">
      <c r="A10016" s="5"/>
    </row>
    <row r="10017" spans="1:1" x14ac:dyDescent="0.25">
      <c r="A10017" s="5"/>
    </row>
    <row r="10018" spans="1:1" x14ac:dyDescent="0.25">
      <c r="A10018" s="5"/>
    </row>
    <row r="10019" spans="1:1" x14ac:dyDescent="0.25">
      <c r="A10019" s="5"/>
    </row>
    <row r="10020" spans="1:1" x14ac:dyDescent="0.25">
      <c r="A10020" s="5"/>
    </row>
    <row r="10021" spans="1:1" x14ac:dyDescent="0.25">
      <c r="A10021" s="5"/>
    </row>
    <row r="10022" spans="1:1" x14ac:dyDescent="0.25">
      <c r="A10022" s="5"/>
    </row>
    <row r="10023" spans="1:1" x14ac:dyDescent="0.25">
      <c r="A10023" s="5"/>
    </row>
    <row r="10024" spans="1:1" x14ac:dyDescent="0.25">
      <c r="A10024" s="5"/>
    </row>
    <row r="10025" spans="1:1" x14ac:dyDescent="0.25">
      <c r="A10025" s="5"/>
    </row>
    <row r="10026" spans="1:1" x14ac:dyDescent="0.25">
      <c r="A10026" s="5"/>
    </row>
    <row r="10027" spans="1:1" x14ac:dyDescent="0.25">
      <c r="A10027" s="5"/>
    </row>
    <row r="10028" spans="1:1" x14ac:dyDescent="0.25">
      <c r="A10028" s="5"/>
    </row>
    <row r="10029" spans="1:1" x14ac:dyDescent="0.25">
      <c r="A10029" s="5"/>
    </row>
    <row r="10030" spans="1:1" x14ac:dyDescent="0.25">
      <c r="A10030" s="5"/>
    </row>
    <row r="10031" spans="1:1" x14ac:dyDescent="0.25">
      <c r="A10031" s="5"/>
    </row>
    <row r="10032" spans="1:1" x14ac:dyDescent="0.25">
      <c r="A10032" s="5"/>
    </row>
    <row r="10033" spans="1:1" x14ac:dyDescent="0.25">
      <c r="A10033" s="5"/>
    </row>
    <row r="10034" spans="1:1" x14ac:dyDescent="0.25">
      <c r="A10034" s="5"/>
    </row>
    <row r="10035" spans="1:1" x14ac:dyDescent="0.25">
      <c r="A10035" s="5"/>
    </row>
    <row r="10036" spans="1:1" x14ac:dyDescent="0.25">
      <c r="A10036" s="5"/>
    </row>
    <row r="10037" spans="1:1" x14ac:dyDescent="0.25">
      <c r="A10037" s="5"/>
    </row>
    <row r="10038" spans="1:1" x14ac:dyDescent="0.25">
      <c r="A10038" s="5"/>
    </row>
    <row r="10039" spans="1:1" x14ac:dyDescent="0.25">
      <c r="A10039" s="5"/>
    </row>
    <row r="10040" spans="1:1" x14ac:dyDescent="0.25">
      <c r="A10040" s="5"/>
    </row>
    <row r="10041" spans="1:1" x14ac:dyDescent="0.25">
      <c r="A10041" s="5"/>
    </row>
    <row r="10042" spans="1:1" x14ac:dyDescent="0.25">
      <c r="A10042" s="5"/>
    </row>
    <row r="10043" spans="1:1" x14ac:dyDescent="0.25">
      <c r="A10043" s="5"/>
    </row>
    <row r="10044" spans="1:1" x14ac:dyDescent="0.25">
      <c r="A10044" s="5"/>
    </row>
    <row r="10045" spans="1:1" x14ac:dyDescent="0.25">
      <c r="A10045" s="5"/>
    </row>
    <row r="10046" spans="1:1" x14ac:dyDescent="0.25">
      <c r="A10046" s="5"/>
    </row>
    <row r="10047" spans="1:1" x14ac:dyDescent="0.25">
      <c r="A10047" s="5"/>
    </row>
    <row r="10048" spans="1:1" x14ac:dyDescent="0.25">
      <c r="A10048" s="5"/>
    </row>
    <row r="10049" spans="1:1" x14ac:dyDescent="0.25">
      <c r="A10049" s="5"/>
    </row>
    <row r="10050" spans="1:1" x14ac:dyDescent="0.25">
      <c r="A10050" s="5"/>
    </row>
    <row r="10051" spans="1:1" x14ac:dyDescent="0.25">
      <c r="A10051" s="5"/>
    </row>
    <row r="10052" spans="1:1" x14ac:dyDescent="0.25">
      <c r="A10052" s="5"/>
    </row>
    <row r="10053" spans="1:1" x14ac:dyDescent="0.25">
      <c r="A10053" s="5"/>
    </row>
    <row r="10054" spans="1:1" x14ac:dyDescent="0.25">
      <c r="A10054" s="5"/>
    </row>
    <row r="10055" spans="1:1" x14ac:dyDescent="0.25">
      <c r="A10055" s="5"/>
    </row>
    <row r="10056" spans="1:1" x14ac:dyDescent="0.25">
      <c r="A10056" s="5"/>
    </row>
    <row r="10057" spans="1:1" x14ac:dyDescent="0.25">
      <c r="A10057" s="5"/>
    </row>
    <row r="10058" spans="1:1" x14ac:dyDescent="0.25">
      <c r="A10058" s="5"/>
    </row>
    <row r="10059" spans="1:1" x14ac:dyDescent="0.25">
      <c r="A10059" s="5"/>
    </row>
    <row r="10060" spans="1:1" x14ac:dyDescent="0.25">
      <c r="A10060" s="5"/>
    </row>
    <row r="10061" spans="1:1" x14ac:dyDescent="0.25">
      <c r="A10061" s="5"/>
    </row>
    <row r="10062" spans="1:1" x14ac:dyDescent="0.25">
      <c r="A10062" s="5"/>
    </row>
    <row r="10063" spans="1:1" x14ac:dyDescent="0.25">
      <c r="A10063" s="5"/>
    </row>
    <row r="10064" spans="1:1" x14ac:dyDescent="0.25">
      <c r="A10064" s="5"/>
    </row>
    <row r="10065" spans="1:1" x14ac:dyDescent="0.25">
      <c r="A10065" s="5"/>
    </row>
    <row r="10066" spans="1:1" x14ac:dyDescent="0.25">
      <c r="A10066" s="5"/>
    </row>
    <row r="10067" spans="1:1" x14ac:dyDescent="0.25">
      <c r="A10067" s="5"/>
    </row>
    <row r="10068" spans="1:1" x14ac:dyDescent="0.25">
      <c r="A10068" s="5"/>
    </row>
    <row r="10069" spans="1:1" x14ac:dyDescent="0.25">
      <c r="A10069" s="5"/>
    </row>
    <row r="10070" spans="1:1" x14ac:dyDescent="0.25">
      <c r="A10070" s="5"/>
    </row>
    <row r="10071" spans="1:1" x14ac:dyDescent="0.25">
      <c r="A10071" s="5"/>
    </row>
    <row r="10072" spans="1:1" x14ac:dyDescent="0.25">
      <c r="A10072" s="5"/>
    </row>
    <row r="10073" spans="1:1" x14ac:dyDescent="0.25">
      <c r="A10073" s="5"/>
    </row>
    <row r="10074" spans="1:1" x14ac:dyDescent="0.25">
      <c r="A10074" s="5"/>
    </row>
    <row r="10075" spans="1:1" x14ac:dyDescent="0.25">
      <c r="A10075" s="5"/>
    </row>
    <row r="10076" spans="1:1" x14ac:dyDescent="0.25">
      <c r="A10076" s="5"/>
    </row>
    <row r="10077" spans="1:1" x14ac:dyDescent="0.25">
      <c r="A10077" s="5"/>
    </row>
    <row r="10078" spans="1:1" x14ac:dyDescent="0.25">
      <c r="A10078" s="5"/>
    </row>
    <row r="10079" spans="1:1" x14ac:dyDescent="0.25">
      <c r="A10079" s="5"/>
    </row>
    <row r="10080" spans="1:1" x14ac:dyDescent="0.25">
      <c r="A10080" s="5"/>
    </row>
    <row r="10081" spans="1:1" x14ac:dyDescent="0.25">
      <c r="A10081" s="5"/>
    </row>
    <row r="10082" spans="1:1" x14ac:dyDescent="0.25">
      <c r="A10082" s="5"/>
    </row>
    <row r="10083" spans="1:1" x14ac:dyDescent="0.25">
      <c r="A10083" s="5"/>
    </row>
    <row r="10084" spans="1:1" x14ac:dyDescent="0.25">
      <c r="A10084" s="5"/>
    </row>
    <row r="10085" spans="1:1" x14ac:dyDescent="0.25">
      <c r="A10085" s="5"/>
    </row>
    <row r="10086" spans="1:1" x14ac:dyDescent="0.25">
      <c r="A10086" s="5"/>
    </row>
    <row r="10087" spans="1:1" x14ac:dyDescent="0.25">
      <c r="A10087" s="5"/>
    </row>
    <row r="10088" spans="1:1" x14ac:dyDescent="0.25">
      <c r="A10088" s="5"/>
    </row>
    <row r="10089" spans="1:1" x14ac:dyDescent="0.25">
      <c r="A10089" s="5"/>
    </row>
    <row r="10090" spans="1:1" x14ac:dyDescent="0.25">
      <c r="A10090" s="5"/>
    </row>
    <row r="10091" spans="1:1" x14ac:dyDescent="0.25">
      <c r="A10091" s="5"/>
    </row>
    <row r="10092" spans="1:1" x14ac:dyDescent="0.25">
      <c r="A10092" s="5"/>
    </row>
    <row r="10093" spans="1:1" x14ac:dyDescent="0.25">
      <c r="A10093" s="5"/>
    </row>
    <row r="10094" spans="1:1" x14ac:dyDescent="0.25">
      <c r="A10094" s="5"/>
    </row>
    <row r="10095" spans="1:1" x14ac:dyDescent="0.25">
      <c r="A10095" s="5"/>
    </row>
    <row r="10096" spans="1:1" x14ac:dyDescent="0.25">
      <c r="A10096" s="5"/>
    </row>
    <row r="10097" spans="1:1" x14ac:dyDescent="0.25">
      <c r="A10097" s="5"/>
    </row>
    <row r="10098" spans="1:1" x14ac:dyDescent="0.25">
      <c r="A10098" s="5"/>
    </row>
    <row r="10099" spans="1:1" x14ac:dyDescent="0.25">
      <c r="A10099" s="5"/>
    </row>
    <row r="10100" spans="1:1" x14ac:dyDescent="0.25">
      <c r="A10100" s="5"/>
    </row>
    <row r="10101" spans="1:1" x14ac:dyDescent="0.25">
      <c r="A10101" s="5"/>
    </row>
    <row r="10102" spans="1:1" x14ac:dyDescent="0.25">
      <c r="A10102" s="5"/>
    </row>
    <row r="10103" spans="1:1" x14ac:dyDescent="0.25">
      <c r="A10103" s="5"/>
    </row>
    <row r="10104" spans="1:1" x14ac:dyDescent="0.25">
      <c r="A10104" s="5"/>
    </row>
    <row r="10105" spans="1:1" x14ac:dyDescent="0.25">
      <c r="A10105" s="5"/>
    </row>
    <row r="10106" spans="1:1" x14ac:dyDescent="0.25">
      <c r="A10106" s="5"/>
    </row>
    <row r="10107" spans="1:1" x14ac:dyDescent="0.25">
      <c r="A10107" s="5"/>
    </row>
    <row r="10108" spans="1:1" x14ac:dyDescent="0.25">
      <c r="A10108" s="5"/>
    </row>
    <row r="10109" spans="1:1" x14ac:dyDescent="0.25">
      <c r="A10109" s="5"/>
    </row>
    <row r="10110" spans="1:1" x14ac:dyDescent="0.25">
      <c r="A10110" s="5"/>
    </row>
    <row r="10111" spans="1:1" x14ac:dyDescent="0.25">
      <c r="A10111" s="5"/>
    </row>
    <row r="10112" spans="1:1" x14ac:dyDescent="0.25">
      <c r="A10112" s="5"/>
    </row>
    <row r="10113" spans="1:1" x14ac:dyDescent="0.25">
      <c r="A10113" s="5"/>
    </row>
    <row r="10114" spans="1:1" x14ac:dyDescent="0.25">
      <c r="A10114" s="5"/>
    </row>
    <row r="10115" spans="1:1" x14ac:dyDescent="0.25">
      <c r="A10115" s="5"/>
    </row>
    <row r="10116" spans="1:1" x14ac:dyDescent="0.25">
      <c r="A10116" s="5"/>
    </row>
    <row r="10117" spans="1:1" x14ac:dyDescent="0.25">
      <c r="A10117" s="5"/>
    </row>
    <row r="10118" spans="1:1" x14ac:dyDescent="0.25">
      <c r="A10118" s="5"/>
    </row>
    <row r="10119" spans="1:1" x14ac:dyDescent="0.25">
      <c r="A10119" s="5"/>
    </row>
    <row r="10120" spans="1:1" x14ac:dyDescent="0.25">
      <c r="A10120" s="5"/>
    </row>
    <row r="10121" spans="1:1" x14ac:dyDescent="0.25">
      <c r="A10121" s="5"/>
    </row>
    <row r="10122" spans="1:1" x14ac:dyDescent="0.25">
      <c r="A10122" s="5"/>
    </row>
    <row r="10123" spans="1:1" x14ac:dyDescent="0.25">
      <c r="A10123" s="5"/>
    </row>
    <row r="10124" spans="1:1" x14ac:dyDescent="0.25">
      <c r="A10124" s="5"/>
    </row>
    <row r="10125" spans="1:1" x14ac:dyDescent="0.25">
      <c r="A10125" s="5"/>
    </row>
    <row r="10126" spans="1:1" x14ac:dyDescent="0.25">
      <c r="A10126" s="5"/>
    </row>
    <row r="10127" spans="1:1" x14ac:dyDescent="0.25">
      <c r="A10127" s="5"/>
    </row>
    <row r="10128" spans="1:1" x14ac:dyDescent="0.25">
      <c r="A10128" s="5"/>
    </row>
    <row r="10129" spans="1:1" x14ac:dyDescent="0.25">
      <c r="A10129" s="5"/>
    </row>
    <row r="10130" spans="1:1" x14ac:dyDescent="0.25">
      <c r="A10130" s="5"/>
    </row>
    <row r="10131" spans="1:1" x14ac:dyDescent="0.25">
      <c r="A10131" s="5"/>
    </row>
    <row r="10132" spans="1:1" x14ac:dyDescent="0.25">
      <c r="A10132" s="5"/>
    </row>
    <row r="10133" spans="1:1" x14ac:dyDescent="0.25">
      <c r="A10133" s="5"/>
    </row>
    <row r="10134" spans="1:1" x14ac:dyDescent="0.25">
      <c r="A10134" s="5"/>
    </row>
    <row r="10135" spans="1:1" x14ac:dyDescent="0.25">
      <c r="A10135" s="5"/>
    </row>
    <row r="10136" spans="1:1" x14ac:dyDescent="0.25">
      <c r="A10136" s="5"/>
    </row>
    <row r="10137" spans="1:1" x14ac:dyDescent="0.25">
      <c r="A10137" s="5"/>
    </row>
    <row r="10138" spans="1:1" x14ac:dyDescent="0.25">
      <c r="A10138" s="5"/>
    </row>
    <row r="10139" spans="1:1" x14ac:dyDescent="0.25">
      <c r="A10139" s="5"/>
    </row>
    <row r="10140" spans="1:1" x14ac:dyDescent="0.25">
      <c r="A10140" s="5"/>
    </row>
    <row r="10141" spans="1:1" x14ac:dyDescent="0.25">
      <c r="A10141" s="5"/>
    </row>
    <row r="10142" spans="1:1" x14ac:dyDescent="0.25">
      <c r="A10142" s="5"/>
    </row>
    <row r="10143" spans="1:1" x14ac:dyDescent="0.25">
      <c r="A10143" s="5"/>
    </row>
    <row r="10144" spans="1:1" x14ac:dyDescent="0.25">
      <c r="A10144" s="5"/>
    </row>
    <row r="10145" spans="1:1" x14ac:dyDescent="0.25">
      <c r="A10145" s="5"/>
    </row>
    <row r="10146" spans="1:1" x14ac:dyDescent="0.25">
      <c r="A10146" s="5"/>
    </row>
    <row r="10147" spans="1:1" x14ac:dyDescent="0.25">
      <c r="A10147" s="5"/>
    </row>
    <row r="10148" spans="1:1" x14ac:dyDescent="0.25">
      <c r="A10148" s="5"/>
    </row>
    <row r="10149" spans="1:1" x14ac:dyDescent="0.25">
      <c r="A10149" s="5"/>
    </row>
    <row r="10150" spans="1:1" x14ac:dyDescent="0.25">
      <c r="A10150" s="5"/>
    </row>
    <row r="10151" spans="1:1" x14ac:dyDescent="0.25">
      <c r="A10151" s="5"/>
    </row>
    <row r="10152" spans="1:1" x14ac:dyDescent="0.25">
      <c r="A10152" s="5"/>
    </row>
    <row r="10153" spans="1:1" x14ac:dyDescent="0.25">
      <c r="A10153" s="5"/>
    </row>
    <row r="10154" spans="1:1" x14ac:dyDescent="0.25">
      <c r="A10154" s="5"/>
    </row>
    <row r="10155" spans="1:1" x14ac:dyDescent="0.25">
      <c r="A10155" s="5"/>
    </row>
    <row r="10156" spans="1:1" x14ac:dyDescent="0.25">
      <c r="A10156" s="5"/>
    </row>
    <row r="10157" spans="1:1" x14ac:dyDescent="0.25">
      <c r="A10157" s="5"/>
    </row>
    <row r="10158" spans="1:1" x14ac:dyDescent="0.25">
      <c r="A10158" s="5"/>
    </row>
    <row r="10159" spans="1:1" x14ac:dyDescent="0.25">
      <c r="A10159" s="5"/>
    </row>
    <row r="10160" spans="1:1" x14ac:dyDescent="0.25">
      <c r="A10160" s="5"/>
    </row>
    <row r="10161" spans="1:1" x14ac:dyDescent="0.25">
      <c r="A10161" s="5"/>
    </row>
    <row r="10162" spans="1:1" x14ac:dyDescent="0.25">
      <c r="A10162" s="5"/>
    </row>
    <row r="10163" spans="1:1" x14ac:dyDescent="0.25">
      <c r="A10163" s="5"/>
    </row>
    <row r="10164" spans="1:1" x14ac:dyDescent="0.25">
      <c r="A10164" s="5"/>
    </row>
    <row r="10165" spans="1:1" x14ac:dyDescent="0.25">
      <c r="A10165" s="5"/>
    </row>
    <row r="10166" spans="1:1" x14ac:dyDescent="0.25">
      <c r="A10166" s="5"/>
    </row>
    <row r="10167" spans="1:1" x14ac:dyDescent="0.25">
      <c r="A10167" s="5"/>
    </row>
    <row r="10168" spans="1:1" x14ac:dyDescent="0.25">
      <c r="A10168" s="5"/>
    </row>
    <row r="10169" spans="1:1" x14ac:dyDescent="0.25">
      <c r="A10169" s="5"/>
    </row>
    <row r="10170" spans="1:1" x14ac:dyDescent="0.25">
      <c r="A10170" s="5"/>
    </row>
    <row r="10171" spans="1:1" x14ac:dyDescent="0.25">
      <c r="A10171" s="5"/>
    </row>
    <row r="10172" spans="1:1" x14ac:dyDescent="0.25">
      <c r="A10172" s="5"/>
    </row>
    <row r="10173" spans="1:1" x14ac:dyDescent="0.25">
      <c r="A10173" s="5"/>
    </row>
    <row r="10174" spans="1:1" x14ac:dyDescent="0.25">
      <c r="A10174" s="5"/>
    </row>
    <row r="10175" spans="1:1" x14ac:dyDescent="0.25">
      <c r="A10175" s="5"/>
    </row>
    <row r="10176" spans="1:1" x14ac:dyDescent="0.25">
      <c r="A10176" s="5"/>
    </row>
    <row r="10177" spans="1:1" x14ac:dyDescent="0.25">
      <c r="A10177" s="5"/>
    </row>
    <row r="10178" spans="1:1" x14ac:dyDescent="0.25">
      <c r="A10178" s="5"/>
    </row>
    <row r="10179" spans="1:1" x14ac:dyDescent="0.25">
      <c r="A10179" s="5"/>
    </row>
    <row r="10180" spans="1:1" x14ac:dyDescent="0.25">
      <c r="A10180" s="5"/>
    </row>
    <row r="10181" spans="1:1" x14ac:dyDescent="0.25">
      <c r="A10181" s="5"/>
    </row>
    <row r="10182" spans="1:1" x14ac:dyDescent="0.25">
      <c r="A10182" s="5"/>
    </row>
    <row r="10183" spans="1:1" x14ac:dyDescent="0.25">
      <c r="A10183" s="5"/>
    </row>
    <row r="10184" spans="1:1" x14ac:dyDescent="0.25">
      <c r="A10184" s="5"/>
    </row>
    <row r="10185" spans="1:1" x14ac:dyDescent="0.25">
      <c r="A10185" s="5"/>
    </row>
    <row r="10186" spans="1:1" x14ac:dyDescent="0.25">
      <c r="A10186" s="5"/>
    </row>
    <row r="10187" spans="1:1" x14ac:dyDescent="0.25">
      <c r="A10187" s="5"/>
    </row>
    <row r="10188" spans="1:1" x14ac:dyDescent="0.25">
      <c r="A10188" s="5"/>
    </row>
    <row r="10189" spans="1:1" x14ac:dyDescent="0.25">
      <c r="A10189" s="5"/>
    </row>
    <row r="10190" spans="1:1" x14ac:dyDescent="0.25">
      <c r="A10190" s="5"/>
    </row>
    <row r="10191" spans="1:1" x14ac:dyDescent="0.25">
      <c r="A10191" s="5"/>
    </row>
    <row r="10192" spans="1:1" x14ac:dyDescent="0.25">
      <c r="A10192" s="5"/>
    </row>
    <row r="10193" spans="1:1" x14ac:dyDescent="0.25">
      <c r="A10193" s="5"/>
    </row>
    <row r="10194" spans="1:1" x14ac:dyDescent="0.25">
      <c r="A10194" s="5"/>
    </row>
    <row r="10195" spans="1:1" x14ac:dyDescent="0.25">
      <c r="A10195" s="5"/>
    </row>
    <row r="10196" spans="1:1" x14ac:dyDescent="0.25">
      <c r="A10196" s="5"/>
    </row>
    <row r="10197" spans="1:1" x14ac:dyDescent="0.25">
      <c r="A10197" s="5"/>
    </row>
    <row r="10198" spans="1:1" x14ac:dyDescent="0.25">
      <c r="A10198" s="5"/>
    </row>
    <row r="10199" spans="1:1" x14ac:dyDescent="0.25">
      <c r="A10199" s="5"/>
    </row>
    <row r="10200" spans="1:1" x14ac:dyDescent="0.25">
      <c r="A10200" s="5"/>
    </row>
    <row r="10201" spans="1:1" x14ac:dyDescent="0.25">
      <c r="A10201" s="5"/>
    </row>
    <row r="10202" spans="1:1" x14ac:dyDescent="0.25">
      <c r="A10202" s="5"/>
    </row>
    <row r="10203" spans="1:1" x14ac:dyDescent="0.25">
      <c r="A10203" s="5"/>
    </row>
    <row r="10204" spans="1:1" x14ac:dyDescent="0.25">
      <c r="A10204" s="5"/>
    </row>
    <row r="10205" spans="1:1" x14ac:dyDescent="0.25">
      <c r="A10205" s="5"/>
    </row>
    <row r="10206" spans="1:1" x14ac:dyDescent="0.25">
      <c r="A10206" s="5"/>
    </row>
    <row r="10207" spans="1:1" x14ac:dyDescent="0.25">
      <c r="A10207" s="5"/>
    </row>
    <row r="10208" spans="1:1" x14ac:dyDescent="0.25">
      <c r="A10208" s="5"/>
    </row>
    <row r="10209" spans="1:1" x14ac:dyDescent="0.25">
      <c r="A10209" s="5"/>
    </row>
    <row r="10210" spans="1:1" x14ac:dyDescent="0.25">
      <c r="A10210" s="5"/>
    </row>
    <row r="10211" spans="1:1" x14ac:dyDescent="0.25">
      <c r="A10211" s="5"/>
    </row>
    <row r="10212" spans="1:1" x14ac:dyDescent="0.25">
      <c r="A10212" s="5"/>
    </row>
    <row r="10213" spans="1:1" x14ac:dyDescent="0.25">
      <c r="A10213" s="5"/>
    </row>
    <row r="10214" spans="1:1" x14ac:dyDescent="0.25">
      <c r="A10214" s="5"/>
    </row>
    <row r="10215" spans="1:1" x14ac:dyDescent="0.25">
      <c r="A10215" s="5"/>
    </row>
    <row r="10216" spans="1:1" x14ac:dyDescent="0.25">
      <c r="A10216" s="5"/>
    </row>
    <row r="10217" spans="1:1" x14ac:dyDescent="0.25">
      <c r="A10217" s="5"/>
    </row>
    <row r="10218" spans="1:1" x14ac:dyDescent="0.25">
      <c r="A10218" s="5"/>
    </row>
    <row r="10219" spans="1:1" x14ac:dyDescent="0.25">
      <c r="A10219" s="5"/>
    </row>
    <row r="10220" spans="1:1" x14ac:dyDescent="0.25">
      <c r="A10220" s="5"/>
    </row>
    <row r="10221" spans="1:1" x14ac:dyDescent="0.25">
      <c r="A10221" s="5"/>
    </row>
    <row r="10222" spans="1:1" x14ac:dyDescent="0.25">
      <c r="A10222" s="5"/>
    </row>
    <row r="10223" spans="1:1" x14ac:dyDescent="0.25">
      <c r="A10223" s="5"/>
    </row>
    <row r="10224" spans="1:1" x14ac:dyDescent="0.25">
      <c r="A10224" s="5"/>
    </row>
    <row r="10225" spans="1:1" x14ac:dyDescent="0.25">
      <c r="A10225" s="5"/>
    </row>
    <row r="10226" spans="1:1" x14ac:dyDescent="0.25">
      <c r="A10226" s="5"/>
    </row>
    <row r="10227" spans="1:1" x14ac:dyDescent="0.25">
      <c r="A10227" s="5"/>
    </row>
    <row r="10228" spans="1:1" x14ac:dyDescent="0.25">
      <c r="A10228" s="5"/>
    </row>
    <row r="10229" spans="1:1" x14ac:dyDescent="0.25">
      <c r="A10229" s="5"/>
    </row>
    <row r="10230" spans="1:1" x14ac:dyDescent="0.25">
      <c r="A10230" s="5"/>
    </row>
    <row r="10231" spans="1:1" x14ac:dyDescent="0.25">
      <c r="A10231" s="5"/>
    </row>
    <row r="10232" spans="1:1" x14ac:dyDescent="0.25">
      <c r="A10232" s="5"/>
    </row>
    <row r="10233" spans="1:1" x14ac:dyDescent="0.25">
      <c r="A10233" s="5"/>
    </row>
    <row r="10234" spans="1:1" x14ac:dyDescent="0.25">
      <c r="A10234" s="5"/>
    </row>
    <row r="10235" spans="1:1" x14ac:dyDescent="0.25">
      <c r="A10235" s="5"/>
    </row>
    <row r="10236" spans="1:1" x14ac:dyDescent="0.25">
      <c r="A10236" s="5"/>
    </row>
    <row r="10237" spans="1:1" x14ac:dyDescent="0.25">
      <c r="A10237" s="5"/>
    </row>
    <row r="10238" spans="1:1" x14ac:dyDescent="0.25">
      <c r="A10238" s="5"/>
    </row>
    <row r="10239" spans="1:1" x14ac:dyDescent="0.25">
      <c r="A10239" s="5"/>
    </row>
    <row r="10240" spans="1:1" x14ac:dyDescent="0.25">
      <c r="A10240" s="5"/>
    </row>
    <row r="10241" spans="1:1" x14ac:dyDescent="0.25">
      <c r="A10241" s="5"/>
    </row>
    <row r="10242" spans="1:1" x14ac:dyDescent="0.25">
      <c r="A10242" s="5"/>
    </row>
    <row r="10243" spans="1:1" x14ac:dyDescent="0.25">
      <c r="A10243" s="5"/>
    </row>
    <row r="10244" spans="1:1" x14ac:dyDescent="0.25">
      <c r="A10244" s="5"/>
    </row>
    <row r="10245" spans="1:1" x14ac:dyDescent="0.25">
      <c r="A10245" s="5"/>
    </row>
    <row r="10246" spans="1:1" x14ac:dyDescent="0.25">
      <c r="A10246" s="5"/>
    </row>
    <row r="10247" spans="1:1" x14ac:dyDescent="0.25">
      <c r="A10247" s="5"/>
    </row>
    <row r="10248" spans="1:1" x14ac:dyDescent="0.25">
      <c r="A10248" s="5"/>
    </row>
    <row r="10249" spans="1:1" x14ac:dyDescent="0.25">
      <c r="A10249" s="5"/>
    </row>
    <row r="10250" spans="1:1" x14ac:dyDescent="0.25">
      <c r="A10250" s="5"/>
    </row>
    <row r="10251" spans="1:1" x14ac:dyDescent="0.25">
      <c r="A10251" s="5"/>
    </row>
    <row r="10252" spans="1:1" x14ac:dyDescent="0.25">
      <c r="A10252" s="5"/>
    </row>
    <row r="10253" spans="1:1" x14ac:dyDescent="0.25">
      <c r="A10253" s="5"/>
    </row>
    <row r="10254" spans="1:1" x14ac:dyDescent="0.25">
      <c r="A10254" s="5"/>
    </row>
    <row r="10255" spans="1:1" x14ac:dyDescent="0.25">
      <c r="A10255" s="5"/>
    </row>
    <row r="10256" spans="1:1" x14ac:dyDescent="0.25">
      <c r="A10256" s="5"/>
    </row>
    <row r="10257" spans="1:1" x14ac:dyDescent="0.25">
      <c r="A10257" s="5"/>
    </row>
    <row r="10258" spans="1:1" x14ac:dyDescent="0.25">
      <c r="A10258" s="5"/>
    </row>
    <row r="10259" spans="1:1" x14ac:dyDescent="0.25">
      <c r="A10259" s="5"/>
    </row>
    <row r="10260" spans="1:1" x14ac:dyDescent="0.25">
      <c r="A10260" s="5"/>
    </row>
    <row r="10261" spans="1:1" x14ac:dyDescent="0.25">
      <c r="A10261" s="5"/>
    </row>
    <row r="10262" spans="1:1" x14ac:dyDescent="0.25">
      <c r="A10262" s="5"/>
    </row>
    <row r="10263" spans="1:1" x14ac:dyDescent="0.25">
      <c r="A10263" s="5"/>
    </row>
    <row r="10264" spans="1:1" x14ac:dyDescent="0.25">
      <c r="A10264" s="5"/>
    </row>
    <row r="10265" spans="1:1" x14ac:dyDescent="0.25">
      <c r="A10265" s="5"/>
    </row>
    <row r="10266" spans="1:1" x14ac:dyDescent="0.25">
      <c r="A10266" s="5"/>
    </row>
    <row r="10267" spans="1:1" x14ac:dyDescent="0.25">
      <c r="A10267" s="5"/>
    </row>
    <row r="10268" spans="1:1" x14ac:dyDescent="0.25">
      <c r="A10268" s="5"/>
    </row>
    <row r="10269" spans="1:1" x14ac:dyDescent="0.25">
      <c r="A10269" s="5"/>
    </row>
    <row r="10270" spans="1:1" x14ac:dyDescent="0.25">
      <c r="A10270" s="5"/>
    </row>
    <row r="10271" spans="1:1" x14ac:dyDescent="0.25">
      <c r="A10271" s="5"/>
    </row>
    <row r="10272" spans="1:1" x14ac:dyDescent="0.25">
      <c r="A10272" s="5"/>
    </row>
    <row r="10273" spans="1:1" x14ac:dyDescent="0.25">
      <c r="A10273" s="5"/>
    </row>
    <row r="10274" spans="1:1" x14ac:dyDescent="0.25">
      <c r="A10274" s="5"/>
    </row>
    <row r="10275" spans="1:1" x14ac:dyDescent="0.25">
      <c r="A10275" s="5"/>
    </row>
    <row r="10276" spans="1:1" x14ac:dyDescent="0.25">
      <c r="A10276" s="5"/>
    </row>
    <row r="10277" spans="1:1" x14ac:dyDescent="0.25">
      <c r="A10277" s="5"/>
    </row>
    <row r="10278" spans="1:1" x14ac:dyDescent="0.25">
      <c r="A10278" s="5"/>
    </row>
    <row r="10279" spans="1:1" x14ac:dyDescent="0.25">
      <c r="A10279" s="5"/>
    </row>
    <row r="10280" spans="1:1" x14ac:dyDescent="0.25">
      <c r="A10280" s="5"/>
    </row>
    <row r="10281" spans="1:1" x14ac:dyDescent="0.25">
      <c r="A10281" s="5"/>
    </row>
    <row r="10282" spans="1:1" x14ac:dyDescent="0.25">
      <c r="A10282" s="5"/>
    </row>
    <row r="10283" spans="1:1" x14ac:dyDescent="0.25">
      <c r="A10283" s="5"/>
    </row>
    <row r="10284" spans="1:1" x14ac:dyDescent="0.25">
      <c r="A10284" s="5"/>
    </row>
    <row r="10285" spans="1:1" x14ac:dyDescent="0.25">
      <c r="A10285" s="5"/>
    </row>
    <row r="10286" spans="1:1" x14ac:dyDescent="0.25">
      <c r="A10286" s="5"/>
    </row>
    <row r="10287" spans="1:1" x14ac:dyDescent="0.25">
      <c r="A10287" s="5"/>
    </row>
    <row r="10288" spans="1:1" x14ac:dyDescent="0.25">
      <c r="A10288" s="5"/>
    </row>
    <row r="10289" spans="1:1" x14ac:dyDescent="0.25">
      <c r="A10289" s="5"/>
    </row>
    <row r="10290" spans="1:1" x14ac:dyDescent="0.25">
      <c r="A10290" s="5"/>
    </row>
    <row r="10291" spans="1:1" x14ac:dyDescent="0.25">
      <c r="A10291" s="5"/>
    </row>
    <row r="10292" spans="1:1" x14ac:dyDescent="0.25">
      <c r="A10292" s="5"/>
    </row>
    <row r="10293" spans="1:1" x14ac:dyDescent="0.25">
      <c r="A10293" s="5"/>
    </row>
    <row r="10294" spans="1:1" x14ac:dyDescent="0.25">
      <c r="A10294" s="5"/>
    </row>
    <row r="10295" spans="1:1" x14ac:dyDescent="0.25">
      <c r="A10295" s="5"/>
    </row>
    <row r="10296" spans="1:1" x14ac:dyDescent="0.25">
      <c r="A10296" s="5"/>
    </row>
    <row r="10297" spans="1:1" x14ac:dyDescent="0.25">
      <c r="A10297" s="5"/>
    </row>
    <row r="10298" spans="1:1" x14ac:dyDescent="0.25">
      <c r="A10298" s="5"/>
    </row>
    <row r="10299" spans="1:1" x14ac:dyDescent="0.25">
      <c r="A10299" s="5"/>
    </row>
    <row r="10300" spans="1:1" x14ac:dyDescent="0.25">
      <c r="A10300" s="5"/>
    </row>
    <row r="10301" spans="1:1" x14ac:dyDescent="0.25">
      <c r="A10301" s="5"/>
    </row>
    <row r="10302" spans="1:1" x14ac:dyDescent="0.25">
      <c r="A10302" s="5"/>
    </row>
    <row r="10303" spans="1:1" x14ac:dyDescent="0.25">
      <c r="A10303" s="5"/>
    </row>
    <row r="10304" spans="1:1" x14ac:dyDescent="0.25">
      <c r="A10304" s="5"/>
    </row>
    <row r="10305" spans="1:1" x14ac:dyDescent="0.25">
      <c r="A10305" s="5"/>
    </row>
    <row r="10306" spans="1:1" x14ac:dyDescent="0.25">
      <c r="A10306" s="5"/>
    </row>
    <row r="10307" spans="1:1" x14ac:dyDescent="0.25">
      <c r="A10307" s="5"/>
    </row>
    <row r="10308" spans="1:1" x14ac:dyDescent="0.25">
      <c r="A10308" s="5"/>
    </row>
    <row r="10309" spans="1:1" x14ac:dyDescent="0.25">
      <c r="A10309" s="5"/>
    </row>
    <row r="10310" spans="1:1" x14ac:dyDescent="0.25">
      <c r="A10310" s="5"/>
    </row>
    <row r="10311" spans="1:1" x14ac:dyDescent="0.25">
      <c r="A10311" s="5"/>
    </row>
    <row r="10312" spans="1:1" x14ac:dyDescent="0.25">
      <c r="A10312" s="5"/>
    </row>
    <row r="10313" spans="1:1" x14ac:dyDescent="0.25">
      <c r="A10313" s="5"/>
    </row>
    <row r="10314" spans="1:1" x14ac:dyDescent="0.25">
      <c r="A10314" s="5"/>
    </row>
    <row r="10315" spans="1:1" x14ac:dyDescent="0.25">
      <c r="A10315" s="5"/>
    </row>
    <row r="10316" spans="1:1" x14ac:dyDescent="0.25">
      <c r="A10316" s="5"/>
    </row>
    <row r="10317" spans="1:1" x14ac:dyDescent="0.25">
      <c r="A10317" s="5"/>
    </row>
    <row r="10318" spans="1:1" x14ac:dyDescent="0.25">
      <c r="A10318" s="5"/>
    </row>
    <row r="10319" spans="1:1" x14ac:dyDescent="0.25">
      <c r="A10319" s="5"/>
    </row>
    <row r="10320" spans="1:1" x14ac:dyDescent="0.25">
      <c r="A10320" s="5"/>
    </row>
    <row r="10321" spans="1:1" x14ac:dyDescent="0.25">
      <c r="A10321" s="5"/>
    </row>
    <row r="10322" spans="1:1" x14ac:dyDescent="0.25">
      <c r="A10322" s="5"/>
    </row>
    <row r="10323" spans="1:1" x14ac:dyDescent="0.25">
      <c r="A10323" s="5"/>
    </row>
    <row r="10324" spans="1:1" x14ac:dyDescent="0.25">
      <c r="A10324" s="5"/>
    </row>
    <row r="10325" spans="1:1" x14ac:dyDescent="0.25">
      <c r="A10325" s="5"/>
    </row>
    <row r="10326" spans="1:1" x14ac:dyDescent="0.25">
      <c r="A10326" s="5"/>
    </row>
    <row r="10327" spans="1:1" x14ac:dyDescent="0.25">
      <c r="A10327" s="5"/>
    </row>
    <row r="10328" spans="1:1" x14ac:dyDescent="0.25">
      <c r="A10328" s="5"/>
    </row>
    <row r="10329" spans="1:1" x14ac:dyDescent="0.25">
      <c r="A10329" s="5"/>
    </row>
    <row r="10330" spans="1:1" x14ac:dyDescent="0.25">
      <c r="A10330" s="5"/>
    </row>
    <row r="10331" spans="1:1" x14ac:dyDescent="0.25">
      <c r="A10331" s="5"/>
    </row>
    <row r="10332" spans="1:1" x14ac:dyDescent="0.25">
      <c r="A10332" s="5"/>
    </row>
    <row r="10333" spans="1:1" x14ac:dyDescent="0.25">
      <c r="A10333" s="5"/>
    </row>
    <row r="10334" spans="1:1" x14ac:dyDescent="0.25">
      <c r="A10334" s="5"/>
    </row>
    <row r="10335" spans="1:1" x14ac:dyDescent="0.25">
      <c r="A10335" s="5"/>
    </row>
    <row r="10336" spans="1:1" x14ac:dyDescent="0.25">
      <c r="A10336" s="5"/>
    </row>
    <row r="10337" spans="1:1" x14ac:dyDescent="0.25">
      <c r="A10337" s="5"/>
    </row>
    <row r="10338" spans="1:1" x14ac:dyDescent="0.25">
      <c r="A10338" s="5"/>
    </row>
    <row r="10339" spans="1:1" x14ac:dyDescent="0.25">
      <c r="A10339" s="5"/>
    </row>
    <row r="10340" spans="1:1" x14ac:dyDescent="0.25">
      <c r="A10340" s="5"/>
    </row>
    <row r="10341" spans="1:1" x14ac:dyDescent="0.25">
      <c r="A10341" s="5"/>
    </row>
    <row r="10342" spans="1:1" x14ac:dyDescent="0.25">
      <c r="A10342" s="5"/>
    </row>
    <row r="10343" spans="1:1" x14ac:dyDescent="0.25">
      <c r="A10343" s="5"/>
    </row>
    <row r="10344" spans="1:1" x14ac:dyDescent="0.25">
      <c r="A10344" s="5"/>
    </row>
    <row r="10345" spans="1:1" x14ac:dyDescent="0.25">
      <c r="A10345" s="5"/>
    </row>
    <row r="10346" spans="1:1" x14ac:dyDescent="0.25">
      <c r="A10346" s="5"/>
    </row>
    <row r="10347" spans="1:1" x14ac:dyDescent="0.25">
      <c r="A10347" s="5"/>
    </row>
    <row r="10348" spans="1:1" x14ac:dyDescent="0.25">
      <c r="A10348" s="5"/>
    </row>
    <row r="10349" spans="1:1" x14ac:dyDescent="0.25">
      <c r="A10349" s="5"/>
    </row>
    <row r="10350" spans="1:1" x14ac:dyDescent="0.25">
      <c r="A10350" s="5"/>
    </row>
    <row r="10351" spans="1:1" x14ac:dyDescent="0.25">
      <c r="A10351" s="5"/>
    </row>
    <row r="10352" spans="1:1" x14ac:dyDescent="0.25">
      <c r="A10352" s="5"/>
    </row>
    <row r="10353" spans="1:1" x14ac:dyDescent="0.25">
      <c r="A10353" s="5"/>
    </row>
    <row r="10354" spans="1:1" x14ac:dyDescent="0.25">
      <c r="A10354" s="5"/>
    </row>
    <row r="10355" spans="1:1" x14ac:dyDescent="0.25">
      <c r="A10355" s="5"/>
    </row>
    <row r="10356" spans="1:1" x14ac:dyDescent="0.25">
      <c r="A10356" s="5"/>
    </row>
    <row r="10357" spans="1:1" x14ac:dyDescent="0.25">
      <c r="A10357" s="5"/>
    </row>
    <row r="10358" spans="1:1" x14ac:dyDescent="0.25">
      <c r="A10358" s="5"/>
    </row>
    <row r="10359" spans="1:1" x14ac:dyDescent="0.25">
      <c r="A10359" s="5"/>
    </row>
    <row r="10360" spans="1:1" x14ac:dyDescent="0.25">
      <c r="A10360" s="5"/>
    </row>
    <row r="10361" spans="1:1" x14ac:dyDescent="0.25">
      <c r="A10361" s="5"/>
    </row>
    <row r="10362" spans="1:1" x14ac:dyDescent="0.25">
      <c r="A10362" s="5"/>
    </row>
    <row r="10363" spans="1:1" x14ac:dyDescent="0.25">
      <c r="A10363" s="5"/>
    </row>
    <row r="10364" spans="1:1" x14ac:dyDescent="0.25">
      <c r="A10364" s="5"/>
    </row>
    <row r="10365" spans="1:1" x14ac:dyDescent="0.25">
      <c r="A10365" s="5"/>
    </row>
    <row r="10366" spans="1:1" x14ac:dyDescent="0.25">
      <c r="A10366" s="5"/>
    </row>
    <row r="10367" spans="1:1" x14ac:dyDescent="0.25">
      <c r="A10367" s="5"/>
    </row>
    <row r="10368" spans="1:1" x14ac:dyDescent="0.25">
      <c r="A10368" s="5"/>
    </row>
    <row r="10369" spans="1:1" x14ac:dyDescent="0.25">
      <c r="A10369" s="5"/>
    </row>
    <row r="10370" spans="1:1" x14ac:dyDescent="0.25">
      <c r="A10370" s="5"/>
    </row>
    <row r="10371" spans="1:1" x14ac:dyDescent="0.25">
      <c r="A10371" s="5"/>
    </row>
    <row r="10372" spans="1:1" x14ac:dyDescent="0.25">
      <c r="A10372" s="5"/>
    </row>
    <row r="10373" spans="1:1" x14ac:dyDescent="0.25">
      <c r="A10373" s="5"/>
    </row>
    <row r="10374" spans="1:1" x14ac:dyDescent="0.25">
      <c r="A10374" s="5"/>
    </row>
    <row r="10375" spans="1:1" x14ac:dyDescent="0.25">
      <c r="A10375" s="5"/>
    </row>
    <row r="10376" spans="1:1" x14ac:dyDescent="0.25">
      <c r="A10376" s="5"/>
    </row>
    <row r="10377" spans="1:1" x14ac:dyDescent="0.25">
      <c r="A10377" s="5"/>
    </row>
    <row r="10378" spans="1:1" x14ac:dyDescent="0.25">
      <c r="A10378" s="5"/>
    </row>
    <row r="10379" spans="1:1" x14ac:dyDescent="0.25">
      <c r="A10379" s="5"/>
    </row>
    <row r="10380" spans="1:1" x14ac:dyDescent="0.25">
      <c r="A10380" s="5"/>
    </row>
    <row r="10381" spans="1:1" x14ac:dyDescent="0.25">
      <c r="A10381" s="5"/>
    </row>
    <row r="10382" spans="1:1" x14ac:dyDescent="0.25">
      <c r="A10382" s="5"/>
    </row>
    <row r="10383" spans="1:1" x14ac:dyDescent="0.25">
      <c r="A10383" s="5"/>
    </row>
    <row r="10384" spans="1:1" x14ac:dyDescent="0.25">
      <c r="A10384" s="5"/>
    </row>
    <row r="10385" spans="1:1" x14ac:dyDescent="0.25">
      <c r="A10385" s="5"/>
    </row>
    <row r="10386" spans="1:1" x14ac:dyDescent="0.25">
      <c r="A10386" s="5"/>
    </row>
    <row r="10387" spans="1:1" x14ac:dyDescent="0.25">
      <c r="A10387" s="5"/>
    </row>
    <row r="10388" spans="1:1" x14ac:dyDescent="0.25">
      <c r="A10388" s="5"/>
    </row>
    <row r="10389" spans="1:1" x14ac:dyDescent="0.25">
      <c r="A10389" s="5"/>
    </row>
    <row r="10390" spans="1:1" x14ac:dyDescent="0.25">
      <c r="A10390" s="5"/>
    </row>
    <row r="10391" spans="1:1" x14ac:dyDescent="0.25">
      <c r="A10391" s="5"/>
    </row>
    <row r="10392" spans="1:1" x14ac:dyDescent="0.25">
      <c r="A10392" s="5"/>
    </row>
    <row r="10393" spans="1:1" x14ac:dyDescent="0.25">
      <c r="A10393" s="5"/>
    </row>
    <row r="10394" spans="1:1" x14ac:dyDescent="0.25">
      <c r="A10394" s="5"/>
    </row>
    <row r="10395" spans="1:1" x14ac:dyDescent="0.25">
      <c r="A10395" s="5"/>
    </row>
    <row r="10396" spans="1:1" x14ac:dyDescent="0.25">
      <c r="A10396" s="5"/>
    </row>
    <row r="10397" spans="1:1" x14ac:dyDescent="0.25">
      <c r="A10397" s="5"/>
    </row>
    <row r="10398" spans="1:1" x14ac:dyDescent="0.25">
      <c r="A10398" s="5"/>
    </row>
    <row r="10399" spans="1:1" x14ac:dyDescent="0.25">
      <c r="A10399" s="5"/>
    </row>
    <row r="10400" spans="1:1" x14ac:dyDescent="0.25">
      <c r="A10400" s="5"/>
    </row>
    <row r="10401" spans="1:1" x14ac:dyDescent="0.25">
      <c r="A10401" s="5"/>
    </row>
    <row r="10402" spans="1:1" x14ac:dyDescent="0.25">
      <c r="A10402" s="5"/>
    </row>
    <row r="10403" spans="1:1" x14ac:dyDescent="0.25">
      <c r="A10403" s="5"/>
    </row>
    <row r="10404" spans="1:1" x14ac:dyDescent="0.25">
      <c r="A10404" s="5"/>
    </row>
    <row r="10405" spans="1:1" x14ac:dyDescent="0.25">
      <c r="A10405" s="5"/>
    </row>
    <row r="10406" spans="1:1" x14ac:dyDescent="0.25">
      <c r="A10406" s="5"/>
    </row>
    <row r="10407" spans="1:1" x14ac:dyDescent="0.25">
      <c r="A10407" s="5"/>
    </row>
    <row r="10408" spans="1:1" x14ac:dyDescent="0.25">
      <c r="A10408" s="5"/>
    </row>
    <row r="10409" spans="1:1" x14ac:dyDescent="0.25">
      <c r="A10409" s="5"/>
    </row>
    <row r="10410" spans="1:1" x14ac:dyDescent="0.25">
      <c r="A10410" s="5"/>
    </row>
    <row r="10411" spans="1:1" x14ac:dyDescent="0.25">
      <c r="A10411" s="5"/>
    </row>
    <row r="10412" spans="1:1" x14ac:dyDescent="0.25">
      <c r="A10412" s="5"/>
    </row>
    <row r="10413" spans="1:1" x14ac:dyDescent="0.25">
      <c r="A10413" s="5"/>
    </row>
    <row r="10414" spans="1:1" x14ac:dyDescent="0.25">
      <c r="A10414" s="5"/>
    </row>
    <row r="10415" spans="1:1" x14ac:dyDescent="0.25">
      <c r="A10415" s="5"/>
    </row>
    <row r="10416" spans="1:1" x14ac:dyDescent="0.25">
      <c r="A10416" s="5"/>
    </row>
    <row r="10417" spans="1:1" x14ac:dyDescent="0.25">
      <c r="A10417" s="5"/>
    </row>
    <row r="10418" spans="1:1" x14ac:dyDescent="0.25">
      <c r="A10418" s="5"/>
    </row>
    <row r="10419" spans="1:1" x14ac:dyDescent="0.25">
      <c r="A10419" s="5"/>
    </row>
    <row r="10420" spans="1:1" x14ac:dyDescent="0.25">
      <c r="A10420" s="5"/>
    </row>
    <row r="10421" spans="1:1" x14ac:dyDescent="0.25">
      <c r="A10421" s="5"/>
    </row>
    <row r="10422" spans="1:1" x14ac:dyDescent="0.25">
      <c r="A10422" s="5"/>
    </row>
    <row r="10423" spans="1:1" x14ac:dyDescent="0.25">
      <c r="A10423" s="5"/>
    </row>
    <row r="10424" spans="1:1" x14ac:dyDescent="0.25">
      <c r="A10424" s="5"/>
    </row>
    <row r="10425" spans="1:1" x14ac:dyDescent="0.25">
      <c r="A10425" s="5"/>
    </row>
    <row r="10426" spans="1:1" x14ac:dyDescent="0.25">
      <c r="A10426" s="5"/>
    </row>
    <row r="10427" spans="1:1" x14ac:dyDescent="0.25">
      <c r="A10427" s="5"/>
    </row>
    <row r="10428" spans="1:1" x14ac:dyDescent="0.25">
      <c r="A10428" s="5"/>
    </row>
    <row r="10429" spans="1:1" x14ac:dyDescent="0.25">
      <c r="A10429" s="5"/>
    </row>
    <row r="10430" spans="1:1" x14ac:dyDescent="0.25">
      <c r="A10430" s="5"/>
    </row>
    <row r="10431" spans="1:1" x14ac:dyDescent="0.25">
      <c r="A10431" s="5"/>
    </row>
    <row r="10432" spans="1:1" x14ac:dyDescent="0.25">
      <c r="A10432" s="5"/>
    </row>
    <row r="10433" spans="1:1" x14ac:dyDescent="0.25">
      <c r="A10433" s="5"/>
    </row>
    <row r="10434" spans="1:1" x14ac:dyDescent="0.25">
      <c r="A10434" s="5"/>
    </row>
    <row r="10435" spans="1:1" x14ac:dyDescent="0.25">
      <c r="A10435" s="5"/>
    </row>
    <row r="10436" spans="1:1" x14ac:dyDescent="0.25">
      <c r="A10436" s="5"/>
    </row>
    <row r="10437" spans="1:1" x14ac:dyDescent="0.25">
      <c r="A10437" s="5"/>
    </row>
    <row r="10438" spans="1:1" x14ac:dyDescent="0.25">
      <c r="A10438" s="5"/>
    </row>
    <row r="10439" spans="1:1" x14ac:dyDescent="0.25">
      <c r="A10439" s="5"/>
    </row>
    <row r="10440" spans="1:1" x14ac:dyDescent="0.25">
      <c r="A10440" s="5"/>
    </row>
    <row r="10441" spans="1:1" x14ac:dyDescent="0.25">
      <c r="A10441" s="5"/>
    </row>
    <row r="10442" spans="1:1" x14ac:dyDescent="0.25">
      <c r="A10442" s="5"/>
    </row>
    <row r="10443" spans="1:1" x14ac:dyDescent="0.25">
      <c r="A10443" s="5"/>
    </row>
    <row r="10444" spans="1:1" x14ac:dyDescent="0.25">
      <c r="A10444" s="5"/>
    </row>
    <row r="10445" spans="1:1" x14ac:dyDescent="0.25">
      <c r="A10445" s="5"/>
    </row>
    <row r="10446" spans="1:1" x14ac:dyDescent="0.25">
      <c r="A10446" s="5"/>
    </row>
    <row r="10447" spans="1:1" x14ac:dyDescent="0.25">
      <c r="A10447" s="5"/>
    </row>
    <row r="10448" spans="1:1" x14ac:dyDescent="0.25">
      <c r="A10448" s="5"/>
    </row>
    <row r="10449" spans="1:1" x14ac:dyDescent="0.25">
      <c r="A10449" s="5"/>
    </row>
    <row r="10450" spans="1:1" x14ac:dyDescent="0.25">
      <c r="A10450" s="5"/>
    </row>
    <row r="10451" spans="1:1" x14ac:dyDescent="0.25">
      <c r="A10451" s="5"/>
    </row>
    <row r="10452" spans="1:1" x14ac:dyDescent="0.25">
      <c r="A10452" s="5"/>
    </row>
    <row r="10453" spans="1:1" x14ac:dyDescent="0.25">
      <c r="A10453" s="5"/>
    </row>
    <row r="10454" spans="1:1" x14ac:dyDescent="0.25">
      <c r="A10454" s="5"/>
    </row>
    <row r="10455" spans="1:1" x14ac:dyDescent="0.25">
      <c r="A10455" s="5"/>
    </row>
    <row r="10456" spans="1:1" x14ac:dyDescent="0.25">
      <c r="A10456" s="5"/>
    </row>
    <row r="10457" spans="1:1" x14ac:dyDescent="0.25">
      <c r="A10457" s="5"/>
    </row>
    <row r="10458" spans="1:1" x14ac:dyDescent="0.25">
      <c r="A10458" s="5"/>
    </row>
    <row r="10459" spans="1:1" x14ac:dyDescent="0.25">
      <c r="A10459" s="5"/>
    </row>
    <row r="10460" spans="1:1" x14ac:dyDescent="0.25">
      <c r="A10460" s="5"/>
    </row>
    <row r="10461" spans="1:1" x14ac:dyDescent="0.25">
      <c r="A10461" s="5"/>
    </row>
    <row r="10462" spans="1:1" x14ac:dyDescent="0.25">
      <c r="A10462" s="5"/>
    </row>
    <row r="10463" spans="1:1" x14ac:dyDescent="0.25">
      <c r="A10463" s="5"/>
    </row>
    <row r="10464" spans="1:1" x14ac:dyDescent="0.25">
      <c r="A10464" s="5"/>
    </row>
    <row r="10465" spans="1:1" x14ac:dyDescent="0.25">
      <c r="A10465" s="5"/>
    </row>
    <row r="10466" spans="1:1" x14ac:dyDescent="0.25">
      <c r="A10466" s="5"/>
    </row>
    <row r="10467" spans="1:1" x14ac:dyDescent="0.25">
      <c r="A10467" s="5"/>
    </row>
    <row r="10468" spans="1:1" x14ac:dyDescent="0.25">
      <c r="A10468" s="5"/>
    </row>
    <row r="10469" spans="1:1" x14ac:dyDescent="0.25">
      <c r="A10469" s="5"/>
    </row>
    <row r="10470" spans="1:1" x14ac:dyDescent="0.25">
      <c r="A10470" s="5"/>
    </row>
    <row r="10471" spans="1:1" x14ac:dyDescent="0.25">
      <c r="A10471" s="5"/>
    </row>
    <row r="10472" spans="1:1" x14ac:dyDescent="0.25">
      <c r="A10472" s="5"/>
    </row>
    <row r="10473" spans="1:1" x14ac:dyDescent="0.25">
      <c r="A10473" s="5"/>
    </row>
    <row r="10474" spans="1:1" x14ac:dyDescent="0.25">
      <c r="A10474" s="5"/>
    </row>
    <row r="10475" spans="1:1" x14ac:dyDescent="0.25">
      <c r="A10475" s="5"/>
    </row>
    <row r="10476" spans="1:1" x14ac:dyDescent="0.25">
      <c r="A10476" s="5"/>
    </row>
    <row r="10477" spans="1:1" x14ac:dyDescent="0.25">
      <c r="A10477" s="5"/>
    </row>
    <row r="10478" spans="1:1" x14ac:dyDescent="0.25">
      <c r="A10478" s="5"/>
    </row>
    <row r="10479" spans="1:1" x14ac:dyDescent="0.25">
      <c r="A10479" s="5"/>
    </row>
    <row r="10480" spans="1:1" x14ac:dyDescent="0.25">
      <c r="A10480" s="5"/>
    </row>
    <row r="10481" spans="1:1" x14ac:dyDescent="0.25">
      <c r="A10481" s="5"/>
    </row>
    <row r="10482" spans="1:1" x14ac:dyDescent="0.25">
      <c r="A10482" s="5"/>
    </row>
    <row r="10483" spans="1:1" x14ac:dyDescent="0.25">
      <c r="A10483" s="5"/>
    </row>
    <row r="10484" spans="1:1" x14ac:dyDescent="0.25">
      <c r="A10484" s="5"/>
    </row>
    <row r="10485" spans="1:1" x14ac:dyDescent="0.25">
      <c r="A10485" s="5"/>
    </row>
    <row r="10486" spans="1:1" x14ac:dyDescent="0.25">
      <c r="A10486" s="5"/>
    </row>
    <row r="10487" spans="1:1" x14ac:dyDescent="0.25">
      <c r="A10487" s="5"/>
    </row>
    <row r="10488" spans="1:1" x14ac:dyDescent="0.25">
      <c r="A10488" s="5"/>
    </row>
    <row r="10489" spans="1:1" x14ac:dyDescent="0.25">
      <c r="A10489" s="5"/>
    </row>
    <row r="10490" spans="1:1" x14ac:dyDescent="0.25">
      <c r="A10490" s="5"/>
    </row>
    <row r="10491" spans="1:1" x14ac:dyDescent="0.25">
      <c r="A10491" s="5"/>
    </row>
    <row r="10492" spans="1:1" x14ac:dyDescent="0.25">
      <c r="A10492" s="5"/>
    </row>
    <row r="10493" spans="1:1" x14ac:dyDescent="0.25">
      <c r="A10493" s="5"/>
    </row>
    <row r="10494" spans="1:1" x14ac:dyDescent="0.25">
      <c r="A10494" s="5"/>
    </row>
    <row r="10495" spans="1:1" x14ac:dyDescent="0.25">
      <c r="A10495" s="5"/>
    </row>
    <row r="10496" spans="1:1" x14ac:dyDescent="0.25">
      <c r="A10496" s="5"/>
    </row>
    <row r="10497" spans="1:1" x14ac:dyDescent="0.25">
      <c r="A10497" s="5"/>
    </row>
    <row r="10498" spans="1:1" x14ac:dyDescent="0.25">
      <c r="A10498" s="5"/>
    </row>
    <row r="10499" spans="1:1" x14ac:dyDescent="0.25">
      <c r="A10499" s="5"/>
    </row>
    <row r="10500" spans="1:1" x14ac:dyDescent="0.25">
      <c r="A10500" s="5"/>
    </row>
    <row r="10501" spans="1:1" x14ac:dyDescent="0.25">
      <c r="A10501" s="5"/>
    </row>
    <row r="10502" spans="1:1" x14ac:dyDescent="0.25">
      <c r="A10502" s="5"/>
    </row>
    <row r="10503" spans="1:1" x14ac:dyDescent="0.25">
      <c r="A10503" s="5"/>
    </row>
    <row r="10504" spans="1:1" x14ac:dyDescent="0.25">
      <c r="A10504" s="5"/>
    </row>
    <row r="10505" spans="1:1" x14ac:dyDescent="0.25">
      <c r="A10505" s="5"/>
    </row>
    <row r="10506" spans="1:1" x14ac:dyDescent="0.25">
      <c r="A10506" s="5"/>
    </row>
    <row r="10507" spans="1:1" x14ac:dyDescent="0.25">
      <c r="A10507" s="5"/>
    </row>
    <row r="10508" spans="1:1" x14ac:dyDescent="0.25">
      <c r="A10508" s="5"/>
    </row>
    <row r="10509" spans="1:1" x14ac:dyDescent="0.25">
      <c r="A10509" s="5"/>
    </row>
    <row r="10510" spans="1:1" x14ac:dyDescent="0.25">
      <c r="A10510" s="5"/>
    </row>
    <row r="10511" spans="1:1" x14ac:dyDescent="0.25">
      <c r="A10511" s="5"/>
    </row>
    <row r="10512" spans="1:1" x14ac:dyDescent="0.25">
      <c r="A10512" s="5"/>
    </row>
    <row r="10513" spans="1:1" x14ac:dyDescent="0.25">
      <c r="A10513" s="5"/>
    </row>
    <row r="10514" spans="1:1" x14ac:dyDescent="0.25">
      <c r="A10514" s="5"/>
    </row>
    <row r="10515" spans="1:1" x14ac:dyDescent="0.25">
      <c r="A10515" s="5"/>
    </row>
    <row r="10516" spans="1:1" x14ac:dyDescent="0.25">
      <c r="A10516" s="5"/>
    </row>
    <row r="10517" spans="1:1" x14ac:dyDescent="0.25">
      <c r="A10517" s="5"/>
    </row>
    <row r="10518" spans="1:1" x14ac:dyDescent="0.25">
      <c r="A10518" s="5"/>
    </row>
    <row r="10519" spans="1:1" x14ac:dyDescent="0.25">
      <c r="A10519" s="5"/>
    </row>
    <row r="10520" spans="1:1" x14ac:dyDescent="0.25">
      <c r="A10520" s="5"/>
    </row>
    <row r="10521" spans="1:1" x14ac:dyDescent="0.25">
      <c r="A10521" s="5"/>
    </row>
    <row r="10522" spans="1:1" x14ac:dyDescent="0.25">
      <c r="A10522" s="5"/>
    </row>
    <row r="10523" spans="1:1" x14ac:dyDescent="0.25">
      <c r="A10523" s="5"/>
    </row>
    <row r="10524" spans="1:1" x14ac:dyDescent="0.25">
      <c r="A10524" s="5"/>
    </row>
    <row r="10525" spans="1:1" x14ac:dyDescent="0.25">
      <c r="A10525" s="5"/>
    </row>
    <row r="10526" spans="1:1" x14ac:dyDescent="0.25">
      <c r="A10526" s="5"/>
    </row>
    <row r="10527" spans="1:1" x14ac:dyDescent="0.25">
      <c r="A10527" s="5"/>
    </row>
    <row r="10528" spans="1:1" x14ac:dyDescent="0.25">
      <c r="A10528" s="5"/>
    </row>
    <row r="10529" spans="1:1" x14ac:dyDescent="0.25">
      <c r="A10529" s="5"/>
    </row>
    <row r="10530" spans="1:1" x14ac:dyDescent="0.25">
      <c r="A10530" s="5"/>
    </row>
    <row r="10531" spans="1:1" x14ac:dyDescent="0.25">
      <c r="A10531" s="5"/>
    </row>
    <row r="10532" spans="1:1" x14ac:dyDescent="0.25">
      <c r="A10532" s="5"/>
    </row>
    <row r="10533" spans="1:1" x14ac:dyDescent="0.25">
      <c r="A10533" s="5"/>
    </row>
    <row r="10534" spans="1:1" x14ac:dyDescent="0.25">
      <c r="A10534" s="5"/>
    </row>
    <row r="10535" spans="1:1" x14ac:dyDescent="0.25">
      <c r="A10535" s="5"/>
    </row>
    <row r="10536" spans="1:1" x14ac:dyDescent="0.25">
      <c r="A10536" s="5"/>
    </row>
    <row r="10537" spans="1:1" x14ac:dyDescent="0.25">
      <c r="A10537" s="5"/>
    </row>
    <row r="10538" spans="1:1" x14ac:dyDescent="0.25">
      <c r="A10538" s="5"/>
    </row>
    <row r="10539" spans="1:1" x14ac:dyDescent="0.25">
      <c r="A10539" s="5"/>
    </row>
    <row r="10540" spans="1:1" x14ac:dyDescent="0.25">
      <c r="A10540" s="5"/>
    </row>
    <row r="10541" spans="1:1" x14ac:dyDescent="0.25">
      <c r="A10541" s="5"/>
    </row>
    <row r="10542" spans="1:1" x14ac:dyDescent="0.25">
      <c r="A10542" s="5"/>
    </row>
    <row r="10543" spans="1:1" x14ac:dyDescent="0.25">
      <c r="A10543" s="5"/>
    </row>
    <row r="10544" spans="1:1" x14ac:dyDescent="0.25">
      <c r="A10544" s="5"/>
    </row>
    <row r="10545" spans="1:1" x14ac:dyDescent="0.25">
      <c r="A10545" s="5"/>
    </row>
    <row r="10546" spans="1:1" x14ac:dyDescent="0.25">
      <c r="A10546" s="5"/>
    </row>
    <row r="10547" spans="1:1" x14ac:dyDescent="0.25">
      <c r="A10547" s="5"/>
    </row>
    <row r="10548" spans="1:1" x14ac:dyDescent="0.25">
      <c r="A10548" s="5"/>
    </row>
    <row r="10549" spans="1:1" x14ac:dyDescent="0.25">
      <c r="A10549" s="5"/>
    </row>
    <row r="10550" spans="1:1" x14ac:dyDescent="0.25">
      <c r="A10550" s="5"/>
    </row>
    <row r="10551" spans="1:1" x14ac:dyDescent="0.25">
      <c r="A10551" s="5"/>
    </row>
    <row r="10552" spans="1:1" x14ac:dyDescent="0.25">
      <c r="A10552" s="5"/>
    </row>
    <row r="10553" spans="1:1" x14ac:dyDescent="0.25">
      <c r="A10553" s="5"/>
    </row>
    <row r="10554" spans="1:1" x14ac:dyDescent="0.25">
      <c r="A10554" s="5"/>
    </row>
    <row r="10555" spans="1:1" x14ac:dyDescent="0.25">
      <c r="A10555" s="5"/>
    </row>
    <row r="10556" spans="1:1" x14ac:dyDescent="0.25">
      <c r="A10556" s="5"/>
    </row>
    <row r="10557" spans="1:1" x14ac:dyDescent="0.25">
      <c r="A10557" s="5"/>
    </row>
    <row r="10558" spans="1:1" x14ac:dyDescent="0.25">
      <c r="A10558" s="5"/>
    </row>
    <row r="10559" spans="1:1" x14ac:dyDescent="0.25">
      <c r="A10559" s="5"/>
    </row>
    <row r="10560" spans="1:1" x14ac:dyDescent="0.25">
      <c r="A10560" s="5"/>
    </row>
    <row r="10561" spans="1:1" x14ac:dyDescent="0.25">
      <c r="A10561" s="5"/>
    </row>
    <row r="10562" spans="1:1" x14ac:dyDescent="0.25">
      <c r="A10562" s="5"/>
    </row>
    <row r="10563" spans="1:1" x14ac:dyDescent="0.25">
      <c r="A10563" s="5"/>
    </row>
    <row r="10564" spans="1:1" x14ac:dyDescent="0.25">
      <c r="A10564" s="5"/>
    </row>
    <row r="10565" spans="1:1" x14ac:dyDescent="0.25">
      <c r="A10565" s="5"/>
    </row>
    <row r="10566" spans="1:1" x14ac:dyDescent="0.25">
      <c r="A10566" s="5"/>
    </row>
    <row r="10567" spans="1:1" x14ac:dyDescent="0.25">
      <c r="A10567" s="5"/>
    </row>
    <row r="10568" spans="1:1" x14ac:dyDescent="0.25">
      <c r="A10568" s="5"/>
    </row>
    <row r="10569" spans="1:1" x14ac:dyDescent="0.25">
      <c r="A10569" s="5"/>
    </row>
    <row r="10570" spans="1:1" x14ac:dyDescent="0.25">
      <c r="A10570" s="5"/>
    </row>
    <row r="10571" spans="1:1" x14ac:dyDescent="0.25">
      <c r="A10571" s="5"/>
    </row>
    <row r="10572" spans="1:1" x14ac:dyDescent="0.25">
      <c r="A10572" s="5"/>
    </row>
    <row r="10573" spans="1:1" x14ac:dyDescent="0.25">
      <c r="A10573" s="5"/>
    </row>
    <row r="10574" spans="1:1" x14ac:dyDescent="0.25">
      <c r="A10574" s="5"/>
    </row>
    <row r="10575" spans="1:1" x14ac:dyDescent="0.25">
      <c r="A10575" s="5"/>
    </row>
    <row r="10576" spans="1:1" x14ac:dyDescent="0.25">
      <c r="A10576" s="5"/>
    </row>
    <row r="10577" spans="1:1" x14ac:dyDescent="0.25">
      <c r="A10577" s="5"/>
    </row>
    <row r="10578" spans="1:1" x14ac:dyDescent="0.25">
      <c r="A10578" s="5"/>
    </row>
    <row r="10579" spans="1:1" x14ac:dyDescent="0.25">
      <c r="A10579" s="5"/>
    </row>
    <row r="10580" spans="1:1" x14ac:dyDescent="0.25">
      <c r="A10580" s="5"/>
    </row>
    <row r="10581" spans="1:1" x14ac:dyDescent="0.25">
      <c r="A10581" s="5"/>
    </row>
    <row r="10582" spans="1:1" x14ac:dyDescent="0.25">
      <c r="A10582" s="5"/>
    </row>
    <row r="10583" spans="1:1" x14ac:dyDescent="0.25">
      <c r="A10583" s="5"/>
    </row>
    <row r="10584" spans="1:1" x14ac:dyDescent="0.25">
      <c r="A10584" s="5"/>
    </row>
    <row r="10585" spans="1:1" x14ac:dyDescent="0.25">
      <c r="A10585" s="5"/>
    </row>
    <row r="10586" spans="1:1" x14ac:dyDescent="0.25">
      <c r="A10586" s="5"/>
    </row>
    <row r="10587" spans="1:1" x14ac:dyDescent="0.25">
      <c r="A10587" s="5"/>
    </row>
    <row r="10588" spans="1:1" x14ac:dyDescent="0.25">
      <c r="A10588" s="5"/>
    </row>
    <row r="10589" spans="1:1" x14ac:dyDescent="0.25">
      <c r="A10589" s="5"/>
    </row>
    <row r="10590" spans="1:1" x14ac:dyDescent="0.25">
      <c r="A10590" s="5"/>
    </row>
    <row r="10591" spans="1:1" x14ac:dyDescent="0.25">
      <c r="A10591" s="5"/>
    </row>
    <row r="10592" spans="1:1" x14ac:dyDescent="0.25">
      <c r="A10592" s="5"/>
    </row>
    <row r="10593" spans="1:1" x14ac:dyDescent="0.25">
      <c r="A10593" s="5"/>
    </row>
    <row r="10594" spans="1:1" x14ac:dyDescent="0.25">
      <c r="A10594" s="5"/>
    </row>
    <row r="10595" spans="1:1" x14ac:dyDescent="0.25">
      <c r="A10595" s="5"/>
    </row>
    <row r="10596" spans="1:1" x14ac:dyDescent="0.25">
      <c r="A10596" s="5"/>
    </row>
    <row r="10597" spans="1:1" x14ac:dyDescent="0.25">
      <c r="A10597" s="5"/>
    </row>
    <row r="10598" spans="1:1" x14ac:dyDescent="0.25">
      <c r="A10598" s="5"/>
    </row>
    <row r="10599" spans="1:1" x14ac:dyDescent="0.25">
      <c r="A10599" s="5"/>
    </row>
    <row r="10600" spans="1:1" x14ac:dyDescent="0.25">
      <c r="A10600" s="5"/>
    </row>
    <row r="10601" spans="1:1" x14ac:dyDescent="0.25">
      <c r="A10601" s="5"/>
    </row>
    <row r="10602" spans="1:1" x14ac:dyDescent="0.25">
      <c r="A10602" s="5"/>
    </row>
    <row r="10603" spans="1:1" x14ac:dyDescent="0.25">
      <c r="A10603" s="5"/>
    </row>
    <row r="10604" spans="1:1" x14ac:dyDescent="0.25">
      <c r="A10604" s="5"/>
    </row>
    <row r="10605" spans="1:1" x14ac:dyDescent="0.25">
      <c r="A10605" s="5"/>
    </row>
    <row r="10606" spans="1:1" x14ac:dyDescent="0.25">
      <c r="A10606" s="5"/>
    </row>
    <row r="10607" spans="1:1" x14ac:dyDescent="0.25">
      <c r="A10607" s="5"/>
    </row>
    <row r="10608" spans="1:1" x14ac:dyDescent="0.25">
      <c r="A10608" s="5"/>
    </row>
    <row r="10609" spans="1:1" x14ac:dyDescent="0.25">
      <c r="A10609" s="5"/>
    </row>
    <row r="10610" spans="1:1" x14ac:dyDescent="0.25">
      <c r="A10610" s="5"/>
    </row>
    <row r="10611" spans="1:1" x14ac:dyDescent="0.25">
      <c r="A10611" s="5"/>
    </row>
    <row r="10612" spans="1:1" x14ac:dyDescent="0.25">
      <c r="A10612" s="5"/>
    </row>
    <row r="10613" spans="1:1" x14ac:dyDescent="0.25">
      <c r="A10613" s="5"/>
    </row>
    <row r="10614" spans="1:1" x14ac:dyDescent="0.25">
      <c r="A10614" s="5"/>
    </row>
    <row r="10615" spans="1:1" x14ac:dyDescent="0.25">
      <c r="A10615" s="5"/>
    </row>
    <row r="10616" spans="1:1" x14ac:dyDescent="0.25">
      <c r="A10616" s="5"/>
    </row>
    <row r="10617" spans="1:1" x14ac:dyDescent="0.25">
      <c r="A10617" s="5"/>
    </row>
    <row r="10618" spans="1:1" x14ac:dyDescent="0.25">
      <c r="A10618" s="5"/>
    </row>
    <row r="10619" spans="1:1" x14ac:dyDescent="0.25">
      <c r="A10619" s="5"/>
    </row>
    <row r="10620" spans="1:1" x14ac:dyDescent="0.25">
      <c r="A10620" s="5"/>
    </row>
    <row r="10621" spans="1:1" x14ac:dyDescent="0.25">
      <c r="A10621" s="5"/>
    </row>
    <row r="10622" spans="1:1" x14ac:dyDescent="0.25">
      <c r="A10622" s="5"/>
    </row>
    <row r="10623" spans="1:1" x14ac:dyDescent="0.25">
      <c r="A10623" s="5"/>
    </row>
    <row r="10624" spans="1:1" x14ac:dyDescent="0.25">
      <c r="A10624" s="5"/>
    </row>
    <row r="10625" spans="1:1" x14ac:dyDescent="0.25">
      <c r="A10625" s="5"/>
    </row>
    <row r="10626" spans="1:1" x14ac:dyDescent="0.25">
      <c r="A10626" s="5"/>
    </row>
    <row r="10627" spans="1:1" x14ac:dyDescent="0.25">
      <c r="A10627" s="5"/>
    </row>
    <row r="10628" spans="1:1" x14ac:dyDescent="0.25">
      <c r="A10628" s="5"/>
    </row>
    <row r="10629" spans="1:1" x14ac:dyDescent="0.25">
      <c r="A10629" s="5"/>
    </row>
    <row r="10630" spans="1:1" x14ac:dyDescent="0.25">
      <c r="A10630" s="5"/>
    </row>
    <row r="10631" spans="1:1" x14ac:dyDescent="0.25">
      <c r="A10631" s="5"/>
    </row>
    <row r="10632" spans="1:1" x14ac:dyDescent="0.25">
      <c r="A10632" s="5"/>
    </row>
    <row r="10633" spans="1:1" x14ac:dyDescent="0.25">
      <c r="A10633" s="5"/>
    </row>
    <row r="10634" spans="1:1" x14ac:dyDescent="0.25">
      <c r="A10634" s="5"/>
    </row>
    <row r="10635" spans="1:1" x14ac:dyDescent="0.25">
      <c r="A10635" s="5"/>
    </row>
    <row r="10636" spans="1:1" x14ac:dyDescent="0.25">
      <c r="A10636" s="5"/>
    </row>
    <row r="10637" spans="1:1" x14ac:dyDescent="0.25">
      <c r="A10637" s="5"/>
    </row>
    <row r="10638" spans="1:1" x14ac:dyDescent="0.25">
      <c r="A10638" s="5"/>
    </row>
    <row r="10639" spans="1:1" x14ac:dyDescent="0.25">
      <c r="A10639" s="5"/>
    </row>
    <row r="10640" spans="1:1" x14ac:dyDescent="0.25">
      <c r="A10640" s="5"/>
    </row>
    <row r="10641" spans="1:1" x14ac:dyDescent="0.25">
      <c r="A10641" s="5"/>
    </row>
    <row r="10642" spans="1:1" x14ac:dyDescent="0.25">
      <c r="A10642" s="5"/>
    </row>
    <row r="10643" spans="1:1" x14ac:dyDescent="0.25">
      <c r="A10643" s="5"/>
    </row>
    <row r="10644" spans="1:1" x14ac:dyDescent="0.25">
      <c r="A10644" s="5"/>
    </row>
    <row r="10645" spans="1:1" x14ac:dyDescent="0.25">
      <c r="A10645" s="5"/>
    </row>
    <row r="10646" spans="1:1" x14ac:dyDescent="0.25">
      <c r="A10646" s="5"/>
    </row>
    <row r="10647" spans="1:1" x14ac:dyDescent="0.25">
      <c r="A10647" s="5"/>
    </row>
    <row r="10648" spans="1:1" x14ac:dyDescent="0.25">
      <c r="A10648" s="5"/>
    </row>
    <row r="10649" spans="1:1" x14ac:dyDescent="0.25">
      <c r="A10649" s="5"/>
    </row>
    <row r="10650" spans="1:1" x14ac:dyDescent="0.25">
      <c r="A10650" s="5"/>
    </row>
    <row r="10651" spans="1:1" x14ac:dyDescent="0.25">
      <c r="A10651" s="5"/>
    </row>
    <row r="10652" spans="1:1" x14ac:dyDescent="0.25">
      <c r="A10652" s="5"/>
    </row>
    <row r="10653" spans="1:1" x14ac:dyDescent="0.25">
      <c r="A10653" s="5"/>
    </row>
    <row r="10654" spans="1:1" x14ac:dyDescent="0.25">
      <c r="A10654" s="5"/>
    </row>
    <row r="10655" spans="1:1" x14ac:dyDescent="0.25">
      <c r="A10655" s="5"/>
    </row>
    <row r="10656" spans="1:1" x14ac:dyDescent="0.25">
      <c r="A10656" s="5"/>
    </row>
    <row r="10657" spans="1:1" x14ac:dyDescent="0.25">
      <c r="A10657" s="5"/>
    </row>
    <row r="10658" spans="1:1" x14ac:dyDescent="0.25">
      <c r="A10658" s="5"/>
    </row>
    <row r="10659" spans="1:1" x14ac:dyDescent="0.25">
      <c r="A10659" s="5"/>
    </row>
    <row r="10660" spans="1:1" x14ac:dyDescent="0.25">
      <c r="A10660" s="5"/>
    </row>
    <row r="10661" spans="1:1" x14ac:dyDescent="0.25">
      <c r="A10661" s="5"/>
    </row>
    <row r="10662" spans="1:1" x14ac:dyDescent="0.25">
      <c r="A10662" s="5"/>
    </row>
    <row r="10663" spans="1:1" x14ac:dyDescent="0.25">
      <c r="A10663" s="5"/>
    </row>
    <row r="10664" spans="1:1" x14ac:dyDescent="0.25">
      <c r="A10664" s="5"/>
    </row>
    <row r="10665" spans="1:1" x14ac:dyDescent="0.25">
      <c r="A10665" s="5"/>
    </row>
    <row r="10666" spans="1:1" x14ac:dyDescent="0.25">
      <c r="A10666" s="5"/>
    </row>
    <row r="10667" spans="1:1" x14ac:dyDescent="0.25">
      <c r="A10667" s="5"/>
    </row>
    <row r="10668" spans="1:1" x14ac:dyDescent="0.25">
      <c r="A10668" s="5"/>
    </row>
    <row r="10669" spans="1:1" x14ac:dyDescent="0.25">
      <c r="A10669" s="5"/>
    </row>
    <row r="10670" spans="1:1" x14ac:dyDescent="0.25">
      <c r="A10670" s="5"/>
    </row>
    <row r="10671" spans="1:1" x14ac:dyDescent="0.25">
      <c r="A10671" s="5"/>
    </row>
    <row r="10672" spans="1:1" x14ac:dyDescent="0.25">
      <c r="A10672" s="5"/>
    </row>
    <row r="10673" spans="1:1" x14ac:dyDescent="0.25">
      <c r="A10673" s="5"/>
    </row>
    <row r="10674" spans="1:1" x14ac:dyDescent="0.25">
      <c r="A10674" s="5"/>
    </row>
    <row r="10675" spans="1:1" x14ac:dyDescent="0.25">
      <c r="A10675" s="5"/>
    </row>
    <row r="10676" spans="1:1" x14ac:dyDescent="0.25">
      <c r="A10676" s="5"/>
    </row>
    <row r="10677" spans="1:1" x14ac:dyDescent="0.25">
      <c r="A10677" s="5"/>
    </row>
    <row r="10678" spans="1:1" x14ac:dyDescent="0.25">
      <c r="A10678" s="5"/>
    </row>
    <row r="10679" spans="1:1" x14ac:dyDescent="0.25">
      <c r="A10679" s="5"/>
    </row>
    <row r="10680" spans="1:1" x14ac:dyDescent="0.25">
      <c r="A10680" s="5"/>
    </row>
    <row r="10681" spans="1:1" x14ac:dyDescent="0.25">
      <c r="A10681" s="5"/>
    </row>
    <row r="10682" spans="1:1" x14ac:dyDescent="0.25">
      <c r="A10682" s="5"/>
    </row>
    <row r="10683" spans="1:1" x14ac:dyDescent="0.25">
      <c r="A10683" s="5"/>
    </row>
    <row r="10684" spans="1:1" x14ac:dyDescent="0.25">
      <c r="A10684" s="5"/>
    </row>
    <row r="10685" spans="1:1" x14ac:dyDescent="0.25">
      <c r="A10685" s="5"/>
    </row>
    <row r="10686" spans="1:1" x14ac:dyDescent="0.25">
      <c r="A10686" s="5"/>
    </row>
    <row r="10687" spans="1:1" x14ac:dyDescent="0.25">
      <c r="A10687" s="5"/>
    </row>
    <row r="10688" spans="1:1" x14ac:dyDescent="0.25">
      <c r="A10688" s="5"/>
    </row>
    <row r="10689" spans="1:1" x14ac:dyDescent="0.25">
      <c r="A10689" s="5"/>
    </row>
    <row r="10690" spans="1:1" x14ac:dyDescent="0.25">
      <c r="A10690" s="5"/>
    </row>
    <row r="10691" spans="1:1" x14ac:dyDescent="0.25">
      <c r="A10691" s="5"/>
    </row>
    <row r="10692" spans="1:1" x14ac:dyDescent="0.25">
      <c r="A10692" s="5"/>
    </row>
    <row r="10693" spans="1:1" x14ac:dyDescent="0.25">
      <c r="A10693" s="5"/>
    </row>
    <row r="10694" spans="1:1" x14ac:dyDescent="0.25">
      <c r="A10694" s="5"/>
    </row>
    <row r="10695" spans="1:1" x14ac:dyDescent="0.25">
      <c r="A10695" s="5"/>
    </row>
    <row r="10696" spans="1:1" x14ac:dyDescent="0.25">
      <c r="A10696" s="5"/>
    </row>
    <row r="10697" spans="1:1" x14ac:dyDescent="0.25">
      <c r="A10697" s="5"/>
    </row>
    <row r="10698" spans="1:1" x14ac:dyDescent="0.25">
      <c r="A10698" s="5"/>
    </row>
    <row r="10699" spans="1:1" x14ac:dyDescent="0.25">
      <c r="A10699" s="5"/>
    </row>
    <row r="10700" spans="1:1" x14ac:dyDescent="0.25">
      <c r="A10700" s="5"/>
    </row>
    <row r="10701" spans="1:1" x14ac:dyDescent="0.25">
      <c r="A10701" s="5"/>
    </row>
    <row r="10702" spans="1:1" x14ac:dyDescent="0.25">
      <c r="A10702" s="5"/>
    </row>
    <row r="10703" spans="1:1" x14ac:dyDescent="0.25">
      <c r="A10703" s="5"/>
    </row>
    <row r="10704" spans="1:1" x14ac:dyDescent="0.25">
      <c r="A10704" s="5"/>
    </row>
    <row r="10705" spans="1:1" x14ac:dyDescent="0.25">
      <c r="A10705" s="5"/>
    </row>
    <row r="10706" spans="1:1" x14ac:dyDescent="0.25">
      <c r="A10706" s="5"/>
    </row>
    <row r="10707" spans="1:1" x14ac:dyDescent="0.25">
      <c r="A10707" s="5"/>
    </row>
    <row r="10708" spans="1:1" x14ac:dyDescent="0.25">
      <c r="A10708" s="5"/>
    </row>
    <row r="10709" spans="1:1" x14ac:dyDescent="0.25">
      <c r="A10709" s="5"/>
    </row>
    <row r="10710" spans="1:1" x14ac:dyDescent="0.25">
      <c r="A10710" s="5"/>
    </row>
    <row r="10711" spans="1:1" x14ac:dyDescent="0.25">
      <c r="A10711" s="5"/>
    </row>
    <row r="10712" spans="1:1" x14ac:dyDescent="0.25">
      <c r="A10712" s="5"/>
    </row>
    <row r="10713" spans="1:1" x14ac:dyDescent="0.25">
      <c r="A10713" s="5"/>
    </row>
    <row r="10714" spans="1:1" x14ac:dyDescent="0.25">
      <c r="A10714" s="5"/>
    </row>
    <row r="10715" spans="1:1" x14ac:dyDescent="0.25">
      <c r="A10715" s="5"/>
    </row>
    <row r="10716" spans="1:1" x14ac:dyDescent="0.25">
      <c r="A10716" s="5"/>
    </row>
    <row r="10717" spans="1:1" x14ac:dyDescent="0.25">
      <c r="A10717" s="5"/>
    </row>
    <row r="10718" spans="1:1" x14ac:dyDescent="0.25">
      <c r="A10718" s="5"/>
    </row>
    <row r="10719" spans="1:1" x14ac:dyDescent="0.25">
      <c r="A10719" s="5"/>
    </row>
    <row r="10720" spans="1:1" x14ac:dyDescent="0.25">
      <c r="A10720" s="5"/>
    </row>
    <row r="10721" spans="1:1" x14ac:dyDescent="0.25">
      <c r="A10721" s="5"/>
    </row>
    <row r="10722" spans="1:1" x14ac:dyDescent="0.25">
      <c r="A10722" s="5"/>
    </row>
    <row r="10723" spans="1:1" x14ac:dyDescent="0.25">
      <c r="A10723" s="5"/>
    </row>
    <row r="10724" spans="1:1" x14ac:dyDescent="0.25">
      <c r="A10724" s="5"/>
    </row>
    <row r="10725" spans="1:1" x14ac:dyDescent="0.25">
      <c r="A10725" s="5"/>
    </row>
    <row r="10726" spans="1:1" x14ac:dyDescent="0.25">
      <c r="A10726" s="5"/>
    </row>
    <row r="10727" spans="1:1" x14ac:dyDescent="0.25">
      <c r="A10727" s="5"/>
    </row>
    <row r="10728" spans="1:1" x14ac:dyDescent="0.25">
      <c r="A10728" s="5"/>
    </row>
    <row r="10729" spans="1:1" x14ac:dyDescent="0.25">
      <c r="A10729" s="5"/>
    </row>
    <row r="10730" spans="1:1" x14ac:dyDescent="0.25">
      <c r="A10730" s="5"/>
    </row>
    <row r="10731" spans="1:1" x14ac:dyDescent="0.25">
      <c r="A10731" s="5"/>
    </row>
    <row r="10732" spans="1:1" x14ac:dyDescent="0.25">
      <c r="A10732" s="5"/>
    </row>
    <row r="10733" spans="1:1" x14ac:dyDescent="0.25">
      <c r="A10733" s="5"/>
    </row>
    <row r="10734" spans="1:1" x14ac:dyDescent="0.25">
      <c r="A10734" s="5"/>
    </row>
    <row r="10735" spans="1:1" x14ac:dyDescent="0.25">
      <c r="A10735" s="5"/>
    </row>
    <row r="10736" spans="1:1" x14ac:dyDescent="0.25">
      <c r="A10736" s="5"/>
    </row>
    <row r="10737" spans="1:1" x14ac:dyDescent="0.25">
      <c r="A10737" s="5"/>
    </row>
    <row r="10738" spans="1:1" x14ac:dyDescent="0.25">
      <c r="A10738" s="5"/>
    </row>
    <row r="10739" spans="1:1" x14ac:dyDescent="0.25">
      <c r="A10739" s="5"/>
    </row>
    <row r="10740" spans="1:1" x14ac:dyDescent="0.25">
      <c r="A10740" s="5"/>
    </row>
    <row r="10741" spans="1:1" x14ac:dyDescent="0.25">
      <c r="A10741" s="5"/>
    </row>
    <row r="10742" spans="1:1" x14ac:dyDescent="0.25">
      <c r="A10742" s="5"/>
    </row>
    <row r="10743" spans="1:1" x14ac:dyDescent="0.25">
      <c r="A10743" s="5"/>
    </row>
    <row r="10744" spans="1:1" x14ac:dyDescent="0.25">
      <c r="A10744" s="5"/>
    </row>
    <row r="10745" spans="1:1" x14ac:dyDescent="0.25">
      <c r="A10745" s="5"/>
    </row>
    <row r="10746" spans="1:1" x14ac:dyDescent="0.25">
      <c r="A10746" s="5"/>
    </row>
    <row r="10747" spans="1:1" x14ac:dyDescent="0.25">
      <c r="A10747" s="5"/>
    </row>
    <row r="10748" spans="1:1" x14ac:dyDescent="0.25">
      <c r="A10748" s="5"/>
    </row>
    <row r="10749" spans="1:1" x14ac:dyDescent="0.25">
      <c r="A10749" s="5"/>
    </row>
    <row r="10750" spans="1:1" x14ac:dyDescent="0.25">
      <c r="A10750" s="5"/>
    </row>
    <row r="10751" spans="1:1" x14ac:dyDescent="0.25">
      <c r="A10751" s="5"/>
    </row>
    <row r="10752" spans="1:1" x14ac:dyDescent="0.25">
      <c r="A10752" s="5"/>
    </row>
    <row r="10753" spans="1:1" x14ac:dyDescent="0.25">
      <c r="A10753" s="5"/>
    </row>
    <row r="10754" spans="1:1" x14ac:dyDescent="0.25">
      <c r="A10754" s="5"/>
    </row>
    <row r="10755" spans="1:1" x14ac:dyDescent="0.25">
      <c r="A10755" s="5"/>
    </row>
    <row r="10756" spans="1:1" x14ac:dyDescent="0.25">
      <c r="A10756" s="5"/>
    </row>
    <row r="10757" spans="1:1" x14ac:dyDescent="0.25">
      <c r="A10757" s="5"/>
    </row>
    <row r="10758" spans="1:1" x14ac:dyDescent="0.25">
      <c r="A10758" s="5"/>
    </row>
    <row r="10759" spans="1:1" x14ac:dyDescent="0.25">
      <c r="A10759" s="5"/>
    </row>
    <row r="10760" spans="1:1" x14ac:dyDescent="0.25">
      <c r="A10760" s="5"/>
    </row>
    <row r="10761" spans="1:1" x14ac:dyDescent="0.25">
      <c r="A10761" s="5"/>
    </row>
    <row r="10762" spans="1:1" x14ac:dyDescent="0.25">
      <c r="A10762" s="5"/>
    </row>
    <row r="10763" spans="1:1" x14ac:dyDescent="0.25">
      <c r="A10763" s="5"/>
    </row>
    <row r="10764" spans="1:1" x14ac:dyDescent="0.25">
      <c r="A10764" s="5"/>
    </row>
    <row r="10765" spans="1:1" x14ac:dyDescent="0.25">
      <c r="A10765" s="5"/>
    </row>
    <row r="10766" spans="1:1" x14ac:dyDescent="0.25">
      <c r="A10766" s="5"/>
    </row>
    <row r="10767" spans="1:1" x14ac:dyDescent="0.25">
      <c r="A10767" s="5"/>
    </row>
    <row r="10768" spans="1:1" x14ac:dyDescent="0.25">
      <c r="A10768" s="5"/>
    </row>
    <row r="10769" spans="1:1" x14ac:dyDescent="0.25">
      <c r="A10769" s="5"/>
    </row>
    <row r="10770" spans="1:1" x14ac:dyDescent="0.25">
      <c r="A10770" s="5"/>
    </row>
    <row r="10771" spans="1:1" x14ac:dyDescent="0.25">
      <c r="A10771" s="5"/>
    </row>
    <row r="10772" spans="1:1" x14ac:dyDescent="0.25">
      <c r="A10772" s="5"/>
    </row>
    <row r="10773" spans="1:1" x14ac:dyDescent="0.25">
      <c r="A10773" s="5"/>
    </row>
    <row r="10774" spans="1:1" x14ac:dyDescent="0.25">
      <c r="A10774" s="5"/>
    </row>
    <row r="10775" spans="1:1" x14ac:dyDescent="0.25">
      <c r="A10775" s="5"/>
    </row>
    <row r="10776" spans="1:1" x14ac:dyDescent="0.25">
      <c r="A10776" s="5"/>
    </row>
    <row r="10777" spans="1:1" x14ac:dyDescent="0.25">
      <c r="A10777" s="5"/>
    </row>
    <row r="10778" spans="1:1" x14ac:dyDescent="0.25">
      <c r="A10778" s="5"/>
    </row>
    <row r="10779" spans="1:1" x14ac:dyDescent="0.25">
      <c r="A10779" s="5"/>
    </row>
    <row r="10780" spans="1:1" x14ac:dyDescent="0.25">
      <c r="A10780" s="5"/>
    </row>
    <row r="10781" spans="1:1" x14ac:dyDescent="0.25">
      <c r="A10781" s="5"/>
    </row>
    <row r="10782" spans="1:1" x14ac:dyDescent="0.25">
      <c r="A10782" s="5"/>
    </row>
    <row r="10783" spans="1:1" x14ac:dyDescent="0.25">
      <c r="A10783" s="5"/>
    </row>
    <row r="10784" spans="1:1" x14ac:dyDescent="0.25">
      <c r="A10784" s="5"/>
    </row>
    <row r="10785" spans="1:1" x14ac:dyDescent="0.25">
      <c r="A10785" s="5"/>
    </row>
    <row r="10786" spans="1:1" x14ac:dyDescent="0.25">
      <c r="A10786" s="5"/>
    </row>
    <row r="10787" spans="1:1" x14ac:dyDescent="0.25">
      <c r="A10787" s="5"/>
    </row>
    <row r="10788" spans="1:1" x14ac:dyDescent="0.25">
      <c r="A10788" s="5"/>
    </row>
    <row r="10789" spans="1:1" x14ac:dyDescent="0.25">
      <c r="A10789" s="5"/>
    </row>
    <row r="10790" spans="1:1" x14ac:dyDescent="0.25">
      <c r="A10790" s="5"/>
    </row>
    <row r="10791" spans="1:1" x14ac:dyDescent="0.25">
      <c r="A10791" s="5"/>
    </row>
    <row r="10792" spans="1:1" x14ac:dyDescent="0.25">
      <c r="A10792" s="5"/>
    </row>
    <row r="10793" spans="1:1" x14ac:dyDescent="0.25">
      <c r="A10793" s="5"/>
    </row>
    <row r="10794" spans="1:1" x14ac:dyDescent="0.25">
      <c r="A10794" s="5"/>
    </row>
    <row r="10795" spans="1:1" x14ac:dyDescent="0.25">
      <c r="A10795" s="5"/>
    </row>
    <row r="10796" spans="1:1" x14ac:dyDescent="0.25">
      <c r="A10796" s="5"/>
    </row>
    <row r="10797" spans="1:1" x14ac:dyDescent="0.25">
      <c r="A10797" s="5"/>
    </row>
    <row r="10798" spans="1:1" x14ac:dyDescent="0.25">
      <c r="A10798" s="5"/>
    </row>
    <row r="10799" spans="1:1" x14ac:dyDescent="0.25">
      <c r="A10799" s="5"/>
    </row>
    <row r="10800" spans="1:1" x14ac:dyDescent="0.25">
      <c r="A10800" s="5"/>
    </row>
    <row r="10801" spans="1:1" x14ac:dyDescent="0.25">
      <c r="A10801" s="5"/>
    </row>
    <row r="10802" spans="1:1" x14ac:dyDescent="0.25">
      <c r="A10802" s="5"/>
    </row>
    <row r="10803" spans="1:1" x14ac:dyDescent="0.25">
      <c r="A10803" s="5"/>
    </row>
    <row r="10804" spans="1:1" x14ac:dyDescent="0.25">
      <c r="A10804" s="5"/>
    </row>
    <row r="10805" spans="1:1" x14ac:dyDescent="0.25">
      <c r="A10805" s="5"/>
    </row>
    <row r="10806" spans="1:1" x14ac:dyDescent="0.25">
      <c r="A10806" s="5"/>
    </row>
    <row r="10807" spans="1:1" x14ac:dyDescent="0.25">
      <c r="A10807" s="5"/>
    </row>
    <row r="10808" spans="1:1" x14ac:dyDescent="0.25">
      <c r="A10808" s="5"/>
    </row>
    <row r="10809" spans="1:1" x14ac:dyDescent="0.25">
      <c r="A10809" s="5"/>
    </row>
    <row r="10810" spans="1:1" x14ac:dyDescent="0.25">
      <c r="A10810" s="5"/>
    </row>
    <row r="10811" spans="1:1" x14ac:dyDescent="0.25">
      <c r="A10811" s="5"/>
    </row>
    <row r="10812" spans="1:1" x14ac:dyDescent="0.25">
      <c r="A10812" s="5"/>
    </row>
    <row r="10813" spans="1:1" x14ac:dyDescent="0.25">
      <c r="A10813" s="5"/>
    </row>
    <row r="10814" spans="1:1" x14ac:dyDescent="0.25">
      <c r="A10814" s="5"/>
    </row>
    <row r="10815" spans="1:1" x14ac:dyDescent="0.25">
      <c r="A10815" s="5"/>
    </row>
    <row r="10816" spans="1:1" x14ac:dyDescent="0.25">
      <c r="A10816" s="5"/>
    </row>
    <row r="10817" spans="1:1" x14ac:dyDescent="0.25">
      <c r="A10817" s="5"/>
    </row>
    <row r="10818" spans="1:1" x14ac:dyDescent="0.25">
      <c r="A10818" s="5"/>
    </row>
    <row r="10819" spans="1:1" x14ac:dyDescent="0.25">
      <c r="A10819" s="5"/>
    </row>
    <row r="10820" spans="1:1" x14ac:dyDescent="0.25">
      <c r="A10820" s="5"/>
    </row>
    <row r="10821" spans="1:1" x14ac:dyDescent="0.25">
      <c r="A10821" s="5"/>
    </row>
    <row r="10822" spans="1:1" x14ac:dyDescent="0.25">
      <c r="A10822" s="5"/>
    </row>
    <row r="10823" spans="1:1" x14ac:dyDescent="0.25">
      <c r="A10823" s="5"/>
    </row>
    <row r="10824" spans="1:1" x14ac:dyDescent="0.25">
      <c r="A10824" s="5"/>
    </row>
    <row r="10825" spans="1:1" x14ac:dyDescent="0.25">
      <c r="A10825" s="5"/>
    </row>
    <row r="10826" spans="1:1" x14ac:dyDescent="0.25">
      <c r="A10826" s="5"/>
    </row>
    <row r="10827" spans="1:1" x14ac:dyDescent="0.25">
      <c r="A10827" s="5"/>
    </row>
    <row r="10828" spans="1:1" x14ac:dyDescent="0.25">
      <c r="A10828" s="5"/>
    </row>
    <row r="10829" spans="1:1" x14ac:dyDescent="0.25">
      <c r="A10829" s="5"/>
    </row>
    <row r="10830" spans="1:1" x14ac:dyDescent="0.25">
      <c r="A10830" s="5"/>
    </row>
    <row r="10831" spans="1:1" x14ac:dyDescent="0.25">
      <c r="A10831" s="5"/>
    </row>
    <row r="10832" spans="1:1" x14ac:dyDescent="0.25">
      <c r="A10832" s="5"/>
    </row>
    <row r="10833" spans="1:1" x14ac:dyDescent="0.25">
      <c r="A10833" s="5"/>
    </row>
    <row r="10834" spans="1:1" x14ac:dyDescent="0.25">
      <c r="A10834" s="5"/>
    </row>
    <row r="10835" spans="1:1" x14ac:dyDescent="0.25">
      <c r="A10835" s="5"/>
    </row>
    <row r="10836" spans="1:1" x14ac:dyDescent="0.25">
      <c r="A10836" s="5"/>
    </row>
    <row r="10837" spans="1:1" x14ac:dyDescent="0.25">
      <c r="A10837" s="5"/>
    </row>
    <row r="10838" spans="1:1" x14ac:dyDescent="0.25">
      <c r="A10838" s="5"/>
    </row>
    <row r="10839" spans="1:1" x14ac:dyDescent="0.25">
      <c r="A10839" s="5"/>
    </row>
    <row r="10840" spans="1:1" x14ac:dyDescent="0.25">
      <c r="A10840" s="5"/>
    </row>
    <row r="10841" spans="1:1" x14ac:dyDescent="0.25">
      <c r="A10841" s="5"/>
    </row>
    <row r="10842" spans="1:1" x14ac:dyDescent="0.25">
      <c r="A10842" s="5"/>
    </row>
    <row r="10843" spans="1:1" x14ac:dyDescent="0.25">
      <c r="A10843" s="5"/>
    </row>
    <row r="10844" spans="1:1" x14ac:dyDescent="0.25">
      <c r="A10844" s="5"/>
    </row>
    <row r="10845" spans="1:1" x14ac:dyDescent="0.25">
      <c r="A10845" s="5"/>
    </row>
    <row r="10846" spans="1:1" x14ac:dyDescent="0.25">
      <c r="A10846" s="5"/>
    </row>
    <row r="10847" spans="1:1" x14ac:dyDescent="0.25">
      <c r="A10847" s="5"/>
    </row>
    <row r="10848" spans="1:1" x14ac:dyDescent="0.25">
      <c r="A10848" s="5"/>
    </row>
    <row r="10849" spans="1:1" x14ac:dyDescent="0.25">
      <c r="A10849" s="5"/>
    </row>
    <row r="10850" spans="1:1" x14ac:dyDescent="0.25">
      <c r="A10850" s="5"/>
    </row>
    <row r="10851" spans="1:1" x14ac:dyDescent="0.25">
      <c r="A10851" s="5"/>
    </row>
    <row r="10852" spans="1:1" x14ac:dyDescent="0.25">
      <c r="A10852" s="5"/>
    </row>
    <row r="10853" spans="1:1" x14ac:dyDescent="0.25">
      <c r="A10853" s="5"/>
    </row>
    <row r="10854" spans="1:1" x14ac:dyDescent="0.25">
      <c r="A10854" s="5"/>
    </row>
    <row r="10855" spans="1:1" x14ac:dyDescent="0.25">
      <c r="A10855" s="5"/>
    </row>
    <row r="10856" spans="1:1" x14ac:dyDescent="0.25">
      <c r="A10856" s="5"/>
    </row>
    <row r="10857" spans="1:1" x14ac:dyDescent="0.25">
      <c r="A10857" s="5"/>
    </row>
    <row r="10858" spans="1:1" x14ac:dyDescent="0.25">
      <c r="A10858" s="5"/>
    </row>
    <row r="10859" spans="1:1" x14ac:dyDescent="0.25">
      <c r="A10859" s="5"/>
    </row>
    <row r="10860" spans="1:1" x14ac:dyDescent="0.25">
      <c r="A10860" s="5"/>
    </row>
    <row r="10861" spans="1:1" x14ac:dyDescent="0.25">
      <c r="A10861" s="5"/>
    </row>
    <row r="10862" spans="1:1" x14ac:dyDescent="0.25">
      <c r="A10862" s="5"/>
    </row>
    <row r="10863" spans="1:1" x14ac:dyDescent="0.25">
      <c r="A10863" s="5"/>
    </row>
    <row r="10864" spans="1:1" x14ac:dyDescent="0.25">
      <c r="A10864" s="5"/>
    </row>
    <row r="10865" spans="1:1" x14ac:dyDescent="0.25">
      <c r="A10865" s="5"/>
    </row>
    <row r="10866" spans="1:1" x14ac:dyDescent="0.25">
      <c r="A10866" s="5"/>
    </row>
    <row r="10867" spans="1:1" x14ac:dyDescent="0.25">
      <c r="A10867" s="5"/>
    </row>
    <row r="10868" spans="1:1" x14ac:dyDescent="0.25">
      <c r="A10868" s="5"/>
    </row>
    <row r="10869" spans="1:1" x14ac:dyDescent="0.25">
      <c r="A10869" s="5"/>
    </row>
    <row r="10870" spans="1:1" x14ac:dyDescent="0.25">
      <c r="A10870" s="5"/>
    </row>
    <row r="10871" spans="1:1" x14ac:dyDescent="0.25">
      <c r="A10871" s="5"/>
    </row>
    <row r="10872" spans="1:1" x14ac:dyDescent="0.25">
      <c r="A10872" s="5"/>
    </row>
    <row r="10873" spans="1:1" x14ac:dyDescent="0.25">
      <c r="A10873" s="5"/>
    </row>
    <row r="10874" spans="1:1" x14ac:dyDescent="0.25">
      <c r="A10874" s="5"/>
    </row>
    <row r="10875" spans="1:1" x14ac:dyDescent="0.25">
      <c r="A10875" s="5"/>
    </row>
    <row r="10876" spans="1:1" x14ac:dyDescent="0.25">
      <c r="A10876" s="5"/>
    </row>
    <row r="10877" spans="1:1" x14ac:dyDescent="0.25">
      <c r="A10877" s="5"/>
    </row>
    <row r="10878" spans="1:1" x14ac:dyDescent="0.25">
      <c r="A10878" s="5"/>
    </row>
    <row r="10879" spans="1:1" x14ac:dyDescent="0.25">
      <c r="A10879" s="5"/>
    </row>
    <row r="10880" spans="1:1" x14ac:dyDescent="0.25">
      <c r="A10880" s="5"/>
    </row>
    <row r="10881" spans="1:1" x14ac:dyDescent="0.25">
      <c r="A10881" s="5"/>
    </row>
    <row r="10882" spans="1:1" x14ac:dyDescent="0.25">
      <c r="A10882" s="5"/>
    </row>
    <row r="10883" spans="1:1" x14ac:dyDescent="0.25">
      <c r="A10883" s="5"/>
    </row>
    <row r="10884" spans="1:1" x14ac:dyDescent="0.25">
      <c r="A10884" s="5"/>
    </row>
    <row r="10885" spans="1:1" x14ac:dyDescent="0.25">
      <c r="A10885" s="5"/>
    </row>
    <row r="10886" spans="1:1" x14ac:dyDescent="0.25">
      <c r="A10886" s="5"/>
    </row>
    <row r="10887" spans="1:1" x14ac:dyDescent="0.25">
      <c r="A10887" s="5"/>
    </row>
    <row r="10888" spans="1:1" x14ac:dyDescent="0.25">
      <c r="A10888" s="5"/>
    </row>
    <row r="10889" spans="1:1" x14ac:dyDescent="0.25">
      <c r="A10889" s="5"/>
    </row>
    <row r="10890" spans="1:1" x14ac:dyDescent="0.25">
      <c r="A10890" s="5"/>
    </row>
    <row r="10891" spans="1:1" x14ac:dyDescent="0.25">
      <c r="A10891" s="5"/>
    </row>
    <row r="10892" spans="1:1" x14ac:dyDescent="0.25">
      <c r="A10892" s="5"/>
    </row>
    <row r="10893" spans="1:1" x14ac:dyDescent="0.25">
      <c r="A10893" s="5"/>
    </row>
    <row r="10894" spans="1:1" x14ac:dyDescent="0.25">
      <c r="A10894" s="5"/>
    </row>
    <row r="10895" spans="1:1" x14ac:dyDescent="0.25">
      <c r="A10895" s="5"/>
    </row>
    <row r="10896" spans="1:1" x14ac:dyDescent="0.25">
      <c r="A10896" s="5"/>
    </row>
    <row r="10897" spans="1:1" x14ac:dyDescent="0.25">
      <c r="A10897" s="5"/>
    </row>
    <row r="10898" spans="1:1" x14ac:dyDescent="0.25">
      <c r="A10898" s="5"/>
    </row>
    <row r="10899" spans="1:1" x14ac:dyDescent="0.25">
      <c r="A10899" s="5"/>
    </row>
    <row r="10900" spans="1:1" x14ac:dyDescent="0.25">
      <c r="A10900" s="5"/>
    </row>
    <row r="10901" spans="1:1" x14ac:dyDescent="0.25">
      <c r="A10901" s="5"/>
    </row>
    <row r="10902" spans="1:1" x14ac:dyDescent="0.25">
      <c r="A10902" s="5"/>
    </row>
    <row r="10903" spans="1:1" x14ac:dyDescent="0.25">
      <c r="A10903" s="5"/>
    </row>
    <row r="10904" spans="1:1" x14ac:dyDescent="0.25">
      <c r="A10904" s="5"/>
    </row>
    <row r="10905" spans="1:1" x14ac:dyDescent="0.25">
      <c r="A10905" s="5"/>
    </row>
    <row r="10906" spans="1:1" x14ac:dyDescent="0.25">
      <c r="A10906" s="5"/>
    </row>
    <row r="10907" spans="1:1" x14ac:dyDescent="0.25">
      <c r="A10907" s="5"/>
    </row>
    <row r="10908" spans="1:1" x14ac:dyDescent="0.25">
      <c r="A10908" s="5"/>
    </row>
    <row r="10909" spans="1:1" x14ac:dyDescent="0.25">
      <c r="A10909" s="5"/>
    </row>
    <row r="10910" spans="1:1" x14ac:dyDescent="0.25">
      <c r="A10910" s="5"/>
    </row>
    <row r="10911" spans="1:1" x14ac:dyDescent="0.25">
      <c r="A10911" s="5"/>
    </row>
    <row r="10912" spans="1:1" x14ac:dyDescent="0.25">
      <c r="A10912" s="5"/>
    </row>
    <row r="10913" spans="1:1" x14ac:dyDescent="0.25">
      <c r="A10913" s="5"/>
    </row>
    <row r="10914" spans="1:1" x14ac:dyDescent="0.25">
      <c r="A10914" s="5"/>
    </row>
    <row r="10915" spans="1:1" x14ac:dyDescent="0.25">
      <c r="A10915" s="5"/>
    </row>
    <row r="10916" spans="1:1" x14ac:dyDescent="0.25">
      <c r="A10916" s="5"/>
    </row>
    <row r="10917" spans="1:1" x14ac:dyDescent="0.25">
      <c r="A10917" s="5"/>
    </row>
    <row r="10918" spans="1:1" x14ac:dyDescent="0.25">
      <c r="A10918" s="5"/>
    </row>
    <row r="10919" spans="1:1" x14ac:dyDescent="0.25">
      <c r="A10919" s="5"/>
    </row>
    <row r="10920" spans="1:1" x14ac:dyDescent="0.25">
      <c r="A10920" s="5"/>
    </row>
    <row r="10921" spans="1:1" x14ac:dyDescent="0.25">
      <c r="A10921" s="5"/>
    </row>
    <row r="10922" spans="1:1" x14ac:dyDescent="0.25">
      <c r="A10922" s="5"/>
    </row>
    <row r="10923" spans="1:1" x14ac:dyDescent="0.25">
      <c r="A10923" s="5"/>
    </row>
    <row r="10924" spans="1:1" x14ac:dyDescent="0.25">
      <c r="A10924" s="5"/>
    </row>
    <row r="10925" spans="1:1" x14ac:dyDescent="0.25">
      <c r="A10925" s="5"/>
    </row>
    <row r="10926" spans="1:1" x14ac:dyDescent="0.25">
      <c r="A10926" s="5"/>
    </row>
    <row r="10927" spans="1:1" x14ac:dyDescent="0.25">
      <c r="A10927" s="5"/>
    </row>
    <row r="10928" spans="1:1" x14ac:dyDescent="0.25">
      <c r="A10928" s="5"/>
    </row>
    <row r="10929" spans="1:1" x14ac:dyDescent="0.25">
      <c r="A10929" s="5"/>
    </row>
    <row r="10930" spans="1:1" x14ac:dyDescent="0.25">
      <c r="A10930" s="5"/>
    </row>
    <row r="10931" spans="1:1" x14ac:dyDescent="0.25">
      <c r="A10931" s="5"/>
    </row>
    <row r="10932" spans="1:1" x14ac:dyDescent="0.25">
      <c r="A10932" s="5"/>
    </row>
    <row r="10933" spans="1:1" x14ac:dyDescent="0.25">
      <c r="A10933" s="5"/>
    </row>
    <row r="10934" spans="1:1" x14ac:dyDescent="0.25">
      <c r="A10934" s="5"/>
    </row>
    <row r="10935" spans="1:1" x14ac:dyDescent="0.25">
      <c r="A10935" s="5"/>
    </row>
    <row r="10936" spans="1:1" x14ac:dyDescent="0.25">
      <c r="A10936" s="5"/>
    </row>
    <row r="10937" spans="1:1" x14ac:dyDescent="0.25">
      <c r="A10937" s="5"/>
    </row>
    <row r="10938" spans="1:1" x14ac:dyDescent="0.25">
      <c r="A10938" s="5"/>
    </row>
    <row r="10939" spans="1:1" x14ac:dyDescent="0.25">
      <c r="A10939" s="5"/>
    </row>
    <row r="10940" spans="1:1" x14ac:dyDescent="0.25">
      <c r="A10940" s="5"/>
    </row>
    <row r="10941" spans="1:1" x14ac:dyDescent="0.25">
      <c r="A10941" s="5"/>
    </row>
    <row r="10942" spans="1:1" x14ac:dyDescent="0.25">
      <c r="A10942" s="5"/>
    </row>
    <row r="10943" spans="1:1" x14ac:dyDescent="0.25">
      <c r="A10943" s="5"/>
    </row>
    <row r="10944" spans="1:1" x14ac:dyDescent="0.25">
      <c r="A10944" s="5"/>
    </row>
    <row r="10945" spans="1:1" x14ac:dyDescent="0.25">
      <c r="A10945" s="5"/>
    </row>
    <row r="10946" spans="1:1" x14ac:dyDescent="0.25">
      <c r="A10946" s="5"/>
    </row>
    <row r="10947" spans="1:1" x14ac:dyDescent="0.25">
      <c r="A10947" s="5"/>
    </row>
    <row r="10948" spans="1:1" x14ac:dyDescent="0.25">
      <c r="A10948" s="5"/>
    </row>
    <row r="10949" spans="1:1" x14ac:dyDescent="0.25">
      <c r="A10949" s="5"/>
    </row>
    <row r="10950" spans="1:1" x14ac:dyDescent="0.25">
      <c r="A10950" s="5"/>
    </row>
    <row r="10951" spans="1:1" x14ac:dyDescent="0.25">
      <c r="A10951" s="5"/>
    </row>
    <row r="10952" spans="1:1" x14ac:dyDescent="0.25">
      <c r="A10952" s="5"/>
    </row>
    <row r="10953" spans="1:1" x14ac:dyDescent="0.25">
      <c r="A10953" s="5"/>
    </row>
    <row r="10954" spans="1:1" x14ac:dyDescent="0.25">
      <c r="A10954" s="5"/>
    </row>
    <row r="10955" spans="1:1" x14ac:dyDescent="0.25">
      <c r="A10955" s="5"/>
    </row>
    <row r="10956" spans="1:1" x14ac:dyDescent="0.25">
      <c r="A10956" s="5"/>
    </row>
    <row r="10957" spans="1:1" x14ac:dyDescent="0.25">
      <c r="A10957" s="5"/>
    </row>
    <row r="10958" spans="1:1" x14ac:dyDescent="0.25">
      <c r="A10958" s="5"/>
    </row>
    <row r="10959" spans="1:1" x14ac:dyDescent="0.25">
      <c r="A10959" s="5"/>
    </row>
    <row r="10960" spans="1:1" x14ac:dyDescent="0.25">
      <c r="A10960" s="5"/>
    </row>
    <row r="10961" spans="1:1" x14ac:dyDescent="0.25">
      <c r="A10961" s="5"/>
    </row>
    <row r="10962" spans="1:1" x14ac:dyDescent="0.25">
      <c r="A10962" s="5"/>
    </row>
    <row r="10963" spans="1:1" x14ac:dyDescent="0.25">
      <c r="A10963" s="5"/>
    </row>
    <row r="10964" spans="1:1" x14ac:dyDescent="0.25">
      <c r="A10964" s="5"/>
    </row>
    <row r="10965" spans="1:1" x14ac:dyDescent="0.25">
      <c r="A10965" s="5"/>
    </row>
    <row r="10966" spans="1:1" x14ac:dyDescent="0.25">
      <c r="A10966" s="5"/>
    </row>
    <row r="10967" spans="1:1" x14ac:dyDescent="0.25">
      <c r="A10967" s="5"/>
    </row>
    <row r="10968" spans="1:1" x14ac:dyDescent="0.25">
      <c r="A10968" s="5"/>
    </row>
    <row r="10969" spans="1:1" x14ac:dyDescent="0.25">
      <c r="A10969" s="5"/>
    </row>
    <row r="10970" spans="1:1" x14ac:dyDescent="0.25">
      <c r="A10970" s="5"/>
    </row>
    <row r="10971" spans="1:1" x14ac:dyDescent="0.25">
      <c r="A10971" s="5"/>
    </row>
    <row r="10972" spans="1:1" x14ac:dyDescent="0.25">
      <c r="A10972" s="5"/>
    </row>
    <row r="10973" spans="1:1" x14ac:dyDescent="0.25">
      <c r="A10973" s="5"/>
    </row>
    <row r="10974" spans="1:1" x14ac:dyDescent="0.25">
      <c r="A10974" s="5"/>
    </row>
    <row r="10975" spans="1:1" x14ac:dyDescent="0.25">
      <c r="A10975" s="5"/>
    </row>
    <row r="10976" spans="1:1" x14ac:dyDescent="0.25">
      <c r="A10976" s="5"/>
    </row>
    <row r="10977" spans="1:1" x14ac:dyDescent="0.25">
      <c r="A10977" s="5"/>
    </row>
    <row r="10978" spans="1:1" x14ac:dyDescent="0.25">
      <c r="A10978" s="5"/>
    </row>
    <row r="10979" spans="1:1" x14ac:dyDescent="0.25">
      <c r="A10979" s="5"/>
    </row>
    <row r="10980" spans="1:1" x14ac:dyDescent="0.25">
      <c r="A10980" s="5"/>
    </row>
    <row r="10981" spans="1:1" x14ac:dyDescent="0.25">
      <c r="A10981" s="5"/>
    </row>
    <row r="10982" spans="1:1" x14ac:dyDescent="0.25">
      <c r="A10982" s="5"/>
    </row>
    <row r="10983" spans="1:1" x14ac:dyDescent="0.25">
      <c r="A10983" s="5"/>
    </row>
    <row r="10984" spans="1:1" x14ac:dyDescent="0.25">
      <c r="A10984" s="5"/>
    </row>
    <row r="10985" spans="1:1" x14ac:dyDescent="0.25">
      <c r="A10985" s="5"/>
    </row>
    <row r="10986" spans="1:1" x14ac:dyDescent="0.25">
      <c r="A10986" s="5"/>
    </row>
    <row r="10987" spans="1:1" x14ac:dyDescent="0.25">
      <c r="A10987" s="5"/>
    </row>
    <row r="10988" spans="1:1" x14ac:dyDescent="0.25">
      <c r="A10988" s="5"/>
    </row>
    <row r="10989" spans="1:1" x14ac:dyDescent="0.25">
      <c r="A10989" s="5"/>
    </row>
    <row r="10990" spans="1:1" x14ac:dyDescent="0.25">
      <c r="A10990" s="5"/>
    </row>
    <row r="10991" spans="1:1" x14ac:dyDescent="0.25">
      <c r="A10991" s="5"/>
    </row>
    <row r="10992" spans="1:1" x14ac:dyDescent="0.25">
      <c r="A10992" s="5"/>
    </row>
    <row r="10993" spans="1:1" x14ac:dyDescent="0.25">
      <c r="A10993" s="5"/>
    </row>
    <row r="10994" spans="1:1" x14ac:dyDescent="0.25">
      <c r="A10994" s="5"/>
    </row>
    <row r="10995" spans="1:1" x14ac:dyDescent="0.25">
      <c r="A10995" s="5"/>
    </row>
    <row r="10996" spans="1:1" x14ac:dyDescent="0.25">
      <c r="A10996" s="5"/>
    </row>
    <row r="10997" spans="1:1" x14ac:dyDescent="0.25">
      <c r="A10997" s="5"/>
    </row>
    <row r="10998" spans="1:1" x14ac:dyDescent="0.25">
      <c r="A10998" s="5"/>
    </row>
    <row r="10999" spans="1:1" x14ac:dyDescent="0.25">
      <c r="A10999" s="5"/>
    </row>
    <row r="11000" spans="1:1" x14ac:dyDescent="0.25">
      <c r="A11000" s="5"/>
    </row>
    <row r="11001" spans="1:1" x14ac:dyDescent="0.25">
      <c r="A11001" s="5"/>
    </row>
    <row r="11002" spans="1:1" x14ac:dyDescent="0.25">
      <c r="A11002" s="5"/>
    </row>
    <row r="11003" spans="1:1" x14ac:dyDescent="0.25">
      <c r="A11003" s="5"/>
    </row>
    <row r="11004" spans="1:1" x14ac:dyDescent="0.25">
      <c r="A11004" s="5"/>
    </row>
    <row r="11005" spans="1:1" x14ac:dyDescent="0.25">
      <c r="A11005" s="5"/>
    </row>
    <row r="11006" spans="1:1" x14ac:dyDescent="0.25">
      <c r="A11006" s="5"/>
    </row>
    <row r="11007" spans="1:1" x14ac:dyDescent="0.25">
      <c r="A11007" s="5"/>
    </row>
    <row r="11008" spans="1:1" x14ac:dyDescent="0.25">
      <c r="A11008" s="5"/>
    </row>
    <row r="11009" spans="1:1" x14ac:dyDescent="0.25">
      <c r="A11009" s="5"/>
    </row>
    <row r="11010" spans="1:1" x14ac:dyDescent="0.25">
      <c r="A11010" s="5"/>
    </row>
    <row r="11011" spans="1:1" x14ac:dyDescent="0.25">
      <c r="A11011" s="5"/>
    </row>
    <row r="11012" spans="1:1" x14ac:dyDescent="0.25">
      <c r="A11012" s="5"/>
    </row>
    <row r="11013" spans="1:1" x14ac:dyDescent="0.25">
      <c r="A11013" s="5"/>
    </row>
    <row r="11014" spans="1:1" x14ac:dyDescent="0.25">
      <c r="A11014" s="5"/>
    </row>
    <row r="11015" spans="1:1" x14ac:dyDescent="0.25">
      <c r="A11015" s="5"/>
    </row>
    <row r="11016" spans="1:1" x14ac:dyDescent="0.25">
      <c r="A11016" s="5"/>
    </row>
    <row r="11017" spans="1:1" x14ac:dyDescent="0.25">
      <c r="A11017" s="5"/>
    </row>
    <row r="11018" spans="1:1" x14ac:dyDescent="0.25">
      <c r="A11018" s="5"/>
    </row>
    <row r="11019" spans="1:1" x14ac:dyDescent="0.25">
      <c r="A11019" s="5"/>
    </row>
    <row r="11020" spans="1:1" x14ac:dyDescent="0.25">
      <c r="A11020" s="5"/>
    </row>
    <row r="11021" spans="1:1" x14ac:dyDescent="0.25">
      <c r="A11021" s="5"/>
    </row>
    <row r="11022" spans="1:1" x14ac:dyDescent="0.25">
      <c r="A11022" s="5"/>
    </row>
    <row r="11023" spans="1:1" x14ac:dyDescent="0.25">
      <c r="A11023" s="5"/>
    </row>
    <row r="11024" spans="1:1" x14ac:dyDescent="0.25">
      <c r="A11024" s="5"/>
    </row>
    <row r="11025" spans="1:1" x14ac:dyDescent="0.25">
      <c r="A11025" s="5"/>
    </row>
    <row r="11026" spans="1:1" x14ac:dyDescent="0.25">
      <c r="A11026" s="5"/>
    </row>
    <row r="11027" spans="1:1" x14ac:dyDescent="0.25">
      <c r="A11027" s="5"/>
    </row>
    <row r="11028" spans="1:1" x14ac:dyDescent="0.25">
      <c r="A11028" s="5"/>
    </row>
    <row r="11029" spans="1:1" x14ac:dyDescent="0.25">
      <c r="A11029" s="5"/>
    </row>
    <row r="11030" spans="1:1" x14ac:dyDescent="0.25">
      <c r="A11030" s="5"/>
    </row>
    <row r="11031" spans="1:1" x14ac:dyDescent="0.25">
      <c r="A11031" s="5"/>
    </row>
    <row r="11032" spans="1:1" x14ac:dyDescent="0.25">
      <c r="A11032" s="5"/>
    </row>
    <row r="11033" spans="1:1" x14ac:dyDescent="0.25">
      <c r="A11033" s="5"/>
    </row>
    <row r="11034" spans="1:1" x14ac:dyDescent="0.25">
      <c r="A11034" s="5"/>
    </row>
    <row r="11035" spans="1:1" x14ac:dyDescent="0.25">
      <c r="A11035" s="5"/>
    </row>
    <row r="11036" spans="1:1" x14ac:dyDescent="0.25">
      <c r="A11036" s="5"/>
    </row>
    <row r="11037" spans="1:1" x14ac:dyDescent="0.25">
      <c r="A11037" s="5"/>
    </row>
    <row r="11038" spans="1:1" x14ac:dyDescent="0.25">
      <c r="A11038" s="5"/>
    </row>
    <row r="11039" spans="1:1" x14ac:dyDescent="0.25">
      <c r="A11039" s="5"/>
    </row>
    <row r="11040" spans="1:1" x14ac:dyDescent="0.25">
      <c r="A11040" s="5"/>
    </row>
    <row r="11041" spans="1:1" x14ac:dyDescent="0.25">
      <c r="A11041" s="5"/>
    </row>
    <row r="11042" spans="1:1" x14ac:dyDescent="0.25">
      <c r="A11042" s="5"/>
    </row>
    <row r="11043" spans="1:1" x14ac:dyDescent="0.25">
      <c r="A11043" s="5"/>
    </row>
    <row r="11044" spans="1:1" x14ac:dyDescent="0.25">
      <c r="A11044" s="5"/>
    </row>
    <row r="11045" spans="1:1" x14ac:dyDescent="0.25">
      <c r="A11045" s="5"/>
    </row>
    <row r="11046" spans="1:1" x14ac:dyDescent="0.25">
      <c r="A11046" s="5"/>
    </row>
    <row r="11047" spans="1:1" x14ac:dyDescent="0.25">
      <c r="A11047" s="5"/>
    </row>
    <row r="11048" spans="1:1" x14ac:dyDescent="0.25">
      <c r="A11048" s="5"/>
    </row>
    <row r="11049" spans="1:1" x14ac:dyDescent="0.25">
      <c r="A11049" s="5"/>
    </row>
    <row r="11050" spans="1:1" x14ac:dyDescent="0.25">
      <c r="A11050" s="5"/>
    </row>
    <row r="11051" spans="1:1" x14ac:dyDescent="0.25">
      <c r="A11051" s="5"/>
    </row>
    <row r="11052" spans="1:1" x14ac:dyDescent="0.25">
      <c r="A11052" s="5"/>
    </row>
    <row r="11053" spans="1:1" x14ac:dyDescent="0.25">
      <c r="A11053" s="5"/>
    </row>
    <row r="11054" spans="1:1" x14ac:dyDescent="0.25">
      <c r="A11054" s="5"/>
    </row>
    <row r="11055" spans="1:1" x14ac:dyDescent="0.25">
      <c r="A11055" s="5"/>
    </row>
    <row r="11056" spans="1:1" x14ac:dyDescent="0.25">
      <c r="A11056" s="5"/>
    </row>
    <row r="11057" spans="1:1" x14ac:dyDescent="0.25">
      <c r="A11057" s="5"/>
    </row>
    <row r="11058" spans="1:1" x14ac:dyDescent="0.25">
      <c r="A11058" s="5"/>
    </row>
    <row r="11059" spans="1:1" x14ac:dyDescent="0.25">
      <c r="A11059" s="5"/>
    </row>
    <row r="11060" spans="1:1" x14ac:dyDescent="0.25">
      <c r="A11060" s="5"/>
    </row>
    <row r="11061" spans="1:1" x14ac:dyDescent="0.25">
      <c r="A11061" s="5"/>
    </row>
    <row r="11062" spans="1:1" x14ac:dyDescent="0.25">
      <c r="A11062" s="5"/>
    </row>
    <row r="11063" spans="1:1" x14ac:dyDescent="0.25">
      <c r="A11063" s="5"/>
    </row>
    <row r="11064" spans="1:1" x14ac:dyDescent="0.25">
      <c r="A11064" s="5"/>
    </row>
    <row r="11065" spans="1:1" x14ac:dyDescent="0.25">
      <c r="A11065" s="5"/>
    </row>
    <row r="11066" spans="1:1" x14ac:dyDescent="0.25">
      <c r="A11066" s="5"/>
    </row>
    <row r="11067" spans="1:1" x14ac:dyDescent="0.25">
      <c r="A11067" s="5"/>
    </row>
    <row r="11068" spans="1:1" x14ac:dyDescent="0.25">
      <c r="A11068" s="5"/>
    </row>
    <row r="11069" spans="1:1" x14ac:dyDescent="0.25">
      <c r="A11069" s="5"/>
    </row>
    <row r="11070" spans="1:1" x14ac:dyDescent="0.25">
      <c r="A11070" s="5"/>
    </row>
    <row r="11071" spans="1:1" x14ac:dyDescent="0.25">
      <c r="A11071" s="5"/>
    </row>
    <row r="11072" spans="1:1" x14ac:dyDescent="0.25">
      <c r="A11072" s="5"/>
    </row>
    <row r="11073" spans="1:1" x14ac:dyDescent="0.25">
      <c r="A11073" s="5"/>
    </row>
    <row r="11074" spans="1:1" x14ac:dyDescent="0.25">
      <c r="A11074" s="5"/>
    </row>
    <row r="11075" spans="1:1" x14ac:dyDescent="0.25">
      <c r="A11075" s="5"/>
    </row>
    <row r="11076" spans="1:1" x14ac:dyDescent="0.25">
      <c r="A11076" s="5"/>
    </row>
    <row r="11077" spans="1:1" x14ac:dyDescent="0.25">
      <c r="A11077" s="5"/>
    </row>
    <row r="11078" spans="1:1" x14ac:dyDescent="0.25">
      <c r="A11078" s="5"/>
    </row>
    <row r="11079" spans="1:1" x14ac:dyDescent="0.25">
      <c r="A11079" s="5"/>
    </row>
    <row r="11080" spans="1:1" x14ac:dyDescent="0.25">
      <c r="A11080" s="5"/>
    </row>
    <row r="11081" spans="1:1" x14ac:dyDescent="0.25">
      <c r="A11081" s="5"/>
    </row>
    <row r="11082" spans="1:1" x14ac:dyDescent="0.25">
      <c r="A11082" s="5"/>
    </row>
    <row r="11083" spans="1:1" x14ac:dyDescent="0.25">
      <c r="A11083" s="5"/>
    </row>
    <row r="11084" spans="1:1" x14ac:dyDescent="0.25">
      <c r="A11084" s="5"/>
    </row>
    <row r="11085" spans="1:1" x14ac:dyDescent="0.25">
      <c r="A11085" s="5"/>
    </row>
    <row r="11086" spans="1:1" x14ac:dyDescent="0.25">
      <c r="A11086" s="5"/>
    </row>
    <row r="11087" spans="1:1" x14ac:dyDescent="0.25">
      <c r="A11087" s="5"/>
    </row>
    <row r="11088" spans="1:1" x14ac:dyDescent="0.25">
      <c r="A11088" s="5"/>
    </row>
    <row r="11089" spans="1:1" x14ac:dyDescent="0.25">
      <c r="A11089" s="5"/>
    </row>
    <row r="11090" spans="1:1" x14ac:dyDescent="0.25">
      <c r="A11090" s="5"/>
    </row>
    <row r="11091" spans="1:1" x14ac:dyDescent="0.25">
      <c r="A11091" s="5"/>
    </row>
    <row r="11092" spans="1:1" x14ac:dyDescent="0.25">
      <c r="A11092" s="5"/>
    </row>
    <row r="11093" spans="1:1" x14ac:dyDescent="0.25">
      <c r="A11093" s="5"/>
    </row>
    <row r="11094" spans="1:1" x14ac:dyDescent="0.25">
      <c r="A11094" s="5"/>
    </row>
    <row r="11095" spans="1:1" x14ac:dyDescent="0.25">
      <c r="A11095" s="5"/>
    </row>
    <row r="11096" spans="1:1" x14ac:dyDescent="0.25">
      <c r="A11096" s="5"/>
    </row>
    <row r="11097" spans="1:1" x14ac:dyDescent="0.25">
      <c r="A11097" s="5"/>
    </row>
    <row r="11098" spans="1:1" x14ac:dyDescent="0.25">
      <c r="A11098" s="5"/>
    </row>
    <row r="11099" spans="1:1" x14ac:dyDescent="0.25">
      <c r="A11099" s="5"/>
    </row>
    <row r="11100" spans="1:1" x14ac:dyDescent="0.25">
      <c r="A11100" s="5"/>
    </row>
    <row r="11101" spans="1:1" x14ac:dyDescent="0.25">
      <c r="A11101" s="5"/>
    </row>
    <row r="11102" spans="1:1" x14ac:dyDescent="0.25">
      <c r="A11102" s="5"/>
    </row>
    <row r="11103" spans="1:1" x14ac:dyDescent="0.25">
      <c r="A11103" s="5"/>
    </row>
    <row r="11104" spans="1:1" x14ac:dyDescent="0.25">
      <c r="A11104" s="5"/>
    </row>
    <row r="11105" spans="1:1" x14ac:dyDescent="0.25">
      <c r="A11105" s="5"/>
    </row>
    <row r="11106" spans="1:1" x14ac:dyDescent="0.25">
      <c r="A11106" s="5"/>
    </row>
    <row r="11107" spans="1:1" x14ac:dyDescent="0.25">
      <c r="A11107" s="5"/>
    </row>
    <row r="11108" spans="1:1" x14ac:dyDescent="0.25">
      <c r="A11108" s="5"/>
    </row>
    <row r="11109" spans="1:1" x14ac:dyDescent="0.25">
      <c r="A11109" s="5"/>
    </row>
    <row r="11110" spans="1:1" x14ac:dyDescent="0.25">
      <c r="A11110" s="5"/>
    </row>
    <row r="11111" spans="1:1" x14ac:dyDescent="0.25">
      <c r="A11111" s="5"/>
    </row>
    <row r="11112" spans="1:1" x14ac:dyDescent="0.25">
      <c r="A11112" s="5"/>
    </row>
    <row r="11113" spans="1:1" x14ac:dyDescent="0.25">
      <c r="A11113" s="5"/>
    </row>
    <row r="11114" spans="1:1" x14ac:dyDescent="0.25">
      <c r="A11114" s="5"/>
    </row>
    <row r="11115" spans="1:1" x14ac:dyDescent="0.25">
      <c r="A11115" s="5"/>
    </row>
    <row r="11116" spans="1:1" x14ac:dyDescent="0.25">
      <c r="A11116" s="5"/>
    </row>
    <row r="11117" spans="1:1" x14ac:dyDescent="0.25">
      <c r="A11117" s="5"/>
    </row>
    <row r="11118" spans="1:1" x14ac:dyDescent="0.25">
      <c r="A11118" s="5"/>
    </row>
    <row r="11119" spans="1:1" x14ac:dyDescent="0.25">
      <c r="A11119" s="5"/>
    </row>
    <row r="11120" spans="1:1" x14ac:dyDescent="0.25">
      <c r="A11120" s="5"/>
    </row>
    <row r="11121" spans="1:1" x14ac:dyDescent="0.25">
      <c r="A11121" s="5"/>
    </row>
    <row r="11122" spans="1:1" x14ac:dyDescent="0.25">
      <c r="A11122" s="5"/>
    </row>
    <row r="11123" spans="1:1" x14ac:dyDescent="0.25">
      <c r="A11123" s="5"/>
    </row>
    <row r="11124" spans="1:1" x14ac:dyDescent="0.25">
      <c r="A11124" s="5"/>
    </row>
    <row r="11125" spans="1:1" x14ac:dyDescent="0.25">
      <c r="A11125" s="5"/>
    </row>
    <row r="11126" spans="1:1" x14ac:dyDescent="0.25">
      <c r="A11126" s="5"/>
    </row>
    <row r="11127" spans="1:1" x14ac:dyDescent="0.25">
      <c r="A11127" s="5"/>
    </row>
    <row r="11128" spans="1:1" x14ac:dyDescent="0.25">
      <c r="A11128" s="5"/>
    </row>
    <row r="11129" spans="1:1" x14ac:dyDescent="0.25">
      <c r="A11129" s="5"/>
    </row>
    <row r="11130" spans="1:1" x14ac:dyDescent="0.25">
      <c r="A11130" s="5"/>
    </row>
    <row r="11131" spans="1:1" x14ac:dyDescent="0.25">
      <c r="A11131" s="5"/>
    </row>
    <row r="11132" spans="1:1" x14ac:dyDescent="0.25">
      <c r="A11132" s="5"/>
    </row>
    <row r="11133" spans="1:1" x14ac:dyDescent="0.25">
      <c r="A11133" s="5"/>
    </row>
    <row r="11134" spans="1:1" x14ac:dyDescent="0.25">
      <c r="A11134" s="5"/>
    </row>
    <row r="11135" spans="1:1" x14ac:dyDescent="0.25">
      <c r="A11135" s="5"/>
    </row>
    <row r="11136" spans="1:1" x14ac:dyDescent="0.25">
      <c r="A11136" s="5"/>
    </row>
    <row r="11137" spans="1:1" x14ac:dyDescent="0.25">
      <c r="A11137" s="5"/>
    </row>
    <row r="11138" spans="1:1" x14ac:dyDescent="0.25">
      <c r="A11138" s="5"/>
    </row>
    <row r="11139" spans="1:1" x14ac:dyDescent="0.25">
      <c r="A11139" s="5"/>
    </row>
    <row r="11140" spans="1:1" x14ac:dyDescent="0.25">
      <c r="A11140" s="5"/>
    </row>
    <row r="11141" spans="1:1" x14ac:dyDescent="0.25">
      <c r="A11141" s="5"/>
    </row>
    <row r="11142" spans="1:1" x14ac:dyDescent="0.25">
      <c r="A11142" s="5"/>
    </row>
    <row r="11143" spans="1:1" x14ac:dyDescent="0.25">
      <c r="A11143" s="5"/>
    </row>
    <row r="11144" spans="1:1" x14ac:dyDescent="0.25">
      <c r="A11144" s="5"/>
    </row>
    <row r="11145" spans="1:1" x14ac:dyDescent="0.25">
      <c r="A11145" s="5"/>
    </row>
    <row r="11146" spans="1:1" x14ac:dyDescent="0.25">
      <c r="A11146" s="5"/>
    </row>
    <row r="11147" spans="1:1" x14ac:dyDescent="0.25">
      <c r="A11147" s="5"/>
    </row>
    <row r="11148" spans="1:1" x14ac:dyDescent="0.25">
      <c r="A11148" s="5"/>
    </row>
    <row r="11149" spans="1:1" x14ac:dyDescent="0.25">
      <c r="A11149" s="5"/>
    </row>
    <row r="11150" spans="1:1" x14ac:dyDescent="0.25">
      <c r="A11150" s="5"/>
    </row>
    <row r="11151" spans="1:1" x14ac:dyDescent="0.25">
      <c r="A11151" s="5"/>
    </row>
    <row r="11152" spans="1:1" x14ac:dyDescent="0.25">
      <c r="A11152" s="5"/>
    </row>
    <row r="11153" spans="1:1" x14ac:dyDescent="0.25">
      <c r="A11153" s="5"/>
    </row>
    <row r="11154" spans="1:1" x14ac:dyDescent="0.25">
      <c r="A11154" s="5"/>
    </row>
    <row r="11155" spans="1:1" x14ac:dyDescent="0.25">
      <c r="A11155" s="5"/>
    </row>
    <row r="11156" spans="1:1" x14ac:dyDescent="0.25">
      <c r="A11156" s="5"/>
    </row>
    <row r="11157" spans="1:1" x14ac:dyDescent="0.25">
      <c r="A11157" s="5"/>
    </row>
    <row r="11158" spans="1:1" x14ac:dyDescent="0.25">
      <c r="A11158" s="5"/>
    </row>
    <row r="11159" spans="1:1" x14ac:dyDescent="0.25">
      <c r="A11159" s="5"/>
    </row>
    <row r="11160" spans="1:1" x14ac:dyDescent="0.25">
      <c r="A11160" s="5"/>
    </row>
    <row r="11161" spans="1:1" x14ac:dyDescent="0.25">
      <c r="A11161" s="5"/>
    </row>
    <row r="11162" spans="1:1" x14ac:dyDescent="0.25">
      <c r="A11162" s="5"/>
    </row>
    <row r="11163" spans="1:1" x14ac:dyDescent="0.25">
      <c r="A11163" s="5"/>
    </row>
    <row r="11164" spans="1:1" x14ac:dyDescent="0.25">
      <c r="A11164" s="5"/>
    </row>
    <row r="11165" spans="1:1" x14ac:dyDescent="0.25">
      <c r="A11165" s="5"/>
    </row>
    <row r="11166" spans="1:1" x14ac:dyDescent="0.25">
      <c r="A11166" s="5"/>
    </row>
    <row r="11167" spans="1:1" x14ac:dyDescent="0.25">
      <c r="A11167" s="5"/>
    </row>
    <row r="11168" spans="1:1" x14ac:dyDescent="0.25">
      <c r="A11168" s="5"/>
    </row>
    <row r="11169" spans="1:1" x14ac:dyDescent="0.25">
      <c r="A11169" s="5"/>
    </row>
    <row r="11170" spans="1:1" x14ac:dyDescent="0.25">
      <c r="A11170" s="5"/>
    </row>
    <row r="11171" spans="1:1" x14ac:dyDescent="0.25">
      <c r="A11171" s="5"/>
    </row>
    <row r="11172" spans="1:1" x14ac:dyDescent="0.25">
      <c r="A11172" s="5"/>
    </row>
    <row r="11173" spans="1:1" x14ac:dyDescent="0.25">
      <c r="A11173" s="5"/>
    </row>
    <row r="11174" spans="1:1" x14ac:dyDescent="0.25">
      <c r="A11174" s="5"/>
    </row>
    <row r="11175" spans="1:1" x14ac:dyDescent="0.25">
      <c r="A11175" s="5"/>
    </row>
    <row r="11176" spans="1:1" x14ac:dyDescent="0.25">
      <c r="A11176" s="5"/>
    </row>
    <row r="11177" spans="1:1" x14ac:dyDescent="0.25">
      <c r="A11177" s="5"/>
    </row>
    <row r="11178" spans="1:1" x14ac:dyDescent="0.25">
      <c r="A11178" s="5"/>
    </row>
    <row r="11179" spans="1:1" x14ac:dyDescent="0.25">
      <c r="A11179" s="5"/>
    </row>
    <row r="11180" spans="1:1" x14ac:dyDescent="0.25">
      <c r="A11180" s="5"/>
    </row>
    <row r="11181" spans="1:1" x14ac:dyDescent="0.25">
      <c r="A11181" s="5"/>
    </row>
    <row r="11182" spans="1:1" x14ac:dyDescent="0.25">
      <c r="A11182" s="5"/>
    </row>
    <row r="11183" spans="1:1" x14ac:dyDescent="0.25">
      <c r="A11183" s="5"/>
    </row>
    <row r="11184" spans="1:1" x14ac:dyDescent="0.25">
      <c r="A11184" s="5"/>
    </row>
    <row r="11185" spans="1:1" x14ac:dyDescent="0.25">
      <c r="A11185" s="5"/>
    </row>
    <row r="11186" spans="1:1" x14ac:dyDescent="0.25">
      <c r="A11186" s="5"/>
    </row>
    <row r="11187" spans="1:1" x14ac:dyDescent="0.25">
      <c r="A11187" s="5"/>
    </row>
    <row r="11188" spans="1:1" x14ac:dyDescent="0.25">
      <c r="A11188" s="5"/>
    </row>
    <row r="11189" spans="1:1" x14ac:dyDescent="0.25">
      <c r="A11189" s="5"/>
    </row>
    <row r="11190" spans="1:1" x14ac:dyDescent="0.25">
      <c r="A11190" s="5"/>
    </row>
    <row r="11191" spans="1:1" x14ac:dyDescent="0.25">
      <c r="A11191" s="5"/>
    </row>
    <row r="11192" spans="1:1" x14ac:dyDescent="0.25">
      <c r="A11192" s="5"/>
    </row>
    <row r="11193" spans="1:1" x14ac:dyDescent="0.25">
      <c r="A11193" s="5"/>
    </row>
    <row r="11194" spans="1:1" x14ac:dyDescent="0.25">
      <c r="A11194" s="5"/>
    </row>
    <row r="11195" spans="1:1" x14ac:dyDescent="0.25">
      <c r="A11195" s="5"/>
    </row>
    <row r="11196" spans="1:1" x14ac:dyDescent="0.25">
      <c r="A11196" s="5"/>
    </row>
    <row r="11197" spans="1:1" x14ac:dyDescent="0.25">
      <c r="A11197" s="5"/>
    </row>
    <row r="11198" spans="1:1" x14ac:dyDescent="0.25">
      <c r="A11198" s="5"/>
    </row>
    <row r="11199" spans="1:1" x14ac:dyDescent="0.25">
      <c r="A11199" s="5"/>
    </row>
    <row r="11200" spans="1:1" x14ac:dyDescent="0.25">
      <c r="A11200" s="5"/>
    </row>
    <row r="11201" spans="1:1" x14ac:dyDescent="0.25">
      <c r="A11201" s="5"/>
    </row>
    <row r="11202" spans="1:1" x14ac:dyDescent="0.25">
      <c r="A11202" s="5"/>
    </row>
    <row r="11203" spans="1:1" x14ac:dyDescent="0.25">
      <c r="A11203" s="5"/>
    </row>
    <row r="11204" spans="1:1" x14ac:dyDescent="0.25">
      <c r="A11204" s="5"/>
    </row>
    <row r="11205" spans="1:1" x14ac:dyDescent="0.25">
      <c r="A11205" s="5"/>
    </row>
    <row r="11206" spans="1:1" x14ac:dyDescent="0.25">
      <c r="A11206" s="5"/>
    </row>
    <row r="11207" spans="1:1" x14ac:dyDescent="0.25">
      <c r="A11207" s="5"/>
    </row>
    <row r="11208" spans="1:1" x14ac:dyDescent="0.25">
      <c r="A11208" s="5"/>
    </row>
    <row r="11209" spans="1:1" x14ac:dyDescent="0.25">
      <c r="A11209" s="5"/>
    </row>
    <row r="11210" spans="1:1" x14ac:dyDescent="0.25">
      <c r="A11210" s="5"/>
    </row>
    <row r="11211" spans="1:1" x14ac:dyDescent="0.25">
      <c r="A11211" s="5"/>
    </row>
    <row r="11212" spans="1:1" x14ac:dyDescent="0.25">
      <c r="A11212" s="5"/>
    </row>
    <row r="11213" spans="1:1" x14ac:dyDescent="0.25">
      <c r="A11213" s="5"/>
    </row>
    <row r="11214" spans="1:1" x14ac:dyDescent="0.25">
      <c r="A11214" s="5"/>
    </row>
    <row r="11215" spans="1:1" x14ac:dyDescent="0.25">
      <c r="A11215" s="5"/>
    </row>
    <row r="11216" spans="1:1" x14ac:dyDescent="0.25">
      <c r="A11216" s="5"/>
    </row>
    <row r="11217" spans="1:1" x14ac:dyDescent="0.25">
      <c r="A11217" s="5"/>
    </row>
    <row r="11218" spans="1:1" x14ac:dyDescent="0.25">
      <c r="A11218" s="5"/>
    </row>
    <row r="11219" spans="1:1" x14ac:dyDescent="0.25">
      <c r="A11219" s="5"/>
    </row>
    <row r="11220" spans="1:1" x14ac:dyDescent="0.25">
      <c r="A11220" s="5"/>
    </row>
    <row r="11221" spans="1:1" x14ac:dyDescent="0.25">
      <c r="A11221" s="5"/>
    </row>
    <row r="11222" spans="1:1" x14ac:dyDescent="0.25">
      <c r="A11222" s="5"/>
    </row>
    <row r="11223" spans="1:1" x14ac:dyDescent="0.25">
      <c r="A11223" s="5"/>
    </row>
    <row r="11224" spans="1:1" x14ac:dyDescent="0.25">
      <c r="A11224" s="5"/>
    </row>
    <row r="11225" spans="1:1" x14ac:dyDescent="0.25">
      <c r="A11225" s="5"/>
    </row>
    <row r="11226" spans="1:1" x14ac:dyDescent="0.25">
      <c r="A11226" s="5"/>
    </row>
    <row r="11227" spans="1:1" x14ac:dyDescent="0.25">
      <c r="A11227" s="5"/>
    </row>
    <row r="11228" spans="1:1" x14ac:dyDescent="0.25">
      <c r="A11228" s="5"/>
    </row>
    <row r="11229" spans="1:1" x14ac:dyDescent="0.25">
      <c r="A11229" s="5"/>
    </row>
    <row r="11230" spans="1:1" x14ac:dyDescent="0.25">
      <c r="A11230" s="5"/>
    </row>
    <row r="11231" spans="1:1" x14ac:dyDescent="0.25">
      <c r="A11231" s="5"/>
    </row>
    <row r="11232" spans="1:1" x14ac:dyDescent="0.25">
      <c r="A11232" s="5"/>
    </row>
    <row r="11233" spans="1:1" x14ac:dyDescent="0.25">
      <c r="A11233" s="5"/>
    </row>
    <row r="11234" spans="1:1" x14ac:dyDescent="0.25">
      <c r="A11234" s="5"/>
    </row>
    <row r="11235" spans="1:1" x14ac:dyDescent="0.25">
      <c r="A11235" s="5"/>
    </row>
    <row r="11236" spans="1:1" x14ac:dyDescent="0.25">
      <c r="A11236" s="5"/>
    </row>
    <row r="11237" spans="1:1" x14ac:dyDescent="0.25">
      <c r="A11237" s="5"/>
    </row>
    <row r="11238" spans="1:1" x14ac:dyDescent="0.25">
      <c r="A11238" s="5"/>
    </row>
    <row r="11239" spans="1:1" x14ac:dyDescent="0.25">
      <c r="A11239" s="5"/>
    </row>
    <row r="11240" spans="1:1" x14ac:dyDescent="0.25">
      <c r="A11240" s="5"/>
    </row>
    <row r="11241" spans="1:1" x14ac:dyDescent="0.25">
      <c r="A11241" s="5"/>
    </row>
    <row r="11242" spans="1:1" x14ac:dyDescent="0.25">
      <c r="A11242" s="5"/>
    </row>
    <row r="11243" spans="1:1" x14ac:dyDescent="0.25">
      <c r="A11243" s="5"/>
    </row>
    <row r="11244" spans="1:1" x14ac:dyDescent="0.25">
      <c r="A11244" s="5"/>
    </row>
    <row r="11245" spans="1:1" x14ac:dyDescent="0.25">
      <c r="A11245" s="5"/>
    </row>
    <row r="11246" spans="1:1" x14ac:dyDescent="0.25">
      <c r="A11246" s="5"/>
    </row>
    <row r="11247" spans="1:1" x14ac:dyDescent="0.25">
      <c r="A11247" s="5"/>
    </row>
    <row r="11248" spans="1:1" x14ac:dyDescent="0.25">
      <c r="A11248" s="5"/>
    </row>
    <row r="11249" spans="1:1" x14ac:dyDescent="0.25">
      <c r="A11249" s="5"/>
    </row>
    <row r="11250" spans="1:1" x14ac:dyDescent="0.25">
      <c r="A11250" s="5"/>
    </row>
    <row r="11251" spans="1:1" x14ac:dyDescent="0.25">
      <c r="A11251" s="5"/>
    </row>
    <row r="11252" spans="1:1" x14ac:dyDescent="0.25">
      <c r="A11252" s="5"/>
    </row>
    <row r="11253" spans="1:1" x14ac:dyDescent="0.25">
      <c r="A11253" s="5"/>
    </row>
    <row r="11254" spans="1:1" x14ac:dyDescent="0.25">
      <c r="A11254" s="5"/>
    </row>
    <row r="11255" spans="1:1" x14ac:dyDescent="0.25">
      <c r="A11255" s="5"/>
    </row>
    <row r="11256" spans="1:1" x14ac:dyDescent="0.25">
      <c r="A11256" s="5"/>
    </row>
    <row r="11257" spans="1:1" x14ac:dyDescent="0.25">
      <c r="A11257" s="5"/>
    </row>
    <row r="11258" spans="1:1" x14ac:dyDescent="0.25">
      <c r="A11258" s="5"/>
    </row>
    <row r="11259" spans="1:1" x14ac:dyDescent="0.25">
      <c r="A11259" s="5"/>
    </row>
    <row r="11260" spans="1:1" x14ac:dyDescent="0.25">
      <c r="A11260" s="5"/>
    </row>
    <row r="11261" spans="1:1" x14ac:dyDescent="0.25">
      <c r="A11261" s="5"/>
    </row>
    <row r="11262" spans="1:1" x14ac:dyDescent="0.25">
      <c r="A11262" s="5"/>
    </row>
    <row r="11263" spans="1:1" x14ac:dyDescent="0.25">
      <c r="A11263" s="5"/>
    </row>
    <row r="11264" spans="1:1" x14ac:dyDescent="0.25">
      <c r="A11264" s="5"/>
    </row>
    <row r="11265" spans="1:1" x14ac:dyDescent="0.25">
      <c r="A11265" s="5"/>
    </row>
    <row r="11266" spans="1:1" x14ac:dyDescent="0.25">
      <c r="A11266" s="5"/>
    </row>
    <row r="11267" spans="1:1" x14ac:dyDescent="0.25">
      <c r="A11267" s="5"/>
    </row>
    <row r="11268" spans="1:1" x14ac:dyDescent="0.25">
      <c r="A11268" s="5"/>
    </row>
    <row r="11269" spans="1:1" x14ac:dyDescent="0.25">
      <c r="A11269" s="5"/>
    </row>
    <row r="11270" spans="1:1" x14ac:dyDescent="0.25">
      <c r="A11270" s="5"/>
    </row>
    <row r="11271" spans="1:1" x14ac:dyDescent="0.25">
      <c r="A11271" s="5"/>
    </row>
    <row r="11272" spans="1:1" x14ac:dyDescent="0.25">
      <c r="A11272" s="5"/>
    </row>
    <row r="11273" spans="1:1" x14ac:dyDescent="0.25">
      <c r="A11273" s="5"/>
    </row>
    <row r="11274" spans="1:1" x14ac:dyDescent="0.25">
      <c r="A11274" s="5"/>
    </row>
    <row r="11275" spans="1:1" x14ac:dyDescent="0.25">
      <c r="A11275" s="5"/>
    </row>
    <row r="11276" spans="1:1" x14ac:dyDescent="0.25">
      <c r="A11276" s="5"/>
    </row>
    <row r="11277" spans="1:1" x14ac:dyDescent="0.25">
      <c r="A11277" s="5"/>
    </row>
    <row r="11278" spans="1:1" x14ac:dyDescent="0.25">
      <c r="A11278" s="5"/>
    </row>
    <row r="11279" spans="1:1" x14ac:dyDescent="0.25">
      <c r="A11279" s="5"/>
    </row>
    <row r="11280" spans="1:1" x14ac:dyDescent="0.25">
      <c r="A11280" s="5"/>
    </row>
    <row r="11281" spans="1:1" x14ac:dyDescent="0.25">
      <c r="A11281" s="5"/>
    </row>
    <row r="11282" spans="1:1" x14ac:dyDescent="0.25">
      <c r="A11282" s="5"/>
    </row>
    <row r="11283" spans="1:1" x14ac:dyDescent="0.25">
      <c r="A11283" s="5"/>
    </row>
    <row r="11284" spans="1:1" x14ac:dyDescent="0.25">
      <c r="A11284" s="5"/>
    </row>
    <row r="11285" spans="1:1" x14ac:dyDescent="0.25">
      <c r="A11285" s="5"/>
    </row>
    <row r="11286" spans="1:1" x14ac:dyDescent="0.25">
      <c r="A11286" s="5"/>
    </row>
    <row r="11287" spans="1:1" x14ac:dyDescent="0.25">
      <c r="A11287" s="5"/>
    </row>
    <row r="11288" spans="1:1" x14ac:dyDescent="0.25">
      <c r="A11288" s="5"/>
    </row>
    <row r="11289" spans="1:1" x14ac:dyDescent="0.25">
      <c r="A11289" s="5"/>
    </row>
    <row r="11290" spans="1:1" x14ac:dyDescent="0.25">
      <c r="A11290" s="5"/>
    </row>
    <row r="11291" spans="1:1" x14ac:dyDescent="0.25">
      <c r="A11291" s="5"/>
    </row>
    <row r="11292" spans="1:1" x14ac:dyDescent="0.25">
      <c r="A11292" s="5"/>
    </row>
    <row r="11293" spans="1:1" x14ac:dyDescent="0.25">
      <c r="A11293" s="5"/>
    </row>
    <row r="11294" spans="1:1" x14ac:dyDescent="0.25">
      <c r="A11294" s="5"/>
    </row>
    <row r="11295" spans="1:1" x14ac:dyDescent="0.25">
      <c r="A11295" s="5"/>
    </row>
    <row r="11296" spans="1:1" x14ac:dyDescent="0.25">
      <c r="A11296" s="5"/>
    </row>
    <row r="11297" spans="1:1" x14ac:dyDescent="0.25">
      <c r="A11297" s="5"/>
    </row>
    <row r="11298" spans="1:1" x14ac:dyDescent="0.25">
      <c r="A11298" s="5"/>
    </row>
    <row r="11299" spans="1:1" x14ac:dyDescent="0.25">
      <c r="A11299" s="5"/>
    </row>
    <row r="11300" spans="1:1" x14ac:dyDescent="0.25">
      <c r="A11300" s="5"/>
    </row>
    <row r="11301" spans="1:1" x14ac:dyDescent="0.25">
      <c r="A11301" s="5"/>
    </row>
    <row r="11302" spans="1:1" x14ac:dyDescent="0.25">
      <c r="A11302" s="5"/>
    </row>
    <row r="11303" spans="1:1" x14ac:dyDescent="0.25">
      <c r="A11303" s="5"/>
    </row>
    <row r="11304" spans="1:1" x14ac:dyDescent="0.25">
      <c r="A11304" s="5"/>
    </row>
    <row r="11305" spans="1:1" x14ac:dyDescent="0.25">
      <c r="A11305" s="5"/>
    </row>
    <row r="11306" spans="1:1" x14ac:dyDescent="0.25">
      <c r="A11306" s="5"/>
    </row>
    <row r="11307" spans="1:1" x14ac:dyDescent="0.25">
      <c r="A11307" s="5"/>
    </row>
    <row r="11308" spans="1:1" x14ac:dyDescent="0.25">
      <c r="A11308" s="5"/>
    </row>
    <row r="11309" spans="1:1" x14ac:dyDescent="0.25">
      <c r="A11309" s="5"/>
    </row>
    <row r="11310" spans="1:1" x14ac:dyDescent="0.25">
      <c r="A11310" s="5"/>
    </row>
    <row r="11311" spans="1:1" x14ac:dyDescent="0.25">
      <c r="A11311" s="5"/>
    </row>
    <row r="11312" spans="1:1" x14ac:dyDescent="0.25">
      <c r="A11312" s="5"/>
    </row>
    <row r="11313" spans="1:1" x14ac:dyDescent="0.25">
      <c r="A11313" s="5"/>
    </row>
    <row r="11314" spans="1:1" x14ac:dyDescent="0.25">
      <c r="A11314" s="5"/>
    </row>
    <row r="11315" spans="1:1" x14ac:dyDescent="0.25">
      <c r="A11315" s="5"/>
    </row>
    <row r="11316" spans="1:1" x14ac:dyDescent="0.25">
      <c r="A11316" s="5"/>
    </row>
    <row r="11317" spans="1:1" x14ac:dyDescent="0.25">
      <c r="A11317" s="5"/>
    </row>
    <row r="11318" spans="1:1" x14ac:dyDescent="0.25">
      <c r="A11318" s="5"/>
    </row>
    <row r="11319" spans="1:1" x14ac:dyDescent="0.25">
      <c r="A11319" s="5"/>
    </row>
    <row r="11320" spans="1:1" x14ac:dyDescent="0.25">
      <c r="A11320" s="5"/>
    </row>
    <row r="11321" spans="1:1" x14ac:dyDescent="0.25">
      <c r="A11321" s="5"/>
    </row>
    <row r="11322" spans="1:1" x14ac:dyDescent="0.25">
      <c r="A11322" s="5"/>
    </row>
    <row r="11323" spans="1:1" x14ac:dyDescent="0.25">
      <c r="A11323" s="5"/>
    </row>
    <row r="11324" spans="1:1" x14ac:dyDescent="0.25">
      <c r="A11324" s="5"/>
    </row>
    <row r="11325" spans="1:1" x14ac:dyDescent="0.25">
      <c r="A11325" s="5"/>
    </row>
    <row r="11326" spans="1:1" x14ac:dyDescent="0.25">
      <c r="A11326" s="5"/>
    </row>
    <row r="11327" spans="1:1" x14ac:dyDescent="0.25">
      <c r="A11327" s="5"/>
    </row>
    <row r="11328" spans="1:1" x14ac:dyDescent="0.25">
      <c r="A11328" s="5"/>
    </row>
    <row r="11329" spans="1:1" x14ac:dyDescent="0.25">
      <c r="A11329" s="5"/>
    </row>
    <row r="11330" spans="1:1" x14ac:dyDescent="0.25">
      <c r="A11330" s="5"/>
    </row>
    <row r="11331" spans="1:1" x14ac:dyDescent="0.25">
      <c r="A11331" s="5"/>
    </row>
    <row r="11332" spans="1:1" x14ac:dyDescent="0.25">
      <c r="A11332" s="5"/>
    </row>
    <row r="11333" spans="1:1" x14ac:dyDescent="0.25">
      <c r="A11333" s="5"/>
    </row>
    <row r="11334" spans="1:1" x14ac:dyDescent="0.25">
      <c r="A11334" s="5"/>
    </row>
    <row r="11335" spans="1:1" x14ac:dyDescent="0.25">
      <c r="A11335" s="5"/>
    </row>
    <row r="11336" spans="1:1" x14ac:dyDescent="0.25">
      <c r="A11336" s="5"/>
    </row>
    <row r="11337" spans="1:1" x14ac:dyDescent="0.25">
      <c r="A11337" s="5"/>
    </row>
    <row r="11338" spans="1:1" x14ac:dyDescent="0.25">
      <c r="A11338" s="5"/>
    </row>
    <row r="11339" spans="1:1" x14ac:dyDescent="0.25">
      <c r="A11339" s="5"/>
    </row>
    <row r="11340" spans="1:1" x14ac:dyDescent="0.25">
      <c r="A11340" s="5"/>
    </row>
    <row r="11341" spans="1:1" x14ac:dyDescent="0.25">
      <c r="A11341" s="5"/>
    </row>
    <row r="11342" spans="1:1" x14ac:dyDescent="0.25">
      <c r="A11342" s="5"/>
    </row>
    <row r="11343" spans="1:1" x14ac:dyDescent="0.25">
      <c r="A11343" s="5"/>
    </row>
    <row r="11344" spans="1:1" x14ac:dyDescent="0.25">
      <c r="A11344" s="5"/>
    </row>
    <row r="11345" spans="1:1" x14ac:dyDescent="0.25">
      <c r="A11345" s="5"/>
    </row>
    <row r="11346" spans="1:1" x14ac:dyDescent="0.25">
      <c r="A11346" s="5"/>
    </row>
    <row r="11347" spans="1:1" x14ac:dyDescent="0.25">
      <c r="A11347" s="5"/>
    </row>
    <row r="11348" spans="1:1" x14ac:dyDescent="0.25">
      <c r="A11348" s="5"/>
    </row>
    <row r="11349" spans="1:1" x14ac:dyDescent="0.25">
      <c r="A11349" s="5"/>
    </row>
    <row r="11350" spans="1:1" x14ac:dyDescent="0.25">
      <c r="A11350" s="5"/>
    </row>
    <row r="11351" spans="1:1" x14ac:dyDescent="0.25">
      <c r="A11351" s="5"/>
    </row>
    <row r="11352" spans="1:1" x14ac:dyDescent="0.25">
      <c r="A11352" s="5"/>
    </row>
    <row r="11353" spans="1:1" x14ac:dyDescent="0.25">
      <c r="A11353" s="5"/>
    </row>
    <row r="11354" spans="1:1" x14ac:dyDescent="0.25">
      <c r="A11354" s="5"/>
    </row>
    <row r="11355" spans="1:1" x14ac:dyDescent="0.25">
      <c r="A11355" s="5"/>
    </row>
    <row r="11356" spans="1:1" x14ac:dyDescent="0.25">
      <c r="A11356" s="5"/>
    </row>
    <row r="11357" spans="1:1" x14ac:dyDescent="0.25">
      <c r="A11357" s="5"/>
    </row>
    <row r="11358" spans="1:1" x14ac:dyDescent="0.25">
      <c r="A11358" s="5"/>
    </row>
    <row r="11359" spans="1:1" x14ac:dyDescent="0.25">
      <c r="A11359" s="5"/>
    </row>
    <row r="11360" spans="1:1" x14ac:dyDescent="0.25">
      <c r="A11360" s="5"/>
    </row>
    <row r="11361" spans="1:1" x14ac:dyDescent="0.25">
      <c r="A11361" s="5"/>
    </row>
    <row r="11362" spans="1:1" x14ac:dyDescent="0.25">
      <c r="A11362" s="5"/>
    </row>
    <row r="11363" spans="1:1" x14ac:dyDescent="0.25">
      <c r="A11363" s="5"/>
    </row>
    <row r="11364" spans="1:1" x14ac:dyDescent="0.25">
      <c r="A11364" s="5"/>
    </row>
    <row r="11365" spans="1:1" x14ac:dyDescent="0.25">
      <c r="A11365" s="5"/>
    </row>
    <row r="11366" spans="1:1" x14ac:dyDescent="0.25">
      <c r="A11366" s="5"/>
    </row>
    <row r="11367" spans="1:1" x14ac:dyDescent="0.25">
      <c r="A11367" s="5"/>
    </row>
    <row r="11368" spans="1:1" x14ac:dyDescent="0.25">
      <c r="A11368" s="5"/>
    </row>
    <row r="11369" spans="1:1" x14ac:dyDescent="0.25">
      <c r="A11369" s="5"/>
    </row>
    <row r="11370" spans="1:1" x14ac:dyDescent="0.25">
      <c r="A11370" s="5"/>
    </row>
    <row r="11371" spans="1:1" x14ac:dyDescent="0.25">
      <c r="A11371" s="5"/>
    </row>
    <row r="11372" spans="1:1" x14ac:dyDescent="0.25">
      <c r="A11372" s="5"/>
    </row>
    <row r="11373" spans="1:1" x14ac:dyDescent="0.25">
      <c r="A11373" s="5"/>
    </row>
    <row r="11374" spans="1:1" x14ac:dyDescent="0.25">
      <c r="A11374" s="5"/>
    </row>
    <row r="11375" spans="1:1" x14ac:dyDescent="0.25">
      <c r="A11375" s="5"/>
    </row>
    <row r="11376" spans="1:1" x14ac:dyDescent="0.25">
      <c r="A11376" s="5"/>
    </row>
    <row r="11377" spans="1:1" x14ac:dyDescent="0.25">
      <c r="A11377" s="5"/>
    </row>
    <row r="11378" spans="1:1" x14ac:dyDescent="0.25">
      <c r="A11378" s="5"/>
    </row>
    <row r="11379" spans="1:1" x14ac:dyDescent="0.25">
      <c r="A11379" s="5"/>
    </row>
    <row r="11380" spans="1:1" x14ac:dyDescent="0.25">
      <c r="A11380" s="5"/>
    </row>
    <row r="11381" spans="1:1" x14ac:dyDescent="0.25">
      <c r="A11381" s="5"/>
    </row>
    <row r="11382" spans="1:1" x14ac:dyDescent="0.25">
      <c r="A11382" s="5"/>
    </row>
    <row r="11383" spans="1:1" x14ac:dyDescent="0.25">
      <c r="A11383" s="5"/>
    </row>
    <row r="11384" spans="1:1" x14ac:dyDescent="0.25">
      <c r="A11384" s="5"/>
    </row>
    <row r="11385" spans="1:1" x14ac:dyDescent="0.25">
      <c r="A11385" s="5"/>
    </row>
    <row r="11386" spans="1:1" x14ac:dyDescent="0.25">
      <c r="A11386" s="5"/>
    </row>
    <row r="11387" spans="1:1" x14ac:dyDescent="0.25">
      <c r="A11387" s="5"/>
    </row>
    <row r="11388" spans="1:1" x14ac:dyDescent="0.25">
      <c r="A11388" s="5"/>
    </row>
    <row r="11389" spans="1:1" x14ac:dyDescent="0.25">
      <c r="A11389" s="5"/>
    </row>
    <row r="11390" spans="1:1" x14ac:dyDescent="0.25">
      <c r="A11390" s="5"/>
    </row>
    <row r="11391" spans="1:1" x14ac:dyDescent="0.25">
      <c r="A11391" s="5"/>
    </row>
    <row r="11392" spans="1:1" x14ac:dyDescent="0.25">
      <c r="A11392" s="5"/>
    </row>
    <row r="11393" spans="1:1" x14ac:dyDescent="0.25">
      <c r="A11393" s="5"/>
    </row>
    <row r="11394" spans="1:1" x14ac:dyDescent="0.25">
      <c r="A11394" s="5"/>
    </row>
    <row r="11395" spans="1:1" x14ac:dyDescent="0.25">
      <c r="A11395" s="5"/>
    </row>
    <row r="11396" spans="1:1" x14ac:dyDescent="0.25">
      <c r="A11396" s="5"/>
    </row>
    <row r="11397" spans="1:1" x14ac:dyDescent="0.25">
      <c r="A11397" s="5"/>
    </row>
    <row r="11398" spans="1:1" x14ac:dyDescent="0.25">
      <c r="A11398" s="5"/>
    </row>
    <row r="11399" spans="1:1" x14ac:dyDescent="0.25">
      <c r="A11399" s="5"/>
    </row>
    <row r="11400" spans="1:1" x14ac:dyDescent="0.25">
      <c r="A11400" s="5"/>
    </row>
    <row r="11401" spans="1:1" x14ac:dyDescent="0.25">
      <c r="A11401" s="5"/>
    </row>
    <row r="11402" spans="1:1" x14ac:dyDescent="0.25">
      <c r="A11402" s="5"/>
    </row>
    <row r="11403" spans="1:1" x14ac:dyDescent="0.25">
      <c r="A11403" s="5"/>
    </row>
    <row r="11404" spans="1:1" x14ac:dyDescent="0.25">
      <c r="A11404" s="5"/>
    </row>
    <row r="11405" spans="1:1" x14ac:dyDescent="0.25">
      <c r="A11405" s="5"/>
    </row>
    <row r="11406" spans="1:1" x14ac:dyDescent="0.25">
      <c r="A11406" s="5"/>
    </row>
    <row r="11407" spans="1:1" x14ac:dyDescent="0.25">
      <c r="A11407" s="5"/>
    </row>
    <row r="11408" spans="1:1" x14ac:dyDescent="0.25">
      <c r="A11408" s="5"/>
    </row>
    <row r="11409" spans="1:1" x14ac:dyDescent="0.25">
      <c r="A11409" s="5"/>
    </row>
    <row r="11410" spans="1:1" x14ac:dyDescent="0.25">
      <c r="A11410" s="5"/>
    </row>
    <row r="11411" spans="1:1" x14ac:dyDescent="0.25">
      <c r="A11411" s="5"/>
    </row>
    <row r="11412" spans="1:1" x14ac:dyDescent="0.25">
      <c r="A11412" s="5"/>
    </row>
    <row r="11413" spans="1:1" x14ac:dyDescent="0.25">
      <c r="A11413" s="5"/>
    </row>
    <row r="11414" spans="1:1" x14ac:dyDescent="0.25">
      <c r="A11414" s="5"/>
    </row>
    <row r="11415" spans="1:1" x14ac:dyDescent="0.25">
      <c r="A11415" s="5"/>
    </row>
    <row r="11416" spans="1:1" x14ac:dyDescent="0.25">
      <c r="A11416" s="5"/>
    </row>
    <row r="11417" spans="1:1" x14ac:dyDescent="0.25">
      <c r="A11417" s="5"/>
    </row>
    <row r="11418" spans="1:1" x14ac:dyDescent="0.25">
      <c r="A11418" s="5"/>
    </row>
    <row r="11419" spans="1:1" x14ac:dyDescent="0.25">
      <c r="A11419" s="5"/>
    </row>
    <row r="11420" spans="1:1" x14ac:dyDescent="0.25">
      <c r="A11420" s="5"/>
    </row>
    <row r="11421" spans="1:1" x14ac:dyDescent="0.25">
      <c r="A11421" s="5"/>
    </row>
    <row r="11422" spans="1:1" x14ac:dyDescent="0.25">
      <c r="A11422" s="5"/>
    </row>
    <row r="11423" spans="1:1" x14ac:dyDescent="0.25">
      <c r="A11423" s="5"/>
    </row>
    <row r="11424" spans="1:1" x14ac:dyDescent="0.25">
      <c r="A11424" s="5"/>
    </row>
    <row r="11425" spans="1:1" x14ac:dyDescent="0.25">
      <c r="A11425" s="5"/>
    </row>
    <row r="11426" spans="1:1" x14ac:dyDescent="0.25">
      <c r="A11426" s="5"/>
    </row>
    <row r="11427" spans="1:1" x14ac:dyDescent="0.25">
      <c r="A11427" s="5"/>
    </row>
    <row r="11428" spans="1:1" x14ac:dyDescent="0.25">
      <c r="A11428" s="5"/>
    </row>
    <row r="11429" spans="1:1" x14ac:dyDescent="0.25">
      <c r="A11429" s="5"/>
    </row>
    <row r="11430" spans="1:1" x14ac:dyDescent="0.25">
      <c r="A11430" s="5"/>
    </row>
    <row r="11431" spans="1:1" x14ac:dyDescent="0.25">
      <c r="A11431" s="5"/>
    </row>
    <row r="11432" spans="1:1" x14ac:dyDescent="0.25">
      <c r="A11432" s="5"/>
    </row>
    <row r="11433" spans="1:1" x14ac:dyDescent="0.25">
      <c r="A11433" s="5"/>
    </row>
    <row r="11434" spans="1:1" x14ac:dyDescent="0.25">
      <c r="A11434" s="5"/>
    </row>
    <row r="11435" spans="1:1" x14ac:dyDescent="0.25">
      <c r="A11435" s="5"/>
    </row>
    <row r="11436" spans="1:1" x14ac:dyDescent="0.25">
      <c r="A11436" s="5"/>
    </row>
    <row r="11437" spans="1:1" x14ac:dyDescent="0.25">
      <c r="A11437" s="5"/>
    </row>
    <row r="11438" spans="1:1" x14ac:dyDescent="0.25">
      <c r="A11438" s="5"/>
    </row>
    <row r="11439" spans="1:1" x14ac:dyDescent="0.25">
      <c r="A11439" s="5"/>
    </row>
    <row r="11440" spans="1:1" x14ac:dyDescent="0.25">
      <c r="A11440" s="5"/>
    </row>
    <row r="11441" spans="1:1" x14ac:dyDescent="0.25">
      <c r="A11441" s="5"/>
    </row>
    <row r="11442" spans="1:1" x14ac:dyDescent="0.25">
      <c r="A11442" s="5"/>
    </row>
    <row r="11443" spans="1:1" x14ac:dyDescent="0.25">
      <c r="A11443" s="5"/>
    </row>
    <row r="11444" spans="1:1" x14ac:dyDescent="0.25">
      <c r="A11444" s="5"/>
    </row>
    <row r="11445" spans="1:1" x14ac:dyDescent="0.25">
      <c r="A11445" s="5"/>
    </row>
    <row r="11446" spans="1:1" x14ac:dyDescent="0.25">
      <c r="A11446" s="5"/>
    </row>
    <row r="11447" spans="1:1" x14ac:dyDescent="0.25">
      <c r="A11447" s="5"/>
    </row>
    <row r="11448" spans="1:1" x14ac:dyDescent="0.25">
      <c r="A11448" s="5"/>
    </row>
    <row r="11449" spans="1:1" x14ac:dyDescent="0.25">
      <c r="A11449" s="5"/>
    </row>
    <row r="11450" spans="1:1" x14ac:dyDescent="0.25">
      <c r="A11450" s="5"/>
    </row>
    <row r="11451" spans="1:1" x14ac:dyDescent="0.25">
      <c r="A11451" s="5"/>
    </row>
    <row r="11452" spans="1:1" x14ac:dyDescent="0.25">
      <c r="A11452" s="5"/>
    </row>
    <row r="11453" spans="1:1" x14ac:dyDescent="0.25">
      <c r="A11453" s="5"/>
    </row>
    <row r="11454" spans="1:1" x14ac:dyDescent="0.25">
      <c r="A11454" s="5"/>
    </row>
    <row r="11455" spans="1:1" x14ac:dyDescent="0.25">
      <c r="A11455" s="5"/>
    </row>
    <row r="11456" spans="1:1" x14ac:dyDescent="0.25">
      <c r="A11456" s="5"/>
    </row>
    <row r="11457" spans="1:1" x14ac:dyDescent="0.25">
      <c r="A11457" s="5"/>
    </row>
    <row r="11458" spans="1:1" x14ac:dyDescent="0.25">
      <c r="A11458" s="5"/>
    </row>
    <row r="11459" spans="1:1" x14ac:dyDescent="0.25">
      <c r="A11459" s="5"/>
    </row>
    <row r="11460" spans="1:1" x14ac:dyDescent="0.25">
      <c r="A11460" s="5"/>
    </row>
    <row r="11461" spans="1:1" x14ac:dyDescent="0.25">
      <c r="A11461" s="5"/>
    </row>
    <row r="11462" spans="1:1" x14ac:dyDescent="0.25">
      <c r="A11462" s="5"/>
    </row>
    <row r="11463" spans="1:1" x14ac:dyDescent="0.25">
      <c r="A11463" s="5"/>
    </row>
    <row r="11464" spans="1:1" x14ac:dyDescent="0.25">
      <c r="A11464" s="5"/>
    </row>
    <row r="11465" spans="1:1" x14ac:dyDescent="0.25">
      <c r="A11465" s="5"/>
    </row>
    <row r="11466" spans="1:1" x14ac:dyDescent="0.25">
      <c r="A11466" s="5"/>
    </row>
    <row r="11467" spans="1:1" x14ac:dyDescent="0.25">
      <c r="A11467" s="5"/>
    </row>
    <row r="11468" spans="1:1" x14ac:dyDescent="0.25">
      <c r="A11468" s="5"/>
    </row>
    <row r="11469" spans="1:1" x14ac:dyDescent="0.25">
      <c r="A11469" s="5"/>
    </row>
    <row r="11470" spans="1:1" x14ac:dyDescent="0.25">
      <c r="A11470" s="5"/>
    </row>
    <row r="11471" spans="1:1" x14ac:dyDescent="0.25">
      <c r="A11471" s="5"/>
    </row>
    <row r="11472" spans="1:1" x14ac:dyDescent="0.25">
      <c r="A11472" s="5"/>
    </row>
    <row r="11473" spans="1:1" x14ac:dyDescent="0.25">
      <c r="A11473" s="5"/>
    </row>
    <row r="11474" spans="1:1" x14ac:dyDescent="0.25">
      <c r="A11474" s="5"/>
    </row>
    <row r="11475" spans="1:1" x14ac:dyDescent="0.25">
      <c r="A11475" s="5"/>
    </row>
    <row r="11476" spans="1:1" x14ac:dyDescent="0.25">
      <c r="A11476" s="5"/>
    </row>
    <row r="11477" spans="1:1" x14ac:dyDescent="0.25">
      <c r="A11477" s="5"/>
    </row>
    <row r="11478" spans="1:1" x14ac:dyDescent="0.25">
      <c r="A11478" s="5"/>
    </row>
    <row r="11479" spans="1:1" x14ac:dyDescent="0.25">
      <c r="A11479" s="5"/>
    </row>
    <row r="11480" spans="1:1" x14ac:dyDescent="0.25">
      <c r="A11480" s="5"/>
    </row>
    <row r="11481" spans="1:1" x14ac:dyDescent="0.25">
      <c r="A11481" s="5"/>
    </row>
    <row r="11482" spans="1:1" x14ac:dyDescent="0.25">
      <c r="A11482" s="5"/>
    </row>
    <row r="11483" spans="1:1" x14ac:dyDescent="0.25">
      <c r="A11483" s="5"/>
    </row>
    <row r="11484" spans="1:1" x14ac:dyDescent="0.25">
      <c r="A11484" s="5"/>
    </row>
    <row r="11485" spans="1:1" x14ac:dyDescent="0.25">
      <c r="A11485" s="5"/>
    </row>
    <row r="11486" spans="1:1" x14ac:dyDescent="0.25">
      <c r="A11486" s="5"/>
    </row>
    <row r="11487" spans="1:1" x14ac:dyDescent="0.25">
      <c r="A11487" s="5"/>
    </row>
    <row r="11488" spans="1:1" x14ac:dyDescent="0.25">
      <c r="A11488" s="5"/>
    </row>
    <row r="11489" spans="1:1" x14ac:dyDescent="0.25">
      <c r="A11489" s="5"/>
    </row>
    <row r="11490" spans="1:1" x14ac:dyDescent="0.25">
      <c r="A11490" s="5"/>
    </row>
    <row r="11491" spans="1:1" x14ac:dyDescent="0.25">
      <c r="A11491" s="5"/>
    </row>
    <row r="11492" spans="1:1" x14ac:dyDescent="0.25">
      <c r="A11492" s="5"/>
    </row>
    <row r="11493" spans="1:1" x14ac:dyDescent="0.25">
      <c r="A11493" s="5"/>
    </row>
    <row r="11494" spans="1:1" x14ac:dyDescent="0.25">
      <c r="A11494" s="5"/>
    </row>
    <row r="11495" spans="1:1" x14ac:dyDescent="0.25">
      <c r="A11495" s="5"/>
    </row>
    <row r="11496" spans="1:1" x14ac:dyDescent="0.25">
      <c r="A11496" s="5"/>
    </row>
    <row r="11497" spans="1:1" x14ac:dyDescent="0.25">
      <c r="A11497" s="5"/>
    </row>
    <row r="11498" spans="1:1" x14ac:dyDescent="0.25">
      <c r="A11498" s="5"/>
    </row>
    <row r="11499" spans="1:1" x14ac:dyDescent="0.25">
      <c r="A11499" s="5"/>
    </row>
    <row r="11500" spans="1:1" x14ac:dyDescent="0.25">
      <c r="A11500" s="5"/>
    </row>
    <row r="11501" spans="1:1" x14ac:dyDescent="0.25">
      <c r="A11501" s="5"/>
    </row>
    <row r="11502" spans="1:1" x14ac:dyDescent="0.25">
      <c r="A11502" s="5"/>
    </row>
    <row r="11503" spans="1:1" x14ac:dyDescent="0.25">
      <c r="A11503" s="5"/>
    </row>
    <row r="11504" spans="1:1" x14ac:dyDescent="0.25">
      <c r="A11504" s="5"/>
    </row>
    <row r="11505" spans="1:1" x14ac:dyDescent="0.25">
      <c r="A11505" s="5"/>
    </row>
    <row r="11506" spans="1:1" x14ac:dyDescent="0.25">
      <c r="A11506" s="5"/>
    </row>
    <row r="11507" spans="1:1" x14ac:dyDescent="0.25">
      <c r="A11507" s="5"/>
    </row>
    <row r="11508" spans="1:1" x14ac:dyDescent="0.25">
      <c r="A11508" s="5"/>
    </row>
    <row r="11509" spans="1:1" x14ac:dyDescent="0.25">
      <c r="A11509" s="5"/>
    </row>
    <row r="11510" spans="1:1" x14ac:dyDescent="0.25">
      <c r="A11510" s="5"/>
    </row>
    <row r="11511" spans="1:1" x14ac:dyDescent="0.25">
      <c r="A11511" s="5"/>
    </row>
    <row r="11512" spans="1:1" x14ac:dyDescent="0.25">
      <c r="A11512" s="5"/>
    </row>
    <row r="11513" spans="1:1" x14ac:dyDescent="0.25">
      <c r="A11513" s="5"/>
    </row>
    <row r="11514" spans="1:1" x14ac:dyDescent="0.25">
      <c r="A11514" s="5"/>
    </row>
    <row r="11515" spans="1:1" x14ac:dyDescent="0.25">
      <c r="A11515" s="5"/>
    </row>
    <row r="11516" spans="1:1" x14ac:dyDescent="0.25">
      <c r="A11516" s="5"/>
    </row>
    <row r="11517" spans="1:1" x14ac:dyDescent="0.25">
      <c r="A11517" s="5"/>
    </row>
    <row r="11518" spans="1:1" x14ac:dyDescent="0.25">
      <c r="A11518" s="5"/>
    </row>
    <row r="11519" spans="1:1" x14ac:dyDescent="0.25">
      <c r="A11519" s="5"/>
    </row>
    <row r="11520" spans="1:1" x14ac:dyDescent="0.25">
      <c r="A11520" s="5"/>
    </row>
    <row r="11521" spans="1:1" x14ac:dyDescent="0.25">
      <c r="A11521" s="5"/>
    </row>
    <row r="11522" spans="1:1" x14ac:dyDescent="0.25">
      <c r="A11522" s="5"/>
    </row>
    <row r="11523" spans="1:1" x14ac:dyDescent="0.25">
      <c r="A11523" s="5"/>
    </row>
    <row r="11524" spans="1:1" x14ac:dyDescent="0.25">
      <c r="A11524" s="5"/>
    </row>
    <row r="11525" spans="1:1" x14ac:dyDescent="0.25">
      <c r="A11525" s="5"/>
    </row>
    <row r="11526" spans="1:1" x14ac:dyDescent="0.25">
      <c r="A11526" s="5"/>
    </row>
    <row r="11527" spans="1:1" x14ac:dyDescent="0.25">
      <c r="A11527" s="5"/>
    </row>
    <row r="11528" spans="1:1" x14ac:dyDescent="0.25">
      <c r="A11528" s="5"/>
    </row>
    <row r="11529" spans="1:1" x14ac:dyDescent="0.25">
      <c r="A11529" s="5"/>
    </row>
    <row r="11530" spans="1:1" x14ac:dyDescent="0.25">
      <c r="A11530" s="5"/>
    </row>
    <row r="11531" spans="1:1" x14ac:dyDescent="0.25">
      <c r="A11531" s="5"/>
    </row>
    <row r="11532" spans="1:1" x14ac:dyDescent="0.25">
      <c r="A11532" s="5"/>
    </row>
    <row r="11533" spans="1:1" x14ac:dyDescent="0.25">
      <c r="A11533" s="5"/>
    </row>
    <row r="11534" spans="1:1" x14ac:dyDescent="0.25">
      <c r="A11534" s="5"/>
    </row>
    <row r="11535" spans="1:1" x14ac:dyDescent="0.25">
      <c r="A11535" s="5"/>
    </row>
    <row r="11536" spans="1:1" x14ac:dyDescent="0.25">
      <c r="A11536" s="5"/>
    </row>
    <row r="11537" spans="1:1" x14ac:dyDescent="0.25">
      <c r="A11537" s="5"/>
    </row>
    <row r="11538" spans="1:1" x14ac:dyDescent="0.25">
      <c r="A11538" s="5"/>
    </row>
    <row r="11539" spans="1:1" x14ac:dyDescent="0.25">
      <c r="A11539" s="5"/>
    </row>
    <row r="11540" spans="1:1" x14ac:dyDescent="0.25">
      <c r="A11540" s="5"/>
    </row>
    <row r="11541" spans="1:1" x14ac:dyDescent="0.25">
      <c r="A11541" s="5"/>
    </row>
    <row r="11542" spans="1:1" x14ac:dyDescent="0.25">
      <c r="A11542" s="5"/>
    </row>
    <row r="11543" spans="1:1" x14ac:dyDescent="0.25">
      <c r="A11543" s="5"/>
    </row>
    <row r="11544" spans="1:1" x14ac:dyDescent="0.25">
      <c r="A11544" s="5"/>
    </row>
    <row r="11545" spans="1:1" x14ac:dyDescent="0.25">
      <c r="A11545" s="5"/>
    </row>
    <row r="11546" spans="1:1" x14ac:dyDescent="0.25">
      <c r="A11546" s="5"/>
    </row>
    <row r="11547" spans="1:1" x14ac:dyDescent="0.25">
      <c r="A11547" s="5"/>
    </row>
    <row r="11548" spans="1:1" x14ac:dyDescent="0.25">
      <c r="A11548" s="5"/>
    </row>
    <row r="11549" spans="1:1" x14ac:dyDescent="0.25">
      <c r="A11549" s="5"/>
    </row>
    <row r="11550" spans="1:1" x14ac:dyDescent="0.25">
      <c r="A11550" s="5"/>
    </row>
    <row r="11551" spans="1:1" x14ac:dyDescent="0.25">
      <c r="A11551" s="5"/>
    </row>
    <row r="11552" spans="1:1" x14ac:dyDescent="0.25">
      <c r="A11552" s="5"/>
    </row>
    <row r="11553" spans="1:1" x14ac:dyDescent="0.25">
      <c r="A11553" s="5"/>
    </row>
    <row r="11554" spans="1:1" x14ac:dyDescent="0.25">
      <c r="A11554" s="5"/>
    </row>
    <row r="11555" spans="1:1" x14ac:dyDescent="0.25">
      <c r="A11555" s="5"/>
    </row>
    <row r="11556" spans="1:1" x14ac:dyDescent="0.25">
      <c r="A11556" s="5"/>
    </row>
    <row r="11557" spans="1:1" x14ac:dyDescent="0.25">
      <c r="A11557" s="5"/>
    </row>
    <row r="11558" spans="1:1" x14ac:dyDescent="0.25">
      <c r="A11558" s="5"/>
    </row>
    <row r="11559" spans="1:1" x14ac:dyDescent="0.25">
      <c r="A11559" s="5"/>
    </row>
    <row r="11560" spans="1:1" x14ac:dyDescent="0.25">
      <c r="A11560" s="5"/>
    </row>
    <row r="11561" spans="1:1" x14ac:dyDescent="0.25">
      <c r="A11561" s="5"/>
    </row>
    <row r="11562" spans="1:1" x14ac:dyDescent="0.25">
      <c r="A11562" s="5"/>
    </row>
    <row r="11563" spans="1:1" x14ac:dyDescent="0.25">
      <c r="A11563" s="5"/>
    </row>
    <row r="11564" spans="1:1" x14ac:dyDescent="0.25">
      <c r="A11564" s="5"/>
    </row>
    <row r="11565" spans="1:1" x14ac:dyDescent="0.25">
      <c r="A11565" s="5"/>
    </row>
    <row r="11566" spans="1:1" x14ac:dyDescent="0.25">
      <c r="A11566" s="5"/>
    </row>
    <row r="11567" spans="1:1" x14ac:dyDescent="0.25">
      <c r="A11567" s="5"/>
    </row>
    <row r="11568" spans="1:1" x14ac:dyDescent="0.25">
      <c r="A11568" s="5"/>
    </row>
    <row r="11569" spans="1:1" x14ac:dyDescent="0.25">
      <c r="A11569" s="5"/>
    </row>
    <row r="11570" spans="1:1" x14ac:dyDescent="0.25">
      <c r="A11570" s="5"/>
    </row>
    <row r="11571" spans="1:1" x14ac:dyDescent="0.25">
      <c r="A11571" s="5"/>
    </row>
    <row r="11572" spans="1:1" x14ac:dyDescent="0.25">
      <c r="A11572" s="5"/>
    </row>
    <row r="11573" spans="1:1" x14ac:dyDescent="0.25">
      <c r="A11573" s="5"/>
    </row>
    <row r="11574" spans="1:1" x14ac:dyDescent="0.25">
      <c r="A11574" s="5"/>
    </row>
    <row r="11575" spans="1:1" x14ac:dyDescent="0.25">
      <c r="A11575" s="5"/>
    </row>
    <row r="11576" spans="1:1" x14ac:dyDescent="0.25">
      <c r="A11576" s="5"/>
    </row>
    <row r="11577" spans="1:1" x14ac:dyDescent="0.25">
      <c r="A11577" s="5"/>
    </row>
    <row r="11578" spans="1:1" x14ac:dyDescent="0.25">
      <c r="A11578" s="5"/>
    </row>
    <row r="11579" spans="1:1" x14ac:dyDescent="0.25">
      <c r="A11579" s="5"/>
    </row>
    <row r="11580" spans="1:1" x14ac:dyDescent="0.25">
      <c r="A11580" s="5"/>
    </row>
    <row r="11581" spans="1:1" x14ac:dyDescent="0.25">
      <c r="A11581" s="5"/>
    </row>
    <row r="11582" spans="1:1" x14ac:dyDescent="0.25">
      <c r="A11582" s="5"/>
    </row>
    <row r="11583" spans="1:1" x14ac:dyDescent="0.25">
      <c r="A11583" s="5"/>
    </row>
    <row r="11584" spans="1:1" x14ac:dyDescent="0.25">
      <c r="A11584" s="5"/>
    </row>
    <row r="11585" spans="1:1" x14ac:dyDescent="0.25">
      <c r="A11585" s="5"/>
    </row>
    <row r="11586" spans="1:1" x14ac:dyDescent="0.25">
      <c r="A11586" s="5"/>
    </row>
    <row r="11587" spans="1:1" x14ac:dyDescent="0.25">
      <c r="A11587" s="5"/>
    </row>
    <row r="11588" spans="1:1" x14ac:dyDescent="0.25">
      <c r="A11588" s="5"/>
    </row>
    <row r="11589" spans="1:1" x14ac:dyDescent="0.25">
      <c r="A11589" s="5"/>
    </row>
    <row r="11590" spans="1:1" x14ac:dyDescent="0.25">
      <c r="A11590" s="5"/>
    </row>
    <row r="11591" spans="1:1" x14ac:dyDescent="0.25">
      <c r="A11591" s="5"/>
    </row>
    <row r="11592" spans="1:1" x14ac:dyDescent="0.25">
      <c r="A11592" s="5"/>
    </row>
    <row r="11593" spans="1:1" x14ac:dyDescent="0.25">
      <c r="A11593" s="5"/>
    </row>
    <row r="11594" spans="1:1" x14ac:dyDescent="0.25">
      <c r="A11594" s="5"/>
    </row>
    <row r="11595" spans="1:1" x14ac:dyDescent="0.25">
      <c r="A11595" s="5"/>
    </row>
    <row r="11596" spans="1:1" x14ac:dyDescent="0.25">
      <c r="A11596" s="5"/>
    </row>
    <row r="11597" spans="1:1" x14ac:dyDescent="0.25">
      <c r="A11597" s="5"/>
    </row>
    <row r="11598" spans="1:1" x14ac:dyDescent="0.25">
      <c r="A11598" s="5"/>
    </row>
    <row r="11599" spans="1:1" x14ac:dyDescent="0.25">
      <c r="A11599" s="5"/>
    </row>
    <row r="11600" spans="1:1" x14ac:dyDescent="0.25">
      <c r="A11600" s="5"/>
    </row>
    <row r="11601" spans="1:1" x14ac:dyDescent="0.25">
      <c r="A11601" s="5"/>
    </row>
    <row r="11602" spans="1:1" x14ac:dyDescent="0.25">
      <c r="A11602" s="5"/>
    </row>
    <row r="11603" spans="1:1" x14ac:dyDescent="0.25">
      <c r="A11603" s="5"/>
    </row>
    <row r="11604" spans="1:1" x14ac:dyDescent="0.25">
      <c r="A11604" s="5"/>
    </row>
    <row r="11605" spans="1:1" x14ac:dyDescent="0.25">
      <c r="A11605" s="5"/>
    </row>
    <row r="11606" spans="1:1" x14ac:dyDescent="0.25">
      <c r="A11606" s="5"/>
    </row>
    <row r="11607" spans="1:1" x14ac:dyDescent="0.25">
      <c r="A11607" s="5"/>
    </row>
    <row r="11608" spans="1:1" x14ac:dyDescent="0.25">
      <c r="A11608" s="5"/>
    </row>
    <row r="11609" spans="1:1" x14ac:dyDescent="0.25">
      <c r="A11609" s="5"/>
    </row>
    <row r="11610" spans="1:1" x14ac:dyDescent="0.25">
      <c r="A11610" s="5"/>
    </row>
    <row r="11611" spans="1:1" x14ac:dyDescent="0.25">
      <c r="A11611" s="5"/>
    </row>
    <row r="11612" spans="1:1" x14ac:dyDescent="0.25">
      <c r="A11612" s="5"/>
    </row>
    <row r="11613" spans="1:1" x14ac:dyDescent="0.25">
      <c r="A11613" s="5"/>
    </row>
    <row r="11614" spans="1:1" x14ac:dyDescent="0.25">
      <c r="A11614" s="5"/>
    </row>
    <row r="11615" spans="1:1" x14ac:dyDescent="0.25">
      <c r="A11615" s="5"/>
    </row>
    <row r="11616" spans="1:1" x14ac:dyDescent="0.25">
      <c r="A11616" s="5"/>
    </row>
    <row r="11617" spans="1:1" x14ac:dyDescent="0.25">
      <c r="A11617" s="5"/>
    </row>
    <row r="11618" spans="1:1" x14ac:dyDescent="0.25">
      <c r="A11618" s="5"/>
    </row>
    <row r="11619" spans="1:1" x14ac:dyDescent="0.25">
      <c r="A11619" s="5"/>
    </row>
    <row r="11620" spans="1:1" x14ac:dyDescent="0.25">
      <c r="A11620" s="5"/>
    </row>
    <row r="11621" spans="1:1" x14ac:dyDescent="0.25">
      <c r="A11621" s="5"/>
    </row>
    <row r="11622" spans="1:1" x14ac:dyDescent="0.25">
      <c r="A11622" s="5"/>
    </row>
    <row r="11623" spans="1:1" x14ac:dyDescent="0.25">
      <c r="A11623" s="5"/>
    </row>
    <row r="11624" spans="1:1" x14ac:dyDescent="0.25">
      <c r="A11624" s="5"/>
    </row>
    <row r="11625" spans="1:1" x14ac:dyDescent="0.25">
      <c r="A11625" s="5"/>
    </row>
    <row r="11626" spans="1:1" x14ac:dyDescent="0.25">
      <c r="A11626" s="5"/>
    </row>
    <row r="11627" spans="1:1" x14ac:dyDescent="0.25">
      <c r="A11627" s="5"/>
    </row>
    <row r="11628" spans="1:1" x14ac:dyDescent="0.25">
      <c r="A11628" s="5"/>
    </row>
    <row r="11629" spans="1:1" x14ac:dyDescent="0.25">
      <c r="A11629" s="5"/>
    </row>
    <row r="11630" spans="1:1" x14ac:dyDescent="0.25">
      <c r="A11630" s="5"/>
    </row>
    <row r="11631" spans="1:1" x14ac:dyDescent="0.25">
      <c r="A11631" s="5"/>
    </row>
    <row r="11632" spans="1:1" x14ac:dyDescent="0.25">
      <c r="A11632" s="5"/>
    </row>
    <row r="11633" spans="1:1" x14ac:dyDescent="0.25">
      <c r="A11633" s="5"/>
    </row>
    <row r="11634" spans="1:1" x14ac:dyDescent="0.25">
      <c r="A11634" s="5"/>
    </row>
    <row r="11635" spans="1:1" x14ac:dyDescent="0.25">
      <c r="A11635" s="5"/>
    </row>
    <row r="11636" spans="1:1" x14ac:dyDescent="0.25">
      <c r="A11636" s="5"/>
    </row>
    <row r="11637" spans="1:1" x14ac:dyDescent="0.25">
      <c r="A11637" s="5"/>
    </row>
    <row r="11638" spans="1:1" x14ac:dyDescent="0.25">
      <c r="A11638" s="5"/>
    </row>
    <row r="11639" spans="1:1" x14ac:dyDescent="0.25">
      <c r="A11639" s="5"/>
    </row>
    <row r="11640" spans="1:1" x14ac:dyDescent="0.25">
      <c r="A11640" s="5"/>
    </row>
    <row r="11641" spans="1:1" x14ac:dyDescent="0.25">
      <c r="A11641" s="5"/>
    </row>
    <row r="11642" spans="1:1" x14ac:dyDescent="0.25">
      <c r="A11642" s="5"/>
    </row>
    <row r="11643" spans="1:1" x14ac:dyDescent="0.25">
      <c r="A11643" s="5"/>
    </row>
    <row r="11644" spans="1:1" x14ac:dyDescent="0.25">
      <c r="A11644" s="5"/>
    </row>
    <row r="11645" spans="1:1" x14ac:dyDescent="0.25">
      <c r="A11645" s="5"/>
    </row>
    <row r="11646" spans="1:1" x14ac:dyDescent="0.25">
      <c r="A11646" s="5"/>
    </row>
    <row r="11647" spans="1:1" x14ac:dyDescent="0.25">
      <c r="A11647" s="5"/>
    </row>
    <row r="11648" spans="1:1" x14ac:dyDescent="0.25">
      <c r="A11648" s="5"/>
    </row>
    <row r="11649" spans="1:1" x14ac:dyDescent="0.25">
      <c r="A11649" s="5"/>
    </row>
    <row r="11650" spans="1:1" x14ac:dyDescent="0.25">
      <c r="A11650" s="5"/>
    </row>
    <row r="11651" spans="1:1" x14ac:dyDescent="0.25">
      <c r="A11651" s="5"/>
    </row>
    <row r="11652" spans="1:1" x14ac:dyDescent="0.25">
      <c r="A11652" s="5"/>
    </row>
    <row r="11653" spans="1:1" x14ac:dyDescent="0.25">
      <c r="A11653" s="5"/>
    </row>
    <row r="11654" spans="1:1" x14ac:dyDescent="0.25">
      <c r="A11654" s="5"/>
    </row>
    <row r="11655" spans="1:1" x14ac:dyDescent="0.25">
      <c r="A11655" s="5"/>
    </row>
    <row r="11656" spans="1:1" x14ac:dyDescent="0.25">
      <c r="A11656" s="5"/>
    </row>
    <row r="11657" spans="1:1" x14ac:dyDescent="0.25">
      <c r="A11657" s="5"/>
    </row>
    <row r="11658" spans="1:1" x14ac:dyDescent="0.25">
      <c r="A11658" s="5"/>
    </row>
    <row r="11659" spans="1:1" x14ac:dyDescent="0.25">
      <c r="A11659" s="5"/>
    </row>
    <row r="11660" spans="1:1" x14ac:dyDescent="0.25">
      <c r="A11660" s="5"/>
    </row>
    <row r="11661" spans="1:1" x14ac:dyDescent="0.25">
      <c r="A11661" s="5"/>
    </row>
    <row r="11662" spans="1:1" x14ac:dyDescent="0.25">
      <c r="A11662" s="5"/>
    </row>
    <row r="11663" spans="1:1" x14ac:dyDescent="0.25">
      <c r="A11663" s="5"/>
    </row>
    <row r="11664" spans="1:1" x14ac:dyDescent="0.25">
      <c r="A11664" s="5"/>
    </row>
    <row r="11665" spans="1:1" x14ac:dyDescent="0.25">
      <c r="A11665" s="5"/>
    </row>
    <row r="11666" spans="1:1" x14ac:dyDescent="0.25">
      <c r="A11666" s="5"/>
    </row>
    <row r="11667" spans="1:1" x14ac:dyDescent="0.25">
      <c r="A11667" s="5"/>
    </row>
    <row r="11668" spans="1:1" x14ac:dyDescent="0.25">
      <c r="A11668" s="5"/>
    </row>
    <row r="11669" spans="1:1" x14ac:dyDescent="0.25">
      <c r="A11669" s="5"/>
    </row>
    <row r="11670" spans="1:1" x14ac:dyDescent="0.25">
      <c r="A11670" s="5"/>
    </row>
    <row r="11671" spans="1:1" x14ac:dyDescent="0.25">
      <c r="A11671" s="5"/>
    </row>
    <row r="11672" spans="1:1" x14ac:dyDescent="0.25">
      <c r="A11672" s="5"/>
    </row>
    <row r="11673" spans="1:1" x14ac:dyDescent="0.25">
      <c r="A11673" s="5"/>
    </row>
    <row r="11674" spans="1:1" x14ac:dyDescent="0.25">
      <c r="A11674" s="5"/>
    </row>
    <row r="11675" spans="1:1" x14ac:dyDescent="0.25">
      <c r="A11675" s="5"/>
    </row>
    <row r="11676" spans="1:1" x14ac:dyDescent="0.25">
      <c r="A11676" s="5"/>
    </row>
    <row r="11677" spans="1:1" x14ac:dyDescent="0.25">
      <c r="A11677" s="5"/>
    </row>
    <row r="11678" spans="1:1" x14ac:dyDescent="0.25">
      <c r="A11678" s="5"/>
    </row>
    <row r="11679" spans="1:1" x14ac:dyDescent="0.25">
      <c r="A11679" s="5"/>
    </row>
    <row r="11680" spans="1:1" x14ac:dyDescent="0.25">
      <c r="A11680" s="5"/>
    </row>
    <row r="11681" spans="1:1" x14ac:dyDescent="0.25">
      <c r="A11681" s="5"/>
    </row>
    <row r="11682" spans="1:1" x14ac:dyDescent="0.25">
      <c r="A11682" s="5"/>
    </row>
    <row r="11683" spans="1:1" x14ac:dyDescent="0.25">
      <c r="A11683" s="5"/>
    </row>
    <row r="11684" spans="1:1" x14ac:dyDescent="0.25">
      <c r="A11684" s="5"/>
    </row>
    <row r="11685" spans="1:1" x14ac:dyDescent="0.25">
      <c r="A11685" s="5"/>
    </row>
    <row r="11686" spans="1:1" x14ac:dyDescent="0.25">
      <c r="A11686" s="5"/>
    </row>
    <row r="11687" spans="1:1" x14ac:dyDescent="0.25">
      <c r="A11687" s="5"/>
    </row>
    <row r="11688" spans="1:1" x14ac:dyDescent="0.25">
      <c r="A11688" s="5"/>
    </row>
    <row r="11689" spans="1:1" x14ac:dyDescent="0.25">
      <c r="A11689" s="5"/>
    </row>
    <row r="11690" spans="1:1" x14ac:dyDescent="0.25">
      <c r="A11690" s="5"/>
    </row>
    <row r="11691" spans="1:1" x14ac:dyDescent="0.25">
      <c r="A11691" s="5"/>
    </row>
    <row r="11692" spans="1:1" x14ac:dyDescent="0.25">
      <c r="A11692" s="5"/>
    </row>
    <row r="11693" spans="1:1" x14ac:dyDescent="0.25">
      <c r="A11693" s="5"/>
    </row>
    <row r="11694" spans="1:1" x14ac:dyDescent="0.25">
      <c r="A11694" s="5"/>
    </row>
    <row r="11695" spans="1:1" x14ac:dyDescent="0.25">
      <c r="A11695" s="5"/>
    </row>
    <row r="11696" spans="1:1" x14ac:dyDescent="0.25">
      <c r="A11696" s="5"/>
    </row>
    <row r="11697" spans="1:1" x14ac:dyDescent="0.25">
      <c r="A11697" s="5"/>
    </row>
    <row r="11698" spans="1:1" x14ac:dyDescent="0.25">
      <c r="A11698" s="5"/>
    </row>
    <row r="11699" spans="1:1" x14ac:dyDescent="0.25">
      <c r="A11699" s="5"/>
    </row>
    <row r="11700" spans="1:1" x14ac:dyDescent="0.25">
      <c r="A11700" s="5"/>
    </row>
    <row r="11701" spans="1:1" x14ac:dyDescent="0.25">
      <c r="A11701" s="5"/>
    </row>
    <row r="11702" spans="1:1" x14ac:dyDescent="0.25">
      <c r="A11702" s="5"/>
    </row>
    <row r="11703" spans="1:1" x14ac:dyDescent="0.25">
      <c r="A11703" s="5"/>
    </row>
    <row r="11704" spans="1:1" x14ac:dyDescent="0.25">
      <c r="A11704" s="5"/>
    </row>
    <row r="11705" spans="1:1" x14ac:dyDescent="0.25">
      <c r="A11705" s="5"/>
    </row>
    <row r="11706" spans="1:1" x14ac:dyDescent="0.25">
      <c r="A11706" s="5"/>
    </row>
    <row r="11707" spans="1:1" x14ac:dyDescent="0.25">
      <c r="A11707" s="5"/>
    </row>
    <row r="11708" spans="1:1" x14ac:dyDescent="0.25">
      <c r="A11708" s="5"/>
    </row>
    <row r="11709" spans="1:1" x14ac:dyDescent="0.25">
      <c r="A11709" s="5"/>
    </row>
    <row r="11710" spans="1:1" x14ac:dyDescent="0.25">
      <c r="A11710" s="5"/>
    </row>
    <row r="11711" spans="1:1" x14ac:dyDescent="0.25">
      <c r="A11711" s="5"/>
    </row>
    <row r="11712" spans="1:1" x14ac:dyDescent="0.25">
      <c r="A11712" s="5"/>
    </row>
    <row r="11713" spans="1:1" x14ac:dyDescent="0.25">
      <c r="A11713" s="5"/>
    </row>
    <row r="11714" spans="1:1" x14ac:dyDescent="0.25">
      <c r="A11714" s="5"/>
    </row>
    <row r="11715" spans="1:1" x14ac:dyDescent="0.25">
      <c r="A11715" s="5"/>
    </row>
    <row r="11716" spans="1:1" x14ac:dyDescent="0.25">
      <c r="A11716" s="5"/>
    </row>
    <row r="11717" spans="1:1" x14ac:dyDescent="0.25">
      <c r="A11717" s="5"/>
    </row>
    <row r="11718" spans="1:1" x14ac:dyDescent="0.25">
      <c r="A11718" s="5"/>
    </row>
    <row r="11719" spans="1:1" x14ac:dyDescent="0.25">
      <c r="A11719" s="5"/>
    </row>
    <row r="11720" spans="1:1" x14ac:dyDescent="0.25">
      <c r="A11720" s="5"/>
    </row>
    <row r="11721" spans="1:1" x14ac:dyDescent="0.25">
      <c r="A11721" s="5"/>
    </row>
    <row r="11722" spans="1:1" x14ac:dyDescent="0.25">
      <c r="A11722" s="5"/>
    </row>
    <row r="11723" spans="1:1" x14ac:dyDescent="0.25">
      <c r="A11723" s="5"/>
    </row>
    <row r="11724" spans="1:1" x14ac:dyDescent="0.25">
      <c r="A11724" s="5"/>
    </row>
    <row r="11725" spans="1:1" x14ac:dyDescent="0.25">
      <c r="A11725" s="5"/>
    </row>
    <row r="11726" spans="1:1" x14ac:dyDescent="0.25">
      <c r="A11726" s="5"/>
    </row>
    <row r="11727" spans="1:1" x14ac:dyDescent="0.25">
      <c r="A11727" s="5"/>
    </row>
    <row r="11728" spans="1:1" x14ac:dyDescent="0.25">
      <c r="A11728" s="5"/>
    </row>
    <row r="11729" spans="1:1" x14ac:dyDescent="0.25">
      <c r="A11729" s="5"/>
    </row>
    <row r="11730" spans="1:1" x14ac:dyDescent="0.25">
      <c r="A11730" s="5"/>
    </row>
    <row r="11731" spans="1:1" x14ac:dyDescent="0.25">
      <c r="A11731" s="5"/>
    </row>
    <row r="11732" spans="1:1" x14ac:dyDescent="0.25">
      <c r="A11732" s="5"/>
    </row>
    <row r="11733" spans="1:1" x14ac:dyDescent="0.25">
      <c r="A11733" s="5"/>
    </row>
    <row r="11734" spans="1:1" x14ac:dyDescent="0.25">
      <c r="A11734" s="5"/>
    </row>
    <row r="11735" spans="1:1" x14ac:dyDescent="0.25">
      <c r="A11735" s="5"/>
    </row>
    <row r="11736" spans="1:1" x14ac:dyDescent="0.25">
      <c r="A11736" s="5"/>
    </row>
    <row r="11737" spans="1:1" x14ac:dyDescent="0.25">
      <c r="A11737" s="5"/>
    </row>
    <row r="11738" spans="1:1" x14ac:dyDescent="0.25">
      <c r="A11738" s="5"/>
    </row>
    <row r="11739" spans="1:1" x14ac:dyDescent="0.25">
      <c r="A11739" s="5"/>
    </row>
    <row r="11740" spans="1:1" x14ac:dyDescent="0.25">
      <c r="A11740" s="5"/>
    </row>
    <row r="11741" spans="1:1" x14ac:dyDescent="0.25">
      <c r="A11741" s="5"/>
    </row>
    <row r="11742" spans="1:1" x14ac:dyDescent="0.25">
      <c r="A11742" s="5"/>
    </row>
    <row r="11743" spans="1:1" x14ac:dyDescent="0.25">
      <c r="A11743" s="5"/>
    </row>
    <row r="11744" spans="1:1" x14ac:dyDescent="0.25">
      <c r="A11744" s="5"/>
    </row>
    <row r="11745" spans="1:1" x14ac:dyDescent="0.25">
      <c r="A11745" s="5"/>
    </row>
    <row r="11746" spans="1:1" x14ac:dyDescent="0.25">
      <c r="A11746" s="5"/>
    </row>
    <row r="11747" spans="1:1" x14ac:dyDescent="0.25">
      <c r="A11747" s="5"/>
    </row>
    <row r="11748" spans="1:1" x14ac:dyDescent="0.25">
      <c r="A11748" s="5"/>
    </row>
    <row r="11749" spans="1:1" x14ac:dyDescent="0.25">
      <c r="A11749" s="5"/>
    </row>
    <row r="11750" spans="1:1" x14ac:dyDescent="0.25">
      <c r="A11750" s="5"/>
    </row>
    <row r="11751" spans="1:1" x14ac:dyDescent="0.25">
      <c r="A11751" s="5"/>
    </row>
    <row r="11752" spans="1:1" x14ac:dyDescent="0.25">
      <c r="A11752" s="5"/>
    </row>
    <row r="11753" spans="1:1" x14ac:dyDescent="0.25">
      <c r="A11753" s="5"/>
    </row>
    <row r="11754" spans="1:1" x14ac:dyDescent="0.25">
      <c r="A11754" s="5"/>
    </row>
    <row r="11755" spans="1:1" x14ac:dyDescent="0.25">
      <c r="A11755" s="5"/>
    </row>
    <row r="11756" spans="1:1" x14ac:dyDescent="0.25">
      <c r="A11756" s="5"/>
    </row>
    <row r="11757" spans="1:1" x14ac:dyDescent="0.25">
      <c r="A11757" s="5"/>
    </row>
    <row r="11758" spans="1:1" x14ac:dyDescent="0.25">
      <c r="A11758" s="5"/>
    </row>
    <row r="11759" spans="1:1" x14ac:dyDescent="0.25">
      <c r="A11759" s="5"/>
    </row>
    <row r="11760" spans="1:1" x14ac:dyDescent="0.25">
      <c r="A11760" s="5"/>
    </row>
    <row r="11761" spans="1:1" x14ac:dyDescent="0.25">
      <c r="A11761" s="5"/>
    </row>
    <row r="11762" spans="1:1" x14ac:dyDescent="0.25">
      <c r="A11762" s="5"/>
    </row>
    <row r="11763" spans="1:1" x14ac:dyDescent="0.25">
      <c r="A11763" s="5"/>
    </row>
    <row r="11764" spans="1:1" x14ac:dyDescent="0.25">
      <c r="A11764" s="5"/>
    </row>
    <row r="11765" spans="1:1" x14ac:dyDescent="0.25">
      <c r="A11765" s="5"/>
    </row>
    <row r="11766" spans="1:1" x14ac:dyDescent="0.25">
      <c r="A11766" s="5"/>
    </row>
    <row r="11767" spans="1:1" x14ac:dyDescent="0.25">
      <c r="A11767" s="5"/>
    </row>
    <row r="11768" spans="1:1" x14ac:dyDescent="0.25">
      <c r="A11768" s="5"/>
    </row>
    <row r="11769" spans="1:1" x14ac:dyDescent="0.25">
      <c r="A11769" s="5"/>
    </row>
    <row r="11770" spans="1:1" x14ac:dyDescent="0.25">
      <c r="A11770" s="5"/>
    </row>
    <row r="11771" spans="1:1" x14ac:dyDescent="0.25">
      <c r="A11771" s="5"/>
    </row>
    <row r="11772" spans="1:1" x14ac:dyDescent="0.25">
      <c r="A11772" s="5"/>
    </row>
    <row r="11773" spans="1:1" x14ac:dyDescent="0.25">
      <c r="A11773" s="5"/>
    </row>
    <row r="11774" spans="1:1" x14ac:dyDescent="0.25">
      <c r="A11774" s="5"/>
    </row>
    <row r="11775" spans="1:1" x14ac:dyDescent="0.25">
      <c r="A11775" s="5"/>
    </row>
    <row r="11776" spans="1:1" x14ac:dyDescent="0.25">
      <c r="A11776" s="5"/>
    </row>
    <row r="11777" spans="1:1" x14ac:dyDescent="0.25">
      <c r="A11777" s="5"/>
    </row>
    <row r="11778" spans="1:1" x14ac:dyDescent="0.25">
      <c r="A11778" s="5"/>
    </row>
    <row r="11779" spans="1:1" x14ac:dyDescent="0.25">
      <c r="A11779" s="5"/>
    </row>
    <row r="11780" spans="1:1" x14ac:dyDescent="0.25">
      <c r="A11780" s="5"/>
    </row>
    <row r="11781" spans="1:1" x14ac:dyDescent="0.25">
      <c r="A11781" s="5"/>
    </row>
    <row r="11782" spans="1:1" x14ac:dyDescent="0.25">
      <c r="A11782" s="5"/>
    </row>
    <row r="11783" spans="1:1" x14ac:dyDescent="0.25">
      <c r="A11783" s="5"/>
    </row>
    <row r="11784" spans="1:1" x14ac:dyDescent="0.25">
      <c r="A11784" s="5"/>
    </row>
    <row r="11785" spans="1:1" x14ac:dyDescent="0.25">
      <c r="A11785" s="5"/>
    </row>
    <row r="11786" spans="1:1" x14ac:dyDescent="0.25">
      <c r="A11786" s="5"/>
    </row>
    <row r="11787" spans="1:1" x14ac:dyDescent="0.25">
      <c r="A11787" s="5"/>
    </row>
    <row r="11788" spans="1:1" x14ac:dyDescent="0.25">
      <c r="A11788" s="5"/>
    </row>
    <row r="11789" spans="1:1" x14ac:dyDescent="0.25">
      <c r="A11789" s="5"/>
    </row>
    <row r="11790" spans="1:1" x14ac:dyDescent="0.25">
      <c r="A11790" s="5"/>
    </row>
    <row r="11791" spans="1:1" x14ac:dyDescent="0.25">
      <c r="A11791" s="5"/>
    </row>
    <row r="11792" spans="1:1" x14ac:dyDescent="0.25">
      <c r="A11792" s="5"/>
    </row>
    <row r="11793" spans="1:1" x14ac:dyDescent="0.25">
      <c r="A11793" s="5"/>
    </row>
    <row r="11794" spans="1:1" x14ac:dyDescent="0.25">
      <c r="A11794" s="5"/>
    </row>
    <row r="11795" spans="1:1" x14ac:dyDescent="0.25">
      <c r="A11795" s="5"/>
    </row>
    <row r="11796" spans="1:1" x14ac:dyDescent="0.25">
      <c r="A11796" s="5"/>
    </row>
    <row r="11797" spans="1:1" x14ac:dyDescent="0.25">
      <c r="A11797" s="5"/>
    </row>
    <row r="11798" spans="1:1" x14ac:dyDescent="0.25">
      <c r="A11798" s="5"/>
    </row>
    <row r="11799" spans="1:1" x14ac:dyDescent="0.25">
      <c r="A11799" s="5"/>
    </row>
    <row r="11800" spans="1:1" x14ac:dyDescent="0.25">
      <c r="A11800" s="5"/>
    </row>
    <row r="11801" spans="1:1" x14ac:dyDescent="0.25">
      <c r="A11801" s="5"/>
    </row>
    <row r="11802" spans="1:1" x14ac:dyDescent="0.25">
      <c r="A11802" s="5"/>
    </row>
    <row r="11803" spans="1:1" x14ac:dyDescent="0.25">
      <c r="A11803" s="5"/>
    </row>
    <row r="11804" spans="1:1" x14ac:dyDescent="0.25">
      <c r="A11804" s="5"/>
    </row>
    <row r="11805" spans="1:1" x14ac:dyDescent="0.25">
      <c r="A11805" s="5"/>
    </row>
    <row r="11806" spans="1:1" x14ac:dyDescent="0.25">
      <c r="A11806" s="5"/>
    </row>
    <row r="11807" spans="1:1" x14ac:dyDescent="0.25">
      <c r="A11807" s="5"/>
    </row>
    <row r="11808" spans="1:1" x14ac:dyDescent="0.25">
      <c r="A11808" s="5"/>
    </row>
    <row r="11809" spans="1:1" x14ac:dyDescent="0.25">
      <c r="A11809" s="5"/>
    </row>
    <row r="11810" spans="1:1" x14ac:dyDescent="0.25">
      <c r="A11810" s="5"/>
    </row>
    <row r="11811" spans="1:1" x14ac:dyDescent="0.25">
      <c r="A11811" s="5"/>
    </row>
    <row r="11812" spans="1:1" x14ac:dyDescent="0.25">
      <c r="A11812" s="5"/>
    </row>
    <row r="11813" spans="1:1" x14ac:dyDescent="0.25">
      <c r="A11813" s="5"/>
    </row>
    <row r="11814" spans="1:1" x14ac:dyDescent="0.25">
      <c r="A11814" s="5"/>
    </row>
    <row r="11815" spans="1:1" x14ac:dyDescent="0.25">
      <c r="A11815" s="5"/>
    </row>
    <row r="11816" spans="1:1" x14ac:dyDescent="0.25">
      <c r="A11816" s="5"/>
    </row>
    <row r="11817" spans="1:1" x14ac:dyDescent="0.25">
      <c r="A11817" s="5"/>
    </row>
    <row r="11818" spans="1:1" x14ac:dyDescent="0.25">
      <c r="A11818" s="5"/>
    </row>
    <row r="11819" spans="1:1" x14ac:dyDescent="0.25">
      <c r="A11819" s="5"/>
    </row>
    <row r="11820" spans="1:1" x14ac:dyDescent="0.25">
      <c r="A11820" s="5"/>
    </row>
    <row r="11821" spans="1:1" x14ac:dyDescent="0.25">
      <c r="A11821" s="5"/>
    </row>
    <row r="11822" spans="1:1" x14ac:dyDescent="0.25">
      <c r="A11822" s="5"/>
    </row>
    <row r="11823" spans="1:1" x14ac:dyDescent="0.25">
      <c r="A11823" s="5"/>
    </row>
    <row r="11824" spans="1:1" x14ac:dyDescent="0.25">
      <c r="A11824" s="5"/>
    </row>
    <row r="11825" spans="1:1" x14ac:dyDescent="0.25">
      <c r="A11825" s="5"/>
    </row>
    <row r="11826" spans="1:1" x14ac:dyDescent="0.25">
      <c r="A11826" s="5"/>
    </row>
    <row r="11827" spans="1:1" x14ac:dyDescent="0.25">
      <c r="A11827" s="5"/>
    </row>
    <row r="11828" spans="1:1" x14ac:dyDescent="0.25">
      <c r="A11828" s="5"/>
    </row>
    <row r="11829" spans="1:1" x14ac:dyDescent="0.25">
      <c r="A11829" s="5"/>
    </row>
    <row r="11830" spans="1:1" x14ac:dyDescent="0.25">
      <c r="A11830" s="5"/>
    </row>
    <row r="11831" spans="1:1" x14ac:dyDescent="0.25">
      <c r="A11831" s="5"/>
    </row>
    <row r="11832" spans="1:1" x14ac:dyDescent="0.25">
      <c r="A11832" s="5"/>
    </row>
    <row r="11833" spans="1:1" x14ac:dyDescent="0.25">
      <c r="A11833" s="5"/>
    </row>
    <row r="11834" spans="1:1" x14ac:dyDescent="0.25">
      <c r="A11834" s="5"/>
    </row>
    <row r="11835" spans="1:1" x14ac:dyDescent="0.25">
      <c r="A11835" s="5"/>
    </row>
    <row r="11836" spans="1:1" x14ac:dyDescent="0.25">
      <c r="A11836" s="5"/>
    </row>
    <row r="11837" spans="1:1" x14ac:dyDescent="0.25">
      <c r="A11837" s="5"/>
    </row>
    <row r="11838" spans="1:1" x14ac:dyDescent="0.25">
      <c r="A11838" s="5"/>
    </row>
    <row r="11839" spans="1:1" x14ac:dyDescent="0.25">
      <c r="A11839" s="5"/>
    </row>
    <row r="11840" spans="1:1" x14ac:dyDescent="0.25">
      <c r="A11840" s="5"/>
    </row>
    <row r="11841" spans="1:1" x14ac:dyDescent="0.25">
      <c r="A11841" s="5"/>
    </row>
    <row r="11842" spans="1:1" x14ac:dyDescent="0.25">
      <c r="A11842" s="5"/>
    </row>
    <row r="11843" spans="1:1" x14ac:dyDescent="0.25">
      <c r="A11843" s="5"/>
    </row>
    <row r="11844" spans="1:1" x14ac:dyDescent="0.25">
      <c r="A11844" s="5"/>
    </row>
    <row r="11845" spans="1:1" x14ac:dyDescent="0.25">
      <c r="A11845" s="5"/>
    </row>
    <row r="11846" spans="1:1" x14ac:dyDescent="0.25">
      <c r="A11846" s="5"/>
    </row>
    <row r="11847" spans="1:1" x14ac:dyDescent="0.25">
      <c r="A11847" s="5"/>
    </row>
    <row r="11848" spans="1:1" x14ac:dyDescent="0.25">
      <c r="A11848" s="5"/>
    </row>
    <row r="11849" spans="1:1" x14ac:dyDescent="0.25">
      <c r="A11849" s="5"/>
    </row>
    <row r="11850" spans="1:1" x14ac:dyDescent="0.25">
      <c r="A11850" s="5"/>
    </row>
    <row r="11851" spans="1:1" x14ac:dyDescent="0.25">
      <c r="A11851" s="5"/>
    </row>
    <row r="11852" spans="1:1" x14ac:dyDescent="0.25">
      <c r="A11852" s="5"/>
    </row>
    <row r="11853" spans="1:1" x14ac:dyDescent="0.25">
      <c r="A11853" s="5"/>
    </row>
    <row r="11854" spans="1:1" x14ac:dyDescent="0.25">
      <c r="A11854" s="5"/>
    </row>
    <row r="11855" spans="1:1" x14ac:dyDescent="0.25">
      <c r="A11855" s="5"/>
    </row>
    <row r="11856" spans="1:1" x14ac:dyDescent="0.25">
      <c r="A11856" s="5"/>
    </row>
    <row r="11857" spans="1:1" x14ac:dyDescent="0.25">
      <c r="A11857" s="5"/>
    </row>
    <row r="11858" spans="1:1" x14ac:dyDescent="0.25">
      <c r="A11858" s="5"/>
    </row>
    <row r="11859" spans="1:1" x14ac:dyDescent="0.25">
      <c r="A11859" s="5"/>
    </row>
    <row r="11860" spans="1:1" x14ac:dyDescent="0.25">
      <c r="A11860" s="5"/>
    </row>
    <row r="11861" spans="1:1" x14ac:dyDescent="0.25">
      <c r="A11861" s="5"/>
    </row>
    <row r="11862" spans="1:1" x14ac:dyDescent="0.25">
      <c r="A11862" s="5"/>
    </row>
    <row r="11863" spans="1:1" x14ac:dyDescent="0.25">
      <c r="A11863" s="5"/>
    </row>
    <row r="11864" spans="1:1" x14ac:dyDescent="0.25">
      <c r="A11864" s="5"/>
    </row>
    <row r="11865" spans="1:1" x14ac:dyDescent="0.25">
      <c r="A11865" s="5"/>
    </row>
    <row r="11866" spans="1:1" x14ac:dyDescent="0.25">
      <c r="A11866" s="5"/>
    </row>
    <row r="11867" spans="1:1" x14ac:dyDescent="0.25">
      <c r="A11867" s="5"/>
    </row>
    <row r="11868" spans="1:1" x14ac:dyDescent="0.25">
      <c r="A11868" s="5"/>
    </row>
    <row r="11869" spans="1:1" x14ac:dyDescent="0.25">
      <c r="A11869" s="5"/>
    </row>
    <row r="11870" spans="1:1" x14ac:dyDescent="0.25">
      <c r="A11870" s="5"/>
    </row>
    <row r="11871" spans="1:1" x14ac:dyDescent="0.25">
      <c r="A11871" s="5"/>
    </row>
    <row r="11872" spans="1:1" x14ac:dyDescent="0.25">
      <c r="A11872" s="5"/>
    </row>
    <row r="11873" spans="1:1" x14ac:dyDescent="0.25">
      <c r="A11873" s="5"/>
    </row>
    <row r="11874" spans="1:1" x14ac:dyDescent="0.25">
      <c r="A11874" s="5"/>
    </row>
    <row r="11875" spans="1:1" x14ac:dyDescent="0.25">
      <c r="A11875" s="5"/>
    </row>
    <row r="11876" spans="1:1" x14ac:dyDescent="0.25">
      <c r="A11876" s="5"/>
    </row>
    <row r="11877" spans="1:1" x14ac:dyDescent="0.25">
      <c r="A11877" s="5"/>
    </row>
    <row r="11878" spans="1:1" x14ac:dyDescent="0.25">
      <c r="A11878" s="5"/>
    </row>
    <row r="11879" spans="1:1" x14ac:dyDescent="0.25">
      <c r="A11879" s="5"/>
    </row>
    <row r="11880" spans="1:1" x14ac:dyDescent="0.25">
      <c r="A11880" s="5"/>
    </row>
    <row r="11881" spans="1:1" x14ac:dyDescent="0.25">
      <c r="A11881" s="5"/>
    </row>
    <row r="11882" spans="1:1" x14ac:dyDescent="0.25">
      <c r="A11882" s="5"/>
    </row>
    <row r="11883" spans="1:1" x14ac:dyDescent="0.25">
      <c r="A11883" s="5"/>
    </row>
    <row r="11884" spans="1:1" x14ac:dyDescent="0.25">
      <c r="A11884" s="5"/>
    </row>
    <row r="11885" spans="1:1" x14ac:dyDescent="0.25">
      <c r="A11885" s="5"/>
    </row>
    <row r="11886" spans="1:1" x14ac:dyDescent="0.25">
      <c r="A11886" s="5"/>
    </row>
    <row r="11887" spans="1:1" x14ac:dyDescent="0.25">
      <c r="A11887" s="5"/>
    </row>
    <row r="11888" spans="1:1" x14ac:dyDescent="0.25">
      <c r="A11888" s="5"/>
    </row>
    <row r="11889" spans="1:1" x14ac:dyDescent="0.25">
      <c r="A11889" s="5"/>
    </row>
    <row r="11890" spans="1:1" x14ac:dyDescent="0.25">
      <c r="A11890" s="5"/>
    </row>
    <row r="11891" spans="1:1" x14ac:dyDescent="0.25">
      <c r="A11891" s="5"/>
    </row>
    <row r="11892" spans="1:1" x14ac:dyDescent="0.25">
      <c r="A11892" s="5"/>
    </row>
    <row r="11893" spans="1:1" x14ac:dyDescent="0.25">
      <c r="A11893" s="5"/>
    </row>
    <row r="11894" spans="1:1" x14ac:dyDescent="0.25">
      <c r="A11894" s="5"/>
    </row>
    <row r="11895" spans="1:1" x14ac:dyDescent="0.25">
      <c r="A11895" s="5"/>
    </row>
    <row r="11896" spans="1:1" x14ac:dyDescent="0.25">
      <c r="A11896" s="5"/>
    </row>
    <row r="11897" spans="1:1" x14ac:dyDescent="0.25">
      <c r="A11897" s="5"/>
    </row>
    <row r="11898" spans="1:1" x14ac:dyDescent="0.25">
      <c r="A11898" s="5"/>
    </row>
    <row r="11899" spans="1:1" x14ac:dyDescent="0.25">
      <c r="A11899" s="5"/>
    </row>
    <row r="11900" spans="1:1" x14ac:dyDescent="0.25">
      <c r="A11900" s="5"/>
    </row>
    <row r="11901" spans="1:1" x14ac:dyDescent="0.25">
      <c r="A11901" s="5"/>
    </row>
    <row r="11902" spans="1:1" x14ac:dyDescent="0.25">
      <c r="A11902" s="5"/>
    </row>
    <row r="11903" spans="1:1" x14ac:dyDescent="0.25">
      <c r="A11903" s="5"/>
    </row>
    <row r="11904" spans="1:1" x14ac:dyDescent="0.25">
      <c r="A11904" s="5"/>
    </row>
    <row r="11905" spans="1:1" x14ac:dyDescent="0.25">
      <c r="A11905" s="5"/>
    </row>
    <row r="11906" spans="1:1" x14ac:dyDescent="0.25">
      <c r="A11906" s="5"/>
    </row>
    <row r="11907" spans="1:1" x14ac:dyDescent="0.25">
      <c r="A11907" s="5"/>
    </row>
    <row r="11908" spans="1:1" x14ac:dyDescent="0.25">
      <c r="A11908" s="5"/>
    </row>
    <row r="11909" spans="1:1" x14ac:dyDescent="0.25">
      <c r="A11909" s="5"/>
    </row>
    <row r="11910" spans="1:1" x14ac:dyDescent="0.25">
      <c r="A11910" s="5"/>
    </row>
    <row r="11911" spans="1:1" x14ac:dyDescent="0.25">
      <c r="A11911" s="5"/>
    </row>
    <row r="11912" spans="1:1" x14ac:dyDescent="0.25">
      <c r="A11912" s="5"/>
    </row>
    <row r="11913" spans="1:1" x14ac:dyDescent="0.25">
      <c r="A11913" s="5"/>
    </row>
    <row r="11914" spans="1:1" x14ac:dyDescent="0.25">
      <c r="A11914" s="5"/>
    </row>
    <row r="11915" spans="1:1" x14ac:dyDescent="0.25">
      <c r="A11915" s="5"/>
    </row>
    <row r="11916" spans="1:1" x14ac:dyDescent="0.25">
      <c r="A11916" s="5"/>
    </row>
    <row r="11917" spans="1:1" x14ac:dyDescent="0.25">
      <c r="A11917" s="5"/>
    </row>
    <row r="11918" spans="1:1" x14ac:dyDescent="0.25">
      <c r="A11918" s="5"/>
    </row>
    <row r="11919" spans="1:1" x14ac:dyDescent="0.25">
      <c r="A11919" s="5"/>
    </row>
    <row r="11920" spans="1:1" x14ac:dyDescent="0.25">
      <c r="A11920" s="5"/>
    </row>
    <row r="11921" spans="1:1" x14ac:dyDescent="0.25">
      <c r="A11921" s="5"/>
    </row>
    <row r="11922" spans="1:1" x14ac:dyDescent="0.25">
      <c r="A11922" s="5"/>
    </row>
    <row r="11923" spans="1:1" x14ac:dyDescent="0.25">
      <c r="A11923" s="5"/>
    </row>
    <row r="11924" spans="1:1" x14ac:dyDescent="0.25">
      <c r="A11924" s="5"/>
    </row>
    <row r="11925" spans="1:1" x14ac:dyDescent="0.25">
      <c r="A11925" s="5"/>
    </row>
    <row r="11926" spans="1:1" x14ac:dyDescent="0.25">
      <c r="A11926" s="5"/>
    </row>
    <row r="11927" spans="1:1" x14ac:dyDescent="0.25">
      <c r="A11927" s="5"/>
    </row>
    <row r="11928" spans="1:1" x14ac:dyDescent="0.25">
      <c r="A11928" s="5"/>
    </row>
    <row r="11929" spans="1:1" x14ac:dyDescent="0.25">
      <c r="A11929" s="5"/>
    </row>
    <row r="11930" spans="1:1" x14ac:dyDescent="0.25">
      <c r="A11930" s="5"/>
    </row>
    <row r="11931" spans="1:1" x14ac:dyDescent="0.25">
      <c r="A11931" s="5"/>
    </row>
    <row r="11932" spans="1:1" x14ac:dyDescent="0.25">
      <c r="A11932" s="5"/>
    </row>
    <row r="11933" spans="1:1" x14ac:dyDescent="0.25">
      <c r="A11933" s="5"/>
    </row>
    <row r="11934" spans="1:1" x14ac:dyDescent="0.25">
      <c r="A11934" s="5"/>
    </row>
    <row r="11935" spans="1:1" x14ac:dyDescent="0.25">
      <c r="A11935" s="5"/>
    </row>
    <row r="11936" spans="1:1" x14ac:dyDescent="0.25">
      <c r="A11936" s="5"/>
    </row>
    <row r="11937" spans="1:1" x14ac:dyDescent="0.25">
      <c r="A11937" s="5"/>
    </row>
    <row r="11938" spans="1:1" x14ac:dyDescent="0.25">
      <c r="A11938" s="5"/>
    </row>
    <row r="11939" spans="1:1" x14ac:dyDescent="0.25">
      <c r="A11939" s="5"/>
    </row>
    <row r="11940" spans="1:1" x14ac:dyDescent="0.25">
      <c r="A11940" s="5"/>
    </row>
    <row r="11941" spans="1:1" x14ac:dyDescent="0.25">
      <c r="A11941" s="5"/>
    </row>
    <row r="11942" spans="1:1" x14ac:dyDescent="0.25">
      <c r="A11942" s="5"/>
    </row>
    <row r="11943" spans="1:1" x14ac:dyDescent="0.25">
      <c r="A11943" s="5"/>
    </row>
    <row r="11944" spans="1:1" x14ac:dyDescent="0.25">
      <c r="A11944" s="5"/>
    </row>
    <row r="11945" spans="1:1" x14ac:dyDescent="0.25">
      <c r="A11945" s="5"/>
    </row>
    <row r="11946" spans="1:1" x14ac:dyDescent="0.25">
      <c r="A11946" s="5"/>
    </row>
    <row r="11947" spans="1:1" x14ac:dyDescent="0.25">
      <c r="A11947" s="5"/>
    </row>
    <row r="11948" spans="1:1" x14ac:dyDescent="0.25">
      <c r="A11948" s="5"/>
    </row>
    <row r="11949" spans="1:1" x14ac:dyDescent="0.25">
      <c r="A11949" s="5"/>
    </row>
    <row r="11950" spans="1:1" x14ac:dyDescent="0.25">
      <c r="A11950" s="5"/>
    </row>
    <row r="11951" spans="1:1" x14ac:dyDescent="0.25">
      <c r="A11951" s="5"/>
    </row>
    <row r="11952" spans="1:1" x14ac:dyDescent="0.25">
      <c r="A11952" s="5"/>
    </row>
    <row r="11953" spans="1:1" x14ac:dyDescent="0.25">
      <c r="A11953" s="5"/>
    </row>
    <row r="11954" spans="1:1" x14ac:dyDescent="0.25">
      <c r="A11954" s="5"/>
    </row>
    <row r="11955" spans="1:1" x14ac:dyDescent="0.25">
      <c r="A11955" s="5"/>
    </row>
    <row r="11956" spans="1:1" x14ac:dyDescent="0.25">
      <c r="A11956" s="5"/>
    </row>
    <row r="11957" spans="1:1" x14ac:dyDescent="0.25">
      <c r="A11957" s="5"/>
    </row>
    <row r="11958" spans="1:1" x14ac:dyDescent="0.25">
      <c r="A11958" s="5"/>
    </row>
    <row r="11959" spans="1:1" x14ac:dyDescent="0.25">
      <c r="A11959" s="5"/>
    </row>
    <row r="11960" spans="1:1" x14ac:dyDescent="0.25">
      <c r="A11960" s="5"/>
    </row>
    <row r="11961" spans="1:1" x14ac:dyDescent="0.25">
      <c r="A11961" s="5"/>
    </row>
    <row r="11962" spans="1:1" x14ac:dyDescent="0.25">
      <c r="A11962" s="5"/>
    </row>
    <row r="11963" spans="1:1" x14ac:dyDescent="0.25">
      <c r="A11963" s="5"/>
    </row>
    <row r="11964" spans="1:1" x14ac:dyDescent="0.25">
      <c r="A11964" s="5"/>
    </row>
    <row r="11965" spans="1:1" x14ac:dyDescent="0.25">
      <c r="A11965" s="5"/>
    </row>
    <row r="11966" spans="1:1" x14ac:dyDescent="0.25">
      <c r="A11966" s="5"/>
    </row>
    <row r="11967" spans="1:1" x14ac:dyDescent="0.25">
      <c r="A11967" s="5"/>
    </row>
    <row r="11968" spans="1:1" x14ac:dyDescent="0.25">
      <c r="A11968" s="5"/>
    </row>
    <row r="11969" spans="1:1" x14ac:dyDescent="0.25">
      <c r="A11969" s="5"/>
    </row>
    <row r="11970" spans="1:1" x14ac:dyDescent="0.25">
      <c r="A11970" s="5"/>
    </row>
    <row r="11971" spans="1:1" x14ac:dyDescent="0.25">
      <c r="A11971" s="5"/>
    </row>
    <row r="11972" spans="1:1" x14ac:dyDescent="0.25">
      <c r="A11972" s="5"/>
    </row>
    <row r="11973" spans="1:1" x14ac:dyDescent="0.25">
      <c r="A11973" s="5"/>
    </row>
    <row r="11974" spans="1:1" x14ac:dyDescent="0.25">
      <c r="A11974" s="5"/>
    </row>
    <row r="11975" spans="1:1" x14ac:dyDescent="0.25">
      <c r="A11975" s="5"/>
    </row>
    <row r="11976" spans="1:1" x14ac:dyDescent="0.25">
      <c r="A11976" s="5"/>
    </row>
    <row r="11977" spans="1:1" x14ac:dyDescent="0.25">
      <c r="A11977" s="5"/>
    </row>
    <row r="11978" spans="1:1" x14ac:dyDescent="0.25">
      <c r="A11978" s="5"/>
    </row>
    <row r="11979" spans="1:1" x14ac:dyDescent="0.25">
      <c r="A11979" s="5"/>
    </row>
    <row r="11980" spans="1:1" x14ac:dyDescent="0.25">
      <c r="A11980" s="5"/>
    </row>
    <row r="11981" spans="1:1" x14ac:dyDescent="0.25">
      <c r="A11981" s="5"/>
    </row>
    <row r="11982" spans="1:1" x14ac:dyDescent="0.25">
      <c r="A11982" s="5"/>
    </row>
    <row r="11983" spans="1:1" x14ac:dyDescent="0.25">
      <c r="A11983" s="5"/>
    </row>
    <row r="11984" spans="1:1" x14ac:dyDescent="0.25">
      <c r="A11984" s="5"/>
    </row>
    <row r="11985" spans="1:1" x14ac:dyDescent="0.25">
      <c r="A11985" s="5"/>
    </row>
    <row r="11986" spans="1:1" x14ac:dyDescent="0.25">
      <c r="A11986" s="5"/>
    </row>
    <row r="11987" spans="1:1" x14ac:dyDescent="0.25">
      <c r="A11987" s="5"/>
    </row>
    <row r="11988" spans="1:1" x14ac:dyDescent="0.25">
      <c r="A11988" s="5"/>
    </row>
    <row r="11989" spans="1:1" x14ac:dyDescent="0.25">
      <c r="A11989" s="5"/>
    </row>
    <row r="11990" spans="1:1" x14ac:dyDescent="0.25">
      <c r="A11990" s="5"/>
    </row>
    <row r="11991" spans="1:1" x14ac:dyDescent="0.25">
      <c r="A11991" s="5"/>
    </row>
    <row r="11992" spans="1:1" x14ac:dyDescent="0.25">
      <c r="A11992" s="5"/>
    </row>
    <row r="11993" spans="1:1" x14ac:dyDescent="0.25">
      <c r="A11993" s="5"/>
    </row>
    <row r="11994" spans="1:1" x14ac:dyDescent="0.25">
      <c r="A11994" s="5"/>
    </row>
    <row r="11995" spans="1:1" x14ac:dyDescent="0.25">
      <c r="A11995" s="5"/>
    </row>
    <row r="11996" spans="1:1" x14ac:dyDescent="0.25">
      <c r="A11996" s="5"/>
    </row>
    <row r="11997" spans="1:1" x14ac:dyDescent="0.25">
      <c r="A11997" s="5"/>
    </row>
    <row r="11998" spans="1:1" x14ac:dyDescent="0.25">
      <c r="A11998" s="5"/>
    </row>
    <row r="11999" spans="1:1" x14ac:dyDescent="0.25">
      <c r="A11999" s="5"/>
    </row>
    <row r="12000" spans="1:1" x14ac:dyDescent="0.25">
      <c r="A12000" s="5"/>
    </row>
    <row r="12001" spans="1:1" x14ac:dyDescent="0.25">
      <c r="A12001" s="5"/>
    </row>
    <row r="12002" spans="1:1" x14ac:dyDescent="0.25">
      <c r="A12002" s="5"/>
    </row>
    <row r="12003" spans="1:1" x14ac:dyDescent="0.25">
      <c r="A12003" s="5"/>
    </row>
    <row r="12004" spans="1:1" x14ac:dyDescent="0.25">
      <c r="A12004" s="5"/>
    </row>
    <row r="12005" spans="1:1" x14ac:dyDescent="0.25">
      <c r="A12005" s="5"/>
    </row>
    <row r="12006" spans="1:1" x14ac:dyDescent="0.25">
      <c r="A12006" s="5"/>
    </row>
    <row r="12007" spans="1:1" x14ac:dyDescent="0.25">
      <c r="A12007" s="5"/>
    </row>
    <row r="12008" spans="1:1" x14ac:dyDescent="0.25">
      <c r="A12008" s="5"/>
    </row>
    <row r="12009" spans="1:1" x14ac:dyDescent="0.25">
      <c r="A12009" s="5"/>
    </row>
    <row r="12010" spans="1:1" x14ac:dyDescent="0.25">
      <c r="A12010" s="5"/>
    </row>
    <row r="12011" spans="1:1" x14ac:dyDescent="0.25">
      <c r="A12011" s="5"/>
    </row>
    <row r="12012" spans="1:1" x14ac:dyDescent="0.25">
      <c r="A12012" s="5"/>
    </row>
    <row r="12013" spans="1:1" x14ac:dyDescent="0.25">
      <c r="A12013" s="5"/>
    </row>
    <row r="12014" spans="1:1" x14ac:dyDescent="0.25">
      <c r="A12014" s="5"/>
    </row>
    <row r="12015" spans="1:1" x14ac:dyDescent="0.25">
      <c r="A12015" s="5"/>
    </row>
    <row r="12016" spans="1:1" x14ac:dyDescent="0.25">
      <c r="A12016" s="5"/>
    </row>
    <row r="12017" spans="1:1" x14ac:dyDescent="0.25">
      <c r="A12017" s="5"/>
    </row>
    <row r="12018" spans="1:1" x14ac:dyDescent="0.25">
      <c r="A12018" s="5"/>
    </row>
    <row r="12019" spans="1:1" x14ac:dyDescent="0.25">
      <c r="A12019" s="5"/>
    </row>
    <row r="12020" spans="1:1" x14ac:dyDescent="0.25">
      <c r="A12020" s="5"/>
    </row>
    <row r="12021" spans="1:1" x14ac:dyDescent="0.25">
      <c r="A12021" s="5"/>
    </row>
    <row r="12022" spans="1:1" x14ac:dyDescent="0.25">
      <c r="A12022" s="5"/>
    </row>
    <row r="12023" spans="1:1" x14ac:dyDescent="0.25">
      <c r="A12023" s="5"/>
    </row>
    <row r="12024" spans="1:1" x14ac:dyDescent="0.25">
      <c r="A12024" s="5"/>
    </row>
    <row r="12025" spans="1:1" x14ac:dyDescent="0.25">
      <c r="A12025" s="5"/>
    </row>
    <row r="12026" spans="1:1" x14ac:dyDescent="0.25">
      <c r="A12026" s="5"/>
    </row>
    <row r="12027" spans="1:1" x14ac:dyDescent="0.25">
      <c r="A12027" s="5"/>
    </row>
    <row r="12028" spans="1:1" x14ac:dyDescent="0.25">
      <c r="A12028" s="5"/>
    </row>
    <row r="12029" spans="1:1" x14ac:dyDescent="0.25">
      <c r="A12029" s="5"/>
    </row>
    <row r="12030" spans="1:1" x14ac:dyDescent="0.25">
      <c r="A12030" s="5"/>
    </row>
    <row r="12031" spans="1:1" x14ac:dyDescent="0.25">
      <c r="A12031" s="5"/>
    </row>
    <row r="12032" spans="1:1" x14ac:dyDescent="0.25">
      <c r="A12032" s="5"/>
    </row>
    <row r="12033" spans="1:1" x14ac:dyDescent="0.25">
      <c r="A12033" s="5"/>
    </row>
    <row r="12034" spans="1:1" x14ac:dyDescent="0.25">
      <c r="A12034" s="5"/>
    </row>
    <row r="12035" spans="1:1" x14ac:dyDescent="0.25">
      <c r="A12035" s="5"/>
    </row>
    <row r="12036" spans="1:1" x14ac:dyDescent="0.25">
      <c r="A12036" s="5"/>
    </row>
    <row r="12037" spans="1:1" x14ac:dyDescent="0.25">
      <c r="A12037" s="5"/>
    </row>
    <row r="12038" spans="1:1" x14ac:dyDescent="0.25">
      <c r="A12038" s="5"/>
    </row>
    <row r="12039" spans="1:1" x14ac:dyDescent="0.25">
      <c r="A12039" s="5"/>
    </row>
    <row r="12040" spans="1:1" x14ac:dyDescent="0.25">
      <c r="A12040" s="5"/>
    </row>
    <row r="12041" spans="1:1" x14ac:dyDescent="0.25">
      <c r="A12041" s="5"/>
    </row>
    <row r="12042" spans="1:1" x14ac:dyDescent="0.25">
      <c r="A12042" s="5"/>
    </row>
    <row r="12043" spans="1:1" x14ac:dyDescent="0.25">
      <c r="A12043" s="5"/>
    </row>
    <row r="12044" spans="1:1" x14ac:dyDescent="0.25">
      <c r="A12044" s="5"/>
    </row>
    <row r="12045" spans="1:1" x14ac:dyDescent="0.25">
      <c r="A12045" s="5"/>
    </row>
    <row r="12046" spans="1:1" x14ac:dyDescent="0.25">
      <c r="A12046" s="5"/>
    </row>
    <row r="12047" spans="1:1" x14ac:dyDescent="0.25">
      <c r="A12047" s="5"/>
    </row>
    <row r="12048" spans="1:1" x14ac:dyDescent="0.25">
      <c r="A12048" s="5"/>
    </row>
    <row r="12049" spans="1:1" x14ac:dyDescent="0.25">
      <c r="A12049" s="5"/>
    </row>
    <row r="12050" spans="1:1" x14ac:dyDescent="0.25">
      <c r="A12050" s="5"/>
    </row>
    <row r="12051" spans="1:1" x14ac:dyDescent="0.25">
      <c r="A12051" s="5"/>
    </row>
    <row r="12052" spans="1:1" x14ac:dyDescent="0.25">
      <c r="A12052" s="5"/>
    </row>
    <row r="12053" spans="1:1" x14ac:dyDescent="0.25">
      <c r="A12053" s="5"/>
    </row>
    <row r="12054" spans="1:1" x14ac:dyDescent="0.25">
      <c r="A12054" s="5"/>
    </row>
    <row r="12055" spans="1:1" x14ac:dyDescent="0.25">
      <c r="A12055" s="5"/>
    </row>
    <row r="12056" spans="1:1" x14ac:dyDescent="0.25">
      <c r="A12056" s="5"/>
    </row>
    <row r="12057" spans="1:1" x14ac:dyDescent="0.25">
      <c r="A12057" s="5"/>
    </row>
    <row r="12058" spans="1:1" x14ac:dyDescent="0.25">
      <c r="A12058" s="5"/>
    </row>
    <row r="12059" spans="1:1" x14ac:dyDescent="0.25">
      <c r="A12059" s="5"/>
    </row>
    <row r="12060" spans="1:1" x14ac:dyDescent="0.25">
      <c r="A12060" s="5"/>
    </row>
    <row r="12061" spans="1:1" x14ac:dyDescent="0.25">
      <c r="A12061" s="5"/>
    </row>
    <row r="12062" spans="1:1" x14ac:dyDescent="0.25">
      <c r="A12062" s="5"/>
    </row>
    <row r="12063" spans="1:1" x14ac:dyDescent="0.25">
      <c r="A12063" s="5"/>
    </row>
    <row r="12064" spans="1:1" x14ac:dyDescent="0.25">
      <c r="A12064" s="5"/>
    </row>
    <row r="12065" spans="1:1" x14ac:dyDescent="0.25">
      <c r="A12065" s="5"/>
    </row>
    <row r="12066" spans="1:1" x14ac:dyDescent="0.25">
      <c r="A12066" s="5"/>
    </row>
    <row r="12067" spans="1:1" x14ac:dyDescent="0.25">
      <c r="A12067" s="5"/>
    </row>
    <row r="12068" spans="1:1" x14ac:dyDescent="0.25">
      <c r="A12068" s="5"/>
    </row>
    <row r="12069" spans="1:1" x14ac:dyDescent="0.25">
      <c r="A12069" s="5"/>
    </row>
    <row r="12070" spans="1:1" x14ac:dyDescent="0.25">
      <c r="A12070" s="5"/>
    </row>
    <row r="12071" spans="1:1" x14ac:dyDescent="0.25">
      <c r="A12071" s="5"/>
    </row>
    <row r="12072" spans="1:1" x14ac:dyDescent="0.25">
      <c r="A12072" s="5"/>
    </row>
    <row r="12073" spans="1:1" x14ac:dyDescent="0.25">
      <c r="A12073" s="5"/>
    </row>
    <row r="12074" spans="1:1" x14ac:dyDescent="0.25">
      <c r="A12074" s="5"/>
    </row>
    <row r="12075" spans="1:1" x14ac:dyDescent="0.25">
      <c r="A12075" s="5"/>
    </row>
    <row r="12076" spans="1:1" x14ac:dyDescent="0.25">
      <c r="A12076" s="5"/>
    </row>
    <row r="12077" spans="1:1" x14ac:dyDescent="0.25">
      <c r="A12077" s="5"/>
    </row>
    <row r="12078" spans="1:1" x14ac:dyDescent="0.25">
      <c r="A12078" s="5"/>
    </row>
    <row r="12079" spans="1:1" x14ac:dyDescent="0.25">
      <c r="A12079" s="5"/>
    </row>
    <row r="12080" spans="1:1" x14ac:dyDescent="0.25">
      <c r="A12080" s="5"/>
    </row>
    <row r="12081" spans="1:1" x14ac:dyDescent="0.25">
      <c r="A12081" s="5"/>
    </row>
    <row r="12082" spans="1:1" x14ac:dyDescent="0.25">
      <c r="A12082" s="5"/>
    </row>
    <row r="12083" spans="1:1" x14ac:dyDescent="0.25">
      <c r="A12083" s="5"/>
    </row>
    <row r="12084" spans="1:1" x14ac:dyDescent="0.25">
      <c r="A12084" s="5"/>
    </row>
    <row r="12085" spans="1:1" x14ac:dyDescent="0.25">
      <c r="A12085" s="5"/>
    </row>
    <row r="12086" spans="1:1" x14ac:dyDescent="0.25">
      <c r="A12086" s="5"/>
    </row>
    <row r="12087" spans="1:1" x14ac:dyDescent="0.25">
      <c r="A12087" s="5"/>
    </row>
    <row r="12088" spans="1:1" x14ac:dyDescent="0.25">
      <c r="A12088" s="5"/>
    </row>
    <row r="12089" spans="1:1" x14ac:dyDescent="0.25">
      <c r="A12089" s="5"/>
    </row>
    <row r="12090" spans="1:1" x14ac:dyDescent="0.25">
      <c r="A12090" s="5"/>
    </row>
    <row r="12091" spans="1:1" x14ac:dyDescent="0.25">
      <c r="A12091" s="5"/>
    </row>
    <row r="12092" spans="1:1" x14ac:dyDescent="0.25">
      <c r="A12092" s="5"/>
    </row>
    <row r="12093" spans="1:1" x14ac:dyDescent="0.25">
      <c r="A12093" s="5"/>
    </row>
    <row r="12094" spans="1:1" x14ac:dyDescent="0.25">
      <c r="A12094" s="5"/>
    </row>
    <row r="12095" spans="1:1" x14ac:dyDescent="0.25">
      <c r="A12095" s="5"/>
    </row>
    <row r="12096" spans="1:1" x14ac:dyDescent="0.25">
      <c r="A12096" s="5"/>
    </row>
    <row r="12097" spans="1:1" x14ac:dyDescent="0.25">
      <c r="A12097" s="5"/>
    </row>
    <row r="12098" spans="1:1" x14ac:dyDescent="0.25">
      <c r="A12098" s="5"/>
    </row>
    <row r="12099" spans="1:1" x14ac:dyDescent="0.25">
      <c r="A12099" s="5"/>
    </row>
    <row r="12100" spans="1:1" x14ac:dyDescent="0.25">
      <c r="A12100" s="5"/>
    </row>
    <row r="12101" spans="1:1" x14ac:dyDescent="0.25">
      <c r="A12101" s="5"/>
    </row>
    <row r="12102" spans="1:1" x14ac:dyDescent="0.25">
      <c r="A12102" s="5"/>
    </row>
    <row r="12103" spans="1:1" x14ac:dyDescent="0.25">
      <c r="A12103" s="5"/>
    </row>
    <row r="12104" spans="1:1" x14ac:dyDescent="0.25">
      <c r="A12104" s="5"/>
    </row>
    <row r="12105" spans="1:1" x14ac:dyDescent="0.25">
      <c r="A12105" s="5"/>
    </row>
    <row r="12106" spans="1:1" x14ac:dyDescent="0.25">
      <c r="A12106" s="5"/>
    </row>
    <row r="12107" spans="1:1" x14ac:dyDescent="0.25">
      <c r="A12107" s="5"/>
    </row>
    <row r="12108" spans="1:1" x14ac:dyDescent="0.25">
      <c r="A12108" s="5"/>
    </row>
    <row r="12109" spans="1:1" x14ac:dyDescent="0.25">
      <c r="A12109" s="5"/>
    </row>
    <row r="12110" spans="1:1" x14ac:dyDescent="0.25">
      <c r="A12110" s="5"/>
    </row>
    <row r="12111" spans="1:1" x14ac:dyDescent="0.25">
      <c r="A12111" s="5"/>
    </row>
    <row r="12112" spans="1:1" x14ac:dyDescent="0.25">
      <c r="A12112" s="5"/>
    </row>
    <row r="12113" spans="1:1" x14ac:dyDescent="0.25">
      <c r="A12113" s="5"/>
    </row>
    <row r="12114" spans="1:1" x14ac:dyDescent="0.25">
      <c r="A12114" s="5"/>
    </row>
    <row r="12115" spans="1:1" x14ac:dyDescent="0.25">
      <c r="A12115" s="5"/>
    </row>
    <row r="12116" spans="1:1" x14ac:dyDescent="0.25">
      <c r="A12116" s="5"/>
    </row>
    <row r="12117" spans="1:1" x14ac:dyDescent="0.25">
      <c r="A12117" s="5"/>
    </row>
    <row r="12118" spans="1:1" x14ac:dyDescent="0.25">
      <c r="A12118" s="5"/>
    </row>
    <row r="12119" spans="1:1" x14ac:dyDescent="0.25">
      <c r="A12119" s="5"/>
    </row>
    <row r="12120" spans="1:1" x14ac:dyDescent="0.25">
      <c r="A12120" s="5"/>
    </row>
    <row r="12121" spans="1:1" x14ac:dyDescent="0.25">
      <c r="A12121" s="5"/>
    </row>
    <row r="12122" spans="1:1" x14ac:dyDescent="0.25">
      <c r="A12122" s="5"/>
    </row>
    <row r="12123" spans="1:1" x14ac:dyDescent="0.25">
      <c r="A12123" s="5"/>
    </row>
    <row r="12124" spans="1:1" x14ac:dyDescent="0.25">
      <c r="A12124" s="5"/>
    </row>
    <row r="12125" spans="1:1" x14ac:dyDescent="0.25">
      <c r="A12125" s="5"/>
    </row>
    <row r="12126" spans="1:1" x14ac:dyDescent="0.25">
      <c r="A12126" s="5"/>
    </row>
    <row r="12127" spans="1:1" x14ac:dyDescent="0.25">
      <c r="A12127" s="5"/>
    </row>
    <row r="12128" spans="1:1" x14ac:dyDescent="0.25">
      <c r="A12128" s="5"/>
    </row>
    <row r="12129" spans="1:1" x14ac:dyDescent="0.25">
      <c r="A12129" s="5"/>
    </row>
    <row r="12130" spans="1:1" x14ac:dyDescent="0.25">
      <c r="A12130" s="5"/>
    </row>
    <row r="12131" spans="1:1" x14ac:dyDescent="0.25">
      <c r="A12131" s="5"/>
    </row>
    <row r="12132" spans="1:1" x14ac:dyDescent="0.25">
      <c r="A12132" s="5"/>
    </row>
    <row r="12133" spans="1:1" x14ac:dyDescent="0.25">
      <c r="A12133" s="5"/>
    </row>
    <row r="12134" spans="1:1" x14ac:dyDescent="0.25">
      <c r="A12134" s="5"/>
    </row>
    <row r="12135" spans="1:1" x14ac:dyDescent="0.25">
      <c r="A12135" s="5"/>
    </row>
    <row r="12136" spans="1:1" x14ac:dyDescent="0.25">
      <c r="A12136" s="5"/>
    </row>
    <row r="12137" spans="1:1" x14ac:dyDescent="0.25">
      <c r="A12137" s="5"/>
    </row>
    <row r="12138" spans="1:1" x14ac:dyDescent="0.25">
      <c r="A12138" s="5"/>
    </row>
    <row r="12139" spans="1:1" x14ac:dyDescent="0.25">
      <c r="A12139" s="5"/>
    </row>
    <row r="12140" spans="1:1" x14ac:dyDescent="0.25">
      <c r="A12140" s="5"/>
    </row>
    <row r="12141" spans="1:1" x14ac:dyDescent="0.25">
      <c r="A12141" s="5"/>
    </row>
    <row r="12142" spans="1:1" x14ac:dyDescent="0.25">
      <c r="A12142" s="5"/>
    </row>
    <row r="12143" spans="1:1" x14ac:dyDescent="0.25">
      <c r="A12143" s="5"/>
    </row>
    <row r="12144" spans="1:1" x14ac:dyDescent="0.25">
      <c r="A12144" s="5"/>
    </row>
    <row r="12145" spans="1:1" x14ac:dyDescent="0.25">
      <c r="A12145" s="5"/>
    </row>
    <row r="12146" spans="1:1" x14ac:dyDescent="0.25">
      <c r="A12146" s="5"/>
    </row>
    <row r="12147" spans="1:1" x14ac:dyDescent="0.25">
      <c r="A12147" s="5"/>
    </row>
    <row r="12148" spans="1:1" x14ac:dyDescent="0.25">
      <c r="A12148" s="5"/>
    </row>
    <row r="12149" spans="1:1" x14ac:dyDescent="0.25">
      <c r="A12149" s="5"/>
    </row>
    <row r="12150" spans="1:1" x14ac:dyDescent="0.25">
      <c r="A12150" s="5"/>
    </row>
    <row r="12151" spans="1:1" x14ac:dyDescent="0.25">
      <c r="A12151" s="5"/>
    </row>
    <row r="12152" spans="1:1" x14ac:dyDescent="0.25">
      <c r="A12152" s="5"/>
    </row>
    <row r="12153" spans="1:1" x14ac:dyDescent="0.25">
      <c r="A12153" s="5"/>
    </row>
    <row r="12154" spans="1:1" x14ac:dyDescent="0.25">
      <c r="A12154" s="5"/>
    </row>
    <row r="12155" spans="1:1" x14ac:dyDescent="0.25">
      <c r="A12155" s="5"/>
    </row>
    <row r="12156" spans="1:1" x14ac:dyDescent="0.25">
      <c r="A12156" s="5"/>
    </row>
    <row r="12157" spans="1:1" x14ac:dyDescent="0.25">
      <c r="A12157" s="5"/>
    </row>
    <row r="12158" spans="1:1" x14ac:dyDescent="0.25">
      <c r="A12158" s="5"/>
    </row>
    <row r="12159" spans="1:1" x14ac:dyDescent="0.25">
      <c r="A12159" s="5"/>
    </row>
    <row r="12160" spans="1:1" x14ac:dyDescent="0.25">
      <c r="A12160" s="5"/>
    </row>
    <row r="12161" spans="1:1" x14ac:dyDescent="0.25">
      <c r="A12161" s="5"/>
    </row>
    <row r="12162" spans="1:1" x14ac:dyDescent="0.25">
      <c r="A12162" s="5"/>
    </row>
    <row r="12163" spans="1:1" x14ac:dyDescent="0.25">
      <c r="A12163" s="5"/>
    </row>
    <row r="12164" spans="1:1" x14ac:dyDescent="0.25">
      <c r="A12164" s="5"/>
    </row>
    <row r="12165" spans="1:1" x14ac:dyDescent="0.25">
      <c r="A12165" s="5"/>
    </row>
    <row r="12166" spans="1:1" x14ac:dyDescent="0.25">
      <c r="A12166" s="5"/>
    </row>
    <row r="12167" spans="1:1" x14ac:dyDescent="0.25">
      <c r="A12167" s="5"/>
    </row>
    <row r="12168" spans="1:1" x14ac:dyDescent="0.25">
      <c r="A12168" s="5"/>
    </row>
    <row r="12169" spans="1:1" x14ac:dyDescent="0.25">
      <c r="A12169" s="5"/>
    </row>
    <row r="12170" spans="1:1" x14ac:dyDescent="0.25">
      <c r="A12170" s="5"/>
    </row>
    <row r="12171" spans="1:1" x14ac:dyDescent="0.25">
      <c r="A12171" s="5"/>
    </row>
    <row r="12172" spans="1:1" x14ac:dyDescent="0.25">
      <c r="A12172" s="5"/>
    </row>
    <row r="12173" spans="1:1" x14ac:dyDescent="0.25">
      <c r="A12173" s="5"/>
    </row>
    <row r="12174" spans="1:1" x14ac:dyDescent="0.25">
      <c r="A12174" s="5"/>
    </row>
    <row r="12175" spans="1:1" x14ac:dyDescent="0.25">
      <c r="A12175" s="5"/>
    </row>
    <row r="12176" spans="1:1" x14ac:dyDescent="0.25">
      <c r="A12176" s="5"/>
    </row>
    <row r="12177" spans="1:1" x14ac:dyDescent="0.25">
      <c r="A12177" s="5"/>
    </row>
    <row r="12178" spans="1:1" x14ac:dyDescent="0.25">
      <c r="A12178" s="5"/>
    </row>
    <row r="12179" spans="1:1" x14ac:dyDescent="0.25">
      <c r="A12179" s="5"/>
    </row>
    <row r="12180" spans="1:1" x14ac:dyDescent="0.25">
      <c r="A12180" s="5"/>
    </row>
    <row r="12181" spans="1:1" x14ac:dyDescent="0.25">
      <c r="A12181" s="5"/>
    </row>
    <row r="12182" spans="1:1" x14ac:dyDescent="0.25">
      <c r="A12182" s="5"/>
    </row>
    <row r="12183" spans="1:1" x14ac:dyDescent="0.25">
      <c r="A12183" s="5"/>
    </row>
    <row r="12184" spans="1:1" x14ac:dyDescent="0.25">
      <c r="A12184" s="5"/>
    </row>
    <row r="12185" spans="1:1" x14ac:dyDescent="0.25">
      <c r="A12185" s="5"/>
    </row>
    <row r="12186" spans="1:1" x14ac:dyDescent="0.25">
      <c r="A12186" s="5"/>
    </row>
    <row r="12187" spans="1:1" x14ac:dyDescent="0.25">
      <c r="A12187" s="5"/>
    </row>
    <row r="12188" spans="1:1" x14ac:dyDescent="0.25">
      <c r="A12188" s="5"/>
    </row>
    <row r="12189" spans="1:1" x14ac:dyDescent="0.25">
      <c r="A12189" s="5"/>
    </row>
    <row r="12190" spans="1:1" x14ac:dyDescent="0.25">
      <c r="A12190" s="5"/>
    </row>
    <row r="12191" spans="1:1" x14ac:dyDescent="0.25">
      <c r="A12191" s="5"/>
    </row>
    <row r="12192" spans="1:1" x14ac:dyDescent="0.25">
      <c r="A12192" s="5"/>
    </row>
    <row r="12193" spans="1:1" x14ac:dyDescent="0.25">
      <c r="A12193" s="5"/>
    </row>
    <row r="12194" spans="1:1" x14ac:dyDescent="0.25">
      <c r="A12194" s="5"/>
    </row>
    <row r="12195" spans="1:1" x14ac:dyDescent="0.25">
      <c r="A12195" s="5"/>
    </row>
    <row r="12196" spans="1:1" x14ac:dyDescent="0.25">
      <c r="A12196" s="5"/>
    </row>
    <row r="12197" spans="1:1" x14ac:dyDescent="0.25">
      <c r="A12197" s="5"/>
    </row>
    <row r="12198" spans="1:1" x14ac:dyDescent="0.25">
      <c r="A12198" s="5"/>
    </row>
    <row r="12199" spans="1:1" x14ac:dyDescent="0.25">
      <c r="A12199" s="5"/>
    </row>
    <row r="12200" spans="1:1" x14ac:dyDescent="0.25">
      <c r="A12200" s="5"/>
    </row>
    <row r="12201" spans="1:1" x14ac:dyDescent="0.25">
      <c r="A12201" s="5"/>
    </row>
    <row r="12202" spans="1:1" x14ac:dyDescent="0.25">
      <c r="A12202" s="5"/>
    </row>
    <row r="12203" spans="1:1" x14ac:dyDescent="0.25">
      <c r="A12203" s="5"/>
    </row>
    <row r="12204" spans="1:1" x14ac:dyDescent="0.25">
      <c r="A12204" s="5"/>
    </row>
    <row r="12205" spans="1:1" x14ac:dyDescent="0.25">
      <c r="A12205" s="5"/>
    </row>
    <row r="12206" spans="1:1" x14ac:dyDescent="0.25">
      <c r="A12206" s="5"/>
    </row>
    <row r="12207" spans="1:1" x14ac:dyDescent="0.25">
      <c r="A12207" s="5"/>
    </row>
    <row r="12208" spans="1:1" x14ac:dyDescent="0.25">
      <c r="A12208" s="5"/>
    </row>
    <row r="12209" spans="1:1" x14ac:dyDescent="0.25">
      <c r="A12209" s="5"/>
    </row>
    <row r="12210" spans="1:1" x14ac:dyDescent="0.25">
      <c r="A12210" s="5"/>
    </row>
    <row r="12211" spans="1:1" x14ac:dyDescent="0.25">
      <c r="A12211" s="5"/>
    </row>
    <row r="12212" spans="1:1" x14ac:dyDescent="0.25">
      <c r="A12212" s="5"/>
    </row>
    <row r="12213" spans="1:1" x14ac:dyDescent="0.25">
      <c r="A12213" s="5"/>
    </row>
    <row r="12214" spans="1:1" x14ac:dyDescent="0.25">
      <c r="A12214" s="5"/>
    </row>
    <row r="12215" spans="1:1" x14ac:dyDescent="0.25">
      <c r="A12215" s="5"/>
    </row>
    <row r="12216" spans="1:1" x14ac:dyDescent="0.25">
      <c r="A12216" s="5"/>
    </row>
    <row r="12217" spans="1:1" x14ac:dyDescent="0.25">
      <c r="A12217" s="5"/>
    </row>
    <row r="12218" spans="1:1" x14ac:dyDescent="0.25">
      <c r="A12218" s="5"/>
    </row>
    <row r="12219" spans="1:1" x14ac:dyDescent="0.25">
      <c r="A12219" s="5"/>
    </row>
    <row r="12220" spans="1:1" x14ac:dyDescent="0.25">
      <c r="A12220" s="5"/>
    </row>
    <row r="12221" spans="1:1" x14ac:dyDescent="0.25">
      <c r="A12221" s="5"/>
    </row>
    <row r="12222" spans="1:1" x14ac:dyDescent="0.25">
      <c r="A12222" s="5"/>
    </row>
    <row r="12223" spans="1:1" x14ac:dyDescent="0.25">
      <c r="A12223" s="5"/>
    </row>
    <row r="12224" spans="1:1" x14ac:dyDescent="0.25">
      <c r="A12224" s="5"/>
    </row>
    <row r="12225" spans="1:1" x14ac:dyDescent="0.25">
      <c r="A12225" s="5"/>
    </row>
    <row r="12226" spans="1:1" x14ac:dyDescent="0.25">
      <c r="A12226" s="5"/>
    </row>
    <row r="12227" spans="1:1" x14ac:dyDescent="0.25">
      <c r="A12227" s="5"/>
    </row>
    <row r="12228" spans="1:1" x14ac:dyDescent="0.25">
      <c r="A12228" s="5"/>
    </row>
    <row r="12229" spans="1:1" x14ac:dyDescent="0.25">
      <c r="A12229" s="5"/>
    </row>
    <row r="12230" spans="1:1" x14ac:dyDescent="0.25">
      <c r="A12230" s="5"/>
    </row>
    <row r="12231" spans="1:1" x14ac:dyDescent="0.25">
      <c r="A12231" s="5"/>
    </row>
    <row r="12232" spans="1:1" x14ac:dyDescent="0.25">
      <c r="A12232" s="5"/>
    </row>
    <row r="12233" spans="1:1" x14ac:dyDescent="0.25">
      <c r="A12233" s="5"/>
    </row>
    <row r="12234" spans="1:1" x14ac:dyDescent="0.25">
      <c r="A12234" s="5"/>
    </row>
    <row r="12235" spans="1:1" x14ac:dyDescent="0.25">
      <c r="A12235" s="5"/>
    </row>
    <row r="12236" spans="1:1" x14ac:dyDescent="0.25">
      <c r="A12236" s="5"/>
    </row>
    <row r="12237" spans="1:1" x14ac:dyDescent="0.25">
      <c r="A12237" s="5"/>
    </row>
    <row r="12238" spans="1:1" x14ac:dyDescent="0.25">
      <c r="A12238" s="5"/>
    </row>
    <row r="12239" spans="1:1" x14ac:dyDescent="0.25">
      <c r="A12239" s="5"/>
    </row>
    <row r="12240" spans="1:1" x14ac:dyDescent="0.25">
      <c r="A12240" s="5"/>
    </row>
    <row r="12241" spans="1:1" x14ac:dyDescent="0.25">
      <c r="A12241" s="5"/>
    </row>
    <row r="12242" spans="1:1" x14ac:dyDescent="0.25">
      <c r="A12242" s="5"/>
    </row>
    <row r="12243" spans="1:1" x14ac:dyDescent="0.25">
      <c r="A12243" s="5"/>
    </row>
    <row r="12244" spans="1:1" x14ac:dyDescent="0.25">
      <c r="A12244" s="5"/>
    </row>
    <row r="12245" spans="1:1" x14ac:dyDescent="0.25">
      <c r="A12245" s="5"/>
    </row>
    <row r="12246" spans="1:1" x14ac:dyDescent="0.25">
      <c r="A12246" s="5"/>
    </row>
    <row r="12247" spans="1:1" x14ac:dyDescent="0.25">
      <c r="A12247" s="5"/>
    </row>
    <row r="12248" spans="1:1" x14ac:dyDescent="0.25">
      <c r="A12248" s="5"/>
    </row>
    <row r="12249" spans="1:1" x14ac:dyDescent="0.25">
      <c r="A12249" s="5"/>
    </row>
    <row r="12250" spans="1:1" x14ac:dyDescent="0.25">
      <c r="A12250" s="5"/>
    </row>
    <row r="12251" spans="1:1" x14ac:dyDescent="0.25">
      <c r="A12251" s="5"/>
    </row>
    <row r="12252" spans="1:1" x14ac:dyDescent="0.25">
      <c r="A12252" s="5"/>
    </row>
    <row r="12253" spans="1:1" x14ac:dyDescent="0.25">
      <c r="A12253" s="5"/>
    </row>
    <row r="12254" spans="1:1" x14ac:dyDescent="0.25">
      <c r="A12254" s="5"/>
    </row>
    <row r="12255" spans="1:1" x14ac:dyDescent="0.25">
      <c r="A12255" s="5"/>
    </row>
    <row r="12256" spans="1:1" x14ac:dyDescent="0.25">
      <c r="A12256" s="5"/>
    </row>
    <row r="12257" spans="1:1" x14ac:dyDescent="0.25">
      <c r="A12257" s="5"/>
    </row>
    <row r="12258" spans="1:1" x14ac:dyDescent="0.25">
      <c r="A12258" s="5"/>
    </row>
    <row r="12259" spans="1:1" x14ac:dyDescent="0.25">
      <c r="A12259" s="5"/>
    </row>
    <row r="12260" spans="1:1" x14ac:dyDescent="0.25">
      <c r="A12260" s="5"/>
    </row>
    <row r="12261" spans="1:1" x14ac:dyDescent="0.25">
      <c r="A12261" s="5"/>
    </row>
    <row r="12262" spans="1:1" x14ac:dyDescent="0.25">
      <c r="A12262" s="5"/>
    </row>
    <row r="12263" spans="1:1" x14ac:dyDescent="0.25">
      <c r="A12263" s="5"/>
    </row>
    <row r="12264" spans="1:1" x14ac:dyDescent="0.25">
      <c r="A12264" s="5"/>
    </row>
    <row r="12265" spans="1:1" x14ac:dyDescent="0.25">
      <c r="A12265" s="5"/>
    </row>
    <row r="12266" spans="1:1" x14ac:dyDescent="0.25">
      <c r="A12266" s="5"/>
    </row>
    <row r="12267" spans="1:1" x14ac:dyDescent="0.25">
      <c r="A12267" s="5"/>
    </row>
    <row r="12268" spans="1:1" x14ac:dyDescent="0.25">
      <c r="A12268" s="5"/>
    </row>
    <row r="12269" spans="1:1" x14ac:dyDescent="0.25">
      <c r="A12269" s="5"/>
    </row>
    <row r="12270" spans="1:1" x14ac:dyDescent="0.25">
      <c r="A12270" s="5"/>
    </row>
    <row r="12271" spans="1:1" x14ac:dyDescent="0.25">
      <c r="A12271" s="5"/>
    </row>
    <row r="12272" spans="1:1" x14ac:dyDescent="0.25">
      <c r="A12272" s="5"/>
    </row>
    <row r="12273" spans="1:1" x14ac:dyDescent="0.25">
      <c r="A12273" s="5"/>
    </row>
    <row r="12274" spans="1:1" x14ac:dyDescent="0.25">
      <c r="A12274" s="5"/>
    </row>
    <row r="12275" spans="1:1" x14ac:dyDescent="0.25">
      <c r="A12275" s="5"/>
    </row>
    <row r="12276" spans="1:1" x14ac:dyDescent="0.25">
      <c r="A12276" s="5"/>
    </row>
    <row r="12277" spans="1:1" x14ac:dyDescent="0.25">
      <c r="A12277" s="5"/>
    </row>
    <row r="12278" spans="1:1" x14ac:dyDescent="0.25">
      <c r="A12278" s="5"/>
    </row>
    <row r="12279" spans="1:1" x14ac:dyDescent="0.25">
      <c r="A12279" s="5"/>
    </row>
    <row r="12280" spans="1:1" x14ac:dyDescent="0.25">
      <c r="A12280" s="5"/>
    </row>
    <row r="12281" spans="1:1" x14ac:dyDescent="0.25">
      <c r="A12281" s="5"/>
    </row>
    <row r="12282" spans="1:1" x14ac:dyDescent="0.25">
      <c r="A12282" s="5"/>
    </row>
    <row r="12283" spans="1:1" x14ac:dyDescent="0.25">
      <c r="A12283" s="5"/>
    </row>
    <row r="12284" spans="1:1" x14ac:dyDescent="0.25">
      <c r="A12284" s="5"/>
    </row>
    <row r="12285" spans="1:1" x14ac:dyDescent="0.25">
      <c r="A12285" s="5"/>
    </row>
    <row r="12286" spans="1:1" x14ac:dyDescent="0.25">
      <c r="A12286" s="5"/>
    </row>
    <row r="12287" spans="1:1" x14ac:dyDescent="0.25">
      <c r="A12287" s="5"/>
    </row>
    <row r="12288" spans="1:1" x14ac:dyDescent="0.25">
      <c r="A12288" s="5"/>
    </row>
    <row r="12289" spans="1:1" x14ac:dyDescent="0.25">
      <c r="A12289" s="5"/>
    </row>
    <row r="12290" spans="1:1" x14ac:dyDescent="0.25">
      <c r="A12290" s="5"/>
    </row>
    <row r="12291" spans="1:1" x14ac:dyDescent="0.25">
      <c r="A12291" s="5"/>
    </row>
    <row r="12292" spans="1:1" x14ac:dyDescent="0.25">
      <c r="A12292" s="5"/>
    </row>
    <row r="12293" spans="1:1" x14ac:dyDescent="0.25">
      <c r="A12293" s="5"/>
    </row>
    <row r="12294" spans="1:1" x14ac:dyDescent="0.25">
      <c r="A12294" s="5"/>
    </row>
    <row r="12295" spans="1:1" x14ac:dyDescent="0.25">
      <c r="A12295" s="5"/>
    </row>
    <row r="12296" spans="1:1" x14ac:dyDescent="0.25">
      <c r="A12296" s="5"/>
    </row>
    <row r="12297" spans="1:1" x14ac:dyDescent="0.25">
      <c r="A12297" s="5"/>
    </row>
    <row r="12298" spans="1:1" x14ac:dyDescent="0.25">
      <c r="A12298" s="5"/>
    </row>
    <row r="12299" spans="1:1" x14ac:dyDescent="0.25">
      <c r="A12299" s="5"/>
    </row>
    <row r="12300" spans="1:1" x14ac:dyDescent="0.25">
      <c r="A12300" s="5"/>
    </row>
    <row r="12301" spans="1:1" x14ac:dyDescent="0.25">
      <c r="A12301" s="5"/>
    </row>
    <row r="12302" spans="1:1" x14ac:dyDescent="0.25">
      <c r="A12302" s="5"/>
    </row>
    <row r="12303" spans="1:1" x14ac:dyDescent="0.25">
      <c r="A12303" s="5"/>
    </row>
    <row r="12304" spans="1:1" x14ac:dyDescent="0.25">
      <c r="A12304" s="5"/>
    </row>
    <row r="12305" spans="1:1" x14ac:dyDescent="0.25">
      <c r="A12305" s="5"/>
    </row>
    <row r="12306" spans="1:1" x14ac:dyDescent="0.25">
      <c r="A12306" s="5"/>
    </row>
    <row r="12307" spans="1:1" x14ac:dyDescent="0.25">
      <c r="A12307" s="5"/>
    </row>
    <row r="12308" spans="1:1" x14ac:dyDescent="0.25">
      <c r="A12308" s="5"/>
    </row>
    <row r="12309" spans="1:1" x14ac:dyDescent="0.25">
      <c r="A12309" s="5"/>
    </row>
    <row r="12310" spans="1:1" x14ac:dyDescent="0.25">
      <c r="A12310" s="5"/>
    </row>
    <row r="12311" spans="1:1" x14ac:dyDescent="0.25">
      <c r="A12311" s="5"/>
    </row>
    <row r="12312" spans="1:1" x14ac:dyDescent="0.25">
      <c r="A12312" s="5"/>
    </row>
    <row r="12313" spans="1:1" x14ac:dyDescent="0.25">
      <c r="A12313" s="5"/>
    </row>
    <row r="12314" spans="1:1" x14ac:dyDescent="0.25">
      <c r="A12314" s="5"/>
    </row>
    <row r="12315" spans="1:1" x14ac:dyDescent="0.25">
      <c r="A12315" s="5"/>
    </row>
    <row r="12316" spans="1:1" x14ac:dyDescent="0.25">
      <c r="A12316" s="5"/>
    </row>
    <row r="12317" spans="1:1" x14ac:dyDescent="0.25">
      <c r="A12317" s="5"/>
    </row>
    <row r="12318" spans="1:1" x14ac:dyDescent="0.25">
      <c r="A12318" s="5"/>
    </row>
    <row r="12319" spans="1:1" x14ac:dyDescent="0.25">
      <c r="A12319" s="5"/>
    </row>
    <row r="12320" spans="1:1" x14ac:dyDescent="0.25">
      <c r="A12320" s="5"/>
    </row>
    <row r="12321" spans="1:1" x14ac:dyDescent="0.25">
      <c r="A12321" s="5"/>
    </row>
    <row r="12322" spans="1:1" x14ac:dyDescent="0.25">
      <c r="A12322" s="5"/>
    </row>
    <row r="12323" spans="1:1" x14ac:dyDescent="0.25">
      <c r="A12323" s="5"/>
    </row>
    <row r="12324" spans="1:1" x14ac:dyDescent="0.25">
      <c r="A12324" s="5"/>
    </row>
    <row r="12325" spans="1:1" x14ac:dyDescent="0.25">
      <c r="A12325" s="5"/>
    </row>
    <row r="12326" spans="1:1" x14ac:dyDescent="0.25">
      <c r="A12326" s="5"/>
    </row>
    <row r="12327" spans="1:1" x14ac:dyDescent="0.25">
      <c r="A12327" s="5"/>
    </row>
    <row r="12328" spans="1:1" x14ac:dyDescent="0.25">
      <c r="A12328" s="5"/>
    </row>
    <row r="12329" spans="1:1" x14ac:dyDescent="0.25">
      <c r="A12329" s="5"/>
    </row>
    <row r="12330" spans="1:1" x14ac:dyDescent="0.25">
      <c r="A12330" s="5"/>
    </row>
    <row r="12331" spans="1:1" x14ac:dyDescent="0.25">
      <c r="A12331" s="5"/>
    </row>
    <row r="12332" spans="1:1" x14ac:dyDescent="0.25">
      <c r="A12332" s="5"/>
    </row>
    <row r="12333" spans="1:1" x14ac:dyDescent="0.25">
      <c r="A12333" s="5"/>
    </row>
    <row r="12334" spans="1:1" x14ac:dyDescent="0.25">
      <c r="A12334" s="5"/>
    </row>
    <row r="12335" spans="1:1" x14ac:dyDescent="0.25">
      <c r="A12335" s="5"/>
    </row>
    <row r="12336" spans="1:1" x14ac:dyDescent="0.25">
      <c r="A12336" s="5"/>
    </row>
    <row r="12337" spans="1:1" x14ac:dyDescent="0.25">
      <c r="A12337" s="5"/>
    </row>
    <row r="12338" spans="1:1" x14ac:dyDescent="0.25">
      <c r="A12338" s="5"/>
    </row>
    <row r="12339" spans="1:1" x14ac:dyDescent="0.25">
      <c r="A12339" s="5"/>
    </row>
    <row r="12340" spans="1:1" x14ac:dyDescent="0.25">
      <c r="A12340" s="5"/>
    </row>
    <row r="12341" spans="1:1" x14ac:dyDescent="0.25">
      <c r="A12341" s="5"/>
    </row>
    <row r="12342" spans="1:1" x14ac:dyDescent="0.25">
      <c r="A12342" s="5"/>
    </row>
    <row r="12343" spans="1:1" x14ac:dyDescent="0.25">
      <c r="A12343" s="5"/>
    </row>
    <row r="12344" spans="1:1" x14ac:dyDescent="0.25">
      <c r="A12344" s="5"/>
    </row>
    <row r="12345" spans="1:1" x14ac:dyDescent="0.25">
      <c r="A12345" s="5"/>
    </row>
    <row r="12346" spans="1:1" x14ac:dyDescent="0.25">
      <c r="A12346" s="5"/>
    </row>
    <row r="12347" spans="1:1" x14ac:dyDescent="0.25">
      <c r="A12347" s="5"/>
    </row>
    <row r="12348" spans="1:1" x14ac:dyDescent="0.25">
      <c r="A12348" s="5"/>
    </row>
    <row r="12349" spans="1:1" x14ac:dyDescent="0.25">
      <c r="A12349" s="5"/>
    </row>
    <row r="12350" spans="1:1" x14ac:dyDescent="0.25">
      <c r="A12350" s="5"/>
    </row>
    <row r="12351" spans="1:1" x14ac:dyDescent="0.25">
      <c r="A12351" s="5"/>
    </row>
    <row r="12352" spans="1:1" x14ac:dyDescent="0.25">
      <c r="A12352" s="5"/>
    </row>
    <row r="12353" spans="1:1" x14ac:dyDescent="0.25">
      <c r="A12353" s="5"/>
    </row>
    <row r="12354" spans="1:1" x14ac:dyDescent="0.25">
      <c r="A12354" s="5"/>
    </row>
    <row r="12355" spans="1:1" x14ac:dyDescent="0.25">
      <c r="A12355" s="5"/>
    </row>
    <row r="12356" spans="1:1" x14ac:dyDescent="0.25">
      <c r="A12356" s="5"/>
    </row>
    <row r="12357" spans="1:1" x14ac:dyDescent="0.25">
      <c r="A12357" s="5"/>
    </row>
    <row r="12358" spans="1:1" x14ac:dyDescent="0.25">
      <c r="A12358" s="5"/>
    </row>
    <row r="12359" spans="1:1" x14ac:dyDescent="0.25">
      <c r="A12359" s="5"/>
    </row>
    <row r="12360" spans="1:1" x14ac:dyDescent="0.25">
      <c r="A12360" s="5"/>
    </row>
    <row r="12361" spans="1:1" x14ac:dyDescent="0.25">
      <c r="A12361" s="5"/>
    </row>
    <row r="12362" spans="1:1" x14ac:dyDescent="0.25">
      <c r="A12362" s="5"/>
    </row>
    <row r="12363" spans="1:1" x14ac:dyDescent="0.25">
      <c r="A12363" s="5"/>
    </row>
    <row r="12364" spans="1:1" x14ac:dyDescent="0.25">
      <c r="A12364" s="5"/>
    </row>
    <row r="12365" spans="1:1" x14ac:dyDescent="0.25">
      <c r="A12365" s="5"/>
    </row>
    <row r="12366" spans="1:1" x14ac:dyDescent="0.25">
      <c r="A12366" s="5"/>
    </row>
    <row r="12367" spans="1:1" x14ac:dyDescent="0.25">
      <c r="A12367" s="5"/>
    </row>
    <row r="12368" spans="1:1" x14ac:dyDescent="0.25">
      <c r="A12368" s="5"/>
    </row>
    <row r="12369" spans="1:1" x14ac:dyDescent="0.25">
      <c r="A12369" s="5"/>
    </row>
    <row r="12370" spans="1:1" x14ac:dyDescent="0.25">
      <c r="A12370" s="5"/>
    </row>
    <row r="12371" spans="1:1" x14ac:dyDescent="0.25">
      <c r="A12371" s="5"/>
    </row>
    <row r="12372" spans="1:1" x14ac:dyDescent="0.25">
      <c r="A12372" s="5"/>
    </row>
    <row r="12373" spans="1:1" x14ac:dyDescent="0.25">
      <c r="A12373" s="5"/>
    </row>
    <row r="12374" spans="1:1" x14ac:dyDescent="0.25">
      <c r="A12374" s="5"/>
    </row>
    <row r="12375" spans="1:1" x14ac:dyDescent="0.25">
      <c r="A12375" s="5"/>
    </row>
    <row r="12376" spans="1:1" x14ac:dyDescent="0.25">
      <c r="A12376" s="5"/>
    </row>
    <row r="12377" spans="1:1" x14ac:dyDescent="0.25">
      <c r="A12377" s="5"/>
    </row>
    <row r="12378" spans="1:1" x14ac:dyDescent="0.25">
      <c r="A12378" s="5"/>
    </row>
    <row r="12379" spans="1:1" x14ac:dyDescent="0.25">
      <c r="A12379" s="5"/>
    </row>
    <row r="12380" spans="1:1" x14ac:dyDescent="0.25">
      <c r="A12380" s="5"/>
    </row>
    <row r="12381" spans="1:1" x14ac:dyDescent="0.25">
      <c r="A12381" s="5"/>
    </row>
    <row r="12382" spans="1:1" x14ac:dyDescent="0.25">
      <c r="A12382" s="5"/>
    </row>
    <row r="12383" spans="1:1" x14ac:dyDescent="0.25">
      <c r="A12383" s="5"/>
    </row>
    <row r="12384" spans="1:1" x14ac:dyDescent="0.25">
      <c r="A12384" s="5"/>
    </row>
    <row r="12385" spans="1:1" x14ac:dyDescent="0.25">
      <c r="A12385" s="5"/>
    </row>
    <row r="12386" spans="1:1" x14ac:dyDescent="0.25">
      <c r="A12386" s="5"/>
    </row>
    <row r="12387" spans="1:1" x14ac:dyDescent="0.25">
      <c r="A12387" s="5"/>
    </row>
    <row r="12388" spans="1:1" x14ac:dyDescent="0.25">
      <c r="A12388" s="5"/>
    </row>
    <row r="12389" spans="1:1" x14ac:dyDescent="0.25">
      <c r="A12389" s="5"/>
    </row>
    <row r="12390" spans="1:1" x14ac:dyDescent="0.25">
      <c r="A12390" s="5"/>
    </row>
    <row r="12391" spans="1:1" x14ac:dyDescent="0.25">
      <c r="A12391" s="5"/>
    </row>
    <row r="12392" spans="1:1" x14ac:dyDescent="0.25">
      <c r="A12392" s="5"/>
    </row>
    <row r="12393" spans="1:1" x14ac:dyDescent="0.25">
      <c r="A12393" s="5"/>
    </row>
    <row r="12394" spans="1:1" x14ac:dyDescent="0.25">
      <c r="A12394" s="5"/>
    </row>
    <row r="12395" spans="1:1" x14ac:dyDescent="0.25">
      <c r="A12395" s="5"/>
    </row>
    <row r="12396" spans="1:1" x14ac:dyDescent="0.25">
      <c r="A12396" s="5"/>
    </row>
    <row r="12397" spans="1:1" x14ac:dyDescent="0.25">
      <c r="A12397" s="5"/>
    </row>
    <row r="12398" spans="1:1" x14ac:dyDescent="0.25">
      <c r="A12398" s="5"/>
    </row>
    <row r="12399" spans="1:1" x14ac:dyDescent="0.25">
      <c r="A12399" s="5"/>
    </row>
    <row r="12400" spans="1:1" x14ac:dyDescent="0.25">
      <c r="A12400" s="5"/>
    </row>
    <row r="12401" spans="1:1" x14ac:dyDescent="0.25">
      <c r="A12401" s="5"/>
    </row>
    <row r="12402" spans="1:1" x14ac:dyDescent="0.25">
      <c r="A12402" s="5"/>
    </row>
    <row r="12403" spans="1:1" x14ac:dyDescent="0.25">
      <c r="A12403" s="5"/>
    </row>
    <row r="12404" spans="1:1" x14ac:dyDescent="0.25">
      <c r="A12404" s="5"/>
    </row>
    <row r="12405" spans="1:1" x14ac:dyDescent="0.25">
      <c r="A12405" s="5"/>
    </row>
    <row r="12406" spans="1:1" x14ac:dyDescent="0.25">
      <c r="A12406" s="5"/>
    </row>
    <row r="12407" spans="1:1" x14ac:dyDescent="0.25">
      <c r="A12407" s="5"/>
    </row>
    <row r="12408" spans="1:1" x14ac:dyDescent="0.25">
      <c r="A12408" s="5"/>
    </row>
    <row r="12409" spans="1:1" x14ac:dyDescent="0.25">
      <c r="A12409" s="5"/>
    </row>
    <row r="12410" spans="1:1" x14ac:dyDescent="0.25">
      <c r="A12410" s="5"/>
    </row>
    <row r="12411" spans="1:1" x14ac:dyDescent="0.25">
      <c r="A12411" s="5"/>
    </row>
    <row r="12412" spans="1:1" x14ac:dyDescent="0.25">
      <c r="A12412" s="5"/>
    </row>
    <row r="12413" spans="1:1" x14ac:dyDescent="0.25">
      <c r="A12413" s="5"/>
    </row>
    <row r="12414" spans="1:1" x14ac:dyDescent="0.25">
      <c r="A12414" s="5"/>
    </row>
    <row r="12415" spans="1:1" x14ac:dyDescent="0.25">
      <c r="A12415" s="5"/>
    </row>
    <row r="12416" spans="1:1" x14ac:dyDescent="0.25">
      <c r="A12416" s="5"/>
    </row>
    <row r="12417" spans="1:1" x14ac:dyDescent="0.25">
      <c r="A12417" s="5"/>
    </row>
    <row r="12418" spans="1:1" x14ac:dyDescent="0.25">
      <c r="A12418" s="5"/>
    </row>
    <row r="12419" spans="1:1" x14ac:dyDescent="0.25">
      <c r="A12419" s="5"/>
    </row>
    <row r="12420" spans="1:1" x14ac:dyDescent="0.25">
      <c r="A12420" s="5"/>
    </row>
    <row r="12421" spans="1:1" x14ac:dyDescent="0.25">
      <c r="A12421" s="5"/>
    </row>
    <row r="12422" spans="1:1" x14ac:dyDescent="0.25">
      <c r="A12422" s="5"/>
    </row>
    <row r="12423" spans="1:1" x14ac:dyDescent="0.25">
      <c r="A12423" s="5"/>
    </row>
    <row r="12424" spans="1:1" x14ac:dyDescent="0.25">
      <c r="A12424" s="5"/>
    </row>
    <row r="12425" spans="1:1" x14ac:dyDescent="0.25">
      <c r="A12425" s="5"/>
    </row>
    <row r="12426" spans="1:1" x14ac:dyDescent="0.25">
      <c r="A12426" s="5"/>
    </row>
    <row r="12427" spans="1:1" x14ac:dyDescent="0.25">
      <c r="A12427" s="5"/>
    </row>
    <row r="12428" spans="1:1" x14ac:dyDescent="0.25">
      <c r="A12428" s="5"/>
    </row>
    <row r="12429" spans="1:1" x14ac:dyDescent="0.25">
      <c r="A12429" s="5"/>
    </row>
    <row r="12430" spans="1:1" x14ac:dyDescent="0.25">
      <c r="A12430" s="5"/>
    </row>
    <row r="12431" spans="1:1" x14ac:dyDescent="0.25">
      <c r="A12431" s="5"/>
    </row>
    <row r="12432" spans="1:1" x14ac:dyDescent="0.25">
      <c r="A12432" s="5"/>
    </row>
    <row r="12433" spans="1:1" x14ac:dyDescent="0.25">
      <c r="A12433" s="5"/>
    </row>
    <row r="12434" spans="1:1" x14ac:dyDescent="0.25">
      <c r="A12434" s="5"/>
    </row>
    <row r="12435" spans="1:1" x14ac:dyDescent="0.25">
      <c r="A12435" s="5"/>
    </row>
    <row r="12436" spans="1:1" x14ac:dyDescent="0.25">
      <c r="A12436" s="5"/>
    </row>
    <row r="12437" spans="1:1" x14ac:dyDescent="0.25">
      <c r="A12437" s="5"/>
    </row>
    <row r="12438" spans="1:1" x14ac:dyDescent="0.25">
      <c r="A12438" s="5"/>
    </row>
    <row r="12439" spans="1:1" x14ac:dyDescent="0.25">
      <c r="A12439" s="5"/>
    </row>
    <row r="12440" spans="1:1" x14ac:dyDescent="0.25">
      <c r="A12440" s="5"/>
    </row>
    <row r="12441" spans="1:1" x14ac:dyDescent="0.25">
      <c r="A12441" s="5"/>
    </row>
    <row r="12442" spans="1:1" x14ac:dyDescent="0.25">
      <c r="A12442" s="5"/>
    </row>
    <row r="12443" spans="1:1" x14ac:dyDescent="0.25">
      <c r="A12443" s="5"/>
    </row>
    <row r="12444" spans="1:1" x14ac:dyDescent="0.25">
      <c r="A12444" s="5"/>
    </row>
    <row r="12445" spans="1:1" x14ac:dyDescent="0.25">
      <c r="A12445" s="5"/>
    </row>
    <row r="12446" spans="1:1" x14ac:dyDescent="0.25">
      <c r="A12446" s="5"/>
    </row>
    <row r="12447" spans="1:1" x14ac:dyDescent="0.25">
      <c r="A12447" s="5"/>
    </row>
    <row r="12448" spans="1:1" x14ac:dyDescent="0.25">
      <c r="A12448" s="5"/>
    </row>
    <row r="12449" spans="1:1" x14ac:dyDescent="0.25">
      <c r="A12449" s="5"/>
    </row>
    <row r="12450" spans="1:1" x14ac:dyDescent="0.25">
      <c r="A12450" s="5"/>
    </row>
    <row r="12451" spans="1:1" x14ac:dyDescent="0.25">
      <c r="A12451" s="5"/>
    </row>
    <row r="12452" spans="1:1" x14ac:dyDescent="0.25">
      <c r="A12452" s="5"/>
    </row>
    <row r="12453" spans="1:1" x14ac:dyDescent="0.25">
      <c r="A12453" s="5"/>
    </row>
    <row r="12454" spans="1:1" x14ac:dyDescent="0.25">
      <c r="A12454" s="5"/>
    </row>
    <row r="12455" spans="1:1" x14ac:dyDescent="0.25">
      <c r="A12455" s="5"/>
    </row>
    <row r="12456" spans="1:1" x14ac:dyDescent="0.25">
      <c r="A12456" s="5"/>
    </row>
    <row r="12457" spans="1:1" x14ac:dyDescent="0.25">
      <c r="A12457" s="5"/>
    </row>
    <row r="12458" spans="1:1" x14ac:dyDescent="0.25">
      <c r="A12458" s="5"/>
    </row>
    <row r="12459" spans="1:1" x14ac:dyDescent="0.25">
      <c r="A12459" s="5"/>
    </row>
    <row r="12460" spans="1:1" x14ac:dyDescent="0.25">
      <c r="A12460" s="5"/>
    </row>
    <row r="12461" spans="1:1" x14ac:dyDescent="0.25">
      <c r="A12461" s="5"/>
    </row>
    <row r="12462" spans="1:1" x14ac:dyDescent="0.25">
      <c r="A12462" s="5"/>
    </row>
    <row r="12463" spans="1:1" x14ac:dyDescent="0.25">
      <c r="A12463" s="5"/>
    </row>
    <row r="12464" spans="1:1" x14ac:dyDescent="0.25">
      <c r="A12464" s="5"/>
    </row>
    <row r="12465" spans="1:1" x14ac:dyDescent="0.25">
      <c r="A12465" s="5"/>
    </row>
    <row r="12466" spans="1:1" x14ac:dyDescent="0.25">
      <c r="A12466" s="5"/>
    </row>
    <row r="12467" spans="1:1" x14ac:dyDescent="0.25">
      <c r="A12467" s="5"/>
    </row>
    <row r="12468" spans="1:1" x14ac:dyDescent="0.25">
      <c r="A12468" s="5"/>
    </row>
    <row r="12469" spans="1:1" x14ac:dyDescent="0.25">
      <c r="A12469" s="5"/>
    </row>
    <row r="12470" spans="1:1" x14ac:dyDescent="0.25">
      <c r="A12470" s="5"/>
    </row>
    <row r="12471" spans="1:1" x14ac:dyDescent="0.25">
      <c r="A12471" s="5"/>
    </row>
    <row r="12472" spans="1:1" x14ac:dyDescent="0.25">
      <c r="A12472" s="5"/>
    </row>
    <row r="12473" spans="1:1" x14ac:dyDescent="0.25">
      <c r="A12473" s="5"/>
    </row>
    <row r="12474" spans="1:1" x14ac:dyDescent="0.25">
      <c r="A12474" s="5"/>
    </row>
    <row r="12475" spans="1:1" x14ac:dyDescent="0.25">
      <c r="A12475" s="5"/>
    </row>
    <row r="12476" spans="1:1" x14ac:dyDescent="0.25">
      <c r="A12476" s="5"/>
    </row>
    <row r="12477" spans="1:1" x14ac:dyDescent="0.25">
      <c r="A12477" s="5"/>
    </row>
    <row r="12478" spans="1:1" x14ac:dyDescent="0.25">
      <c r="A12478" s="5"/>
    </row>
    <row r="12479" spans="1:1" x14ac:dyDescent="0.25">
      <c r="A12479" s="5"/>
    </row>
    <row r="12480" spans="1:1" x14ac:dyDescent="0.25">
      <c r="A12480" s="5"/>
    </row>
    <row r="12481" spans="1:1" x14ac:dyDescent="0.25">
      <c r="A12481" s="5"/>
    </row>
    <row r="12482" spans="1:1" x14ac:dyDescent="0.25">
      <c r="A12482" s="5"/>
    </row>
    <row r="12483" spans="1:1" x14ac:dyDescent="0.25">
      <c r="A12483" s="5"/>
    </row>
    <row r="12484" spans="1:1" x14ac:dyDescent="0.25">
      <c r="A12484" s="5"/>
    </row>
    <row r="12485" spans="1:1" x14ac:dyDescent="0.25">
      <c r="A12485" s="5"/>
    </row>
    <row r="12486" spans="1:1" x14ac:dyDescent="0.25">
      <c r="A12486" s="5"/>
    </row>
    <row r="12487" spans="1:1" x14ac:dyDescent="0.25">
      <c r="A12487" s="5"/>
    </row>
    <row r="12488" spans="1:1" x14ac:dyDescent="0.25">
      <c r="A12488" s="5"/>
    </row>
    <row r="12489" spans="1:1" x14ac:dyDescent="0.25">
      <c r="A12489" s="5"/>
    </row>
    <row r="12490" spans="1:1" x14ac:dyDescent="0.25">
      <c r="A12490" s="5"/>
    </row>
    <row r="12491" spans="1:1" x14ac:dyDescent="0.25">
      <c r="A12491" s="5"/>
    </row>
    <row r="12492" spans="1:1" x14ac:dyDescent="0.25">
      <c r="A12492" s="5"/>
    </row>
    <row r="12493" spans="1:1" x14ac:dyDescent="0.25">
      <c r="A12493" s="5"/>
    </row>
    <row r="12494" spans="1:1" x14ac:dyDescent="0.25">
      <c r="A12494" s="5"/>
    </row>
    <row r="12495" spans="1:1" x14ac:dyDescent="0.25">
      <c r="A12495" s="5"/>
    </row>
    <row r="12496" spans="1:1" x14ac:dyDescent="0.25">
      <c r="A12496" s="5"/>
    </row>
    <row r="12497" spans="1:1" x14ac:dyDescent="0.25">
      <c r="A12497" s="5"/>
    </row>
    <row r="12498" spans="1:1" x14ac:dyDescent="0.25">
      <c r="A12498" s="5"/>
    </row>
    <row r="12499" spans="1:1" x14ac:dyDescent="0.25">
      <c r="A12499" s="5"/>
    </row>
    <row r="12500" spans="1:1" x14ac:dyDescent="0.25">
      <c r="A12500" s="5"/>
    </row>
    <row r="12501" spans="1:1" x14ac:dyDescent="0.25">
      <c r="A12501" s="5"/>
    </row>
    <row r="12502" spans="1:1" x14ac:dyDescent="0.25">
      <c r="A12502" s="5"/>
    </row>
    <row r="12503" spans="1:1" x14ac:dyDescent="0.25">
      <c r="A12503" s="5"/>
    </row>
    <row r="12504" spans="1:1" x14ac:dyDescent="0.25">
      <c r="A12504" s="5"/>
    </row>
    <row r="12505" spans="1:1" x14ac:dyDescent="0.25">
      <c r="A12505" s="5"/>
    </row>
    <row r="12506" spans="1:1" x14ac:dyDescent="0.25">
      <c r="A12506" s="5"/>
    </row>
    <row r="12507" spans="1:1" x14ac:dyDescent="0.25">
      <c r="A12507" s="5"/>
    </row>
    <row r="12508" spans="1:1" x14ac:dyDescent="0.25">
      <c r="A12508" s="5"/>
    </row>
    <row r="12509" spans="1:1" x14ac:dyDescent="0.25">
      <c r="A12509" s="5"/>
    </row>
    <row r="12510" spans="1:1" x14ac:dyDescent="0.25">
      <c r="A12510" s="5"/>
    </row>
    <row r="12511" spans="1:1" x14ac:dyDescent="0.25">
      <c r="A12511" s="5"/>
    </row>
    <row r="12512" spans="1:1" x14ac:dyDescent="0.25">
      <c r="A12512" s="5"/>
    </row>
    <row r="12513" spans="1:1" x14ac:dyDescent="0.25">
      <c r="A12513" s="5"/>
    </row>
    <row r="12514" spans="1:1" x14ac:dyDescent="0.25">
      <c r="A12514" s="5"/>
    </row>
    <row r="12515" spans="1:1" x14ac:dyDescent="0.25">
      <c r="A12515" s="5"/>
    </row>
    <row r="12516" spans="1:1" x14ac:dyDescent="0.25">
      <c r="A12516" s="5"/>
    </row>
    <row r="12517" spans="1:1" x14ac:dyDescent="0.25">
      <c r="A12517" s="5"/>
    </row>
    <row r="12518" spans="1:1" x14ac:dyDescent="0.25">
      <c r="A12518" s="5"/>
    </row>
    <row r="12519" spans="1:1" x14ac:dyDescent="0.25">
      <c r="A12519" s="5"/>
    </row>
    <row r="12520" spans="1:1" x14ac:dyDescent="0.25">
      <c r="A12520" s="5"/>
    </row>
    <row r="12521" spans="1:1" x14ac:dyDescent="0.25">
      <c r="A12521" s="5"/>
    </row>
    <row r="12522" spans="1:1" x14ac:dyDescent="0.25">
      <c r="A12522" s="5"/>
    </row>
    <row r="12523" spans="1:1" x14ac:dyDescent="0.25">
      <c r="A12523" s="5"/>
    </row>
    <row r="12524" spans="1:1" x14ac:dyDescent="0.25">
      <c r="A12524" s="5"/>
    </row>
    <row r="12525" spans="1:1" x14ac:dyDescent="0.25">
      <c r="A12525" s="5"/>
    </row>
    <row r="12526" spans="1:1" x14ac:dyDescent="0.25">
      <c r="A12526" s="5"/>
    </row>
    <row r="12527" spans="1:1" x14ac:dyDescent="0.25">
      <c r="A12527" s="5"/>
    </row>
    <row r="12528" spans="1:1" x14ac:dyDescent="0.25">
      <c r="A12528" s="5"/>
    </row>
    <row r="12529" spans="1:1" x14ac:dyDescent="0.25">
      <c r="A12529" s="5"/>
    </row>
    <row r="12530" spans="1:1" x14ac:dyDescent="0.25">
      <c r="A12530" s="5"/>
    </row>
    <row r="12531" spans="1:1" x14ac:dyDescent="0.25">
      <c r="A12531" s="5"/>
    </row>
    <row r="12532" spans="1:1" x14ac:dyDescent="0.25">
      <c r="A12532" s="5"/>
    </row>
    <row r="12533" spans="1:1" x14ac:dyDescent="0.25">
      <c r="A12533" s="5"/>
    </row>
    <row r="12534" spans="1:1" x14ac:dyDescent="0.25">
      <c r="A12534" s="5"/>
    </row>
    <row r="12535" spans="1:1" x14ac:dyDescent="0.25">
      <c r="A12535" s="5"/>
    </row>
    <row r="12536" spans="1:1" x14ac:dyDescent="0.25">
      <c r="A12536" s="5"/>
    </row>
    <row r="12537" spans="1:1" x14ac:dyDescent="0.25">
      <c r="A12537" s="5"/>
    </row>
    <row r="12538" spans="1:1" x14ac:dyDescent="0.25">
      <c r="A12538" s="5"/>
    </row>
    <row r="12539" spans="1:1" x14ac:dyDescent="0.25">
      <c r="A12539" s="5"/>
    </row>
    <row r="12540" spans="1:1" x14ac:dyDescent="0.25">
      <c r="A12540" s="5"/>
    </row>
    <row r="12541" spans="1:1" x14ac:dyDescent="0.25">
      <c r="A12541" s="5"/>
    </row>
    <row r="12542" spans="1:1" x14ac:dyDescent="0.25">
      <c r="A12542" s="5"/>
    </row>
    <row r="12543" spans="1:1" x14ac:dyDescent="0.25">
      <c r="A12543" s="5"/>
    </row>
    <row r="12544" spans="1:1" x14ac:dyDescent="0.25">
      <c r="A12544" s="5"/>
    </row>
    <row r="12545" spans="1:1" x14ac:dyDescent="0.25">
      <c r="A12545" s="5"/>
    </row>
    <row r="12546" spans="1:1" x14ac:dyDescent="0.25">
      <c r="A12546" s="5"/>
    </row>
    <row r="12547" spans="1:1" x14ac:dyDescent="0.25">
      <c r="A12547" s="5"/>
    </row>
    <row r="12548" spans="1:1" x14ac:dyDescent="0.25">
      <c r="A12548" s="5"/>
    </row>
    <row r="12549" spans="1:1" x14ac:dyDescent="0.25">
      <c r="A12549" s="5"/>
    </row>
    <row r="12550" spans="1:1" x14ac:dyDescent="0.25">
      <c r="A12550" s="5"/>
    </row>
    <row r="12551" spans="1:1" x14ac:dyDescent="0.25">
      <c r="A12551" s="5"/>
    </row>
    <row r="12552" spans="1:1" x14ac:dyDescent="0.25">
      <c r="A12552" s="5"/>
    </row>
    <row r="12553" spans="1:1" x14ac:dyDescent="0.25">
      <c r="A12553" s="5"/>
    </row>
    <row r="12554" spans="1:1" x14ac:dyDescent="0.25">
      <c r="A12554" s="5"/>
    </row>
    <row r="12555" spans="1:1" x14ac:dyDescent="0.25">
      <c r="A12555" s="5"/>
    </row>
    <row r="12556" spans="1:1" x14ac:dyDescent="0.25">
      <c r="A12556" s="5"/>
    </row>
    <row r="12557" spans="1:1" x14ac:dyDescent="0.25">
      <c r="A12557" s="5"/>
    </row>
    <row r="12558" spans="1:1" x14ac:dyDescent="0.25">
      <c r="A12558" s="5"/>
    </row>
    <row r="12559" spans="1:1" x14ac:dyDescent="0.25">
      <c r="A12559" s="5"/>
    </row>
    <row r="12560" spans="1:1" x14ac:dyDescent="0.25">
      <c r="A12560" s="5"/>
    </row>
    <row r="12561" spans="1:1" x14ac:dyDescent="0.25">
      <c r="A12561" s="5"/>
    </row>
    <row r="12562" spans="1:1" x14ac:dyDescent="0.25">
      <c r="A12562" s="5"/>
    </row>
    <row r="12563" spans="1:1" x14ac:dyDescent="0.25">
      <c r="A12563" s="5"/>
    </row>
    <row r="12564" spans="1:1" x14ac:dyDescent="0.25">
      <c r="A12564" s="5"/>
    </row>
    <row r="12565" spans="1:1" x14ac:dyDescent="0.25">
      <c r="A12565" s="5"/>
    </row>
    <row r="12566" spans="1:1" x14ac:dyDescent="0.25">
      <c r="A12566" s="5"/>
    </row>
    <row r="12567" spans="1:1" x14ac:dyDescent="0.25">
      <c r="A12567" s="5"/>
    </row>
    <row r="12568" spans="1:1" x14ac:dyDescent="0.25">
      <c r="A12568" s="5"/>
    </row>
    <row r="12569" spans="1:1" x14ac:dyDescent="0.25">
      <c r="A12569" s="5"/>
    </row>
    <row r="12570" spans="1:1" x14ac:dyDescent="0.25">
      <c r="A12570" s="5"/>
    </row>
    <row r="12571" spans="1:1" x14ac:dyDescent="0.25">
      <c r="A12571" s="5"/>
    </row>
    <row r="12572" spans="1:1" x14ac:dyDescent="0.25">
      <c r="A12572" s="5"/>
    </row>
    <row r="12573" spans="1:1" x14ac:dyDescent="0.25">
      <c r="A12573" s="5"/>
    </row>
    <row r="12574" spans="1:1" x14ac:dyDescent="0.25">
      <c r="A12574" s="5"/>
    </row>
    <row r="12575" spans="1:1" x14ac:dyDescent="0.25">
      <c r="A12575" s="5"/>
    </row>
    <row r="12576" spans="1:1" x14ac:dyDescent="0.25">
      <c r="A12576" s="5"/>
    </row>
    <row r="12577" spans="1:1" x14ac:dyDescent="0.25">
      <c r="A12577" s="5"/>
    </row>
    <row r="12578" spans="1:1" x14ac:dyDescent="0.25">
      <c r="A12578" s="5"/>
    </row>
    <row r="12579" spans="1:1" x14ac:dyDescent="0.25">
      <c r="A12579" s="5"/>
    </row>
    <row r="12580" spans="1:1" x14ac:dyDescent="0.25">
      <c r="A12580" s="5"/>
    </row>
    <row r="12581" spans="1:1" x14ac:dyDescent="0.25">
      <c r="A12581" s="5"/>
    </row>
    <row r="12582" spans="1:1" x14ac:dyDescent="0.25">
      <c r="A12582" s="5"/>
    </row>
    <row r="12583" spans="1:1" x14ac:dyDescent="0.25">
      <c r="A12583" s="5"/>
    </row>
    <row r="12584" spans="1:1" x14ac:dyDescent="0.25">
      <c r="A12584" s="5"/>
    </row>
    <row r="12585" spans="1:1" x14ac:dyDescent="0.25">
      <c r="A12585" s="5"/>
    </row>
    <row r="12586" spans="1:1" x14ac:dyDescent="0.25">
      <c r="A12586" s="5"/>
    </row>
    <row r="12587" spans="1:1" x14ac:dyDescent="0.25">
      <c r="A12587" s="5"/>
    </row>
    <row r="12588" spans="1:1" x14ac:dyDescent="0.25">
      <c r="A12588" s="5"/>
    </row>
    <row r="12589" spans="1:1" x14ac:dyDescent="0.25">
      <c r="A12589" s="5"/>
    </row>
    <row r="12590" spans="1:1" x14ac:dyDescent="0.25">
      <c r="A12590" s="5"/>
    </row>
    <row r="12591" spans="1:1" x14ac:dyDescent="0.25">
      <c r="A12591" s="5"/>
    </row>
    <row r="12592" spans="1:1" x14ac:dyDescent="0.25">
      <c r="A12592" s="5"/>
    </row>
    <row r="12593" spans="1:1" x14ac:dyDescent="0.25">
      <c r="A12593" s="5"/>
    </row>
    <row r="12594" spans="1:1" x14ac:dyDescent="0.25">
      <c r="A12594" s="5"/>
    </row>
    <row r="12595" spans="1:1" x14ac:dyDescent="0.25">
      <c r="A12595" s="5"/>
    </row>
    <row r="12596" spans="1:1" x14ac:dyDescent="0.25">
      <c r="A12596" s="5"/>
    </row>
    <row r="12597" spans="1:1" x14ac:dyDescent="0.25">
      <c r="A12597" s="5"/>
    </row>
    <row r="12598" spans="1:1" x14ac:dyDescent="0.25">
      <c r="A12598" s="5"/>
    </row>
    <row r="12599" spans="1:1" x14ac:dyDescent="0.25">
      <c r="A12599" s="5"/>
    </row>
    <row r="12600" spans="1:1" x14ac:dyDescent="0.25">
      <c r="A12600" s="5"/>
    </row>
    <row r="12601" spans="1:1" x14ac:dyDescent="0.25">
      <c r="A12601" s="5"/>
    </row>
    <row r="12602" spans="1:1" x14ac:dyDescent="0.25">
      <c r="A12602" s="5"/>
    </row>
    <row r="12603" spans="1:1" x14ac:dyDescent="0.25">
      <c r="A12603" s="5"/>
    </row>
    <row r="12604" spans="1:1" x14ac:dyDescent="0.25">
      <c r="A12604" s="5"/>
    </row>
    <row r="12605" spans="1:1" x14ac:dyDescent="0.25">
      <c r="A12605" s="5"/>
    </row>
    <row r="12606" spans="1:1" x14ac:dyDescent="0.25">
      <c r="A12606" s="5"/>
    </row>
    <row r="12607" spans="1:1" x14ac:dyDescent="0.25">
      <c r="A12607" s="5"/>
    </row>
    <row r="12608" spans="1:1" x14ac:dyDescent="0.25">
      <c r="A12608" s="5"/>
    </row>
    <row r="12609" spans="1:1" x14ac:dyDescent="0.25">
      <c r="A12609" s="5"/>
    </row>
    <row r="12610" spans="1:1" x14ac:dyDescent="0.25">
      <c r="A12610" s="5"/>
    </row>
    <row r="12611" spans="1:1" x14ac:dyDescent="0.25">
      <c r="A12611" s="5"/>
    </row>
    <row r="12612" spans="1:1" x14ac:dyDescent="0.25">
      <c r="A12612" s="5"/>
    </row>
    <row r="12613" spans="1:1" x14ac:dyDescent="0.25">
      <c r="A12613" s="5"/>
    </row>
    <row r="12614" spans="1:1" x14ac:dyDescent="0.25">
      <c r="A12614" s="5"/>
    </row>
    <row r="12615" spans="1:1" x14ac:dyDescent="0.25">
      <c r="A12615" s="5"/>
    </row>
    <row r="12616" spans="1:1" x14ac:dyDescent="0.25">
      <c r="A12616" s="5"/>
    </row>
    <row r="12617" spans="1:1" x14ac:dyDescent="0.25">
      <c r="A12617" s="5"/>
    </row>
    <row r="12618" spans="1:1" x14ac:dyDescent="0.25">
      <c r="A12618" s="5"/>
    </row>
    <row r="12619" spans="1:1" x14ac:dyDescent="0.25">
      <c r="A12619" s="5"/>
    </row>
    <row r="12620" spans="1:1" x14ac:dyDescent="0.25">
      <c r="A12620" s="5"/>
    </row>
    <row r="12621" spans="1:1" x14ac:dyDescent="0.25">
      <c r="A12621" s="5"/>
    </row>
    <row r="12622" spans="1:1" x14ac:dyDescent="0.25">
      <c r="A12622" s="5"/>
    </row>
    <row r="12623" spans="1:1" x14ac:dyDescent="0.25">
      <c r="A12623" s="5"/>
    </row>
    <row r="12624" spans="1:1" x14ac:dyDescent="0.25">
      <c r="A12624" s="5"/>
    </row>
    <row r="12625" spans="1:1" x14ac:dyDescent="0.25">
      <c r="A12625" s="5"/>
    </row>
    <row r="12626" spans="1:1" x14ac:dyDescent="0.25">
      <c r="A12626" s="5"/>
    </row>
    <row r="12627" spans="1:1" x14ac:dyDescent="0.25">
      <c r="A12627" s="5"/>
    </row>
    <row r="12628" spans="1:1" x14ac:dyDescent="0.25">
      <c r="A12628" s="5"/>
    </row>
    <row r="12629" spans="1:1" x14ac:dyDescent="0.25">
      <c r="A12629" s="5"/>
    </row>
    <row r="12630" spans="1:1" x14ac:dyDescent="0.25">
      <c r="A12630" s="5"/>
    </row>
    <row r="12631" spans="1:1" x14ac:dyDescent="0.25">
      <c r="A12631" s="5"/>
    </row>
    <row r="12632" spans="1:1" x14ac:dyDescent="0.25">
      <c r="A12632" s="5"/>
    </row>
    <row r="12633" spans="1:1" x14ac:dyDescent="0.25">
      <c r="A12633" s="5"/>
    </row>
    <row r="12634" spans="1:1" x14ac:dyDescent="0.25">
      <c r="A12634" s="5"/>
    </row>
    <row r="12635" spans="1:1" x14ac:dyDescent="0.25">
      <c r="A12635" s="5"/>
    </row>
    <row r="12636" spans="1:1" x14ac:dyDescent="0.25">
      <c r="A12636" s="5"/>
    </row>
    <row r="12637" spans="1:1" x14ac:dyDescent="0.25">
      <c r="A12637" s="5"/>
    </row>
    <row r="12638" spans="1:1" x14ac:dyDescent="0.25">
      <c r="A12638" s="5"/>
    </row>
    <row r="12639" spans="1:1" x14ac:dyDescent="0.25">
      <c r="A12639" s="5"/>
    </row>
    <row r="12640" spans="1:1" x14ac:dyDescent="0.25">
      <c r="A12640" s="5"/>
    </row>
    <row r="12641" spans="1:1" x14ac:dyDescent="0.25">
      <c r="A12641" s="5"/>
    </row>
    <row r="12642" spans="1:1" x14ac:dyDescent="0.25">
      <c r="A12642" s="5"/>
    </row>
    <row r="12643" spans="1:1" x14ac:dyDescent="0.25">
      <c r="A12643" s="5"/>
    </row>
    <row r="12644" spans="1:1" x14ac:dyDescent="0.25">
      <c r="A12644" s="5"/>
    </row>
    <row r="12645" spans="1:1" x14ac:dyDescent="0.25">
      <c r="A12645" s="5"/>
    </row>
    <row r="12646" spans="1:1" x14ac:dyDescent="0.25">
      <c r="A12646" s="5"/>
    </row>
    <row r="12647" spans="1:1" x14ac:dyDescent="0.25">
      <c r="A12647" s="5"/>
    </row>
    <row r="12648" spans="1:1" x14ac:dyDescent="0.25">
      <c r="A12648" s="5"/>
    </row>
    <row r="12649" spans="1:1" x14ac:dyDescent="0.25">
      <c r="A12649" s="5"/>
    </row>
    <row r="12650" spans="1:1" x14ac:dyDescent="0.25">
      <c r="A12650" s="5"/>
    </row>
    <row r="12651" spans="1:1" x14ac:dyDescent="0.25">
      <c r="A12651" s="5"/>
    </row>
    <row r="12652" spans="1:1" x14ac:dyDescent="0.25">
      <c r="A12652" s="5"/>
    </row>
    <row r="12653" spans="1:1" x14ac:dyDescent="0.25">
      <c r="A12653" s="5"/>
    </row>
    <row r="12654" spans="1:1" x14ac:dyDescent="0.25">
      <c r="A12654" s="5"/>
    </row>
    <row r="12655" spans="1:1" x14ac:dyDescent="0.25">
      <c r="A12655" s="5"/>
    </row>
    <row r="12656" spans="1:1" x14ac:dyDescent="0.25">
      <c r="A12656" s="5"/>
    </row>
    <row r="12657" spans="1:1" x14ac:dyDescent="0.25">
      <c r="A12657" s="5"/>
    </row>
    <row r="12658" spans="1:1" x14ac:dyDescent="0.25">
      <c r="A12658" s="5"/>
    </row>
    <row r="12659" spans="1:1" x14ac:dyDescent="0.25">
      <c r="A12659" s="5"/>
    </row>
    <row r="12660" spans="1:1" x14ac:dyDescent="0.25">
      <c r="A12660" s="5"/>
    </row>
    <row r="12661" spans="1:1" x14ac:dyDescent="0.25">
      <c r="A12661" s="5"/>
    </row>
    <row r="12662" spans="1:1" x14ac:dyDescent="0.25">
      <c r="A12662" s="5"/>
    </row>
    <row r="12663" spans="1:1" x14ac:dyDescent="0.25">
      <c r="A12663" s="5"/>
    </row>
    <row r="12664" spans="1:1" x14ac:dyDescent="0.25">
      <c r="A12664" s="5"/>
    </row>
    <row r="12665" spans="1:1" x14ac:dyDescent="0.25">
      <c r="A12665" s="5"/>
    </row>
    <row r="12666" spans="1:1" x14ac:dyDescent="0.25">
      <c r="A12666" s="5"/>
    </row>
    <row r="12667" spans="1:1" x14ac:dyDescent="0.25">
      <c r="A12667" s="5"/>
    </row>
    <row r="12668" spans="1:1" x14ac:dyDescent="0.25">
      <c r="A12668" s="5"/>
    </row>
    <row r="12669" spans="1:1" x14ac:dyDescent="0.25">
      <c r="A12669" s="5"/>
    </row>
    <row r="12670" spans="1:1" x14ac:dyDescent="0.25">
      <c r="A12670" s="5"/>
    </row>
    <row r="12671" spans="1:1" x14ac:dyDescent="0.25">
      <c r="A12671" s="5"/>
    </row>
    <row r="12672" spans="1:1" x14ac:dyDescent="0.25">
      <c r="A12672" s="5"/>
    </row>
    <row r="12673" spans="1:1" x14ac:dyDescent="0.25">
      <c r="A12673" s="5"/>
    </row>
    <row r="12674" spans="1:1" x14ac:dyDescent="0.25">
      <c r="A12674" s="5"/>
    </row>
    <row r="12675" spans="1:1" x14ac:dyDescent="0.25">
      <c r="A12675" s="5"/>
    </row>
    <row r="12676" spans="1:1" x14ac:dyDescent="0.25">
      <c r="A12676" s="5"/>
    </row>
    <row r="12677" spans="1:1" x14ac:dyDescent="0.25">
      <c r="A12677" s="5"/>
    </row>
    <row r="12678" spans="1:1" x14ac:dyDescent="0.25">
      <c r="A12678" s="5"/>
    </row>
    <row r="12679" spans="1:1" x14ac:dyDescent="0.25">
      <c r="A12679" s="5"/>
    </row>
    <row r="12680" spans="1:1" x14ac:dyDescent="0.25">
      <c r="A12680" s="5"/>
    </row>
    <row r="12681" spans="1:1" x14ac:dyDescent="0.25">
      <c r="A12681" s="5"/>
    </row>
    <row r="12682" spans="1:1" x14ac:dyDescent="0.25">
      <c r="A12682" s="5"/>
    </row>
    <row r="12683" spans="1:1" x14ac:dyDescent="0.25">
      <c r="A12683" s="5"/>
    </row>
    <row r="12684" spans="1:1" x14ac:dyDescent="0.25">
      <c r="A12684" s="5"/>
    </row>
    <row r="12685" spans="1:1" x14ac:dyDescent="0.25">
      <c r="A12685" s="5"/>
    </row>
    <row r="12686" spans="1:1" x14ac:dyDescent="0.25">
      <c r="A12686" s="5"/>
    </row>
    <row r="12687" spans="1:1" x14ac:dyDescent="0.25">
      <c r="A12687" s="5"/>
    </row>
    <row r="12688" spans="1:1" x14ac:dyDescent="0.25">
      <c r="A12688" s="5"/>
    </row>
    <row r="12689" spans="1:1" x14ac:dyDescent="0.25">
      <c r="A12689" s="5"/>
    </row>
    <row r="12690" spans="1:1" x14ac:dyDescent="0.25">
      <c r="A12690" s="5"/>
    </row>
    <row r="12691" spans="1:1" x14ac:dyDescent="0.25">
      <c r="A12691" s="5"/>
    </row>
    <row r="12692" spans="1:1" x14ac:dyDescent="0.25">
      <c r="A12692" s="5"/>
    </row>
    <row r="12693" spans="1:1" x14ac:dyDescent="0.25">
      <c r="A12693" s="5"/>
    </row>
    <row r="12694" spans="1:1" x14ac:dyDescent="0.25">
      <c r="A12694" s="5"/>
    </row>
    <row r="12695" spans="1:1" x14ac:dyDescent="0.25">
      <c r="A12695" s="5"/>
    </row>
    <row r="12696" spans="1:1" x14ac:dyDescent="0.25">
      <c r="A12696" s="5"/>
    </row>
    <row r="12697" spans="1:1" x14ac:dyDescent="0.25">
      <c r="A12697" s="5"/>
    </row>
    <row r="12698" spans="1:1" x14ac:dyDescent="0.25">
      <c r="A12698" s="5"/>
    </row>
    <row r="12699" spans="1:1" x14ac:dyDescent="0.25">
      <c r="A12699" s="5"/>
    </row>
    <row r="12700" spans="1:1" x14ac:dyDescent="0.25">
      <c r="A12700" s="5"/>
    </row>
    <row r="12701" spans="1:1" x14ac:dyDescent="0.25">
      <c r="A12701" s="5"/>
    </row>
    <row r="12702" spans="1:1" x14ac:dyDescent="0.25">
      <c r="A12702" s="5"/>
    </row>
    <row r="12703" spans="1:1" x14ac:dyDescent="0.25">
      <c r="A12703" s="5"/>
    </row>
    <row r="12704" spans="1:1" x14ac:dyDescent="0.25">
      <c r="A12704" s="5"/>
    </row>
    <row r="12705" spans="1:1" x14ac:dyDescent="0.25">
      <c r="A12705" s="5"/>
    </row>
    <row r="12706" spans="1:1" x14ac:dyDescent="0.25">
      <c r="A12706" s="5"/>
    </row>
    <row r="12707" spans="1:1" x14ac:dyDescent="0.25">
      <c r="A12707" s="5"/>
    </row>
    <row r="12708" spans="1:1" x14ac:dyDescent="0.25">
      <c r="A12708" s="5"/>
    </row>
    <row r="12709" spans="1:1" x14ac:dyDescent="0.25">
      <c r="A12709" s="5"/>
    </row>
    <row r="12710" spans="1:1" x14ac:dyDescent="0.25">
      <c r="A12710" s="5"/>
    </row>
    <row r="12711" spans="1:1" x14ac:dyDescent="0.25">
      <c r="A12711" s="5"/>
    </row>
    <row r="12712" spans="1:1" x14ac:dyDescent="0.25">
      <c r="A12712" s="5"/>
    </row>
    <row r="12713" spans="1:1" x14ac:dyDescent="0.25">
      <c r="A12713" s="5"/>
    </row>
    <row r="12714" spans="1:1" x14ac:dyDescent="0.25">
      <c r="A12714" s="5"/>
    </row>
    <row r="12715" spans="1:1" x14ac:dyDescent="0.25">
      <c r="A12715" s="5"/>
    </row>
    <row r="12716" spans="1:1" x14ac:dyDescent="0.25">
      <c r="A12716" s="5"/>
    </row>
    <row r="12717" spans="1:1" x14ac:dyDescent="0.25">
      <c r="A12717" s="5"/>
    </row>
    <row r="12718" spans="1:1" x14ac:dyDescent="0.25">
      <c r="A12718" s="5"/>
    </row>
    <row r="12719" spans="1:1" x14ac:dyDescent="0.25">
      <c r="A12719" s="5"/>
    </row>
    <row r="12720" spans="1:1" x14ac:dyDescent="0.25">
      <c r="A12720" s="5"/>
    </row>
    <row r="12721" spans="1:1" x14ac:dyDescent="0.25">
      <c r="A12721" s="5"/>
    </row>
    <row r="12722" spans="1:1" x14ac:dyDescent="0.25">
      <c r="A12722" s="5"/>
    </row>
    <row r="12723" spans="1:1" x14ac:dyDescent="0.25">
      <c r="A12723" s="5"/>
    </row>
    <row r="12724" spans="1:1" x14ac:dyDescent="0.25">
      <c r="A12724" s="5"/>
    </row>
    <row r="12725" spans="1:1" x14ac:dyDescent="0.25">
      <c r="A12725" s="5"/>
    </row>
    <row r="12726" spans="1:1" x14ac:dyDescent="0.25">
      <c r="A12726" s="5"/>
    </row>
    <row r="12727" spans="1:1" x14ac:dyDescent="0.25">
      <c r="A12727" s="5"/>
    </row>
    <row r="12728" spans="1:1" x14ac:dyDescent="0.25">
      <c r="A12728" s="5"/>
    </row>
    <row r="12729" spans="1:1" x14ac:dyDescent="0.25">
      <c r="A12729" s="5"/>
    </row>
    <row r="12730" spans="1:1" x14ac:dyDescent="0.25">
      <c r="A12730" s="5"/>
    </row>
    <row r="12731" spans="1:1" x14ac:dyDescent="0.25">
      <c r="A12731" s="5"/>
    </row>
    <row r="12732" spans="1:1" x14ac:dyDescent="0.25">
      <c r="A12732" s="5"/>
    </row>
    <row r="12733" spans="1:1" x14ac:dyDescent="0.25">
      <c r="A12733" s="5"/>
    </row>
    <row r="12734" spans="1:1" x14ac:dyDescent="0.25">
      <c r="A12734" s="5"/>
    </row>
    <row r="12735" spans="1:1" x14ac:dyDescent="0.25">
      <c r="A12735" s="5"/>
    </row>
    <row r="12736" spans="1:1" x14ac:dyDescent="0.25">
      <c r="A12736" s="5"/>
    </row>
    <row r="12737" spans="1:1" x14ac:dyDescent="0.25">
      <c r="A12737" s="5"/>
    </row>
    <row r="12738" spans="1:1" x14ac:dyDescent="0.25">
      <c r="A12738" s="5"/>
    </row>
    <row r="12739" spans="1:1" x14ac:dyDescent="0.25">
      <c r="A12739" s="5"/>
    </row>
    <row r="12740" spans="1:1" x14ac:dyDescent="0.25">
      <c r="A12740" s="5"/>
    </row>
    <row r="12741" spans="1:1" x14ac:dyDescent="0.25">
      <c r="A12741" s="5"/>
    </row>
    <row r="12742" spans="1:1" x14ac:dyDescent="0.25">
      <c r="A12742" s="5"/>
    </row>
    <row r="12743" spans="1:1" x14ac:dyDescent="0.25">
      <c r="A12743" s="5"/>
    </row>
    <row r="12744" spans="1:1" x14ac:dyDescent="0.25">
      <c r="A12744" s="5"/>
    </row>
    <row r="12745" spans="1:1" x14ac:dyDescent="0.25">
      <c r="A12745" s="5"/>
    </row>
    <row r="12746" spans="1:1" x14ac:dyDescent="0.25">
      <c r="A12746" s="5"/>
    </row>
    <row r="12747" spans="1:1" x14ac:dyDescent="0.25">
      <c r="A12747" s="5"/>
    </row>
    <row r="12748" spans="1:1" x14ac:dyDescent="0.25">
      <c r="A12748" s="5"/>
    </row>
    <row r="12749" spans="1:1" x14ac:dyDescent="0.25">
      <c r="A12749" s="5"/>
    </row>
    <row r="12750" spans="1:1" x14ac:dyDescent="0.25">
      <c r="A12750" s="5"/>
    </row>
    <row r="12751" spans="1:1" x14ac:dyDescent="0.25">
      <c r="A12751" s="5"/>
    </row>
    <row r="12752" spans="1:1" x14ac:dyDescent="0.25">
      <c r="A12752" s="5"/>
    </row>
    <row r="12753" spans="1:1" x14ac:dyDescent="0.25">
      <c r="A12753" s="5"/>
    </row>
    <row r="12754" spans="1:1" x14ac:dyDescent="0.25">
      <c r="A12754" s="5"/>
    </row>
    <row r="12755" spans="1:1" x14ac:dyDescent="0.25">
      <c r="A12755" s="5"/>
    </row>
    <row r="12756" spans="1:1" x14ac:dyDescent="0.25">
      <c r="A12756" s="5"/>
    </row>
    <row r="12757" spans="1:1" x14ac:dyDescent="0.25">
      <c r="A12757" s="5"/>
    </row>
    <row r="12758" spans="1:1" x14ac:dyDescent="0.25">
      <c r="A12758" s="5"/>
    </row>
    <row r="12759" spans="1:1" x14ac:dyDescent="0.25">
      <c r="A12759" s="5"/>
    </row>
    <row r="12760" spans="1:1" x14ac:dyDescent="0.25">
      <c r="A12760" s="5"/>
    </row>
    <row r="12761" spans="1:1" x14ac:dyDescent="0.25">
      <c r="A12761" s="5"/>
    </row>
    <row r="12762" spans="1:1" x14ac:dyDescent="0.25">
      <c r="A12762" s="5"/>
    </row>
    <row r="12763" spans="1:1" x14ac:dyDescent="0.25">
      <c r="A12763" s="5"/>
    </row>
    <row r="12764" spans="1:1" x14ac:dyDescent="0.25">
      <c r="A12764" s="5"/>
    </row>
    <row r="12765" spans="1:1" x14ac:dyDescent="0.25">
      <c r="A12765" s="5"/>
    </row>
    <row r="12766" spans="1:1" x14ac:dyDescent="0.25">
      <c r="A12766" s="5"/>
    </row>
    <row r="12767" spans="1:1" x14ac:dyDescent="0.25">
      <c r="A12767" s="5"/>
    </row>
    <row r="12768" spans="1:1" x14ac:dyDescent="0.25">
      <c r="A12768" s="5"/>
    </row>
    <row r="12769" spans="1:1" x14ac:dyDescent="0.25">
      <c r="A12769" s="5"/>
    </row>
    <row r="12770" spans="1:1" x14ac:dyDescent="0.25">
      <c r="A12770" s="5"/>
    </row>
    <row r="12771" spans="1:1" x14ac:dyDescent="0.25">
      <c r="A12771" s="5"/>
    </row>
    <row r="12772" spans="1:1" x14ac:dyDescent="0.25">
      <c r="A12772" s="5"/>
    </row>
    <row r="12773" spans="1:1" x14ac:dyDescent="0.25">
      <c r="A12773" s="5"/>
    </row>
    <row r="12774" spans="1:1" x14ac:dyDescent="0.25">
      <c r="A12774" s="5"/>
    </row>
    <row r="12775" spans="1:1" x14ac:dyDescent="0.25">
      <c r="A12775" s="5"/>
    </row>
    <row r="12776" spans="1:1" x14ac:dyDescent="0.25">
      <c r="A12776" s="5"/>
    </row>
    <row r="12777" spans="1:1" x14ac:dyDescent="0.25">
      <c r="A12777" s="5"/>
    </row>
    <row r="12778" spans="1:1" x14ac:dyDescent="0.25">
      <c r="A12778" s="5"/>
    </row>
    <row r="12779" spans="1:1" x14ac:dyDescent="0.25">
      <c r="A12779" s="5"/>
    </row>
    <row r="12780" spans="1:1" x14ac:dyDescent="0.25">
      <c r="A12780" s="5"/>
    </row>
    <row r="12781" spans="1:1" x14ac:dyDescent="0.25">
      <c r="A12781" s="5"/>
    </row>
    <row r="12782" spans="1:1" x14ac:dyDescent="0.25">
      <c r="A12782" s="5"/>
    </row>
    <row r="12783" spans="1:1" x14ac:dyDescent="0.25">
      <c r="A12783" s="5"/>
    </row>
    <row r="12784" spans="1:1" x14ac:dyDescent="0.25">
      <c r="A12784" s="5"/>
    </row>
    <row r="12785" spans="1:1" x14ac:dyDescent="0.25">
      <c r="A12785" s="5"/>
    </row>
    <row r="12786" spans="1:1" x14ac:dyDescent="0.25">
      <c r="A12786" s="5"/>
    </row>
    <row r="12787" spans="1:1" x14ac:dyDescent="0.25">
      <c r="A12787" s="5"/>
    </row>
    <row r="12788" spans="1:1" x14ac:dyDescent="0.25">
      <c r="A12788" s="5"/>
    </row>
    <row r="12789" spans="1:1" x14ac:dyDescent="0.25">
      <c r="A12789" s="5"/>
    </row>
    <row r="12790" spans="1:1" x14ac:dyDescent="0.25">
      <c r="A12790" s="5"/>
    </row>
    <row r="12791" spans="1:1" x14ac:dyDescent="0.25">
      <c r="A12791" s="5"/>
    </row>
    <row r="12792" spans="1:1" x14ac:dyDescent="0.25">
      <c r="A12792" s="5"/>
    </row>
    <row r="12793" spans="1:1" x14ac:dyDescent="0.25">
      <c r="A12793" s="5"/>
    </row>
    <row r="12794" spans="1:1" x14ac:dyDescent="0.25">
      <c r="A12794" s="5"/>
    </row>
    <row r="12795" spans="1:1" x14ac:dyDescent="0.25">
      <c r="A12795" s="5"/>
    </row>
    <row r="12796" spans="1:1" x14ac:dyDescent="0.25">
      <c r="A12796" s="5"/>
    </row>
    <row r="12797" spans="1:1" x14ac:dyDescent="0.25">
      <c r="A12797" s="5"/>
    </row>
    <row r="12798" spans="1:1" x14ac:dyDescent="0.25">
      <c r="A12798" s="5"/>
    </row>
    <row r="12799" spans="1:1" x14ac:dyDescent="0.25">
      <c r="A12799" s="5"/>
    </row>
    <row r="12800" spans="1:1" x14ac:dyDescent="0.25">
      <c r="A12800" s="5"/>
    </row>
    <row r="12801" spans="1:1" x14ac:dyDescent="0.25">
      <c r="A12801" s="5"/>
    </row>
    <row r="12802" spans="1:1" x14ac:dyDescent="0.25">
      <c r="A12802" s="5"/>
    </row>
    <row r="12803" spans="1:1" x14ac:dyDescent="0.25">
      <c r="A12803" s="5"/>
    </row>
    <row r="12804" spans="1:1" x14ac:dyDescent="0.25">
      <c r="A12804" s="5"/>
    </row>
    <row r="12805" spans="1:1" x14ac:dyDescent="0.25">
      <c r="A12805" s="5"/>
    </row>
    <row r="12806" spans="1:1" x14ac:dyDescent="0.25">
      <c r="A12806" s="5"/>
    </row>
    <row r="12807" spans="1:1" x14ac:dyDescent="0.25">
      <c r="A12807" s="5"/>
    </row>
    <row r="12808" spans="1:1" x14ac:dyDescent="0.25">
      <c r="A12808" s="5"/>
    </row>
    <row r="12809" spans="1:1" x14ac:dyDescent="0.25">
      <c r="A12809" s="5"/>
    </row>
    <row r="12810" spans="1:1" x14ac:dyDescent="0.25">
      <c r="A12810" s="5"/>
    </row>
    <row r="12811" spans="1:1" x14ac:dyDescent="0.25">
      <c r="A12811" s="5"/>
    </row>
    <row r="12812" spans="1:1" x14ac:dyDescent="0.25">
      <c r="A12812" s="5"/>
    </row>
    <row r="12813" spans="1:1" x14ac:dyDescent="0.25">
      <c r="A12813" s="5"/>
    </row>
    <row r="12814" spans="1:1" x14ac:dyDescent="0.25">
      <c r="A12814" s="5"/>
    </row>
    <row r="12815" spans="1:1" x14ac:dyDescent="0.25">
      <c r="A12815" s="5"/>
    </row>
    <row r="12816" spans="1:1" x14ac:dyDescent="0.25">
      <c r="A12816" s="5"/>
    </row>
    <row r="12817" spans="1:1" x14ac:dyDescent="0.25">
      <c r="A12817" s="5"/>
    </row>
    <row r="12818" spans="1:1" x14ac:dyDescent="0.25">
      <c r="A12818" s="5"/>
    </row>
    <row r="12819" spans="1:1" x14ac:dyDescent="0.25">
      <c r="A12819" s="5"/>
    </row>
    <row r="12820" spans="1:1" x14ac:dyDescent="0.25">
      <c r="A12820" s="5"/>
    </row>
    <row r="12821" spans="1:1" x14ac:dyDescent="0.25">
      <c r="A12821" s="5"/>
    </row>
    <row r="12822" spans="1:1" x14ac:dyDescent="0.25">
      <c r="A12822" s="5"/>
    </row>
    <row r="12823" spans="1:1" x14ac:dyDescent="0.25">
      <c r="A12823" s="5"/>
    </row>
    <row r="12824" spans="1:1" x14ac:dyDescent="0.25">
      <c r="A12824" s="5"/>
    </row>
    <row r="12825" spans="1:1" x14ac:dyDescent="0.25">
      <c r="A12825" s="5"/>
    </row>
    <row r="12826" spans="1:1" x14ac:dyDescent="0.25">
      <c r="A12826" s="5"/>
    </row>
    <row r="12827" spans="1:1" x14ac:dyDescent="0.25">
      <c r="A12827" s="5"/>
    </row>
    <row r="12828" spans="1:1" x14ac:dyDescent="0.25">
      <c r="A12828" s="5"/>
    </row>
    <row r="12829" spans="1:1" x14ac:dyDescent="0.25">
      <c r="A12829" s="5"/>
    </row>
    <row r="12830" spans="1:1" x14ac:dyDescent="0.25">
      <c r="A12830" s="5"/>
    </row>
    <row r="12831" spans="1:1" x14ac:dyDescent="0.25">
      <c r="A12831" s="5"/>
    </row>
    <row r="12832" spans="1:1" x14ac:dyDescent="0.25">
      <c r="A12832" s="5"/>
    </row>
    <row r="12833" spans="1:1" x14ac:dyDescent="0.25">
      <c r="A12833" s="5"/>
    </row>
    <row r="12834" spans="1:1" x14ac:dyDescent="0.25">
      <c r="A12834" s="5"/>
    </row>
    <row r="12835" spans="1:1" x14ac:dyDescent="0.25">
      <c r="A12835" s="5"/>
    </row>
    <row r="12836" spans="1:1" x14ac:dyDescent="0.25">
      <c r="A12836" s="5"/>
    </row>
    <row r="12837" spans="1:1" x14ac:dyDescent="0.25">
      <c r="A12837" s="5"/>
    </row>
    <row r="12838" spans="1:1" x14ac:dyDescent="0.25">
      <c r="A12838" s="5"/>
    </row>
    <row r="12839" spans="1:1" x14ac:dyDescent="0.25">
      <c r="A12839" s="5"/>
    </row>
    <row r="12840" spans="1:1" x14ac:dyDescent="0.25">
      <c r="A12840" s="5"/>
    </row>
    <row r="12841" spans="1:1" x14ac:dyDescent="0.25">
      <c r="A12841" s="5"/>
    </row>
    <row r="12842" spans="1:1" x14ac:dyDescent="0.25">
      <c r="A12842" s="5"/>
    </row>
    <row r="12843" spans="1:1" x14ac:dyDescent="0.25">
      <c r="A12843" s="5"/>
    </row>
    <row r="12844" spans="1:1" x14ac:dyDescent="0.25">
      <c r="A12844" s="5"/>
    </row>
    <row r="12845" spans="1:1" x14ac:dyDescent="0.25">
      <c r="A12845" s="5"/>
    </row>
    <row r="12846" spans="1:1" x14ac:dyDescent="0.25">
      <c r="A12846" s="5"/>
    </row>
    <row r="12847" spans="1:1" x14ac:dyDescent="0.25">
      <c r="A12847" s="5"/>
    </row>
    <row r="12848" spans="1:1" x14ac:dyDescent="0.25">
      <c r="A12848" s="5"/>
    </row>
    <row r="12849" spans="1:1" x14ac:dyDescent="0.25">
      <c r="A12849" s="5"/>
    </row>
    <row r="12850" spans="1:1" x14ac:dyDescent="0.25">
      <c r="A12850" s="5"/>
    </row>
    <row r="12851" spans="1:1" x14ac:dyDescent="0.25">
      <c r="A12851" s="5"/>
    </row>
    <row r="12852" spans="1:1" x14ac:dyDescent="0.25">
      <c r="A12852" s="5"/>
    </row>
    <row r="12853" spans="1:1" x14ac:dyDescent="0.25">
      <c r="A12853" s="5"/>
    </row>
    <row r="12854" spans="1:1" x14ac:dyDescent="0.25">
      <c r="A12854" s="5"/>
    </row>
    <row r="12855" spans="1:1" x14ac:dyDescent="0.25">
      <c r="A12855" s="5"/>
    </row>
    <row r="12856" spans="1:1" x14ac:dyDescent="0.25">
      <c r="A12856" s="5"/>
    </row>
    <row r="12857" spans="1:1" x14ac:dyDescent="0.25">
      <c r="A12857" s="5"/>
    </row>
    <row r="12858" spans="1:1" x14ac:dyDescent="0.25">
      <c r="A12858" s="5"/>
    </row>
    <row r="12859" spans="1:1" x14ac:dyDescent="0.25">
      <c r="A12859" s="5"/>
    </row>
    <row r="12860" spans="1:1" x14ac:dyDescent="0.25">
      <c r="A12860" s="5"/>
    </row>
    <row r="12861" spans="1:1" x14ac:dyDescent="0.25">
      <c r="A12861" s="5"/>
    </row>
    <row r="12862" spans="1:1" x14ac:dyDescent="0.25">
      <c r="A12862" s="5"/>
    </row>
    <row r="12863" spans="1:1" x14ac:dyDescent="0.25">
      <c r="A12863" s="5"/>
    </row>
    <row r="12864" spans="1:1" x14ac:dyDescent="0.25">
      <c r="A12864" s="5"/>
    </row>
    <row r="12865" spans="1:1" x14ac:dyDescent="0.25">
      <c r="A12865" s="5"/>
    </row>
    <row r="12866" spans="1:1" x14ac:dyDescent="0.25">
      <c r="A12866" s="5"/>
    </row>
    <row r="12867" spans="1:1" x14ac:dyDescent="0.25">
      <c r="A12867" s="5"/>
    </row>
    <row r="12868" spans="1:1" x14ac:dyDescent="0.25">
      <c r="A12868" s="5"/>
    </row>
    <row r="12869" spans="1:1" x14ac:dyDescent="0.25">
      <c r="A12869" s="5"/>
    </row>
    <row r="12870" spans="1:1" x14ac:dyDescent="0.25">
      <c r="A12870" s="5"/>
    </row>
    <row r="12871" spans="1:1" x14ac:dyDescent="0.25">
      <c r="A12871" s="5"/>
    </row>
    <row r="12872" spans="1:1" x14ac:dyDescent="0.25">
      <c r="A12872" s="5"/>
    </row>
    <row r="12873" spans="1:1" x14ac:dyDescent="0.25">
      <c r="A12873" s="5"/>
    </row>
    <row r="12874" spans="1:1" x14ac:dyDescent="0.25">
      <c r="A12874" s="5"/>
    </row>
    <row r="12875" spans="1:1" x14ac:dyDescent="0.25">
      <c r="A12875" s="5"/>
    </row>
    <row r="12876" spans="1:1" x14ac:dyDescent="0.25">
      <c r="A12876" s="5"/>
    </row>
    <row r="12877" spans="1:1" x14ac:dyDescent="0.25">
      <c r="A12877" s="5"/>
    </row>
    <row r="12878" spans="1:1" x14ac:dyDescent="0.25">
      <c r="A12878" s="5"/>
    </row>
    <row r="12879" spans="1:1" x14ac:dyDescent="0.25">
      <c r="A12879" s="5"/>
    </row>
    <row r="12880" spans="1:1" x14ac:dyDescent="0.25">
      <c r="A12880" s="5"/>
    </row>
    <row r="12881" spans="1:1" x14ac:dyDescent="0.25">
      <c r="A12881" s="5"/>
    </row>
    <row r="12882" spans="1:1" x14ac:dyDescent="0.25">
      <c r="A12882" s="5"/>
    </row>
    <row r="12883" spans="1:1" x14ac:dyDescent="0.25">
      <c r="A12883" s="5"/>
    </row>
    <row r="12884" spans="1:1" x14ac:dyDescent="0.25">
      <c r="A12884" s="5"/>
    </row>
    <row r="12885" spans="1:1" x14ac:dyDescent="0.25">
      <c r="A12885" s="5"/>
    </row>
    <row r="12886" spans="1:1" x14ac:dyDescent="0.25">
      <c r="A12886" s="5"/>
    </row>
    <row r="12887" spans="1:1" x14ac:dyDescent="0.25">
      <c r="A12887" s="5"/>
    </row>
    <row r="12888" spans="1:1" x14ac:dyDescent="0.25">
      <c r="A12888" s="5"/>
    </row>
    <row r="12889" spans="1:1" x14ac:dyDescent="0.25">
      <c r="A12889" s="5"/>
    </row>
    <row r="12890" spans="1:1" x14ac:dyDescent="0.25">
      <c r="A12890" s="5"/>
    </row>
    <row r="12891" spans="1:1" x14ac:dyDescent="0.25">
      <c r="A12891" s="5"/>
    </row>
    <row r="12892" spans="1:1" x14ac:dyDescent="0.25">
      <c r="A12892" s="5"/>
    </row>
    <row r="12893" spans="1:1" x14ac:dyDescent="0.25">
      <c r="A12893" s="5"/>
    </row>
    <row r="12894" spans="1:1" x14ac:dyDescent="0.25">
      <c r="A12894" s="5"/>
    </row>
    <row r="12895" spans="1:1" x14ac:dyDescent="0.25">
      <c r="A12895" s="5"/>
    </row>
    <row r="12896" spans="1:1" x14ac:dyDescent="0.25">
      <c r="A12896" s="5"/>
    </row>
    <row r="12897" spans="1:1" x14ac:dyDescent="0.25">
      <c r="A12897" s="5"/>
    </row>
    <row r="12898" spans="1:1" x14ac:dyDescent="0.25">
      <c r="A12898" s="5"/>
    </row>
    <row r="12899" spans="1:1" x14ac:dyDescent="0.25">
      <c r="A12899" s="5"/>
    </row>
    <row r="12900" spans="1:1" x14ac:dyDescent="0.25">
      <c r="A12900" s="5"/>
    </row>
    <row r="12901" spans="1:1" x14ac:dyDescent="0.25">
      <c r="A12901" s="5"/>
    </row>
    <row r="12902" spans="1:1" x14ac:dyDescent="0.25">
      <c r="A12902" s="5"/>
    </row>
    <row r="12903" spans="1:1" x14ac:dyDescent="0.25">
      <c r="A12903" s="5"/>
    </row>
    <row r="12904" spans="1:1" x14ac:dyDescent="0.25">
      <c r="A12904" s="5"/>
    </row>
    <row r="12905" spans="1:1" x14ac:dyDescent="0.25">
      <c r="A12905" s="5"/>
    </row>
    <row r="12906" spans="1:1" x14ac:dyDescent="0.25">
      <c r="A12906" s="5"/>
    </row>
    <row r="12907" spans="1:1" x14ac:dyDescent="0.25">
      <c r="A12907" s="5"/>
    </row>
    <row r="12908" spans="1:1" x14ac:dyDescent="0.25">
      <c r="A12908" s="5"/>
    </row>
    <row r="12909" spans="1:1" x14ac:dyDescent="0.25">
      <c r="A12909" s="5"/>
    </row>
    <row r="12910" spans="1:1" x14ac:dyDescent="0.25">
      <c r="A12910" s="5"/>
    </row>
    <row r="12911" spans="1:1" x14ac:dyDescent="0.25">
      <c r="A12911" s="5"/>
    </row>
    <row r="12912" spans="1:1" x14ac:dyDescent="0.25">
      <c r="A12912" s="5"/>
    </row>
    <row r="12913" spans="1:1" x14ac:dyDescent="0.25">
      <c r="A12913" s="5"/>
    </row>
    <row r="12914" spans="1:1" x14ac:dyDescent="0.25">
      <c r="A12914" s="5"/>
    </row>
    <row r="12915" spans="1:1" x14ac:dyDescent="0.25">
      <c r="A12915" s="5"/>
    </row>
    <row r="12916" spans="1:1" x14ac:dyDescent="0.25">
      <c r="A12916" s="5"/>
    </row>
    <row r="12917" spans="1:1" x14ac:dyDescent="0.25">
      <c r="A12917" s="5"/>
    </row>
    <row r="12918" spans="1:1" x14ac:dyDescent="0.25">
      <c r="A12918" s="5"/>
    </row>
    <row r="12919" spans="1:1" x14ac:dyDescent="0.25">
      <c r="A12919" s="5"/>
    </row>
    <row r="12920" spans="1:1" x14ac:dyDescent="0.25">
      <c r="A12920" s="5"/>
    </row>
    <row r="12921" spans="1:1" x14ac:dyDescent="0.25">
      <c r="A12921" s="5"/>
    </row>
    <row r="12922" spans="1:1" x14ac:dyDescent="0.25">
      <c r="A12922" s="5"/>
    </row>
    <row r="12923" spans="1:1" x14ac:dyDescent="0.25">
      <c r="A12923" s="5"/>
    </row>
    <row r="12924" spans="1:1" x14ac:dyDescent="0.25">
      <c r="A12924" s="5"/>
    </row>
    <row r="12925" spans="1:1" x14ac:dyDescent="0.25">
      <c r="A12925" s="5"/>
    </row>
    <row r="12926" spans="1:1" x14ac:dyDescent="0.25">
      <c r="A12926" s="5"/>
    </row>
    <row r="12927" spans="1:1" x14ac:dyDescent="0.25">
      <c r="A12927" s="5"/>
    </row>
    <row r="12928" spans="1:1" x14ac:dyDescent="0.25">
      <c r="A12928" s="5"/>
    </row>
    <row r="12929" spans="1:1" x14ac:dyDescent="0.25">
      <c r="A12929" s="5"/>
    </row>
    <row r="12930" spans="1:1" x14ac:dyDescent="0.25">
      <c r="A12930" s="5"/>
    </row>
    <row r="12931" spans="1:1" x14ac:dyDescent="0.25">
      <c r="A12931" s="5"/>
    </row>
    <row r="12932" spans="1:1" x14ac:dyDescent="0.25">
      <c r="A12932" s="5"/>
    </row>
    <row r="12933" spans="1:1" x14ac:dyDescent="0.25">
      <c r="A12933" s="5"/>
    </row>
    <row r="12934" spans="1:1" x14ac:dyDescent="0.25">
      <c r="A12934" s="5"/>
    </row>
    <row r="12935" spans="1:1" x14ac:dyDescent="0.25">
      <c r="A12935" s="5"/>
    </row>
    <row r="12936" spans="1:1" x14ac:dyDescent="0.25">
      <c r="A12936" s="5"/>
    </row>
    <row r="12937" spans="1:1" x14ac:dyDescent="0.25">
      <c r="A12937" s="5"/>
    </row>
    <row r="12938" spans="1:1" x14ac:dyDescent="0.25">
      <c r="A12938" s="5"/>
    </row>
    <row r="12939" spans="1:1" x14ac:dyDescent="0.25">
      <c r="A12939" s="5"/>
    </row>
    <row r="12940" spans="1:1" x14ac:dyDescent="0.25">
      <c r="A12940" s="5"/>
    </row>
    <row r="12941" spans="1:1" x14ac:dyDescent="0.25">
      <c r="A12941" s="5"/>
    </row>
    <row r="12942" spans="1:1" x14ac:dyDescent="0.25">
      <c r="A12942" s="5"/>
    </row>
    <row r="12943" spans="1:1" x14ac:dyDescent="0.25">
      <c r="A12943" s="5"/>
    </row>
    <row r="12944" spans="1:1" x14ac:dyDescent="0.25">
      <c r="A12944" s="5"/>
    </row>
    <row r="12945" spans="1:1" x14ac:dyDescent="0.25">
      <c r="A12945" s="5"/>
    </row>
    <row r="12946" spans="1:1" x14ac:dyDescent="0.25">
      <c r="A12946" s="5"/>
    </row>
    <row r="12947" spans="1:1" x14ac:dyDescent="0.25">
      <c r="A12947" s="5"/>
    </row>
    <row r="12948" spans="1:1" x14ac:dyDescent="0.25">
      <c r="A12948" s="5"/>
    </row>
    <row r="12949" spans="1:1" x14ac:dyDescent="0.25">
      <c r="A12949" s="5"/>
    </row>
    <row r="12950" spans="1:1" x14ac:dyDescent="0.25">
      <c r="A12950" s="5"/>
    </row>
    <row r="12951" spans="1:1" x14ac:dyDescent="0.25">
      <c r="A12951" s="5"/>
    </row>
    <row r="12952" spans="1:1" x14ac:dyDescent="0.25">
      <c r="A12952" s="5"/>
    </row>
    <row r="12953" spans="1:1" x14ac:dyDescent="0.25">
      <c r="A12953" s="5"/>
    </row>
    <row r="12954" spans="1:1" x14ac:dyDescent="0.25">
      <c r="A12954" s="5"/>
    </row>
    <row r="12955" spans="1:1" x14ac:dyDescent="0.25">
      <c r="A12955" s="5"/>
    </row>
    <row r="12956" spans="1:1" x14ac:dyDescent="0.25">
      <c r="A12956" s="5"/>
    </row>
    <row r="12957" spans="1:1" x14ac:dyDescent="0.25">
      <c r="A12957" s="5"/>
    </row>
    <row r="12958" spans="1:1" x14ac:dyDescent="0.25">
      <c r="A12958" s="5"/>
    </row>
    <row r="12959" spans="1:1" x14ac:dyDescent="0.25">
      <c r="A12959" s="5"/>
    </row>
    <row r="12960" spans="1:1" x14ac:dyDescent="0.25">
      <c r="A12960" s="5"/>
    </row>
    <row r="12961" spans="1:1" x14ac:dyDescent="0.25">
      <c r="A12961" s="5"/>
    </row>
    <row r="12962" spans="1:1" x14ac:dyDescent="0.25">
      <c r="A12962" s="5"/>
    </row>
    <row r="12963" spans="1:1" x14ac:dyDescent="0.25">
      <c r="A12963" s="5"/>
    </row>
    <row r="12964" spans="1:1" x14ac:dyDescent="0.25">
      <c r="A12964" s="5"/>
    </row>
    <row r="12965" spans="1:1" x14ac:dyDescent="0.25">
      <c r="A12965" s="5"/>
    </row>
    <row r="12966" spans="1:1" x14ac:dyDescent="0.25">
      <c r="A12966" s="5"/>
    </row>
    <row r="12967" spans="1:1" x14ac:dyDescent="0.25">
      <c r="A12967" s="5"/>
    </row>
    <row r="12968" spans="1:1" x14ac:dyDescent="0.25">
      <c r="A12968" s="5"/>
    </row>
    <row r="12969" spans="1:1" x14ac:dyDescent="0.25">
      <c r="A12969" s="5"/>
    </row>
    <row r="12970" spans="1:1" x14ac:dyDescent="0.25">
      <c r="A12970" s="5"/>
    </row>
    <row r="12971" spans="1:1" x14ac:dyDescent="0.25">
      <c r="A12971" s="5"/>
    </row>
    <row r="12972" spans="1:1" x14ac:dyDescent="0.25">
      <c r="A12972" s="5"/>
    </row>
    <row r="12973" spans="1:1" x14ac:dyDescent="0.25">
      <c r="A12973" s="5"/>
    </row>
    <row r="12974" spans="1:1" x14ac:dyDescent="0.25">
      <c r="A12974" s="5"/>
    </row>
    <row r="12975" spans="1:1" x14ac:dyDescent="0.25">
      <c r="A12975" s="5"/>
    </row>
    <row r="12976" spans="1:1" x14ac:dyDescent="0.25">
      <c r="A12976" s="5"/>
    </row>
    <row r="12977" spans="1:1" x14ac:dyDescent="0.25">
      <c r="A12977" s="5"/>
    </row>
    <row r="12978" spans="1:1" x14ac:dyDescent="0.25">
      <c r="A12978" s="5"/>
    </row>
    <row r="12979" spans="1:1" x14ac:dyDescent="0.25">
      <c r="A12979" s="5"/>
    </row>
    <row r="12980" spans="1:1" x14ac:dyDescent="0.25">
      <c r="A12980" s="5"/>
    </row>
    <row r="12981" spans="1:1" x14ac:dyDescent="0.25">
      <c r="A12981" s="5"/>
    </row>
    <row r="12982" spans="1:1" x14ac:dyDescent="0.25">
      <c r="A12982" s="5"/>
    </row>
    <row r="12983" spans="1:1" x14ac:dyDescent="0.25">
      <c r="A12983" s="5"/>
    </row>
    <row r="12984" spans="1:1" x14ac:dyDescent="0.25">
      <c r="A12984" s="5"/>
    </row>
    <row r="12985" spans="1:1" x14ac:dyDescent="0.25">
      <c r="A12985" s="5"/>
    </row>
    <row r="12986" spans="1:1" x14ac:dyDescent="0.25">
      <c r="A12986" s="5"/>
    </row>
    <row r="12987" spans="1:1" x14ac:dyDescent="0.25">
      <c r="A12987" s="5"/>
    </row>
    <row r="12988" spans="1:1" x14ac:dyDescent="0.25">
      <c r="A12988" s="5"/>
    </row>
    <row r="12989" spans="1:1" x14ac:dyDescent="0.25">
      <c r="A12989" s="5"/>
    </row>
    <row r="12990" spans="1:1" x14ac:dyDescent="0.25">
      <c r="A12990" s="5"/>
    </row>
    <row r="12991" spans="1:1" x14ac:dyDescent="0.25">
      <c r="A12991" s="5"/>
    </row>
    <row r="12992" spans="1:1" x14ac:dyDescent="0.25">
      <c r="A12992" s="5"/>
    </row>
    <row r="12993" spans="1:1" x14ac:dyDescent="0.25">
      <c r="A12993" s="5"/>
    </row>
    <row r="12994" spans="1:1" x14ac:dyDescent="0.25">
      <c r="A12994" s="5"/>
    </row>
    <row r="12995" spans="1:1" x14ac:dyDescent="0.25">
      <c r="A12995" s="5"/>
    </row>
    <row r="12996" spans="1:1" x14ac:dyDescent="0.25">
      <c r="A12996" s="5"/>
    </row>
    <row r="12997" spans="1:1" x14ac:dyDescent="0.25">
      <c r="A12997" s="5"/>
    </row>
    <row r="12998" spans="1:1" x14ac:dyDescent="0.25">
      <c r="A12998" s="5"/>
    </row>
    <row r="12999" spans="1:1" x14ac:dyDescent="0.25">
      <c r="A12999" s="5"/>
    </row>
    <row r="13000" spans="1:1" x14ac:dyDescent="0.25">
      <c r="A13000" s="5"/>
    </row>
    <row r="13001" spans="1:1" x14ac:dyDescent="0.25">
      <c r="A13001" s="5"/>
    </row>
    <row r="13002" spans="1:1" x14ac:dyDescent="0.25">
      <c r="A13002" s="5"/>
    </row>
    <row r="13003" spans="1:1" x14ac:dyDescent="0.25">
      <c r="A13003" s="5"/>
    </row>
    <row r="13004" spans="1:1" x14ac:dyDescent="0.25">
      <c r="A13004" s="5"/>
    </row>
    <row r="13005" spans="1:1" x14ac:dyDescent="0.25">
      <c r="A13005" s="5"/>
    </row>
    <row r="13006" spans="1:1" x14ac:dyDescent="0.25">
      <c r="A13006" s="5"/>
    </row>
    <row r="13007" spans="1:1" x14ac:dyDescent="0.25">
      <c r="A13007" s="5"/>
    </row>
    <row r="13008" spans="1:1" x14ac:dyDescent="0.25">
      <c r="A13008" s="5"/>
    </row>
    <row r="13009" spans="1:1" x14ac:dyDescent="0.25">
      <c r="A13009" s="5"/>
    </row>
    <row r="13010" spans="1:1" x14ac:dyDescent="0.25">
      <c r="A13010" s="5"/>
    </row>
    <row r="13011" spans="1:1" x14ac:dyDescent="0.25">
      <c r="A13011" s="5"/>
    </row>
    <row r="13012" spans="1:1" x14ac:dyDescent="0.25">
      <c r="A13012" s="5"/>
    </row>
    <row r="13013" spans="1:1" x14ac:dyDescent="0.25">
      <c r="A13013" s="5"/>
    </row>
    <row r="13014" spans="1:1" x14ac:dyDescent="0.25">
      <c r="A13014" s="5"/>
    </row>
    <row r="13015" spans="1:1" x14ac:dyDescent="0.25">
      <c r="A13015" s="5"/>
    </row>
    <row r="13016" spans="1:1" x14ac:dyDescent="0.25">
      <c r="A13016" s="5"/>
    </row>
    <row r="13017" spans="1:1" x14ac:dyDescent="0.25">
      <c r="A13017" s="5"/>
    </row>
    <row r="13018" spans="1:1" x14ac:dyDescent="0.25">
      <c r="A13018" s="5"/>
    </row>
    <row r="13019" spans="1:1" x14ac:dyDescent="0.25">
      <c r="A13019" s="5"/>
    </row>
    <row r="13020" spans="1:1" x14ac:dyDescent="0.25">
      <c r="A13020" s="5"/>
    </row>
    <row r="13021" spans="1:1" x14ac:dyDescent="0.25">
      <c r="A13021" s="5"/>
    </row>
    <row r="13022" spans="1:1" x14ac:dyDescent="0.25">
      <c r="A13022" s="5"/>
    </row>
    <row r="13023" spans="1:1" x14ac:dyDescent="0.25">
      <c r="A13023" s="5"/>
    </row>
    <row r="13024" spans="1:1" x14ac:dyDescent="0.25">
      <c r="A13024" s="5"/>
    </row>
    <row r="13025" spans="1:1" x14ac:dyDescent="0.25">
      <c r="A13025" s="5"/>
    </row>
    <row r="13026" spans="1:1" x14ac:dyDescent="0.25">
      <c r="A13026" s="5"/>
    </row>
    <row r="13027" spans="1:1" x14ac:dyDescent="0.25">
      <c r="A13027" s="5"/>
    </row>
    <row r="13028" spans="1:1" x14ac:dyDescent="0.25">
      <c r="A13028" s="5"/>
    </row>
    <row r="13029" spans="1:1" x14ac:dyDescent="0.25">
      <c r="A13029" s="5"/>
    </row>
    <row r="13030" spans="1:1" x14ac:dyDescent="0.25">
      <c r="A13030" s="5"/>
    </row>
    <row r="13031" spans="1:1" x14ac:dyDescent="0.25">
      <c r="A13031" s="5"/>
    </row>
    <row r="13032" spans="1:1" x14ac:dyDescent="0.25">
      <c r="A13032" s="5"/>
    </row>
    <row r="13033" spans="1:1" x14ac:dyDescent="0.25">
      <c r="A13033" s="5"/>
    </row>
    <row r="13034" spans="1:1" x14ac:dyDescent="0.25">
      <c r="A13034" s="5"/>
    </row>
    <row r="13035" spans="1:1" x14ac:dyDescent="0.25">
      <c r="A13035" s="5"/>
    </row>
    <row r="13036" spans="1:1" x14ac:dyDescent="0.25">
      <c r="A13036" s="5"/>
    </row>
    <row r="13037" spans="1:1" x14ac:dyDescent="0.25">
      <c r="A13037" s="5"/>
    </row>
    <row r="13038" spans="1:1" x14ac:dyDescent="0.25">
      <c r="A13038" s="5"/>
    </row>
    <row r="13039" spans="1:1" x14ac:dyDescent="0.25">
      <c r="A13039" s="5"/>
    </row>
    <row r="13040" spans="1:1" x14ac:dyDescent="0.25">
      <c r="A13040" s="5"/>
    </row>
    <row r="13041" spans="1:1" x14ac:dyDescent="0.25">
      <c r="A13041" s="5"/>
    </row>
    <row r="13042" spans="1:1" x14ac:dyDescent="0.25">
      <c r="A13042" s="5"/>
    </row>
    <row r="13043" spans="1:1" x14ac:dyDescent="0.25">
      <c r="A13043" s="5"/>
    </row>
    <row r="13044" spans="1:1" x14ac:dyDescent="0.25">
      <c r="A13044" s="5"/>
    </row>
    <row r="13045" spans="1:1" x14ac:dyDescent="0.25">
      <c r="A13045" s="5"/>
    </row>
    <row r="13046" spans="1:1" x14ac:dyDescent="0.25">
      <c r="A13046" s="5"/>
    </row>
    <row r="13047" spans="1:1" x14ac:dyDescent="0.25">
      <c r="A13047" s="5"/>
    </row>
    <row r="13048" spans="1:1" x14ac:dyDescent="0.25">
      <c r="A13048" s="5"/>
    </row>
    <row r="13049" spans="1:1" x14ac:dyDescent="0.25">
      <c r="A13049" s="5"/>
    </row>
    <row r="13050" spans="1:1" x14ac:dyDescent="0.25">
      <c r="A13050" s="5"/>
    </row>
    <row r="13051" spans="1:1" x14ac:dyDescent="0.25">
      <c r="A13051" s="5"/>
    </row>
    <row r="13052" spans="1:1" x14ac:dyDescent="0.25">
      <c r="A13052" s="5"/>
    </row>
    <row r="13053" spans="1:1" x14ac:dyDescent="0.25">
      <c r="A13053" s="5"/>
    </row>
    <row r="13054" spans="1:1" x14ac:dyDescent="0.25">
      <c r="A13054" s="5"/>
    </row>
    <row r="13055" spans="1:1" x14ac:dyDescent="0.25">
      <c r="A13055" s="5"/>
    </row>
    <row r="13056" spans="1:1" x14ac:dyDescent="0.25">
      <c r="A13056" s="5"/>
    </row>
    <row r="13057" spans="1:1" x14ac:dyDescent="0.25">
      <c r="A13057" s="5"/>
    </row>
    <row r="13058" spans="1:1" x14ac:dyDescent="0.25">
      <c r="A13058" s="5"/>
    </row>
    <row r="13059" spans="1:1" x14ac:dyDescent="0.25">
      <c r="A13059" s="5"/>
    </row>
    <row r="13060" spans="1:1" x14ac:dyDescent="0.25">
      <c r="A13060" s="5"/>
    </row>
    <row r="13061" spans="1:1" x14ac:dyDescent="0.25">
      <c r="A13061" s="5"/>
    </row>
    <row r="13062" spans="1:1" x14ac:dyDescent="0.25">
      <c r="A13062" s="5"/>
    </row>
    <row r="13063" spans="1:1" x14ac:dyDescent="0.25">
      <c r="A13063" s="5"/>
    </row>
    <row r="13064" spans="1:1" x14ac:dyDescent="0.25">
      <c r="A13064" s="5"/>
    </row>
    <row r="13065" spans="1:1" x14ac:dyDescent="0.25">
      <c r="A13065" s="5"/>
    </row>
    <row r="13066" spans="1:1" x14ac:dyDescent="0.25">
      <c r="A13066" s="5"/>
    </row>
    <row r="13067" spans="1:1" x14ac:dyDescent="0.25">
      <c r="A13067" s="5"/>
    </row>
    <row r="13068" spans="1:1" x14ac:dyDescent="0.25">
      <c r="A13068" s="5"/>
    </row>
    <row r="13069" spans="1:1" x14ac:dyDescent="0.25">
      <c r="A13069" s="5"/>
    </row>
    <row r="13070" spans="1:1" x14ac:dyDescent="0.25">
      <c r="A13070" s="5"/>
    </row>
    <row r="13071" spans="1:1" x14ac:dyDescent="0.25">
      <c r="A13071" s="5"/>
    </row>
    <row r="13072" spans="1:1" x14ac:dyDescent="0.25">
      <c r="A13072" s="5"/>
    </row>
    <row r="13073" spans="1:1" x14ac:dyDescent="0.25">
      <c r="A13073" s="5"/>
    </row>
    <row r="13074" spans="1:1" x14ac:dyDescent="0.25">
      <c r="A13074" s="5"/>
    </row>
    <row r="13075" spans="1:1" x14ac:dyDescent="0.25">
      <c r="A13075" s="5"/>
    </row>
    <row r="13076" spans="1:1" x14ac:dyDescent="0.25">
      <c r="A13076" s="5"/>
    </row>
    <row r="13077" spans="1:1" x14ac:dyDescent="0.25">
      <c r="A13077" s="5"/>
    </row>
    <row r="13078" spans="1:1" x14ac:dyDescent="0.25">
      <c r="A13078" s="5"/>
    </row>
    <row r="13079" spans="1:1" x14ac:dyDescent="0.25">
      <c r="A13079" s="5"/>
    </row>
    <row r="13080" spans="1:1" x14ac:dyDescent="0.25">
      <c r="A13080" s="5"/>
    </row>
    <row r="13081" spans="1:1" x14ac:dyDescent="0.25">
      <c r="A13081" s="5"/>
    </row>
    <row r="13082" spans="1:1" x14ac:dyDescent="0.25">
      <c r="A13082" s="5"/>
    </row>
    <row r="13083" spans="1:1" x14ac:dyDescent="0.25">
      <c r="A13083" s="5"/>
    </row>
    <row r="13084" spans="1:1" x14ac:dyDescent="0.25">
      <c r="A13084" s="5"/>
    </row>
    <row r="13085" spans="1:1" x14ac:dyDescent="0.25">
      <c r="A13085" s="5"/>
    </row>
    <row r="13086" spans="1:1" x14ac:dyDescent="0.25">
      <c r="A13086" s="5"/>
    </row>
    <row r="13087" spans="1:1" x14ac:dyDescent="0.25">
      <c r="A13087" s="5"/>
    </row>
    <row r="13088" spans="1:1" x14ac:dyDescent="0.25">
      <c r="A13088" s="5"/>
    </row>
    <row r="13089" spans="1:1" x14ac:dyDescent="0.25">
      <c r="A13089" s="5"/>
    </row>
    <row r="13090" spans="1:1" x14ac:dyDescent="0.25">
      <c r="A13090" s="5"/>
    </row>
    <row r="13091" spans="1:1" x14ac:dyDescent="0.25">
      <c r="A13091" s="5"/>
    </row>
    <row r="13092" spans="1:1" x14ac:dyDescent="0.25">
      <c r="A13092" s="5"/>
    </row>
    <row r="13093" spans="1:1" x14ac:dyDescent="0.25">
      <c r="A13093" s="5"/>
    </row>
    <row r="13094" spans="1:1" x14ac:dyDescent="0.25">
      <c r="A13094" s="5"/>
    </row>
    <row r="13095" spans="1:1" x14ac:dyDescent="0.25">
      <c r="A13095" s="5"/>
    </row>
    <row r="13096" spans="1:1" x14ac:dyDescent="0.25">
      <c r="A13096" s="5"/>
    </row>
    <row r="13097" spans="1:1" x14ac:dyDescent="0.25">
      <c r="A13097" s="5"/>
    </row>
    <row r="13098" spans="1:1" x14ac:dyDescent="0.25">
      <c r="A13098" s="5"/>
    </row>
    <row r="13099" spans="1:1" x14ac:dyDescent="0.25">
      <c r="A13099" s="5"/>
    </row>
    <row r="13100" spans="1:1" x14ac:dyDescent="0.25">
      <c r="A13100" s="5"/>
    </row>
    <row r="13101" spans="1:1" x14ac:dyDescent="0.25">
      <c r="A13101" s="5"/>
    </row>
    <row r="13102" spans="1:1" x14ac:dyDescent="0.25">
      <c r="A13102" s="5"/>
    </row>
    <row r="13103" spans="1:1" x14ac:dyDescent="0.25">
      <c r="A13103" s="5"/>
    </row>
    <row r="13104" spans="1:1" x14ac:dyDescent="0.25">
      <c r="A13104" s="5"/>
    </row>
    <row r="13105" spans="1:1" x14ac:dyDescent="0.25">
      <c r="A13105" s="5"/>
    </row>
    <row r="13106" spans="1:1" x14ac:dyDescent="0.25">
      <c r="A13106" s="5"/>
    </row>
    <row r="13107" spans="1:1" x14ac:dyDescent="0.25">
      <c r="A13107" s="5"/>
    </row>
    <row r="13108" spans="1:1" x14ac:dyDescent="0.25">
      <c r="A13108" s="5"/>
    </row>
    <row r="13109" spans="1:1" x14ac:dyDescent="0.25">
      <c r="A13109" s="5"/>
    </row>
    <row r="13110" spans="1:1" x14ac:dyDescent="0.25">
      <c r="A13110" s="5"/>
    </row>
    <row r="13111" spans="1:1" x14ac:dyDescent="0.25">
      <c r="A13111" s="5"/>
    </row>
    <row r="13112" spans="1:1" x14ac:dyDescent="0.25">
      <c r="A13112" s="5"/>
    </row>
    <row r="13113" spans="1:1" x14ac:dyDescent="0.25">
      <c r="A13113" s="5"/>
    </row>
    <row r="13114" spans="1:1" x14ac:dyDescent="0.25">
      <c r="A13114" s="5"/>
    </row>
    <row r="13115" spans="1:1" x14ac:dyDescent="0.25">
      <c r="A13115" s="5"/>
    </row>
    <row r="13116" spans="1:1" x14ac:dyDescent="0.25">
      <c r="A13116" s="5"/>
    </row>
    <row r="13117" spans="1:1" x14ac:dyDescent="0.25">
      <c r="A13117" s="5"/>
    </row>
    <row r="13118" spans="1:1" x14ac:dyDescent="0.25">
      <c r="A13118" s="5"/>
    </row>
    <row r="13119" spans="1:1" x14ac:dyDescent="0.25">
      <c r="A13119" s="5"/>
    </row>
    <row r="13120" spans="1:1" x14ac:dyDescent="0.25">
      <c r="A13120" s="5"/>
    </row>
    <row r="13121" spans="1:1" x14ac:dyDescent="0.25">
      <c r="A13121" s="5"/>
    </row>
    <row r="13122" spans="1:1" x14ac:dyDescent="0.25">
      <c r="A13122" s="5"/>
    </row>
    <row r="13123" spans="1:1" x14ac:dyDescent="0.25">
      <c r="A13123" s="5"/>
    </row>
    <row r="13124" spans="1:1" x14ac:dyDescent="0.25">
      <c r="A13124" s="5"/>
    </row>
    <row r="13125" spans="1:1" x14ac:dyDescent="0.25">
      <c r="A13125" s="5"/>
    </row>
    <row r="13126" spans="1:1" x14ac:dyDescent="0.25">
      <c r="A13126" s="5"/>
    </row>
    <row r="13127" spans="1:1" x14ac:dyDescent="0.25">
      <c r="A13127" s="5"/>
    </row>
    <row r="13128" spans="1:1" x14ac:dyDescent="0.25">
      <c r="A13128" s="5"/>
    </row>
    <row r="13129" spans="1:1" x14ac:dyDescent="0.25">
      <c r="A13129" s="5"/>
    </row>
    <row r="13130" spans="1:1" x14ac:dyDescent="0.25">
      <c r="A13130" s="5"/>
    </row>
    <row r="13131" spans="1:1" x14ac:dyDescent="0.25">
      <c r="A13131" s="5"/>
    </row>
    <row r="13132" spans="1:1" x14ac:dyDescent="0.25">
      <c r="A13132" s="5"/>
    </row>
    <row r="13133" spans="1:1" x14ac:dyDescent="0.25">
      <c r="A13133" s="5"/>
    </row>
    <row r="13134" spans="1:1" x14ac:dyDescent="0.25">
      <c r="A13134" s="5"/>
    </row>
    <row r="13135" spans="1:1" x14ac:dyDescent="0.25">
      <c r="A13135" s="5"/>
    </row>
    <row r="13136" spans="1:1" x14ac:dyDescent="0.25">
      <c r="A13136" s="5"/>
    </row>
    <row r="13137" spans="1:1" x14ac:dyDescent="0.25">
      <c r="A13137" s="5"/>
    </row>
    <row r="13138" spans="1:1" x14ac:dyDescent="0.25">
      <c r="A13138" s="5"/>
    </row>
    <row r="13139" spans="1:1" x14ac:dyDescent="0.25">
      <c r="A13139" s="5"/>
    </row>
    <row r="13140" spans="1:1" x14ac:dyDescent="0.25">
      <c r="A13140" s="5"/>
    </row>
    <row r="13141" spans="1:1" x14ac:dyDescent="0.25">
      <c r="A13141" s="5"/>
    </row>
    <row r="13142" spans="1:1" x14ac:dyDescent="0.25">
      <c r="A13142" s="5"/>
    </row>
    <row r="13143" spans="1:1" x14ac:dyDescent="0.25">
      <c r="A13143" s="5"/>
    </row>
    <row r="13144" spans="1:1" x14ac:dyDescent="0.25">
      <c r="A13144" s="5"/>
    </row>
    <row r="13145" spans="1:1" x14ac:dyDescent="0.25">
      <c r="A13145" s="5"/>
    </row>
    <row r="13146" spans="1:1" x14ac:dyDescent="0.25">
      <c r="A13146" s="5"/>
    </row>
    <row r="13147" spans="1:1" x14ac:dyDescent="0.25">
      <c r="A13147" s="5"/>
    </row>
    <row r="13148" spans="1:1" x14ac:dyDescent="0.25">
      <c r="A13148" s="5"/>
    </row>
    <row r="13149" spans="1:1" x14ac:dyDescent="0.25">
      <c r="A13149" s="5"/>
    </row>
    <row r="13150" spans="1:1" x14ac:dyDescent="0.25">
      <c r="A13150" s="5"/>
    </row>
    <row r="13151" spans="1:1" x14ac:dyDescent="0.25">
      <c r="A13151" s="5"/>
    </row>
    <row r="13152" spans="1:1" x14ac:dyDescent="0.25">
      <c r="A13152" s="5"/>
    </row>
    <row r="13153" spans="1:1" x14ac:dyDescent="0.25">
      <c r="A13153" s="5"/>
    </row>
    <row r="13154" spans="1:1" x14ac:dyDescent="0.25">
      <c r="A13154" s="5"/>
    </row>
    <row r="13155" spans="1:1" x14ac:dyDescent="0.25">
      <c r="A13155" s="5"/>
    </row>
    <row r="13156" spans="1:1" x14ac:dyDescent="0.25">
      <c r="A13156" s="5"/>
    </row>
    <row r="13157" spans="1:1" x14ac:dyDescent="0.25">
      <c r="A13157" s="5"/>
    </row>
    <row r="13158" spans="1:1" x14ac:dyDescent="0.25">
      <c r="A13158" s="5"/>
    </row>
    <row r="13159" spans="1:1" x14ac:dyDescent="0.25">
      <c r="A13159" s="5"/>
    </row>
    <row r="13160" spans="1:1" x14ac:dyDescent="0.25">
      <c r="A13160" s="5"/>
    </row>
    <row r="13161" spans="1:1" x14ac:dyDescent="0.25">
      <c r="A13161" s="5"/>
    </row>
    <row r="13162" spans="1:1" x14ac:dyDescent="0.25">
      <c r="A13162" s="5"/>
    </row>
    <row r="13163" spans="1:1" x14ac:dyDescent="0.25">
      <c r="A13163" s="5"/>
    </row>
    <row r="13164" spans="1:1" x14ac:dyDescent="0.25">
      <c r="A13164" s="5"/>
    </row>
    <row r="13165" spans="1:1" x14ac:dyDescent="0.25">
      <c r="A13165" s="5"/>
    </row>
    <row r="13166" spans="1:1" x14ac:dyDescent="0.25">
      <c r="A13166" s="5"/>
    </row>
    <row r="13167" spans="1:1" x14ac:dyDescent="0.25">
      <c r="A13167" s="5"/>
    </row>
    <row r="13168" spans="1:1" x14ac:dyDescent="0.25">
      <c r="A13168" s="5"/>
    </row>
    <row r="13169" spans="1:1" x14ac:dyDescent="0.25">
      <c r="A13169" s="5"/>
    </row>
    <row r="13170" spans="1:1" x14ac:dyDescent="0.25">
      <c r="A13170" s="5"/>
    </row>
    <row r="13171" spans="1:1" x14ac:dyDescent="0.25">
      <c r="A13171" s="5"/>
    </row>
    <row r="13172" spans="1:1" x14ac:dyDescent="0.25">
      <c r="A13172" s="5"/>
    </row>
    <row r="13173" spans="1:1" x14ac:dyDescent="0.25">
      <c r="A13173" s="5"/>
    </row>
    <row r="13174" spans="1:1" x14ac:dyDescent="0.25">
      <c r="A13174" s="5"/>
    </row>
    <row r="13175" spans="1:1" x14ac:dyDescent="0.25">
      <c r="A13175" s="5"/>
    </row>
    <row r="13176" spans="1:1" x14ac:dyDescent="0.25">
      <c r="A13176" s="5"/>
    </row>
    <row r="13177" spans="1:1" x14ac:dyDescent="0.25">
      <c r="A13177" s="5"/>
    </row>
    <row r="13178" spans="1:1" x14ac:dyDescent="0.25">
      <c r="A13178" s="5"/>
    </row>
    <row r="13179" spans="1:1" x14ac:dyDescent="0.25">
      <c r="A13179" s="5"/>
    </row>
    <row r="13180" spans="1:1" x14ac:dyDescent="0.25">
      <c r="A13180" s="5"/>
    </row>
    <row r="13181" spans="1:1" x14ac:dyDescent="0.25">
      <c r="A13181" s="5"/>
    </row>
    <row r="13182" spans="1:1" x14ac:dyDescent="0.25">
      <c r="A13182" s="5"/>
    </row>
    <row r="13183" spans="1:1" x14ac:dyDescent="0.25">
      <c r="A13183" s="5"/>
    </row>
    <row r="13184" spans="1:1" x14ac:dyDescent="0.25">
      <c r="A13184" s="5"/>
    </row>
    <row r="13185" spans="1:1" x14ac:dyDescent="0.25">
      <c r="A13185" s="5"/>
    </row>
    <row r="13186" spans="1:1" x14ac:dyDescent="0.25">
      <c r="A13186" s="5"/>
    </row>
    <row r="13187" spans="1:1" x14ac:dyDescent="0.25">
      <c r="A13187" s="5"/>
    </row>
    <row r="13188" spans="1:1" x14ac:dyDescent="0.25">
      <c r="A13188" s="5"/>
    </row>
    <row r="13189" spans="1:1" x14ac:dyDescent="0.25">
      <c r="A13189" s="5"/>
    </row>
    <row r="13190" spans="1:1" x14ac:dyDescent="0.25">
      <c r="A13190" s="5"/>
    </row>
    <row r="13191" spans="1:1" x14ac:dyDescent="0.25">
      <c r="A13191" s="5"/>
    </row>
    <row r="13192" spans="1:1" x14ac:dyDescent="0.25">
      <c r="A13192" s="5"/>
    </row>
    <row r="13193" spans="1:1" x14ac:dyDescent="0.25">
      <c r="A13193" s="5"/>
    </row>
    <row r="13194" spans="1:1" x14ac:dyDescent="0.25">
      <c r="A13194" s="5"/>
    </row>
    <row r="13195" spans="1:1" x14ac:dyDescent="0.25">
      <c r="A13195" s="5"/>
    </row>
    <row r="13196" spans="1:1" x14ac:dyDescent="0.25">
      <c r="A13196" s="5"/>
    </row>
    <row r="13197" spans="1:1" x14ac:dyDescent="0.25">
      <c r="A13197" s="5"/>
    </row>
    <row r="13198" spans="1:1" x14ac:dyDescent="0.25">
      <c r="A13198" s="5"/>
    </row>
    <row r="13199" spans="1:1" x14ac:dyDescent="0.25">
      <c r="A13199" s="5"/>
    </row>
    <row r="13200" spans="1:1" x14ac:dyDescent="0.25">
      <c r="A13200" s="5"/>
    </row>
    <row r="13201" spans="1:1" x14ac:dyDescent="0.25">
      <c r="A13201" s="5"/>
    </row>
    <row r="13202" spans="1:1" x14ac:dyDescent="0.25">
      <c r="A13202" s="5"/>
    </row>
    <row r="13203" spans="1:1" x14ac:dyDescent="0.25">
      <c r="A13203" s="5"/>
    </row>
    <row r="13204" spans="1:1" x14ac:dyDescent="0.25">
      <c r="A13204" s="5"/>
    </row>
    <row r="13205" spans="1:1" x14ac:dyDescent="0.25">
      <c r="A13205" s="5"/>
    </row>
    <row r="13206" spans="1:1" x14ac:dyDescent="0.25">
      <c r="A13206" s="5"/>
    </row>
    <row r="13207" spans="1:1" x14ac:dyDescent="0.25">
      <c r="A13207" s="5"/>
    </row>
    <row r="13208" spans="1:1" x14ac:dyDescent="0.25">
      <c r="A13208" s="5"/>
    </row>
    <row r="13209" spans="1:1" x14ac:dyDescent="0.25">
      <c r="A13209" s="5"/>
    </row>
    <row r="13210" spans="1:1" x14ac:dyDescent="0.25">
      <c r="A13210" s="5"/>
    </row>
    <row r="13211" spans="1:1" x14ac:dyDescent="0.25">
      <c r="A13211" s="5"/>
    </row>
    <row r="13212" spans="1:1" x14ac:dyDescent="0.25">
      <c r="A13212" s="5"/>
    </row>
    <row r="13213" spans="1:1" x14ac:dyDescent="0.25">
      <c r="A13213" s="5"/>
    </row>
    <row r="13214" spans="1:1" x14ac:dyDescent="0.25">
      <c r="A13214" s="5"/>
    </row>
    <row r="13215" spans="1:1" x14ac:dyDescent="0.25">
      <c r="A13215" s="5"/>
    </row>
    <row r="13216" spans="1:1" x14ac:dyDescent="0.25">
      <c r="A13216" s="5"/>
    </row>
    <row r="13217" spans="1:1" x14ac:dyDescent="0.25">
      <c r="A13217" s="5"/>
    </row>
    <row r="13218" spans="1:1" x14ac:dyDescent="0.25">
      <c r="A13218" s="5"/>
    </row>
    <row r="13219" spans="1:1" x14ac:dyDescent="0.25">
      <c r="A13219" s="5"/>
    </row>
    <row r="13220" spans="1:1" x14ac:dyDescent="0.25">
      <c r="A13220" s="5"/>
    </row>
    <row r="13221" spans="1:1" x14ac:dyDescent="0.25">
      <c r="A13221" s="5"/>
    </row>
    <row r="13222" spans="1:1" x14ac:dyDescent="0.25">
      <c r="A13222" s="5"/>
    </row>
    <row r="13223" spans="1:1" x14ac:dyDescent="0.25">
      <c r="A13223" s="5"/>
    </row>
    <row r="13224" spans="1:1" x14ac:dyDescent="0.25">
      <c r="A13224" s="5"/>
    </row>
    <row r="13225" spans="1:1" x14ac:dyDescent="0.25">
      <c r="A13225" s="5"/>
    </row>
    <row r="13226" spans="1:1" x14ac:dyDescent="0.25">
      <c r="A13226" s="5"/>
    </row>
    <row r="13227" spans="1:1" x14ac:dyDescent="0.25">
      <c r="A13227" s="5"/>
    </row>
    <row r="13228" spans="1:1" x14ac:dyDescent="0.25">
      <c r="A13228" s="5"/>
    </row>
    <row r="13229" spans="1:1" x14ac:dyDescent="0.25">
      <c r="A13229" s="5"/>
    </row>
    <row r="13230" spans="1:1" x14ac:dyDescent="0.25">
      <c r="A13230" s="5"/>
    </row>
    <row r="13231" spans="1:1" x14ac:dyDescent="0.25">
      <c r="A13231" s="5"/>
    </row>
    <row r="13232" spans="1:1" x14ac:dyDescent="0.25">
      <c r="A13232" s="5"/>
    </row>
    <row r="13233" spans="1:1" x14ac:dyDescent="0.25">
      <c r="A13233" s="5"/>
    </row>
    <row r="13234" spans="1:1" x14ac:dyDescent="0.25">
      <c r="A13234" s="5"/>
    </row>
    <row r="13235" spans="1:1" x14ac:dyDescent="0.25">
      <c r="A13235" s="5"/>
    </row>
    <row r="13236" spans="1:1" x14ac:dyDescent="0.25">
      <c r="A13236" s="5"/>
    </row>
    <row r="13237" spans="1:1" x14ac:dyDescent="0.25">
      <c r="A13237" s="5"/>
    </row>
    <row r="13238" spans="1:1" x14ac:dyDescent="0.25">
      <c r="A13238" s="5"/>
    </row>
    <row r="13239" spans="1:1" x14ac:dyDescent="0.25">
      <c r="A13239" s="5"/>
    </row>
    <row r="13240" spans="1:1" x14ac:dyDescent="0.25">
      <c r="A13240" s="5"/>
    </row>
    <row r="13241" spans="1:1" x14ac:dyDescent="0.25">
      <c r="A13241" s="5"/>
    </row>
    <row r="13242" spans="1:1" x14ac:dyDescent="0.25">
      <c r="A13242" s="5"/>
    </row>
    <row r="13243" spans="1:1" x14ac:dyDescent="0.25">
      <c r="A13243" s="5"/>
    </row>
    <row r="13244" spans="1:1" x14ac:dyDescent="0.25">
      <c r="A13244" s="5"/>
    </row>
    <row r="13245" spans="1:1" x14ac:dyDescent="0.25">
      <c r="A13245" s="5"/>
    </row>
    <row r="13246" spans="1:1" x14ac:dyDescent="0.25">
      <c r="A13246" s="5"/>
    </row>
    <row r="13247" spans="1:1" x14ac:dyDescent="0.25">
      <c r="A13247" s="5"/>
    </row>
    <row r="13248" spans="1:1" x14ac:dyDescent="0.25">
      <c r="A13248" s="5"/>
    </row>
    <row r="13249" spans="1:1" x14ac:dyDescent="0.25">
      <c r="A13249" s="5"/>
    </row>
    <row r="13250" spans="1:1" x14ac:dyDescent="0.25">
      <c r="A13250" s="5"/>
    </row>
    <row r="13251" spans="1:1" x14ac:dyDescent="0.25">
      <c r="A13251" s="5"/>
    </row>
    <row r="13252" spans="1:1" x14ac:dyDescent="0.25">
      <c r="A13252" s="5"/>
    </row>
    <row r="13253" spans="1:1" x14ac:dyDescent="0.25">
      <c r="A13253" s="5"/>
    </row>
    <row r="13254" spans="1:1" x14ac:dyDescent="0.25">
      <c r="A13254" s="5"/>
    </row>
    <row r="13255" spans="1:1" x14ac:dyDescent="0.25">
      <c r="A13255" s="5"/>
    </row>
    <row r="13256" spans="1:1" x14ac:dyDescent="0.25">
      <c r="A13256" s="5"/>
    </row>
    <row r="13257" spans="1:1" x14ac:dyDescent="0.25">
      <c r="A13257" s="5"/>
    </row>
    <row r="13258" spans="1:1" x14ac:dyDescent="0.25">
      <c r="A13258" s="5"/>
    </row>
    <row r="13259" spans="1:1" x14ac:dyDescent="0.25">
      <c r="A13259" s="5"/>
    </row>
    <row r="13260" spans="1:1" x14ac:dyDescent="0.25">
      <c r="A13260" s="5"/>
    </row>
    <row r="13261" spans="1:1" x14ac:dyDescent="0.25">
      <c r="A13261" s="5"/>
    </row>
    <row r="13262" spans="1:1" x14ac:dyDescent="0.25">
      <c r="A13262" s="5"/>
    </row>
    <row r="13263" spans="1:1" x14ac:dyDescent="0.25">
      <c r="A13263" s="5"/>
    </row>
    <row r="13264" spans="1:1" x14ac:dyDescent="0.25">
      <c r="A13264" s="5"/>
    </row>
    <row r="13265" spans="1:1" x14ac:dyDescent="0.25">
      <c r="A13265" s="5"/>
    </row>
    <row r="13266" spans="1:1" x14ac:dyDescent="0.25">
      <c r="A13266" s="5"/>
    </row>
    <row r="13267" spans="1:1" x14ac:dyDescent="0.25">
      <c r="A13267" s="5"/>
    </row>
    <row r="13268" spans="1:1" x14ac:dyDescent="0.25">
      <c r="A13268" s="5"/>
    </row>
    <row r="13269" spans="1:1" x14ac:dyDescent="0.25">
      <c r="A13269" s="5"/>
    </row>
    <row r="13270" spans="1:1" x14ac:dyDescent="0.25">
      <c r="A13270" s="5"/>
    </row>
    <row r="13271" spans="1:1" x14ac:dyDescent="0.25">
      <c r="A13271" s="5"/>
    </row>
    <row r="13272" spans="1:1" x14ac:dyDescent="0.25">
      <c r="A13272" s="5"/>
    </row>
    <row r="13273" spans="1:1" x14ac:dyDescent="0.25">
      <c r="A13273" s="5"/>
    </row>
    <row r="13274" spans="1:1" x14ac:dyDescent="0.25">
      <c r="A13274" s="5"/>
    </row>
    <row r="13275" spans="1:1" x14ac:dyDescent="0.25">
      <c r="A13275" s="5"/>
    </row>
    <row r="13276" spans="1:1" x14ac:dyDescent="0.25">
      <c r="A13276" s="5"/>
    </row>
    <row r="13277" spans="1:1" x14ac:dyDescent="0.25">
      <c r="A13277" s="5"/>
    </row>
    <row r="13278" spans="1:1" x14ac:dyDescent="0.25">
      <c r="A13278" s="5"/>
    </row>
    <row r="13279" spans="1:1" x14ac:dyDescent="0.25">
      <c r="A13279" s="5"/>
    </row>
    <row r="13280" spans="1:1" x14ac:dyDescent="0.25">
      <c r="A13280" s="5"/>
    </row>
    <row r="13281" spans="1:1" x14ac:dyDescent="0.25">
      <c r="A13281" s="5"/>
    </row>
    <row r="13282" spans="1:1" x14ac:dyDescent="0.25">
      <c r="A13282" s="5"/>
    </row>
    <row r="13283" spans="1:1" x14ac:dyDescent="0.25">
      <c r="A13283" s="5"/>
    </row>
    <row r="13284" spans="1:1" x14ac:dyDescent="0.25">
      <c r="A13284" s="5"/>
    </row>
    <row r="13285" spans="1:1" x14ac:dyDescent="0.25">
      <c r="A13285" s="5"/>
    </row>
    <row r="13286" spans="1:1" x14ac:dyDescent="0.25">
      <c r="A13286" s="5"/>
    </row>
    <row r="13287" spans="1:1" x14ac:dyDescent="0.25">
      <c r="A13287" s="5"/>
    </row>
    <row r="13288" spans="1:1" x14ac:dyDescent="0.25">
      <c r="A13288" s="5"/>
    </row>
    <row r="13289" spans="1:1" x14ac:dyDescent="0.25">
      <c r="A13289" s="5"/>
    </row>
    <row r="13290" spans="1:1" x14ac:dyDescent="0.25">
      <c r="A13290" s="5"/>
    </row>
    <row r="13291" spans="1:1" x14ac:dyDescent="0.25">
      <c r="A13291" s="5"/>
    </row>
    <row r="13292" spans="1:1" x14ac:dyDescent="0.25">
      <c r="A13292" s="5"/>
    </row>
    <row r="13293" spans="1:1" x14ac:dyDescent="0.25">
      <c r="A13293" s="5"/>
    </row>
    <row r="13294" spans="1:1" x14ac:dyDescent="0.25">
      <c r="A13294" s="5"/>
    </row>
    <row r="13295" spans="1:1" x14ac:dyDescent="0.25">
      <c r="A13295" s="5"/>
    </row>
    <row r="13296" spans="1:1" x14ac:dyDescent="0.25">
      <c r="A13296" s="5"/>
    </row>
    <row r="13297" spans="1:1" x14ac:dyDescent="0.25">
      <c r="A13297" s="5"/>
    </row>
    <row r="13298" spans="1:1" x14ac:dyDescent="0.25">
      <c r="A13298" s="5"/>
    </row>
    <row r="13299" spans="1:1" x14ac:dyDescent="0.25">
      <c r="A13299" s="5"/>
    </row>
    <row r="13300" spans="1:1" x14ac:dyDescent="0.25">
      <c r="A13300" s="5"/>
    </row>
    <row r="13301" spans="1:1" x14ac:dyDescent="0.25">
      <c r="A13301" s="5"/>
    </row>
    <row r="13302" spans="1:1" x14ac:dyDescent="0.25">
      <c r="A13302" s="5"/>
    </row>
    <row r="13303" spans="1:1" x14ac:dyDescent="0.25">
      <c r="A13303" s="5"/>
    </row>
    <row r="13304" spans="1:1" x14ac:dyDescent="0.25">
      <c r="A13304" s="5"/>
    </row>
    <row r="13305" spans="1:1" x14ac:dyDescent="0.25">
      <c r="A13305" s="5"/>
    </row>
    <row r="13306" spans="1:1" x14ac:dyDescent="0.25">
      <c r="A13306" s="5"/>
    </row>
    <row r="13307" spans="1:1" x14ac:dyDescent="0.25">
      <c r="A13307" s="5"/>
    </row>
    <row r="13308" spans="1:1" x14ac:dyDescent="0.25">
      <c r="A13308" s="5"/>
    </row>
    <row r="13309" spans="1:1" x14ac:dyDescent="0.25">
      <c r="A13309" s="5"/>
    </row>
    <row r="13310" spans="1:1" x14ac:dyDescent="0.25">
      <c r="A13310" s="5"/>
    </row>
    <row r="13311" spans="1:1" x14ac:dyDescent="0.25">
      <c r="A13311" s="5"/>
    </row>
    <row r="13312" spans="1:1" x14ac:dyDescent="0.25">
      <c r="A13312" s="5"/>
    </row>
    <row r="13313" spans="1:1" x14ac:dyDescent="0.25">
      <c r="A13313" s="5"/>
    </row>
    <row r="13314" spans="1:1" x14ac:dyDescent="0.25">
      <c r="A13314" s="5"/>
    </row>
    <row r="13315" spans="1:1" x14ac:dyDescent="0.25">
      <c r="A13315" s="5"/>
    </row>
    <row r="13316" spans="1:1" x14ac:dyDescent="0.25">
      <c r="A13316" s="5"/>
    </row>
    <row r="13317" spans="1:1" x14ac:dyDescent="0.25">
      <c r="A13317" s="5"/>
    </row>
    <row r="13318" spans="1:1" x14ac:dyDescent="0.25">
      <c r="A13318" s="5"/>
    </row>
    <row r="13319" spans="1:1" x14ac:dyDescent="0.25">
      <c r="A13319" s="5"/>
    </row>
    <row r="13320" spans="1:1" x14ac:dyDescent="0.25">
      <c r="A13320" s="5"/>
    </row>
    <row r="13321" spans="1:1" x14ac:dyDescent="0.25">
      <c r="A13321" s="5"/>
    </row>
    <row r="13322" spans="1:1" x14ac:dyDescent="0.25">
      <c r="A13322" s="5"/>
    </row>
    <row r="13323" spans="1:1" x14ac:dyDescent="0.25">
      <c r="A13323" s="5"/>
    </row>
    <row r="13324" spans="1:1" x14ac:dyDescent="0.25">
      <c r="A13324" s="5"/>
    </row>
    <row r="13325" spans="1:1" x14ac:dyDescent="0.25">
      <c r="A13325" s="5"/>
    </row>
    <row r="13326" spans="1:1" x14ac:dyDescent="0.25">
      <c r="A13326" s="5"/>
    </row>
    <row r="13327" spans="1:1" x14ac:dyDescent="0.25">
      <c r="A13327" s="5"/>
    </row>
    <row r="13328" spans="1:1" x14ac:dyDescent="0.25">
      <c r="A13328" s="5"/>
    </row>
    <row r="13329" spans="1:1" x14ac:dyDescent="0.25">
      <c r="A13329" s="5"/>
    </row>
    <row r="13330" spans="1:1" x14ac:dyDescent="0.25">
      <c r="A13330" s="5"/>
    </row>
    <row r="13331" spans="1:1" x14ac:dyDescent="0.25">
      <c r="A13331" s="5"/>
    </row>
    <row r="13332" spans="1:1" x14ac:dyDescent="0.25">
      <c r="A13332" s="5"/>
    </row>
    <row r="13333" spans="1:1" x14ac:dyDescent="0.25">
      <c r="A13333" s="5"/>
    </row>
    <row r="13334" spans="1:1" x14ac:dyDescent="0.25">
      <c r="A13334" s="5"/>
    </row>
    <row r="13335" spans="1:1" x14ac:dyDescent="0.25">
      <c r="A13335" s="5"/>
    </row>
    <row r="13336" spans="1:1" x14ac:dyDescent="0.25">
      <c r="A13336" s="5"/>
    </row>
    <row r="13337" spans="1:1" x14ac:dyDescent="0.25">
      <c r="A13337" s="5"/>
    </row>
    <row r="13338" spans="1:1" x14ac:dyDescent="0.25">
      <c r="A13338" s="5"/>
    </row>
    <row r="13339" spans="1:1" x14ac:dyDescent="0.25">
      <c r="A13339" s="5"/>
    </row>
    <row r="13340" spans="1:1" x14ac:dyDescent="0.25">
      <c r="A13340" s="5"/>
    </row>
    <row r="13341" spans="1:1" x14ac:dyDescent="0.25">
      <c r="A13341" s="5"/>
    </row>
    <row r="13342" spans="1:1" x14ac:dyDescent="0.25">
      <c r="A13342" s="5"/>
    </row>
    <row r="13343" spans="1:1" x14ac:dyDescent="0.25">
      <c r="A13343" s="5"/>
    </row>
    <row r="13344" spans="1:1" x14ac:dyDescent="0.25">
      <c r="A13344" s="5"/>
    </row>
    <row r="13345" spans="1:1" x14ac:dyDescent="0.25">
      <c r="A13345" s="5"/>
    </row>
    <row r="13346" spans="1:1" x14ac:dyDescent="0.25">
      <c r="A13346" s="5"/>
    </row>
    <row r="13347" spans="1:1" x14ac:dyDescent="0.25">
      <c r="A13347" s="5"/>
    </row>
    <row r="13348" spans="1:1" x14ac:dyDescent="0.25">
      <c r="A13348" s="5"/>
    </row>
    <row r="13349" spans="1:1" x14ac:dyDescent="0.25">
      <c r="A13349" s="5"/>
    </row>
    <row r="13350" spans="1:1" x14ac:dyDescent="0.25">
      <c r="A13350" s="5"/>
    </row>
    <row r="13351" spans="1:1" x14ac:dyDescent="0.25">
      <c r="A13351" s="5"/>
    </row>
    <row r="13352" spans="1:1" x14ac:dyDescent="0.25">
      <c r="A13352" s="5"/>
    </row>
    <row r="13353" spans="1:1" x14ac:dyDescent="0.25">
      <c r="A13353" s="5"/>
    </row>
    <row r="13354" spans="1:1" x14ac:dyDescent="0.25">
      <c r="A13354" s="5"/>
    </row>
    <row r="13355" spans="1:1" x14ac:dyDescent="0.25">
      <c r="A13355" s="5"/>
    </row>
    <row r="13356" spans="1:1" x14ac:dyDescent="0.25">
      <c r="A13356" s="5"/>
    </row>
    <row r="13357" spans="1:1" x14ac:dyDescent="0.25">
      <c r="A13357" s="5"/>
    </row>
    <row r="13358" spans="1:1" x14ac:dyDescent="0.25">
      <c r="A13358" s="5"/>
    </row>
    <row r="13359" spans="1:1" x14ac:dyDescent="0.25">
      <c r="A13359" s="5"/>
    </row>
    <row r="13360" spans="1:1" x14ac:dyDescent="0.25">
      <c r="A13360" s="5"/>
    </row>
    <row r="13361" spans="1:1" x14ac:dyDescent="0.25">
      <c r="A13361" s="5"/>
    </row>
    <row r="13362" spans="1:1" x14ac:dyDescent="0.25">
      <c r="A13362" s="5"/>
    </row>
    <row r="13363" spans="1:1" x14ac:dyDescent="0.25">
      <c r="A13363" s="5"/>
    </row>
    <row r="13364" spans="1:1" x14ac:dyDescent="0.25">
      <c r="A13364" s="5"/>
    </row>
    <row r="13365" spans="1:1" x14ac:dyDescent="0.25">
      <c r="A13365" s="5"/>
    </row>
    <row r="13366" spans="1:1" x14ac:dyDescent="0.25">
      <c r="A13366" s="5"/>
    </row>
    <row r="13367" spans="1:1" x14ac:dyDescent="0.25">
      <c r="A13367" s="5"/>
    </row>
    <row r="13368" spans="1:1" x14ac:dyDescent="0.25">
      <c r="A13368" s="5"/>
    </row>
    <row r="13369" spans="1:1" x14ac:dyDescent="0.25">
      <c r="A13369" s="5"/>
    </row>
    <row r="13370" spans="1:1" x14ac:dyDescent="0.25">
      <c r="A13370" s="5"/>
    </row>
    <row r="13371" spans="1:1" x14ac:dyDescent="0.25">
      <c r="A13371" s="5"/>
    </row>
    <row r="13372" spans="1:1" x14ac:dyDescent="0.25">
      <c r="A13372" s="5"/>
    </row>
    <row r="13373" spans="1:1" x14ac:dyDescent="0.25">
      <c r="A13373" s="5"/>
    </row>
    <row r="13374" spans="1:1" x14ac:dyDescent="0.25">
      <c r="A13374" s="5"/>
    </row>
    <row r="13375" spans="1:1" x14ac:dyDescent="0.25">
      <c r="A13375" s="5"/>
    </row>
    <row r="13376" spans="1:1" x14ac:dyDescent="0.25">
      <c r="A13376" s="5"/>
    </row>
    <row r="13377" spans="1:1" x14ac:dyDescent="0.25">
      <c r="A13377" s="5"/>
    </row>
    <row r="13378" spans="1:1" x14ac:dyDescent="0.25">
      <c r="A13378" s="5"/>
    </row>
    <row r="13379" spans="1:1" x14ac:dyDescent="0.25">
      <c r="A13379" s="5"/>
    </row>
    <row r="13380" spans="1:1" x14ac:dyDescent="0.25">
      <c r="A13380" s="5"/>
    </row>
    <row r="13381" spans="1:1" x14ac:dyDescent="0.25">
      <c r="A13381" s="5"/>
    </row>
    <row r="13382" spans="1:1" x14ac:dyDescent="0.25">
      <c r="A13382" s="5"/>
    </row>
    <row r="13383" spans="1:1" x14ac:dyDescent="0.25">
      <c r="A13383" s="5"/>
    </row>
    <row r="13384" spans="1:1" x14ac:dyDescent="0.25">
      <c r="A13384" s="5"/>
    </row>
    <row r="13385" spans="1:1" x14ac:dyDescent="0.25">
      <c r="A13385" s="5"/>
    </row>
    <row r="13386" spans="1:1" x14ac:dyDescent="0.25">
      <c r="A13386" s="5"/>
    </row>
    <row r="13387" spans="1:1" x14ac:dyDescent="0.25">
      <c r="A13387" s="5"/>
    </row>
    <row r="13388" spans="1:1" x14ac:dyDescent="0.25">
      <c r="A13388" s="5"/>
    </row>
    <row r="13389" spans="1:1" x14ac:dyDescent="0.25">
      <c r="A13389" s="5"/>
    </row>
    <row r="13390" spans="1:1" x14ac:dyDescent="0.25">
      <c r="A13390" s="5"/>
    </row>
    <row r="13391" spans="1:1" x14ac:dyDescent="0.25">
      <c r="A13391" s="5"/>
    </row>
    <row r="13392" spans="1:1" x14ac:dyDescent="0.25">
      <c r="A13392" s="5"/>
    </row>
    <row r="13393" spans="1:1" x14ac:dyDescent="0.25">
      <c r="A13393" s="5"/>
    </row>
    <row r="13394" spans="1:1" x14ac:dyDescent="0.25">
      <c r="A13394" s="5"/>
    </row>
    <row r="13395" spans="1:1" x14ac:dyDescent="0.25">
      <c r="A13395" s="5"/>
    </row>
    <row r="13396" spans="1:1" x14ac:dyDescent="0.25">
      <c r="A13396" s="5"/>
    </row>
    <row r="13397" spans="1:1" x14ac:dyDescent="0.25">
      <c r="A13397" s="5"/>
    </row>
    <row r="13398" spans="1:1" x14ac:dyDescent="0.25">
      <c r="A13398" s="5"/>
    </row>
    <row r="13399" spans="1:1" x14ac:dyDescent="0.25">
      <c r="A13399" s="5"/>
    </row>
    <row r="13400" spans="1:1" x14ac:dyDescent="0.25">
      <c r="A13400" s="5"/>
    </row>
    <row r="13401" spans="1:1" x14ac:dyDescent="0.25">
      <c r="A13401" s="5"/>
    </row>
    <row r="13402" spans="1:1" x14ac:dyDescent="0.25">
      <c r="A13402" s="5"/>
    </row>
    <row r="13403" spans="1:1" x14ac:dyDescent="0.25">
      <c r="A13403" s="5"/>
    </row>
    <row r="13404" spans="1:1" x14ac:dyDescent="0.25">
      <c r="A13404" s="5"/>
    </row>
    <row r="13405" spans="1:1" x14ac:dyDescent="0.25">
      <c r="A13405" s="5"/>
    </row>
    <row r="13406" spans="1:1" x14ac:dyDescent="0.25">
      <c r="A13406" s="5"/>
    </row>
    <row r="13407" spans="1:1" x14ac:dyDescent="0.25">
      <c r="A13407" s="5"/>
    </row>
    <row r="13408" spans="1:1" x14ac:dyDescent="0.25">
      <c r="A13408" s="5"/>
    </row>
    <row r="13409" spans="1:1" x14ac:dyDescent="0.25">
      <c r="A13409" s="5"/>
    </row>
    <row r="13410" spans="1:1" x14ac:dyDescent="0.25">
      <c r="A13410" s="5"/>
    </row>
    <row r="13411" spans="1:1" x14ac:dyDescent="0.25">
      <c r="A13411" s="5"/>
    </row>
    <row r="13412" spans="1:1" x14ac:dyDescent="0.25">
      <c r="A13412" s="5"/>
    </row>
    <row r="13413" spans="1:1" x14ac:dyDescent="0.25">
      <c r="A13413" s="5"/>
    </row>
    <row r="13414" spans="1:1" x14ac:dyDescent="0.25">
      <c r="A13414" s="5"/>
    </row>
    <row r="13415" spans="1:1" x14ac:dyDescent="0.25">
      <c r="A13415" s="5"/>
    </row>
    <row r="13416" spans="1:1" x14ac:dyDescent="0.25">
      <c r="A13416" s="5"/>
    </row>
    <row r="13417" spans="1:1" x14ac:dyDescent="0.25">
      <c r="A13417" s="5"/>
    </row>
    <row r="13418" spans="1:1" x14ac:dyDescent="0.25">
      <c r="A13418" s="5"/>
    </row>
    <row r="13419" spans="1:1" x14ac:dyDescent="0.25">
      <c r="A13419" s="5"/>
    </row>
    <row r="13420" spans="1:1" x14ac:dyDescent="0.25">
      <c r="A13420" s="5"/>
    </row>
    <row r="13421" spans="1:1" x14ac:dyDescent="0.25">
      <c r="A13421" s="5"/>
    </row>
    <row r="13422" spans="1:1" x14ac:dyDescent="0.25">
      <c r="A13422" s="5"/>
    </row>
    <row r="13423" spans="1:1" x14ac:dyDescent="0.25">
      <c r="A13423" s="5"/>
    </row>
    <row r="13424" spans="1:1" x14ac:dyDescent="0.25">
      <c r="A13424" s="5"/>
    </row>
    <row r="13425" spans="1:1" x14ac:dyDescent="0.25">
      <c r="A13425" s="5"/>
    </row>
    <row r="13426" spans="1:1" x14ac:dyDescent="0.25">
      <c r="A13426" s="5"/>
    </row>
    <row r="13427" spans="1:1" x14ac:dyDescent="0.25">
      <c r="A13427" s="5"/>
    </row>
    <row r="13428" spans="1:1" x14ac:dyDescent="0.25">
      <c r="A13428" s="5"/>
    </row>
    <row r="13429" spans="1:1" x14ac:dyDescent="0.25">
      <c r="A13429" s="5"/>
    </row>
    <row r="13430" spans="1:1" x14ac:dyDescent="0.25">
      <c r="A13430" s="5"/>
    </row>
    <row r="13431" spans="1:1" x14ac:dyDescent="0.25">
      <c r="A13431" s="5"/>
    </row>
    <row r="13432" spans="1:1" x14ac:dyDescent="0.25">
      <c r="A13432" s="5"/>
    </row>
    <row r="13433" spans="1:1" x14ac:dyDescent="0.25">
      <c r="A13433" s="5"/>
    </row>
    <row r="13434" spans="1:1" x14ac:dyDescent="0.25">
      <c r="A13434" s="5"/>
    </row>
    <row r="13435" spans="1:1" x14ac:dyDescent="0.25">
      <c r="A13435" s="5"/>
    </row>
    <row r="13436" spans="1:1" x14ac:dyDescent="0.25">
      <c r="A13436" s="5"/>
    </row>
    <row r="13437" spans="1:1" x14ac:dyDescent="0.25">
      <c r="A13437" s="5"/>
    </row>
    <row r="13438" spans="1:1" x14ac:dyDescent="0.25">
      <c r="A13438" s="5"/>
    </row>
    <row r="13439" spans="1:1" x14ac:dyDescent="0.25">
      <c r="A13439" s="5"/>
    </row>
    <row r="13440" spans="1:1" x14ac:dyDescent="0.25">
      <c r="A13440" s="5"/>
    </row>
    <row r="13441" spans="1:1" x14ac:dyDescent="0.25">
      <c r="A13441" s="5"/>
    </row>
    <row r="13442" spans="1:1" x14ac:dyDescent="0.25">
      <c r="A13442" s="5"/>
    </row>
    <row r="13443" spans="1:1" x14ac:dyDescent="0.25">
      <c r="A13443" s="5"/>
    </row>
    <row r="13444" spans="1:1" x14ac:dyDescent="0.25">
      <c r="A13444" s="5"/>
    </row>
    <row r="13445" spans="1:1" x14ac:dyDescent="0.25">
      <c r="A13445" s="5"/>
    </row>
    <row r="13446" spans="1:1" x14ac:dyDescent="0.25">
      <c r="A13446" s="5"/>
    </row>
    <row r="13447" spans="1:1" x14ac:dyDescent="0.25">
      <c r="A13447" s="5"/>
    </row>
    <row r="13448" spans="1:1" x14ac:dyDescent="0.25">
      <c r="A13448" s="5"/>
    </row>
    <row r="13449" spans="1:1" x14ac:dyDescent="0.25">
      <c r="A13449" s="5"/>
    </row>
    <row r="13450" spans="1:1" x14ac:dyDescent="0.25">
      <c r="A13450" s="5"/>
    </row>
    <row r="13451" spans="1:1" x14ac:dyDescent="0.25">
      <c r="A13451" s="5"/>
    </row>
    <row r="13452" spans="1:1" x14ac:dyDescent="0.25">
      <c r="A13452" s="5"/>
    </row>
    <row r="13453" spans="1:1" x14ac:dyDescent="0.25">
      <c r="A13453" s="5"/>
    </row>
    <row r="13454" spans="1:1" x14ac:dyDescent="0.25">
      <c r="A13454" s="5"/>
    </row>
    <row r="13455" spans="1:1" x14ac:dyDescent="0.25">
      <c r="A13455" s="5"/>
    </row>
    <row r="13456" spans="1:1" x14ac:dyDescent="0.25">
      <c r="A13456" s="5"/>
    </row>
    <row r="13457" spans="1:1" x14ac:dyDescent="0.25">
      <c r="A13457" s="5"/>
    </row>
    <row r="13458" spans="1:1" x14ac:dyDescent="0.25">
      <c r="A13458" s="5"/>
    </row>
    <row r="13459" spans="1:1" x14ac:dyDescent="0.25">
      <c r="A13459" s="5"/>
    </row>
    <row r="13460" spans="1:1" x14ac:dyDescent="0.25">
      <c r="A13460" s="5"/>
    </row>
    <row r="13461" spans="1:1" x14ac:dyDescent="0.25">
      <c r="A13461" s="5"/>
    </row>
    <row r="13462" spans="1:1" x14ac:dyDescent="0.25">
      <c r="A13462" s="5"/>
    </row>
    <row r="13463" spans="1:1" x14ac:dyDescent="0.25">
      <c r="A13463" s="5"/>
    </row>
    <row r="13464" spans="1:1" x14ac:dyDescent="0.25">
      <c r="A13464" s="5"/>
    </row>
    <row r="13465" spans="1:1" x14ac:dyDescent="0.25">
      <c r="A13465" s="5"/>
    </row>
    <row r="13466" spans="1:1" x14ac:dyDescent="0.25">
      <c r="A13466" s="5"/>
    </row>
    <row r="13467" spans="1:1" x14ac:dyDescent="0.25">
      <c r="A13467" s="5"/>
    </row>
    <row r="13468" spans="1:1" x14ac:dyDescent="0.25">
      <c r="A13468" s="5"/>
    </row>
    <row r="13469" spans="1:1" x14ac:dyDescent="0.25">
      <c r="A13469" s="5"/>
    </row>
    <row r="13470" spans="1:1" x14ac:dyDescent="0.25">
      <c r="A13470" s="5"/>
    </row>
    <row r="13471" spans="1:1" x14ac:dyDescent="0.25">
      <c r="A13471" s="5"/>
    </row>
    <row r="13472" spans="1:1" x14ac:dyDescent="0.25">
      <c r="A13472" s="5"/>
    </row>
    <row r="13473" spans="1:1" x14ac:dyDescent="0.25">
      <c r="A13473" s="5"/>
    </row>
    <row r="13474" spans="1:1" x14ac:dyDescent="0.25">
      <c r="A13474" s="5"/>
    </row>
    <row r="13475" spans="1:1" x14ac:dyDescent="0.25">
      <c r="A13475" s="5"/>
    </row>
    <row r="13476" spans="1:1" x14ac:dyDescent="0.25">
      <c r="A13476" s="5"/>
    </row>
    <row r="13477" spans="1:1" x14ac:dyDescent="0.25">
      <c r="A13477" s="5"/>
    </row>
    <row r="13478" spans="1:1" x14ac:dyDescent="0.25">
      <c r="A13478" s="5"/>
    </row>
    <row r="13479" spans="1:1" x14ac:dyDescent="0.25">
      <c r="A13479" s="5"/>
    </row>
    <row r="13480" spans="1:1" x14ac:dyDescent="0.25">
      <c r="A13480" s="5"/>
    </row>
    <row r="13481" spans="1:1" x14ac:dyDescent="0.25">
      <c r="A13481" s="5"/>
    </row>
    <row r="13482" spans="1:1" x14ac:dyDescent="0.25">
      <c r="A13482" s="5"/>
    </row>
    <row r="13483" spans="1:1" x14ac:dyDescent="0.25">
      <c r="A13483" s="5"/>
    </row>
    <row r="13484" spans="1:1" x14ac:dyDescent="0.25">
      <c r="A13484" s="5"/>
    </row>
    <row r="13485" spans="1:1" x14ac:dyDescent="0.25">
      <c r="A13485" s="5"/>
    </row>
    <row r="13486" spans="1:1" x14ac:dyDescent="0.25">
      <c r="A13486" s="5"/>
    </row>
    <row r="13487" spans="1:1" x14ac:dyDescent="0.25">
      <c r="A13487" s="5"/>
    </row>
    <row r="13488" spans="1:1" x14ac:dyDescent="0.25">
      <c r="A13488" s="5"/>
    </row>
    <row r="13489" spans="1:1" x14ac:dyDescent="0.25">
      <c r="A13489" s="5"/>
    </row>
    <row r="13490" spans="1:1" x14ac:dyDescent="0.25">
      <c r="A13490" s="5"/>
    </row>
    <row r="13491" spans="1:1" x14ac:dyDescent="0.25">
      <c r="A13491" s="5"/>
    </row>
    <row r="13492" spans="1:1" x14ac:dyDescent="0.25">
      <c r="A13492" s="5"/>
    </row>
    <row r="13493" spans="1:1" x14ac:dyDescent="0.25">
      <c r="A13493" s="5"/>
    </row>
    <row r="13494" spans="1:1" x14ac:dyDescent="0.25">
      <c r="A13494" s="5"/>
    </row>
    <row r="13495" spans="1:1" x14ac:dyDescent="0.25">
      <c r="A13495" s="5"/>
    </row>
    <row r="13496" spans="1:1" x14ac:dyDescent="0.25">
      <c r="A13496" s="5"/>
    </row>
    <row r="13497" spans="1:1" x14ac:dyDescent="0.25">
      <c r="A13497" s="5"/>
    </row>
    <row r="13498" spans="1:1" x14ac:dyDescent="0.25">
      <c r="A13498" s="5"/>
    </row>
    <row r="13499" spans="1:1" x14ac:dyDescent="0.25">
      <c r="A13499" s="5"/>
    </row>
    <row r="13500" spans="1:1" x14ac:dyDescent="0.25">
      <c r="A13500" s="5"/>
    </row>
    <row r="13501" spans="1:1" x14ac:dyDescent="0.25">
      <c r="A13501" s="5"/>
    </row>
    <row r="13502" spans="1:1" x14ac:dyDescent="0.25">
      <c r="A13502" s="5"/>
    </row>
    <row r="13503" spans="1:1" x14ac:dyDescent="0.25">
      <c r="A13503" s="5"/>
    </row>
    <row r="13504" spans="1:1" x14ac:dyDescent="0.25">
      <c r="A13504" s="5"/>
    </row>
    <row r="13505" spans="1:1" x14ac:dyDescent="0.25">
      <c r="A13505" s="5"/>
    </row>
    <row r="13506" spans="1:1" x14ac:dyDescent="0.25">
      <c r="A13506" s="5"/>
    </row>
    <row r="13507" spans="1:1" x14ac:dyDescent="0.25">
      <c r="A13507" s="5"/>
    </row>
    <row r="13508" spans="1:1" x14ac:dyDescent="0.25">
      <c r="A13508" s="5"/>
    </row>
    <row r="13509" spans="1:1" x14ac:dyDescent="0.25">
      <c r="A13509" s="5"/>
    </row>
    <row r="13510" spans="1:1" x14ac:dyDescent="0.25">
      <c r="A13510" s="5"/>
    </row>
    <row r="13511" spans="1:1" x14ac:dyDescent="0.25">
      <c r="A13511" s="5"/>
    </row>
    <row r="13512" spans="1:1" x14ac:dyDescent="0.25">
      <c r="A13512" s="5"/>
    </row>
    <row r="13513" spans="1:1" x14ac:dyDescent="0.25">
      <c r="A13513" s="5"/>
    </row>
    <row r="13514" spans="1:1" x14ac:dyDescent="0.25">
      <c r="A13514" s="5"/>
    </row>
    <row r="13515" spans="1:1" x14ac:dyDescent="0.25">
      <c r="A13515" s="5"/>
    </row>
    <row r="13516" spans="1:1" x14ac:dyDescent="0.25">
      <c r="A13516" s="5"/>
    </row>
    <row r="13517" spans="1:1" x14ac:dyDescent="0.25">
      <c r="A13517" s="5"/>
    </row>
    <row r="13518" spans="1:1" x14ac:dyDescent="0.25">
      <c r="A13518" s="5"/>
    </row>
    <row r="13519" spans="1:1" x14ac:dyDescent="0.25">
      <c r="A13519" s="5"/>
    </row>
    <row r="13520" spans="1:1" x14ac:dyDescent="0.25">
      <c r="A13520" s="5"/>
    </row>
    <row r="13521" spans="1:1" x14ac:dyDescent="0.25">
      <c r="A13521" s="5"/>
    </row>
    <row r="13522" spans="1:1" x14ac:dyDescent="0.25">
      <c r="A13522" s="5"/>
    </row>
    <row r="13523" spans="1:1" x14ac:dyDescent="0.25">
      <c r="A13523" s="5"/>
    </row>
    <row r="13524" spans="1:1" x14ac:dyDescent="0.25">
      <c r="A13524" s="5"/>
    </row>
    <row r="13525" spans="1:1" x14ac:dyDescent="0.25">
      <c r="A13525" s="5"/>
    </row>
    <row r="13526" spans="1:1" x14ac:dyDescent="0.25">
      <c r="A13526" s="5"/>
    </row>
    <row r="13527" spans="1:1" x14ac:dyDescent="0.25">
      <c r="A13527" s="5"/>
    </row>
    <row r="13528" spans="1:1" x14ac:dyDescent="0.25">
      <c r="A13528" s="5"/>
    </row>
    <row r="13529" spans="1:1" x14ac:dyDescent="0.25">
      <c r="A13529" s="5"/>
    </row>
    <row r="13530" spans="1:1" x14ac:dyDescent="0.25">
      <c r="A13530" s="5"/>
    </row>
    <row r="13531" spans="1:1" x14ac:dyDescent="0.25">
      <c r="A13531" s="5"/>
    </row>
    <row r="13532" spans="1:1" x14ac:dyDescent="0.25">
      <c r="A13532" s="5"/>
    </row>
    <row r="13533" spans="1:1" x14ac:dyDescent="0.25">
      <c r="A13533" s="5"/>
    </row>
    <row r="13534" spans="1:1" x14ac:dyDescent="0.25">
      <c r="A13534" s="5"/>
    </row>
    <row r="13535" spans="1:1" x14ac:dyDescent="0.25">
      <c r="A13535" s="5"/>
    </row>
    <row r="13536" spans="1:1" x14ac:dyDescent="0.25">
      <c r="A13536" s="5"/>
    </row>
    <row r="13537" spans="1:1" x14ac:dyDescent="0.25">
      <c r="A13537" s="5"/>
    </row>
    <row r="13538" spans="1:1" x14ac:dyDescent="0.25">
      <c r="A13538" s="5"/>
    </row>
    <row r="13539" spans="1:1" x14ac:dyDescent="0.25">
      <c r="A13539" s="5"/>
    </row>
    <row r="13540" spans="1:1" x14ac:dyDescent="0.25">
      <c r="A13540" s="5"/>
    </row>
    <row r="13541" spans="1:1" x14ac:dyDescent="0.25">
      <c r="A13541" s="5"/>
    </row>
    <row r="13542" spans="1:1" x14ac:dyDescent="0.25">
      <c r="A13542" s="5"/>
    </row>
    <row r="13543" spans="1:1" x14ac:dyDescent="0.25">
      <c r="A13543" s="5"/>
    </row>
    <row r="13544" spans="1:1" x14ac:dyDescent="0.25">
      <c r="A13544" s="5"/>
    </row>
    <row r="13545" spans="1:1" x14ac:dyDescent="0.25">
      <c r="A13545" s="5"/>
    </row>
    <row r="13546" spans="1:1" x14ac:dyDescent="0.25">
      <c r="A13546" s="5"/>
    </row>
    <row r="13547" spans="1:1" x14ac:dyDescent="0.25">
      <c r="A13547" s="5"/>
    </row>
    <row r="13548" spans="1:1" x14ac:dyDescent="0.25">
      <c r="A13548" s="5"/>
    </row>
    <row r="13549" spans="1:1" x14ac:dyDescent="0.25">
      <c r="A13549" s="5"/>
    </row>
    <row r="13550" spans="1:1" x14ac:dyDescent="0.25">
      <c r="A13550" s="5"/>
    </row>
    <row r="13551" spans="1:1" x14ac:dyDescent="0.25">
      <c r="A13551" s="5"/>
    </row>
    <row r="13552" spans="1:1" x14ac:dyDescent="0.25">
      <c r="A13552" s="5"/>
    </row>
    <row r="13553" spans="1:1" x14ac:dyDescent="0.25">
      <c r="A13553" s="5"/>
    </row>
    <row r="13554" spans="1:1" x14ac:dyDescent="0.25">
      <c r="A13554" s="5"/>
    </row>
    <row r="13555" spans="1:1" x14ac:dyDescent="0.25">
      <c r="A13555" s="5"/>
    </row>
    <row r="13556" spans="1:1" x14ac:dyDescent="0.25">
      <c r="A13556" s="5"/>
    </row>
    <row r="13557" spans="1:1" x14ac:dyDescent="0.25">
      <c r="A13557" s="5"/>
    </row>
    <row r="13558" spans="1:1" x14ac:dyDescent="0.25">
      <c r="A13558" s="5"/>
    </row>
    <row r="13559" spans="1:1" x14ac:dyDescent="0.25">
      <c r="A13559" s="5"/>
    </row>
    <row r="13560" spans="1:1" x14ac:dyDescent="0.25">
      <c r="A13560" s="5"/>
    </row>
    <row r="13561" spans="1:1" x14ac:dyDescent="0.25">
      <c r="A13561" s="5"/>
    </row>
    <row r="13562" spans="1:1" x14ac:dyDescent="0.25">
      <c r="A13562" s="5"/>
    </row>
    <row r="13563" spans="1:1" x14ac:dyDescent="0.25">
      <c r="A13563" s="5"/>
    </row>
    <row r="13564" spans="1:1" x14ac:dyDescent="0.25">
      <c r="A13564" s="5"/>
    </row>
    <row r="13565" spans="1:1" x14ac:dyDescent="0.25">
      <c r="A13565" s="5"/>
    </row>
    <row r="13566" spans="1:1" x14ac:dyDescent="0.25">
      <c r="A13566" s="5"/>
    </row>
    <row r="13567" spans="1:1" x14ac:dyDescent="0.25">
      <c r="A13567" s="5"/>
    </row>
    <row r="13568" spans="1:1" x14ac:dyDescent="0.25">
      <c r="A13568" s="5"/>
    </row>
    <row r="13569" spans="1:1" x14ac:dyDescent="0.25">
      <c r="A13569" s="5"/>
    </row>
    <row r="13570" spans="1:1" x14ac:dyDescent="0.25">
      <c r="A13570" s="5"/>
    </row>
    <row r="13571" spans="1:1" x14ac:dyDescent="0.25">
      <c r="A13571" s="5"/>
    </row>
    <row r="13572" spans="1:1" x14ac:dyDescent="0.25">
      <c r="A13572" s="5"/>
    </row>
    <row r="13573" spans="1:1" x14ac:dyDescent="0.25">
      <c r="A13573" s="5"/>
    </row>
    <row r="13574" spans="1:1" x14ac:dyDescent="0.25">
      <c r="A13574" s="5"/>
    </row>
    <row r="13575" spans="1:1" x14ac:dyDescent="0.25">
      <c r="A13575" s="5"/>
    </row>
    <row r="13576" spans="1:1" x14ac:dyDescent="0.25">
      <c r="A13576" s="5"/>
    </row>
    <row r="13577" spans="1:1" x14ac:dyDescent="0.25">
      <c r="A13577" s="5"/>
    </row>
    <row r="13578" spans="1:1" x14ac:dyDescent="0.25">
      <c r="A13578" s="5"/>
    </row>
    <row r="13579" spans="1:1" x14ac:dyDescent="0.25">
      <c r="A13579" s="5"/>
    </row>
    <row r="13580" spans="1:1" x14ac:dyDescent="0.25">
      <c r="A13580" s="5"/>
    </row>
    <row r="13581" spans="1:1" x14ac:dyDescent="0.25">
      <c r="A13581" s="5"/>
    </row>
    <row r="13582" spans="1:1" x14ac:dyDescent="0.25">
      <c r="A13582" s="5"/>
    </row>
    <row r="13583" spans="1:1" x14ac:dyDescent="0.25">
      <c r="A13583" s="5"/>
    </row>
    <row r="13584" spans="1:1" x14ac:dyDescent="0.25">
      <c r="A13584" s="5"/>
    </row>
    <row r="13585" spans="1:1" x14ac:dyDescent="0.25">
      <c r="A13585" s="5"/>
    </row>
    <row r="13586" spans="1:1" x14ac:dyDescent="0.25">
      <c r="A13586" s="5"/>
    </row>
    <row r="13587" spans="1:1" x14ac:dyDescent="0.25">
      <c r="A13587" s="5"/>
    </row>
    <row r="13588" spans="1:1" x14ac:dyDescent="0.25">
      <c r="A13588" s="5"/>
    </row>
    <row r="13589" spans="1:1" x14ac:dyDescent="0.25">
      <c r="A13589" s="5"/>
    </row>
    <row r="13590" spans="1:1" x14ac:dyDescent="0.25">
      <c r="A13590" s="5"/>
    </row>
    <row r="13591" spans="1:1" x14ac:dyDescent="0.25">
      <c r="A13591" s="5"/>
    </row>
    <row r="13592" spans="1:1" x14ac:dyDescent="0.25">
      <c r="A13592" s="5"/>
    </row>
    <row r="13593" spans="1:1" x14ac:dyDescent="0.25">
      <c r="A13593" s="5"/>
    </row>
    <row r="13594" spans="1:1" x14ac:dyDescent="0.25">
      <c r="A13594" s="5"/>
    </row>
    <row r="13595" spans="1:1" x14ac:dyDescent="0.25">
      <c r="A13595" s="5"/>
    </row>
    <row r="13596" spans="1:1" x14ac:dyDescent="0.25">
      <c r="A13596" s="5"/>
    </row>
    <row r="13597" spans="1:1" x14ac:dyDescent="0.25">
      <c r="A13597" s="5"/>
    </row>
    <row r="13598" spans="1:1" x14ac:dyDescent="0.25">
      <c r="A13598" s="5"/>
    </row>
    <row r="13599" spans="1:1" x14ac:dyDescent="0.25">
      <c r="A13599" s="5"/>
    </row>
    <row r="13600" spans="1:1" x14ac:dyDescent="0.25">
      <c r="A13600" s="5"/>
    </row>
    <row r="13601" spans="1:1" x14ac:dyDescent="0.25">
      <c r="A13601" s="5"/>
    </row>
    <row r="13602" spans="1:1" x14ac:dyDescent="0.25">
      <c r="A13602" s="5"/>
    </row>
    <row r="13603" spans="1:1" x14ac:dyDescent="0.25">
      <c r="A13603" s="5"/>
    </row>
    <row r="13604" spans="1:1" x14ac:dyDescent="0.25">
      <c r="A13604" s="5"/>
    </row>
    <row r="13605" spans="1:1" x14ac:dyDescent="0.25">
      <c r="A13605" s="5"/>
    </row>
    <row r="13606" spans="1:1" x14ac:dyDescent="0.25">
      <c r="A13606" s="5"/>
    </row>
    <row r="13607" spans="1:1" x14ac:dyDescent="0.25">
      <c r="A13607" s="5"/>
    </row>
    <row r="13608" spans="1:1" x14ac:dyDescent="0.25">
      <c r="A13608" s="5"/>
    </row>
    <row r="13609" spans="1:1" x14ac:dyDescent="0.25">
      <c r="A13609" s="5"/>
    </row>
    <row r="13610" spans="1:1" x14ac:dyDescent="0.25">
      <c r="A13610" s="5"/>
    </row>
    <row r="13611" spans="1:1" x14ac:dyDescent="0.25">
      <c r="A13611" s="5"/>
    </row>
    <row r="13612" spans="1:1" x14ac:dyDescent="0.25">
      <c r="A13612" s="5"/>
    </row>
    <row r="13613" spans="1:1" x14ac:dyDescent="0.25">
      <c r="A13613" s="5"/>
    </row>
    <row r="13614" spans="1:1" x14ac:dyDescent="0.25">
      <c r="A13614" s="5"/>
    </row>
    <row r="13615" spans="1:1" x14ac:dyDescent="0.25">
      <c r="A13615" s="5"/>
    </row>
    <row r="13616" spans="1:1" x14ac:dyDescent="0.25">
      <c r="A13616" s="5"/>
    </row>
    <row r="13617" spans="1:1" x14ac:dyDescent="0.25">
      <c r="A13617" s="5"/>
    </row>
    <row r="13618" spans="1:1" x14ac:dyDescent="0.25">
      <c r="A13618" s="5"/>
    </row>
    <row r="13619" spans="1:1" x14ac:dyDescent="0.25">
      <c r="A13619" s="5"/>
    </row>
    <row r="13620" spans="1:1" x14ac:dyDescent="0.25">
      <c r="A13620" s="5"/>
    </row>
    <row r="13621" spans="1:1" x14ac:dyDescent="0.25">
      <c r="A13621" s="5"/>
    </row>
    <row r="13622" spans="1:1" x14ac:dyDescent="0.25">
      <c r="A13622" s="5"/>
    </row>
    <row r="13623" spans="1:1" x14ac:dyDescent="0.25">
      <c r="A13623" s="5"/>
    </row>
    <row r="13624" spans="1:1" x14ac:dyDescent="0.25">
      <c r="A13624" s="5"/>
    </row>
    <row r="13625" spans="1:1" x14ac:dyDescent="0.25">
      <c r="A13625" s="5"/>
    </row>
    <row r="13626" spans="1:1" x14ac:dyDescent="0.25">
      <c r="A13626" s="5"/>
    </row>
    <row r="13627" spans="1:1" x14ac:dyDescent="0.25">
      <c r="A13627" s="5"/>
    </row>
    <row r="13628" spans="1:1" x14ac:dyDescent="0.25">
      <c r="A13628" s="5"/>
    </row>
    <row r="13629" spans="1:1" x14ac:dyDescent="0.25">
      <c r="A13629" s="5"/>
    </row>
    <row r="13630" spans="1:1" x14ac:dyDescent="0.25">
      <c r="A13630" s="5"/>
    </row>
    <row r="13631" spans="1:1" x14ac:dyDescent="0.25">
      <c r="A13631" s="5"/>
    </row>
    <row r="13632" spans="1:1" x14ac:dyDescent="0.25">
      <c r="A13632" s="5"/>
    </row>
    <row r="13633" spans="1:1" x14ac:dyDescent="0.25">
      <c r="A13633" s="5"/>
    </row>
    <row r="13634" spans="1:1" x14ac:dyDescent="0.25">
      <c r="A13634" s="5"/>
    </row>
    <row r="13635" spans="1:1" x14ac:dyDescent="0.25">
      <c r="A13635" s="5"/>
    </row>
    <row r="13636" spans="1:1" x14ac:dyDescent="0.25">
      <c r="A13636" s="5"/>
    </row>
    <row r="13637" spans="1:1" x14ac:dyDescent="0.25">
      <c r="A13637" s="5"/>
    </row>
    <row r="13638" spans="1:1" x14ac:dyDescent="0.25">
      <c r="A13638" s="5"/>
    </row>
    <row r="13639" spans="1:1" x14ac:dyDescent="0.25">
      <c r="A13639" s="5"/>
    </row>
    <row r="13640" spans="1:1" x14ac:dyDescent="0.25">
      <c r="A13640" s="5"/>
    </row>
    <row r="13641" spans="1:1" x14ac:dyDescent="0.25">
      <c r="A13641" s="5"/>
    </row>
    <row r="13642" spans="1:1" x14ac:dyDescent="0.25">
      <c r="A13642" s="5"/>
    </row>
    <row r="13643" spans="1:1" x14ac:dyDescent="0.25">
      <c r="A13643" s="5"/>
    </row>
    <row r="13644" spans="1:1" x14ac:dyDescent="0.25">
      <c r="A13644" s="5"/>
    </row>
    <row r="13645" spans="1:1" x14ac:dyDescent="0.25">
      <c r="A13645" s="5"/>
    </row>
    <row r="13646" spans="1:1" x14ac:dyDescent="0.25">
      <c r="A13646" s="5"/>
    </row>
    <row r="13647" spans="1:1" x14ac:dyDescent="0.25">
      <c r="A13647" s="5"/>
    </row>
    <row r="13648" spans="1:1" x14ac:dyDescent="0.25">
      <c r="A13648" s="5"/>
    </row>
    <row r="13649" spans="1:1" x14ac:dyDescent="0.25">
      <c r="A13649" s="5"/>
    </row>
    <row r="13650" spans="1:1" x14ac:dyDescent="0.25">
      <c r="A13650" s="5"/>
    </row>
    <row r="13651" spans="1:1" x14ac:dyDescent="0.25">
      <c r="A13651" s="5"/>
    </row>
    <row r="13652" spans="1:1" x14ac:dyDescent="0.25">
      <c r="A13652" s="5"/>
    </row>
    <row r="13653" spans="1:1" x14ac:dyDescent="0.25">
      <c r="A13653" s="5"/>
    </row>
    <row r="13654" spans="1:1" x14ac:dyDescent="0.25">
      <c r="A13654" s="5"/>
    </row>
    <row r="13655" spans="1:1" x14ac:dyDescent="0.25">
      <c r="A13655" s="5"/>
    </row>
    <row r="13656" spans="1:1" x14ac:dyDescent="0.25">
      <c r="A13656" s="5"/>
    </row>
    <row r="13657" spans="1:1" x14ac:dyDescent="0.25">
      <c r="A13657" s="5"/>
    </row>
    <row r="13658" spans="1:1" x14ac:dyDescent="0.25">
      <c r="A13658" s="5"/>
    </row>
    <row r="13659" spans="1:1" x14ac:dyDescent="0.25">
      <c r="A13659" s="5"/>
    </row>
    <row r="13660" spans="1:1" x14ac:dyDescent="0.25">
      <c r="A13660" s="5"/>
    </row>
    <row r="13661" spans="1:1" x14ac:dyDescent="0.25">
      <c r="A13661" s="5"/>
    </row>
    <row r="13662" spans="1:1" x14ac:dyDescent="0.25">
      <c r="A13662" s="5"/>
    </row>
    <row r="13663" spans="1:1" x14ac:dyDescent="0.25">
      <c r="A13663" s="5"/>
    </row>
    <row r="13664" spans="1:1" x14ac:dyDescent="0.25">
      <c r="A13664" s="5"/>
    </row>
    <row r="13665" spans="1:1" x14ac:dyDescent="0.25">
      <c r="A13665" s="5"/>
    </row>
    <row r="13666" spans="1:1" x14ac:dyDescent="0.25">
      <c r="A13666" s="5"/>
    </row>
    <row r="13667" spans="1:1" x14ac:dyDescent="0.25">
      <c r="A13667" s="5"/>
    </row>
    <row r="13668" spans="1:1" x14ac:dyDescent="0.25">
      <c r="A13668" s="5"/>
    </row>
    <row r="13669" spans="1:1" x14ac:dyDescent="0.25">
      <c r="A13669" s="5"/>
    </row>
    <row r="13670" spans="1:1" x14ac:dyDescent="0.25">
      <c r="A13670" s="5"/>
    </row>
    <row r="13671" spans="1:1" x14ac:dyDescent="0.25">
      <c r="A13671" s="5"/>
    </row>
    <row r="13672" spans="1:1" x14ac:dyDescent="0.25">
      <c r="A13672" s="5"/>
    </row>
    <row r="13673" spans="1:1" x14ac:dyDescent="0.25">
      <c r="A13673" s="5"/>
    </row>
    <row r="13674" spans="1:1" x14ac:dyDescent="0.25">
      <c r="A13674" s="5"/>
    </row>
    <row r="13675" spans="1:1" x14ac:dyDescent="0.25">
      <c r="A13675" s="5"/>
    </row>
    <row r="13676" spans="1:1" x14ac:dyDescent="0.25">
      <c r="A13676" s="5"/>
    </row>
    <row r="13677" spans="1:1" x14ac:dyDescent="0.25">
      <c r="A13677" s="5"/>
    </row>
    <row r="13678" spans="1:1" x14ac:dyDescent="0.25">
      <c r="A13678" s="5"/>
    </row>
    <row r="13679" spans="1:1" x14ac:dyDescent="0.25">
      <c r="A13679" s="5"/>
    </row>
    <row r="13680" spans="1:1" x14ac:dyDescent="0.25">
      <c r="A13680" s="5"/>
    </row>
    <row r="13681" spans="1:1" x14ac:dyDescent="0.25">
      <c r="A13681" s="5"/>
    </row>
    <row r="13682" spans="1:1" x14ac:dyDescent="0.25">
      <c r="A13682" s="5"/>
    </row>
    <row r="13683" spans="1:1" x14ac:dyDescent="0.25">
      <c r="A13683" s="5"/>
    </row>
    <row r="13684" spans="1:1" x14ac:dyDescent="0.25">
      <c r="A13684" s="5"/>
    </row>
    <row r="13685" spans="1:1" x14ac:dyDescent="0.25">
      <c r="A13685" s="5"/>
    </row>
    <row r="13686" spans="1:1" x14ac:dyDescent="0.25">
      <c r="A13686" s="5"/>
    </row>
    <row r="13687" spans="1:1" x14ac:dyDescent="0.25">
      <c r="A13687" s="5"/>
    </row>
    <row r="13688" spans="1:1" x14ac:dyDescent="0.25">
      <c r="A13688" s="5"/>
    </row>
    <row r="13689" spans="1:1" x14ac:dyDescent="0.25">
      <c r="A13689" s="5"/>
    </row>
    <row r="13690" spans="1:1" x14ac:dyDescent="0.25">
      <c r="A13690" s="5"/>
    </row>
    <row r="13691" spans="1:1" x14ac:dyDescent="0.25">
      <c r="A13691" s="5"/>
    </row>
    <row r="13692" spans="1:1" x14ac:dyDescent="0.25">
      <c r="A13692" s="5"/>
    </row>
    <row r="13693" spans="1:1" x14ac:dyDescent="0.25">
      <c r="A13693" s="5"/>
    </row>
    <row r="13694" spans="1:1" x14ac:dyDescent="0.25">
      <c r="A13694" s="5"/>
    </row>
    <row r="13695" spans="1:1" x14ac:dyDescent="0.25">
      <c r="A13695" s="5"/>
    </row>
    <row r="13696" spans="1:1" x14ac:dyDescent="0.25">
      <c r="A13696" s="5"/>
    </row>
    <row r="13697" spans="1:1" x14ac:dyDescent="0.25">
      <c r="A13697" s="5"/>
    </row>
    <row r="13698" spans="1:1" x14ac:dyDescent="0.25">
      <c r="A13698" s="5"/>
    </row>
    <row r="13699" spans="1:1" x14ac:dyDescent="0.25">
      <c r="A13699" s="5"/>
    </row>
    <row r="13700" spans="1:1" x14ac:dyDescent="0.25">
      <c r="A13700" s="5"/>
    </row>
    <row r="13701" spans="1:1" x14ac:dyDescent="0.25">
      <c r="A13701" s="5"/>
    </row>
    <row r="13702" spans="1:1" x14ac:dyDescent="0.25">
      <c r="A13702" s="5"/>
    </row>
    <row r="13703" spans="1:1" x14ac:dyDescent="0.25">
      <c r="A13703" s="5"/>
    </row>
    <row r="13704" spans="1:1" x14ac:dyDescent="0.25">
      <c r="A13704" s="5"/>
    </row>
    <row r="13705" spans="1:1" x14ac:dyDescent="0.25">
      <c r="A13705" s="5"/>
    </row>
    <row r="13706" spans="1:1" x14ac:dyDescent="0.25">
      <c r="A13706" s="5"/>
    </row>
    <row r="13707" spans="1:1" x14ac:dyDescent="0.25">
      <c r="A13707" s="5"/>
    </row>
    <row r="13708" spans="1:1" x14ac:dyDescent="0.25">
      <c r="A13708" s="5"/>
    </row>
    <row r="13709" spans="1:1" x14ac:dyDescent="0.25">
      <c r="A13709" s="5"/>
    </row>
    <row r="13710" spans="1:1" x14ac:dyDescent="0.25">
      <c r="A13710" s="5"/>
    </row>
    <row r="13711" spans="1:1" x14ac:dyDescent="0.25">
      <c r="A13711" s="5"/>
    </row>
    <row r="13712" spans="1:1" x14ac:dyDescent="0.25">
      <c r="A13712" s="5"/>
    </row>
    <row r="13713" spans="1:1" x14ac:dyDescent="0.25">
      <c r="A13713" s="5"/>
    </row>
    <row r="13714" spans="1:1" x14ac:dyDescent="0.25">
      <c r="A13714" s="5"/>
    </row>
    <row r="13715" spans="1:1" x14ac:dyDescent="0.25">
      <c r="A13715" s="5"/>
    </row>
    <row r="13716" spans="1:1" x14ac:dyDescent="0.25">
      <c r="A13716" s="5"/>
    </row>
    <row r="13717" spans="1:1" x14ac:dyDescent="0.25">
      <c r="A13717" s="5"/>
    </row>
    <row r="13718" spans="1:1" x14ac:dyDescent="0.25">
      <c r="A13718" s="5"/>
    </row>
    <row r="13719" spans="1:1" x14ac:dyDescent="0.25">
      <c r="A13719" s="5"/>
    </row>
    <row r="13720" spans="1:1" x14ac:dyDescent="0.25">
      <c r="A13720" s="5"/>
    </row>
    <row r="13721" spans="1:1" x14ac:dyDescent="0.25">
      <c r="A13721" s="5"/>
    </row>
    <row r="13722" spans="1:1" x14ac:dyDescent="0.25">
      <c r="A13722" s="5"/>
    </row>
    <row r="13723" spans="1:1" x14ac:dyDescent="0.25">
      <c r="A13723" s="5"/>
    </row>
    <row r="13724" spans="1:1" x14ac:dyDescent="0.25">
      <c r="A13724" s="5"/>
    </row>
    <row r="13725" spans="1:1" x14ac:dyDescent="0.25">
      <c r="A13725" s="5"/>
    </row>
    <row r="13726" spans="1:1" x14ac:dyDescent="0.25">
      <c r="A13726" s="5"/>
    </row>
    <row r="13727" spans="1:1" x14ac:dyDescent="0.25">
      <c r="A13727" s="5"/>
    </row>
    <row r="13728" spans="1:1" x14ac:dyDescent="0.25">
      <c r="A13728" s="5"/>
    </row>
    <row r="13729" spans="1:1" x14ac:dyDescent="0.25">
      <c r="A13729" s="5"/>
    </row>
    <row r="13730" spans="1:1" x14ac:dyDescent="0.25">
      <c r="A13730" s="5"/>
    </row>
    <row r="13731" spans="1:1" x14ac:dyDescent="0.25">
      <c r="A13731" s="5"/>
    </row>
    <row r="13732" spans="1:1" x14ac:dyDescent="0.25">
      <c r="A13732" s="5"/>
    </row>
    <row r="13733" spans="1:1" x14ac:dyDescent="0.25">
      <c r="A13733" s="5"/>
    </row>
    <row r="13734" spans="1:1" x14ac:dyDescent="0.25">
      <c r="A13734" s="5"/>
    </row>
    <row r="13735" spans="1:1" x14ac:dyDescent="0.25">
      <c r="A13735" s="5"/>
    </row>
    <row r="13736" spans="1:1" x14ac:dyDescent="0.25">
      <c r="A13736" s="5"/>
    </row>
    <row r="13737" spans="1:1" x14ac:dyDescent="0.25">
      <c r="A13737" s="5"/>
    </row>
    <row r="13738" spans="1:1" x14ac:dyDescent="0.25">
      <c r="A13738" s="5"/>
    </row>
    <row r="13739" spans="1:1" x14ac:dyDescent="0.25">
      <c r="A13739" s="5"/>
    </row>
    <row r="13740" spans="1:1" x14ac:dyDescent="0.25">
      <c r="A13740" s="5"/>
    </row>
    <row r="13741" spans="1:1" x14ac:dyDescent="0.25">
      <c r="A13741" s="5"/>
    </row>
    <row r="13742" spans="1:1" x14ac:dyDescent="0.25">
      <c r="A13742" s="5"/>
    </row>
    <row r="13743" spans="1:1" x14ac:dyDescent="0.25">
      <c r="A13743" s="5"/>
    </row>
    <row r="13744" spans="1:1" x14ac:dyDescent="0.25">
      <c r="A13744" s="5"/>
    </row>
    <row r="13745" spans="1:1" x14ac:dyDescent="0.25">
      <c r="A13745" s="5"/>
    </row>
    <row r="13746" spans="1:1" x14ac:dyDescent="0.25">
      <c r="A13746" s="5"/>
    </row>
    <row r="13747" spans="1:1" x14ac:dyDescent="0.25">
      <c r="A13747" s="5"/>
    </row>
    <row r="13748" spans="1:1" x14ac:dyDescent="0.25">
      <c r="A13748" s="5"/>
    </row>
    <row r="13749" spans="1:1" x14ac:dyDescent="0.25">
      <c r="A13749" s="5"/>
    </row>
    <row r="13750" spans="1:1" x14ac:dyDescent="0.25">
      <c r="A13750" s="5"/>
    </row>
    <row r="13751" spans="1:1" x14ac:dyDescent="0.25">
      <c r="A13751" s="5"/>
    </row>
    <row r="13752" spans="1:1" x14ac:dyDescent="0.25">
      <c r="A13752" s="5"/>
    </row>
    <row r="13753" spans="1:1" x14ac:dyDescent="0.25">
      <c r="A13753" s="5"/>
    </row>
    <row r="13754" spans="1:1" x14ac:dyDescent="0.25">
      <c r="A13754" s="5"/>
    </row>
    <row r="13755" spans="1:1" x14ac:dyDescent="0.25">
      <c r="A13755" s="5"/>
    </row>
    <row r="13756" spans="1:1" x14ac:dyDescent="0.25">
      <c r="A13756" s="5"/>
    </row>
    <row r="13757" spans="1:1" x14ac:dyDescent="0.25">
      <c r="A13757" s="5"/>
    </row>
    <row r="13758" spans="1:1" x14ac:dyDescent="0.25">
      <c r="A13758" s="5"/>
    </row>
    <row r="13759" spans="1:1" x14ac:dyDescent="0.25">
      <c r="A13759" s="5"/>
    </row>
    <row r="13760" spans="1:1" x14ac:dyDescent="0.25">
      <c r="A13760" s="5"/>
    </row>
    <row r="13761" spans="1:1" x14ac:dyDescent="0.25">
      <c r="A13761" s="5"/>
    </row>
    <row r="13762" spans="1:1" x14ac:dyDescent="0.25">
      <c r="A13762" s="5"/>
    </row>
    <row r="13763" spans="1:1" x14ac:dyDescent="0.25">
      <c r="A13763" s="5"/>
    </row>
    <row r="13764" spans="1:1" x14ac:dyDescent="0.25">
      <c r="A13764" s="5"/>
    </row>
    <row r="13765" spans="1:1" x14ac:dyDescent="0.25">
      <c r="A13765" s="5"/>
    </row>
    <row r="13766" spans="1:1" x14ac:dyDescent="0.25">
      <c r="A13766" s="5"/>
    </row>
    <row r="13767" spans="1:1" x14ac:dyDescent="0.25">
      <c r="A13767" s="5"/>
    </row>
    <row r="13768" spans="1:1" x14ac:dyDescent="0.25">
      <c r="A13768" s="5"/>
    </row>
    <row r="13769" spans="1:1" x14ac:dyDescent="0.25">
      <c r="A13769" s="5"/>
    </row>
    <row r="13770" spans="1:1" x14ac:dyDescent="0.25">
      <c r="A13770" s="5"/>
    </row>
    <row r="13771" spans="1:1" x14ac:dyDescent="0.25">
      <c r="A13771" s="5"/>
    </row>
    <row r="13772" spans="1:1" x14ac:dyDescent="0.25">
      <c r="A13772" s="5"/>
    </row>
    <row r="13773" spans="1:1" x14ac:dyDescent="0.25">
      <c r="A13773" s="5"/>
    </row>
    <row r="13774" spans="1:1" x14ac:dyDescent="0.25">
      <c r="A13774" s="5"/>
    </row>
    <row r="13775" spans="1:1" x14ac:dyDescent="0.25">
      <c r="A13775" s="5"/>
    </row>
    <row r="13776" spans="1:1" x14ac:dyDescent="0.25">
      <c r="A13776" s="5"/>
    </row>
    <row r="13777" spans="1:1" x14ac:dyDescent="0.25">
      <c r="A13777" s="5"/>
    </row>
    <row r="13778" spans="1:1" x14ac:dyDescent="0.25">
      <c r="A13778" s="5"/>
    </row>
    <row r="13779" spans="1:1" x14ac:dyDescent="0.25">
      <c r="A13779" s="5"/>
    </row>
    <row r="13780" spans="1:1" x14ac:dyDescent="0.25">
      <c r="A13780" s="5"/>
    </row>
    <row r="13781" spans="1:1" x14ac:dyDescent="0.25">
      <c r="A13781" s="5"/>
    </row>
    <row r="13782" spans="1:1" x14ac:dyDescent="0.25">
      <c r="A13782" s="5"/>
    </row>
    <row r="13783" spans="1:1" x14ac:dyDescent="0.25">
      <c r="A13783" s="5"/>
    </row>
    <row r="13784" spans="1:1" x14ac:dyDescent="0.25">
      <c r="A13784" s="5"/>
    </row>
    <row r="13785" spans="1:1" x14ac:dyDescent="0.25">
      <c r="A13785" s="5"/>
    </row>
    <row r="13786" spans="1:1" x14ac:dyDescent="0.25">
      <c r="A13786" s="5"/>
    </row>
    <row r="13787" spans="1:1" x14ac:dyDescent="0.25">
      <c r="A13787" s="5"/>
    </row>
    <row r="13788" spans="1:1" x14ac:dyDescent="0.25">
      <c r="A13788" s="5"/>
    </row>
    <row r="13789" spans="1:1" x14ac:dyDescent="0.25">
      <c r="A13789" s="5"/>
    </row>
    <row r="13790" spans="1:1" x14ac:dyDescent="0.25">
      <c r="A13790" s="5"/>
    </row>
    <row r="13791" spans="1:1" x14ac:dyDescent="0.25">
      <c r="A13791" s="5"/>
    </row>
    <row r="13792" spans="1:1" x14ac:dyDescent="0.25">
      <c r="A13792" s="5"/>
    </row>
    <row r="13793" spans="1:1" x14ac:dyDescent="0.25">
      <c r="A13793" s="5"/>
    </row>
    <row r="13794" spans="1:1" x14ac:dyDescent="0.25">
      <c r="A13794" s="5"/>
    </row>
    <row r="13795" spans="1:1" x14ac:dyDescent="0.25">
      <c r="A13795" s="5"/>
    </row>
    <row r="13796" spans="1:1" x14ac:dyDescent="0.25">
      <c r="A13796" s="5"/>
    </row>
    <row r="13797" spans="1:1" x14ac:dyDescent="0.25">
      <c r="A13797" s="5"/>
    </row>
    <row r="13798" spans="1:1" x14ac:dyDescent="0.25">
      <c r="A13798" s="5"/>
    </row>
    <row r="13799" spans="1:1" x14ac:dyDescent="0.25">
      <c r="A13799" s="5"/>
    </row>
    <row r="13800" spans="1:1" x14ac:dyDescent="0.25">
      <c r="A13800" s="5"/>
    </row>
    <row r="13801" spans="1:1" x14ac:dyDescent="0.25">
      <c r="A13801" s="5"/>
    </row>
    <row r="13802" spans="1:1" x14ac:dyDescent="0.25">
      <c r="A13802" s="5"/>
    </row>
    <row r="13803" spans="1:1" x14ac:dyDescent="0.25">
      <c r="A13803" s="5"/>
    </row>
    <row r="13804" spans="1:1" x14ac:dyDescent="0.25">
      <c r="A13804" s="5"/>
    </row>
    <row r="13805" spans="1:1" x14ac:dyDescent="0.25">
      <c r="A13805" s="5"/>
    </row>
    <row r="13806" spans="1:1" x14ac:dyDescent="0.25">
      <c r="A13806" s="5"/>
    </row>
    <row r="13807" spans="1:1" x14ac:dyDescent="0.25">
      <c r="A13807" s="5"/>
    </row>
    <row r="13808" spans="1:1" x14ac:dyDescent="0.25">
      <c r="A13808" s="5"/>
    </row>
    <row r="13809" spans="1:1" x14ac:dyDescent="0.25">
      <c r="A13809" s="5"/>
    </row>
    <row r="13810" spans="1:1" x14ac:dyDescent="0.25">
      <c r="A13810" s="5"/>
    </row>
    <row r="13811" spans="1:1" x14ac:dyDescent="0.25">
      <c r="A13811" s="5"/>
    </row>
    <row r="13812" spans="1:1" x14ac:dyDescent="0.25">
      <c r="A13812" s="5"/>
    </row>
    <row r="13813" spans="1:1" x14ac:dyDescent="0.25">
      <c r="A13813" s="5"/>
    </row>
    <row r="13814" spans="1:1" x14ac:dyDescent="0.25">
      <c r="A13814" s="5"/>
    </row>
    <row r="13815" spans="1:1" x14ac:dyDescent="0.25">
      <c r="A13815" s="5"/>
    </row>
    <row r="13816" spans="1:1" x14ac:dyDescent="0.25">
      <c r="A13816" s="5"/>
    </row>
    <row r="13817" spans="1:1" x14ac:dyDescent="0.25">
      <c r="A13817" s="5"/>
    </row>
    <row r="13818" spans="1:1" x14ac:dyDescent="0.25">
      <c r="A13818" s="5"/>
    </row>
    <row r="13819" spans="1:1" x14ac:dyDescent="0.25">
      <c r="A13819" s="5"/>
    </row>
    <row r="13820" spans="1:1" x14ac:dyDescent="0.25">
      <c r="A13820" s="5"/>
    </row>
    <row r="13821" spans="1:1" x14ac:dyDescent="0.25">
      <c r="A13821" s="5"/>
    </row>
    <row r="13822" spans="1:1" x14ac:dyDescent="0.25">
      <c r="A13822" s="5"/>
    </row>
    <row r="13823" spans="1:1" x14ac:dyDescent="0.25">
      <c r="A13823" s="5"/>
    </row>
    <row r="13824" spans="1:1" x14ac:dyDescent="0.25">
      <c r="A13824" s="5"/>
    </row>
    <row r="13825" spans="1:1" x14ac:dyDescent="0.25">
      <c r="A13825" s="5"/>
    </row>
    <row r="13826" spans="1:1" x14ac:dyDescent="0.25">
      <c r="A13826" s="5"/>
    </row>
    <row r="13827" spans="1:1" x14ac:dyDescent="0.25">
      <c r="A13827" s="5"/>
    </row>
    <row r="13828" spans="1:1" x14ac:dyDescent="0.25">
      <c r="A13828" s="5"/>
    </row>
    <row r="13829" spans="1:1" x14ac:dyDescent="0.25">
      <c r="A13829" s="5"/>
    </row>
    <row r="13830" spans="1:1" x14ac:dyDescent="0.25">
      <c r="A13830" s="5"/>
    </row>
    <row r="13831" spans="1:1" x14ac:dyDescent="0.25">
      <c r="A13831" s="5"/>
    </row>
    <row r="13832" spans="1:1" x14ac:dyDescent="0.25">
      <c r="A13832" s="5"/>
    </row>
    <row r="13833" spans="1:1" x14ac:dyDescent="0.25">
      <c r="A13833" s="5"/>
    </row>
    <row r="13834" spans="1:1" x14ac:dyDescent="0.25">
      <c r="A13834" s="5"/>
    </row>
    <row r="13835" spans="1:1" x14ac:dyDescent="0.25">
      <c r="A13835" s="5"/>
    </row>
    <row r="13836" spans="1:1" x14ac:dyDescent="0.25">
      <c r="A13836" s="5"/>
    </row>
    <row r="13837" spans="1:1" x14ac:dyDescent="0.25">
      <c r="A13837" s="5"/>
    </row>
    <row r="13838" spans="1:1" x14ac:dyDescent="0.25">
      <c r="A13838" s="5"/>
    </row>
    <row r="13839" spans="1:1" x14ac:dyDescent="0.25">
      <c r="A13839" s="5"/>
    </row>
    <row r="13840" spans="1:1" x14ac:dyDescent="0.25">
      <c r="A13840" s="5"/>
    </row>
    <row r="13841" spans="1:1" x14ac:dyDescent="0.25">
      <c r="A13841" s="5"/>
    </row>
    <row r="13842" spans="1:1" x14ac:dyDescent="0.25">
      <c r="A13842" s="5"/>
    </row>
    <row r="13843" spans="1:1" x14ac:dyDescent="0.25">
      <c r="A13843" s="5"/>
    </row>
    <row r="13844" spans="1:1" x14ac:dyDescent="0.25">
      <c r="A13844" s="5"/>
    </row>
    <row r="13845" spans="1:1" x14ac:dyDescent="0.25">
      <c r="A13845" s="5"/>
    </row>
    <row r="13846" spans="1:1" x14ac:dyDescent="0.25">
      <c r="A13846" s="5"/>
    </row>
    <row r="13847" spans="1:1" x14ac:dyDescent="0.25">
      <c r="A13847" s="5"/>
    </row>
    <row r="13848" spans="1:1" x14ac:dyDescent="0.25">
      <c r="A13848" s="5"/>
    </row>
    <row r="13849" spans="1:1" x14ac:dyDescent="0.25">
      <c r="A13849" s="5"/>
    </row>
    <row r="13850" spans="1:1" x14ac:dyDescent="0.25">
      <c r="A13850" s="5"/>
    </row>
    <row r="13851" spans="1:1" x14ac:dyDescent="0.25">
      <c r="A13851" s="5"/>
    </row>
    <row r="13852" spans="1:1" x14ac:dyDescent="0.25">
      <c r="A13852" s="5"/>
    </row>
    <row r="13853" spans="1:1" x14ac:dyDescent="0.25">
      <c r="A13853" s="5"/>
    </row>
    <row r="13854" spans="1:1" x14ac:dyDescent="0.25">
      <c r="A13854" s="5"/>
    </row>
    <row r="13855" spans="1:1" x14ac:dyDescent="0.25">
      <c r="A13855" s="5"/>
    </row>
    <row r="13856" spans="1:1" x14ac:dyDescent="0.25">
      <c r="A13856" s="5"/>
    </row>
    <row r="13857" spans="1:1" x14ac:dyDescent="0.25">
      <c r="A13857" s="5"/>
    </row>
    <row r="13858" spans="1:1" x14ac:dyDescent="0.25">
      <c r="A13858" s="5"/>
    </row>
    <row r="13859" spans="1:1" x14ac:dyDescent="0.25">
      <c r="A13859" s="5"/>
    </row>
    <row r="13860" spans="1:1" x14ac:dyDescent="0.25">
      <c r="A13860" s="5"/>
    </row>
    <row r="13861" spans="1:1" x14ac:dyDescent="0.25">
      <c r="A13861" s="5"/>
    </row>
    <row r="13862" spans="1:1" x14ac:dyDescent="0.25">
      <c r="A13862" s="5"/>
    </row>
    <row r="13863" spans="1:1" x14ac:dyDescent="0.25">
      <c r="A13863" s="5"/>
    </row>
    <row r="13864" spans="1:1" x14ac:dyDescent="0.25">
      <c r="A13864" s="5"/>
    </row>
    <row r="13865" spans="1:1" x14ac:dyDescent="0.25">
      <c r="A13865" s="5"/>
    </row>
    <row r="13866" spans="1:1" x14ac:dyDescent="0.25">
      <c r="A13866" s="5"/>
    </row>
    <row r="13867" spans="1:1" x14ac:dyDescent="0.25">
      <c r="A13867" s="5"/>
    </row>
    <row r="13868" spans="1:1" x14ac:dyDescent="0.25">
      <c r="A13868" s="5"/>
    </row>
    <row r="13869" spans="1:1" x14ac:dyDescent="0.25">
      <c r="A13869" s="5"/>
    </row>
    <row r="13870" spans="1:1" x14ac:dyDescent="0.25">
      <c r="A13870" s="5"/>
    </row>
    <row r="13871" spans="1:1" x14ac:dyDescent="0.25">
      <c r="A13871" s="5"/>
    </row>
    <row r="13872" spans="1:1" x14ac:dyDescent="0.25">
      <c r="A13872" s="5"/>
    </row>
    <row r="13873" spans="1:1" x14ac:dyDescent="0.25">
      <c r="A13873" s="5"/>
    </row>
    <row r="13874" spans="1:1" x14ac:dyDescent="0.25">
      <c r="A13874" s="5"/>
    </row>
    <row r="13875" spans="1:1" x14ac:dyDescent="0.25">
      <c r="A13875" s="5"/>
    </row>
    <row r="13876" spans="1:1" x14ac:dyDescent="0.25">
      <c r="A13876" s="5"/>
    </row>
    <row r="13877" spans="1:1" x14ac:dyDescent="0.25">
      <c r="A13877" s="5"/>
    </row>
    <row r="13878" spans="1:1" x14ac:dyDescent="0.25">
      <c r="A13878" s="5"/>
    </row>
    <row r="13879" spans="1:1" x14ac:dyDescent="0.25">
      <c r="A13879" s="5"/>
    </row>
    <row r="13880" spans="1:1" x14ac:dyDescent="0.25">
      <c r="A13880" s="5"/>
    </row>
    <row r="13881" spans="1:1" x14ac:dyDescent="0.25">
      <c r="A13881" s="5"/>
    </row>
    <row r="13882" spans="1:1" x14ac:dyDescent="0.25">
      <c r="A13882" s="5"/>
    </row>
    <row r="13883" spans="1:1" x14ac:dyDescent="0.25">
      <c r="A13883" s="5"/>
    </row>
    <row r="13884" spans="1:1" x14ac:dyDescent="0.25">
      <c r="A13884" s="5"/>
    </row>
    <row r="13885" spans="1:1" x14ac:dyDescent="0.25">
      <c r="A13885" s="5"/>
    </row>
    <row r="13886" spans="1:1" x14ac:dyDescent="0.25">
      <c r="A13886" s="5"/>
    </row>
    <row r="13887" spans="1:1" x14ac:dyDescent="0.25">
      <c r="A13887" s="5"/>
    </row>
    <row r="13888" spans="1:1" x14ac:dyDescent="0.25">
      <c r="A13888" s="5"/>
    </row>
    <row r="13889" spans="1:1" x14ac:dyDescent="0.25">
      <c r="A13889" s="5"/>
    </row>
    <row r="13890" spans="1:1" x14ac:dyDescent="0.25">
      <c r="A13890" s="5"/>
    </row>
    <row r="13891" spans="1:1" x14ac:dyDescent="0.25">
      <c r="A13891" s="5"/>
    </row>
    <row r="13892" spans="1:1" x14ac:dyDescent="0.25">
      <c r="A13892" s="5"/>
    </row>
    <row r="13893" spans="1:1" x14ac:dyDescent="0.25">
      <c r="A13893" s="5"/>
    </row>
    <row r="13894" spans="1:1" x14ac:dyDescent="0.25">
      <c r="A13894" s="5"/>
    </row>
    <row r="13895" spans="1:1" x14ac:dyDescent="0.25">
      <c r="A13895" s="5"/>
    </row>
    <row r="13896" spans="1:1" x14ac:dyDescent="0.25">
      <c r="A13896" s="5"/>
    </row>
    <row r="13897" spans="1:1" x14ac:dyDescent="0.25">
      <c r="A13897" s="5"/>
    </row>
    <row r="13898" spans="1:1" x14ac:dyDescent="0.25">
      <c r="A13898" s="5"/>
    </row>
    <row r="13899" spans="1:1" x14ac:dyDescent="0.25">
      <c r="A13899" s="5"/>
    </row>
    <row r="13900" spans="1:1" x14ac:dyDescent="0.25">
      <c r="A13900" s="5"/>
    </row>
    <row r="13901" spans="1:1" x14ac:dyDescent="0.25">
      <c r="A13901" s="5"/>
    </row>
    <row r="13902" spans="1:1" x14ac:dyDescent="0.25">
      <c r="A13902" s="5"/>
    </row>
    <row r="13903" spans="1:1" x14ac:dyDescent="0.25">
      <c r="A13903" s="5"/>
    </row>
    <row r="13904" spans="1:1" x14ac:dyDescent="0.25">
      <c r="A13904" s="5"/>
    </row>
    <row r="13905" spans="1:1" x14ac:dyDescent="0.25">
      <c r="A13905" s="5"/>
    </row>
    <row r="13906" spans="1:1" x14ac:dyDescent="0.25">
      <c r="A13906" s="5"/>
    </row>
    <row r="13907" spans="1:1" x14ac:dyDescent="0.25">
      <c r="A13907" s="5"/>
    </row>
    <row r="13908" spans="1:1" x14ac:dyDescent="0.25">
      <c r="A13908" s="5"/>
    </row>
    <row r="13909" spans="1:1" x14ac:dyDescent="0.25">
      <c r="A13909" s="5"/>
    </row>
    <row r="13910" spans="1:1" x14ac:dyDescent="0.25">
      <c r="A13910" s="5"/>
    </row>
    <row r="13911" spans="1:1" x14ac:dyDescent="0.25">
      <c r="A13911" s="5"/>
    </row>
    <row r="13912" spans="1:1" x14ac:dyDescent="0.25">
      <c r="A13912" s="5"/>
    </row>
    <row r="13913" spans="1:1" x14ac:dyDescent="0.25">
      <c r="A13913" s="5"/>
    </row>
    <row r="13914" spans="1:1" x14ac:dyDescent="0.25">
      <c r="A13914" s="5"/>
    </row>
    <row r="13915" spans="1:1" x14ac:dyDescent="0.25">
      <c r="A13915" s="5"/>
    </row>
    <row r="13916" spans="1:1" x14ac:dyDescent="0.25">
      <c r="A13916" s="5"/>
    </row>
    <row r="13917" spans="1:1" x14ac:dyDescent="0.25">
      <c r="A13917" s="5"/>
    </row>
    <row r="13918" spans="1:1" x14ac:dyDescent="0.25">
      <c r="A13918" s="5"/>
    </row>
    <row r="13919" spans="1:1" x14ac:dyDescent="0.25">
      <c r="A13919" s="5"/>
    </row>
    <row r="13920" spans="1:1" x14ac:dyDescent="0.25">
      <c r="A13920" s="5"/>
    </row>
    <row r="13921" spans="1:1" x14ac:dyDescent="0.25">
      <c r="A13921" s="5"/>
    </row>
    <row r="13922" spans="1:1" x14ac:dyDescent="0.25">
      <c r="A13922" s="5"/>
    </row>
    <row r="13923" spans="1:1" x14ac:dyDescent="0.25">
      <c r="A13923" s="5"/>
    </row>
    <row r="13924" spans="1:1" x14ac:dyDescent="0.25">
      <c r="A13924" s="5"/>
    </row>
    <row r="13925" spans="1:1" x14ac:dyDescent="0.25">
      <c r="A13925" s="5"/>
    </row>
    <row r="13926" spans="1:1" x14ac:dyDescent="0.25">
      <c r="A13926" s="5"/>
    </row>
    <row r="13927" spans="1:1" x14ac:dyDescent="0.25">
      <c r="A13927" s="5"/>
    </row>
    <row r="13928" spans="1:1" x14ac:dyDescent="0.25">
      <c r="A13928" s="5"/>
    </row>
    <row r="13929" spans="1:1" x14ac:dyDescent="0.25">
      <c r="A13929" s="5"/>
    </row>
    <row r="13930" spans="1:1" x14ac:dyDescent="0.25">
      <c r="A13930" s="5"/>
    </row>
    <row r="13931" spans="1:1" x14ac:dyDescent="0.25">
      <c r="A13931" s="5"/>
    </row>
    <row r="13932" spans="1:1" x14ac:dyDescent="0.25">
      <c r="A13932" s="5"/>
    </row>
    <row r="13933" spans="1:1" x14ac:dyDescent="0.25">
      <c r="A13933" s="5"/>
    </row>
    <row r="13934" spans="1:1" x14ac:dyDescent="0.25">
      <c r="A13934" s="5"/>
    </row>
    <row r="13935" spans="1:1" x14ac:dyDescent="0.25">
      <c r="A13935" s="5"/>
    </row>
    <row r="13936" spans="1:1" x14ac:dyDescent="0.25">
      <c r="A13936" s="5"/>
    </row>
    <row r="13937" spans="1:1" x14ac:dyDescent="0.25">
      <c r="A13937" s="5"/>
    </row>
    <row r="13938" spans="1:1" x14ac:dyDescent="0.25">
      <c r="A13938" s="5"/>
    </row>
    <row r="13939" spans="1:1" x14ac:dyDescent="0.25">
      <c r="A13939" s="5"/>
    </row>
    <row r="13940" spans="1:1" x14ac:dyDescent="0.25">
      <c r="A13940" s="5"/>
    </row>
    <row r="13941" spans="1:1" x14ac:dyDescent="0.25">
      <c r="A13941" s="5"/>
    </row>
    <row r="13942" spans="1:1" x14ac:dyDescent="0.25">
      <c r="A13942" s="5"/>
    </row>
    <row r="13943" spans="1:1" x14ac:dyDescent="0.25">
      <c r="A13943" s="5"/>
    </row>
    <row r="13944" spans="1:1" x14ac:dyDescent="0.25">
      <c r="A13944" s="5"/>
    </row>
    <row r="13945" spans="1:1" x14ac:dyDescent="0.25">
      <c r="A13945" s="5"/>
    </row>
    <row r="13946" spans="1:1" x14ac:dyDescent="0.25">
      <c r="A13946" s="5"/>
    </row>
    <row r="13947" spans="1:1" x14ac:dyDescent="0.25">
      <c r="A13947" s="5"/>
    </row>
    <row r="13948" spans="1:1" x14ac:dyDescent="0.25">
      <c r="A13948" s="5"/>
    </row>
    <row r="13949" spans="1:1" x14ac:dyDescent="0.25">
      <c r="A13949" s="5"/>
    </row>
    <row r="13950" spans="1:1" x14ac:dyDescent="0.25">
      <c r="A13950" s="5"/>
    </row>
    <row r="13951" spans="1:1" x14ac:dyDescent="0.25">
      <c r="A13951" s="5"/>
    </row>
    <row r="13952" spans="1:1" x14ac:dyDescent="0.25">
      <c r="A13952" s="5"/>
    </row>
    <row r="13953" spans="1:1" x14ac:dyDescent="0.25">
      <c r="A13953" s="5"/>
    </row>
    <row r="13954" spans="1:1" x14ac:dyDescent="0.25">
      <c r="A13954" s="5"/>
    </row>
    <row r="13955" spans="1:1" x14ac:dyDescent="0.25">
      <c r="A13955" s="5"/>
    </row>
    <row r="13956" spans="1:1" x14ac:dyDescent="0.25">
      <c r="A13956" s="5"/>
    </row>
    <row r="13957" spans="1:1" x14ac:dyDescent="0.25">
      <c r="A13957" s="5"/>
    </row>
    <row r="13958" spans="1:1" x14ac:dyDescent="0.25">
      <c r="A13958" s="5"/>
    </row>
    <row r="13959" spans="1:1" x14ac:dyDescent="0.25">
      <c r="A13959" s="5"/>
    </row>
    <row r="13960" spans="1:1" x14ac:dyDescent="0.25">
      <c r="A13960" s="5"/>
    </row>
    <row r="13961" spans="1:1" x14ac:dyDescent="0.25">
      <c r="A13961" s="5"/>
    </row>
    <row r="13962" spans="1:1" x14ac:dyDescent="0.25">
      <c r="A13962" s="5"/>
    </row>
    <row r="13963" spans="1:1" x14ac:dyDescent="0.25">
      <c r="A13963" s="5"/>
    </row>
    <row r="13964" spans="1:1" x14ac:dyDescent="0.25">
      <c r="A13964" s="5"/>
    </row>
    <row r="13965" spans="1:1" x14ac:dyDescent="0.25">
      <c r="A13965" s="5"/>
    </row>
    <row r="13966" spans="1:1" x14ac:dyDescent="0.25">
      <c r="A13966" s="5"/>
    </row>
    <row r="13967" spans="1:1" x14ac:dyDescent="0.25">
      <c r="A13967" s="5"/>
    </row>
    <row r="13968" spans="1:1" x14ac:dyDescent="0.25">
      <c r="A13968" s="5"/>
    </row>
    <row r="13969" spans="1:1" x14ac:dyDescent="0.25">
      <c r="A13969" s="5"/>
    </row>
    <row r="13970" spans="1:1" x14ac:dyDescent="0.25">
      <c r="A13970" s="5"/>
    </row>
    <row r="13971" spans="1:1" x14ac:dyDescent="0.25">
      <c r="A13971" s="5"/>
    </row>
    <row r="13972" spans="1:1" x14ac:dyDescent="0.25">
      <c r="A13972" s="5"/>
    </row>
    <row r="13973" spans="1:1" x14ac:dyDescent="0.25">
      <c r="A13973" s="5"/>
    </row>
    <row r="13974" spans="1:1" x14ac:dyDescent="0.25">
      <c r="A13974" s="5"/>
    </row>
    <row r="13975" spans="1:1" x14ac:dyDescent="0.25">
      <c r="A13975" s="5"/>
    </row>
    <row r="13976" spans="1:1" x14ac:dyDescent="0.25">
      <c r="A13976" s="5"/>
    </row>
    <row r="13977" spans="1:1" x14ac:dyDescent="0.25">
      <c r="A13977" s="5"/>
    </row>
    <row r="13978" spans="1:1" x14ac:dyDescent="0.25">
      <c r="A13978" s="5"/>
    </row>
    <row r="13979" spans="1:1" x14ac:dyDescent="0.25">
      <c r="A13979" s="5"/>
    </row>
    <row r="13980" spans="1:1" x14ac:dyDescent="0.25">
      <c r="A13980" s="5"/>
    </row>
    <row r="13981" spans="1:1" x14ac:dyDescent="0.25">
      <c r="A13981" s="5"/>
    </row>
    <row r="13982" spans="1:1" x14ac:dyDescent="0.25">
      <c r="A13982" s="5"/>
    </row>
    <row r="13983" spans="1:1" x14ac:dyDescent="0.25">
      <c r="A13983" s="5"/>
    </row>
    <row r="13984" spans="1:1" x14ac:dyDescent="0.25">
      <c r="A13984" s="5"/>
    </row>
    <row r="13985" spans="1:1" x14ac:dyDescent="0.25">
      <c r="A13985" s="5"/>
    </row>
    <row r="13986" spans="1:1" x14ac:dyDescent="0.25">
      <c r="A13986" s="5"/>
    </row>
    <row r="13987" spans="1:1" x14ac:dyDescent="0.25">
      <c r="A13987" s="5"/>
    </row>
    <row r="13988" spans="1:1" x14ac:dyDescent="0.25">
      <c r="A13988" s="5"/>
    </row>
    <row r="13989" spans="1:1" x14ac:dyDescent="0.25">
      <c r="A13989" s="5"/>
    </row>
    <row r="13990" spans="1:1" x14ac:dyDescent="0.25">
      <c r="A13990" s="5"/>
    </row>
    <row r="13991" spans="1:1" x14ac:dyDescent="0.25">
      <c r="A13991" s="5"/>
    </row>
    <row r="13992" spans="1:1" x14ac:dyDescent="0.25">
      <c r="A13992" s="5"/>
    </row>
    <row r="13993" spans="1:1" x14ac:dyDescent="0.25">
      <c r="A13993" s="5"/>
    </row>
    <row r="13994" spans="1:1" x14ac:dyDescent="0.25">
      <c r="A13994" s="5"/>
    </row>
    <row r="13995" spans="1:1" x14ac:dyDescent="0.25">
      <c r="A13995" s="5"/>
    </row>
    <row r="13996" spans="1:1" x14ac:dyDescent="0.25">
      <c r="A13996" s="5"/>
    </row>
    <row r="13997" spans="1:1" x14ac:dyDescent="0.25">
      <c r="A13997" s="5"/>
    </row>
    <row r="13998" spans="1:1" x14ac:dyDescent="0.25">
      <c r="A13998" s="5"/>
    </row>
    <row r="13999" spans="1:1" x14ac:dyDescent="0.25">
      <c r="A13999" s="5"/>
    </row>
    <row r="14000" spans="1:1" x14ac:dyDescent="0.25">
      <c r="A14000" s="5"/>
    </row>
    <row r="14001" spans="1:1" x14ac:dyDescent="0.25">
      <c r="A14001" s="5"/>
    </row>
    <row r="14002" spans="1:1" x14ac:dyDescent="0.25">
      <c r="A14002" s="5"/>
    </row>
    <row r="14003" spans="1:1" x14ac:dyDescent="0.25">
      <c r="A14003" s="5"/>
    </row>
    <row r="14004" spans="1:1" x14ac:dyDescent="0.25">
      <c r="A14004" s="5"/>
    </row>
    <row r="14005" spans="1:1" x14ac:dyDescent="0.25">
      <c r="A14005" s="5"/>
    </row>
    <row r="14006" spans="1:1" x14ac:dyDescent="0.25">
      <c r="A14006" s="5"/>
    </row>
    <row r="14007" spans="1:1" x14ac:dyDescent="0.25">
      <c r="A14007" s="5"/>
    </row>
    <row r="14008" spans="1:1" x14ac:dyDescent="0.25">
      <c r="A14008" s="5"/>
    </row>
    <row r="14009" spans="1:1" x14ac:dyDescent="0.25">
      <c r="A14009" s="5"/>
    </row>
    <row r="14010" spans="1:1" x14ac:dyDescent="0.25">
      <c r="A14010" s="5"/>
    </row>
    <row r="14011" spans="1:1" x14ac:dyDescent="0.25">
      <c r="A14011" s="5"/>
    </row>
    <row r="14012" spans="1:1" x14ac:dyDescent="0.25">
      <c r="A14012" s="5"/>
    </row>
    <row r="14013" spans="1:1" x14ac:dyDescent="0.25">
      <c r="A14013" s="5"/>
    </row>
    <row r="14014" spans="1:1" x14ac:dyDescent="0.25">
      <c r="A14014" s="5"/>
    </row>
    <row r="14015" spans="1:1" x14ac:dyDescent="0.25">
      <c r="A14015" s="5"/>
    </row>
    <row r="14016" spans="1:1" x14ac:dyDescent="0.25">
      <c r="A14016" s="5"/>
    </row>
    <row r="14017" spans="1:1" x14ac:dyDescent="0.25">
      <c r="A14017" s="5"/>
    </row>
    <row r="14018" spans="1:1" x14ac:dyDescent="0.25">
      <c r="A14018" s="5"/>
    </row>
    <row r="14019" spans="1:1" x14ac:dyDescent="0.25">
      <c r="A14019" s="5"/>
    </row>
    <row r="14020" spans="1:1" x14ac:dyDescent="0.25">
      <c r="A14020" s="5"/>
    </row>
    <row r="14021" spans="1:1" x14ac:dyDescent="0.25">
      <c r="A14021" s="5"/>
    </row>
    <row r="14022" spans="1:1" x14ac:dyDescent="0.25">
      <c r="A14022" s="5"/>
    </row>
    <row r="14023" spans="1:1" x14ac:dyDescent="0.25">
      <c r="A14023" s="5"/>
    </row>
    <row r="14024" spans="1:1" x14ac:dyDescent="0.25">
      <c r="A14024" s="5"/>
    </row>
    <row r="14025" spans="1:1" x14ac:dyDescent="0.25">
      <c r="A14025" s="5"/>
    </row>
    <row r="14026" spans="1:1" x14ac:dyDescent="0.25">
      <c r="A14026" s="5"/>
    </row>
    <row r="14027" spans="1:1" x14ac:dyDescent="0.25">
      <c r="A14027" s="5"/>
    </row>
    <row r="14028" spans="1:1" x14ac:dyDescent="0.25">
      <c r="A14028" s="5"/>
    </row>
    <row r="14029" spans="1:1" x14ac:dyDescent="0.25">
      <c r="A14029" s="5"/>
    </row>
    <row r="14030" spans="1:1" x14ac:dyDescent="0.25">
      <c r="A14030" s="5"/>
    </row>
    <row r="14031" spans="1:1" x14ac:dyDescent="0.25">
      <c r="A14031" s="5"/>
    </row>
    <row r="14032" spans="1:1" x14ac:dyDescent="0.25">
      <c r="A14032" s="5"/>
    </row>
    <row r="14033" spans="1:1" x14ac:dyDescent="0.25">
      <c r="A14033" s="5"/>
    </row>
    <row r="14034" spans="1:1" x14ac:dyDescent="0.25">
      <c r="A14034" s="5"/>
    </row>
    <row r="14035" spans="1:1" x14ac:dyDescent="0.25">
      <c r="A14035" s="5"/>
    </row>
    <row r="14036" spans="1:1" x14ac:dyDescent="0.25">
      <c r="A14036" s="5"/>
    </row>
    <row r="14037" spans="1:1" x14ac:dyDescent="0.25">
      <c r="A14037" s="5"/>
    </row>
    <row r="14038" spans="1:1" x14ac:dyDescent="0.25">
      <c r="A14038" s="5"/>
    </row>
    <row r="14039" spans="1:1" x14ac:dyDescent="0.25">
      <c r="A14039" s="5"/>
    </row>
    <row r="14040" spans="1:1" x14ac:dyDescent="0.25">
      <c r="A14040" s="5"/>
    </row>
    <row r="14041" spans="1:1" x14ac:dyDescent="0.25">
      <c r="A14041" s="5"/>
    </row>
    <row r="14042" spans="1:1" x14ac:dyDescent="0.25">
      <c r="A14042" s="5"/>
    </row>
    <row r="14043" spans="1:1" x14ac:dyDescent="0.25">
      <c r="A14043" s="5"/>
    </row>
    <row r="14044" spans="1:1" x14ac:dyDescent="0.25">
      <c r="A14044" s="5"/>
    </row>
    <row r="14045" spans="1:1" x14ac:dyDescent="0.25">
      <c r="A14045" s="5"/>
    </row>
    <row r="14046" spans="1:1" x14ac:dyDescent="0.25">
      <c r="A14046" s="5"/>
    </row>
    <row r="14047" spans="1:1" x14ac:dyDescent="0.25">
      <c r="A14047" s="5"/>
    </row>
    <row r="14048" spans="1:1" x14ac:dyDescent="0.25">
      <c r="A14048" s="5"/>
    </row>
    <row r="14049" spans="1:1" x14ac:dyDescent="0.25">
      <c r="A14049" s="5"/>
    </row>
    <row r="14050" spans="1:1" x14ac:dyDescent="0.25">
      <c r="A14050" s="5"/>
    </row>
    <row r="14051" spans="1:1" x14ac:dyDescent="0.25">
      <c r="A14051" s="5"/>
    </row>
    <row r="14052" spans="1:1" x14ac:dyDescent="0.25">
      <c r="A14052" s="5"/>
    </row>
    <row r="14053" spans="1:1" x14ac:dyDescent="0.25">
      <c r="A14053" s="5"/>
    </row>
    <row r="14054" spans="1:1" x14ac:dyDescent="0.25">
      <c r="A14054" s="5"/>
    </row>
    <row r="14055" spans="1:1" x14ac:dyDescent="0.25">
      <c r="A14055" s="5"/>
    </row>
    <row r="14056" spans="1:1" x14ac:dyDescent="0.25">
      <c r="A14056" s="5"/>
    </row>
    <row r="14057" spans="1:1" x14ac:dyDescent="0.25">
      <c r="A14057" s="5"/>
    </row>
    <row r="14058" spans="1:1" x14ac:dyDescent="0.25">
      <c r="A14058" s="5"/>
    </row>
    <row r="14059" spans="1:1" x14ac:dyDescent="0.25">
      <c r="A14059" s="5"/>
    </row>
    <row r="14060" spans="1:1" x14ac:dyDescent="0.25">
      <c r="A14060" s="5"/>
    </row>
    <row r="14061" spans="1:1" x14ac:dyDescent="0.25">
      <c r="A14061" s="5"/>
    </row>
    <row r="14062" spans="1:1" x14ac:dyDescent="0.25">
      <c r="A14062" s="5"/>
    </row>
    <row r="14063" spans="1:1" x14ac:dyDescent="0.25">
      <c r="A14063" s="5"/>
    </row>
    <row r="14064" spans="1:1" x14ac:dyDescent="0.25">
      <c r="A14064" s="5"/>
    </row>
    <row r="14065" spans="1:1" x14ac:dyDescent="0.25">
      <c r="A14065" s="5"/>
    </row>
    <row r="14066" spans="1:1" x14ac:dyDescent="0.25">
      <c r="A14066" s="5"/>
    </row>
    <row r="14067" spans="1:1" x14ac:dyDescent="0.25">
      <c r="A14067" s="5"/>
    </row>
    <row r="14068" spans="1:1" x14ac:dyDescent="0.25">
      <c r="A14068" s="5"/>
    </row>
    <row r="14069" spans="1:1" x14ac:dyDescent="0.25">
      <c r="A14069" s="5"/>
    </row>
    <row r="14070" spans="1:1" x14ac:dyDescent="0.25">
      <c r="A14070" s="5"/>
    </row>
    <row r="14071" spans="1:1" x14ac:dyDescent="0.25">
      <c r="A14071" s="5"/>
    </row>
    <row r="14072" spans="1:1" x14ac:dyDescent="0.25">
      <c r="A14072" s="5"/>
    </row>
    <row r="14073" spans="1:1" x14ac:dyDescent="0.25">
      <c r="A14073" s="5"/>
    </row>
    <row r="14074" spans="1:1" x14ac:dyDescent="0.25">
      <c r="A14074" s="5"/>
    </row>
    <row r="14075" spans="1:1" x14ac:dyDescent="0.25">
      <c r="A14075" s="5"/>
    </row>
    <row r="14076" spans="1:1" x14ac:dyDescent="0.25">
      <c r="A14076" s="5"/>
    </row>
    <row r="14077" spans="1:1" x14ac:dyDescent="0.25">
      <c r="A14077" s="5"/>
    </row>
    <row r="14078" spans="1:1" x14ac:dyDescent="0.25">
      <c r="A14078" s="5"/>
    </row>
    <row r="14079" spans="1:1" x14ac:dyDescent="0.25">
      <c r="A14079" s="5"/>
    </row>
    <row r="14080" spans="1:1" x14ac:dyDescent="0.25">
      <c r="A14080" s="5"/>
    </row>
    <row r="14081" spans="1:1" x14ac:dyDescent="0.25">
      <c r="A14081" s="5"/>
    </row>
    <row r="14082" spans="1:1" x14ac:dyDescent="0.25">
      <c r="A14082" s="5"/>
    </row>
    <row r="14083" spans="1:1" x14ac:dyDescent="0.25">
      <c r="A14083" s="5"/>
    </row>
    <row r="14084" spans="1:1" x14ac:dyDescent="0.25">
      <c r="A14084" s="5"/>
    </row>
    <row r="14085" spans="1:1" x14ac:dyDescent="0.25">
      <c r="A14085" s="5"/>
    </row>
    <row r="14086" spans="1:1" x14ac:dyDescent="0.25">
      <c r="A14086" s="5"/>
    </row>
    <row r="14087" spans="1:1" x14ac:dyDescent="0.25">
      <c r="A14087" s="5"/>
    </row>
    <row r="14088" spans="1:1" x14ac:dyDescent="0.25">
      <c r="A14088" s="5"/>
    </row>
    <row r="14089" spans="1:1" x14ac:dyDescent="0.25">
      <c r="A14089" s="5"/>
    </row>
    <row r="14090" spans="1:1" x14ac:dyDescent="0.25">
      <c r="A14090" s="5"/>
    </row>
    <row r="14091" spans="1:1" x14ac:dyDescent="0.25">
      <c r="A14091" s="5"/>
    </row>
    <row r="14092" spans="1:1" x14ac:dyDescent="0.25">
      <c r="A14092" s="5"/>
    </row>
    <row r="14093" spans="1:1" x14ac:dyDescent="0.25">
      <c r="A14093" s="5"/>
    </row>
    <row r="14094" spans="1:1" x14ac:dyDescent="0.25">
      <c r="A14094" s="5"/>
    </row>
    <row r="14095" spans="1:1" x14ac:dyDescent="0.25">
      <c r="A14095" s="5"/>
    </row>
    <row r="14096" spans="1:1" x14ac:dyDescent="0.25">
      <c r="A14096" s="5"/>
    </row>
    <row r="14097" spans="1:1" x14ac:dyDescent="0.25">
      <c r="A14097" s="5"/>
    </row>
    <row r="14098" spans="1:1" x14ac:dyDescent="0.25">
      <c r="A14098" s="5"/>
    </row>
    <row r="14099" spans="1:1" x14ac:dyDescent="0.25">
      <c r="A14099" s="5"/>
    </row>
    <row r="14100" spans="1:1" x14ac:dyDescent="0.25">
      <c r="A14100" s="5"/>
    </row>
    <row r="14101" spans="1:1" x14ac:dyDescent="0.25">
      <c r="A14101" s="5"/>
    </row>
    <row r="14102" spans="1:1" x14ac:dyDescent="0.25">
      <c r="A14102" s="5"/>
    </row>
    <row r="14103" spans="1:1" x14ac:dyDescent="0.25">
      <c r="A14103" s="5"/>
    </row>
    <row r="14104" spans="1:1" x14ac:dyDescent="0.25">
      <c r="A14104" s="5"/>
    </row>
    <row r="14105" spans="1:1" x14ac:dyDescent="0.25">
      <c r="A14105" s="5"/>
    </row>
    <row r="14106" spans="1:1" x14ac:dyDescent="0.25">
      <c r="A14106" s="5"/>
    </row>
    <row r="14107" spans="1:1" x14ac:dyDescent="0.25">
      <c r="A14107" s="5"/>
    </row>
    <row r="14108" spans="1:1" x14ac:dyDescent="0.25">
      <c r="A14108" s="5"/>
    </row>
    <row r="14109" spans="1:1" x14ac:dyDescent="0.25">
      <c r="A14109" s="5"/>
    </row>
    <row r="14110" spans="1:1" x14ac:dyDescent="0.25">
      <c r="A14110" s="5"/>
    </row>
    <row r="14111" spans="1:1" x14ac:dyDescent="0.25">
      <c r="A14111" s="5"/>
    </row>
    <row r="14112" spans="1:1" x14ac:dyDescent="0.25">
      <c r="A14112" s="5"/>
    </row>
    <row r="14113" spans="1:1" x14ac:dyDescent="0.25">
      <c r="A14113" s="5"/>
    </row>
    <row r="14114" spans="1:1" x14ac:dyDescent="0.25">
      <c r="A14114" s="5"/>
    </row>
    <row r="14115" spans="1:1" x14ac:dyDescent="0.25">
      <c r="A14115" s="5"/>
    </row>
    <row r="14116" spans="1:1" x14ac:dyDescent="0.25">
      <c r="A14116" s="5"/>
    </row>
    <row r="14117" spans="1:1" x14ac:dyDescent="0.25">
      <c r="A14117" s="5"/>
    </row>
    <row r="14118" spans="1:1" x14ac:dyDescent="0.25">
      <c r="A14118" s="5"/>
    </row>
    <row r="14119" spans="1:1" x14ac:dyDescent="0.25">
      <c r="A14119" s="5"/>
    </row>
    <row r="14120" spans="1:1" x14ac:dyDescent="0.25">
      <c r="A14120" s="5"/>
    </row>
    <row r="14121" spans="1:1" x14ac:dyDescent="0.25">
      <c r="A14121" s="5"/>
    </row>
    <row r="14122" spans="1:1" x14ac:dyDescent="0.25">
      <c r="A14122" s="5"/>
    </row>
    <row r="14123" spans="1:1" x14ac:dyDescent="0.25">
      <c r="A14123" s="5"/>
    </row>
    <row r="14124" spans="1:1" x14ac:dyDescent="0.25">
      <c r="A14124" s="5"/>
    </row>
    <row r="14125" spans="1:1" x14ac:dyDescent="0.25">
      <c r="A14125" s="5"/>
    </row>
    <row r="14126" spans="1:1" x14ac:dyDescent="0.25">
      <c r="A14126" s="5"/>
    </row>
    <row r="14127" spans="1:1" x14ac:dyDescent="0.25">
      <c r="A14127" s="5"/>
    </row>
    <row r="14128" spans="1:1" x14ac:dyDescent="0.25">
      <c r="A14128" s="5"/>
    </row>
    <row r="14129" spans="1:1" x14ac:dyDescent="0.25">
      <c r="A14129" s="5"/>
    </row>
    <row r="14130" spans="1:1" x14ac:dyDescent="0.25">
      <c r="A14130" s="5"/>
    </row>
    <row r="14131" spans="1:1" x14ac:dyDescent="0.25">
      <c r="A14131" s="5"/>
    </row>
    <row r="14132" spans="1:1" x14ac:dyDescent="0.25">
      <c r="A14132" s="5"/>
    </row>
    <row r="14133" spans="1:1" x14ac:dyDescent="0.25">
      <c r="A14133" s="5"/>
    </row>
    <row r="14134" spans="1:1" x14ac:dyDescent="0.25">
      <c r="A14134" s="5"/>
    </row>
    <row r="14135" spans="1:1" x14ac:dyDescent="0.25">
      <c r="A14135" s="5"/>
    </row>
    <row r="14136" spans="1:1" x14ac:dyDescent="0.25">
      <c r="A14136" s="5"/>
    </row>
    <row r="14137" spans="1:1" x14ac:dyDescent="0.25">
      <c r="A14137" s="5"/>
    </row>
    <row r="14138" spans="1:1" x14ac:dyDescent="0.25">
      <c r="A14138" s="5"/>
    </row>
    <row r="14139" spans="1:1" x14ac:dyDescent="0.25">
      <c r="A14139" s="5"/>
    </row>
    <row r="14140" spans="1:1" x14ac:dyDescent="0.25">
      <c r="A14140" s="5"/>
    </row>
    <row r="14141" spans="1:1" x14ac:dyDescent="0.25">
      <c r="A14141" s="5"/>
    </row>
    <row r="14142" spans="1:1" x14ac:dyDescent="0.25">
      <c r="A14142" s="5"/>
    </row>
    <row r="14143" spans="1:1" x14ac:dyDescent="0.25">
      <c r="A14143" s="5"/>
    </row>
    <row r="14144" spans="1:1" x14ac:dyDescent="0.25">
      <c r="A14144" s="5"/>
    </row>
    <row r="14145" spans="1:1" x14ac:dyDescent="0.25">
      <c r="A14145" s="5"/>
    </row>
    <row r="14146" spans="1:1" x14ac:dyDescent="0.25">
      <c r="A14146" s="5"/>
    </row>
    <row r="14147" spans="1:1" x14ac:dyDescent="0.25">
      <c r="A14147" s="5"/>
    </row>
    <row r="14148" spans="1:1" x14ac:dyDescent="0.25">
      <c r="A14148" s="5"/>
    </row>
    <row r="14149" spans="1:1" x14ac:dyDescent="0.25">
      <c r="A14149" s="5"/>
    </row>
    <row r="14150" spans="1:1" x14ac:dyDescent="0.25">
      <c r="A14150" s="5"/>
    </row>
    <row r="14151" spans="1:1" x14ac:dyDescent="0.25">
      <c r="A14151" s="5"/>
    </row>
    <row r="14152" spans="1:1" x14ac:dyDescent="0.25">
      <c r="A14152" s="5"/>
    </row>
    <row r="14153" spans="1:1" x14ac:dyDescent="0.25">
      <c r="A14153" s="5"/>
    </row>
    <row r="14154" spans="1:1" x14ac:dyDescent="0.25">
      <c r="A14154" s="5"/>
    </row>
    <row r="14155" spans="1:1" x14ac:dyDescent="0.25">
      <c r="A14155" s="5"/>
    </row>
    <row r="14156" spans="1:1" x14ac:dyDescent="0.25">
      <c r="A14156" s="5"/>
    </row>
    <row r="14157" spans="1:1" x14ac:dyDescent="0.25">
      <c r="A14157" s="5"/>
    </row>
    <row r="14158" spans="1:1" x14ac:dyDescent="0.25">
      <c r="A14158" s="5"/>
    </row>
    <row r="14159" spans="1:1" x14ac:dyDescent="0.25">
      <c r="A14159" s="5"/>
    </row>
    <row r="14160" spans="1:1" x14ac:dyDescent="0.25">
      <c r="A14160" s="5"/>
    </row>
    <row r="14161" spans="1:1" x14ac:dyDescent="0.25">
      <c r="A14161" s="5"/>
    </row>
    <row r="14162" spans="1:1" x14ac:dyDescent="0.25">
      <c r="A14162" s="5"/>
    </row>
    <row r="14163" spans="1:1" x14ac:dyDescent="0.25">
      <c r="A14163" s="5"/>
    </row>
    <row r="14164" spans="1:1" x14ac:dyDescent="0.25">
      <c r="A14164" s="5"/>
    </row>
    <row r="14165" spans="1:1" x14ac:dyDescent="0.25">
      <c r="A14165" s="5"/>
    </row>
    <row r="14166" spans="1:1" x14ac:dyDescent="0.25">
      <c r="A14166" s="5"/>
    </row>
    <row r="14167" spans="1:1" x14ac:dyDescent="0.25">
      <c r="A14167" s="5"/>
    </row>
    <row r="14168" spans="1:1" x14ac:dyDescent="0.25">
      <c r="A14168" s="5"/>
    </row>
    <row r="14169" spans="1:1" x14ac:dyDescent="0.25">
      <c r="A14169" s="5"/>
    </row>
    <row r="14170" spans="1:1" x14ac:dyDescent="0.25">
      <c r="A14170" s="5"/>
    </row>
    <row r="14171" spans="1:1" x14ac:dyDescent="0.25">
      <c r="A14171" s="5"/>
    </row>
    <row r="14172" spans="1:1" x14ac:dyDescent="0.25">
      <c r="A14172" s="5"/>
    </row>
    <row r="14173" spans="1:1" x14ac:dyDescent="0.25">
      <c r="A14173" s="5"/>
    </row>
    <row r="14174" spans="1:1" x14ac:dyDescent="0.25">
      <c r="A14174" s="5"/>
    </row>
    <row r="14175" spans="1:1" x14ac:dyDescent="0.25">
      <c r="A14175" s="5"/>
    </row>
    <row r="14176" spans="1:1" x14ac:dyDescent="0.25">
      <c r="A14176" s="5"/>
    </row>
    <row r="14177" spans="1:1" x14ac:dyDescent="0.25">
      <c r="A14177" s="5"/>
    </row>
    <row r="14178" spans="1:1" x14ac:dyDescent="0.25">
      <c r="A14178" s="5"/>
    </row>
    <row r="14179" spans="1:1" x14ac:dyDescent="0.25">
      <c r="A14179" s="5"/>
    </row>
    <row r="14180" spans="1:1" x14ac:dyDescent="0.25">
      <c r="A14180" s="5"/>
    </row>
    <row r="14181" spans="1:1" x14ac:dyDescent="0.25">
      <c r="A14181" s="5"/>
    </row>
    <row r="14182" spans="1:1" x14ac:dyDescent="0.25">
      <c r="A14182" s="5"/>
    </row>
    <row r="14183" spans="1:1" x14ac:dyDescent="0.25">
      <c r="A14183" s="5"/>
    </row>
    <row r="14184" spans="1:1" x14ac:dyDescent="0.25">
      <c r="A14184" s="5"/>
    </row>
    <row r="14185" spans="1:1" x14ac:dyDescent="0.25">
      <c r="A14185" s="5"/>
    </row>
    <row r="14186" spans="1:1" x14ac:dyDescent="0.25">
      <c r="A14186" s="5"/>
    </row>
    <row r="14187" spans="1:1" x14ac:dyDescent="0.25">
      <c r="A14187" s="5"/>
    </row>
    <row r="14188" spans="1:1" x14ac:dyDescent="0.25">
      <c r="A14188" s="5"/>
    </row>
    <row r="14189" spans="1:1" x14ac:dyDescent="0.25">
      <c r="A14189" s="5"/>
    </row>
    <row r="14190" spans="1:1" x14ac:dyDescent="0.25">
      <c r="A14190" s="5"/>
    </row>
    <row r="14191" spans="1:1" x14ac:dyDescent="0.25">
      <c r="A14191" s="5"/>
    </row>
    <row r="14192" spans="1:1" x14ac:dyDescent="0.25">
      <c r="A14192" s="5"/>
    </row>
    <row r="14193" spans="1:1" x14ac:dyDescent="0.25">
      <c r="A14193" s="5"/>
    </row>
    <row r="14194" spans="1:1" x14ac:dyDescent="0.25">
      <c r="A14194" s="5"/>
    </row>
    <row r="14195" spans="1:1" x14ac:dyDescent="0.25">
      <c r="A14195" s="5"/>
    </row>
    <row r="14196" spans="1:1" x14ac:dyDescent="0.25">
      <c r="A14196" s="5"/>
    </row>
    <row r="14197" spans="1:1" x14ac:dyDescent="0.25">
      <c r="A14197" s="5"/>
    </row>
    <row r="14198" spans="1:1" x14ac:dyDescent="0.25">
      <c r="A14198" s="5"/>
    </row>
    <row r="14199" spans="1:1" x14ac:dyDescent="0.25">
      <c r="A14199" s="5"/>
    </row>
    <row r="14200" spans="1:1" x14ac:dyDescent="0.25">
      <c r="A14200" s="5"/>
    </row>
    <row r="14201" spans="1:1" x14ac:dyDescent="0.25">
      <c r="A14201" s="5"/>
    </row>
    <row r="14202" spans="1:1" x14ac:dyDescent="0.25">
      <c r="A14202" s="5"/>
    </row>
    <row r="14203" spans="1:1" x14ac:dyDescent="0.25">
      <c r="A14203" s="5"/>
    </row>
    <row r="14204" spans="1:1" x14ac:dyDescent="0.25">
      <c r="A14204" s="5"/>
    </row>
    <row r="14205" spans="1:1" x14ac:dyDescent="0.25">
      <c r="A14205" s="5"/>
    </row>
    <row r="14206" spans="1:1" x14ac:dyDescent="0.25">
      <c r="A14206" s="5"/>
    </row>
    <row r="14207" spans="1:1" x14ac:dyDescent="0.25">
      <c r="A14207" s="5"/>
    </row>
    <row r="14208" spans="1:1" x14ac:dyDescent="0.25">
      <c r="A14208" s="5"/>
    </row>
    <row r="14209" spans="1:1" x14ac:dyDescent="0.25">
      <c r="A14209" s="5"/>
    </row>
    <row r="14210" spans="1:1" x14ac:dyDescent="0.25">
      <c r="A14210" s="5"/>
    </row>
    <row r="14211" spans="1:1" x14ac:dyDescent="0.25">
      <c r="A14211" s="5"/>
    </row>
    <row r="14212" spans="1:1" x14ac:dyDescent="0.25">
      <c r="A14212" s="5"/>
    </row>
    <row r="14213" spans="1:1" x14ac:dyDescent="0.25">
      <c r="A14213" s="5"/>
    </row>
    <row r="14214" spans="1:1" x14ac:dyDescent="0.25">
      <c r="A14214" s="5"/>
    </row>
    <row r="14215" spans="1:1" x14ac:dyDescent="0.25">
      <c r="A14215" s="5"/>
    </row>
    <row r="14216" spans="1:1" x14ac:dyDescent="0.25">
      <c r="A14216" s="5"/>
    </row>
    <row r="14217" spans="1:1" x14ac:dyDescent="0.25">
      <c r="A14217" s="5"/>
    </row>
    <row r="14218" spans="1:1" x14ac:dyDescent="0.25">
      <c r="A14218" s="5"/>
    </row>
    <row r="14219" spans="1:1" x14ac:dyDescent="0.25">
      <c r="A14219" s="5"/>
    </row>
    <row r="14220" spans="1:1" x14ac:dyDescent="0.25">
      <c r="A14220" s="5"/>
    </row>
    <row r="14221" spans="1:1" x14ac:dyDescent="0.25">
      <c r="A14221" s="5"/>
    </row>
    <row r="14222" spans="1:1" x14ac:dyDescent="0.25">
      <c r="A14222" s="5"/>
    </row>
    <row r="14223" spans="1:1" x14ac:dyDescent="0.25">
      <c r="A14223" s="5"/>
    </row>
    <row r="14224" spans="1:1" x14ac:dyDescent="0.25">
      <c r="A14224" s="5"/>
    </row>
    <row r="14225" spans="1:1" x14ac:dyDescent="0.25">
      <c r="A14225" s="5"/>
    </row>
    <row r="14226" spans="1:1" x14ac:dyDescent="0.25">
      <c r="A14226" s="5"/>
    </row>
    <row r="14227" spans="1:1" x14ac:dyDescent="0.25">
      <c r="A14227" s="5"/>
    </row>
    <row r="14228" spans="1:1" x14ac:dyDescent="0.25">
      <c r="A14228" s="5"/>
    </row>
    <row r="14229" spans="1:1" x14ac:dyDescent="0.25">
      <c r="A14229" s="5"/>
    </row>
    <row r="14230" spans="1:1" x14ac:dyDescent="0.25">
      <c r="A14230" s="5"/>
    </row>
    <row r="14231" spans="1:1" x14ac:dyDescent="0.25">
      <c r="A14231" s="5"/>
    </row>
    <row r="14232" spans="1:1" x14ac:dyDescent="0.25">
      <c r="A14232" s="5"/>
    </row>
    <row r="14233" spans="1:1" x14ac:dyDescent="0.25">
      <c r="A14233" s="5"/>
    </row>
    <row r="14234" spans="1:1" x14ac:dyDescent="0.25">
      <c r="A14234" s="5"/>
    </row>
    <row r="14235" spans="1:1" x14ac:dyDescent="0.25">
      <c r="A14235" s="5"/>
    </row>
    <row r="14236" spans="1:1" x14ac:dyDescent="0.25">
      <c r="A14236" s="5"/>
    </row>
    <row r="14237" spans="1:1" x14ac:dyDescent="0.25">
      <c r="A14237" s="5"/>
    </row>
    <row r="14238" spans="1:1" x14ac:dyDescent="0.25">
      <c r="A14238" s="5"/>
    </row>
    <row r="14239" spans="1:1" x14ac:dyDescent="0.25">
      <c r="A14239" s="5"/>
    </row>
    <row r="14240" spans="1:1" x14ac:dyDescent="0.25">
      <c r="A14240" s="5"/>
    </row>
    <row r="14241" spans="1:1" x14ac:dyDescent="0.25">
      <c r="A14241" s="5"/>
    </row>
    <row r="14242" spans="1:1" x14ac:dyDescent="0.25">
      <c r="A14242" s="5"/>
    </row>
    <row r="14243" spans="1:1" x14ac:dyDescent="0.25">
      <c r="A14243" s="5"/>
    </row>
    <row r="14244" spans="1:1" x14ac:dyDescent="0.25">
      <c r="A14244" s="5"/>
    </row>
    <row r="14245" spans="1:1" x14ac:dyDescent="0.25">
      <c r="A14245" s="5"/>
    </row>
    <row r="14246" spans="1:1" x14ac:dyDescent="0.25">
      <c r="A14246" s="5"/>
    </row>
    <row r="14247" spans="1:1" x14ac:dyDescent="0.25">
      <c r="A14247" s="5"/>
    </row>
    <row r="14248" spans="1:1" x14ac:dyDescent="0.25">
      <c r="A14248" s="5"/>
    </row>
    <row r="14249" spans="1:1" x14ac:dyDescent="0.25">
      <c r="A14249" s="5"/>
    </row>
    <row r="14250" spans="1:1" x14ac:dyDescent="0.25">
      <c r="A14250" s="5"/>
    </row>
    <row r="14251" spans="1:1" x14ac:dyDescent="0.25">
      <c r="A14251" s="5"/>
    </row>
    <row r="14252" spans="1:1" x14ac:dyDescent="0.25">
      <c r="A14252" s="5"/>
    </row>
    <row r="14253" spans="1:1" x14ac:dyDescent="0.25">
      <c r="A14253" s="5"/>
    </row>
    <row r="14254" spans="1:1" x14ac:dyDescent="0.25">
      <c r="A14254" s="5"/>
    </row>
    <row r="14255" spans="1:1" x14ac:dyDescent="0.25">
      <c r="A14255" s="5"/>
    </row>
    <row r="14256" spans="1:1" x14ac:dyDescent="0.25">
      <c r="A14256" s="5"/>
    </row>
    <row r="14257" spans="1:1" x14ac:dyDescent="0.25">
      <c r="A14257" s="5"/>
    </row>
    <row r="14258" spans="1:1" x14ac:dyDescent="0.25">
      <c r="A14258" s="5"/>
    </row>
    <row r="14259" spans="1:1" x14ac:dyDescent="0.25">
      <c r="A14259" s="5"/>
    </row>
    <row r="14260" spans="1:1" x14ac:dyDescent="0.25">
      <c r="A14260" s="5"/>
    </row>
    <row r="14261" spans="1:1" x14ac:dyDescent="0.25">
      <c r="A14261" s="5"/>
    </row>
    <row r="14262" spans="1:1" x14ac:dyDescent="0.25">
      <c r="A14262" s="5"/>
    </row>
    <row r="14263" spans="1:1" x14ac:dyDescent="0.25">
      <c r="A14263" s="5"/>
    </row>
    <row r="14264" spans="1:1" x14ac:dyDescent="0.25">
      <c r="A14264" s="5"/>
    </row>
    <row r="14265" spans="1:1" x14ac:dyDescent="0.25">
      <c r="A14265" s="5"/>
    </row>
    <row r="14266" spans="1:1" x14ac:dyDescent="0.25">
      <c r="A14266" s="5"/>
    </row>
    <row r="14267" spans="1:1" x14ac:dyDescent="0.25">
      <c r="A14267" s="5"/>
    </row>
    <row r="14268" spans="1:1" x14ac:dyDescent="0.25">
      <c r="A14268" s="5"/>
    </row>
    <row r="14269" spans="1:1" x14ac:dyDescent="0.25">
      <c r="A14269" s="5"/>
    </row>
    <row r="14270" spans="1:1" x14ac:dyDescent="0.25">
      <c r="A14270" s="5"/>
    </row>
    <row r="14271" spans="1:1" x14ac:dyDescent="0.25">
      <c r="A14271" s="5"/>
    </row>
    <row r="14272" spans="1:1" x14ac:dyDescent="0.25">
      <c r="A14272" s="5"/>
    </row>
    <row r="14273" spans="1:1" x14ac:dyDescent="0.25">
      <c r="A14273" s="5"/>
    </row>
    <row r="14274" spans="1:1" x14ac:dyDescent="0.25">
      <c r="A14274" s="5"/>
    </row>
    <row r="14275" spans="1:1" x14ac:dyDescent="0.25">
      <c r="A14275" s="5"/>
    </row>
    <row r="14276" spans="1:1" x14ac:dyDescent="0.25">
      <c r="A14276" s="5"/>
    </row>
    <row r="14277" spans="1:1" x14ac:dyDescent="0.25">
      <c r="A14277" s="5"/>
    </row>
    <row r="14278" spans="1:1" x14ac:dyDescent="0.25">
      <c r="A14278" s="5"/>
    </row>
    <row r="14279" spans="1:1" x14ac:dyDescent="0.25">
      <c r="A14279" s="5"/>
    </row>
    <row r="14280" spans="1:1" x14ac:dyDescent="0.25">
      <c r="A14280" s="5"/>
    </row>
    <row r="14281" spans="1:1" x14ac:dyDescent="0.25">
      <c r="A14281" s="5"/>
    </row>
    <row r="14282" spans="1:1" x14ac:dyDescent="0.25">
      <c r="A14282" s="5"/>
    </row>
    <row r="14283" spans="1:1" x14ac:dyDescent="0.25">
      <c r="A14283" s="5"/>
    </row>
    <row r="14284" spans="1:1" x14ac:dyDescent="0.25">
      <c r="A14284" s="5"/>
    </row>
    <row r="14285" spans="1:1" x14ac:dyDescent="0.25">
      <c r="A14285" s="5"/>
    </row>
    <row r="14286" spans="1:1" x14ac:dyDescent="0.25">
      <c r="A14286" s="5"/>
    </row>
    <row r="14287" spans="1:1" x14ac:dyDescent="0.25">
      <c r="A14287" s="5"/>
    </row>
    <row r="14288" spans="1:1" x14ac:dyDescent="0.25">
      <c r="A14288" s="5"/>
    </row>
    <row r="14289" spans="1:1" x14ac:dyDescent="0.25">
      <c r="A14289" s="5"/>
    </row>
    <row r="14290" spans="1:1" x14ac:dyDescent="0.25">
      <c r="A14290" s="5"/>
    </row>
    <row r="14291" spans="1:1" x14ac:dyDescent="0.25">
      <c r="A14291" s="5"/>
    </row>
    <row r="14292" spans="1:1" x14ac:dyDescent="0.25">
      <c r="A14292" s="5"/>
    </row>
    <row r="14293" spans="1:1" x14ac:dyDescent="0.25">
      <c r="A14293" s="5"/>
    </row>
    <row r="14294" spans="1:1" x14ac:dyDescent="0.25">
      <c r="A14294" s="5"/>
    </row>
    <row r="14295" spans="1:1" x14ac:dyDescent="0.25">
      <c r="A14295" s="5"/>
    </row>
    <row r="14296" spans="1:1" x14ac:dyDescent="0.25">
      <c r="A14296" s="5"/>
    </row>
    <row r="14297" spans="1:1" x14ac:dyDescent="0.25">
      <c r="A14297" s="5"/>
    </row>
    <row r="14298" spans="1:1" x14ac:dyDescent="0.25">
      <c r="A14298" s="5"/>
    </row>
    <row r="14299" spans="1:1" x14ac:dyDescent="0.25">
      <c r="A14299" s="5"/>
    </row>
    <row r="14300" spans="1:1" x14ac:dyDescent="0.25">
      <c r="A14300" s="5"/>
    </row>
    <row r="14301" spans="1:1" x14ac:dyDescent="0.25">
      <c r="A14301" s="5"/>
    </row>
    <row r="14302" spans="1:1" x14ac:dyDescent="0.25">
      <c r="A14302" s="5"/>
    </row>
    <row r="14303" spans="1:1" x14ac:dyDescent="0.25">
      <c r="A14303" s="5"/>
    </row>
    <row r="14304" spans="1:1" x14ac:dyDescent="0.25">
      <c r="A14304" s="5"/>
    </row>
    <row r="14305" spans="1:1" x14ac:dyDescent="0.25">
      <c r="A14305" s="5"/>
    </row>
    <row r="14306" spans="1:1" x14ac:dyDescent="0.25">
      <c r="A14306" s="5"/>
    </row>
    <row r="14307" spans="1:1" x14ac:dyDescent="0.25">
      <c r="A14307" s="5"/>
    </row>
    <row r="14308" spans="1:1" x14ac:dyDescent="0.25">
      <c r="A14308" s="5"/>
    </row>
    <row r="14309" spans="1:1" x14ac:dyDescent="0.25">
      <c r="A14309" s="5"/>
    </row>
    <row r="14310" spans="1:1" x14ac:dyDescent="0.25">
      <c r="A14310" s="5"/>
    </row>
    <row r="14311" spans="1:1" x14ac:dyDescent="0.25">
      <c r="A14311" s="5"/>
    </row>
    <row r="14312" spans="1:1" x14ac:dyDescent="0.25">
      <c r="A14312" s="5"/>
    </row>
    <row r="14313" spans="1:1" x14ac:dyDescent="0.25">
      <c r="A14313" s="5"/>
    </row>
    <row r="14314" spans="1:1" x14ac:dyDescent="0.25">
      <c r="A14314" s="5"/>
    </row>
    <row r="14315" spans="1:1" x14ac:dyDescent="0.25">
      <c r="A14315" s="5"/>
    </row>
    <row r="14316" spans="1:1" x14ac:dyDescent="0.25">
      <c r="A14316" s="5"/>
    </row>
    <row r="14317" spans="1:1" x14ac:dyDescent="0.25">
      <c r="A14317" s="5"/>
    </row>
    <row r="14318" spans="1:1" x14ac:dyDescent="0.25">
      <c r="A14318" s="5"/>
    </row>
    <row r="14319" spans="1:1" x14ac:dyDescent="0.25">
      <c r="A14319" s="5"/>
    </row>
    <row r="14320" spans="1:1" x14ac:dyDescent="0.25">
      <c r="A14320" s="5"/>
    </row>
    <row r="14321" spans="1:1" x14ac:dyDescent="0.25">
      <c r="A14321" s="5"/>
    </row>
    <row r="14322" spans="1:1" x14ac:dyDescent="0.25">
      <c r="A14322" s="5"/>
    </row>
    <row r="14323" spans="1:1" x14ac:dyDescent="0.25">
      <c r="A14323" s="5"/>
    </row>
    <row r="14324" spans="1:1" x14ac:dyDescent="0.25">
      <c r="A14324" s="5"/>
    </row>
    <row r="14325" spans="1:1" x14ac:dyDescent="0.25">
      <c r="A14325" s="5"/>
    </row>
    <row r="14326" spans="1:1" x14ac:dyDescent="0.25">
      <c r="A14326" s="5"/>
    </row>
    <row r="14327" spans="1:1" x14ac:dyDescent="0.25">
      <c r="A14327" s="5"/>
    </row>
    <row r="14328" spans="1:1" x14ac:dyDescent="0.25">
      <c r="A14328" s="5"/>
    </row>
    <row r="14329" spans="1:1" x14ac:dyDescent="0.25">
      <c r="A14329" s="5"/>
    </row>
    <row r="14330" spans="1:1" x14ac:dyDescent="0.25">
      <c r="A14330" s="5"/>
    </row>
    <row r="14331" spans="1:1" x14ac:dyDescent="0.25">
      <c r="A14331" s="5"/>
    </row>
    <row r="14332" spans="1:1" x14ac:dyDescent="0.25">
      <c r="A14332" s="5"/>
    </row>
    <row r="14333" spans="1:1" x14ac:dyDescent="0.25">
      <c r="A14333" s="5"/>
    </row>
    <row r="14334" spans="1:1" x14ac:dyDescent="0.25">
      <c r="A14334" s="5"/>
    </row>
    <row r="14335" spans="1:1" x14ac:dyDescent="0.25">
      <c r="A14335" s="5"/>
    </row>
    <row r="14336" spans="1:1" x14ac:dyDescent="0.25">
      <c r="A14336" s="5"/>
    </row>
    <row r="14337" spans="1:1" x14ac:dyDescent="0.25">
      <c r="A14337" s="5"/>
    </row>
    <row r="14338" spans="1:1" x14ac:dyDescent="0.25">
      <c r="A14338" s="5"/>
    </row>
    <row r="14339" spans="1:1" x14ac:dyDescent="0.25">
      <c r="A14339" s="5"/>
    </row>
    <row r="14340" spans="1:1" x14ac:dyDescent="0.25">
      <c r="A14340" s="5"/>
    </row>
    <row r="14341" spans="1:1" x14ac:dyDescent="0.25">
      <c r="A14341" s="5"/>
    </row>
    <row r="14342" spans="1:1" x14ac:dyDescent="0.25">
      <c r="A14342" s="5"/>
    </row>
    <row r="14343" spans="1:1" x14ac:dyDescent="0.25">
      <c r="A14343" s="5"/>
    </row>
    <row r="14344" spans="1:1" x14ac:dyDescent="0.25">
      <c r="A14344" s="5"/>
    </row>
    <row r="14345" spans="1:1" x14ac:dyDescent="0.25">
      <c r="A14345" s="5"/>
    </row>
    <row r="14346" spans="1:1" x14ac:dyDescent="0.25">
      <c r="A14346" s="5"/>
    </row>
    <row r="14347" spans="1:1" x14ac:dyDescent="0.25">
      <c r="A14347" s="5"/>
    </row>
    <row r="14348" spans="1:1" x14ac:dyDescent="0.25">
      <c r="A14348" s="5"/>
    </row>
    <row r="14349" spans="1:1" x14ac:dyDescent="0.25">
      <c r="A14349" s="5"/>
    </row>
    <row r="14350" spans="1:1" x14ac:dyDescent="0.25">
      <c r="A14350" s="5"/>
    </row>
    <row r="14351" spans="1:1" x14ac:dyDescent="0.25">
      <c r="A14351" s="5"/>
    </row>
    <row r="14352" spans="1:1" x14ac:dyDescent="0.25">
      <c r="A14352" s="5"/>
    </row>
    <row r="14353" spans="1:1" x14ac:dyDescent="0.25">
      <c r="A14353" s="5"/>
    </row>
    <row r="14354" spans="1:1" x14ac:dyDescent="0.25">
      <c r="A14354" s="5"/>
    </row>
    <row r="14355" spans="1:1" x14ac:dyDescent="0.25">
      <c r="A14355" s="5"/>
    </row>
    <row r="14356" spans="1:1" x14ac:dyDescent="0.25">
      <c r="A14356" s="5"/>
    </row>
    <row r="14357" spans="1:1" x14ac:dyDescent="0.25">
      <c r="A14357" s="5"/>
    </row>
    <row r="14358" spans="1:1" x14ac:dyDescent="0.25">
      <c r="A14358" s="5"/>
    </row>
    <row r="14359" spans="1:1" x14ac:dyDescent="0.25">
      <c r="A14359" s="5"/>
    </row>
    <row r="14360" spans="1:1" x14ac:dyDescent="0.25">
      <c r="A14360" s="5"/>
    </row>
    <row r="14361" spans="1:1" x14ac:dyDescent="0.25">
      <c r="A14361" s="5"/>
    </row>
    <row r="14362" spans="1:1" x14ac:dyDescent="0.25">
      <c r="A14362" s="5"/>
    </row>
    <row r="14363" spans="1:1" x14ac:dyDescent="0.25">
      <c r="A14363" s="5"/>
    </row>
    <row r="14364" spans="1:1" x14ac:dyDescent="0.25">
      <c r="A14364" s="5"/>
    </row>
    <row r="14365" spans="1:1" x14ac:dyDescent="0.25">
      <c r="A14365" s="5"/>
    </row>
    <row r="14366" spans="1:1" x14ac:dyDescent="0.25">
      <c r="A14366" s="5"/>
    </row>
    <row r="14367" spans="1:1" x14ac:dyDescent="0.25">
      <c r="A14367" s="5"/>
    </row>
    <row r="14368" spans="1:1" x14ac:dyDescent="0.25">
      <c r="A14368" s="5"/>
    </row>
    <row r="14369" spans="1:1" x14ac:dyDescent="0.25">
      <c r="A14369" s="5"/>
    </row>
    <row r="14370" spans="1:1" x14ac:dyDescent="0.25">
      <c r="A14370" s="5"/>
    </row>
    <row r="14371" spans="1:1" x14ac:dyDescent="0.25">
      <c r="A14371" s="5"/>
    </row>
    <row r="14372" spans="1:1" x14ac:dyDescent="0.25">
      <c r="A14372" s="5"/>
    </row>
    <row r="14373" spans="1:1" x14ac:dyDescent="0.25">
      <c r="A14373" s="5"/>
    </row>
    <row r="14374" spans="1:1" x14ac:dyDescent="0.25">
      <c r="A14374" s="5"/>
    </row>
    <row r="14375" spans="1:1" x14ac:dyDescent="0.25">
      <c r="A14375" s="5"/>
    </row>
    <row r="14376" spans="1:1" x14ac:dyDescent="0.25">
      <c r="A14376" s="5"/>
    </row>
    <row r="14377" spans="1:1" x14ac:dyDescent="0.25">
      <c r="A14377" s="5"/>
    </row>
    <row r="14378" spans="1:1" x14ac:dyDescent="0.25">
      <c r="A14378" s="5"/>
    </row>
    <row r="14379" spans="1:1" x14ac:dyDescent="0.25">
      <c r="A14379" s="5"/>
    </row>
    <row r="14380" spans="1:1" x14ac:dyDescent="0.25">
      <c r="A14380" s="5"/>
    </row>
    <row r="14381" spans="1:1" x14ac:dyDescent="0.25">
      <c r="A14381" s="5"/>
    </row>
    <row r="14382" spans="1:1" x14ac:dyDescent="0.25">
      <c r="A14382" s="5"/>
    </row>
    <row r="14383" spans="1:1" x14ac:dyDescent="0.25">
      <c r="A14383" s="5"/>
    </row>
    <row r="14384" spans="1:1" x14ac:dyDescent="0.25">
      <c r="A14384" s="5"/>
    </row>
    <row r="14385" spans="1:1" x14ac:dyDescent="0.25">
      <c r="A14385" s="5"/>
    </row>
    <row r="14386" spans="1:1" x14ac:dyDescent="0.25">
      <c r="A14386" s="5"/>
    </row>
    <row r="14387" spans="1:1" x14ac:dyDescent="0.25">
      <c r="A14387" s="5"/>
    </row>
    <row r="14388" spans="1:1" x14ac:dyDescent="0.25">
      <c r="A14388" s="5"/>
    </row>
    <row r="14389" spans="1:1" x14ac:dyDescent="0.25">
      <c r="A14389" s="5"/>
    </row>
    <row r="14390" spans="1:1" x14ac:dyDescent="0.25">
      <c r="A14390" s="5"/>
    </row>
    <row r="14391" spans="1:1" x14ac:dyDescent="0.25">
      <c r="A14391" s="5"/>
    </row>
    <row r="14392" spans="1:1" x14ac:dyDescent="0.25">
      <c r="A14392" s="5"/>
    </row>
    <row r="14393" spans="1:1" x14ac:dyDescent="0.25">
      <c r="A14393" s="5"/>
    </row>
    <row r="14394" spans="1:1" x14ac:dyDescent="0.25">
      <c r="A14394" s="5"/>
    </row>
    <row r="14395" spans="1:1" x14ac:dyDescent="0.25">
      <c r="A14395" s="5"/>
    </row>
    <row r="14396" spans="1:1" x14ac:dyDescent="0.25">
      <c r="A14396" s="5"/>
    </row>
    <row r="14397" spans="1:1" x14ac:dyDescent="0.25">
      <c r="A14397" s="5"/>
    </row>
    <row r="14398" spans="1:1" x14ac:dyDescent="0.25">
      <c r="A14398" s="5"/>
    </row>
    <row r="14399" spans="1:1" x14ac:dyDescent="0.25">
      <c r="A14399" s="5"/>
    </row>
    <row r="14400" spans="1:1" x14ac:dyDescent="0.25">
      <c r="A14400" s="5"/>
    </row>
    <row r="14401" spans="1:1" x14ac:dyDescent="0.25">
      <c r="A14401" s="5"/>
    </row>
    <row r="14402" spans="1:1" x14ac:dyDescent="0.25">
      <c r="A14402" s="5"/>
    </row>
    <row r="14403" spans="1:1" x14ac:dyDescent="0.25">
      <c r="A14403" s="5"/>
    </row>
    <row r="14404" spans="1:1" x14ac:dyDescent="0.25">
      <c r="A14404" s="5"/>
    </row>
    <row r="14405" spans="1:1" x14ac:dyDescent="0.25">
      <c r="A14405" s="5"/>
    </row>
    <row r="14406" spans="1:1" x14ac:dyDescent="0.25">
      <c r="A14406" s="5"/>
    </row>
    <row r="14407" spans="1:1" x14ac:dyDescent="0.25">
      <c r="A14407" s="5"/>
    </row>
    <row r="14408" spans="1:1" x14ac:dyDescent="0.25">
      <c r="A14408" s="5"/>
    </row>
    <row r="14409" spans="1:1" x14ac:dyDescent="0.25">
      <c r="A14409" s="5"/>
    </row>
    <row r="14410" spans="1:1" x14ac:dyDescent="0.25">
      <c r="A14410" s="5"/>
    </row>
    <row r="14411" spans="1:1" x14ac:dyDescent="0.25">
      <c r="A14411" s="5"/>
    </row>
    <row r="14412" spans="1:1" x14ac:dyDescent="0.25">
      <c r="A14412" s="5"/>
    </row>
    <row r="14413" spans="1:1" x14ac:dyDescent="0.25">
      <c r="A14413" s="5"/>
    </row>
    <row r="14414" spans="1:1" x14ac:dyDescent="0.25">
      <c r="A14414" s="5"/>
    </row>
    <row r="14415" spans="1:1" x14ac:dyDescent="0.25">
      <c r="A14415" s="5"/>
    </row>
    <row r="14416" spans="1:1" x14ac:dyDescent="0.25">
      <c r="A14416" s="5"/>
    </row>
    <row r="14417" spans="1:1" x14ac:dyDescent="0.25">
      <c r="A14417" s="5"/>
    </row>
    <row r="14418" spans="1:1" x14ac:dyDescent="0.25">
      <c r="A14418" s="5"/>
    </row>
    <row r="14419" spans="1:1" x14ac:dyDescent="0.25">
      <c r="A14419" s="5"/>
    </row>
    <row r="14420" spans="1:1" x14ac:dyDescent="0.25">
      <c r="A14420" s="5"/>
    </row>
    <row r="14421" spans="1:1" x14ac:dyDescent="0.25">
      <c r="A14421" s="5"/>
    </row>
    <row r="14422" spans="1:1" x14ac:dyDescent="0.25">
      <c r="A14422" s="5"/>
    </row>
    <row r="14423" spans="1:1" x14ac:dyDescent="0.25">
      <c r="A14423" s="5"/>
    </row>
    <row r="14424" spans="1:1" x14ac:dyDescent="0.25">
      <c r="A14424" s="5"/>
    </row>
    <row r="14425" spans="1:1" x14ac:dyDescent="0.25">
      <c r="A14425" s="5"/>
    </row>
    <row r="14426" spans="1:1" x14ac:dyDescent="0.25">
      <c r="A14426" s="5"/>
    </row>
    <row r="14427" spans="1:1" x14ac:dyDescent="0.25">
      <c r="A14427" s="5"/>
    </row>
    <row r="14428" spans="1:1" x14ac:dyDescent="0.25">
      <c r="A14428" s="5"/>
    </row>
    <row r="14429" spans="1:1" x14ac:dyDescent="0.25">
      <c r="A14429" s="5"/>
    </row>
    <row r="14430" spans="1:1" x14ac:dyDescent="0.25">
      <c r="A14430" s="5"/>
    </row>
    <row r="14431" spans="1:1" x14ac:dyDescent="0.25">
      <c r="A14431" s="5"/>
    </row>
    <row r="14432" spans="1:1" x14ac:dyDescent="0.25">
      <c r="A14432" s="5"/>
    </row>
    <row r="14433" spans="1:1" x14ac:dyDescent="0.25">
      <c r="A14433" s="5"/>
    </row>
    <row r="14434" spans="1:1" x14ac:dyDescent="0.25">
      <c r="A14434" s="5"/>
    </row>
    <row r="14435" spans="1:1" x14ac:dyDescent="0.25">
      <c r="A14435" s="5"/>
    </row>
    <row r="14436" spans="1:1" x14ac:dyDescent="0.25">
      <c r="A14436" s="5"/>
    </row>
    <row r="14437" spans="1:1" x14ac:dyDescent="0.25">
      <c r="A14437" s="5"/>
    </row>
    <row r="14438" spans="1:1" x14ac:dyDescent="0.25">
      <c r="A14438" s="5"/>
    </row>
    <row r="14439" spans="1:1" x14ac:dyDescent="0.25">
      <c r="A14439" s="5"/>
    </row>
    <row r="14440" spans="1:1" x14ac:dyDescent="0.25">
      <c r="A14440" s="5"/>
    </row>
    <row r="14441" spans="1:1" x14ac:dyDescent="0.25">
      <c r="A14441" s="5"/>
    </row>
    <row r="14442" spans="1:1" x14ac:dyDescent="0.25">
      <c r="A14442" s="5"/>
    </row>
    <row r="14443" spans="1:1" x14ac:dyDescent="0.25">
      <c r="A14443" s="5"/>
    </row>
    <row r="14444" spans="1:1" x14ac:dyDescent="0.25">
      <c r="A14444" s="5"/>
    </row>
    <row r="14445" spans="1:1" x14ac:dyDescent="0.25">
      <c r="A14445" s="5"/>
    </row>
    <row r="14446" spans="1:1" x14ac:dyDescent="0.25">
      <c r="A14446" s="5"/>
    </row>
    <row r="14447" spans="1:1" x14ac:dyDescent="0.25">
      <c r="A14447" s="5"/>
    </row>
    <row r="14448" spans="1:1" x14ac:dyDescent="0.25">
      <c r="A14448" s="5"/>
    </row>
    <row r="14449" spans="1:1" x14ac:dyDescent="0.25">
      <c r="A14449" s="5"/>
    </row>
    <row r="14450" spans="1:1" x14ac:dyDescent="0.25">
      <c r="A14450" s="5"/>
    </row>
    <row r="14451" spans="1:1" x14ac:dyDescent="0.25">
      <c r="A14451" s="5"/>
    </row>
    <row r="14452" spans="1:1" x14ac:dyDescent="0.25">
      <c r="A14452" s="5"/>
    </row>
    <row r="14453" spans="1:1" x14ac:dyDescent="0.25">
      <c r="A14453" s="5"/>
    </row>
    <row r="14454" spans="1:1" x14ac:dyDescent="0.25">
      <c r="A14454" s="5"/>
    </row>
    <row r="14455" spans="1:1" x14ac:dyDescent="0.25">
      <c r="A14455" s="5"/>
    </row>
    <row r="14456" spans="1:1" x14ac:dyDescent="0.25">
      <c r="A14456" s="5"/>
    </row>
    <row r="14457" spans="1:1" x14ac:dyDescent="0.25">
      <c r="A14457" s="5"/>
    </row>
    <row r="14458" spans="1:1" x14ac:dyDescent="0.25">
      <c r="A14458" s="5"/>
    </row>
    <row r="14459" spans="1:1" x14ac:dyDescent="0.25">
      <c r="A14459" s="5"/>
    </row>
    <row r="14460" spans="1:1" x14ac:dyDescent="0.25">
      <c r="A14460" s="5"/>
    </row>
    <row r="14461" spans="1:1" x14ac:dyDescent="0.25">
      <c r="A14461" s="5"/>
    </row>
    <row r="14462" spans="1:1" x14ac:dyDescent="0.25">
      <c r="A14462" s="5"/>
    </row>
    <row r="14463" spans="1:1" x14ac:dyDescent="0.25">
      <c r="A14463" s="5"/>
    </row>
    <row r="14464" spans="1:1" x14ac:dyDescent="0.25">
      <c r="A14464" s="5"/>
    </row>
    <row r="14465" spans="1:1" x14ac:dyDescent="0.25">
      <c r="A14465" s="5"/>
    </row>
    <row r="14466" spans="1:1" x14ac:dyDescent="0.25">
      <c r="A14466" s="5"/>
    </row>
    <row r="14467" spans="1:1" x14ac:dyDescent="0.25">
      <c r="A14467" s="5"/>
    </row>
    <row r="14468" spans="1:1" x14ac:dyDescent="0.25">
      <c r="A14468" s="5"/>
    </row>
    <row r="14469" spans="1:1" x14ac:dyDescent="0.25">
      <c r="A14469" s="5"/>
    </row>
    <row r="14470" spans="1:1" x14ac:dyDescent="0.25">
      <c r="A14470" s="5"/>
    </row>
    <row r="14471" spans="1:1" x14ac:dyDescent="0.25">
      <c r="A14471" s="5"/>
    </row>
    <row r="14472" spans="1:1" x14ac:dyDescent="0.25">
      <c r="A14472" s="5"/>
    </row>
    <row r="14473" spans="1:1" x14ac:dyDescent="0.25">
      <c r="A14473" s="5"/>
    </row>
    <row r="14474" spans="1:1" x14ac:dyDescent="0.25">
      <c r="A14474" s="5"/>
    </row>
    <row r="14475" spans="1:1" x14ac:dyDescent="0.25">
      <c r="A14475" s="5"/>
    </row>
    <row r="14476" spans="1:1" x14ac:dyDescent="0.25">
      <c r="A14476" s="5"/>
    </row>
    <row r="14477" spans="1:1" x14ac:dyDescent="0.25">
      <c r="A14477" s="5"/>
    </row>
    <row r="14478" spans="1:1" x14ac:dyDescent="0.25">
      <c r="A14478" s="5"/>
    </row>
    <row r="14479" spans="1:1" x14ac:dyDescent="0.25">
      <c r="A14479" s="5"/>
    </row>
    <row r="14480" spans="1:1" x14ac:dyDescent="0.25">
      <c r="A14480" s="5"/>
    </row>
    <row r="14481" spans="1:1" x14ac:dyDescent="0.25">
      <c r="A14481" s="5"/>
    </row>
    <row r="14482" spans="1:1" x14ac:dyDescent="0.25">
      <c r="A14482" s="5"/>
    </row>
    <row r="14483" spans="1:1" x14ac:dyDescent="0.25">
      <c r="A14483" s="5"/>
    </row>
    <row r="14484" spans="1:1" x14ac:dyDescent="0.25">
      <c r="A14484" s="5"/>
    </row>
    <row r="14485" spans="1:1" x14ac:dyDescent="0.25">
      <c r="A14485" s="5"/>
    </row>
    <row r="14486" spans="1:1" x14ac:dyDescent="0.25">
      <c r="A14486" s="5"/>
    </row>
    <row r="14487" spans="1:1" x14ac:dyDescent="0.25">
      <c r="A14487" s="5"/>
    </row>
    <row r="14488" spans="1:1" x14ac:dyDescent="0.25">
      <c r="A14488" s="5"/>
    </row>
    <row r="14489" spans="1:1" x14ac:dyDescent="0.25">
      <c r="A14489" s="5"/>
    </row>
    <row r="14490" spans="1:1" x14ac:dyDescent="0.25">
      <c r="A14490" s="5"/>
    </row>
    <row r="14491" spans="1:1" x14ac:dyDescent="0.25">
      <c r="A14491" s="5"/>
    </row>
    <row r="14492" spans="1:1" x14ac:dyDescent="0.25">
      <c r="A14492" s="5"/>
    </row>
    <row r="14493" spans="1:1" x14ac:dyDescent="0.25">
      <c r="A14493" s="5"/>
    </row>
    <row r="14494" spans="1:1" x14ac:dyDescent="0.25">
      <c r="A14494" s="5"/>
    </row>
    <row r="14495" spans="1:1" x14ac:dyDescent="0.25">
      <c r="A14495" s="5"/>
    </row>
    <row r="14496" spans="1:1" x14ac:dyDescent="0.25">
      <c r="A14496" s="5"/>
    </row>
    <row r="14497" spans="1:1" x14ac:dyDescent="0.25">
      <c r="A14497" s="5"/>
    </row>
    <row r="14498" spans="1:1" x14ac:dyDescent="0.25">
      <c r="A14498" s="5"/>
    </row>
    <row r="14499" spans="1:1" x14ac:dyDescent="0.25">
      <c r="A14499" s="5"/>
    </row>
    <row r="14500" spans="1:1" x14ac:dyDescent="0.25">
      <c r="A14500" s="5"/>
    </row>
    <row r="14501" spans="1:1" x14ac:dyDescent="0.25">
      <c r="A14501" s="5"/>
    </row>
    <row r="14502" spans="1:1" x14ac:dyDescent="0.25">
      <c r="A14502" s="5"/>
    </row>
    <row r="14503" spans="1:1" x14ac:dyDescent="0.25">
      <c r="A14503" s="5"/>
    </row>
    <row r="14504" spans="1:1" x14ac:dyDescent="0.25">
      <c r="A14504" s="5"/>
    </row>
    <row r="14505" spans="1:1" x14ac:dyDescent="0.25">
      <c r="A14505" s="5"/>
    </row>
    <row r="14506" spans="1:1" x14ac:dyDescent="0.25">
      <c r="A14506" s="5"/>
    </row>
    <row r="14507" spans="1:1" x14ac:dyDescent="0.25">
      <c r="A14507" s="5"/>
    </row>
    <row r="14508" spans="1:1" x14ac:dyDescent="0.25">
      <c r="A14508" s="5"/>
    </row>
    <row r="14509" spans="1:1" x14ac:dyDescent="0.25">
      <c r="A14509" s="5"/>
    </row>
    <row r="14510" spans="1:1" x14ac:dyDescent="0.25">
      <c r="A14510" s="5"/>
    </row>
    <row r="14511" spans="1:1" x14ac:dyDescent="0.25">
      <c r="A14511" s="5"/>
    </row>
    <row r="14512" spans="1:1" x14ac:dyDescent="0.25">
      <c r="A14512" s="5"/>
    </row>
    <row r="14513" spans="1:1" x14ac:dyDescent="0.25">
      <c r="A14513" s="5"/>
    </row>
    <row r="14514" spans="1:1" x14ac:dyDescent="0.25">
      <c r="A14514" s="5"/>
    </row>
    <row r="14515" spans="1:1" x14ac:dyDescent="0.25">
      <c r="A14515" s="5"/>
    </row>
    <row r="14516" spans="1:1" x14ac:dyDescent="0.25">
      <c r="A14516" s="5"/>
    </row>
    <row r="14517" spans="1:1" x14ac:dyDescent="0.25">
      <c r="A14517" s="5"/>
    </row>
    <row r="14518" spans="1:1" x14ac:dyDescent="0.25">
      <c r="A14518" s="5"/>
    </row>
    <row r="14519" spans="1:1" x14ac:dyDescent="0.25">
      <c r="A14519" s="5"/>
    </row>
    <row r="14520" spans="1:1" x14ac:dyDescent="0.25">
      <c r="A14520" s="5"/>
    </row>
    <row r="14521" spans="1:1" x14ac:dyDescent="0.25">
      <c r="A14521" s="5"/>
    </row>
    <row r="14522" spans="1:1" x14ac:dyDescent="0.25">
      <c r="A14522" s="5"/>
    </row>
    <row r="14523" spans="1:1" x14ac:dyDescent="0.25">
      <c r="A14523" s="5"/>
    </row>
    <row r="14524" spans="1:1" x14ac:dyDescent="0.25">
      <c r="A14524" s="5"/>
    </row>
    <row r="14525" spans="1:1" x14ac:dyDescent="0.25">
      <c r="A14525" s="5"/>
    </row>
    <row r="14526" spans="1:1" x14ac:dyDescent="0.25">
      <c r="A14526" s="5"/>
    </row>
    <row r="14527" spans="1:1" x14ac:dyDescent="0.25">
      <c r="A14527" s="5"/>
    </row>
    <row r="14528" spans="1:1" x14ac:dyDescent="0.25">
      <c r="A14528" s="5"/>
    </row>
    <row r="14529" spans="1:1" x14ac:dyDescent="0.25">
      <c r="A14529" s="5"/>
    </row>
    <row r="14530" spans="1:1" x14ac:dyDescent="0.25">
      <c r="A14530" s="5"/>
    </row>
    <row r="14531" spans="1:1" x14ac:dyDescent="0.25">
      <c r="A14531" s="5"/>
    </row>
    <row r="14532" spans="1:1" x14ac:dyDescent="0.25">
      <c r="A14532" s="5"/>
    </row>
    <row r="14533" spans="1:1" x14ac:dyDescent="0.25">
      <c r="A14533" s="5"/>
    </row>
    <row r="14534" spans="1:1" x14ac:dyDescent="0.25">
      <c r="A14534" s="5"/>
    </row>
    <row r="14535" spans="1:1" x14ac:dyDescent="0.25">
      <c r="A14535" s="5"/>
    </row>
    <row r="14536" spans="1:1" x14ac:dyDescent="0.25">
      <c r="A14536" s="5"/>
    </row>
    <row r="14537" spans="1:1" x14ac:dyDescent="0.25">
      <c r="A14537" s="5"/>
    </row>
    <row r="14538" spans="1:1" x14ac:dyDescent="0.25">
      <c r="A14538" s="5"/>
    </row>
    <row r="14539" spans="1:1" x14ac:dyDescent="0.25">
      <c r="A14539" s="5"/>
    </row>
    <row r="14540" spans="1:1" x14ac:dyDescent="0.25">
      <c r="A14540" s="5"/>
    </row>
    <row r="14541" spans="1:1" x14ac:dyDescent="0.25">
      <c r="A14541" s="5"/>
    </row>
    <row r="14542" spans="1:1" x14ac:dyDescent="0.25">
      <c r="A14542" s="5"/>
    </row>
    <row r="14543" spans="1:1" x14ac:dyDescent="0.25">
      <c r="A14543" s="5"/>
    </row>
    <row r="14544" spans="1:1" x14ac:dyDescent="0.25">
      <c r="A14544" s="5"/>
    </row>
    <row r="14545" spans="1:1" x14ac:dyDescent="0.25">
      <c r="A14545" s="5"/>
    </row>
    <row r="14546" spans="1:1" x14ac:dyDescent="0.25">
      <c r="A14546" s="5"/>
    </row>
    <row r="14547" spans="1:1" x14ac:dyDescent="0.25">
      <c r="A14547" s="5"/>
    </row>
    <row r="14548" spans="1:1" x14ac:dyDescent="0.25">
      <c r="A14548" s="5"/>
    </row>
    <row r="14549" spans="1:1" x14ac:dyDescent="0.25">
      <c r="A14549" s="5"/>
    </row>
    <row r="14550" spans="1:1" x14ac:dyDescent="0.25">
      <c r="A14550" s="5"/>
    </row>
    <row r="14551" spans="1:1" x14ac:dyDescent="0.25">
      <c r="A14551" s="5"/>
    </row>
    <row r="14552" spans="1:1" x14ac:dyDescent="0.25">
      <c r="A14552" s="5"/>
    </row>
    <row r="14553" spans="1:1" x14ac:dyDescent="0.25">
      <c r="A14553" s="5"/>
    </row>
    <row r="14554" spans="1:1" x14ac:dyDescent="0.25">
      <c r="A14554" s="5"/>
    </row>
    <row r="14555" spans="1:1" x14ac:dyDescent="0.25">
      <c r="A14555" s="5"/>
    </row>
    <row r="14556" spans="1:1" x14ac:dyDescent="0.25">
      <c r="A14556" s="5"/>
    </row>
    <row r="14557" spans="1:1" x14ac:dyDescent="0.25">
      <c r="A14557" s="5"/>
    </row>
    <row r="14558" spans="1:1" x14ac:dyDescent="0.25">
      <c r="A14558" s="5"/>
    </row>
    <row r="14559" spans="1:1" x14ac:dyDescent="0.25">
      <c r="A14559" s="5"/>
    </row>
    <row r="14560" spans="1:1" x14ac:dyDescent="0.25">
      <c r="A14560" s="5"/>
    </row>
    <row r="14561" spans="1:1" x14ac:dyDescent="0.25">
      <c r="A14561" s="5"/>
    </row>
    <row r="14562" spans="1:1" x14ac:dyDescent="0.25">
      <c r="A14562" s="5"/>
    </row>
    <row r="14563" spans="1:1" x14ac:dyDescent="0.25">
      <c r="A14563" s="5"/>
    </row>
    <row r="14564" spans="1:1" x14ac:dyDescent="0.25">
      <c r="A14564" s="5"/>
    </row>
    <row r="14565" spans="1:1" x14ac:dyDescent="0.25">
      <c r="A14565" s="5"/>
    </row>
    <row r="14566" spans="1:1" x14ac:dyDescent="0.25">
      <c r="A14566" s="5"/>
    </row>
    <row r="14567" spans="1:1" x14ac:dyDescent="0.25">
      <c r="A14567" s="5"/>
    </row>
    <row r="14568" spans="1:1" x14ac:dyDescent="0.25">
      <c r="A14568" s="5"/>
    </row>
    <row r="14569" spans="1:1" x14ac:dyDescent="0.25">
      <c r="A14569" s="5"/>
    </row>
    <row r="14570" spans="1:1" x14ac:dyDescent="0.25">
      <c r="A14570" s="5"/>
    </row>
    <row r="14571" spans="1:1" x14ac:dyDescent="0.25">
      <c r="A14571" s="5"/>
    </row>
    <row r="14572" spans="1:1" x14ac:dyDescent="0.25">
      <c r="A14572" s="5"/>
    </row>
    <row r="14573" spans="1:1" x14ac:dyDescent="0.25">
      <c r="A14573" s="5"/>
    </row>
    <row r="14574" spans="1:1" x14ac:dyDescent="0.25">
      <c r="A14574" s="5"/>
    </row>
    <row r="14575" spans="1:1" x14ac:dyDescent="0.25">
      <c r="A14575" s="5"/>
    </row>
    <row r="14576" spans="1:1" x14ac:dyDescent="0.25">
      <c r="A14576" s="5"/>
    </row>
    <row r="14577" spans="1:1" x14ac:dyDescent="0.25">
      <c r="A14577" s="5"/>
    </row>
    <row r="14578" spans="1:1" x14ac:dyDescent="0.25">
      <c r="A14578" s="5"/>
    </row>
    <row r="14579" spans="1:1" x14ac:dyDescent="0.25">
      <c r="A14579" s="5"/>
    </row>
    <row r="14580" spans="1:1" x14ac:dyDescent="0.25">
      <c r="A14580" s="5"/>
    </row>
    <row r="14581" spans="1:1" x14ac:dyDescent="0.25">
      <c r="A14581" s="5"/>
    </row>
    <row r="14582" spans="1:1" x14ac:dyDescent="0.25">
      <c r="A14582" s="5"/>
    </row>
    <row r="14583" spans="1:1" x14ac:dyDescent="0.25">
      <c r="A14583" s="5"/>
    </row>
    <row r="14584" spans="1:1" x14ac:dyDescent="0.25">
      <c r="A14584" s="5"/>
    </row>
    <row r="14585" spans="1:1" x14ac:dyDescent="0.25">
      <c r="A14585" s="5"/>
    </row>
    <row r="14586" spans="1:1" x14ac:dyDescent="0.25">
      <c r="A14586" s="5"/>
    </row>
    <row r="14587" spans="1:1" x14ac:dyDescent="0.25">
      <c r="A14587" s="5"/>
    </row>
    <row r="14588" spans="1:1" x14ac:dyDescent="0.25">
      <c r="A14588" s="5"/>
    </row>
    <row r="14589" spans="1:1" x14ac:dyDescent="0.25">
      <c r="A14589" s="5"/>
    </row>
    <row r="14590" spans="1:1" x14ac:dyDescent="0.25">
      <c r="A14590" s="5"/>
    </row>
    <row r="14591" spans="1:1" x14ac:dyDescent="0.25">
      <c r="A14591" s="5"/>
    </row>
    <row r="14592" spans="1:1" x14ac:dyDescent="0.25">
      <c r="A14592" s="5"/>
    </row>
    <row r="14593" spans="1:1" x14ac:dyDescent="0.25">
      <c r="A14593" s="5"/>
    </row>
    <row r="14594" spans="1:1" x14ac:dyDescent="0.25">
      <c r="A14594" s="5"/>
    </row>
    <row r="14595" spans="1:1" x14ac:dyDescent="0.25">
      <c r="A14595" s="5"/>
    </row>
    <row r="14596" spans="1:1" x14ac:dyDescent="0.25">
      <c r="A14596" s="5"/>
    </row>
    <row r="14597" spans="1:1" x14ac:dyDescent="0.25">
      <c r="A14597" s="5"/>
    </row>
    <row r="14598" spans="1:1" x14ac:dyDescent="0.25">
      <c r="A14598" s="5"/>
    </row>
    <row r="14599" spans="1:1" x14ac:dyDescent="0.25">
      <c r="A14599" s="5"/>
    </row>
    <row r="14600" spans="1:1" x14ac:dyDescent="0.25">
      <c r="A14600" s="5"/>
    </row>
    <row r="14601" spans="1:1" x14ac:dyDescent="0.25">
      <c r="A14601" s="5"/>
    </row>
    <row r="14602" spans="1:1" x14ac:dyDescent="0.25">
      <c r="A14602" s="5"/>
    </row>
    <row r="14603" spans="1:1" x14ac:dyDescent="0.25">
      <c r="A14603" s="5"/>
    </row>
    <row r="14604" spans="1:1" x14ac:dyDescent="0.25">
      <c r="A14604" s="5"/>
    </row>
    <row r="14605" spans="1:1" x14ac:dyDescent="0.25">
      <c r="A14605" s="5"/>
    </row>
    <row r="14606" spans="1:1" x14ac:dyDescent="0.25">
      <c r="A14606" s="5"/>
    </row>
    <row r="14607" spans="1:1" x14ac:dyDescent="0.25">
      <c r="A14607" s="5"/>
    </row>
    <row r="14608" spans="1:1" x14ac:dyDescent="0.25">
      <c r="A14608" s="5"/>
    </row>
    <row r="14609" spans="1:1" x14ac:dyDescent="0.25">
      <c r="A14609" s="5"/>
    </row>
    <row r="14610" spans="1:1" x14ac:dyDescent="0.25">
      <c r="A14610" s="5"/>
    </row>
    <row r="14611" spans="1:1" x14ac:dyDescent="0.25">
      <c r="A14611" s="5"/>
    </row>
    <row r="14612" spans="1:1" x14ac:dyDescent="0.25">
      <c r="A14612" s="5"/>
    </row>
    <row r="14613" spans="1:1" x14ac:dyDescent="0.25">
      <c r="A14613" s="5"/>
    </row>
    <row r="14614" spans="1:1" x14ac:dyDescent="0.25">
      <c r="A14614" s="5"/>
    </row>
    <row r="14615" spans="1:1" x14ac:dyDescent="0.25">
      <c r="A14615" s="5"/>
    </row>
    <row r="14616" spans="1:1" x14ac:dyDescent="0.25">
      <c r="A14616" s="5"/>
    </row>
    <row r="14617" spans="1:1" x14ac:dyDescent="0.25">
      <c r="A14617" s="5"/>
    </row>
    <row r="14618" spans="1:1" x14ac:dyDescent="0.25">
      <c r="A14618" s="5"/>
    </row>
    <row r="14619" spans="1:1" x14ac:dyDescent="0.25">
      <c r="A14619" s="5"/>
    </row>
    <row r="14620" spans="1:1" x14ac:dyDescent="0.25">
      <c r="A14620" s="5"/>
    </row>
    <row r="14621" spans="1:1" x14ac:dyDescent="0.25">
      <c r="A14621" s="5"/>
    </row>
    <row r="14622" spans="1:1" x14ac:dyDescent="0.25">
      <c r="A14622" s="5"/>
    </row>
    <row r="14623" spans="1:1" x14ac:dyDescent="0.25">
      <c r="A14623" s="5"/>
    </row>
    <row r="14624" spans="1:1" x14ac:dyDescent="0.25">
      <c r="A14624" s="5"/>
    </row>
    <row r="14625" spans="1:1" x14ac:dyDescent="0.25">
      <c r="A14625" s="5"/>
    </row>
    <row r="14626" spans="1:1" x14ac:dyDescent="0.25">
      <c r="A14626" s="5"/>
    </row>
    <row r="14627" spans="1:1" x14ac:dyDescent="0.25">
      <c r="A14627" s="5"/>
    </row>
    <row r="14628" spans="1:1" x14ac:dyDescent="0.25">
      <c r="A14628" s="5"/>
    </row>
    <row r="14629" spans="1:1" x14ac:dyDescent="0.25">
      <c r="A14629" s="5"/>
    </row>
    <row r="14630" spans="1:1" x14ac:dyDescent="0.25">
      <c r="A14630" s="5"/>
    </row>
    <row r="14631" spans="1:1" x14ac:dyDescent="0.25">
      <c r="A14631" s="5"/>
    </row>
    <row r="14632" spans="1:1" x14ac:dyDescent="0.25">
      <c r="A14632" s="5"/>
    </row>
    <row r="14633" spans="1:1" x14ac:dyDescent="0.25">
      <c r="A14633" s="5"/>
    </row>
    <row r="14634" spans="1:1" x14ac:dyDescent="0.25">
      <c r="A14634" s="5"/>
    </row>
    <row r="14635" spans="1:1" x14ac:dyDescent="0.25">
      <c r="A14635" s="5"/>
    </row>
    <row r="14636" spans="1:1" x14ac:dyDescent="0.25">
      <c r="A14636" s="5"/>
    </row>
    <row r="14637" spans="1:1" x14ac:dyDescent="0.25">
      <c r="A14637" s="5"/>
    </row>
    <row r="14638" spans="1:1" x14ac:dyDescent="0.25">
      <c r="A14638" s="5"/>
    </row>
    <row r="14639" spans="1:1" x14ac:dyDescent="0.25">
      <c r="A14639" s="5"/>
    </row>
    <row r="14640" spans="1:1" x14ac:dyDescent="0.25">
      <c r="A14640" s="5"/>
    </row>
    <row r="14641" spans="1:1" x14ac:dyDescent="0.25">
      <c r="A14641" s="5"/>
    </row>
    <row r="14642" spans="1:1" x14ac:dyDescent="0.25">
      <c r="A14642" s="5"/>
    </row>
    <row r="14643" spans="1:1" x14ac:dyDescent="0.25">
      <c r="A14643" s="5"/>
    </row>
    <row r="14644" spans="1:1" x14ac:dyDescent="0.25">
      <c r="A14644" s="5"/>
    </row>
    <row r="14645" spans="1:1" x14ac:dyDescent="0.25">
      <c r="A14645" s="5"/>
    </row>
    <row r="14646" spans="1:1" x14ac:dyDescent="0.25">
      <c r="A14646" s="5"/>
    </row>
    <row r="14647" spans="1:1" x14ac:dyDescent="0.25">
      <c r="A14647" s="5"/>
    </row>
    <row r="14648" spans="1:1" x14ac:dyDescent="0.25">
      <c r="A14648" s="5"/>
    </row>
    <row r="14649" spans="1:1" x14ac:dyDescent="0.25">
      <c r="A14649" s="5"/>
    </row>
    <row r="14650" spans="1:1" x14ac:dyDescent="0.25">
      <c r="A14650" s="5"/>
    </row>
    <row r="14651" spans="1:1" x14ac:dyDescent="0.25">
      <c r="A14651" s="5"/>
    </row>
    <row r="14652" spans="1:1" x14ac:dyDescent="0.25">
      <c r="A14652" s="5"/>
    </row>
    <row r="14653" spans="1:1" x14ac:dyDescent="0.25">
      <c r="A14653" s="5"/>
    </row>
    <row r="14654" spans="1:1" x14ac:dyDescent="0.25">
      <c r="A14654" s="5"/>
    </row>
    <row r="14655" spans="1:1" x14ac:dyDescent="0.25">
      <c r="A14655" s="5"/>
    </row>
    <row r="14656" spans="1:1" x14ac:dyDescent="0.25">
      <c r="A14656" s="5"/>
    </row>
    <row r="14657" spans="1:1" x14ac:dyDescent="0.25">
      <c r="A14657" s="5"/>
    </row>
    <row r="14658" spans="1:1" x14ac:dyDescent="0.25">
      <c r="A14658" s="5"/>
    </row>
    <row r="14659" spans="1:1" x14ac:dyDescent="0.25">
      <c r="A14659" s="5"/>
    </row>
    <row r="14660" spans="1:1" x14ac:dyDescent="0.25">
      <c r="A14660" s="5"/>
    </row>
    <row r="14661" spans="1:1" x14ac:dyDescent="0.25">
      <c r="A14661" s="5"/>
    </row>
    <row r="14662" spans="1:1" x14ac:dyDescent="0.25">
      <c r="A14662" s="5"/>
    </row>
    <row r="14663" spans="1:1" x14ac:dyDescent="0.25">
      <c r="A14663" s="5"/>
    </row>
    <row r="14664" spans="1:1" x14ac:dyDescent="0.25">
      <c r="A14664" s="5"/>
    </row>
    <row r="14665" spans="1:1" x14ac:dyDescent="0.25">
      <c r="A14665" s="5"/>
    </row>
    <row r="14666" spans="1:1" x14ac:dyDescent="0.25">
      <c r="A14666" s="5"/>
    </row>
    <row r="14667" spans="1:1" x14ac:dyDescent="0.25">
      <c r="A14667" s="5"/>
    </row>
    <row r="14668" spans="1:1" x14ac:dyDescent="0.25">
      <c r="A14668" s="5"/>
    </row>
    <row r="14669" spans="1:1" x14ac:dyDescent="0.25">
      <c r="A14669" s="5"/>
    </row>
    <row r="14670" spans="1:1" x14ac:dyDescent="0.25">
      <c r="A14670" s="5"/>
    </row>
    <row r="14671" spans="1:1" x14ac:dyDescent="0.25">
      <c r="A14671" s="5"/>
    </row>
    <row r="14672" spans="1:1" x14ac:dyDescent="0.25">
      <c r="A14672" s="5"/>
    </row>
    <row r="14673" spans="1:1" x14ac:dyDescent="0.25">
      <c r="A14673" s="5"/>
    </row>
    <row r="14674" spans="1:1" x14ac:dyDescent="0.25">
      <c r="A14674" s="5"/>
    </row>
    <row r="14675" spans="1:1" x14ac:dyDescent="0.25">
      <c r="A14675" s="5"/>
    </row>
    <row r="14676" spans="1:1" x14ac:dyDescent="0.25">
      <c r="A14676" s="5"/>
    </row>
    <row r="14677" spans="1:1" x14ac:dyDescent="0.25">
      <c r="A14677" s="5"/>
    </row>
    <row r="14678" spans="1:1" x14ac:dyDescent="0.25">
      <c r="A14678" s="5"/>
    </row>
    <row r="14679" spans="1:1" x14ac:dyDescent="0.25">
      <c r="A14679" s="5"/>
    </row>
    <row r="14680" spans="1:1" x14ac:dyDescent="0.25">
      <c r="A14680" s="5"/>
    </row>
    <row r="14681" spans="1:1" x14ac:dyDescent="0.25">
      <c r="A14681" s="5"/>
    </row>
    <row r="14682" spans="1:1" x14ac:dyDescent="0.25">
      <c r="A14682" s="5"/>
    </row>
    <row r="14683" spans="1:1" x14ac:dyDescent="0.25">
      <c r="A14683" s="5"/>
    </row>
    <row r="14684" spans="1:1" x14ac:dyDescent="0.25">
      <c r="A14684" s="5"/>
    </row>
    <row r="14685" spans="1:1" x14ac:dyDescent="0.25">
      <c r="A14685" s="5"/>
    </row>
    <row r="14686" spans="1:1" x14ac:dyDescent="0.25">
      <c r="A14686" s="5"/>
    </row>
    <row r="14687" spans="1:1" x14ac:dyDescent="0.25">
      <c r="A14687" s="5"/>
    </row>
    <row r="14688" spans="1:1" x14ac:dyDescent="0.25">
      <c r="A14688" s="5"/>
    </row>
    <row r="14689" spans="1:1" x14ac:dyDescent="0.25">
      <c r="A14689" s="5"/>
    </row>
    <row r="14690" spans="1:1" x14ac:dyDescent="0.25">
      <c r="A14690" s="5"/>
    </row>
    <row r="14691" spans="1:1" x14ac:dyDescent="0.25">
      <c r="A14691" s="5"/>
    </row>
    <row r="14692" spans="1:1" x14ac:dyDescent="0.25">
      <c r="A14692" s="5"/>
    </row>
    <row r="14693" spans="1:1" x14ac:dyDescent="0.25">
      <c r="A14693" s="5"/>
    </row>
    <row r="14694" spans="1:1" x14ac:dyDescent="0.25">
      <c r="A14694" s="5"/>
    </row>
    <row r="14695" spans="1:1" x14ac:dyDescent="0.25">
      <c r="A14695" s="5"/>
    </row>
    <row r="14696" spans="1:1" x14ac:dyDescent="0.25">
      <c r="A14696" s="5"/>
    </row>
    <row r="14697" spans="1:1" x14ac:dyDescent="0.25">
      <c r="A14697" s="5"/>
    </row>
    <row r="14698" spans="1:1" x14ac:dyDescent="0.25">
      <c r="A14698" s="5"/>
    </row>
    <row r="14699" spans="1:1" x14ac:dyDescent="0.25">
      <c r="A14699" s="5"/>
    </row>
    <row r="14700" spans="1:1" x14ac:dyDescent="0.25">
      <c r="A14700" s="5"/>
    </row>
    <row r="14701" spans="1:1" x14ac:dyDescent="0.25">
      <c r="A14701" s="5"/>
    </row>
    <row r="14702" spans="1:1" x14ac:dyDescent="0.25">
      <c r="A14702" s="5"/>
    </row>
    <row r="14703" spans="1:1" x14ac:dyDescent="0.25">
      <c r="A14703" s="5"/>
    </row>
    <row r="14704" spans="1:1" x14ac:dyDescent="0.25">
      <c r="A14704" s="5"/>
    </row>
    <row r="14705" spans="1:1" x14ac:dyDescent="0.25">
      <c r="A14705" s="5"/>
    </row>
    <row r="14706" spans="1:1" x14ac:dyDescent="0.25">
      <c r="A14706" s="5"/>
    </row>
    <row r="14707" spans="1:1" x14ac:dyDescent="0.25">
      <c r="A14707" s="5"/>
    </row>
    <row r="14708" spans="1:1" x14ac:dyDescent="0.25">
      <c r="A14708" s="5"/>
    </row>
    <row r="14709" spans="1:1" x14ac:dyDescent="0.25">
      <c r="A14709" s="5"/>
    </row>
    <row r="14710" spans="1:1" x14ac:dyDescent="0.25">
      <c r="A14710" s="5"/>
    </row>
    <row r="14711" spans="1:1" x14ac:dyDescent="0.25">
      <c r="A14711" s="5"/>
    </row>
    <row r="14712" spans="1:1" x14ac:dyDescent="0.25">
      <c r="A14712" s="5"/>
    </row>
    <row r="14713" spans="1:1" x14ac:dyDescent="0.25">
      <c r="A14713" s="5"/>
    </row>
    <row r="14714" spans="1:1" x14ac:dyDescent="0.25">
      <c r="A14714" s="5"/>
    </row>
    <row r="14715" spans="1:1" x14ac:dyDescent="0.25">
      <c r="A14715" s="5"/>
    </row>
    <row r="14716" spans="1:1" x14ac:dyDescent="0.25">
      <c r="A14716" s="5"/>
    </row>
    <row r="14717" spans="1:1" x14ac:dyDescent="0.25">
      <c r="A14717" s="5"/>
    </row>
    <row r="14718" spans="1:1" x14ac:dyDescent="0.25">
      <c r="A14718" s="5"/>
    </row>
    <row r="14719" spans="1:1" x14ac:dyDescent="0.25">
      <c r="A14719" s="5"/>
    </row>
    <row r="14720" spans="1:1" x14ac:dyDescent="0.25">
      <c r="A14720" s="5"/>
    </row>
    <row r="14721" spans="1:1" x14ac:dyDescent="0.25">
      <c r="A14721" s="5"/>
    </row>
    <row r="14722" spans="1:1" x14ac:dyDescent="0.25">
      <c r="A14722" s="5"/>
    </row>
    <row r="14723" spans="1:1" x14ac:dyDescent="0.25">
      <c r="A14723" s="5"/>
    </row>
    <row r="14724" spans="1:1" x14ac:dyDescent="0.25">
      <c r="A14724" s="5"/>
    </row>
    <row r="14725" spans="1:1" x14ac:dyDescent="0.25">
      <c r="A14725" s="5"/>
    </row>
    <row r="14726" spans="1:1" x14ac:dyDescent="0.25">
      <c r="A14726" s="5"/>
    </row>
    <row r="14727" spans="1:1" x14ac:dyDescent="0.25">
      <c r="A14727" s="5"/>
    </row>
    <row r="14728" spans="1:1" x14ac:dyDescent="0.25">
      <c r="A14728" s="5"/>
    </row>
    <row r="14729" spans="1:1" x14ac:dyDescent="0.25">
      <c r="A14729" s="5"/>
    </row>
    <row r="14730" spans="1:1" x14ac:dyDescent="0.25">
      <c r="A14730" s="5"/>
    </row>
    <row r="14731" spans="1:1" x14ac:dyDescent="0.25">
      <c r="A14731" s="5"/>
    </row>
    <row r="14732" spans="1:1" x14ac:dyDescent="0.25">
      <c r="A14732" s="5"/>
    </row>
    <row r="14733" spans="1:1" x14ac:dyDescent="0.25">
      <c r="A14733" s="5"/>
    </row>
    <row r="14734" spans="1:1" x14ac:dyDescent="0.25">
      <c r="A14734" s="5"/>
    </row>
    <row r="14735" spans="1:1" x14ac:dyDescent="0.25">
      <c r="A14735" s="5"/>
    </row>
    <row r="14736" spans="1:1" x14ac:dyDescent="0.25">
      <c r="A14736" s="5"/>
    </row>
    <row r="14737" spans="1:1" x14ac:dyDescent="0.25">
      <c r="A14737" s="5"/>
    </row>
    <row r="14738" spans="1:1" x14ac:dyDescent="0.25">
      <c r="A14738" s="5"/>
    </row>
    <row r="14739" spans="1:1" x14ac:dyDescent="0.25">
      <c r="A14739" s="5"/>
    </row>
    <row r="14740" spans="1:1" x14ac:dyDescent="0.25">
      <c r="A14740" s="5"/>
    </row>
    <row r="14741" spans="1:1" x14ac:dyDescent="0.25">
      <c r="A14741" s="5"/>
    </row>
    <row r="14742" spans="1:1" x14ac:dyDescent="0.25">
      <c r="A14742" s="5"/>
    </row>
    <row r="14743" spans="1:1" x14ac:dyDescent="0.25">
      <c r="A14743" s="5"/>
    </row>
    <row r="14744" spans="1:1" x14ac:dyDescent="0.25">
      <c r="A14744" s="5"/>
    </row>
    <row r="14745" spans="1:1" x14ac:dyDescent="0.25">
      <c r="A14745" s="5"/>
    </row>
    <row r="14746" spans="1:1" x14ac:dyDescent="0.25">
      <c r="A14746" s="5"/>
    </row>
    <row r="14747" spans="1:1" x14ac:dyDescent="0.25">
      <c r="A14747" s="5"/>
    </row>
    <row r="14748" spans="1:1" x14ac:dyDescent="0.25">
      <c r="A14748" s="5"/>
    </row>
    <row r="14749" spans="1:1" x14ac:dyDescent="0.25">
      <c r="A14749" s="5"/>
    </row>
    <row r="14750" spans="1:1" x14ac:dyDescent="0.25">
      <c r="A14750" s="5"/>
    </row>
    <row r="14751" spans="1:1" x14ac:dyDescent="0.25">
      <c r="A14751" s="5"/>
    </row>
    <row r="14752" spans="1:1" x14ac:dyDescent="0.25">
      <c r="A14752" s="5"/>
    </row>
    <row r="14753" spans="1:1" x14ac:dyDescent="0.25">
      <c r="A14753" s="5"/>
    </row>
    <row r="14754" spans="1:1" x14ac:dyDescent="0.25">
      <c r="A14754" s="5"/>
    </row>
    <row r="14755" spans="1:1" x14ac:dyDescent="0.25">
      <c r="A14755" s="5"/>
    </row>
    <row r="14756" spans="1:1" x14ac:dyDescent="0.25">
      <c r="A14756" s="5"/>
    </row>
    <row r="14757" spans="1:1" x14ac:dyDescent="0.25">
      <c r="A14757" s="5"/>
    </row>
    <row r="14758" spans="1:1" x14ac:dyDescent="0.25">
      <c r="A14758" s="5"/>
    </row>
    <row r="14759" spans="1:1" x14ac:dyDescent="0.25">
      <c r="A14759" s="5"/>
    </row>
    <row r="14760" spans="1:1" x14ac:dyDescent="0.25">
      <c r="A14760" s="5"/>
    </row>
    <row r="14761" spans="1:1" x14ac:dyDescent="0.25">
      <c r="A14761" s="5"/>
    </row>
    <row r="14762" spans="1:1" x14ac:dyDescent="0.25">
      <c r="A14762" s="5"/>
    </row>
    <row r="14763" spans="1:1" x14ac:dyDescent="0.25">
      <c r="A14763" s="5"/>
    </row>
    <row r="14764" spans="1:1" x14ac:dyDescent="0.25">
      <c r="A14764" s="5"/>
    </row>
    <row r="14765" spans="1:1" x14ac:dyDescent="0.25">
      <c r="A14765" s="5"/>
    </row>
    <row r="14766" spans="1:1" x14ac:dyDescent="0.25">
      <c r="A14766" s="5"/>
    </row>
    <row r="14767" spans="1:1" x14ac:dyDescent="0.25">
      <c r="A14767" s="5"/>
    </row>
    <row r="14768" spans="1:1" x14ac:dyDescent="0.25">
      <c r="A14768" s="5"/>
    </row>
    <row r="14769" spans="1:1" x14ac:dyDescent="0.25">
      <c r="A14769" s="5"/>
    </row>
    <row r="14770" spans="1:1" x14ac:dyDescent="0.25">
      <c r="A14770" s="5"/>
    </row>
    <row r="14771" spans="1:1" x14ac:dyDescent="0.25">
      <c r="A14771" s="5"/>
    </row>
    <row r="14772" spans="1:1" x14ac:dyDescent="0.25">
      <c r="A14772" s="5"/>
    </row>
    <row r="14773" spans="1:1" x14ac:dyDescent="0.25">
      <c r="A14773" s="5"/>
    </row>
    <row r="14774" spans="1:1" x14ac:dyDescent="0.25">
      <c r="A14774" s="5"/>
    </row>
    <row r="14775" spans="1:1" x14ac:dyDescent="0.25">
      <c r="A14775" s="5"/>
    </row>
    <row r="14776" spans="1:1" x14ac:dyDescent="0.25">
      <c r="A14776" s="5"/>
    </row>
    <row r="14777" spans="1:1" x14ac:dyDescent="0.25">
      <c r="A14777" s="5"/>
    </row>
    <row r="14778" spans="1:1" x14ac:dyDescent="0.25">
      <c r="A14778" s="5"/>
    </row>
    <row r="14779" spans="1:1" x14ac:dyDescent="0.25">
      <c r="A14779" s="5"/>
    </row>
    <row r="14780" spans="1:1" x14ac:dyDescent="0.25">
      <c r="A14780" s="5"/>
    </row>
    <row r="14781" spans="1:1" x14ac:dyDescent="0.25">
      <c r="A14781" s="5"/>
    </row>
    <row r="14782" spans="1:1" x14ac:dyDescent="0.25">
      <c r="A14782" s="5"/>
    </row>
    <row r="14783" spans="1:1" x14ac:dyDescent="0.25">
      <c r="A14783" s="5"/>
    </row>
    <row r="14784" spans="1:1" x14ac:dyDescent="0.25">
      <c r="A14784" s="5"/>
    </row>
    <row r="14785" spans="1:1" x14ac:dyDescent="0.25">
      <c r="A14785" s="5"/>
    </row>
    <row r="14786" spans="1:1" x14ac:dyDescent="0.25">
      <c r="A14786" s="5"/>
    </row>
    <row r="14787" spans="1:1" x14ac:dyDescent="0.25">
      <c r="A14787" s="5"/>
    </row>
    <row r="14788" spans="1:1" x14ac:dyDescent="0.25">
      <c r="A14788" s="5"/>
    </row>
    <row r="14789" spans="1:1" x14ac:dyDescent="0.25">
      <c r="A14789" s="5"/>
    </row>
    <row r="14790" spans="1:1" x14ac:dyDescent="0.25">
      <c r="A14790" s="5"/>
    </row>
    <row r="14791" spans="1:1" x14ac:dyDescent="0.25">
      <c r="A14791" s="5"/>
    </row>
    <row r="14792" spans="1:1" x14ac:dyDescent="0.25">
      <c r="A14792" s="5"/>
    </row>
    <row r="14793" spans="1:1" x14ac:dyDescent="0.25">
      <c r="A14793" s="5"/>
    </row>
    <row r="14794" spans="1:1" x14ac:dyDescent="0.25">
      <c r="A14794" s="5"/>
    </row>
    <row r="14795" spans="1:1" x14ac:dyDescent="0.25">
      <c r="A14795" s="5"/>
    </row>
    <row r="14796" spans="1:1" x14ac:dyDescent="0.25">
      <c r="A14796" s="5"/>
    </row>
    <row r="14797" spans="1:1" x14ac:dyDescent="0.25">
      <c r="A14797" s="5"/>
    </row>
    <row r="14798" spans="1:1" x14ac:dyDescent="0.25">
      <c r="A14798" s="5"/>
    </row>
    <row r="14799" spans="1:1" x14ac:dyDescent="0.25">
      <c r="A14799" s="5"/>
    </row>
    <row r="14800" spans="1:1" x14ac:dyDescent="0.25">
      <c r="A14800" s="5"/>
    </row>
    <row r="14801" spans="1:1" x14ac:dyDescent="0.25">
      <c r="A14801" s="5"/>
    </row>
    <row r="14802" spans="1:1" x14ac:dyDescent="0.25">
      <c r="A14802" s="5"/>
    </row>
    <row r="14803" spans="1:1" x14ac:dyDescent="0.25">
      <c r="A14803" s="5"/>
    </row>
    <row r="14804" spans="1:1" x14ac:dyDescent="0.25">
      <c r="A14804" s="5"/>
    </row>
    <row r="14805" spans="1:1" x14ac:dyDescent="0.25">
      <c r="A14805" s="5"/>
    </row>
    <row r="14806" spans="1:1" x14ac:dyDescent="0.25">
      <c r="A14806" s="5"/>
    </row>
    <row r="14807" spans="1:1" x14ac:dyDescent="0.25">
      <c r="A14807" s="5"/>
    </row>
    <row r="14808" spans="1:1" x14ac:dyDescent="0.25">
      <c r="A14808" s="5"/>
    </row>
    <row r="14809" spans="1:1" x14ac:dyDescent="0.25">
      <c r="A14809" s="5"/>
    </row>
    <row r="14810" spans="1:1" x14ac:dyDescent="0.25">
      <c r="A14810" s="5"/>
    </row>
    <row r="14811" spans="1:1" x14ac:dyDescent="0.25">
      <c r="A14811" s="5"/>
    </row>
    <row r="14812" spans="1:1" x14ac:dyDescent="0.25">
      <c r="A14812" s="5"/>
    </row>
    <row r="14813" spans="1:1" x14ac:dyDescent="0.25">
      <c r="A14813" s="5"/>
    </row>
    <row r="14814" spans="1:1" x14ac:dyDescent="0.25">
      <c r="A14814" s="5"/>
    </row>
    <row r="14815" spans="1:1" x14ac:dyDescent="0.25">
      <c r="A14815" s="5"/>
    </row>
    <row r="14816" spans="1:1" x14ac:dyDescent="0.25">
      <c r="A14816" s="5"/>
    </row>
    <row r="14817" spans="1:1" x14ac:dyDescent="0.25">
      <c r="A14817" s="5"/>
    </row>
    <row r="14818" spans="1:1" x14ac:dyDescent="0.25">
      <c r="A14818" s="5"/>
    </row>
    <row r="14819" spans="1:1" x14ac:dyDescent="0.25">
      <c r="A14819" s="5"/>
    </row>
    <row r="14820" spans="1:1" x14ac:dyDescent="0.25">
      <c r="A14820" s="5"/>
    </row>
    <row r="14821" spans="1:1" x14ac:dyDescent="0.25">
      <c r="A14821" s="5"/>
    </row>
    <row r="14822" spans="1:1" x14ac:dyDescent="0.25">
      <c r="A14822" s="5"/>
    </row>
    <row r="14823" spans="1:1" x14ac:dyDescent="0.25">
      <c r="A14823" s="5"/>
    </row>
    <row r="14824" spans="1:1" x14ac:dyDescent="0.25">
      <c r="A14824" s="5"/>
    </row>
    <row r="14825" spans="1:1" x14ac:dyDescent="0.25">
      <c r="A14825" s="5"/>
    </row>
    <row r="14826" spans="1:1" x14ac:dyDescent="0.25">
      <c r="A14826" s="5"/>
    </row>
    <row r="14827" spans="1:1" x14ac:dyDescent="0.25">
      <c r="A14827" s="5"/>
    </row>
    <row r="14828" spans="1:1" x14ac:dyDescent="0.25">
      <c r="A14828" s="5"/>
    </row>
    <row r="14829" spans="1:1" x14ac:dyDescent="0.25">
      <c r="A14829" s="5"/>
    </row>
    <row r="14830" spans="1:1" x14ac:dyDescent="0.25">
      <c r="A14830" s="5"/>
    </row>
    <row r="14831" spans="1:1" x14ac:dyDescent="0.25">
      <c r="A14831" s="5"/>
    </row>
    <row r="14832" spans="1:1" x14ac:dyDescent="0.25">
      <c r="A14832" s="5"/>
    </row>
    <row r="14833" spans="1:1" x14ac:dyDescent="0.25">
      <c r="A14833" s="5"/>
    </row>
    <row r="14834" spans="1:1" x14ac:dyDescent="0.25">
      <c r="A14834" s="5"/>
    </row>
    <row r="14835" spans="1:1" x14ac:dyDescent="0.25">
      <c r="A14835" s="5"/>
    </row>
    <row r="14836" spans="1:1" x14ac:dyDescent="0.25">
      <c r="A14836" s="5"/>
    </row>
    <row r="14837" spans="1:1" x14ac:dyDescent="0.25">
      <c r="A14837" s="5"/>
    </row>
    <row r="14838" spans="1:1" x14ac:dyDescent="0.25">
      <c r="A14838" s="5"/>
    </row>
    <row r="14839" spans="1:1" x14ac:dyDescent="0.25">
      <c r="A14839" s="5"/>
    </row>
    <row r="14840" spans="1:1" x14ac:dyDescent="0.25">
      <c r="A14840" s="5"/>
    </row>
    <row r="14841" spans="1:1" x14ac:dyDescent="0.25">
      <c r="A14841" s="5"/>
    </row>
    <row r="14842" spans="1:1" x14ac:dyDescent="0.25">
      <c r="A14842" s="5"/>
    </row>
    <row r="14843" spans="1:1" x14ac:dyDescent="0.25">
      <c r="A14843" s="5"/>
    </row>
    <row r="14844" spans="1:1" x14ac:dyDescent="0.25">
      <c r="A14844" s="5"/>
    </row>
    <row r="14845" spans="1:1" x14ac:dyDescent="0.25">
      <c r="A14845" s="5"/>
    </row>
    <row r="14846" spans="1:1" x14ac:dyDescent="0.25">
      <c r="A14846" s="5"/>
    </row>
    <row r="14847" spans="1:1" x14ac:dyDescent="0.25">
      <c r="A14847" s="5"/>
    </row>
    <row r="14848" spans="1:1" x14ac:dyDescent="0.25">
      <c r="A14848" s="5"/>
    </row>
    <row r="14849" spans="1:1" x14ac:dyDescent="0.25">
      <c r="A14849" s="5"/>
    </row>
    <row r="14850" spans="1:1" x14ac:dyDescent="0.25">
      <c r="A14850" s="5"/>
    </row>
    <row r="14851" spans="1:1" x14ac:dyDescent="0.25">
      <c r="A14851" s="5"/>
    </row>
    <row r="14852" spans="1:1" x14ac:dyDescent="0.25">
      <c r="A14852" s="5"/>
    </row>
    <row r="14853" spans="1:1" x14ac:dyDescent="0.25">
      <c r="A14853" s="5"/>
    </row>
    <row r="14854" spans="1:1" x14ac:dyDescent="0.25">
      <c r="A14854" s="5"/>
    </row>
    <row r="14855" spans="1:1" x14ac:dyDescent="0.25">
      <c r="A14855" s="5"/>
    </row>
    <row r="14856" spans="1:1" x14ac:dyDescent="0.25">
      <c r="A14856" s="5"/>
    </row>
    <row r="14857" spans="1:1" x14ac:dyDescent="0.25">
      <c r="A14857" s="5"/>
    </row>
    <row r="14858" spans="1:1" x14ac:dyDescent="0.25">
      <c r="A14858" s="5"/>
    </row>
    <row r="14859" spans="1:1" x14ac:dyDescent="0.25">
      <c r="A14859" s="5"/>
    </row>
    <row r="14860" spans="1:1" x14ac:dyDescent="0.25">
      <c r="A14860" s="5"/>
    </row>
    <row r="14861" spans="1:1" x14ac:dyDescent="0.25">
      <c r="A14861" s="5"/>
    </row>
    <row r="14862" spans="1:1" x14ac:dyDescent="0.25">
      <c r="A14862" s="5"/>
    </row>
    <row r="14863" spans="1:1" x14ac:dyDescent="0.25">
      <c r="A14863" s="5"/>
    </row>
    <row r="14864" spans="1:1" x14ac:dyDescent="0.25">
      <c r="A14864" s="5"/>
    </row>
    <row r="14865" spans="1:1" x14ac:dyDescent="0.25">
      <c r="A14865" s="5"/>
    </row>
    <row r="14866" spans="1:1" x14ac:dyDescent="0.25">
      <c r="A14866" s="5"/>
    </row>
    <row r="14867" spans="1:1" x14ac:dyDescent="0.25">
      <c r="A14867" s="5"/>
    </row>
    <row r="14868" spans="1:1" x14ac:dyDescent="0.25">
      <c r="A14868" s="5"/>
    </row>
    <row r="14869" spans="1:1" x14ac:dyDescent="0.25">
      <c r="A14869" s="5"/>
    </row>
    <row r="14870" spans="1:1" x14ac:dyDescent="0.25">
      <c r="A14870" s="5"/>
    </row>
    <row r="14871" spans="1:1" x14ac:dyDescent="0.25">
      <c r="A14871" s="5"/>
    </row>
    <row r="14872" spans="1:1" x14ac:dyDescent="0.25">
      <c r="A14872" s="5"/>
    </row>
    <row r="14873" spans="1:1" x14ac:dyDescent="0.25">
      <c r="A14873" s="5"/>
    </row>
    <row r="14874" spans="1:1" x14ac:dyDescent="0.25">
      <c r="A14874" s="5"/>
    </row>
    <row r="14875" spans="1:1" x14ac:dyDescent="0.25">
      <c r="A14875" s="5"/>
    </row>
    <row r="14876" spans="1:1" x14ac:dyDescent="0.25">
      <c r="A14876" s="5"/>
    </row>
    <row r="14877" spans="1:1" x14ac:dyDescent="0.25">
      <c r="A14877" s="5"/>
    </row>
    <row r="14878" spans="1:1" x14ac:dyDescent="0.25">
      <c r="A14878" s="5"/>
    </row>
    <row r="14879" spans="1:1" x14ac:dyDescent="0.25">
      <c r="A14879" s="5"/>
    </row>
    <row r="14880" spans="1:1" x14ac:dyDescent="0.25">
      <c r="A14880" s="5"/>
    </row>
    <row r="14881" spans="1:1" x14ac:dyDescent="0.25">
      <c r="A14881" s="5"/>
    </row>
    <row r="14882" spans="1:1" x14ac:dyDescent="0.25">
      <c r="A14882" s="5"/>
    </row>
    <row r="14883" spans="1:1" x14ac:dyDescent="0.25">
      <c r="A14883" s="5"/>
    </row>
    <row r="14884" spans="1:1" x14ac:dyDescent="0.25">
      <c r="A14884" s="5"/>
    </row>
    <row r="14885" spans="1:1" x14ac:dyDescent="0.25">
      <c r="A14885" s="5"/>
    </row>
    <row r="14886" spans="1:1" x14ac:dyDescent="0.25">
      <c r="A14886" s="5"/>
    </row>
    <row r="14887" spans="1:1" x14ac:dyDescent="0.25">
      <c r="A14887" s="5"/>
    </row>
    <row r="14888" spans="1:1" x14ac:dyDescent="0.25">
      <c r="A14888" s="5"/>
    </row>
    <row r="14889" spans="1:1" x14ac:dyDescent="0.25">
      <c r="A14889" s="5"/>
    </row>
    <row r="14890" spans="1:1" x14ac:dyDescent="0.25">
      <c r="A14890" s="5"/>
    </row>
    <row r="14891" spans="1:1" x14ac:dyDescent="0.25">
      <c r="A14891" s="5"/>
    </row>
    <row r="14892" spans="1:1" x14ac:dyDescent="0.25">
      <c r="A14892" s="5"/>
    </row>
    <row r="14893" spans="1:1" x14ac:dyDescent="0.25">
      <c r="A14893" s="5"/>
    </row>
    <row r="14894" spans="1:1" x14ac:dyDescent="0.25">
      <c r="A14894" s="5"/>
    </row>
    <row r="14895" spans="1:1" x14ac:dyDescent="0.25">
      <c r="A14895" s="5"/>
    </row>
    <row r="14896" spans="1:1" x14ac:dyDescent="0.25">
      <c r="A14896" s="5"/>
    </row>
    <row r="14897" spans="1:1" x14ac:dyDescent="0.25">
      <c r="A14897" s="5"/>
    </row>
    <row r="14898" spans="1:1" x14ac:dyDescent="0.25">
      <c r="A14898" s="5"/>
    </row>
    <row r="14899" spans="1:1" x14ac:dyDescent="0.25">
      <c r="A14899" s="5"/>
    </row>
    <row r="14900" spans="1:1" x14ac:dyDescent="0.25">
      <c r="A14900" s="5"/>
    </row>
    <row r="14901" spans="1:1" x14ac:dyDescent="0.25">
      <c r="A14901" s="5"/>
    </row>
    <row r="14902" spans="1:1" x14ac:dyDescent="0.25">
      <c r="A14902" s="5"/>
    </row>
    <row r="14903" spans="1:1" x14ac:dyDescent="0.25">
      <c r="A14903" s="5"/>
    </row>
    <row r="14904" spans="1:1" x14ac:dyDescent="0.25">
      <c r="A14904" s="5"/>
    </row>
    <row r="14905" spans="1:1" x14ac:dyDescent="0.25">
      <c r="A14905" s="5"/>
    </row>
    <row r="14906" spans="1:1" x14ac:dyDescent="0.25">
      <c r="A14906" s="5"/>
    </row>
    <row r="14907" spans="1:1" x14ac:dyDescent="0.25">
      <c r="A14907" s="5"/>
    </row>
    <row r="14908" spans="1:1" x14ac:dyDescent="0.25">
      <c r="A14908" s="5"/>
    </row>
    <row r="14909" spans="1:1" x14ac:dyDescent="0.25">
      <c r="A14909" s="5"/>
    </row>
    <row r="14910" spans="1:1" x14ac:dyDescent="0.25">
      <c r="A14910" s="5"/>
    </row>
    <row r="14911" spans="1:1" x14ac:dyDescent="0.25">
      <c r="A14911" s="5"/>
    </row>
    <row r="14912" spans="1:1" x14ac:dyDescent="0.25">
      <c r="A14912" s="5"/>
    </row>
    <row r="14913" spans="1:1" x14ac:dyDescent="0.25">
      <c r="A14913" s="5"/>
    </row>
    <row r="14914" spans="1:1" x14ac:dyDescent="0.25">
      <c r="A14914" s="5"/>
    </row>
    <row r="14915" spans="1:1" x14ac:dyDescent="0.25">
      <c r="A14915" s="5"/>
    </row>
    <row r="14916" spans="1:1" x14ac:dyDescent="0.25">
      <c r="A14916" s="5"/>
    </row>
    <row r="14917" spans="1:1" x14ac:dyDescent="0.25">
      <c r="A14917" s="5"/>
    </row>
    <row r="14918" spans="1:1" x14ac:dyDescent="0.25">
      <c r="A14918" s="5"/>
    </row>
    <row r="14919" spans="1:1" x14ac:dyDescent="0.25">
      <c r="A14919" s="5"/>
    </row>
    <row r="14920" spans="1:1" x14ac:dyDescent="0.25">
      <c r="A14920" s="5"/>
    </row>
    <row r="14921" spans="1:1" x14ac:dyDescent="0.25">
      <c r="A14921" s="5"/>
    </row>
    <row r="14922" spans="1:1" x14ac:dyDescent="0.25">
      <c r="A14922" s="5"/>
    </row>
    <row r="14923" spans="1:1" x14ac:dyDescent="0.25">
      <c r="A14923" s="5"/>
    </row>
    <row r="14924" spans="1:1" x14ac:dyDescent="0.25">
      <c r="A14924" s="5"/>
    </row>
    <row r="14925" spans="1:1" x14ac:dyDescent="0.25">
      <c r="A14925" s="5"/>
    </row>
    <row r="14926" spans="1:1" x14ac:dyDescent="0.25">
      <c r="A14926" s="5"/>
    </row>
    <row r="14927" spans="1:1" x14ac:dyDescent="0.25">
      <c r="A14927" s="5"/>
    </row>
    <row r="14928" spans="1:1" x14ac:dyDescent="0.25">
      <c r="A14928" s="5"/>
    </row>
    <row r="14929" spans="1:1" x14ac:dyDescent="0.25">
      <c r="A14929" s="5"/>
    </row>
    <row r="14930" spans="1:1" x14ac:dyDescent="0.25">
      <c r="A14930" s="5"/>
    </row>
    <row r="14931" spans="1:1" x14ac:dyDescent="0.25">
      <c r="A14931" s="5"/>
    </row>
    <row r="14932" spans="1:1" x14ac:dyDescent="0.25">
      <c r="A14932" s="5"/>
    </row>
    <row r="14933" spans="1:1" x14ac:dyDescent="0.25">
      <c r="A14933" s="5"/>
    </row>
    <row r="14934" spans="1:1" x14ac:dyDescent="0.25">
      <c r="A14934" s="5"/>
    </row>
    <row r="14935" spans="1:1" x14ac:dyDescent="0.25">
      <c r="A14935" s="5"/>
    </row>
    <row r="14936" spans="1:1" x14ac:dyDescent="0.25">
      <c r="A14936" s="5"/>
    </row>
    <row r="14937" spans="1:1" x14ac:dyDescent="0.25">
      <c r="A14937" s="5"/>
    </row>
    <row r="14938" spans="1:1" x14ac:dyDescent="0.25">
      <c r="A14938" s="5"/>
    </row>
    <row r="14939" spans="1:1" x14ac:dyDescent="0.25">
      <c r="A14939" s="5"/>
    </row>
    <row r="14940" spans="1:1" x14ac:dyDescent="0.25">
      <c r="A14940" s="5"/>
    </row>
    <row r="14941" spans="1:1" x14ac:dyDescent="0.25">
      <c r="A14941" s="5"/>
    </row>
    <row r="14942" spans="1:1" x14ac:dyDescent="0.25">
      <c r="A14942" s="5"/>
    </row>
    <row r="14943" spans="1:1" x14ac:dyDescent="0.25">
      <c r="A14943" s="5"/>
    </row>
    <row r="14944" spans="1:1" x14ac:dyDescent="0.25">
      <c r="A14944" s="5"/>
    </row>
    <row r="14945" spans="1:1" x14ac:dyDescent="0.25">
      <c r="A14945" s="5"/>
    </row>
    <row r="14946" spans="1:1" x14ac:dyDescent="0.25">
      <c r="A14946" s="5"/>
    </row>
    <row r="14947" spans="1:1" x14ac:dyDescent="0.25">
      <c r="A14947" s="5"/>
    </row>
    <row r="14948" spans="1:1" x14ac:dyDescent="0.25">
      <c r="A14948" s="5"/>
    </row>
    <row r="14949" spans="1:1" x14ac:dyDescent="0.25">
      <c r="A14949" s="5"/>
    </row>
    <row r="14950" spans="1:1" x14ac:dyDescent="0.25">
      <c r="A14950" s="5"/>
    </row>
    <row r="14951" spans="1:1" x14ac:dyDescent="0.25">
      <c r="A14951" s="5"/>
    </row>
    <row r="14952" spans="1:1" x14ac:dyDescent="0.25">
      <c r="A14952" s="5"/>
    </row>
    <row r="14953" spans="1:1" x14ac:dyDescent="0.25">
      <c r="A14953" s="5"/>
    </row>
    <row r="14954" spans="1:1" x14ac:dyDescent="0.25">
      <c r="A14954" s="5"/>
    </row>
    <row r="14955" spans="1:1" x14ac:dyDescent="0.25">
      <c r="A14955" s="5"/>
    </row>
    <row r="14956" spans="1:1" x14ac:dyDescent="0.25">
      <c r="A14956" s="5"/>
    </row>
    <row r="14957" spans="1:1" x14ac:dyDescent="0.25">
      <c r="A14957" s="5"/>
    </row>
    <row r="14958" spans="1:1" x14ac:dyDescent="0.25">
      <c r="A14958" s="5"/>
    </row>
    <row r="14959" spans="1:1" x14ac:dyDescent="0.25">
      <c r="A14959" s="5"/>
    </row>
    <row r="14960" spans="1:1" x14ac:dyDescent="0.25">
      <c r="A14960" s="5"/>
    </row>
    <row r="14961" spans="1:1" x14ac:dyDescent="0.25">
      <c r="A14961" s="5"/>
    </row>
    <row r="14962" spans="1:1" x14ac:dyDescent="0.25">
      <c r="A14962" s="5"/>
    </row>
    <row r="14963" spans="1:1" x14ac:dyDescent="0.25">
      <c r="A14963" s="5"/>
    </row>
    <row r="14964" spans="1:1" x14ac:dyDescent="0.25">
      <c r="A14964" s="5"/>
    </row>
    <row r="14965" spans="1:1" x14ac:dyDescent="0.25">
      <c r="A14965" s="5"/>
    </row>
    <row r="14966" spans="1:1" x14ac:dyDescent="0.25">
      <c r="A14966" s="5"/>
    </row>
    <row r="14967" spans="1:1" x14ac:dyDescent="0.25">
      <c r="A14967" s="5"/>
    </row>
    <row r="14968" spans="1:1" x14ac:dyDescent="0.25">
      <c r="A14968" s="5"/>
    </row>
    <row r="14969" spans="1:1" x14ac:dyDescent="0.25">
      <c r="A14969" s="5"/>
    </row>
    <row r="14970" spans="1:1" x14ac:dyDescent="0.25">
      <c r="A14970" s="5"/>
    </row>
    <row r="14971" spans="1:1" x14ac:dyDescent="0.25">
      <c r="A14971" s="5"/>
    </row>
    <row r="14972" spans="1:1" x14ac:dyDescent="0.25">
      <c r="A14972" s="5"/>
    </row>
    <row r="14973" spans="1:1" x14ac:dyDescent="0.25">
      <c r="A14973" s="5"/>
    </row>
    <row r="14974" spans="1:1" x14ac:dyDescent="0.25">
      <c r="A14974" s="5"/>
    </row>
    <row r="14975" spans="1:1" x14ac:dyDescent="0.25">
      <c r="A14975" s="5"/>
    </row>
    <row r="14976" spans="1:1" x14ac:dyDescent="0.25">
      <c r="A14976" s="5"/>
    </row>
    <row r="14977" spans="1:1" x14ac:dyDescent="0.25">
      <c r="A14977" s="5"/>
    </row>
    <row r="14978" spans="1:1" x14ac:dyDescent="0.25">
      <c r="A14978" s="5"/>
    </row>
    <row r="14979" spans="1:1" x14ac:dyDescent="0.25">
      <c r="A14979" s="5"/>
    </row>
    <row r="14980" spans="1:1" x14ac:dyDescent="0.25">
      <c r="A14980" s="5"/>
    </row>
    <row r="14981" spans="1:1" x14ac:dyDescent="0.25">
      <c r="A14981" s="5"/>
    </row>
    <row r="14982" spans="1:1" x14ac:dyDescent="0.25">
      <c r="A14982" s="5"/>
    </row>
    <row r="14983" spans="1:1" x14ac:dyDescent="0.25">
      <c r="A14983" s="5"/>
    </row>
    <row r="14984" spans="1:1" x14ac:dyDescent="0.25">
      <c r="A14984" s="5"/>
    </row>
    <row r="14985" spans="1:1" x14ac:dyDescent="0.25">
      <c r="A14985" s="5"/>
    </row>
    <row r="14986" spans="1:1" x14ac:dyDescent="0.25">
      <c r="A14986" s="5"/>
    </row>
    <row r="14987" spans="1:1" x14ac:dyDescent="0.25">
      <c r="A14987" s="5"/>
    </row>
    <row r="14988" spans="1:1" x14ac:dyDescent="0.25">
      <c r="A14988" s="5"/>
    </row>
    <row r="14989" spans="1:1" x14ac:dyDescent="0.25">
      <c r="A14989" s="5"/>
    </row>
    <row r="14990" spans="1:1" x14ac:dyDescent="0.25">
      <c r="A14990" s="5"/>
    </row>
    <row r="14991" spans="1:1" x14ac:dyDescent="0.25">
      <c r="A14991" s="5"/>
    </row>
    <row r="14992" spans="1:1" x14ac:dyDescent="0.25">
      <c r="A14992" s="5"/>
    </row>
    <row r="14993" spans="1:1" x14ac:dyDescent="0.25">
      <c r="A14993" s="5"/>
    </row>
    <row r="14994" spans="1:1" x14ac:dyDescent="0.25">
      <c r="A14994" s="5"/>
    </row>
    <row r="14995" spans="1:1" x14ac:dyDescent="0.25">
      <c r="A14995" s="5"/>
    </row>
    <row r="14996" spans="1:1" x14ac:dyDescent="0.25">
      <c r="A14996" s="5"/>
    </row>
    <row r="14997" spans="1:1" x14ac:dyDescent="0.25">
      <c r="A14997" s="5"/>
    </row>
    <row r="14998" spans="1:1" x14ac:dyDescent="0.25">
      <c r="A14998" s="5"/>
    </row>
    <row r="14999" spans="1:1" x14ac:dyDescent="0.25">
      <c r="A14999" s="5"/>
    </row>
    <row r="15000" spans="1:1" x14ac:dyDescent="0.25">
      <c r="A15000" s="5"/>
    </row>
    <row r="15001" spans="1:1" x14ac:dyDescent="0.25">
      <c r="A15001" s="5"/>
    </row>
    <row r="15002" spans="1:1" x14ac:dyDescent="0.25">
      <c r="A15002" s="5"/>
    </row>
    <row r="15003" spans="1:1" x14ac:dyDescent="0.25">
      <c r="A15003" s="5"/>
    </row>
    <row r="15004" spans="1:1" x14ac:dyDescent="0.25">
      <c r="A15004" s="5"/>
    </row>
    <row r="15005" spans="1:1" x14ac:dyDescent="0.25">
      <c r="A15005" s="5"/>
    </row>
    <row r="15006" spans="1:1" x14ac:dyDescent="0.25">
      <c r="A15006" s="5"/>
    </row>
    <row r="15007" spans="1:1" x14ac:dyDescent="0.25">
      <c r="A15007" s="5"/>
    </row>
    <row r="15008" spans="1:1" x14ac:dyDescent="0.25">
      <c r="A15008" s="5"/>
    </row>
    <row r="15009" spans="1:1" x14ac:dyDescent="0.25">
      <c r="A15009" s="5"/>
    </row>
    <row r="15010" spans="1:1" x14ac:dyDescent="0.25">
      <c r="A15010" s="5"/>
    </row>
    <row r="15011" spans="1:1" x14ac:dyDescent="0.25">
      <c r="A15011" s="5"/>
    </row>
    <row r="15012" spans="1:1" x14ac:dyDescent="0.25">
      <c r="A15012" s="5"/>
    </row>
    <row r="15013" spans="1:1" x14ac:dyDescent="0.25">
      <c r="A15013" s="5"/>
    </row>
    <row r="15014" spans="1:1" x14ac:dyDescent="0.25">
      <c r="A15014" s="5"/>
    </row>
    <row r="15015" spans="1:1" x14ac:dyDescent="0.25">
      <c r="A15015" s="5"/>
    </row>
    <row r="15016" spans="1:1" x14ac:dyDescent="0.25">
      <c r="A15016" s="5"/>
    </row>
    <row r="15017" spans="1:1" x14ac:dyDescent="0.25">
      <c r="A15017" s="5"/>
    </row>
    <row r="15018" spans="1:1" x14ac:dyDescent="0.25">
      <c r="A15018" s="5"/>
    </row>
    <row r="15019" spans="1:1" x14ac:dyDescent="0.25">
      <c r="A15019" s="5"/>
    </row>
    <row r="15020" spans="1:1" x14ac:dyDescent="0.25">
      <c r="A15020" s="5"/>
    </row>
    <row r="15021" spans="1:1" x14ac:dyDescent="0.25">
      <c r="A15021" s="5"/>
    </row>
    <row r="15022" spans="1:1" x14ac:dyDescent="0.25">
      <c r="A15022" s="5"/>
    </row>
    <row r="15023" spans="1:1" x14ac:dyDescent="0.25">
      <c r="A15023" s="5"/>
    </row>
    <row r="15024" spans="1:1" x14ac:dyDescent="0.25">
      <c r="A15024" s="5"/>
    </row>
    <row r="15025" spans="1:1" x14ac:dyDescent="0.25">
      <c r="A15025" s="5"/>
    </row>
    <row r="15026" spans="1:1" x14ac:dyDescent="0.25">
      <c r="A15026" s="5"/>
    </row>
    <row r="15027" spans="1:1" x14ac:dyDescent="0.25">
      <c r="A15027" s="5"/>
    </row>
    <row r="15028" spans="1:1" x14ac:dyDescent="0.25">
      <c r="A15028" s="5"/>
    </row>
    <row r="15029" spans="1:1" x14ac:dyDescent="0.25">
      <c r="A15029" s="5"/>
    </row>
    <row r="15030" spans="1:1" x14ac:dyDescent="0.25">
      <c r="A15030" s="5"/>
    </row>
    <row r="15031" spans="1:1" x14ac:dyDescent="0.25">
      <c r="A15031" s="5"/>
    </row>
    <row r="15032" spans="1:1" x14ac:dyDescent="0.25">
      <c r="A15032" s="5"/>
    </row>
    <row r="15033" spans="1:1" x14ac:dyDescent="0.25">
      <c r="A15033" s="5"/>
    </row>
    <row r="15034" spans="1:1" x14ac:dyDescent="0.25">
      <c r="A15034" s="5"/>
    </row>
    <row r="15035" spans="1:1" x14ac:dyDescent="0.25">
      <c r="A15035" s="5"/>
    </row>
    <row r="15036" spans="1:1" x14ac:dyDescent="0.25">
      <c r="A15036" s="5"/>
    </row>
    <row r="15037" spans="1:1" x14ac:dyDescent="0.25">
      <c r="A15037" s="5"/>
    </row>
    <row r="15038" spans="1:1" x14ac:dyDescent="0.25">
      <c r="A15038" s="5"/>
    </row>
    <row r="15039" spans="1:1" x14ac:dyDescent="0.25">
      <c r="A15039" s="5"/>
    </row>
    <row r="15040" spans="1:1" x14ac:dyDescent="0.25">
      <c r="A15040" s="5"/>
    </row>
    <row r="15041" spans="1:1" x14ac:dyDescent="0.25">
      <c r="A15041" s="5"/>
    </row>
    <row r="15042" spans="1:1" x14ac:dyDescent="0.25">
      <c r="A15042" s="5"/>
    </row>
    <row r="15043" spans="1:1" x14ac:dyDescent="0.25">
      <c r="A15043" s="5"/>
    </row>
    <row r="15044" spans="1:1" x14ac:dyDescent="0.25">
      <c r="A15044" s="5"/>
    </row>
    <row r="15045" spans="1:1" x14ac:dyDescent="0.25">
      <c r="A15045" s="5"/>
    </row>
    <row r="15046" spans="1:1" x14ac:dyDescent="0.25">
      <c r="A15046" s="5"/>
    </row>
    <row r="15047" spans="1:1" x14ac:dyDescent="0.25">
      <c r="A15047" s="5"/>
    </row>
    <row r="15048" spans="1:1" x14ac:dyDescent="0.25">
      <c r="A15048" s="5"/>
    </row>
    <row r="15049" spans="1:1" x14ac:dyDescent="0.25">
      <c r="A15049" s="5"/>
    </row>
    <row r="15050" spans="1:1" x14ac:dyDescent="0.25">
      <c r="A15050" s="5"/>
    </row>
    <row r="15051" spans="1:1" x14ac:dyDescent="0.25">
      <c r="A15051" s="5"/>
    </row>
    <row r="15052" spans="1:1" x14ac:dyDescent="0.25">
      <c r="A15052" s="5"/>
    </row>
    <row r="15053" spans="1:1" x14ac:dyDescent="0.25">
      <c r="A15053" s="5"/>
    </row>
    <row r="15054" spans="1:1" x14ac:dyDescent="0.25">
      <c r="A15054" s="5"/>
    </row>
    <row r="15055" spans="1:1" x14ac:dyDescent="0.25">
      <c r="A15055" s="5"/>
    </row>
    <row r="15056" spans="1:1" x14ac:dyDescent="0.25">
      <c r="A15056" s="5"/>
    </row>
    <row r="15057" spans="1:1" x14ac:dyDescent="0.25">
      <c r="A15057" s="5"/>
    </row>
    <row r="15058" spans="1:1" x14ac:dyDescent="0.25">
      <c r="A15058" s="5"/>
    </row>
    <row r="15059" spans="1:1" x14ac:dyDescent="0.25">
      <c r="A15059" s="5"/>
    </row>
    <row r="15060" spans="1:1" x14ac:dyDescent="0.25">
      <c r="A15060" s="5"/>
    </row>
    <row r="15061" spans="1:1" x14ac:dyDescent="0.25">
      <c r="A15061" s="5"/>
    </row>
    <row r="15062" spans="1:1" x14ac:dyDescent="0.25">
      <c r="A15062" s="5"/>
    </row>
    <row r="15063" spans="1:1" x14ac:dyDescent="0.25">
      <c r="A15063" s="5"/>
    </row>
    <row r="15064" spans="1:1" x14ac:dyDescent="0.25">
      <c r="A15064" s="5"/>
    </row>
    <row r="15065" spans="1:1" x14ac:dyDescent="0.25">
      <c r="A15065" s="5"/>
    </row>
    <row r="15066" spans="1:1" x14ac:dyDescent="0.25">
      <c r="A15066" s="5"/>
    </row>
    <row r="15067" spans="1:1" x14ac:dyDescent="0.25">
      <c r="A15067" s="5"/>
    </row>
    <row r="15068" spans="1:1" x14ac:dyDescent="0.25">
      <c r="A15068" s="5"/>
    </row>
    <row r="15069" spans="1:1" x14ac:dyDescent="0.25">
      <c r="A15069" s="5"/>
    </row>
    <row r="15070" spans="1:1" x14ac:dyDescent="0.25">
      <c r="A15070" s="5"/>
    </row>
    <row r="15071" spans="1:1" x14ac:dyDescent="0.25">
      <c r="A15071" s="5"/>
    </row>
    <row r="15072" spans="1:1" x14ac:dyDescent="0.25">
      <c r="A15072" s="5"/>
    </row>
    <row r="15073" spans="1:1" x14ac:dyDescent="0.25">
      <c r="A15073" s="5"/>
    </row>
    <row r="15074" spans="1:1" x14ac:dyDescent="0.25">
      <c r="A15074" s="5"/>
    </row>
    <row r="15075" spans="1:1" x14ac:dyDescent="0.25">
      <c r="A15075" s="5"/>
    </row>
    <row r="15076" spans="1:1" x14ac:dyDescent="0.25">
      <c r="A15076" s="5"/>
    </row>
    <row r="15077" spans="1:1" x14ac:dyDescent="0.25">
      <c r="A15077" s="5"/>
    </row>
    <row r="15078" spans="1:1" x14ac:dyDescent="0.25">
      <c r="A15078" s="5"/>
    </row>
    <row r="15079" spans="1:1" x14ac:dyDescent="0.25">
      <c r="A15079" s="5"/>
    </row>
    <row r="15080" spans="1:1" x14ac:dyDescent="0.25">
      <c r="A15080" s="5"/>
    </row>
    <row r="15081" spans="1:1" x14ac:dyDescent="0.25">
      <c r="A15081" s="5"/>
    </row>
    <row r="15082" spans="1:1" x14ac:dyDescent="0.25">
      <c r="A15082" s="5"/>
    </row>
    <row r="15083" spans="1:1" x14ac:dyDescent="0.25">
      <c r="A15083" s="5"/>
    </row>
    <row r="15084" spans="1:1" x14ac:dyDescent="0.25">
      <c r="A15084" s="5"/>
    </row>
    <row r="15085" spans="1:1" x14ac:dyDescent="0.25">
      <c r="A15085" s="5"/>
    </row>
    <row r="15086" spans="1:1" x14ac:dyDescent="0.25">
      <c r="A15086" s="5"/>
    </row>
    <row r="15087" spans="1:1" x14ac:dyDescent="0.25">
      <c r="A15087" s="5"/>
    </row>
    <row r="15088" spans="1:1" x14ac:dyDescent="0.25">
      <c r="A15088" s="5"/>
    </row>
    <row r="15089" spans="1:1" x14ac:dyDescent="0.25">
      <c r="A15089" s="5"/>
    </row>
    <row r="15090" spans="1:1" x14ac:dyDescent="0.25">
      <c r="A15090" s="5"/>
    </row>
    <row r="15091" spans="1:1" x14ac:dyDescent="0.25">
      <c r="A15091" s="5"/>
    </row>
    <row r="15092" spans="1:1" x14ac:dyDescent="0.25">
      <c r="A15092" s="5"/>
    </row>
    <row r="15093" spans="1:1" x14ac:dyDescent="0.25">
      <c r="A15093" s="5"/>
    </row>
    <row r="15094" spans="1:1" x14ac:dyDescent="0.25">
      <c r="A15094" s="5"/>
    </row>
    <row r="15095" spans="1:1" x14ac:dyDescent="0.25">
      <c r="A15095" s="5"/>
    </row>
    <row r="15096" spans="1:1" x14ac:dyDescent="0.25">
      <c r="A15096" s="5"/>
    </row>
    <row r="15097" spans="1:1" x14ac:dyDescent="0.25">
      <c r="A15097" s="5"/>
    </row>
    <row r="15098" spans="1:1" x14ac:dyDescent="0.25">
      <c r="A15098" s="5"/>
    </row>
    <row r="15099" spans="1:1" x14ac:dyDescent="0.25">
      <c r="A15099" s="5"/>
    </row>
    <row r="15100" spans="1:1" x14ac:dyDescent="0.25">
      <c r="A15100" s="5"/>
    </row>
    <row r="15101" spans="1:1" x14ac:dyDescent="0.25">
      <c r="A15101" s="5"/>
    </row>
    <row r="15102" spans="1:1" x14ac:dyDescent="0.25">
      <c r="A15102" s="5"/>
    </row>
    <row r="15103" spans="1:1" x14ac:dyDescent="0.25">
      <c r="A15103" s="5"/>
    </row>
    <row r="15104" spans="1:1" x14ac:dyDescent="0.25">
      <c r="A15104" s="5"/>
    </row>
    <row r="15105" spans="1:1" x14ac:dyDescent="0.25">
      <c r="A15105" s="5"/>
    </row>
    <row r="15106" spans="1:1" x14ac:dyDescent="0.25">
      <c r="A15106" s="5"/>
    </row>
    <row r="15107" spans="1:1" x14ac:dyDescent="0.25">
      <c r="A15107" s="5"/>
    </row>
    <row r="15108" spans="1:1" x14ac:dyDescent="0.25">
      <c r="A15108" s="5"/>
    </row>
    <row r="15109" spans="1:1" x14ac:dyDescent="0.25">
      <c r="A15109" s="5"/>
    </row>
    <row r="15110" spans="1:1" x14ac:dyDescent="0.25">
      <c r="A15110" s="5"/>
    </row>
    <row r="15111" spans="1:1" x14ac:dyDescent="0.25">
      <c r="A15111" s="5"/>
    </row>
    <row r="15112" spans="1:1" x14ac:dyDescent="0.25">
      <c r="A15112" s="5"/>
    </row>
    <row r="15113" spans="1:1" x14ac:dyDescent="0.25">
      <c r="A15113" s="5"/>
    </row>
    <row r="15114" spans="1:1" x14ac:dyDescent="0.25">
      <c r="A15114" s="5"/>
    </row>
    <row r="15115" spans="1:1" x14ac:dyDescent="0.25">
      <c r="A15115" s="5"/>
    </row>
    <row r="15116" spans="1:1" x14ac:dyDescent="0.25">
      <c r="A15116" s="5"/>
    </row>
    <row r="15117" spans="1:1" x14ac:dyDescent="0.25">
      <c r="A15117" s="5"/>
    </row>
    <row r="15118" spans="1:1" x14ac:dyDescent="0.25">
      <c r="A15118" s="5"/>
    </row>
    <row r="15119" spans="1:1" x14ac:dyDescent="0.25">
      <c r="A15119" s="5"/>
    </row>
    <row r="15120" spans="1:1" x14ac:dyDescent="0.25">
      <c r="A15120" s="5"/>
    </row>
    <row r="15121" spans="1:1" x14ac:dyDescent="0.25">
      <c r="A15121" s="5"/>
    </row>
    <row r="15122" spans="1:1" x14ac:dyDescent="0.25">
      <c r="A15122" s="5"/>
    </row>
    <row r="15123" spans="1:1" x14ac:dyDescent="0.25">
      <c r="A15123" s="5"/>
    </row>
    <row r="15124" spans="1:1" x14ac:dyDescent="0.25">
      <c r="A15124" s="5"/>
    </row>
    <row r="15125" spans="1:1" x14ac:dyDescent="0.25">
      <c r="A15125" s="5"/>
    </row>
    <row r="15126" spans="1:1" x14ac:dyDescent="0.25">
      <c r="A15126" s="5"/>
    </row>
    <row r="15127" spans="1:1" x14ac:dyDescent="0.25">
      <c r="A15127" s="5"/>
    </row>
    <row r="15128" spans="1:1" x14ac:dyDescent="0.25">
      <c r="A15128" s="5"/>
    </row>
    <row r="15129" spans="1:1" x14ac:dyDescent="0.25">
      <c r="A15129" s="5"/>
    </row>
    <row r="15130" spans="1:1" x14ac:dyDescent="0.25">
      <c r="A15130" s="5"/>
    </row>
    <row r="15131" spans="1:1" x14ac:dyDescent="0.25">
      <c r="A15131" s="5"/>
    </row>
    <row r="15132" spans="1:1" x14ac:dyDescent="0.25">
      <c r="A15132" s="5"/>
    </row>
    <row r="15133" spans="1:1" x14ac:dyDescent="0.25">
      <c r="A15133" s="5"/>
    </row>
    <row r="15134" spans="1:1" x14ac:dyDescent="0.25">
      <c r="A15134" s="5"/>
    </row>
    <row r="15135" spans="1:1" x14ac:dyDescent="0.25">
      <c r="A15135" s="5"/>
    </row>
    <row r="15136" spans="1:1" x14ac:dyDescent="0.25">
      <c r="A15136" s="5"/>
    </row>
    <row r="15137" spans="1:1" x14ac:dyDescent="0.25">
      <c r="A15137" s="5"/>
    </row>
    <row r="15138" spans="1:1" x14ac:dyDescent="0.25">
      <c r="A15138" s="5"/>
    </row>
    <row r="15139" spans="1:1" x14ac:dyDescent="0.25">
      <c r="A15139" s="5"/>
    </row>
    <row r="15140" spans="1:1" x14ac:dyDescent="0.25">
      <c r="A15140" s="5"/>
    </row>
    <row r="15141" spans="1:1" x14ac:dyDescent="0.25">
      <c r="A15141" s="5"/>
    </row>
    <row r="15142" spans="1:1" x14ac:dyDescent="0.25">
      <c r="A15142" s="5"/>
    </row>
    <row r="15143" spans="1:1" x14ac:dyDescent="0.25">
      <c r="A15143" s="5"/>
    </row>
    <row r="15144" spans="1:1" x14ac:dyDescent="0.25">
      <c r="A15144" s="5"/>
    </row>
    <row r="15145" spans="1:1" x14ac:dyDescent="0.25">
      <c r="A15145" s="5"/>
    </row>
    <row r="15146" spans="1:1" x14ac:dyDescent="0.25">
      <c r="A15146" s="5"/>
    </row>
    <row r="15147" spans="1:1" x14ac:dyDescent="0.25">
      <c r="A15147" s="5"/>
    </row>
    <row r="15148" spans="1:1" x14ac:dyDescent="0.25">
      <c r="A15148" s="5"/>
    </row>
    <row r="15149" spans="1:1" x14ac:dyDescent="0.25">
      <c r="A15149" s="5"/>
    </row>
    <row r="15150" spans="1:1" x14ac:dyDescent="0.25">
      <c r="A15150" s="5"/>
    </row>
    <row r="15151" spans="1:1" x14ac:dyDescent="0.25">
      <c r="A15151" s="5"/>
    </row>
    <row r="15152" spans="1:1" x14ac:dyDescent="0.25">
      <c r="A15152" s="5"/>
    </row>
    <row r="15153" spans="1:1" x14ac:dyDescent="0.25">
      <c r="A15153" s="5"/>
    </row>
    <row r="15154" spans="1:1" x14ac:dyDescent="0.25">
      <c r="A15154" s="5"/>
    </row>
    <row r="15155" spans="1:1" x14ac:dyDescent="0.25">
      <c r="A15155" s="5"/>
    </row>
    <row r="15156" spans="1:1" x14ac:dyDescent="0.25">
      <c r="A15156" s="5"/>
    </row>
    <row r="15157" spans="1:1" x14ac:dyDescent="0.25">
      <c r="A15157" s="5"/>
    </row>
    <row r="15158" spans="1:1" x14ac:dyDescent="0.25">
      <c r="A15158" s="5"/>
    </row>
    <row r="15159" spans="1:1" x14ac:dyDescent="0.25">
      <c r="A15159" s="5"/>
    </row>
    <row r="15160" spans="1:1" x14ac:dyDescent="0.25">
      <c r="A15160" s="5"/>
    </row>
    <row r="15161" spans="1:1" x14ac:dyDescent="0.25">
      <c r="A15161" s="5"/>
    </row>
    <row r="15162" spans="1:1" x14ac:dyDescent="0.25">
      <c r="A15162" s="5"/>
    </row>
    <row r="15163" spans="1:1" x14ac:dyDescent="0.25">
      <c r="A15163" s="5"/>
    </row>
    <row r="15164" spans="1:1" x14ac:dyDescent="0.25">
      <c r="A15164" s="5"/>
    </row>
    <row r="15165" spans="1:1" x14ac:dyDescent="0.25">
      <c r="A15165" s="5"/>
    </row>
    <row r="15166" spans="1:1" x14ac:dyDescent="0.25">
      <c r="A15166" s="5"/>
    </row>
    <row r="15167" spans="1:1" x14ac:dyDescent="0.25">
      <c r="A15167" s="5"/>
    </row>
    <row r="15168" spans="1:1" x14ac:dyDescent="0.25">
      <c r="A15168" s="5"/>
    </row>
    <row r="15169" spans="1:1" x14ac:dyDescent="0.25">
      <c r="A15169" s="5"/>
    </row>
    <row r="15170" spans="1:1" x14ac:dyDescent="0.25">
      <c r="A15170" s="5"/>
    </row>
    <row r="15171" spans="1:1" x14ac:dyDescent="0.25">
      <c r="A15171" s="5"/>
    </row>
    <row r="15172" spans="1:1" x14ac:dyDescent="0.25">
      <c r="A15172" s="5"/>
    </row>
    <row r="15173" spans="1:1" x14ac:dyDescent="0.25">
      <c r="A15173" s="5"/>
    </row>
    <row r="15174" spans="1:1" x14ac:dyDescent="0.25">
      <c r="A15174" s="5"/>
    </row>
    <row r="15175" spans="1:1" x14ac:dyDescent="0.25">
      <c r="A15175" s="5"/>
    </row>
    <row r="15176" spans="1:1" x14ac:dyDescent="0.25">
      <c r="A15176" s="5"/>
    </row>
    <row r="15177" spans="1:1" x14ac:dyDescent="0.25">
      <c r="A15177" s="5"/>
    </row>
    <row r="15178" spans="1:1" x14ac:dyDescent="0.25">
      <c r="A15178" s="5"/>
    </row>
    <row r="15179" spans="1:1" x14ac:dyDescent="0.25">
      <c r="A15179" s="5"/>
    </row>
    <row r="15180" spans="1:1" x14ac:dyDescent="0.25">
      <c r="A15180" s="5"/>
    </row>
    <row r="15181" spans="1:1" x14ac:dyDescent="0.25">
      <c r="A15181" s="5"/>
    </row>
    <row r="15182" spans="1:1" x14ac:dyDescent="0.25">
      <c r="A15182" s="5"/>
    </row>
    <row r="15183" spans="1:1" x14ac:dyDescent="0.25">
      <c r="A15183" s="5"/>
    </row>
    <row r="15184" spans="1:1" x14ac:dyDescent="0.25">
      <c r="A15184" s="5"/>
    </row>
    <row r="15185" spans="1:1" x14ac:dyDescent="0.25">
      <c r="A15185" s="5"/>
    </row>
    <row r="15186" spans="1:1" x14ac:dyDescent="0.25">
      <c r="A15186" s="5"/>
    </row>
    <row r="15187" spans="1:1" x14ac:dyDescent="0.25">
      <c r="A15187" s="5"/>
    </row>
    <row r="15188" spans="1:1" x14ac:dyDescent="0.25">
      <c r="A15188" s="5"/>
    </row>
    <row r="15189" spans="1:1" x14ac:dyDescent="0.25">
      <c r="A15189" s="5"/>
    </row>
    <row r="15190" spans="1:1" x14ac:dyDescent="0.25">
      <c r="A15190" s="5"/>
    </row>
    <row r="15191" spans="1:1" x14ac:dyDescent="0.25">
      <c r="A15191" s="5"/>
    </row>
    <row r="15192" spans="1:1" x14ac:dyDescent="0.25">
      <c r="A15192" s="5"/>
    </row>
    <row r="15193" spans="1:1" x14ac:dyDescent="0.25">
      <c r="A15193" s="5"/>
    </row>
    <row r="15194" spans="1:1" x14ac:dyDescent="0.25">
      <c r="A15194" s="5"/>
    </row>
    <row r="15195" spans="1:1" x14ac:dyDescent="0.25">
      <c r="A15195" s="5"/>
    </row>
    <row r="15196" spans="1:1" x14ac:dyDescent="0.25">
      <c r="A15196" s="5"/>
    </row>
    <row r="15197" spans="1:1" x14ac:dyDescent="0.25">
      <c r="A15197" s="5"/>
    </row>
    <row r="15198" spans="1:1" x14ac:dyDescent="0.25">
      <c r="A15198" s="5"/>
    </row>
    <row r="15199" spans="1:1" x14ac:dyDescent="0.25">
      <c r="A15199" s="5"/>
    </row>
    <row r="15200" spans="1:1" x14ac:dyDescent="0.25">
      <c r="A15200" s="5"/>
    </row>
    <row r="15201" spans="1:1" x14ac:dyDescent="0.25">
      <c r="A15201" s="5"/>
    </row>
    <row r="15202" spans="1:1" x14ac:dyDescent="0.25">
      <c r="A15202" s="5"/>
    </row>
    <row r="15203" spans="1:1" x14ac:dyDescent="0.25">
      <c r="A15203" s="5"/>
    </row>
    <row r="15204" spans="1:1" x14ac:dyDescent="0.25">
      <c r="A15204" s="5"/>
    </row>
    <row r="15205" spans="1:1" x14ac:dyDescent="0.25">
      <c r="A15205" s="5"/>
    </row>
    <row r="15206" spans="1:1" x14ac:dyDescent="0.25">
      <c r="A15206" s="5"/>
    </row>
    <row r="15207" spans="1:1" x14ac:dyDescent="0.25">
      <c r="A15207" s="5"/>
    </row>
    <row r="15208" spans="1:1" x14ac:dyDescent="0.25">
      <c r="A15208" s="5"/>
    </row>
    <row r="15209" spans="1:1" x14ac:dyDescent="0.25">
      <c r="A15209" s="5"/>
    </row>
    <row r="15210" spans="1:1" x14ac:dyDescent="0.25">
      <c r="A15210" s="5"/>
    </row>
    <row r="15211" spans="1:1" x14ac:dyDescent="0.25">
      <c r="A15211" s="5"/>
    </row>
    <row r="15212" spans="1:1" x14ac:dyDescent="0.25">
      <c r="A15212" s="5"/>
    </row>
    <row r="15213" spans="1:1" x14ac:dyDescent="0.25">
      <c r="A15213" s="5"/>
    </row>
    <row r="15214" spans="1:1" x14ac:dyDescent="0.25">
      <c r="A15214" s="5"/>
    </row>
    <row r="15215" spans="1:1" x14ac:dyDescent="0.25">
      <c r="A15215" s="5"/>
    </row>
    <row r="15216" spans="1:1" x14ac:dyDescent="0.25">
      <c r="A15216" s="5"/>
    </row>
    <row r="15217" spans="1:1" x14ac:dyDescent="0.25">
      <c r="A15217" s="5"/>
    </row>
    <row r="15218" spans="1:1" x14ac:dyDescent="0.25">
      <c r="A15218" s="5"/>
    </row>
    <row r="15219" spans="1:1" x14ac:dyDescent="0.25">
      <c r="A15219" s="5"/>
    </row>
    <row r="15220" spans="1:1" x14ac:dyDescent="0.25">
      <c r="A15220" s="5"/>
    </row>
    <row r="15221" spans="1:1" x14ac:dyDescent="0.25">
      <c r="A15221" s="5"/>
    </row>
    <row r="15222" spans="1:1" x14ac:dyDescent="0.25">
      <c r="A15222" s="5"/>
    </row>
    <row r="15223" spans="1:1" x14ac:dyDescent="0.25">
      <c r="A15223" s="5"/>
    </row>
    <row r="15224" spans="1:1" x14ac:dyDescent="0.25">
      <c r="A15224" s="5"/>
    </row>
    <row r="15225" spans="1:1" x14ac:dyDescent="0.25">
      <c r="A15225" s="5"/>
    </row>
    <row r="15226" spans="1:1" x14ac:dyDescent="0.25">
      <c r="A15226" s="5"/>
    </row>
    <row r="15227" spans="1:1" x14ac:dyDescent="0.25">
      <c r="A15227" s="5"/>
    </row>
    <row r="15228" spans="1:1" x14ac:dyDescent="0.25">
      <c r="A15228" s="5"/>
    </row>
    <row r="15229" spans="1:1" x14ac:dyDescent="0.25">
      <c r="A15229" s="5"/>
    </row>
    <row r="15230" spans="1:1" x14ac:dyDescent="0.25">
      <c r="A15230" s="5"/>
    </row>
    <row r="15231" spans="1:1" x14ac:dyDescent="0.25">
      <c r="A15231" s="5"/>
    </row>
    <row r="15232" spans="1:1" x14ac:dyDescent="0.25">
      <c r="A15232" s="5"/>
    </row>
    <row r="15233" spans="1:1" x14ac:dyDescent="0.25">
      <c r="A15233" s="5"/>
    </row>
    <row r="15234" spans="1:1" x14ac:dyDescent="0.25">
      <c r="A15234" s="5"/>
    </row>
    <row r="15235" spans="1:1" x14ac:dyDescent="0.25">
      <c r="A15235" s="5"/>
    </row>
    <row r="15236" spans="1:1" x14ac:dyDescent="0.25">
      <c r="A15236" s="5"/>
    </row>
    <row r="15237" spans="1:1" x14ac:dyDescent="0.25">
      <c r="A15237" s="5"/>
    </row>
    <row r="15238" spans="1:1" x14ac:dyDescent="0.25">
      <c r="A15238" s="5"/>
    </row>
    <row r="15239" spans="1:1" x14ac:dyDescent="0.25">
      <c r="A15239" s="5"/>
    </row>
    <row r="15240" spans="1:1" x14ac:dyDescent="0.25">
      <c r="A15240" s="5"/>
    </row>
    <row r="15241" spans="1:1" x14ac:dyDescent="0.25">
      <c r="A15241" s="5"/>
    </row>
    <row r="15242" spans="1:1" x14ac:dyDescent="0.25">
      <c r="A15242" s="5"/>
    </row>
    <row r="15243" spans="1:1" x14ac:dyDescent="0.25">
      <c r="A15243" s="5"/>
    </row>
    <row r="15244" spans="1:1" x14ac:dyDescent="0.25">
      <c r="A15244" s="5"/>
    </row>
    <row r="15245" spans="1:1" x14ac:dyDescent="0.25">
      <c r="A15245" s="5"/>
    </row>
    <row r="15246" spans="1:1" x14ac:dyDescent="0.25">
      <c r="A15246" s="5"/>
    </row>
    <row r="15247" spans="1:1" x14ac:dyDescent="0.25">
      <c r="A15247" s="5"/>
    </row>
    <row r="15248" spans="1:1" x14ac:dyDescent="0.25">
      <c r="A15248" s="5"/>
    </row>
    <row r="15249" spans="1:1" x14ac:dyDescent="0.25">
      <c r="A15249" s="5"/>
    </row>
    <row r="15250" spans="1:1" x14ac:dyDescent="0.25">
      <c r="A15250" s="5"/>
    </row>
    <row r="15251" spans="1:1" x14ac:dyDescent="0.25">
      <c r="A15251" s="5"/>
    </row>
    <row r="15252" spans="1:1" x14ac:dyDescent="0.25">
      <c r="A15252" s="5"/>
    </row>
    <row r="15253" spans="1:1" x14ac:dyDescent="0.25">
      <c r="A15253" s="5"/>
    </row>
    <row r="15254" spans="1:1" x14ac:dyDescent="0.25">
      <c r="A15254" s="5"/>
    </row>
    <row r="15255" spans="1:1" x14ac:dyDescent="0.25">
      <c r="A15255" s="5"/>
    </row>
    <row r="15256" spans="1:1" x14ac:dyDescent="0.25">
      <c r="A15256" s="5"/>
    </row>
    <row r="15257" spans="1:1" x14ac:dyDescent="0.25">
      <c r="A15257" s="5"/>
    </row>
    <row r="15258" spans="1:1" x14ac:dyDescent="0.25">
      <c r="A15258" s="5"/>
    </row>
    <row r="15259" spans="1:1" x14ac:dyDescent="0.25">
      <c r="A15259" s="5"/>
    </row>
    <row r="15260" spans="1:1" x14ac:dyDescent="0.25">
      <c r="A15260" s="5"/>
    </row>
    <row r="15261" spans="1:1" x14ac:dyDescent="0.25">
      <c r="A15261" s="5"/>
    </row>
    <row r="15262" spans="1:1" x14ac:dyDescent="0.25">
      <c r="A15262" s="5"/>
    </row>
    <row r="15263" spans="1:1" x14ac:dyDescent="0.25">
      <c r="A15263" s="5"/>
    </row>
    <row r="15264" spans="1:1" x14ac:dyDescent="0.25">
      <c r="A15264" s="5"/>
    </row>
    <row r="15265" spans="1:1" x14ac:dyDescent="0.25">
      <c r="A15265" s="5"/>
    </row>
    <row r="15266" spans="1:1" x14ac:dyDescent="0.25">
      <c r="A15266" s="5"/>
    </row>
    <row r="15267" spans="1:1" x14ac:dyDescent="0.25">
      <c r="A15267" s="5"/>
    </row>
    <row r="15268" spans="1:1" x14ac:dyDescent="0.25">
      <c r="A15268" s="5"/>
    </row>
    <row r="15269" spans="1:1" x14ac:dyDescent="0.25">
      <c r="A15269" s="5"/>
    </row>
    <row r="15270" spans="1:1" x14ac:dyDescent="0.25">
      <c r="A15270" s="5"/>
    </row>
    <row r="15271" spans="1:1" x14ac:dyDescent="0.25">
      <c r="A15271" s="5"/>
    </row>
    <row r="15272" spans="1:1" x14ac:dyDescent="0.25">
      <c r="A15272" s="5"/>
    </row>
    <row r="15273" spans="1:1" x14ac:dyDescent="0.25">
      <c r="A15273" s="5"/>
    </row>
    <row r="15274" spans="1:1" x14ac:dyDescent="0.25">
      <c r="A15274" s="5"/>
    </row>
    <row r="15275" spans="1:1" x14ac:dyDescent="0.25">
      <c r="A15275" s="5"/>
    </row>
    <row r="15276" spans="1:1" x14ac:dyDescent="0.25">
      <c r="A15276" s="5"/>
    </row>
    <row r="15277" spans="1:1" x14ac:dyDescent="0.25">
      <c r="A15277" s="5"/>
    </row>
    <row r="15278" spans="1:1" x14ac:dyDescent="0.25">
      <c r="A15278" s="5"/>
    </row>
    <row r="15279" spans="1:1" x14ac:dyDescent="0.25">
      <c r="A15279" s="5"/>
    </row>
    <row r="15280" spans="1:1" x14ac:dyDescent="0.25">
      <c r="A15280" s="5"/>
    </row>
    <row r="15281" spans="1:1" x14ac:dyDescent="0.25">
      <c r="A15281" s="5"/>
    </row>
    <row r="15282" spans="1:1" x14ac:dyDescent="0.25">
      <c r="A15282" s="5"/>
    </row>
    <row r="15283" spans="1:1" x14ac:dyDescent="0.25">
      <c r="A15283" s="5"/>
    </row>
    <row r="15284" spans="1:1" x14ac:dyDescent="0.25">
      <c r="A15284" s="5"/>
    </row>
    <row r="15285" spans="1:1" x14ac:dyDescent="0.25">
      <c r="A15285" s="5"/>
    </row>
    <row r="15286" spans="1:1" x14ac:dyDescent="0.25">
      <c r="A15286" s="5"/>
    </row>
    <row r="15287" spans="1:1" x14ac:dyDescent="0.25">
      <c r="A15287" s="5"/>
    </row>
    <row r="15288" spans="1:1" x14ac:dyDescent="0.25">
      <c r="A15288" s="5"/>
    </row>
    <row r="15289" spans="1:1" x14ac:dyDescent="0.25">
      <c r="A15289" s="5"/>
    </row>
    <row r="15290" spans="1:1" x14ac:dyDescent="0.25">
      <c r="A15290" s="5"/>
    </row>
    <row r="15291" spans="1:1" x14ac:dyDescent="0.25">
      <c r="A15291" s="5"/>
    </row>
    <row r="15292" spans="1:1" x14ac:dyDescent="0.25">
      <c r="A15292" s="5"/>
    </row>
    <row r="15293" spans="1:1" x14ac:dyDescent="0.25">
      <c r="A15293" s="5"/>
    </row>
    <row r="15294" spans="1:1" x14ac:dyDescent="0.25">
      <c r="A15294" s="5"/>
    </row>
    <row r="15295" spans="1:1" x14ac:dyDescent="0.25">
      <c r="A15295" s="5"/>
    </row>
    <row r="15296" spans="1:1" x14ac:dyDescent="0.25">
      <c r="A15296" s="5"/>
    </row>
    <row r="15297" spans="1:1" x14ac:dyDescent="0.25">
      <c r="A15297" s="5"/>
    </row>
    <row r="15298" spans="1:1" x14ac:dyDescent="0.25">
      <c r="A15298" s="5"/>
    </row>
    <row r="15299" spans="1:1" x14ac:dyDescent="0.25">
      <c r="A15299" s="5"/>
    </row>
    <row r="15300" spans="1:1" x14ac:dyDescent="0.25">
      <c r="A15300" s="5"/>
    </row>
    <row r="15301" spans="1:1" x14ac:dyDescent="0.25">
      <c r="A15301" s="5"/>
    </row>
    <row r="15302" spans="1:1" x14ac:dyDescent="0.25">
      <c r="A15302" s="5"/>
    </row>
    <row r="15303" spans="1:1" x14ac:dyDescent="0.25">
      <c r="A15303" s="5"/>
    </row>
    <row r="15304" spans="1:1" x14ac:dyDescent="0.25">
      <c r="A15304" s="5"/>
    </row>
    <row r="15305" spans="1:1" x14ac:dyDescent="0.25">
      <c r="A15305" s="5"/>
    </row>
    <row r="15306" spans="1:1" x14ac:dyDescent="0.25">
      <c r="A15306" s="5"/>
    </row>
    <row r="15307" spans="1:1" x14ac:dyDescent="0.25">
      <c r="A15307" s="5"/>
    </row>
    <row r="15308" spans="1:1" x14ac:dyDescent="0.25">
      <c r="A15308" s="5"/>
    </row>
    <row r="15309" spans="1:1" x14ac:dyDescent="0.25">
      <c r="A15309" s="5"/>
    </row>
    <row r="15310" spans="1:1" x14ac:dyDescent="0.25">
      <c r="A15310" s="5"/>
    </row>
    <row r="15311" spans="1:1" x14ac:dyDescent="0.25">
      <c r="A15311" s="5"/>
    </row>
    <row r="15312" spans="1:1" x14ac:dyDescent="0.25">
      <c r="A15312" s="5"/>
    </row>
    <row r="15313" spans="1:1" x14ac:dyDescent="0.25">
      <c r="A15313" s="5"/>
    </row>
    <row r="15314" spans="1:1" x14ac:dyDescent="0.25">
      <c r="A15314" s="5"/>
    </row>
    <row r="15315" spans="1:1" x14ac:dyDescent="0.25">
      <c r="A15315" s="5"/>
    </row>
    <row r="15316" spans="1:1" x14ac:dyDescent="0.25">
      <c r="A15316" s="5"/>
    </row>
    <row r="15317" spans="1:1" x14ac:dyDescent="0.25">
      <c r="A15317" s="5"/>
    </row>
    <row r="15318" spans="1:1" x14ac:dyDescent="0.25">
      <c r="A15318" s="5"/>
    </row>
    <row r="15319" spans="1:1" x14ac:dyDescent="0.25">
      <c r="A15319" s="5"/>
    </row>
    <row r="15320" spans="1:1" x14ac:dyDescent="0.25">
      <c r="A15320" s="5"/>
    </row>
    <row r="15321" spans="1:1" x14ac:dyDescent="0.25">
      <c r="A15321" s="5"/>
    </row>
    <row r="15322" spans="1:1" x14ac:dyDescent="0.25">
      <c r="A15322" s="5"/>
    </row>
    <row r="15323" spans="1:1" x14ac:dyDescent="0.25">
      <c r="A15323" s="5"/>
    </row>
    <row r="15324" spans="1:1" x14ac:dyDescent="0.25">
      <c r="A15324" s="5"/>
    </row>
    <row r="15325" spans="1:1" x14ac:dyDescent="0.25">
      <c r="A15325" s="5"/>
    </row>
    <row r="15326" spans="1:1" x14ac:dyDescent="0.25">
      <c r="A15326" s="5"/>
    </row>
    <row r="15327" spans="1:1" x14ac:dyDescent="0.25">
      <c r="A15327" s="5"/>
    </row>
    <row r="15328" spans="1:1" x14ac:dyDescent="0.25">
      <c r="A15328" s="5"/>
    </row>
    <row r="15329" spans="1:1" x14ac:dyDescent="0.25">
      <c r="A15329" s="5"/>
    </row>
    <row r="15330" spans="1:1" x14ac:dyDescent="0.25">
      <c r="A15330" s="5"/>
    </row>
    <row r="15331" spans="1:1" x14ac:dyDescent="0.25">
      <c r="A15331" s="5"/>
    </row>
    <row r="15332" spans="1:1" x14ac:dyDescent="0.25">
      <c r="A15332" s="5"/>
    </row>
    <row r="15333" spans="1:1" x14ac:dyDescent="0.25">
      <c r="A15333" s="5"/>
    </row>
    <row r="15334" spans="1:1" x14ac:dyDescent="0.25">
      <c r="A15334" s="5"/>
    </row>
    <row r="15335" spans="1:1" x14ac:dyDescent="0.25">
      <c r="A15335" s="5"/>
    </row>
    <row r="15336" spans="1:1" x14ac:dyDescent="0.25">
      <c r="A15336" s="5"/>
    </row>
    <row r="15337" spans="1:1" x14ac:dyDescent="0.25">
      <c r="A15337" s="5"/>
    </row>
    <row r="15338" spans="1:1" x14ac:dyDescent="0.25">
      <c r="A15338" s="5"/>
    </row>
    <row r="15339" spans="1:1" x14ac:dyDescent="0.25">
      <c r="A15339" s="5"/>
    </row>
    <row r="15340" spans="1:1" x14ac:dyDescent="0.25">
      <c r="A15340" s="5"/>
    </row>
    <row r="15341" spans="1:1" x14ac:dyDescent="0.25">
      <c r="A15341" s="5"/>
    </row>
    <row r="15342" spans="1:1" x14ac:dyDescent="0.25">
      <c r="A15342" s="5"/>
    </row>
    <row r="15343" spans="1:1" x14ac:dyDescent="0.25">
      <c r="A15343" s="5"/>
    </row>
    <row r="15344" spans="1:1" x14ac:dyDescent="0.25">
      <c r="A15344" s="5"/>
    </row>
    <row r="15345" spans="1:1" x14ac:dyDescent="0.25">
      <c r="A15345" s="5"/>
    </row>
    <row r="15346" spans="1:1" x14ac:dyDescent="0.25">
      <c r="A15346" s="5"/>
    </row>
    <row r="15347" spans="1:1" x14ac:dyDescent="0.25">
      <c r="A15347" s="5"/>
    </row>
    <row r="15348" spans="1:1" x14ac:dyDescent="0.25">
      <c r="A15348" s="5"/>
    </row>
    <row r="15349" spans="1:1" x14ac:dyDescent="0.25">
      <c r="A15349" s="5"/>
    </row>
    <row r="15350" spans="1:1" x14ac:dyDescent="0.25">
      <c r="A15350" s="5"/>
    </row>
    <row r="15351" spans="1:1" x14ac:dyDescent="0.25">
      <c r="A15351" s="5"/>
    </row>
    <row r="15352" spans="1:1" x14ac:dyDescent="0.25">
      <c r="A15352" s="5"/>
    </row>
    <row r="15353" spans="1:1" x14ac:dyDescent="0.25">
      <c r="A15353" s="5"/>
    </row>
    <row r="15354" spans="1:1" x14ac:dyDescent="0.25">
      <c r="A15354" s="5"/>
    </row>
    <row r="15355" spans="1:1" x14ac:dyDescent="0.25">
      <c r="A15355" s="5"/>
    </row>
    <row r="15356" spans="1:1" x14ac:dyDescent="0.25">
      <c r="A15356" s="5"/>
    </row>
    <row r="15357" spans="1:1" x14ac:dyDescent="0.25">
      <c r="A15357" s="5"/>
    </row>
    <row r="15358" spans="1:1" x14ac:dyDescent="0.25">
      <c r="A15358" s="5"/>
    </row>
    <row r="15359" spans="1:1" x14ac:dyDescent="0.25">
      <c r="A15359" s="5"/>
    </row>
    <row r="15360" spans="1:1" x14ac:dyDescent="0.25">
      <c r="A15360" s="5"/>
    </row>
    <row r="15361" spans="1:1" x14ac:dyDescent="0.25">
      <c r="A15361" s="5"/>
    </row>
    <row r="15362" spans="1:1" x14ac:dyDescent="0.25">
      <c r="A15362" s="5"/>
    </row>
    <row r="15363" spans="1:1" x14ac:dyDescent="0.25">
      <c r="A15363" s="5"/>
    </row>
    <row r="15364" spans="1:1" x14ac:dyDescent="0.25">
      <c r="A15364" s="5"/>
    </row>
    <row r="15365" spans="1:1" x14ac:dyDescent="0.25">
      <c r="A15365" s="5"/>
    </row>
    <row r="15366" spans="1:1" x14ac:dyDescent="0.25">
      <c r="A15366" s="5"/>
    </row>
    <row r="15367" spans="1:1" x14ac:dyDescent="0.25">
      <c r="A15367" s="5"/>
    </row>
    <row r="15368" spans="1:1" x14ac:dyDescent="0.25">
      <c r="A15368" s="5"/>
    </row>
    <row r="15369" spans="1:1" x14ac:dyDescent="0.25">
      <c r="A15369" s="5"/>
    </row>
    <row r="15370" spans="1:1" x14ac:dyDescent="0.25">
      <c r="A15370" s="5"/>
    </row>
    <row r="15371" spans="1:1" x14ac:dyDescent="0.25">
      <c r="A15371" s="5"/>
    </row>
    <row r="15372" spans="1:1" x14ac:dyDescent="0.25">
      <c r="A15372" s="5"/>
    </row>
    <row r="15373" spans="1:1" x14ac:dyDescent="0.25">
      <c r="A15373" s="5"/>
    </row>
    <row r="15374" spans="1:1" x14ac:dyDescent="0.25">
      <c r="A15374" s="5"/>
    </row>
    <row r="15375" spans="1:1" x14ac:dyDescent="0.25">
      <c r="A15375" s="5"/>
    </row>
    <row r="15376" spans="1:1" x14ac:dyDescent="0.25">
      <c r="A15376" s="5"/>
    </row>
    <row r="15377" spans="1:1" x14ac:dyDescent="0.25">
      <c r="A15377" s="5"/>
    </row>
    <row r="15378" spans="1:1" x14ac:dyDescent="0.25">
      <c r="A15378" s="5"/>
    </row>
    <row r="15379" spans="1:1" x14ac:dyDescent="0.25">
      <c r="A15379" s="5"/>
    </row>
    <row r="15380" spans="1:1" x14ac:dyDescent="0.25">
      <c r="A15380" s="5"/>
    </row>
    <row r="15381" spans="1:1" x14ac:dyDescent="0.25">
      <c r="A15381" s="5"/>
    </row>
    <row r="15382" spans="1:1" x14ac:dyDescent="0.25">
      <c r="A15382" s="5"/>
    </row>
    <row r="15383" spans="1:1" x14ac:dyDescent="0.25">
      <c r="A15383" s="5"/>
    </row>
    <row r="15384" spans="1:1" x14ac:dyDescent="0.25">
      <c r="A15384" s="5"/>
    </row>
    <row r="15385" spans="1:1" x14ac:dyDescent="0.25">
      <c r="A15385" s="5"/>
    </row>
    <row r="15386" spans="1:1" x14ac:dyDescent="0.25">
      <c r="A15386" s="5"/>
    </row>
    <row r="15387" spans="1:1" x14ac:dyDescent="0.25">
      <c r="A15387" s="5"/>
    </row>
    <row r="15388" spans="1:1" x14ac:dyDescent="0.25">
      <c r="A15388" s="5"/>
    </row>
    <row r="15389" spans="1:1" x14ac:dyDescent="0.25">
      <c r="A15389" s="5"/>
    </row>
    <row r="15390" spans="1:1" x14ac:dyDescent="0.25">
      <c r="A15390" s="5"/>
    </row>
    <row r="15391" spans="1:1" x14ac:dyDescent="0.25">
      <c r="A15391" s="5"/>
    </row>
    <row r="15392" spans="1:1" x14ac:dyDescent="0.25">
      <c r="A15392" s="5"/>
    </row>
    <row r="15393" spans="1:1" x14ac:dyDescent="0.25">
      <c r="A15393" s="5"/>
    </row>
    <row r="15394" spans="1:1" x14ac:dyDescent="0.25">
      <c r="A15394" s="5"/>
    </row>
    <row r="15395" spans="1:1" x14ac:dyDescent="0.25">
      <c r="A15395" s="5"/>
    </row>
    <row r="15396" spans="1:1" x14ac:dyDescent="0.25">
      <c r="A15396" s="5"/>
    </row>
    <row r="15397" spans="1:1" x14ac:dyDescent="0.25">
      <c r="A15397" s="5"/>
    </row>
    <row r="15398" spans="1:1" x14ac:dyDescent="0.25">
      <c r="A15398" s="5"/>
    </row>
    <row r="15399" spans="1:1" x14ac:dyDescent="0.25">
      <c r="A15399" s="5"/>
    </row>
    <row r="15400" spans="1:1" x14ac:dyDescent="0.25">
      <c r="A15400" s="5"/>
    </row>
    <row r="15401" spans="1:1" x14ac:dyDescent="0.25">
      <c r="A15401" s="5"/>
    </row>
    <row r="15402" spans="1:1" x14ac:dyDescent="0.25">
      <c r="A15402" s="5"/>
    </row>
    <row r="15403" spans="1:1" x14ac:dyDescent="0.25">
      <c r="A15403" s="5"/>
    </row>
    <row r="15404" spans="1:1" x14ac:dyDescent="0.25">
      <c r="A15404" s="5"/>
    </row>
    <row r="15405" spans="1:1" x14ac:dyDescent="0.25">
      <c r="A15405" s="5"/>
    </row>
    <row r="15406" spans="1:1" x14ac:dyDescent="0.25">
      <c r="A15406" s="5"/>
    </row>
    <row r="15407" spans="1:1" x14ac:dyDescent="0.25">
      <c r="A15407" s="5"/>
    </row>
    <row r="15408" spans="1:1" x14ac:dyDescent="0.25">
      <c r="A15408" s="5"/>
    </row>
    <row r="15409" spans="1:1" x14ac:dyDescent="0.25">
      <c r="A15409" s="5"/>
    </row>
    <row r="15410" spans="1:1" x14ac:dyDescent="0.25">
      <c r="A15410" s="5"/>
    </row>
    <row r="15411" spans="1:1" x14ac:dyDescent="0.25">
      <c r="A15411" s="5"/>
    </row>
    <row r="15412" spans="1:1" x14ac:dyDescent="0.25">
      <c r="A15412" s="5"/>
    </row>
    <row r="15413" spans="1:1" x14ac:dyDescent="0.25">
      <c r="A15413" s="5"/>
    </row>
    <row r="15414" spans="1:1" x14ac:dyDescent="0.25">
      <c r="A15414" s="5"/>
    </row>
    <row r="15415" spans="1:1" x14ac:dyDescent="0.25">
      <c r="A15415" s="5"/>
    </row>
    <row r="15416" spans="1:1" x14ac:dyDescent="0.25">
      <c r="A15416" s="5"/>
    </row>
    <row r="15417" spans="1:1" x14ac:dyDescent="0.25">
      <c r="A15417" s="5"/>
    </row>
    <row r="15418" spans="1:1" x14ac:dyDescent="0.25">
      <c r="A15418" s="5"/>
    </row>
    <row r="15419" spans="1:1" x14ac:dyDescent="0.25">
      <c r="A15419" s="5"/>
    </row>
    <row r="15420" spans="1:1" x14ac:dyDescent="0.25">
      <c r="A15420" s="5"/>
    </row>
    <row r="15421" spans="1:1" x14ac:dyDescent="0.25">
      <c r="A15421" s="5"/>
    </row>
    <row r="15422" spans="1:1" x14ac:dyDescent="0.25">
      <c r="A15422" s="5"/>
    </row>
    <row r="15423" spans="1:1" x14ac:dyDescent="0.25">
      <c r="A15423" s="5"/>
    </row>
    <row r="15424" spans="1:1" x14ac:dyDescent="0.25">
      <c r="A15424" s="5"/>
    </row>
    <row r="15425" spans="1:1" x14ac:dyDescent="0.25">
      <c r="A15425" s="5"/>
    </row>
    <row r="15426" spans="1:1" x14ac:dyDescent="0.25">
      <c r="A15426" s="5"/>
    </row>
    <row r="15427" spans="1:1" x14ac:dyDescent="0.25">
      <c r="A15427" s="5"/>
    </row>
    <row r="15428" spans="1:1" x14ac:dyDescent="0.25">
      <c r="A15428" s="5"/>
    </row>
    <row r="15429" spans="1:1" x14ac:dyDescent="0.25">
      <c r="A15429" s="5"/>
    </row>
    <row r="15430" spans="1:1" x14ac:dyDescent="0.25">
      <c r="A15430" s="5"/>
    </row>
    <row r="15431" spans="1:1" x14ac:dyDescent="0.25">
      <c r="A15431" s="5"/>
    </row>
    <row r="15432" spans="1:1" x14ac:dyDescent="0.25">
      <c r="A15432" s="5"/>
    </row>
    <row r="15433" spans="1:1" x14ac:dyDescent="0.25">
      <c r="A15433" s="5"/>
    </row>
    <row r="15434" spans="1:1" x14ac:dyDescent="0.25">
      <c r="A15434" s="5"/>
    </row>
    <row r="15435" spans="1:1" x14ac:dyDescent="0.25">
      <c r="A15435" s="5"/>
    </row>
    <row r="15436" spans="1:1" x14ac:dyDescent="0.25">
      <c r="A15436" s="5"/>
    </row>
    <row r="15437" spans="1:1" x14ac:dyDescent="0.25">
      <c r="A15437" s="5"/>
    </row>
    <row r="15438" spans="1:1" x14ac:dyDescent="0.25">
      <c r="A15438" s="5"/>
    </row>
    <row r="15439" spans="1:1" x14ac:dyDescent="0.25">
      <c r="A15439" s="5"/>
    </row>
    <row r="15440" spans="1:1" x14ac:dyDescent="0.25">
      <c r="A15440" s="5"/>
    </row>
    <row r="15441" spans="1:1" x14ac:dyDescent="0.25">
      <c r="A15441" s="5"/>
    </row>
    <row r="15442" spans="1:1" x14ac:dyDescent="0.25">
      <c r="A15442" s="5"/>
    </row>
    <row r="15443" spans="1:1" x14ac:dyDescent="0.25">
      <c r="A15443" s="5"/>
    </row>
    <row r="15444" spans="1:1" x14ac:dyDescent="0.25">
      <c r="A15444" s="5"/>
    </row>
    <row r="15445" spans="1:1" x14ac:dyDescent="0.25">
      <c r="A15445" s="5"/>
    </row>
    <row r="15446" spans="1:1" x14ac:dyDescent="0.25">
      <c r="A15446" s="5"/>
    </row>
    <row r="15447" spans="1:1" x14ac:dyDescent="0.25">
      <c r="A15447" s="5"/>
    </row>
    <row r="15448" spans="1:1" x14ac:dyDescent="0.25">
      <c r="A15448" s="5"/>
    </row>
    <row r="15449" spans="1:1" x14ac:dyDescent="0.25">
      <c r="A15449" s="5"/>
    </row>
    <row r="15450" spans="1:1" x14ac:dyDescent="0.25">
      <c r="A15450" s="5"/>
    </row>
    <row r="15451" spans="1:1" x14ac:dyDescent="0.25">
      <c r="A15451" s="5"/>
    </row>
    <row r="15452" spans="1:1" x14ac:dyDescent="0.25">
      <c r="A15452" s="5"/>
    </row>
    <row r="15453" spans="1:1" x14ac:dyDescent="0.25">
      <c r="A15453" s="5"/>
    </row>
    <row r="15454" spans="1:1" x14ac:dyDescent="0.25">
      <c r="A15454" s="5"/>
    </row>
    <row r="15455" spans="1:1" x14ac:dyDescent="0.25">
      <c r="A15455" s="5"/>
    </row>
    <row r="15456" spans="1:1" x14ac:dyDescent="0.25">
      <c r="A15456" s="5"/>
    </row>
    <row r="15457" spans="1:1" x14ac:dyDescent="0.25">
      <c r="A15457" s="5"/>
    </row>
    <row r="15458" spans="1:1" x14ac:dyDescent="0.25">
      <c r="A15458" s="5"/>
    </row>
    <row r="15459" spans="1:1" x14ac:dyDescent="0.25">
      <c r="A15459" s="5"/>
    </row>
    <row r="15460" spans="1:1" x14ac:dyDescent="0.25">
      <c r="A15460" s="5"/>
    </row>
    <row r="15461" spans="1:1" x14ac:dyDescent="0.25">
      <c r="A15461" s="5"/>
    </row>
    <row r="15462" spans="1:1" x14ac:dyDescent="0.25">
      <c r="A15462" s="5"/>
    </row>
    <row r="15463" spans="1:1" x14ac:dyDescent="0.25">
      <c r="A15463" s="5"/>
    </row>
    <row r="15464" spans="1:1" x14ac:dyDescent="0.25">
      <c r="A15464" s="5"/>
    </row>
    <row r="15465" spans="1:1" x14ac:dyDescent="0.25">
      <c r="A15465" s="5"/>
    </row>
    <row r="15466" spans="1:1" x14ac:dyDescent="0.25">
      <c r="A15466" s="5"/>
    </row>
    <row r="15467" spans="1:1" x14ac:dyDescent="0.25">
      <c r="A15467" s="5"/>
    </row>
    <row r="15468" spans="1:1" x14ac:dyDescent="0.25">
      <c r="A15468" s="5"/>
    </row>
    <row r="15469" spans="1:1" x14ac:dyDescent="0.25">
      <c r="A15469" s="5"/>
    </row>
    <row r="15470" spans="1:1" x14ac:dyDescent="0.25">
      <c r="A15470" s="5"/>
    </row>
    <row r="15471" spans="1:1" x14ac:dyDescent="0.25">
      <c r="A15471" s="5"/>
    </row>
    <row r="15472" spans="1:1" x14ac:dyDescent="0.25">
      <c r="A15472" s="5"/>
    </row>
    <row r="15473" spans="1:1" x14ac:dyDescent="0.25">
      <c r="A15473" s="5"/>
    </row>
    <row r="15474" spans="1:1" x14ac:dyDescent="0.25">
      <c r="A15474" s="5"/>
    </row>
    <row r="15475" spans="1:1" x14ac:dyDescent="0.25">
      <c r="A15475" s="5"/>
    </row>
    <row r="15476" spans="1:1" x14ac:dyDescent="0.25">
      <c r="A15476" s="5"/>
    </row>
    <row r="15477" spans="1:1" x14ac:dyDescent="0.25">
      <c r="A15477" s="5"/>
    </row>
    <row r="15478" spans="1:1" x14ac:dyDescent="0.25">
      <c r="A15478" s="5"/>
    </row>
    <row r="15479" spans="1:1" x14ac:dyDescent="0.25">
      <c r="A15479" s="5"/>
    </row>
    <row r="15480" spans="1:1" x14ac:dyDescent="0.25">
      <c r="A15480" s="5"/>
    </row>
    <row r="15481" spans="1:1" x14ac:dyDescent="0.25">
      <c r="A15481" s="5"/>
    </row>
    <row r="15482" spans="1:1" x14ac:dyDescent="0.25">
      <c r="A15482" s="5"/>
    </row>
    <row r="15483" spans="1:1" x14ac:dyDescent="0.25">
      <c r="A15483" s="5"/>
    </row>
    <row r="15484" spans="1:1" x14ac:dyDescent="0.25">
      <c r="A15484" s="5"/>
    </row>
    <row r="15485" spans="1:1" x14ac:dyDescent="0.25">
      <c r="A15485" s="5"/>
    </row>
    <row r="15486" spans="1:1" x14ac:dyDescent="0.25">
      <c r="A15486" s="5"/>
    </row>
    <row r="15487" spans="1:1" x14ac:dyDescent="0.25">
      <c r="A15487" s="5"/>
    </row>
    <row r="15488" spans="1:1" x14ac:dyDescent="0.25">
      <c r="A15488" s="5"/>
    </row>
    <row r="15489" spans="1:1" x14ac:dyDescent="0.25">
      <c r="A15489" s="5"/>
    </row>
    <row r="15490" spans="1:1" x14ac:dyDescent="0.25">
      <c r="A15490" s="5"/>
    </row>
    <row r="15491" spans="1:1" x14ac:dyDescent="0.25">
      <c r="A15491" s="5"/>
    </row>
    <row r="15492" spans="1:1" x14ac:dyDescent="0.25">
      <c r="A15492" s="5"/>
    </row>
    <row r="15493" spans="1:1" x14ac:dyDescent="0.25">
      <c r="A15493" s="5"/>
    </row>
    <row r="15494" spans="1:1" x14ac:dyDescent="0.25">
      <c r="A15494" s="5"/>
    </row>
    <row r="15495" spans="1:1" x14ac:dyDescent="0.25">
      <c r="A15495" s="5"/>
    </row>
    <row r="15496" spans="1:1" x14ac:dyDescent="0.25">
      <c r="A15496" s="5"/>
    </row>
    <row r="15497" spans="1:1" x14ac:dyDescent="0.25">
      <c r="A15497" s="5"/>
    </row>
    <row r="15498" spans="1:1" x14ac:dyDescent="0.25">
      <c r="A15498" s="5"/>
    </row>
    <row r="15499" spans="1:1" x14ac:dyDescent="0.25">
      <c r="A15499" s="5"/>
    </row>
    <row r="15500" spans="1:1" x14ac:dyDescent="0.25">
      <c r="A15500" s="5"/>
    </row>
    <row r="15501" spans="1:1" x14ac:dyDescent="0.25">
      <c r="A15501" s="5"/>
    </row>
    <row r="15502" spans="1:1" x14ac:dyDescent="0.25">
      <c r="A15502" s="5"/>
    </row>
    <row r="15503" spans="1:1" x14ac:dyDescent="0.25">
      <c r="A15503" s="5"/>
    </row>
    <row r="15504" spans="1:1" x14ac:dyDescent="0.25">
      <c r="A15504" s="5"/>
    </row>
    <row r="15505" spans="1:1" x14ac:dyDescent="0.25">
      <c r="A15505" s="5"/>
    </row>
    <row r="15506" spans="1:1" x14ac:dyDescent="0.25">
      <c r="A15506" s="5"/>
    </row>
    <row r="15507" spans="1:1" x14ac:dyDescent="0.25">
      <c r="A15507" s="5"/>
    </row>
    <row r="15508" spans="1:1" x14ac:dyDescent="0.25">
      <c r="A15508" s="5"/>
    </row>
    <row r="15509" spans="1:1" x14ac:dyDescent="0.25">
      <c r="A15509" s="5"/>
    </row>
    <row r="15510" spans="1:1" x14ac:dyDescent="0.25">
      <c r="A15510" s="5"/>
    </row>
    <row r="15511" spans="1:1" x14ac:dyDescent="0.25">
      <c r="A15511" s="5"/>
    </row>
    <row r="15512" spans="1:1" x14ac:dyDescent="0.25">
      <c r="A15512" s="5"/>
    </row>
    <row r="15513" spans="1:1" x14ac:dyDescent="0.25">
      <c r="A15513" s="5"/>
    </row>
    <row r="15514" spans="1:1" x14ac:dyDescent="0.25">
      <c r="A15514" s="5"/>
    </row>
    <row r="15515" spans="1:1" x14ac:dyDescent="0.25">
      <c r="A15515" s="5"/>
    </row>
    <row r="15516" spans="1:1" x14ac:dyDescent="0.25">
      <c r="A15516" s="5"/>
    </row>
    <row r="15517" spans="1:1" x14ac:dyDescent="0.25">
      <c r="A15517" s="5"/>
    </row>
    <row r="15518" spans="1:1" x14ac:dyDescent="0.25">
      <c r="A15518" s="5"/>
    </row>
    <row r="15519" spans="1:1" x14ac:dyDescent="0.25">
      <c r="A15519" s="5"/>
    </row>
    <row r="15520" spans="1:1" x14ac:dyDescent="0.25">
      <c r="A15520" s="5"/>
    </row>
    <row r="15521" spans="1:1" x14ac:dyDescent="0.25">
      <c r="A15521" s="5"/>
    </row>
    <row r="15522" spans="1:1" x14ac:dyDescent="0.25">
      <c r="A15522" s="5"/>
    </row>
    <row r="15523" spans="1:1" x14ac:dyDescent="0.25">
      <c r="A15523" s="5"/>
    </row>
    <row r="15524" spans="1:1" x14ac:dyDescent="0.25">
      <c r="A15524" s="5"/>
    </row>
    <row r="15525" spans="1:1" x14ac:dyDescent="0.25">
      <c r="A15525" s="5"/>
    </row>
    <row r="15526" spans="1:1" x14ac:dyDescent="0.25">
      <c r="A15526" s="5"/>
    </row>
    <row r="15527" spans="1:1" x14ac:dyDescent="0.25">
      <c r="A15527" s="5"/>
    </row>
    <row r="15528" spans="1:1" x14ac:dyDescent="0.25">
      <c r="A15528" s="5"/>
    </row>
    <row r="15529" spans="1:1" x14ac:dyDescent="0.25">
      <c r="A15529" s="5"/>
    </row>
    <row r="15530" spans="1:1" x14ac:dyDescent="0.25">
      <c r="A15530" s="5"/>
    </row>
    <row r="15531" spans="1:1" x14ac:dyDescent="0.25">
      <c r="A15531" s="5"/>
    </row>
    <row r="15532" spans="1:1" x14ac:dyDescent="0.25">
      <c r="A15532" s="5"/>
    </row>
    <row r="15533" spans="1:1" x14ac:dyDescent="0.25">
      <c r="A15533" s="5"/>
    </row>
    <row r="15534" spans="1:1" x14ac:dyDescent="0.25">
      <c r="A15534" s="5"/>
    </row>
    <row r="15535" spans="1:1" x14ac:dyDescent="0.25">
      <c r="A15535" s="5"/>
    </row>
    <row r="15536" spans="1:1" x14ac:dyDescent="0.25">
      <c r="A15536" s="5"/>
    </row>
    <row r="15537" spans="1:1" x14ac:dyDescent="0.25">
      <c r="A15537" s="5"/>
    </row>
    <row r="15538" spans="1:1" x14ac:dyDescent="0.25">
      <c r="A15538" s="5"/>
    </row>
    <row r="15539" spans="1:1" x14ac:dyDescent="0.25">
      <c r="A15539" s="5"/>
    </row>
    <row r="15540" spans="1:1" x14ac:dyDescent="0.25">
      <c r="A15540" s="5"/>
    </row>
    <row r="15541" spans="1:1" x14ac:dyDescent="0.25">
      <c r="A15541" s="5"/>
    </row>
    <row r="15542" spans="1:1" x14ac:dyDescent="0.25">
      <c r="A15542" s="5"/>
    </row>
    <row r="15543" spans="1:1" x14ac:dyDescent="0.25">
      <c r="A15543" s="5"/>
    </row>
    <row r="15544" spans="1:1" x14ac:dyDescent="0.25">
      <c r="A15544" s="5"/>
    </row>
    <row r="15545" spans="1:1" x14ac:dyDescent="0.25">
      <c r="A15545" s="5"/>
    </row>
    <row r="15546" spans="1:1" x14ac:dyDescent="0.25">
      <c r="A15546" s="5"/>
    </row>
    <row r="15547" spans="1:1" x14ac:dyDescent="0.25">
      <c r="A15547" s="5"/>
    </row>
    <row r="15548" spans="1:1" x14ac:dyDescent="0.25">
      <c r="A15548" s="5"/>
    </row>
    <row r="15549" spans="1:1" x14ac:dyDescent="0.25">
      <c r="A15549" s="5"/>
    </row>
    <row r="15550" spans="1:1" x14ac:dyDescent="0.25">
      <c r="A15550" s="5"/>
    </row>
    <row r="15551" spans="1:1" x14ac:dyDescent="0.25">
      <c r="A15551" s="5"/>
    </row>
    <row r="15552" spans="1:1" x14ac:dyDescent="0.25">
      <c r="A15552" s="5"/>
    </row>
    <row r="15553" spans="1:1" x14ac:dyDescent="0.25">
      <c r="A15553" s="5"/>
    </row>
    <row r="15554" spans="1:1" x14ac:dyDescent="0.25">
      <c r="A15554" s="5"/>
    </row>
    <row r="15555" spans="1:1" x14ac:dyDescent="0.25">
      <c r="A15555" s="5"/>
    </row>
    <row r="15556" spans="1:1" x14ac:dyDescent="0.25">
      <c r="A15556" s="5"/>
    </row>
    <row r="15557" spans="1:1" x14ac:dyDescent="0.25">
      <c r="A15557" s="5"/>
    </row>
    <row r="15558" spans="1:1" x14ac:dyDescent="0.25">
      <c r="A15558" s="5"/>
    </row>
    <row r="15559" spans="1:1" x14ac:dyDescent="0.25">
      <c r="A15559" s="5"/>
    </row>
    <row r="15560" spans="1:1" x14ac:dyDescent="0.25">
      <c r="A15560" s="5"/>
    </row>
    <row r="15561" spans="1:1" x14ac:dyDescent="0.25">
      <c r="A15561" s="5"/>
    </row>
    <row r="15562" spans="1:1" x14ac:dyDescent="0.25">
      <c r="A15562" s="5"/>
    </row>
    <row r="15563" spans="1:1" x14ac:dyDescent="0.25">
      <c r="A15563" s="5"/>
    </row>
    <row r="15564" spans="1:1" x14ac:dyDescent="0.25">
      <c r="A15564" s="5"/>
    </row>
    <row r="15565" spans="1:1" x14ac:dyDescent="0.25">
      <c r="A15565" s="5"/>
    </row>
    <row r="15566" spans="1:1" x14ac:dyDescent="0.25">
      <c r="A15566" s="5"/>
    </row>
    <row r="15567" spans="1:1" x14ac:dyDescent="0.25">
      <c r="A15567" s="5"/>
    </row>
    <row r="15568" spans="1:1" x14ac:dyDescent="0.25">
      <c r="A15568" s="5"/>
    </row>
    <row r="15569" spans="1:1" x14ac:dyDescent="0.25">
      <c r="A15569" s="5"/>
    </row>
    <row r="15570" spans="1:1" x14ac:dyDescent="0.25">
      <c r="A15570" s="5"/>
    </row>
    <row r="15571" spans="1:1" x14ac:dyDescent="0.25">
      <c r="A15571" s="5"/>
    </row>
    <row r="15572" spans="1:1" x14ac:dyDescent="0.25">
      <c r="A15572" s="5"/>
    </row>
    <row r="15573" spans="1:1" x14ac:dyDescent="0.25">
      <c r="A15573" s="5"/>
    </row>
    <row r="15574" spans="1:1" x14ac:dyDescent="0.25">
      <c r="A15574" s="5"/>
    </row>
    <row r="15575" spans="1:1" x14ac:dyDescent="0.25">
      <c r="A15575" s="5"/>
    </row>
    <row r="15576" spans="1:1" x14ac:dyDescent="0.25">
      <c r="A15576" s="5"/>
    </row>
    <row r="15577" spans="1:1" x14ac:dyDescent="0.25">
      <c r="A15577" s="5"/>
    </row>
    <row r="15578" spans="1:1" x14ac:dyDescent="0.25">
      <c r="A15578" s="5"/>
    </row>
    <row r="15579" spans="1:1" x14ac:dyDescent="0.25">
      <c r="A15579" s="5"/>
    </row>
    <row r="15580" spans="1:1" x14ac:dyDescent="0.25">
      <c r="A15580" s="5"/>
    </row>
    <row r="15581" spans="1:1" x14ac:dyDescent="0.25">
      <c r="A15581" s="5"/>
    </row>
    <row r="15582" spans="1:1" x14ac:dyDescent="0.25">
      <c r="A15582" s="5"/>
    </row>
    <row r="15583" spans="1:1" x14ac:dyDescent="0.25">
      <c r="A15583" s="5"/>
    </row>
    <row r="15584" spans="1:1" x14ac:dyDescent="0.25">
      <c r="A15584" s="5"/>
    </row>
    <row r="15585" spans="1:1" x14ac:dyDescent="0.25">
      <c r="A15585" s="5"/>
    </row>
    <row r="15586" spans="1:1" x14ac:dyDescent="0.25">
      <c r="A15586" s="5"/>
    </row>
    <row r="15587" spans="1:1" x14ac:dyDescent="0.25">
      <c r="A15587" s="5"/>
    </row>
    <row r="15588" spans="1:1" x14ac:dyDescent="0.25">
      <c r="A15588" s="5"/>
    </row>
    <row r="15589" spans="1:1" x14ac:dyDescent="0.25">
      <c r="A15589" s="5"/>
    </row>
    <row r="15590" spans="1:1" x14ac:dyDescent="0.25">
      <c r="A15590" s="5"/>
    </row>
    <row r="15591" spans="1:1" x14ac:dyDescent="0.25">
      <c r="A15591" s="5"/>
    </row>
    <row r="15592" spans="1:1" x14ac:dyDescent="0.25">
      <c r="A15592" s="5"/>
    </row>
    <row r="15593" spans="1:1" x14ac:dyDescent="0.25">
      <c r="A15593" s="5"/>
    </row>
    <row r="15594" spans="1:1" x14ac:dyDescent="0.25">
      <c r="A15594" s="5"/>
    </row>
    <row r="15595" spans="1:1" x14ac:dyDescent="0.25">
      <c r="A15595" s="5"/>
    </row>
    <row r="15596" spans="1:1" x14ac:dyDescent="0.25">
      <c r="A15596" s="5"/>
    </row>
    <row r="15597" spans="1:1" x14ac:dyDescent="0.25">
      <c r="A15597" s="5"/>
    </row>
    <row r="15598" spans="1:1" x14ac:dyDescent="0.25">
      <c r="A15598" s="5"/>
    </row>
    <row r="15599" spans="1:1" x14ac:dyDescent="0.25">
      <c r="A15599" s="5"/>
    </row>
    <row r="15600" spans="1:1" x14ac:dyDescent="0.25">
      <c r="A15600" s="5"/>
    </row>
    <row r="15601" spans="1:1" x14ac:dyDescent="0.25">
      <c r="A15601" s="5"/>
    </row>
    <row r="15602" spans="1:1" x14ac:dyDescent="0.25">
      <c r="A15602" s="5"/>
    </row>
    <row r="15603" spans="1:1" x14ac:dyDescent="0.25">
      <c r="A15603" s="5"/>
    </row>
    <row r="15604" spans="1:1" x14ac:dyDescent="0.25">
      <c r="A15604" s="5"/>
    </row>
    <row r="15605" spans="1:1" x14ac:dyDescent="0.25">
      <c r="A15605" s="5"/>
    </row>
    <row r="15606" spans="1:1" x14ac:dyDescent="0.25">
      <c r="A15606" s="5"/>
    </row>
    <row r="15607" spans="1:1" x14ac:dyDescent="0.25">
      <c r="A15607" s="5"/>
    </row>
    <row r="15608" spans="1:1" x14ac:dyDescent="0.25">
      <c r="A15608" s="5"/>
    </row>
    <row r="15609" spans="1:1" x14ac:dyDescent="0.25">
      <c r="A15609" s="5"/>
    </row>
    <row r="15610" spans="1:1" x14ac:dyDescent="0.25">
      <c r="A15610" s="5"/>
    </row>
    <row r="15611" spans="1:1" x14ac:dyDescent="0.25">
      <c r="A15611" s="5"/>
    </row>
    <row r="15612" spans="1:1" x14ac:dyDescent="0.25">
      <c r="A15612" s="5"/>
    </row>
    <row r="15613" spans="1:1" x14ac:dyDescent="0.25">
      <c r="A15613" s="5"/>
    </row>
    <row r="15614" spans="1:1" x14ac:dyDescent="0.25">
      <c r="A15614" s="5"/>
    </row>
    <row r="15615" spans="1:1" x14ac:dyDescent="0.25">
      <c r="A15615" s="5"/>
    </row>
    <row r="15616" spans="1:1" x14ac:dyDescent="0.25">
      <c r="A15616" s="5"/>
    </row>
    <row r="15617" spans="1:1" x14ac:dyDescent="0.25">
      <c r="A15617" s="5"/>
    </row>
    <row r="15618" spans="1:1" x14ac:dyDescent="0.25">
      <c r="A15618" s="5"/>
    </row>
    <row r="15619" spans="1:1" x14ac:dyDescent="0.25">
      <c r="A15619" s="5"/>
    </row>
    <row r="15620" spans="1:1" x14ac:dyDescent="0.25">
      <c r="A15620" s="5"/>
    </row>
    <row r="15621" spans="1:1" x14ac:dyDescent="0.25">
      <c r="A15621" s="5"/>
    </row>
    <row r="15622" spans="1:1" x14ac:dyDescent="0.25">
      <c r="A15622" s="5"/>
    </row>
    <row r="15623" spans="1:1" x14ac:dyDescent="0.25">
      <c r="A15623" s="5"/>
    </row>
    <row r="15624" spans="1:1" x14ac:dyDescent="0.25">
      <c r="A15624" s="5"/>
    </row>
    <row r="15625" spans="1:1" x14ac:dyDescent="0.25">
      <c r="A15625" s="5"/>
    </row>
    <row r="15626" spans="1:1" x14ac:dyDescent="0.25">
      <c r="A15626" s="5"/>
    </row>
    <row r="15627" spans="1:1" x14ac:dyDescent="0.25">
      <c r="A15627" s="5"/>
    </row>
    <row r="15628" spans="1:1" x14ac:dyDescent="0.25">
      <c r="A15628" s="5"/>
    </row>
    <row r="15629" spans="1:1" x14ac:dyDescent="0.25">
      <c r="A15629" s="5"/>
    </row>
    <row r="15630" spans="1:1" x14ac:dyDescent="0.25">
      <c r="A15630" s="5"/>
    </row>
    <row r="15631" spans="1:1" x14ac:dyDescent="0.25">
      <c r="A15631" s="5"/>
    </row>
    <row r="15632" spans="1:1" x14ac:dyDescent="0.25">
      <c r="A15632" s="5"/>
    </row>
    <row r="15633" spans="1:1" x14ac:dyDescent="0.25">
      <c r="A15633" s="5"/>
    </row>
    <row r="15634" spans="1:1" x14ac:dyDescent="0.25">
      <c r="A15634" s="5"/>
    </row>
    <row r="15635" spans="1:1" x14ac:dyDescent="0.25">
      <c r="A15635" s="5"/>
    </row>
    <row r="15636" spans="1:1" x14ac:dyDescent="0.25">
      <c r="A15636" s="5"/>
    </row>
    <row r="15637" spans="1:1" x14ac:dyDescent="0.25">
      <c r="A15637" s="5"/>
    </row>
    <row r="15638" spans="1:1" x14ac:dyDescent="0.25">
      <c r="A15638" s="5"/>
    </row>
    <row r="15639" spans="1:1" x14ac:dyDescent="0.25">
      <c r="A15639" s="5"/>
    </row>
    <row r="15640" spans="1:1" x14ac:dyDescent="0.25">
      <c r="A15640" s="5"/>
    </row>
    <row r="15641" spans="1:1" x14ac:dyDescent="0.25">
      <c r="A15641" s="5"/>
    </row>
    <row r="15642" spans="1:1" x14ac:dyDescent="0.25">
      <c r="A15642" s="5"/>
    </row>
    <row r="15643" spans="1:1" x14ac:dyDescent="0.25">
      <c r="A15643" s="5"/>
    </row>
    <row r="15644" spans="1:1" x14ac:dyDescent="0.25">
      <c r="A15644" s="5"/>
    </row>
    <row r="15645" spans="1:1" x14ac:dyDescent="0.25">
      <c r="A15645" s="5"/>
    </row>
    <row r="15646" spans="1:1" x14ac:dyDescent="0.25">
      <c r="A15646" s="5"/>
    </row>
    <row r="15647" spans="1:1" x14ac:dyDescent="0.25">
      <c r="A15647" s="5"/>
    </row>
    <row r="15648" spans="1:1" x14ac:dyDescent="0.25">
      <c r="A15648" s="5"/>
    </row>
    <row r="15649" spans="1:1" x14ac:dyDescent="0.25">
      <c r="A15649" s="5"/>
    </row>
    <row r="15650" spans="1:1" x14ac:dyDescent="0.25">
      <c r="A15650" s="5"/>
    </row>
    <row r="15651" spans="1:1" x14ac:dyDescent="0.25">
      <c r="A15651" s="5"/>
    </row>
    <row r="15652" spans="1:1" x14ac:dyDescent="0.25">
      <c r="A15652" s="5"/>
    </row>
    <row r="15653" spans="1:1" x14ac:dyDescent="0.25">
      <c r="A15653" s="5"/>
    </row>
    <row r="15654" spans="1:1" x14ac:dyDescent="0.25">
      <c r="A15654" s="5"/>
    </row>
    <row r="15655" spans="1:1" x14ac:dyDescent="0.25">
      <c r="A15655" s="5"/>
    </row>
    <row r="15656" spans="1:1" x14ac:dyDescent="0.25">
      <c r="A15656" s="5"/>
    </row>
    <row r="15657" spans="1:1" x14ac:dyDescent="0.25">
      <c r="A15657" s="5"/>
    </row>
    <row r="15658" spans="1:1" x14ac:dyDescent="0.25">
      <c r="A15658" s="5"/>
    </row>
    <row r="15659" spans="1:1" x14ac:dyDescent="0.25">
      <c r="A15659" s="5"/>
    </row>
    <row r="15660" spans="1:1" x14ac:dyDescent="0.25">
      <c r="A15660" s="5"/>
    </row>
    <row r="15661" spans="1:1" x14ac:dyDescent="0.25">
      <c r="A15661" s="5"/>
    </row>
    <row r="15662" spans="1:1" x14ac:dyDescent="0.25">
      <c r="A15662" s="5"/>
    </row>
    <row r="15663" spans="1:1" x14ac:dyDescent="0.25">
      <c r="A15663" s="5"/>
    </row>
    <row r="15664" spans="1:1" x14ac:dyDescent="0.25">
      <c r="A15664" s="5"/>
    </row>
    <row r="15665" spans="1:1" x14ac:dyDescent="0.25">
      <c r="A15665" s="5"/>
    </row>
    <row r="15666" spans="1:1" x14ac:dyDescent="0.25">
      <c r="A15666" s="5"/>
    </row>
    <row r="15667" spans="1:1" x14ac:dyDescent="0.25">
      <c r="A15667" s="5"/>
    </row>
    <row r="15668" spans="1:1" x14ac:dyDescent="0.25">
      <c r="A15668" s="5"/>
    </row>
    <row r="15669" spans="1:1" x14ac:dyDescent="0.25">
      <c r="A15669" s="5"/>
    </row>
    <row r="15670" spans="1:1" x14ac:dyDescent="0.25">
      <c r="A15670" s="5"/>
    </row>
    <row r="15671" spans="1:1" x14ac:dyDescent="0.25">
      <c r="A15671" s="5"/>
    </row>
    <row r="15672" spans="1:1" x14ac:dyDescent="0.25">
      <c r="A15672" s="5"/>
    </row>
    <row r="15673" spans="1:1" x14ac:dyDescent="0.25">
      <c r="A15673" s="5"/>
    </row>
    <row r="15674" spans="1:1" x14ac:dyDescent="0.25">
      <c r="A15674" s="5"/>
    </row>
    <row r="15675" spans="1:1" x14ac:dyDescent="0.25">
      <c r="A15675" s="5"/>
    </row>
    <row r="15676" spans="1:1" x14ac:dyDescent="0.25">
      <c r="A15676" s="5"/>
    </row>
    <row r="15677" spans="1:1" x14ac:dyDescent="0.25">
      <c r="A15677" s="5"/>
    </row>
    <row r="15678" spans="1:1" x14ac:dyDescent="0.25">
      <c r="A15678" s="5"/>
    </row>
    <row r="15679" spans="1:1" x14ac:dyDescent="0.25">
      <c r="A15679" s="5"/>
    </row>
    <row r="15680" spans="1:1" x14ac:dyDescent="0.25">
      <c r="A15680" s="5"/>
    </row>
    <row r="15681" spans="1:1" x14ac:dyDescent="0.25">
      <c r="A15681" s="5"/>
    </row>
    <row r="15682" spans="1:1" x14ac:dyDescent="0.25">
      <c r="A15682" s="5"/>
    </row>
    <row r="15683" spans="1:1" x14ac:dyDescent="0.25">
      <c r="A15683" s="5"/>
    </row>
    <row r="15684" spans="1:1" x14ac:dyDescent="0.25">
      <c r="A15684" s="5"/>
    </row>
    <row r="15685" spans="1:1" x14ac:dyDescent="0.25">
      <c r="A15685" s="5"/>
    </row>
    <row r="15686" spans="1:1" x14ac:dyDescent="0.25">
      <c r="A15686" s="5"/>
    </row>
    <row r="15687" spans="1:1" x14ac:dyDescent="0.25">
      <c r="A15687" s="5"/>
    </row>
    <row r="15688" spans="1:1" x14ac:dyDescent="0.25">
      <c r="A15688" s="5"/>
    </row>
    <row r="15689" spans="1:1" x14ac:dyDescent="0.25">
      <c r="A15689" s="5"/>
    </row>
    <row r="15690" spans="1:1" x14ac:dyDescent="0.25">
      <c r="A15690" s="5"/>
    </row>
    <row r="15691" spans="1:1" x14ac:dyDescent="0.25">
      <c r="A15691" s="5"/>
    </row>
    <row r="15692" spans="1:1" x14ac:dyDescent="0.25">
      <c r="A15692" s="5"/>
    </row>
    <row r="15693" spans="1:1" x14ac:dyDescent="0.25">
      <c r="A15693" s="5"/>
    </row>
    <row r="15694" spans="1:1" x14ac:dyDescent="0.25">
      <c r="A15694" s="5"/>
    </row>
    <row r="15695" spans="1:1" x14ac:dyDescent="0.25">
      <c r="A15695" s="5"/>
    </row>
    <row r="15696" spans="1:1" x14ac:dyDescent="0.25">
      <c r="A15696" s="5"/>
    </row>
    <row r="15697" spans="1:1" x14ac:dyDescent="0.25">
      <c r="A15697" s="5"/>
    </row>
    <row r="15698" spans="1:1" x14ac:dyDescent="0.25">
      <c r="A15698" s="5"/>
    </row>
    <row r="15699" spans="1:1" x14ac:dyDescent="0.25">
      <c r="A15699" s="5"/>
    </row>
    <row r="15700" spans="1:1" x14ac:dyDescent="0.25">
      <c r="A15700" s="5"/>
    </row>
    <row r="15701" spans="1:1" x14ac:dyDescent="0.25">
      <c r="A15701" s="5"/>
    </row>
    <row r="15702" spans="1:1" x14ac:dyDescent="0.25">
      <c r="A15702" s="5"/>
    </row>
    <row r="15703" spans="1:1" x14ac:dyDescent="0.25">
      <c r="A15703" s="5"/>
    </row>
    <row r="15704" spans="1:1" x14ac:dyDescent="0.25">
      <c r="A15704" s="5"/>
    </row>
    <row r="15705" spans="1:1" x14ac:dyDescent="0.25">
      <c r="A15705" s="5"/>
    </row>
    <row r="15706" spans="1:1" x14ac:dyDescent="0.25">
      <c r="A15706" s="5"/>
    </row>
    <row r="15707" spans="1:1" x14ac:dyDescent="0.25">
      <c r="A15707" s="5"/>
    </row>
    <row r="15708" spans="1:1" x14ac:dyDescent="0.25">
      <c r="A15708" s="5"/>
    </row>
    <row r="15709" spans="1:1" x14ac:dyDescent="0.25">
      <c r="A15709" s="5"/>
    </row>
    <row r="15710" spans="1:1" x14ac:dyDescent="0.25">
      <c r="A15710" s="5"/>
    </row>
    <row r="15711" spans="1:1" x14ac:dyDescent="0.25">
      <c r="A15711" s="5"/>
    </row>
    <row r="15712" spans="1:1" x14ac:dyDescent="0.25">
      <c r="A15712" s="5"/>
    </row>
    <row r="15713" spans="1:1" x14ac:dyDescent="0.25">
      <c r="A15713" s="5"/>
    </row>
    <row r="15714" spans="1:1" x14ac:dyDescent="0.25">
      <c r="A15714" s="5"/>
    </row>
    <row r="15715" spans="1:1" x14ac:dyDescent="0.25">
      <c r="A15715" s="5"/>
    </row>
    <row r="15716" spans="1:1" x14ac:dyDescent="0.25">
      <c r="A15716" s="5"/>
    </row>
    <row r="15717" spans="1:1" x14ac:dyDescent="0.25">
      <c r="A15717" s="5"/>
    </row>
    <row r="15718" spans="1:1" x14ac:dyDescent="0.25">
      <c r="A15718" s="5"/>
    </row>
    <row r="15719" spans="1:1" x14ac:dyDescent="0.25">
      <c r="A15719" s="5"/>
    </row>
    <row r="15720" spans="1:1" x14ac:dyDescent="0.25">
      <c r="A15720" s="5"/>
    </row>
    <row r="15721" spans="1:1" x14ac:dyDescent="0.25">
      <c r="A15721" s="5"/>
    </row>
    <row r="15722" spans="1:1" x14ac:dyDescent="0.25">
      <c r="A15722" s="5"/>
    </row>
    <row r="15723" spans="1:1" x14ac:dyDescent="0.25">
      <c r="A15723" s="5"/>
    </row>
    <row r="15724" spans="1:1" x14ac:dyDescent="0.25">
      <c r="A15724" s="5"/>
    </row>
    <row r="15725" spans="1:1" x14ac:dyDescent="0.25">
      <c r="A15725" s="5"/>
    </row>
    <row r="15726" spans="1:1" x14ac:dyDescent="0.25">
      <c r="A15726" s="5"/>
    </row>
    <row r="15727" spans="1:1" x14ac:dyDescent="0.25">
      <c r="A15727" s="5"/>
    </row>
    <row r="15728" spans="1:1" x14ac:dyDescent="0.25">
      <c r="A15728" s="5"/>
    </row>
    <row r="15729" spans="1:1" x14ac:dyDescent="0.25">
      <c r="A15729" s="5"/>
    </row>
    <row r="15730" spans="1:1" x14ac:dyDescent="0.25">
      <c r="A15730" s="5"/>
    </row>
    <row r="15731" spans="1:1" x14ac:dyDescent="0.25">
      <c r="A15731" s="5"/>
    </row>
    <row r="15732" spans="1:1" x14ac:dyDescent="0.25">
      <c r="A15732" s="5"/>
    </row>
    <row r="15733" spans="1:1" x14ac:dyDescent="0.25">
      <c r="A15733" s="5"/>
    </row>
    <row r="15734" spans="1:1" x14ac:dyDescent="0.25">
      <c r="A15734" s="5"/>
    </row>
    <row r="15735" spans="1:1" x14ac:dyDescent="0.25">
      <c r="A15735" s="5"/>
    </row>
    <row r="15736" spans="1:1" x14ac:dyDescent="0.25">
      <c r="A15736" s="5"/>
    </row>
    <row r="15737" spans="1:1" x14ac:dyDescent="0.25">
      <c r="A15737" s="5"/>
    </row>
    <row r="15738" spans="1:1" x14ac:dyDescent="0.25">
      <c r="A15738" s="5"/>
    </row>
    <row r="15739" spans="1:1" x14ac:dyDescent="0.25">
      <c r="A15739" s="5"/>
    </row>
    <row r="15740" spans="1:1" x14ac:dyDescent="0.25">
      <c r="A15740" s="5"/>
    </row>
    <row r="15741" spans="1:1" x14ac:dyDescent="0.25">
      <c r="A15741" s="5"/>
    </row>
    <row r="15742" spans="1:1" x14ac:dyDescent="0.25">
      <c r="A15742" s="5"/>
    </row>
    <row r="15743" spans="1:1" x14ac:dyDescent="0.25">
      <c r="A15743" s="5"/>
    </row>
    <row r="15744" spans="1:1" x14ac:dyDescent="0.25">
      <c r="A15744" s="5"/>
    </row>
    <row r="15745" spans="1:1" x14ac:dyDescent="0.25">
      <c r="A15745" s="5"/>
    </row>
    <row r="15746" spans="1:1" x14ac:dyDescent="0.25">
      <c r="A15746" s="5"/>
    </row>
    <row r="15747" spans="1:1" x14ac:dyDescent="0.25">
      <c r="A15747" s="5"/>
    </row>
    <row r="15748" spans="1:1" x14ac:dyDescent="0.25">
      <c r="A15748" s="5"/>
    </row>
    <row r="15749" spans="1:1" x14ac:dyDescent="0.25">
      <c r="A15749" s="5"/>
    </row>
    <row r="15750" spans="1:1" x14ac:dyDescent="0.25">
      <c r="A15750" s="5"/>
    </row>
    <row r="15751" spans="1:1" x14ac:dyDescent="0.25">
      <c r="A15751" s="5"/>
    </row>
    <row r="15752" spans="1:1" x14ac:dyDescent="0.25">
      <c r="A15752" s="5"/>
    </row>
    <row r="15753" spans="1:1" x14ac:dyDescent="0.25">
      <c r="A15753" s="5"/>
    </row>
    <row r="15754" spans="1:1" x14ac:dyDescent="0.25">
      <c r="A15754" s="5"/>
    </row>
    <row r="15755" spans="1:1" x14ac:dyDescent="0.25">
      <c r="A15755" s="5"/>
    </row>
    <row r="15756" spans="1:1" x14ac:dyDescent="0.25">
      <c r="A15756" s="5"/>
    </row>
    <row r="15757" spans="1:1" x14ac:dyDescent="0.25">
      <c r="A15757" s="5"/>
    </row>
    <row r="15758" spans="1:1" x14ac:dyDescent="0.25">
      <c r="A15758" s="5"/>
    </row>
    <row r="15759" spans="1:1" x14ac:dyDescent="0.25">
      <c r="A15759" s="5"/>
    </row>
    <row r="15760" spans="1:1" x14ac:dyDescent="0.25">
      <c r="A15760" s="5"/>
    </row>
    <row r="15761" spans="1:1" x14ac:dyDescent="0.25">
      <c r="A15761" s="5"/>
    </row>
    <row r="15762" spans="1:1" x14ac:dyDescent="0.25">
      <c r="A15762" s="5"/>
    </row>
    <row r="15763" spans="1:1" x14ac:dyDescent="0.25">
      <c r="A15763" s="5"/>
    </row>
    <row r="15764" spans="1:1" x14ac:dyDescent="0.25">
      <c r="A15764" s="5"/>
    </row>
    <row r="15765" spans="1:1" x14ac:dyDescent="0.25">
      <c r="A15765" s="5"/>
    </row>
    <row r="15766" spans="1:1" x14ac:dyDescent="0.25">
      <c r="A15766" s="5"/>
    </row>
    <row r="15767" spans="1:1" x14ac:dyDescent="0.25">
      <c r="A15767" s="5"/>
    </row>
    <row r="15768" spans="1:1" x14ac:dyDescent="0.25">
      <c r="A15768" s="5"/>
    </row>
    <row r="15769" spans="1:1" x14ac:dyDescent="0.25">
      <c r="A15769" s="5"/>
    </row>
    <row r="15770" spans="1:1" x14ac:dyDescent="0.25">
      <c r="A15770" s="5"/>
    </row>
    <row r="15771" spans="1:1" x14ac:dyDescent="0.25">
      <c r="A15771" s="5"/>
    </row>
    <row r="15772" spans="1:1" x14ac:dyDescent="0.25">
      <c r="A15772" s="5"/>
    </row>
    <row r="15773" spans="1:1" x14ac:dyDescent="0.25">
      <c r="A15773" s="5"/>
    </row>
    <row r="15774" spans="1:1" x14ac:dyDescent="0.25">
      <c r="A15774" s="5"/>
    </row>
    <row r="15775" spans="1:1" x14ac:dyDescent="0.25">
      <c r="A15775" s="5"/>
    </row>
    <row r="15776" spans="1:1" x14ac:dyDescent="0.25">
      <c r="A15776" s="5"/>
    </row>
    <row r="15777" spans="1:1" x14ac:dyDescent="0.25">
      <c r="A15777" s="5"/>
    </row>
    <row r="15778" spans="1:1" x14ac:dyDescent="0.25">
      <c r="A15778" s="5"/>
    </row>
    <row r="15779" spans="1:1" x14ac:dyDescent="0.25">
      <c r="A15779" s="5"/>
    </row>
    <row r="15780" spans="1:1" x14ac:dyDescent="0.25">
      <c r="A15780" s="5"/>
    </row>
    <row r="15781" spans="1:1" x14ac:dyDescent="0.25">
      <c r="A15781" s="5"/>
    </row>
    <row r="15782" spans="1:1" x14ac:dyDescent="0.25">
      <c r="A15782" s="5"/>
    </row>
    <row r="15783" spans="1:1" x14ac:dyDescent="0.25">
      <c r="A15783" s="5"/>
    </row>
    <row r="15784" spans="1:1" x14ac:dyDescent="0.25">
      <c r="A15784" s="5"/>
    </row>
    <row r="15785" spans="1:1" x14ac:dyDescent="0.25">
      <c r="A15785" s="5"/>
    </row>
    <row r="15786" spans="1:1" x14ac:dyDescent="0.25">
      <c r="A15786" s="5"/>
    </row>
    <row r="15787" spans="1:1" x14ac:dyDescent="0.25">
      <c r="A15787" s="5"/>
    </row>
    <row r="15788" spans="1:1" x14ac:dyDescent="0.25">
      <c r="A15788" s="5"/>
    </row>
    <row r="15789" spans="1:1" x14ac:dyDescent="0.25">
      <c r="A15789" s="5"/>
    </row>
    <row r="15790" spans="1:1" x14ac:dyDescent="0.25">
      <c r="A15790" s="5"/>
    </row>
    <row r="15791" spans="1:1" x14ac:dyDescent="0.25">
      <c r="A15791" s="5"/>
    </row>
    <row r="15792" spans="1:1" x14ac:dyDescent="0.25">
      <c r="A15792" s="5"/>
    </row>
    <row r="15793" spans="1:1" x14ac:dyDescent="0.25">
      <c r="A15793" s="5"/>
    </row>
    <row r="15794" spans="1:1" x14ac:dyDescent="0.25">
      <c r="A15794" s="5"/>
    </row>
    <row r="15795" spans="1:1" x14ac:dyDescent="0.25">
      <c r="A15795" s="5"/>
    </row>
    <row r="15796" spans="1:1" x14ac:dyDescent="0.25">
      <c r="A15796" s="5"/>
    </row>
    <row r="15797" spans="1:1" x14ac:dyDescent="0.25">
      <c r="A15797" s="5"/>
    </row>
    <row r="15798" spans="1:1" x14ac:dyDescent="0.25">
      <c r="A15798" s="5"/>
    </row>
    <row r="15799" spans="1:1" x14ac:dyDescent="0.25">
      <c r="A15799" s="5"/>
    </row>
    <row r="15800" spans="1:1" x14ac:dyDescent="0.25">
      <c r="A15800" s="5"/>
    </row>
    <row r="15801" spans="1:1" x14ac:dyDescent="0.25">
      <c r="A15801" s="5"/>
    </row>
    <row r="15802" spans="1:1" x14ac:dyDescent="0.25">
      <c r="A15802" s="5"/>
    </row>
    <row r="15803" spans="1:1" x14ac:dyDescent="0.25">
      <c r="A15803" s="5"/>
    </row>
    <row r="15804" spans="1:1" x14ac:dyDescent="0.25">
      <c r="A15804" s="5"/>
    </row>
    <row r="15805" spans="1:1" x14ac:dyDescent="0.25">
      <c r="A15805" s="5"/>
    </row>
    <row r="15806" spans="1:1" x14ac:dyDescent="0.25">
      <c r="A15806" s="5"/>
    </row>
    <row r="15807" spans="1:1" x14ac:dyDescent="0.25">
      <c r="A15807" s="5"/>
    </row>
    <row r="15808" spans="1:1" x14ac:dyDescent="0.25">
      <c r="A15808" s="5"/>
    </row>
    <row r="15809" spans="1:1" x14ac:dyDescent="0.25">
      <c r="A15809" s="5"/>
    </row>
    <row r="15810" spans="1:1" x14ac:dyDescent="0.25">
      <c r="A15810" s="5"/>
    </row>
    <row r="15811" spans="1:1" x14ac:dyDescent="0.25">
      <c r="A15811" s="5"/>
    </row>
    <row r="15812" spans="1:1" x14ac:dyDescent="0.25">
      <c r="A15812" s="5"/>
    </row>
    <row r="15813" spans="1:1" x14ac:dyDescent="0.25">
      <c r="A15813" s="5"/>
    </row>
    <row r="15814" spans="1:1" x14ac:dyDescent="0.25">
      <c r="A15814" s="5"/>
    </row>
    <row r="15815" spans="1:1" x14ac:dyDescent="0.25">
      <c r="A15815" s="5"/>
    </row>
    <row r="15816" spans="1:1" x14ac:dyDescent="0.25">
      <c r="A15816" s="5"/>
    </row>
    <row r="15817" spans="1:1" x14ac:dyDescent="0.25">
      <c r="A15817" s="5"/>
    </row>
    <row r="15818" spans="1:1" x14ac:dyDescent="0.25">
      <c r="A15818" s="5"/>
    </row>
    <row r="15819" spans="1:1" x14ac:dyDescent="0.25">
      <c r="A15819" s="5"/>
    </row>
    <row r="15820" spans="1:1" x14ac:dyDescent="0.25">
      <c r="A15820" s="5"/>
    </row>
    <row r="15821" spans="1:1" x14ac:dyDescent="0.25">
      <c r="A15821" s="5"/>
    </row>
    <row r="15822" spans="1:1" x14ac:dyDescent="0.25">
      <c r="A15822" s="5"/>
    </row>
    <row r="15823" spans="1:1" x14ac:dyDescent="0.25">
      <c r="A15823" s="5"/>
    </row>
    <row r="15824" spans="1:1" x14ac:dyDescent="0.25">
      <c r="A15824" s="5"/>
    </row>
    <row r="15825" spans="1:1" x14ac:dyDescent="0.25">
      <c r="A15825" s="5"/>
    </row>
    <row r="15826" spans="1:1" x14ac:dyDescent="0.25">
      <c r="A15826" s="5"/>
    </row>
    <row r="15827" spans="1:1" x14ac:dyDescent="0.25">
      <c r="A15827" s="5"/>
    </row>
    <row r="15828" spans="1:1" x14ac:dyDescent="0.25">
      <c r="A15828" s="5"/>
    </row>
    <row r="15829" spans="1:1" x14ac:dyDescent="0.25">
      <c r="A15829" s="5"/>
    </row>
    <row r="15830" spans="1:1" x14ac:dyDescent="0.25">
      <c r="A15830" s="5"/>
    </row>
    <row r="15831" spans="1:1" x14ac:dyDescent="0.25">
      <c r="A15831" s="5"/>
    </row>
    <row r="15832" spans="1:1" x14ac:dyDescent="0.25">
      <c r="A15832" s="5"/>
    </row>
    <row r="15833" spans="1:1" x14ac:dyDescent="0.25">
      <c r="A15833" s="5"/>
    </row>
    <row r="15834" spans="1:1" x14ac:dyDescent="0.25">
      <c r="A15834" s="5"/>
    </row>
    <row r="15835" spans="1:1" x14ac:dyDescent="0.25">
      <c r="A15835" s="5"/>
    </row>
    <row r="15836" spans="1:1" x14ac:dyDescent="0.25">
      <c r="A15836" s="5"/>
    </row>
    <row r="15837" spans="1:1" x14ac:dyDescent="0.25">
      <c r="A15837" s="5"/>
    </row>
    <row r="15838" spans="1:1" x14ac:dyDescent="0.25">
      <c r="A15838" s="5"/>
    </row>
    <row r="15839" spans="1:1" x14ac:dyDescent="0.25">
      <c r="A15839" s="5"/>
    </row>
    <row r="15840" spans="1:1" x14ac:dyDescent="0.25">
      <c r="A15840" s="5"/>
    </row>
    <row r="15841" spans="1:1" x14ac:dyDescent="0.25">
      <c r="A15841" s="5"/>
    </row>
    <row r="15842" spans="1:1" x14ac:dyDescent="0.25">
      <c r="A15842" s="5"/>
    </row>
    <row r="15843" spans="1:1" x14ac:dyDescent="0.25">
      <c r="A15843" s="5"/>
    </row>
    <row r="15844" spans="1:1" x14ac:dyDescent="0.25">
      <c r="A15844" s="5"/>
    </row>
    <row r="15845" spans="1:1" x14ac:dyDescent="0.25">
      <c r="A15845" s="5"/>
    </row>
    <row r="15846" spans="1:1" x14ac:dyDescent="0.25">
      <c r="A15846" s="5"/>
    </row>
    <row r="15847" spans="1:1" x14ac:dyDescent="0.25">
      <c r="A15847" s="5"/>
    </row>
    <row r="15848" spans="1:1" x14ac:dyDescent="0.25">
      <c r="A15848" s="5"/>
    </row>
    <row r="15849" spans="1:1" x14ac:dyDescent="0.25">
      <c r="A15849" s="5"/>
    </row>
    <row r="15850" spans="1:1" x14ac:dyDescent="0.25">
      <c r="A15850" s="5"/>
    </row>
    <row r="15851" spans="1:1" x14ac:dyDescent="0.25">
      <c r="A15851" s="5"/>
    </row>
    <row r="15852" spans="1:1" x14ac:dyDescent="0.25">
      <c r="A15852" s="5"/>
    </row>
    <row r="15853" spans="1:1" x14ac:dyDescent="0.25">
      <c r="A15853" s="5"/>
    </row>
    <row r="15854" spans="1:1" x14ac:dyDescent="0.25">
      <c r="A15854" s="5"/>
    </row>
    <row r="15855" spans="1:1" x14ac:dyDescent="0.25">
      <c r="A15855" s="5"/>
    </row>
    <row r="15856" spans="1:1" x14ac:dyDescent="0.25">
      <c r="A15856" s="5"/>
    </row>
    <row r="15857" spans="1:1" x14ac:dyDescent="0.25">
      <c r="A15857" s="5"/>
    </row>
    <row r="15858" spans="1:1" x14ac:dyDescent="0.25">
      <c r="A15858" s="5"/>
    </row>
    <row r="15859" spans="1:1" x14ac:dyDescent="0.25">
      <c r="A15859" s="5"/>
    </row>
    <row r="15860" spans="1:1" x14ac:dyDescent="0.25">
      <c r="A15860" s="5"/>
    </row>
    <row r="15861" spans="1:1" x14ac:dyDescent="0.25">
      <c r="A15861" s="5"/>
    </row>
    <row r="15862" spans="1:1" x14ac:dyDescent="0.25">
      <c r="A15862" s="5"/>
    </row>
    <row r="15863" spans="1:1" x14ac:dyDescent="0.25">
      <c r="A15863" s="5"/>
    </row>
    <row r="15864" spans="1:1" x14ac:dyDescent="0.25">
      <c r="A15864" s="5"/>
    </row>
    <row r="15865" spans="1:1" x14ac:dyDescent="0.25">
      <c r="A15865" s="5"/>
    </row>
    <row r="15866" spans="1:1" x14ac:dyDescent="0.25">
      <c r="A15866" s="5"/>
    </row>
    <row r="15867" spans="1:1" x14ac:dyDescent="0.25">
      <c r="A15867" s="5"/>
    </row>
    <row r="15868" spans="1:1" x14ac:dyDescent="0.25">
      <c r="A15868" s="5"/>
    </row>
    <row r="15869" spans="1:1" x14ac:dyDescent="0.25">
      <c r="A15869" s="5"/>
    </row>
    <row r="15870" spans="1:1" x14ac:dyDescent="0.25">
      <c r="A15870" s="5"/>
    </row>
    <row r="15871" spans="1:1" x14ac:dyDescent="0.25">
      <c r="A15871" s="5"/>
    </row>
    <row r="15872" spans="1:1" x14ac:dyDescent="0.25">
      <c r="A15872" s="5"/>
    </row>
    <row r="15873" spans="1:1" x14ac:dyDescent="0.25">
      <c r="A15873" s="5"/>
    </row>
    <row r="15874" spans="1:1" x14ac:dyDescent="0.25">
      <c r="A15874" s="5"/>
    </row>
    <row r="15875" spans="1:1" x14ac:dyDescent="0.25">
      <c r="A15875" s="5"/>
    </row>
    <row r="15876" spans="1:1" x14ac:dyDescent="0.25">
      <c r="A15876" s="5"/>
    </row>
    <row r="15877" spans="1:1" x14ac:dyDescent="0.25">
      <c r="A15877" s="5"/>
    </row>
    <row r="15878" spans="1:1" x14ac:dyDescent="0.25">
      <c r="A15878" s="5"/>
    </row>
    <row r="15879" spans="1:1" x14ac:dyDescent="0.25">
      <c r="A15879" s="5"/>
    </row>
    <row r="15880" spans="1:1" x14ac:dyDescent="0.25">
      <c r="A15880" s="5"/>
    </row>
    <row r="15881" spans="1:1" x14ac:dyDescent="0.25">
      <c r="A15881" s="5"/>
    </row>
    <row r="15882" spans="1:1" x14ac:dyDescent="0.25">
      <c r="A15882" s="5"/>
    </row>
    <row r="15883" spans="1:1" x14ac:dyDescent="0.25">
      <c r="A15883" s="5"/>
    </row>
    <row r="15884" spans="1:1" x14ac:dyDescent="0.25">
      <c r="A15884" s="5"/>
    </row>
    <row r="15885" spans="1:1" x14ac:dyDescent="0.25">
      <c r="A15885" s="5"/>
    </row>
    <row r="15886" spans="1:1" x14ac:dyDescent="0.25">
      <c r="A15886" s="5"/>
    </row>
    <row r="15887" spans="1:1" x14ac:dyDescent="0.25">
      <c r="A15887" s="5"/>
    </row>
    <row r="15888" spans="1:1" x14ac:dyDescent="0.25">
      <c r="A15888" s="5"/>
    </row>
    <row r="15889" spans="1:1" x14ac:dyDescent="0.25">
      <c r="A15889" s="5"/>
    </row>
    <row r="15890" spans="1:1" x14ac:dyDescent="0.25">
      <c r="A15890" s="5"/>
    </row>
    <row r="15891" spans="1:1" x14ac:dyDescent="0.25">
      <c r="A15891" s="5"/>
    </row>
    <row r="15892" spans="1:1" x14ac:dyDescent="0.25">
      <c r="A15892" s="5"/>
    </row>
    <row r="15893" spans="1:1" x14ac:dyDescent="0.25">
      <c r="A15893" s="5"/>
    </row>
    <row r="15894" spans="1:1" x14ac:dyDescent="0.25">
      <c r="A15894" s="5"/>
    </row>
    <row r="15895" spans="1:1" x14ac:dyDescent="0.25">
      <c r="A15895" s="5"/>
    </row>
    <row r="15896" spans="1:1" x14ac:dyDescent="0.25">
      <c r="A15896" s="5"/>
    </row>
    <row r="15897" spans="1:1" x14ac:dyDescent="0.25">
      <c r="A15897" s="5"/>
    </row>
    <row r="15898" spans="1:1" x14ac:dyDescent="0.25">
      <c r="A15898" s="5"/>
    </row>
    <row r="15899" spans="1:1" x14ac:dyDescent="0.25">
      <c r="A15899" s="5"/>
    </row>
    <row r="15900" spans="1:1" x14ac:dyDescent="0.25">
      <c r="A15900" s="5"/>
    </row>
    <row r="15901" spans="1:1" x14ac:dyDescent="0.25">
      <c r="A15901" s="5"/>
    </row>
    <row r="15902" spans="1:1" x14ac:dyDescent="0.25">
      <c r="A15902" s="5"/>
    </row>
    <row r="15903" spans="1:1" x14ac:dyDescent="0.25">
      <c r="A15903" s="5"/>
    </row>
    <row r="15904" spans="1:1" x14ac:dyDescent="0.25">
      <c r="A15904" s="5"/>
    </row>
    <row r="15905" spans="1:1" x14ac:dyDescent="0.25">
      <c r="A15905" s="5"/>
    </row>
    <row r="15906" spans="1:1" x14ac:dyDescent="0.25">
      <c r="A15906" s="5"/>
    </row>
    <row r="15907" spans="1:1" x14ac:dyDescent="0.25">
      <c r="A15907" s="5"/>
    </row>
    <row r="15908" spans="1:1" x14ac:dyDescent="0.25">
      <c r="A15908" s="5"/>
    </row>
    <row r="15909" spans="1:1" x14ac:dyDescent="0.25">
      <c r="A15909" s="5"/>
    </row>
    <row r="15910" spans="1:1" x14ac:dyDescent="0.25">
      <c r="A15910" s="5"/>
    </row>
    <row r="15911" spans="1:1" x14ac:dyDescent="0.25">
      <c r="A15911" s="5"/>
    </row>
    <row r="15912" spans="1:1" x14ac:dyDescent="0.25">
      <c r="A15912" s="5"/>
    </row>
    <row r="15913" spans="1:1" x14ac:dyDescent="0.25">
      <c r="A15913" s="5"/>
    </row>
    <row r="15914" spans="1:1" x14ac:dyDescent="0.25">
      <c r="A15914" s="5"/>
    </row>
    <row r="15915" spans="1:1" x14ac:dyDescent="0.25">
      <c r="A15915" s="5"/>
    </row>
    <row r="15916" spans="1:1" x14ac:dyDescent="0.25">
      <c r="A15916" s="5"/>
    </row>
    <row r="15917" spans="1:1" x14ac:dyDescent="0.25">
      <c r="A15917" s="5"/>
    </row>
    <row r="15918" spans="1:1" x14ac:dyDescent="0.25">
      <c r="A15918" s="5"/>
    </row>
    <row r="15919" spans="1:1" x14ac:dyDescent="0.25">
      <c r="A15919" s="5"/>
    </row>
    <row r="15920" spans="1:1" x14ac:dyDescent="0.25">
      <c r="A15920" s="5"/>
    </row>
    <row r="15921" spans="1:1" x14ac:dyDescent="0.25">
      <c r="A15921" s="5"/>
    </row>
    <row r="15922" spans="1:1" x14ac:dyDescent="0.25">
      <c r="A15922" s="5"/>
    </row>
    <row r="15923" spans="1:1" x14ac:dyDescent="0.25">
      <c r="A15923" s="5"/>
    </row>
    <row r="15924" spans="1:1" x14ac:dyDescent="0.25">
      <c r="A15924" s="5"/>
    </row>
    <row r="15925" spans="1:1" x14ac:dyDescent="0.25">
      <c r="A15925" s="5"/>
    </row>
    <row r="15926" spans="1:1" x14ac:dyDescent="0.25">
      <c r="A15926" s="5"/>
    </row>
    <row r="15927" spans="1:1" x14ac:dyDescent="0.25">
      <c r="A15927" s="5"/>
    </row>
    <row r="15928" spans="1:1" x14ac:dyDescent="0.25">
      <c r="A15928" s="5"/>
    </row>
    <row r="15929" spans="1:1" x14ac:dyDescent="0.25">
      <c r="A15929" s="5"/>
    </row>
    <row r="15930" spans="1:1" x14ac:dyDescent="0.25">
      <c r="A15930" s="5"/>
    </row>
    <row r="15931" spans="1:1" x14ac:dyDescent="0.25">
      <c r="A15931" s="5"/>
    </row>
    <row r="15932" spans="1:1" x14ac:dyDescent="0.25">
      <c r="A15932" s="5"/>
    </row>
    <row r="15933" spans="1:1" x14ac:dyDescent="0.25">
      <c r="A15933" s="5"/>
    </row>
    <row r="15934" spans="1:1" x14ac:dyDescent="0.25">
      <c r="A15934" s="5"/>
    </row>
    <row r="15935" spans="1:1" x14ac:dyDescent="0.25">
      <c r="A15935" s="5"/>
    </row>
    <row r="15936" spans="1:1" x14ac:dyDescent="0.25">
      <c r="A15936" s="5"/>
    </row>
    <row r="15937" spans="1:1" x14ac:dyDescent="0.25">
      <c r="A15937" s="5"/>
    </row>
    <row r="15938" spans="1:1" x14ac:dyDescent="0.25">
      <c r="A15938" s="5"/>
    </row>
    <row r="15939" spans="1:1" x14ac:dyDescent="0.25">
      <c r="A15939" s="5"/>
    </row>
    <row r="15940" spans="1:1" x14ac:dyDescent="0.25">
      <c r="A15940" s="5"/>
    </row>
    <row r="15941" spans="1:1" x14ac:dyDescent="0.25">
      <c r="A15941" s="5"/>
    </row>
    <row r="15942" spans="1:1" x14ac:dyDescent="0.25">
      <c r="A15942" s="5"/>
    </row>
    <row r="15943" spans="1:1" x14ac:dyDescent="0.25">
      <c r="A15943" s="5"/>
    </row>
    <row r="15944" spans="1:1" x14ac:dyDescent="0.25">
      <c r="A15944" s="5"/>
    </row>
    <row r="15945" spans="1:1" x14ac:dyDescent="0.25">
      <c r="A15945" s="5"/>
    </row>
    <row r="15946" spans="1:1" x14ac:dyDescent="0.25">
      <c r="A15946" s="5"/>
    </row>
    <row r="15947" spans="1:1" x14ac:dyDescent="0.25">
      <c r="A15947" s="5"/>
    </row>
    <row r="15948" spans="1:1" x14ac:dyDescent="0.25">
      <c r="A15948" s="5"/>
    </row>
    <row r="15949" spans="1:1" x14ac:dyDescent="0.25">
      <c r="A15949" s="5"/>
    </row>
    <row r="15950" spans="1:1" x14ac:dyDescent="0.25">
      <c r="A15950" s="5"/>
    </row>
    <row r="15951" spans="1:1" x14ac:dyDescent="0.25">
      <c r="A15951" s="5"/>
    </row>
    <row r="15952" spans="1:1" x14ac:dyDescent="0.25">
      <c r="A15952" s="5"/>
    </row>
    <row r="15953" spans="1:1" x14ac:dyDescent="0.25">
      <c r="A15953" s="5"/>
    </row>
    <row r="15954" spans="1:1" x14ac:dyDescent="0.25">
      <c r="A15954" s="5"/>
    </row>
    <row r="15955" spans="1:1" x14ac:dyDescent="0.25">
      <c r="A15955" s="5"/>
    </row>
    <row r="15956" spans="1:1" x14ac:dyDescent="0.25">
      <c r="A15956" s="5"/>
    </row>
    <row r="15957" spans="1:1" x14ac:dyDescent="0.25">
      <c r="A15957" s="5"/>
    </row>
    <row r="15958" spans="1:1" x14ac:dyDescent="0.25">
      <c r="A15958" s="5"/>
    </row>
    <row r="15959" spans="1:1" x14ac:dyDescent="0.25">
      <c r="A15959" s="5"/>
    </row>
    <row r="15960" spans="1:1" x14ac:dyDescent="0.25">
      <c r="A15960" s="5"/>
    </row>
    <row r="15961" spans="1:1" x14ac:dyDescent="0.25">
      <c r="A15961" s="5"/>
    </row>
    <row r="15962" spans="1:1" x14ac:dyDescent="0.25">
      <c r="A15962" s="5"/>
    </row>
    <row r="15963" spans="1:1" x14ac:dyDescent="0.25">
      <c r="A15963" s="5"/>
    </row>
    <row r="15964" spans="1:1" x14ac:dyDescent="0.25">
      <c r="A15964" s="5"/>
    </row>
    <row r="15965" spans="1:1" x14ac:dyDescent="0.25">
      <c r="A15965" s="5"/>
    </row>
    <row r="15966" spans="1:1" x14ac:dyDescent="0.25">
      <c r="A15966" s="5"/>
    </row>
    <row r="15967" spans="1:1" x14ac:dyDescent="0.25">
      <c r="A15967" s="5"/>
    </row>
    <row r="15968" spans="1:1" x14ac:dyDescent="0.25">
      <c r="A15968" s="5"/>
    </row>
    <row r="15969" spans="1:1" x14ac:dyDescent="0.25">
      <c r="A15969" s="5"/>
    </row>
    <row r="15970" spans="1:1" x14ac:dyDescent="0.25">
      <c r="A15970" s="5"/>
    </row>
    <row r="15971" spans="1:1" x14ac:dyDescent="0.25">
      <c r="A15971" s="5"/>
    </row>
    <row r="15972" spans="1:1" x14ac:dyDescent="0.25">
      <c r="A15972" s="5"/>
    </row>
    <row r="15973" spans="1:1" x14ac:dyDescent="0.25">
      <c r="A15973" s="5"/>
    </row>
    <row r="15974" spans="1:1" x14ac:dyDescent="0.25">
      <c r="A15974" s="5"/>
    </row>
    <row r="15975" spans="1:1" x14ac:dyDescent="0.25">
      <c r="A15975" s="5"/>
    </row>
    <row r="15976" spans="1:1" x14ac:dyDescent="0.25">
      <c r="A15976" s="5"/>
    </row>
    <row r="15977" spans="1:1" x14ac:dyDescent="0.25">
      <c r="A15977" s="5"/>
    </row>
    <row r="15978" spans="1:1" x14ac:dyDescent="0.25">
      <c r="A15978" s="5"/>
    </row>
    <row r="15979" spans="1:1" x14ac:dyDescent="0.25">
      <c r="A15979" s="5"/>
    </row>
    <row r="15980" spans="1:1" x14ac:dyDescent="0.25">
      <c r="A15980" s="5"/>
    </row>
    <row r="15981" spans="1:1" x14ac:dyDescent="0.25">
      <c r="A15981" s="5"/>
    </row>
    <row r="15982" spans="1:1" x14ac:dyDescent="0.25">
      <c r="A15982" s="5"/>
    </row>
    <row r="15983" spans="1:1" x14ac:dyDescent="0.25">
      <c r="A15983" s="5"/>
    </row>
    <row r="15984" spans="1:1" x14ac:dyDescent="0.25">
      <c r="A15984" s="5"/>
    </row>
    <row r="15985" spans="1:1" x14ac:dyDescent="0.25">
      <c r="A15985" s="5"/>
    </row>
    <row r="15986" spans="1:1" x14ac:dyDescent="0.25">
      <c r="A15986" s="5"/>
    </row>
    <row r="15987" spans="1:1" x14ac:dyDescent="0.25">
      <c r="A15987" s="5"/>
    </row>
    <row r="15988" spans="1:1" x14ac:dyDescent="0.25">
      <c r="A15988" s="5"/>
    </row>
    <row r="15989" spans="1:1" x14ac:dyDescent="0.25">
      <c r="A15989" s="5"/>
    </row>
    <row r="15990" spans="1:1" x14ac:dyDescent="0.25">
      <c r="A15990" s="5"/>
    </row>
    <row r="15991" spans="1:1" x14ac:dyDescent="0.25">
      <c r="A15991" s="5"/>
    </row>
    <row r="15992" spans="1:1" x14ac:dyDescent="0.25">
      <c r="A15992" s="5"/>
    </row>
    <row r="15993" spans="1:1" x14ac:dyDescent="0.25">
      <c r="A15993" s="5"/>
    </row>
    <row r="15994" spans="1:1" x14ac:dyDescent="0.25">
      <c r="A15994" s="5"/>
    </row>
    <row r="15995" spans="1:1" x14ac:dyDescent="0.25">
      <c r="A15995" s="5"/>
    </row>
    <row r="15996" spans="1:1" x14ac:dyDescent="0.25">
      <c r="A15996" s="5"/>
    </row>
    <row r="15997" spans="1:1" x14ac:dyDescent="0.25">
      <c r="A15997" s="5"/>
    </row>
    <row r="15998" spans="1:1" x14ac:dyDescent="0.25">
      <c r="A15998" s="5"/>
    </row>
    <row r="15999" spans="1:1" x14ac:dyDescent="0.25">
      <c r="A15999" s="5"/>
    </row>
    <row r="16000" spans="1:1" x14ac:dyDescent="0.25">
      <c r="A16000" s="5"/>
    </row>
    <row r="16001" spans="1:1" x14ac:dyDescent="0.25">
      <c r="A16001" s="5"/>
    </row>
    <row r="16002" spans="1:1" x14ac:dyDescent="0.25">
      <c r="A16002" s="5"/>
    </row>
    <row r="16003" spans="1:1" x14ac:dyDescent="0.25">
      <c r="A16003" s="5"/>
    </row>
    <row r="16004" spans="1:1" x14ac:dyDescent="0.25">
      <c r="A16004" s="5"/>
    </row>
    <row r="16005" spans="1:1" x14ac:dyDescent="0.25">
      <c r="A16005" s="5"/>
    </row>
    <row r="16006" spans="1:1" x14ac:dyDescent="0.25">
      <c r="A16006" s="5"/>
    </row>
    <row r="16007" spans="1:1" x14ac:dyDescent="0.25">
      <c r="A16007" s="5"/>
    </row>
    <row r="16008" spans="1:1" x14ac:dyDescent="0.25">
      <c r="A16008" s="5"/>
    </row>
    <row r="16009" spans="1:1" x14ac:dyDescent="0.25">
      <c r="A16009" s="5"/>
    </row>
    <row r="16010" spans="1:1" x14ac:dyDescent="0.25">
      <c r="A16010" s="5"/>
    </row>
    <row r="16011" spans="1:1" x14ac:dyDescent="0.25">
      <c r="A16011" s="5"/>
    </row>
    <row r="16012" spans="1:1" x14ac:dyDescent="0.25">
      <c r="A16012" s="5"/>
    </row>
    <row r="16013" spans="1:1" x14ac:dyDescent="0.25">
      <c r="A16013" s="5"/>
    </row>
    <row r="16014" spans="1:1" x14ac:dyDescent="0.25">
      <c r="A16014" s="5"/>
    </row>
    <row r="16015" spans="1:1" x14ac:dyDescent="0.25">
      <c r="A16015" s="5"/>
    </row>
    <row r="16016" spans="1:1" x14ac:dyDescent="0.25">
      <c r="A16016" s="5"/>
    </row>
    <row r="16017" spans="1:1" x14ac:dyDescent="0.25">
      <c r="A16017" s="5"/>
    </row>
    <row r="16018" spans="1:1" x14ac:dyDescent="0.25">
      <c r="A16018" s="5"/>
    </row>
    <row r="16019" spans="1:1" x14ac:dyDescent="0.25">
      <c r="A16019" s="5"/>
    </row>
    <row r="16020" spans="1:1" x14ac:dyDescent="0.25">
      <c r="A16020" s="5"/>
    </row>
    <row r="16021" spans="1:1" x14ac:dyDescent="0.25">
      <c r="A16021" s="5"/>
    </row>
    <row r="16022" spans="1:1" x14ac:dyDescent="0.25">
      <c r="A16022" s="5"/>
    </row>
    <row r="16023" spans="1:1" x14ac:dyDescent="0.25">
      <c r="A16023" s="5"/>
    </row>
    <row r="16024" spans="1:1" x14ac:dyDescent="0.25">
      <c r="A16024" s="5"/>
    </row>
    <row r="16025" spans="1:1" x14ac:dyDescent="0.25">
      <c r="A16025" s="5"/>
    </row>
    <row r="16026" spans="1:1" x14ac:dyDescent="0.25">
      <c r="A16026" s="5"/>
    </row>
    <row r="16027" spans="1:1" x14ac:dyDescent="0.25">
      <c r="A16027" s="5"/>
    </row>
    <row r="16028" spans="1:1" x14ac:dyDescent="0.25">
      <c r="A16028" s="5"/>
    </row>
    <row r="16029" spans="1:1" x14ac:dyDescent="0.25">
      <c r="A16029" s="5"/>
    </row>
    <row r="16030" spans="1:1" x14ac:dyDescent="0.25">
      <c r="A16030" s="5"/>
    </row>
    <row r="16031" spans="1:1" x14ac:dyDescent="0.25">
      <c r="A16031" s="5"/>
    </row>
    <row r="16032" spans="1:1" x14ac:dyDescent="0.25">
      <c r="A16032" s="5"/>
    </row>
    <row r="16033" spans="1:1" x14ac:dyDescent="0.25">
      <c r="A16033" s="5"/>
    </row>
    <row r="16034" spans="1:1" x14ac:dyDescent="0.25">
      <c r="A16034" s="5"/>
    </row>
    <row r="16035" spans="1:1" x14ac:dyDescent="0.25">
      <c r="A16035" s="5"/>
    </row>
    <row r="16036" spans="1:1" x14ac:dyDescent="0.25">
      <c r="A16036" s="5"/>
    </row>
    <row r="16037" spans="1:1" x14ac:dyDescent="0.25">
      <c r="A16037" s="5"/>
    </row>
    <row r="16038" spans="1:1" x14ac:dyDescent="0.25">
      <c r="A16038" s="5"/>
    </row>
    <row r="16039" spans="1:1" x14ac:dyDescent="0.25">
      <c r="A16039" s="5"/>
    </row>
    <row r="16040" spans="1:1" x14ac:dyDescent="0.25">
      <c r="A16040" s="5"/>
    </row>
    <row r="16041" spans="1:1" x14ac:dyDescent="0.25">
      <c r="A16041" s="5"/>
    </row>
    <row r="16042" spans="1:1" x14ac:dyDescent="0.25">
      <c r="A16042" s="5"/>
    </row>
    <row r="16043" spans="1:1" x14ac:dyDescent="0.25">
      <c r="A16043" s="5"/>
    </row>
    <row r="16044" spans="1:1" x14ac:dyDescent="0.25">
      <c r="A16044" s="5"/>
    </row>
    <row r="16045" spans="1:1" x14ac:dyDescent="0.25">
      <c r="A16045" s="5"/>
    </row>
    <row r="16046" spans="1:1" x14ac:dyDescent="0.25">
      <c r="A16046" s="5"/>
    </row>
    <row r="16047" spans="1:1" x14ac:dyDescent="0.25">
      <c r="A16047" s="5"/>
    </row>
    <row r="16048" spans="1:1" x14ac:dyDescent="0.25">
      <c r="A16048" s="5"/>
    </row>
    <row r="16049" spans="1:1" x14ac:dyDescent="0.25">
      <c r="A16049" s="5"/>
    </row>
    <row r="16050" spans="1:1" x14ac:dyDescent="0.25">
      <c r="A16050" s="5"/>
    </row>
    <row r="16051" spans="1:1" x14ac:dyDescent="0.25">
      <c r="A16051" s="5"/>
    </row>
    <row r="16052" spans="1:1" x14ac:dyDescent="0.25">
      <c r="A16052" s="5"/>
    </row>
    <row r="16053" spans="1:1" x14ac:dyDescent="0.25">
      <c r="A16053" s="5"/>
    </row>
    <row r="16054" spans="1:1" x14ac:dyDescent="0.25">
      <c r="A16054" s="5"/>
    </row>
    <row r="16055" spans="1:1" x14ac:dyDescent="0.25">
      <c r="A16055" s="5"/>
    </row>
    <row r="16056" spans="1:1" x14ac:dyDescent="0.25">
      <c r="A16056" s="5"/>
    </row>
    <row r="16057" spans="1:1" x14ac:dyDescent="0.25">
      <c r="A16057" s="5"/>
    </row>
    <row r="16058" spans="1:1" x14ac:dyDescent="0.25">
      <c r="A16058" s="5"/>
    </row>
    <row r="16059" spans="1:1" x14ac:dyDescent="0.25">
      <c r="A16059" s="5"/>
    </row>
    <row r="16060" spans="1:1" x14ac:dyDescent="0.25">
      <c r="A16060" s="5"/>
    </row>
    <row r="16061" spans="1:1" x14ac:dyDescent="0.25">
      <c r="A16061" s="5"/>
    </row>
    <row r="16062" spans="1:1" x14ac:dyDescent="0.25">
      <c r="A16062" s="5"/>
    </row>
    <row r="16063" spans="1:1" x14ac:dyDescent="0.25">
      <c r="A16063" s="5"/>
    </row>
    <row r="16064" spans="1:1" x14ac:dyDescent="0.25">
      <c r="A16064" s="5"/>
    </row>
    <row r="16065" spans="1:1" x14ac:dyDescent="0.25">
      <c r="A16065" s="5"/>
    </row>
    <row r="16066" spans="1:1" x14ac:dyDescent="0.25">
      <c r="A16066" s="5"/>
    </row>
    <row r="16067" spans="1:1" x14ac:dyDescent="0.25">
      <c r="A16067" s="5"/>
    </row>
    <row r="16068" spans="1:1" x14ac:dyDescent="0.25">
      <c r="A16068" s="5"/>
    </row>
    <row r="16069" spans="1:1" x14ac:dyDescent="0.25">
      <c r="A16069" s="5"/>
    </row>
    <row r="16070" spans="1:1" x14ac:dyDescent="0.25">
      <c r="A16070" s="5"/>
    </row>
    <row r="16071" spans="1:1" x14ac:dyDescent="0.25">
      <c r="A16071" s="5"/>
    </row>
    <row r="16072" spans="1:1" x14ac:dyDescent="0.25">
      <c r="A16072" s="5"/>
    </row>
    <row r="16073" spans="1:1" x14ac:dyDescent="0.25">
      <c r="A16073" s="5"/>
    </row>
    <row r="16074" spans="1:1" x14ac:dyDescent="0.25">
      <c r="A16074" s="5"/>
    </row>
    <row r="16075" spans="1:1" x14ac:dyDescent="0.25">
      <c r="A16075" s="5"/>
    </row>
    <row r="16076" spans="1:1" x14ac:dyDescent="0.25">
      <c r="A16076" s="5"/>
    </row>
    <row r="16077" spans="1:1" x14ac:dyDescent="0.25">
      <c r="A16077" s="5"/>
    </row>
    <row r="16078" spans="1:1" x14ac:dyDescent="0.25">
      <c r="A16078" s="5"/>
    </row>
    <row r="16079" spans="1:1" x14ac:dyDescent="0.25">
      <c r="A16079" s="5"/>
    </row>
    <row r="16080" spans="1:1" x14ac:dyDescent="0.25">
      <c r="A16080" s="5"/>
    </row>
    <row r="16081" spans="1:1" x14ac:dyDescent="0.25">
      <c r="A16081" s="5"/>
    </row>
    <row r="16082" spans="1:1" x14ac:dyDescent="0.25">
      <c r="A16082" s="5"/>
    </row>
    <row r="16083" spans="1:1" x14ac:dyDescent="0.25">
      <c r="A16083" s="5"/>
    </row>
    <row r="16084" spans="1:1" x14ac:dyDescent="0.25">
      <c r="A16084" s="5"/>
    </row>
    <row r="16085" spans="1:1" x14ac:dyDescent="0.25">
      <c r="A16085" s="5"/>
    </row>
    <row r="16086" spans="1:1" x14ac:dyDescent="0.25">
      <c r="A16086" s="5"/>
    </row>
    <row r="16087" spans="1:1" x14ac:dyDescent="0.25">
      <c r="A16087" s="5"/>
    </row>
    <row r="16088" spans="1:1" x14ac:dyDescent="0.25">
      <c r="A16088" s="5"/>
    </row>
    <row r="16089" spans="1:1" x14ac:dyDescent="0.25">
      <c r="A16089" s="5"/>
    </row>
    <row r="16090" spans="1:1" x14ac:dyDescent="0.25">
      <c r="A16090" s="5"/>
    </row>
    <row r="16091" spans="1:1" x14ac:dyDescent="0.25">
      <c r="A16091" s="5"/>
    </row>
    <row r="16092" spans="1:1" x14ac:dyDescent="0.25">
      <c r="A16092" s="5"/>
    </row>
    <row r="16093" spans="1:1" x14ac:dyDescent="0.25">
      <c r="A16093" s="5"/>
    </row>
    <row r="16094" spans="1:1" x14ac:dyDescent="0.25">
      <c r="A16094" s="5"/>
    </row>
    <row r="16095" spans="1:1" x14ac:dyDescent="0.25">
      <c r="A16095" s="5"/>
    </row>
    <row r="16096" spans="1:1" x14ac:dyDescent="0.25">
      <c r="A16096" s="5"/>
    </row>
    <row r="16097" spans="1:1" x14ac:dyDescent="0.25">
      <c r="A16097" s="5"/>
    </row>
    <row r="16098" spans="1:1" x14ac:dyDescent="0.25">
      <c r="A16098" s="5"/>
    </row>
    <row r="16099" spans="1:1" x14ac:dyDescent="0.25">
      <c r="A16099" s="5"/>
    </row>
    <row r="16100" spans="1:1" x14ac:dyDescent="0.25">
      <c r="A16100" s="5"/>
    </row>
    <row r="16101" spans="1:1" x14ac:dyDescent="0.25">
      <c r="A16101" s="5"/>
    </row>
    <row r="16102" spans="1:1" x14ac:dyDescent="0.25">
      <c r="A16102" s="5"/>
    </row>
    <row r="16103" spans="1:1" x14ac:dyDescent="0.25">
      <c r="A16103" s="5"/>
    </row>
    <row r="16104" spans="1:1" x14ac:dyDescent="0.25">
      <c r="A16104" s="5"/>
    </row>
    <row r="16105" spans="1:1" x14ac:dyDescent="0.25">
      <c r="A16105" s="5"/>
    </row>
    <row r="16106" spans="1:1" x14ac:dyDescent="0.25">
      <c r="A16106" s="5"/>
    </row>
    <row r="16107" spans="1:1" x14ac:dyDescent="0.25">
      <c r="A16107" s="5"/>
    </row>
    <row r="16108" spans="1:1" x14ac:dyDescent="0.25">
      <c r="A16108" s="5"/>
    </row>
    <row r="16109" spans="1:1" x14ac:dyDescent="0.25">
      <c r="A16109" s="5"/>
    </row>
    <row r="16110" spans="1:1" x14ac:dyDescent="0.25">
      <c r="A16110" s="5"/>
    </row>
    <row r="16111" spans="1:1" x14ac:dyDescent="0.25">
      <c r="A16111" s="5"/>
    </row>
    <row r="16112" spans="1:1" x14ac:dyDescent="0.25">
      <c r="A16112" s="5"/>
    </row>
    <row r="16113" spans="1:1" x14ac:dyDescent="0.25">
      <c r="A16113" s="5"/>
    </row>
    <row r="16114" spans="1:1" x14ac:dyDescent="0.25">
      <c r="A16114" s="5"/>
    </row>
    <row r="16115" spans="1:1" x14ac:dyDescent="0.25">
      <c r="A16115" s="5"/>
    </row>
    <row r="16116" spans="1:1" x14ac:dyDescent="0.25">
      <c r="A16116" s="5"/>
    </row>
    <row r="16117" spans="1:1" x14ac:dyDescent="0.25">
      <c r="A16117" s="5"/>
    </row>
    <row r="16118" spans="1:1" x14ac:dyDescent="0.25">
      <c r="A16118" s="5"/>
    </row>
    <row r="16119" spans="1:1" x14ac:dyDescent="0.25">
      <c r="A16119" s="5"/>
    </row>
    <row r="16120" spans="1:1" x14ac:dyDescent="0.25">
      <c r="A16120" s="5"/>
    </row>
    <row r="16121" spans="1:1" x14ac:dyDescent="0.25">
      <c r="A16121" s="5"/>
    </row>
    <row r="16122" spans="1:1" x14ac:dyDescent="0.25">
      <c r="A16122" s="5"/>
    </row>
    <row r="16123" spans="1:1" x14ac:dyDescent="0.25">
      <c r="A16123" s="5"/>
    </row>
    <row r="16124" spans="1:1" x14ac:dyDescent="0.25">
      <c r="A16124" s="5"/>
    </row>
    <row r="16125" spans="1:1" x14ac:dyDescent="0.25">
      <c r="A16125" s="5"/>
    </row>
    <row r="16126" spans="1:1" x14ac:dyDescent="0.25">
      <c r="A16126" s="5"/>
    </row>
    <row r="16127" spans="1:1" x14ac:dyDescent="0.25">
      <c r="A16127" s="5"/>
    </row>
    <row r="16128" spans="1:1" x14ac:dyDescent="0.25">
      <c r="A16128" s="5"/>
    </row>
    <row r="16129" spans="1:1" x14ac:dyDescent="0.25">
      <c r="A16129" s="5"/>
    </row>
    <row r="16130" spans="1:1" x14ac:dyDescent="0.25">
      <c r="A16130" s="5"/>
    </row>
    <row r="16131" spans="1:1" x14ac:dyDescent="0.25">
      <c r="A16131" s="5"/>
    </row>
    <row r="16132" spans="1:1" x14ac:dyDescent="0.25">
      <c r="A16132" s="5"/>
    </row>
    <row r="16133" spans="1:1" x14ac:dyDescent="0.25">
      <c r="A16133" s="5"/>
    </row>
    <row r="16134" spans="1:1" x14ac:dyDescent="0.25">
      <c r="A16134" s="5"/>
    </row>
    <row r="16135" spans="1:1" x14ac:dyDescent="0.25">
      <c r="A16135" s="5"/>
    </row>
    <row r="16136" spans="1:1" x14ac:dyDescent="0.25">
      <c r="A16136" s="5"/>
    </row>
    <row r="16137" spans="1:1" x14ac:dyDescent="0.25">
      <c r="A16137" s="5"/>
    </row>
    <row r="16138" spans="1:1" x14ac:dyDescent="0.25">
      <c r="A16138" s="5"/>
    </row>
    <row r="16139" spans="1:1" x14ac:dyDescent="0.25">
      <c r="A16139" s="5"/>
    </row>
    <row r="16140" spans="1:1" x14ac:dyDescent="0.25">
      <c r="A16140" s="5"/>
    </row>
    <row r="16141" spans="1:1" x14ac:dyDescent="0.25">
      <c r="A16141" s="5"/>
    </row>
    <row r="16142" spans="1:1" x14ac:dyDescent="0.25">
      <c r="A16142" s="5"/>
    </row>
    <row r="16143" spans="1:1" x14ac:dyDescent="0.25">
      <c r="A16143" s="5"/>
    </row>
    <row r="16144" spans="1:1" x14ac:dyDescent="0.25">
      <c r="A16144" s="5"/>
    </row>
    <row r="16145" spans="1:1" x14ac:dyDescent="0.25">
      <c r="A16145" s="5"/>
    </row>
    <row r="16146" spans="1:1" x14ac:dyDescent="0.25">
      <c r="A16146" s="5"/>
    </row>
    <row r="16147" spans="1:1" x14ac:dyDescent="0.25">
      <c r="A16147" s="5"/>
    </row>
    <row r="16148" spans="1:1" x14ac:dyDescent="0.25">
      <c r="A16148" s="5"/>
    </row>
    <row r="16149" spans="1:1" x14ac:dyDescent="0.25">
      <c r="A16149" s="5"/>
    </row>
    <row r="16150" spans="1:1" x14ac:dyDescent="0.25">
      <c r="A16150" s="5"/>
    </row>
    <row r="16151" spans="1:1" x14ac:dyDescent="0.25">
      <c r="A16151" s="5"/>
    </row>
    <row r="16152" spans="1:1" x14ac:dyDescent="0.25">
      <c r="A16152" s="5"/>
    </row>
    <row r="16153" spans="1:1" x14ac:dyDescent="0.25">
      <c r="A16153" s="5"/>
    </row>
    <row r="16154" spans="1:1" x14ac:dyDescent="0.25">
      <c r="A16154" s="5"/>
    </row>
    <row r="16155" spans="1:1" x14ac:dyDescent="0.25">
      <c r="A16155" s="5"/>
    </row>
    <row r="16156" spans="1:1" x14ac:dyDescent="0.25">
      <c r="A16156" s="5"/>
    </row>
    <row r="16157" spans="1:1" x14ac:dyDescent="0.25">
      <c r="A16157" s="5"/>
    </row>
    <row r="16158" spans="1:1" x14ac:dyDescent="0.25">
      <c r="A16158" s="5"/>
    </row>
    <row r="16159" spans="1:1" x14ac:dyDescent="0.25">
      <c r="A16159" s="5"/>
    </row>
    <row r="16160" spans="1:1" x14ac:dyDescent="0.25">
      <c r="A16160" s="5"/>
    </row>
    <row r="16161" spans="1:1" x14ac:dyDescent="0.25">
      <c r="A16161" s="5"/>
    </row>
    <row r="16162" spans="1:1" x14ac:dyDescent="0.25">
      <c r="A16162" s="5"/>
    </row>
    <row r="16163" spans="1:1" x14ac:dyDescent="0.25">
      <c r="A16163" s="5"/>
    </row>
    <row r="16164" spans="1:1" x14ac:dyDescent="0.25">
      <c r="A16164" s="5"/>
    </row>
    <row r="16165" spans="1:1" x14ac:dyDescent="0.25">
      <c r="A16165" s="5"/>
    </row>
    <row r="16166" spans="1:1" x14ac:dyDescent="0.25">
      <c r="A16166" s="5"/>
    </row>
    <row r="16167" spans="1:1" x14ac:dyDescent="0.25">
      <c r="A16167" s="5"/>
    </row>
    <row r="16168" spans="1:1" x14ac:dyDescent="0.25">
      <c r="A16168" s="5"/>
    </row>
    <row r="16169" spans="1:1" x14ac:dyDescent="0.25">
      <c r="A16169" s="5"/>
    </row>
    <row r="16170" spans="1:1" x14ac:dyDescent="0.25">
      <c r="A16170" s="5"/>
    </row>
    <row r="16171" spans="1:1" x14ac:dyDescent="0.25">
      <c r="A16171" s="5"/>
    </row>
    <row r="16172" spans="1:1" x14ac:dyDescent="0.25">
      <c r="A16172" s="5"/>
    </row>
    <row r="16173" spans="1:1" x14ac:dyDescent="0.25">
      <c r="A16173" s="5"/>
    </row>
    <row r="16174" spans="1:1" x14ac:dyDescent="0.25">
      <c r="A16174" s="5"/>
    </row>
    <row r="16175" spans="1:1" x14ac:dyDescent="0.25">
      <c r="A16175" s="5"/>
    </row>
    <row r="16176" spans="1:1" x14ac:dyDescent="0.25">
      <c r="A16176" s="5"/>
    </row>
    <row r="16177" spans="1:1" x14ac:dyDescent="0.25">
      <c r="A16177" s="5"/>
    </row>
    <row r="16178" spans="1:1" x14ac:dyDescent="0.25">
      <c r="A16178" s="5"/>
    </row>
    <row r="16179" spans="1:1" x14ac:dyDescent="0.25">
      <c r="A16179" s="5"/>
    </row>
    <row r="16180" spans="1:1" x14ac:dyDescent="0.25">
      <c r="A16180" s="5"/>
    </row>
    <row r="16181" spans="1:1" x14ac:dyDescent="0.25">
      <c r="A16181" s="5"/>
    </row>
    <row r="16182" spans="1:1" x14ac:dyDescent="0.25">
      <c r="A16182" s="5"/>
    </row>
    <row r="16183" spans="1:1" x14ac:dyDescent="0.25">
      <c r="A16183" s="5"/>
    </row>
    <row r="16184" spans="1:1" x14ac:dyDescent="0.25">
      <c r="A16184" s="5"/>
    </row>
    <row r="16185" spans="1:1" x14ac:dyDescent="0.25">
      <c r="A16185" s="5"/>
    </row>
    <row r="16186" spans="1:1" x14ac:dyDescent="0.25">
      <c r="A16186" s="5"/>
    </row>
    <row r="16187" spans="1:1" x14ac:dyDescent="0.25">
      <c r="A16187" s="5"/>
    </row>
    <row r="16188" spans="1:1" x14ac:dyDescent="0.25">
      <c r="A16188" s="5"/>
    </row>
    <row r="16189" spans="1:1" x14ac:dyDescent="0.25">
      <c r="A16189" s="5"/>
    </row>
    <row r="16190" spans="1:1" x14ac:dyDescent="0.25">
      <c r="A16190" s="5"/>
    </row>
    <row r="16191" spans="1:1" x14ac:dyDescent="0.25">
      <c r="A16191" s="5"/>
    </row>
    <row r="16192" spans="1:1" x14ac:dyDescent="0.25">
      <c r="A16192" s="5"/>
    </row>
    <row r="16193" spans="1:1" x14ac:dyDescent="0.25">
      <c r="A16193" s="5"/>
    </row>
    <row r="16194" spans="1:1" x14ac:dyDescent="0.25">
      <c r="A16194" s="5"/>
    </row>
    <row r="16195" spans="1:1" x14ac:dyDescent="0.25">
      <c r="A16195" s="5"/>
    </row>
    <row r="16196" spans="1:1" x14ac:dyDescent="0.25">
      <c r="A16196" s="5"/>
    </row>
    <row r="16197" spans="1:1" x14ac:dyDescent="0.25">
      <c r="A16197" s="5"/>
    </row>
    <row r="16198" spans="1:1" x14ac:dyDescent="0.25">
      <c r="A16198" s="5"/>
    </row>
    <row r="16199" spans="1:1" x14ac:dyDescent="0.25">
      <c r="A16199" s="5"/>
    </row>
    <row r="16200" spans="1:1" x14ac:dyDescent="0.25">
      <c r="A16200" s="5"/>
    </row>
    <row r="16201" spans="1:1" x14ac:dyDescent="0.25">
      <c r="A16201" s="5"/>
    </row>
    <row r="16202" spans="1:1" x14ac:dyDescent="0.25">
      <c r="A16202" s="5"/>
    </row>
    <row r="16203" spans="1:1" x14ac:dyDescent="0.25">
      <c r="A16203" s="5"/>
    </row>
    <row r="16204" spans="1:1" x14ac:dyDescent="0.25">
      <c r="A16204" s="5"/>
    </row>
    <row r="16205" spans="1:1" x14ac:dyDescent="0.25">
      <c r="A16205" s="5"/>
    </row>
    <row r="16206" spans="1:1" x14ac:dyDescent="0.25">
      <c r="A16206" s="5"/>
    </row>
    <row r="16207" spans="1:1" x14ac:dyDescent="0.25">
      <c r="A16207" s="5"/>
    </row>
    <row r="16208" spans="1:1" x14ac:dyDescent="0.25">
      <c r="A16208" s="5"/>
    </row>
    <row r="16209" spans="1:1" x14ac:dyDescent="0.25">
      <c r="A16209" s="5"/>
    </row>
    <row r="16210" spans="1:1" x14ac:dyDescent="0.25">
      <c r="A16210" s="5"/>
    </row>
    <row r="16211" spans="1:1" x14ac:dyDescent="0.25">
      <c r="A16211" s="5"/>
    </row>
    <row r="16212" spans="1:1" x14ac:dyDescent="0.25">
      <c r="A16212" s="5"/>
    </row>
    <row r="16213" spans="1:1" x14ac:dyDescent="0.25">
      <c r="A16213" s="5"/>
    </row>
    <row r="16214" spans="1:1" x14ac:dyDescent="0.25">
      <c r="A16214" s="5"/>
    </row>
    <row r="16215" spans="1:1" x14ac:dyDescent="0.25">
      <c r="A16215" s="5"/>
    </row>
    <row r="16216" spans="1:1" x14ac:dyDescent="0.25">
      <c r="A16216" s="5"/>
    </row>
    <row r="16217" spans="1:1" x14ac:dyDescent="0.25">
      <c r="A16217" s="5"/>
    </row>
    <row r="16218" spans="1:1" x14ac:dyDescent="0.25">
      <c r="A16218" s="5"/>
    </row>
    <row r="16219" spans="1:1" x14ac:dyDescent="0.25">
      <c r="A16219" s="5"/>
    </row>
    <row r="16220" spans="1:1" x14ac:dyDescent="0.25">
      <c r="A16220" s="5"/>
    </row>
    <row r="16221" spans="1:1" x14ac:dyDescent="0.25">
      <c r="A16221" s="5"/>
    </row>
    <row r="16222" spans="1:1" x14ac:dyDescent="0.25">
      <c r="A16222" s="5"/>
    </row>
    <row r="16223" spans="1:1" x14ac:dyDescent="0.25">
      <c r="A16223" s="5"/>
    </row>
    <row r="16224" spans="1:1" x14ac:dyDescent="0.25">
      <c r="A16224" s="5"/>
    </row>
    <row r="16225" spans="1:1" x14ac:dyDescent="0.25">
      <c r="A16225" s="5"/>
    </row>
    <row r="16226" spans="1:1" x14ac:dyDescent="0.25">
      <c r="A16226" s="5"/>
    </row>
    <row r="16227" spans="1:1" x14ac:dyDescent="0.25">
      <c r="A16227" s="5"/>
    </row>
    <row r="16228" spans="1:1" x14ac:dyDescent="0.25">
      <c r="A16228" s="5"/>
    </row>
    <row r="16229" spans="1:1" x14ac:dyDescent="0.25">
      <c r="A16229" s="5"/>
    </row>
    <row r="16230" spans="1:1" x14ac:dyDescent="0.25">
      <c r="A16230" s="5"/>
    </row>
    <row r="16231" spans="1:1" x14ac:dyDescent="0.25">
      <c r="A16231" s="5"/>
    </row>
    <row r="16232" spans="1:1" x14ac:dyDescent="0.25">
      <c r="A16232" s="5"/>
    </row>
    <row r="16233" spans="1:1" x14ac:dyDescent="0.25">
      <c r="A16233" s="5"/>
    </row>
    <row r="16234" spans="1:1" x14ac:dyDescent="0.25">
      <c r="A16234" s="5"/>
    </row>
    <row r="16235" spans="1:1" x14ac:dyDescent="0.25">
      <c r="A16235" s="5"/>
    </row>
    <row r="16236" spans="1:1" x14ac:dyDescent="0.25">
      <c r="A16236" s="5"/>
    </row>
    <row r="16237" spans="1:1" x14ac:dyDescent="0.25">
      <c r="A16237" s="5"/>
    </row>
    <row r="16238" spans="1:1" x14ac:dyDescent="0.25">
      <c r="A16238" s="5"/>
    </row>
    <row r="16239" spans="1:1" x14ac:dyDescent="0.25">
      <c r="A16239" s="5"/>
    </row>
    <row r="16240" spans="1:1" x14ac:dyDescent="0.25">
      <c r="A16240" s="5"/>
    </row>
    <row r="16241" spans="1:1" x14ac:dyDescent="0.25">
      <c r="A16241" s="5"/>
    </row>
    <row r="16242" spans="1:1" x14ac:dyDescent="0.25">
      <c r="A16242" s="5"/>
    </row>
    <row r="16243" spans="1:1" x14ac:dyDescent="0.25">
      <c r="A16243" s="5"/>
    </row>
    <row r="16244" spans="1:1" x14ac:dyDescent="0.25">
      <c r="A16244" s="5"/>
    </row>
    <row r="16245" spans="1:1" x14ac:dyDescent="0.25">
      <c r="A16245" s="5"/>
    </row>
    <row r="16246" spans="1:1" x14ac:dyDescent="0.25">
      <c r="A16246" s="5"/>
    </row>
    <row r="16247" spans="1:1" x14ac:dyDescent="0.25">
      <c r="A16247" s="5"/>
    </row>
    <row r="16248" spans="1:1" x14ac:dyDescent="0.25">
      <c r="A16248" s="5"/>
    </row>
    <row r="16249" spans="1:1" x14ac:dyDescent="0.25">
      <c r="A16249" s="5"/>
    </row>
    <row r="16250" spans="1:1" x14ac:dyDescent="0.25">
      <c r="A16250" s="5"/>
    </row>
    <row r="16251" spans="1:1" x14ac:dyDescent="0.25">
      <c r="A16251" s="5"/>
    </row>
    <row r="16252" spans="1:1" x14ac:dyDescent="0.25">
      <c r="A16252" s="5"/>
    </row>
    <row r="16253" spans="1:1" x14ac:dyDescent="0.25">
      <c r="A16253" s="5"/>
    </row>
    <row r="16254" spans="1:1" x14ac:dyDescent="0.25">
      <c r="A16254" s="5"/>
    </row>
    <row r="16255" spans="1:1" x14ac:dyDescent="0.25">
      <c r="A16255" s="5"/>
    </row>
    <row r="16256" spans="1:1" x14ac:dyDescent="0.25">
      <c r="A16256" s="5"/>
    </row>
    <row r="16257" spans="1:1" x14ac:dyDescent="0.25">
      <c r="A16257" s="5"/>
    </row>
    <row r="16258" spans="1:1" x14ac:dyDescent="0.25">
      <c r="A16258" s="5"/>
    </row>
    <row r="16259" spans="1:1" x14ac:dyDescent="0.25">
      <c r="A16259" s="5"/>
    </row>
    <row r="16260" spans="1:1" x14ac:dyDescent="0.25">
      <c r="A16260" s="5"/>
    </row>
    <row r="16261" spans="1:1" x14ac:dyDescent="0.25">
      <c r="A16261" s="5"/>
    </row>
    <row r="16262" spans="1:1" x14ac:dyDescent="0.25">
      <c r="A16262" s="5"/>
    </row>
    <row r="16263" spans="1:1" x14ac:dyDescent="0.25">
      <c r="A16263" s="5"/>
    </row>
    <row r="16264" spans="1:1" x14ac:dyDescent="0.25">
      <c r="A16264" s="5"/>
    </row>
    <row r="16265" spans="1:1" x14ac:dyDescent="0.25">
      <c r="A16265" s="5"/>
    </row>
    <row r="16266" spans="1:1" x14ac:dyDescent="0.25">
      <c r="A16266" s="5"/>
    </row>
    <row r="16267" spans="1:1" x14ac:dyDescent="0.25">
      <c r="A16267" s="5"/>
    </row>
    <row r="16268" spans="1:1" x14ac:dyDescent="0.25">
      <c r="A16268" s="5"/>
    </row>
    <row r="16269" spans="1:1" x14ac:dyDescent="0.25">
      <c r="A16269" s="5"/>
    </row>
    <row r="16270" spans="1:1" x14ac:dyDescent="0.25">
      <c r="A16270" s="5"/>
    </row>
    <row r="16271" spans="1:1" x14ac:dyDescent="0.25">
      <c r="A16271" s="5"/>
    </row>
    <row r="16272" spans="1:1" x14ac:dyDescent="0.25">
      <c r="A16272" s="5"/>
    </row>
    <row r="16273" spans="1:1" x14ac:dyDescent="0.25">
      <c r="A16273" s="5"/>
    </row>
    <row r="16274" spans="1:1" x14ac:dyDescent="0.25">
      <c r="A16274" s="5"/>
    </row>
    <row r="16275" spans="1:1" x14ac:dyDescent="0.25">
      <c r="A16275" s="5"/>
    </row>
    <row r="16276" spans="1:1" x14ac:dyDescent="0.25">
      <c r="A16276" s="5"/>
    </row>
    <row r="16277" spans="1:1" x14ac:dyDescent="0.25">
      <c r="A16277" s="5"/>
    </row>
    <row r="16278" spans="1:1" x14ac:dyDescent="0.25">
      <c r="A16278" s="5"/>
    </row>
    <row r="16279" spans="1:1" x14ac:dyDescent="0.25">
      <c r="A16279" s="5"/>
    </row>
    <row r="16280" spans="1:1" x14ac:dyDescent="0.25">
      <c r="A16280" s="5"/>
    </row>
    <row r="16281" spans="1:1" x14ac:dyDescent="0.25">
      <c r="A16281" s="5"/>
    </row>
    <row r="16282" spans="1:1" x14ac:dyDescent="0.25">
      <c r="A16282" s="5"/>
    </row>
    <row r="16283" spans="1:1" x14ac:dyDescent="0.25">
      <c r="A16283" s="5"/>
    </row>
    <row r="16284" spans="1:1" x14ac:dyDescent="0.25">
      <c r="A16284" s="5"/>
    </row>
    <row r="16285" spans="1:1" x14ac:dyDescent="0.25">
      <c r="A16285" s="5"/>
    </row>
    <row r="16286" spans="1:1" x14ac:dyDescent="0.25">
      <c r="A16286" s="5"/>
    </row>
    <row r="16287" spans="1:1" x14ac:dyDescent="0.25">
      <c r="A16287" s="5"/>
    </row>
    <row r="16288" spans="1:1" x14ac:dyDescent="0.25">
      <c r="A16288" s="5"/>
    </row>
    <row r="16289" spans="1:1" x14ac:dyDescent="0.25">
      <c r="A16289" s="5"/>
    </row>
    <row r="16290" spans="1:1" x14ac:dyDescent="0.25">
      <c r="A16290" s="5"/>
    </row>
    <row r="16291" spans="1:1" x14ac:dyDescent="0.25">
      <c r="A16291" s="5"/>
    </row>
    <row r="16292" spans="1:1" x14ac:dyDescent="0.25">
      <c r="A16292" s="5"/>
    </row>
    <row r="16293" spans="1:1" x14ac:dyDescent="0.25">
      <c r="A16293" s="5"/>
    </row>
    <row r="16294" spans="1:1" x14ac:dyDescent="0.25">
      <c r="A16294" s="5"/>
    </row>
    <row r="16295" spans="1:1" x14ac:dyDescent="0.25">
      <c r="A16295" s="5"/>
    </row>
    <row r="16296" spans="1:1" x14ac:dyDescent="0.25">
      <c r="A16296" s="5"/>
    </row>
    <row r="16297" spans="1:1" x14ac:dyDescent="0.25">
      <c r="A16297" s="5"/>
    </row>
    <row r="16298" spans="1:1" x14ac:dyDescent="0.25">
      <c r="A16298" s="5"/>
    </row>
    <row r="16299" spans="1:1" x14ac:dyDescent="0.25">
      <c r="A16299" s="5"/>
    </row>
    <row r="16300" spans="1:1" x14ac:dyDescent="0.25">
      <c r="A16300" s="5"/>
    </row>
    <row r="16301" spans="1:1" x14ac:dyDescent="0.25">
      <c r="A16301" s="5"/>
    </row>
    <row r="16302" spans="1:1" x14ac:dyDescent="0.25">
      <c r="A16302" s="5"/>
    </row>
    <row r="16303" spans="1:1" x14ac:dyDescent="0.25">
      <c r="A16303" s="5"/>
    </row>
    <row r="16304" spans="1:1" x14ac:dyDescent="0.25">
      <c r="A16304" s="5"/>
    </row>
    <row r="16305" spans="1:1" x14ac:dyDescent="0.25">
      <c r="A16305" s="5"/>
    </row>
    <row r="16306" spans="1:1" x14ac:dyDescent="0.25">
      <c r="A16306" s="5"/>
    </row>
    <row r="16307" spans="1:1" x14ac:dyDescent="0.25">
      <c r="A16307" s="5"/>
    </row>
    <row r="16308" spans="1:1" x14ac:dyDescent="0.25">
      <c r="A16308" s="5"/>
    </row>
    <row r="16309" spans="1:1" x14ac:dyDescent="0.25">
      <c r="A16309" s="5"/>
    </row>
    <row r="16310" spans="1:1" x14ac:dyDescent="0.25">
      <c r="A16310" s="5"/>
    </row>
    <row r="16311" spans="1:1" x14ac:dyDescent="0.25">
      <c r="A16311" s="5"/>
    </row>
    <row r="16312" spans="1:1" x14ac:dyDescent="0.25">
      <c r="A16312" s="5"/>
    </row>
    <row r="16313" spans="1:1" x14ac:dyDescent="0.25">
      <c r="A16313" s="5"/>
    </row>
    <row r="16314" spans="1:1" x14ac:dyDescent="0.25">
      <c r="A16314" s="5"/>
    </row>
    <row r="16315" spans="1:1" x14ac:dyDescent="0.25">
      <c r="A16315" s="5"/>
    </row>
    <row r="16316" spans="1:1" x14ac:dyDescent="0.25">
      <c r="A16316" s="5"/>
    </row>
    <row r="16317" spans="1:1" x14ac:dyDescent="0.25">
      <c r="A16317" s="5"/>
    </row>
    <row r="16318" spans="1:1" x14ac:dyDescent="0.25">
      <c r="A16318" s="5"/>
    </row>
    <row r="16319" spans="1:1" x14ac:dyDescent="0.25">
      <c r="A16319" s="5"/>
    </row>
    <row r="16320" spans="1:1" x14ac:dyDescent="0.25">
      <c r="A16320" s="5"/>
    </row>
    <row r="16321" spans="1:1" x14ac:dyDescent="0.25">
      <c r="A16321" s="5"/>
    </row>
    <row r="16322" spans="1:1" x14ac:dyDescent="0.25">
      <c r="A16322" s="5"/>
    </row>
    <row r="16323" spans="1:1" x14ac:dyDescent="0.25">
      <c r="A16323" s="5"/>
    </row>
    <row r="16324" spans="1:1" x14ac:dyDescent="0.25">
      <c r="A16324" s="5"/>
    </row>
    <row r="16325" spans="1:1" x14ac:dyDescent="0.25">
      <c r="A16325" s="5"/>
    </row>
    <row r="16326" spans="1:1" x14ac:dyDescent="0.25">
      <c r="A16326" s="5"/>
    </row>
    <row r="16327" spans="1:1" x14ac:dyDescent="0.25">
      <c r="A16327" s="5"/>
    </row>
    <row r="16328" spans="1:1" x14ac:dyDescent="0.25">
      <c r="A16328" s="5"/>
    </row>
    <row r="16329" spans="1:1" x14ac:dyDescent="0.25">
      <c r="A16329" s="5"/>
    </row>
    <row r="16330" spans="1:1" x14ac:dyDescent="0.25">
      <c r="A16330" s="5"/>
    </row>
    <row r="16331" spans="1:1" x14ac:dyDescent="0.25">
      <c r="A16331" s="5"/>
    </row>
    <row r="16332" spans="1:1" x14ac:dyDescent="0.25">
      <c r="A16332" s="5"/>
    </row>
    <row r="16333" spans="1:1" x14ac:dyDescent="0.25">
      <c r="A16333" s="5"/>
    </row>
    <row r="16334" spans="1:1" x14ac:dyDescent="0.25">
      <c r="A16334" s="5"/>
    </row>
    <row r="16335" spans="1:1" x14ac:dyDescent="0.25">
      <c r="A16335" s="5"/>
    </row>
    <row r="16336" spans="1:1" x14ac:dyDescent="0.25">
      <c r="A16336" s="5"/>
    </row>
    <row r="16337" spans="1:1" x14ac:dyDescent="0.25">
      <c r="A16337" s="5"/>
    </row>
    <row r="16338" spans="1:1" x14ac:dyDescent="0.25">
      <c r="A16338" s="5"/>
    </row>
    <row r="16339" spans="1:1" x14ac:dyDescent="0.25">
      <c r="A16339" s="5"/>
    </row>
    <row r="16340" spans="1:1" x14ac:dyDescent="0.25">
      <c r="A16340" s="5"/>
    </row>
    <row r="16341" spans="1:1" x14ac:dyDescent="0.25">
      <c r="A16341" s="5"/>
    </row>
    <row r="16342" spans="1:1" x14ac:dyDescent="0.25">
      <c r="A16342" s="5"/>
    </row>
    <row r="16343" spans="1:1" x14ac:dyDescent="0.25">
      <c r="A16343" s="5"/>
    </row>
    <row r="16344" spans="1:1" x14ac:dyDescent="0.25">
      <c r="A16344" s="5"/>
    </row>
    <row r="16345" spans="1:1" x14ac:dyDescent="0.25">
      <c r="A16345" s="5"/>
    </row>
    <row r="16346" spans="1:1" x14ac:dyDescent="0.25">
      <c r="A16346" s="5"/>
    </row>
    <row r="16347" spans="1:1" x14ac:dyDescent="0.25">
      <c r="A16347" s="5"/>
    </row>
    <row r="16348" spans="1:1" x14ac:dyDescent="0.25">
      <c r="A16348" s="5"/>
    </row>
    <row r="16349" spans="1:1" x14ac:dyDescent="0.25">
      <c r="A16349" s="5"/>
    </row>
    <row r="16350" spans="1:1" x14ac:dyDescent="0.25">
      <c r="A16350" s="5"/>
    </row>
    <row r="16351" spans="1:1" x14ac:dyDescent="0.25">
      <c r="A16351" s="5"/>
    </row>
    <row r="16352" spans="1:1" x14ac:dyDescent="0.25">
      <c r="A16352" s="5"/>
    </row>
    <row r="16353" spans="1:1" x14ac:dyDescent="0.25">
      <c r="A16353" s="5"/>
    </row>
    <row r="16354" spans="1:1" x14ac:dyDescent="0.25">
      <c r="A16354" s="5"/>
    </row>
    <row r="16355" spans="1:1" x14ac:dyDescent="0.25">
      <c r="A16355" s="5"/>
    </row>
    <row r="16356" spans="1:1" x14ac:dyDescent="0.25">
      <c r="A16356" s="5"/>
    </row>
    <row r="16357" spans="1:1" x14ac:dyDescent="0.25">
      <c r="A16357" s="5"/>
    </row>
    <row r="16358" spans="1:1" x14ac:dyDescent="0.25">
      <c r="A16358" s="5"/>
    </row>
    <row r="16359" spans="1:1" x14ac:dyDescent="0.25">
      <c r="A16359" s="5"/>
    </row>
    <row r="16360" spans="1:1" x14ac:dyDescent="0.25">
      <c r="A16360" s="5"/>
    </row>
    <row r="16361" spans="1:1" x14ac:dyDescent="0.25">
      <c r="A16361" s="5"/>
    </row>
    <row r="16362" spans="1:1" x14ac:dyDescent="0.25">
      <c r="A16362" s="5"/>
    </row>
    <row r="16363" spans="1:1" x14ac:dyDescent="0.25">
      <c r="A16363" s="5"/>
    </row>
    <row r="16364" spans="1:1" x14ac:dyDescent="0.25">
      <c r="A16364" s="5"/>
    </row>
    <row r="16365" spans="1:1" x14ac:dyDescent="0.25">
      <c r="A16365" s="5"/>
    </row>
    <row r="16366" spans="1:1" x14ac:dyDescent="0.25">
      <c r="A16366" s="5"/>
    </row>
    <row r="16367" spans="1:1" x14ac:dyDescent="0.25">
      <c r="A16367" s="5"/>
    </row>
    <row r="16368" spans="1:1" x14ac:dyDescent="0.25">
      <c r="A16368" s="5"/>
    </row>
    <row r="16369" spans="1:1" x14ac:dyDescent="0.25">
      <c r="A16369" s="5"/>
    </row>
    <row r="16370" spans="1:1" x14ac:dyDescent="0.25">
      <c r="A16370" s="5"/>
    </row>
  </sheetData>
  <sheetProtection algorithmName="SHA-512" hashValue="1UshfXUAQ1MLbk3ysBjABgQtVVIJme/7I6GpBG9BqlPpjmH6+ilVZdyCKX/fZ/ljnFlJiP9JLCX9wBFxUynt5A==" saltValue="qceLyqHIUqce6YfJFsrVDg=="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STANDARDS - FEMALE SOLO TRICYCLE</oddHeader>
    <oddFooter>&amp;L&amp;F&amp;CPage &amp;P of &amp;N&amp;R&amp;D</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79375-771B-4E7E-BC8D-3ADA1033727F}">
  <sheetPr codeName="Sheet28">
    <pageSetUpPr fitToPage="1"/>
  </sheetPr>
  <dimension ref="A1:T29"/>
  <sheetViews>
    <sheetView zoomScale="75" zoomScaleNormal="75" workbookViewId="0"/>
  </sheetViews>
  <sheetFormatPr defaultRowHeight="15" x14ac:dyDescent="0.25"/>
  <cols>
    <col min="1" max="1" width="4.5703125" customWidth="1"/>
    <col min="2" max="9" width="8.5703125" customWidth="1"/>
    <col min="10" max="11" width="4.5703125" customWidth="1"/>
    <col min="12" max="19" width="8.5703125" customWidth="1"/>
  </cols>
  <sheetData>
    <row r="1" spans="1:19" s="11" customFormat="1" x14ac:dyDescent="0.25">
      <c r="A1" s="9" t="s">
        <v>1</v>
      </c>
      <c r="B1" s="10" t="s">
        <v>13</v>
      </c>
      <c r="C1" s="10" t="s">
        <v>14</v>
      </c>
      <c r="D1" s="10" t="s">
        <v>15</v>
      </c>
      <c r="E1" s="10" t="s">
        <v>16</v>
      </c>
      <c r="F1" s="10" t="s">
        <v>17</v>
      </c>
      <c r="G1" s="10" t="s">
        <v>18</v>
      </c>
      <c r="H1" s="10" t="s">
        <v>19</v>
      </c>
      <c r="I1" s="10" t="s">
        <v>20</v>
      </c>
      <c r="J1" s="12"/>
      <c r="K1" s="9" t="s">
        <v>1</v>
      </c>
      <c r="L1" s="10" t="s">
        <v>13</v>
      </c>
      <c r="M1" s="10" t="s">
        <v>14</v>
      </c>
      <c r="N1" s="10" t="s">
        <v>15</v>
      </c>
      <c r="O1" s="10" t="s">
        <v>16</v>
      </c>
      <c r="P1" s="10" t="s">
        <v>17</v>
      </c>
      <c r="Q1" s="10" t="s">
        <v>18</v>
      </c>
      <c r="R1" s="10" t="s">
        <v>19</v>
      </c>
      <c r="S1" s="10" t="s">
        <v>20</v>
      </c>
    </row>
    <row r="2" spans="1:19" x14ac:dyDescent="0.25">
      <c r="A2" s="4">
        <f>'All Tandem Standards'!A33</f>
        <v>40</v>
      </c>
      <c r="B2" s="3" t="str">
        <f>'All Tandem Standards'!B33</f>
        <v>12:33</v>
      </c>
      <c r="C2" s="3" t="str">
        <f>'All Tandem Standards'!C33</f>
        <v>18:53</v>
      </c>
      <c r="D2" s="3" t="str">
        <f>'All Tandem Standards'!D33</f>
        <v>31:41</v>
      </c>
      <c r="E2" s="3" t="str">
        <f>'All Tandem Standards'!E33</f>
        <v>38:09</v>
      </c>
      <c r="F2" s="3" t="str">
        <f>'All Tandem Standards'!F33</f>
        <v>1:04:28</v>
      </c>
      <c r="G2" s="3" t="str">
        <f>'All Tandem Standards'!G33</f>
        <v>2:13:39</v>
      </c>
      <c r="H2" s="46" t="str">
        <f>'All Tandem Standards'!H33</f>
        <v>115.39</v>
      </c>
      <c r="I2" s="46" t="str">
        <f>'All Tandem Standards'!I33</f>
        <v>191.72</v>
      </c>
      <c r="K2" s="4">
        <f>'All Tandem Standards'!A61</f>
        <v>68</v>
      </c>
      <c r="L2" s="3" t="str">
        <f>'All Tandem Standards'!B61</f>
        <v>14:02</v>
      </c>
      <c r="M2" s="3" t="str">
        <f>'All Tandem Standards'!C61</f>
        <v>21:09</v>
      </c>
      <c r="N2" s="3" t="str">
        <f>'All Tandem Standards'!D61</f>
        <v>35:34</v>
      </c>
      <c r="O2" s="3" t="str">
        <f>'All Tandem Standards'!E61</f>
        <v>42:52</v>
      </c>
      <c r="P2" s="3" t="str">
        <f>'All Tandem Standards'!F61</f>
        <v>1:12:44</v>
      </c>
      <c r="Q2" s="3" t="str">
        <f>'All Tandem Standards'!G61</f>
        <v>2:32:25</v>
      </c>
      <c r="R2" s="47" t="str">
        <f>'All Tandem Standards'!H61</f>
        <v>90.08</v>
      </c>
      <c r="S2" s="47" t="str">
        <f>'All Tandem Standards'!I61</f>
        <v>142.11</v>
      </c>
    </row>
    <row r="3" spans="1:19" x14ac:dyDescent="0.25">
      <c r="A3" s="4">
        <f>'All Tandem Standards'!A34</f>
        <v>41</v>
      </c>
      <c r="B3" s="3" t="str">
        <f>'All Tandem Standards'!B34</f>
        <v>12:34</v>
      </c>
      <c r="C3" s="3" t="str">
        <f>'All Tandem Standards'!C34</f>
        <v>18:54</v>
      </c>
      <c r="D3" s="3" t="str">
        <f>'All Tandem Standards'!D34</f>
        <v>31:44</v>
      </c>
      <c r="E3" s="3" t="str">
        <f>'All Tandem Standards'!E34</f>
        <v>38:12</v>
      </c>
      <c r="F3" s="3" t="str">
        <f>'All Tandem Standards'!F34</f>
        <v>1:04:35</v>
      </c>
      <c r="G3" s="3" t="str">
        <f>'All Tandem Standards'!G34</f>
        <v>2:13:53</v>
      </c>
      <c r="H3" s="46" t="str">
        <f>'All Tandem Standards'!H34</f>
        <v>115.02</v>
      </c>
      <c r="I3" s="46" t="str">
        <f>'All Tandem Standards'!I34</f>
        <v>190.99</v>
      </c>
      <c r="K3" s="4">
        <f>'All Tandem Standards'!A62</f>
        <v>69</v>
      </c>
      <c r="L3" s="45" t="str">
        <f>'All Tandem Standards'!B62</f>
        <v>14:08</v>
      </c>
      <c r="M3" s="45" t="str">
        <f>'All Tandem Standards'!C62</f>
        <v>21:18</v>
      </c>
      <c r="N3" s="45" t="str">
        <f>'All Tandem Standards'!D62</f>
        <v>35:48</v>
      </c>
      <c r="O3" s="45" t="str">
        <f>'All Tandem Standards'!E62</f>
        <v>43:10</v>
      </c>
      <c r="P3" s="45" t="str">
        <f>'All Tandem Standards'!F62</f>
        <v>1:13:15</v>
      </c>
      <c r="Q3" s="45" t="str">
        <f>'All Tandem Standards'!G62</f>
        <v>2:33:39</v>
      </c>
      <c r="R3" s="49" t="str">
        <f>'All Tandem Standards'!H62</f>
        <v>88.72</v>
      </c>
      <c r="S3" s="49" t="str">
        <f>'All Tandem Standards'!I62</f>
        <v>139.48</v>
      </c>
    </row>
    <row r="4" spans="1:19" x14ac:dyDescent="0.25">
      <c r="A4" s="4">
        <f>'All Tandem Standards'!A35</f>
        <v>42</v>
      </c>
      <c r="B4" s="3" t="str">
        <f>'All Tandem Standards'!B35</f>
        <v>12:35</v>
      </c>
      <c r="C4" s="3" t="str">
        <f>'All Tandem Standards'!C35</f>
        <v>18:56</v>
      </c>
      <c r="D4" s="3" t="str">
        <f>'All Tandem Standards'!D35</f>
        <v>31:47</v>
      </c>
      <c r="E4" s="3" t="str">
        <f>'All Tandem Standards'!E35</f>
        <v>38:16</v>
      </c>
      <c r="F4" s="3" t="str">
        <f>'All Tandem Standards'!F35</f>
        <v>1:04:42</v>
      </c>
      <c r="G4" s="3" t="str">
        <f>'All Tandem Standards'!G35</f>
        <v>2:14:09</v>
      </c>
      <c r="H4" s="46" t="str">
        <f>'All Tandem Standards'!H35</f>
        <v>114.60</v>
      </c>
      <c r="I4" s="46" t="str">
        <f>'All Tandem Standards'!I35</f>
        <v>190.15</v>
      </c>
      <c r="K4" s="4">
        <f>'All Tandem Standards'!A63</f>
        <v>70</v>
      </c>
      <c r="L4" s="3" t="str">
        <f>'All Tandem Standards'!B63</f>
        <v>14:14</v>
      </c>
      <c r="M4" s="3" t="str">
        <f>'All Tandem Standards'!C63</f>
        <v>21:27</v>
      </c>
      <c r="N4" s="3" t="str">
        <f>'All Tandem Standards'!D63</f>
        <v>36:04</v>
      </c>
      <c r="O4" s="3" t="str">
        <f>'All Tandem Standards'!E63</f>
        <v>43:28</v>
      </c>
      <c r="P4" s="3" t="str">
        <f>'All Tandem Standards'!F63</f>
        <v>1:13:48</v>
      </c>
      <c r="Q4" s="3" t="str">
        <f>'All Tandem Standards'!G63</f>
        <v>2:34:56</v>
      </c>
      <c r="R4" s="47" t="str">
        <f>'All Tandem Standards'!H63</f>
        <v>87.33</v>
      </c>
      <c r="S4" s="47" t="str">
        <f>'All Tandem Standards'!I63</f>
        <v>136.81</v>
      </c>
    </row>
    <row r="5" spans="1:19" x14ac:dyDescent="0.25">
      <c r="A5" s="4">
        <f>'All Tandem Standards'!A36</f>
        <v>43</v>
      </c>
      <c r="B5" s="3" t="str">
        <f>'All Tandem Standards'!B36</f>
        <v>12:36</v>
      </c>
      <c r="C5" s="3" t="str">
        <f>'All Tandem Standards'!C36</f>
        <v>18:59</v>
      </c>
      <c r="D5" s="3" t="str">
        <f>'All Tandem Standards'!D36</f>
        <v>31:51</v>
      </c>
      <c r="E5" s="3" t="str">
        <f>'All Tandem Standards'!E36</f>
        <v>38:21</v>
      </c>
      <c r="F5" s="3" t="str">
        <f>'All Tandem Standards'!F36</f>
        <v>1:04:49</v>
      </c>
      <c r="G5" s="3" t="str">
        <f>'All Tandem Standards'!G36</f>
        <v>2:14:26</v>
      </c>
      <c r="H5" s="46" t="str">
        <f>'All Tandem Standards'!H36</f>
        <v>114.12</v>
      </c>
      <c r="I5" s="46" t="str">
        <f>'All Tandem Standards'!I36</f>
        <v>189.21</v>
      </c>
      <c r="K5" s="4">
        <f>'All Tandem Standards'!A64</f>
        <v>71</v>
      </c>
      <c r="L5" s="3" t="str">
        <f>'All Tandem Standards'!B64</f>
        <v>14:20</v>
      </c>
      <c r="M5" s="3" t="str">
        <f>'All Tandem Standards'!C64</f>
        <v>21:36</v>
      </c>
      <c r="N5" s="3" t="str">
        <f>'All Tandem Standards'!D64</f>
        <v>36:20</v>
      </c>
      <c r="O5" s="3" t="str">
        <f>'All Tandem Standards'!E64</f>
        <v>43:48</v>
      </c>
      <c r="P5" s="3" t="str">
        <f>'All Tandem Standards'!F64</f>
        <v>1:14:23</v>
      </c>
      <c r="Q5" s="3" t="str">
        <f>'All Tandem Standards'!G64</f>
        <v>2:36:17</v>
      </c>
      <c r="R5" s="47" t="str">
        <f>'All Tandem Standards'!H64</f>
        <v>85.91</v>
      </c>
      <c r="S5" s="47" t="str">
        <f>'All Tandem Standards'!I64</f>
        <v>134.09</v>
      </c>
    </row>
    <row r="6" spans="1:19" x14ac:dyDescent="0.25">
      <c r="A6" s="4">
        <f>'All Tandem Standards'!A37</f>
        <v>44</v>
      </c>
      <c r="B6" s="3" t="str">
        <f>'All Tandem Standards'!B37</f>
        <v>12:38</v>
      </c>
      <c r="C6" s="3" t="str">
        <f>'All Tandem Standards'!C37</f>
        <v>19:01</v>
      </c>
      <c r="D6" s="3" t="str">
        <f>'All Tandem Standards'!D37</f>
        <v>31:55</v>
      </c>
      <c r="E6" s="3" t="str">
        <f>'All Tandem Standards'!E37</f>
        <v>38:26</v>
      </c>
      <c r="F6" s="3" t="str">
        <f>'All Tandem Standards'!F37</f>
        <v>1:04:58</v>
      </c>
      <c r="G6" s="3" t="str">
        <f>'All Tandem Standards'!G37</f>
        <v>2:14:46</v>
      </c>
      <c r="H6" s="46" t="str">
        <f>'All Tandem Standards'!H37</f>
        <v>113.60</v>
      </c>
      <c r="I6" s="46" t="str">
        <f>'All Tandem Standards'!I37</f>
        <v>188.18</v>
      </c>
      <c r="K6" s="4">
        <f>'All Tandem Standards'!A65</f>
        <v>72</v>
      </c>
      <c r="L6" s="3" t="str">
        <f>'All Tandem Standards'!B65</f>
        <v>14:26</v>
      </c>
      <c r="M6" s="3" t="str">
        <f>'All Tandem Standards'!C65</f>
        <v>21:46</v>
      </c>
      <c r="N6" s="3" t="str">
        <f>'All Tandem Standards'!D65</f>
        <v>36:36</v>
      </c>
      <c r="O6" s="3" t="str">
        <f>'All Tandem Standards'!E65</f>
        <v>44:08</v>
      </c>
      <c r="P6" s="3" t="str">
        <f>'All Tandem Standards'!F65</f>
        <v>1:14:59</v>
      </c>
      <c r="Q6" s="3" t="str">
        <f>'All Tandem Standards'!G65</f>
        <v>2:37:41</v>
      </c>
      <c r="R6" s="47" t="str">
        <f>'All Tandem Standards'!H65</f>
        <v>84.47</v>
      </c>
      <c r="S6" s="47" t="str">
        <f>'All Tandem Standards'!I65</f>
        <v>131.32</v>
      </c>
    </row>
    <row r="7" spans="1:19" x14ac:dyDescent="0.25">
      <c r="A7" s="4">
        <f>'All Tandem Standards'!A38</f>
        <v>45</v>
      </c>
      <c r="B7" s="3" t="str">
        <f>'All Tandem Standards'!B38</f>
        <v>12:40</v>
      </c>
      <c r="C7" s="3" t="str">
        <f>'All Tandem Standards'!C38</f>
        <v>19:04</v>
      </c>
      <c r="D7" s="3" t="str">
        <f>'All Tandem Standards'!D38</f>
        <v>32:00</v>
      </c>
      <c r="E7" s="3" t="str">
        <f>'All Tandem Standards'!E38</f>
        <v>38:32</v>
      </c>
      <c r="F7" s="3" t="str">
        <f>'All Tandem Standards'!F38</f>
        <v>1:05:08</v>
      </c>
      <c r="G7" s="3" t="str">
        <f>'All Tandem Standards'!G38</f>
        <v>2:15:08</v>
      </c>
      <c r="H7" s="46" t="str">
        <f>'All Tandem Standards'!H38</f>
        <v>113.04</v>
      </c>
      <c r="I7" s="46" t="str">
        <f>'All Tandem Standards'!I38</f>
        <v>187.06</v>
      </c>
      <c r="K7" s="4">
        <f>'All Tandem Standards'!A66</f>
        <v>73</v>
      </c>
      <c r="L7" s="3" t="str">
        <f>'All Tandem Standards'!B66</f>
        <v>14:33</v>
      </c>
      <c r="M7" s="3" t="str">
        <f>'All Tandem Standards'!C66</f>
        <v>21:56</v>
      </c>
      <c r="N7" s="3" t="str">
        <f>'All Tandem Standards'!D66</f>
        <v>36:54</v>
      </c>
      <c r="O7" s="3" t="str">
        <f>'All Tandem Standards'!E66</f>
        <v>44:29</v>
      </c>
      <c r="P7" s="3" t="str">
        <f>'All Tandem Standards'!F66</f>
        <v>1:15:36</v>
      </c>
      <c r="Q7" s="3" t="str">
        <f>'All Tandem Standards'!G66</f>
        <v>2:39:10</v>
      </c>
      <c r="R7" s="47" t="str">
        <f>'All Tandem Standards'!H66</f>
        <v>83.00</v>
      </c>
      <c r="S7" s="47" t="str">
        <f>'All Tandem Standards'!I66</f>
        <v>128.50</v>
      </c>
    </row>
    <row r="8" spans="1:19" x14ac:dyDescent="0.25">
      <c r="A8" s="4">
        <f>'All Tandem Standards'!A39</f>
        <v>46</v>
      </c>
      <c r="B8" s="3" t="str">
        <f>'All Tandem Standards'!B39</f>
        <v>12:42</v>
      </c>
      <c r="C8" s="3" t="str">
        <f>'All Tandem Standards'!C39</f>
        <v>19:07</v>
      </c>
      <c r="D8" s="3" t="str">
        <f>'All Tandem Standards'!D39</f>
        <v>32:04</v>
      </c>
      <c r="E8" s="3" t="str">
        <f>'All Tandem Standards'!E39</f>
        <v>38:37</v>
      </c>
      <c r="F8" s="3" t="str">
        <f>'All Tandem Standards'!F39</f>
        <v>1:05:18</v>
      </c>
      <c r="G8" s="3" t="str">
        <f>'All Tandem Standards'!G39</f>
        <v>2:15:31</v>
      </c>
      <c r="H8" s="46" t="str">
        <f>'All Tandem Standards'!H39</f>
        <v>112.43</v>
      </c>
      <c r="I8" s="46" t="str">
        <f>'All Tandem Standards'!I39</f>
        <v>185.85</v>
      </c>
      <c r="K8" s="4">
        <f>'All Tandem Standards'!A67</f>
        <v>74</v>
      </c>
      <c r="L8" s="3" t="str">
        <f>'All Tandem Standards'!B67</f>
        <v>14:40</v>
      </c>
      <c r="M8" s="3" t="str">
        <f>'All Tandem Standards'!C67</f>
        <v>22:06</v>
      </c>
      <c r="N8" s="3" t="str">
        <f>'All Tandem Standards'!D67</f>
        <v>37:12</v>
      </c>
      <c r="O8" s="3" t="str">
        <f>'All Tandem Standards'!E67</f>
        <v>44:51</v>
      </c>
      <c r="P8" s="3" t="str">
        <f>'All Tandem Standards'!F67</f>
        <v>1:16:15</v>
      </c>
      <c r="Q8" s="3" t="str">
        <f>'All Tandem Standards'!G67</f>
        <v>2:40:42</v>
      </c>
      <c r="R8" s="47" t="str">
        <f>'All Tandem Standards'!H67</f>
        <v>81.49</v>
      </c>
      <c r="S8" s="47" t="str">
        <f>'All Tandem Standards'!I67</f>
        <v>125.64</v>
      </c>
    </row>
    <row r="9" spans="1:19" x14ac:dyDescent="0.25">
      <c r="A9" s="4">
        <f>'All Tandem Standards'!A40</f>
        <v>47</v>
      </c>
      <c r="B9" s="3" t="str">
        <f>'All Tandem Standards'!B40</f>
        <v>12:44</v>
      </c>
      <c r="C9" s="3" t="str">
        <f>'All Tandem Standards'!C40</f>
        <v>19:10</v>
      </c>
      <c r="D9" s="3" t="str">
        <f>'All Tandem Standards'!D40</f>
        <v>32:10</v>
      </c>
      <c r="E9" s="3" t="str">
        <f>'All Tandem Standards'!E40</f>
        <v>38:44</v>
      </c>
      <c r="F9" s="3" t="str">
        <f>'All Tandem Standards'!F40</f>
        <v>1:05:30</v>
      </c>
      <c r="G9" s="3" t="str">
        <f>'All Tandem Standards'!G40</f>
        <v>2:15:56</v>
      </c>
      <c r="H9" s="46" t="str">
        <f>'All Tandem Standards'!H40</f>
        <v>111.77</v>
      </c>
      <c r="I9" s="46" t="str">
        <f>'All Tandem Standards'!I40</f>
        <v>184.56</v>
      </c>
      <c r="K9" s="4">
        <f>'All Tandem Standards'!A68</f>
        <v>75</v>
      </c>
      <c r="L9" s="3" t="str">
        <f>'All Tandem Standards'!B68</f>
        <v>14:47</v>
      </c>
      <c r="M9" s="3" t="str">
        <f>'All Tandem Standards'!C68</f>
        <v>22:17</v>
      </c>
      <c r="N9" s="3" t="str">
        <f>'All Tandem Standards'!D68</f>
        <v>37:31</v>
      </c>
      <c r="O9" s="3" t="str">
        <f>'All Tandem Standards'!E68</f>
        <v>45:14</v>
      </c>
      <c r="P9" s="3" t="str">
        <f>'All Tandem Standards'!F68</f>
        <v>1:16:56</v>
      </c>
      <c r="Q9" s="3" t="str">
        <f>'All Tandem Standards'!G68</f>
        <v>2:42:19</v>
      </c>
      <c r="R9" s="47" t="str">
        <f>'All Tandem Standards'!H68</f>
        <v>79.97</v>
      </c>
      <c r="S9" s="47" t="str">
        <f>'All Tandem Standards'!I68</f>
        <v>122.73</v>
      </c>
    </row>
    <row r="10" spans="1:19" x14ac:dyDescent="0.25">
      <c r="A10" s="4">
        <f>'All Tandem Standards'!A41</f>
        <v>48</v>
      </c>
      <c r="B10" s="3" t="str">
        <f>'All Tandem Standards'!B41</f>
        <v>12:46</v>
      </c>
      <c r="C10" s="3" t="str">
        <f>'All Tandem Standards'!C41</f>
        <v>19:13</v>
      </c>
      <c r="D10" s="3" t="str">
        <f>'All Tandem Standards'!D41</f>
        <v>32:15</v>
      </c>
      <c r="E10" s="3" t="str">
        <f>'All Tandem Standards'!E41</f>
        <v>38:51</v>
      </c>
      <c r="F10" s="3" t="str">
        <f>'All Tandem Standards'!F41</f>
        <v>1:05:42</v>
      </c>
      <c r="G10" s="3" t="str">
        <f>'All Tandem Standards'!G41</f>
        <v>2:16:23</v>
      </c>
      <c r="H10" s="46" t="str">
        <f>'All Tandem Standards'!H41</f>
        <v>111.08</v>
      </c>
      <c r="I10" s="46" t="str">
        <f>'All Tandem Standards'!I41</f>
        <v>183.19</v>
      </c>
      <c r="K10" s="4">
        <f>'All Tandem Standards'!A69</f>
        <v>76</v>
      </c>
      <c r="L10" s="3" t="str">
        <f>'All Tandem Standards'!B69</f>
        <v>14:55</v>
      </c>
      <c r="M10" s="3" t="str">
        <f>'All Tandem Standards'!C69</f>
        <v>22:29</v>
      </c>
      <c r="N10" s="3" t="str">
        <f>'All Tandem Standards'!D69</f>
        <v>37:50</v>
      </c>
      <c r="O10" s="3" t="str">
        <f>'All Tandem Standards'!E69</f>
        <v>45:38</v>
      </c>
      <c r="P10" s="3" t="str">
        <f>'All Tandem Standards'!F69</f>
        <v>1:17:39</v>
      </c>
      <c r="Q10" s="3" t="str">
        <f>'All Tandem Standards'!G69</f>
        <v>2:44:00</v>
      </c>
      <c r="R10" s="47" t="str">
        <f>'All Tandem Standards'!H69</f>
        <v>78.41</v>
      </c>
      <c r="S10" s="47" t="str">
        <f>'All Tandem Standards'!I69</f>
        <v>119.77</v>
      </c>
    </row>
    <row r="11" spans="1:19" x14ac:dyDescent="0.25">
      <c r="A11" s="4">
        <f>'All Tandem Standards'!A42</f>
        <v>49</v>
      </c>
      <c r="B11" s="45" t="str">
        <f>'All Tandem Standards'!B42</f>
        <v>12:48</v>
      </c>
      <c r="C11" s="45" t="str">
        <f>'All Tandem Standards'!C42</f>
        <v>19:17</v>
      </c>
      <c r="D11" s="45" t="str">
        <f>'All Tandem Standards'!D42</f>
        <v>32:22</v>
      </c>
      <c r="E11" s="45" t="str">
        <f>'All Tandem Standards'!E42</f>
        <v>38:59</v>
      </c>
      <c r="F11" s="45" t="str">
        <f>'All Tandem Standards'!F42</f>
        <v>1:05:55</v>
      </c>
      <c r="G11" s="45" t="str">
        <f>'All Tandem Standards'!G42</f>
        <v>2:16:52</v>
      </c>
      <c r="H11" s="48" t="str">
        <f>'All Tandem Standards'!H42</f>
        <v>110.35</v>
      </c>
      <c r="I11" s="48" t="str">
        <f>'All Tandem Standards'!I42</f>
        <v>181.73</v>
      </c>
      <c r="K11" s="4">
        <f>'All Tandem Standards'!A70</f>
        <v>77</v>
      </c>
      <c r="L11" s="3" t="str">
        <f>'All Tandem Standards'!B70</f>
        <v>15:02</v>
      </c>
      <c r="M11" s="3" t="str">
        <f>'All Tandem Standards'!C70</f>
        <v>22:40</v>
      </c>
      <c r="N11" s="3" t="str">
        <f>'All Tandem Standards'!D70</f>
        <v>38:11</v>
      </c>
      <c r="O11" s="3" t="str">
        <f>'All Tandem Standards'!E70</f>
        <v>46:03</v>
      </c>
      <c r="P11" s="3" t="str">
        <f>'All Tandem Standards'!F70</f>
        <v>1:18:24</v>
      </c>
      <c r="Q11" s="3" t="str">
        <f>'All Tandem Standards'!G70</f>
        <v>2:45:47</v>
      </c>
      <c r="R11" s="47" t="str">
        <f>'All Tandem Standards'!H70</f>
        <v>76.83</v>
      </c>
      <c r="S11" s="47" t="str">
        <f>'All Tandem Standards'!I70</f>
        <v>116.77</v>
      </c>
    </row>
    <row r="12" spans="1:19" x14ac:dyDescent="0.25">
      <c r="A12" s="4">
        <f>'All Tandem Standards'!A43</f>
        <v>50</v>
      </c>
      <c r="B12" s="3" t="str">
        <f>'All Tandem Standards'!B43</f>
        <v>12:51</v>
      </c>
      <c r="C12" s="3" t="str">
        <f>'All Tandem Standards'!C43</f>
        <v>19:21</v>
      </c>
      <c r="D12" s="3" t="str">
        <f>'All Tandem Standards'!D43</f>
        <v>32:28</v>
      </c>
      <c r="E12" s="3" t="str">
        <f>'All Tandem Standards'!E43</f>
        <v>39:06</v>
      </c>
      <c r="F12" s="3" t="str">
        <f>'All Tandem Standards'!F43</f>
        <v>1:06:08</v>
      </c>
      <c r="G12" s="3" t="str">
        <f>'All Tandem Standards'!G43</f>
        <v>2:17:23</v>
      </c>
      <c r="H12" s="46" t="str">
        <f>'All Tandem Standards'!H43</f>
        <v>109.57</v>
      </c>
      <c r="I12" s="46" t="str">
        <f>'All Tandem Standards'!I43</f>
        <v>180.21</v>
      </c>
      <c r="K12" s="4">
        <f>'All Tandem Standards'!A71</f>
        <v>78</v>
      </c>
      <c r="L12" s="3" t="str">
        <f>'All Tandem Standards'!B71</f>
        <v>15:11</v>
      </c>
      <c r="M12" s="3" t="str">
        <f>'All Tandem Standards'!C71</f>
        <v>22:53</v>
      </c>
      <c r="N12" s="3" t="str">
        <f>'All Tandem Standards'!D71</f>
        <v>38:32</v>
      </c>
      <c r="O12" s="3" t="str">
        <f>'All Tandem Standards'!E71</f>
        <v>46:29</v>
      </c>
      <c r="P12" s="3" t="str">
        <f>'All Tandem Standards'!F71</f>
        <v>1:19:10</v>
      </c>
      <c r="Q12" s="3" t="str">
        <f>'All Tandem Standards'!G71</f>
        <v>2:47:38</v>
      </c>
      <c r="R12" s="47" t="str">
        <f>'All Tandem Standards'!H71</f>
        <v>75.21</v>
      </c>
      <c r="S12" s="47" t="str">
        <f>'All Tandem Standards'!I71</f>
        <v>113.71</v>
      </c>
    </row>
    <row r="13" spans="1:19" x14ac:dyDescent="0.25">
      <c r="A13" s="4">
        <f>'All Tandem Standards'!A44</f>
        <v>51</v>
      </c>
      <c r="B13" s="3" t="str">
        <f>'All Tandem Standards'!B44</f>
        <v>12:53</v>
      </c>
      <c r="C13" s="3" t="str">
        <f>'All Tandem Standards'!C44</f>
        <v>19:24</v>
      </c>
      <c r="D13" s="3" t="str">
        <f>'All Tandem Standards'!D44</f>
        <v>32:35</v>
      </c>
      <c r="E13" s="3" t="str">
        <f>'All Tandem Standards'!E44</f>
        <v>39:14</v>
      </c>
      <c r="F13" s="3" t="str">
        <f>'All Tandem Standards'!F44</f>
        <v>1:06:23</v>
      </c>
      <c r="G13" s="3" t="str">
        <f>'All Tandem Standards'!G44</f>
        <v>2:17:55</v>
      </c>
      <c r="H13" s="46" t="str">
        <f>'All Tandem Standards'!H44</f>
        <v>108.77</v>
      </c>
      <c r="I13" s="46" t="str">
        <f>'All Tandem Standards'!I44</f>
        <v>178.61</v>
      </c>
      <c r="K13" s="4">
        <f>'All Tandem Standards'!A72</f>
        <v>79</v>
      </c>
      <c r="L13" s="45" t="str">
        <f>'All Tandem Standards'!B72</f>
        <v>15:19</v>
      </c>
      <c r="M13" s="45" t="str">
        <f>'All Tandem Standards'!C72</f>
        <v>23:06</v>
      </c>
      <c r="N13" s="45" t="str">
        <f>'All Tandem Standards'!D72</f>
        <v>38:54</v>
      </c>
      <c r="O13" s="45" t="str">
        <f>'All Tandem Standards'!E72</f>
        <v>46:56</v>
      </c>
      <c r="P13" s="45" t="str">
        <f>'All Tandem Standards'!F72</f>
        <v>1:19:59</v>
      </c>
      <c r="Q13" s="45" t="str">
        <f>'All Tandem Standards'!G72</f>
        <v>2:49:36</v>
      </c>
      <c r="R13" s="49" t="str">
        <f>'All Tandem Standards'!H72</f>
        <v>73.57</v>
      </c>
      <c r="S13" s="49" t="str">
        <f>'All Tandem Standards'!I72</f>
        <v>110.62</v>
      </c>
    </row>
    <row r="14" spans="1:19" x14ac:dyDescent="0.25">
      <c r="A14" s="4">
        <f>'All Tandem Standards'!A45</f>
        <v>52</v>
      </c>
      <c r="B14" s="3" t="str">
        <f>'All Tandem Standards'!B45</f>
        <v>12:56</v>
      </c>
      <c r="C14" s="3" t="str">
        <f>'All Tandem Standards'!C45</f>
        <v>19:31</v>
      </c>
      <c r="D14" s="3" t="str">
        <f>'All Tandem Standards'!D45</f>
        <v>32:42</v>
      </c>
      <c r="E14" s="3" t="str">
        <f>'All Tandem Standards'!E45</f>
        <v>39:23</v>
      </c>
      <c r="F14" s="3" t="str">
        <f>'All Tandem Standards'!F45</f>
        <v>1:06:38</v>
      </c>
      <c r="G14" s="3" t="str">
        <f>'All Tandem Standards'!G45</f>
        <v>2:18:29</v>
      </c>
      <c r="H14" s="46" t="str">
        <f>'All Tandem Standards'!H45</f>
        <v>107.92</v>
      </c>
      <c r="I14" s="46" t="str">
        <f>'All Tandem Standards'!I45</f>
        <v>176.94</v>
      </c>
      <c r="K14" s="4">
        <f>'All Tandem Standards'!A73</f>
        <v>80</v>
      </c>
      <c r="L14" s="3" t="str">
        <f>'All Tandem Standards'!B73</f>
        <v>15:28</v>
      </c>
      <c r="M14" s="3" t="str">
        <f>'All Tandem Standards'!C73</f>
        <v>23:19</v>
      </c>
      <c r="N14" s="3" t="str">
        <f>'All Tandem Standards'!D73</f>
        <v>39:18</v>
      </c>
      <c r="O14" s="3" t="str">
        <f>'All Tandem Standards'!E73</f>
        <v>47:25</v>
      </c>
      <c r="P14" s="3" t="str">
        <f>'All Tandem Standards'!F73</f>
        <v>1:20:49</v>
      </c>
      <c r="Q14" s="3" t="str">
        <f>'All Tandem Standards'!G73</f>
        <v>2:51:39</v>
      </c>
      <c r="R14" s="47" t="str">
        <f>'All Tandem Standards'!H73</f>
        <v>71.90</v>
      </c>
      <c r="S14" s="47" t="str">
        <f>'All Tandem Standards'!I73</f>
        <v>107.47</v>
      </c>
    </row>
    <row r="15" spans="1:19" x14ac:dyDescent="0.25">
      <c r="A15" s="4">
        <f>'All Tandem Standards'!A46</f>
        <v>53</v>
      </c>
      <c r="B15" s="3" t="str">
        <f>'All Tandem Standards'!B46</f>
        <v>12:59</v>
      </c>
      <c r="C15" s="3" t="str">
        <f>'All Tandem Standards'!C46</f>
        <v>19:33</v>
      </c>
      <c r="D15" s="3" t="str">
        <f>'All Tandem Standards'!D46</f>
        <v>32:50</v>
      </c>
      <c r="E15" s="3" t="str">
        <f>'All Tandem Standards'!E46</f>
        <v>39:33</v>
      </c>
      <c r="F15" s="3" t="str">
        <f>'All Tandem Standards'!F46</f>
        <v>1:06:54</v>
      </c>
      <c r="G15" s="3" t="str">
        <f>'All Tandem Standards'!G46</f>
        <v>2:19:06</v>
      </c>
      <c r="H15" s="46" t="str">
        <f>'All Tandem Standards'!H46</f>
        <v>107.04</v>
      </c>
      <c r="I15" s="46" t="str">
        <f>'All Tandem Standards'!I46</f>
        <v>175.20</v>
      </c>
      <c r="K15" s="4">
        <f>'All Tandem Standards'!A74</f>
        <v>81</v>
      </c>
      <c r="L15" s="3" t="str">
        <f>'All Tandem Standards'!B74</f>
        <v>15:37</v>
      </c>
      <c r="M15" s="3" t="str">
        <f>'All Tandem Standards'!C74</f>
        <v>23:33</v>
      </c>
      <c r="N15" s="3" t="str">
        <f>'All Tandem Standards'!D74</f>
        <v>39:42</v>
      </c>
      <c r="O15" s="3" t="str">
        <f>'All Tandem Standards'!E74</f>
        <v>47:54</v>
      </c>
      <c r="P15" s="3" t="str">
        <f>'All Tandem Standards'!F74</f>
        <v>1:21:43</v>
      </c>
      <c r="Q15" s="3" t="str">
        <f>'All Tandem Standards'!G74</f>
        <v>2:53:50</v>
      </c>
      <c r="R15" s="47" t="str">
        <f>'All Tandem Standards'!H74</f>
        <v>70.20</v>
      </c>
      <c r="S15" s="47" t="str">
        <f>'All Tandem Standards'!I74</f>
        <v>104.28</v>
      </c>
    </row>
    <row r="16" spans="1:19" x14ac:dyDescent="0.25">
      <c r="A16" s="4">
        <f>'All Tandem Standards'!A47</f>
        <v>54</v>
      </c>
      <c r="B16" s="3" t="str">
        <f>'All Tandem Standards'!B47</f>
        <v>13:02</v>
      </c>
      <c r="C16" s="3" t="str">
        <f>'All Tandem Standards'!C47</f>
        <v>19:38</v>
      </c>
      <c r="D16" s="3" t="str">
        <f>'All Tandem Standards'!D47</f>
        <v>32:58</v>
      </c>
      <c r="E16" s="3" t="str">
        <f>'All Tandem Standards'!E47</f>
        <v>39:42</v>
      </c>
      <c r="F16" s="3" t="str">
        <f>'All Tandem Standards'!F47</f>
        <v>1:07:11</v>
      </c>
      <c r="G16" s="3" t="str">
        <f>'All Tandem Standards'!G47</f>
        <v>2:19:44</v>
      </c>
      <c r="H16" s="46" t="str">
        <f>'All Tandem Standards'!H47</f>
        <v>106.13</v>
      </c>
      <c r="I16" s="46" t="str">
        <f>'All Tandem Standards'!I47</f>
        <v>173.40</v>
      </c>
      <c r="K16" s="4">
        <f>'All Tandem Standards'!A75</f>
        <v>82</v>
      </c>
      <c r="L16" s="3" t="str">
        <f>'All Tandem Standards'!B75</f>
        <v>15:47</v>
      </c>
      <c r="M16" s="3" t="str">
        <f>'All Tandem Standards'!C75</f>
        <v>23:48</v>
      </c>
      <c r="N16" s="3" t="str">
        <f>'All Tandem Standards'!D75</f>
        <v>40:07</v>
      </c>
      <c r="O16" s="3" t="str">
        <f>'All Tandem Standards'!E75</f>
        <v>48:25</v>
      </c>
      <c r="P16" s="3" t="str">
        <f>'All Tandem Standards'!F75</f>
        <v>1:22:39</v>
      </c>
      <c r="Q16" s="3" t="str">
        <f>'All Tandem Standards'!G75</f>
        <v>2:56:08</v>
      </c>
      <c r="R16" s="47" t="str">
        <f>'All Tandem Standards'!H75</f>
        <v>68.46</v>
      </c>
      <c r="S16" s="47" t="str">
        <f>'All Tandem Standards'!I75</f>
        <v>101.05</v>
      </c>
    </row>
    <row r="17" spans="1:20" x14ac:dyDescent="0.25">
      <c r="A17" s="4">
        <f>'All Tandem Standards'!A48</f>
        <v>55</v>
      </c>
      <c r="B17" s="3" t="str">
        <f>'All Tandem Standards'!B48</f>
        <v>13:06</v>
      </c>
      <c r="C17" s="3" t="str">
        <f>'All Tandem Standards'!C48</f>
        <v>19:43</v>
      </c>
      <c r="D17" s="3" t="str">
        <f>'All Tandem Standards'!D48</f>
        <v>33:06</v>
      </c>
      <c r="E17" s="3" t="str">
        <f>'All Tandem Standards'!E48</f>
        <v>39:52</v>
      </c>
      <c r="F17" s="3" t="str">
        <f>'All Tandem Standards'!F48</f>
        <v>1:07:29</v>
      </c>
      <c r="G17" s="3" t="str">
        <f>'All Tandem Standards'!G48</f>
        <v>2:20:24</v>
      </c>
      <c r="H17" s="46" t="str">
        <f>'All Tandem Standards'!H48</f>
        <v>105.18</v>
      </c>
      <c r="I17" s="46" t="str">
        <f>'All Tandem Standards'!I48</f>
        <v>171.53</v>
      </c>
      <c r="K17" s="4">
        <f>'All Tandem Standards'!A76</f>
        <v>83</v>
      </c>
      <c r="L17" s="3" t="str">
        <f>'All Tandem Standards'!B76</f>
        <v>15:57</v>
      </c>
      <c r="M17" s="3" t="str">
        <f>'All Tandem Standards'!C76</f>
        <v>24:03</v>
      </c>
      <c r="N17" s="3" t="str">
        <f>'All Tandem Standards'!D76</f>
        <v>40:34</v>
      </c>
      <c r="O17" s="3" t="str">
        <f>'All Tandem Standards'!E76</f>
        <v>48:58</v>
      </c>
      <c r="P17" s="3" t="str">
        <f>'All Tandem Standards'!F76</f>
        <v>1:23:37</v>
      </c>
      <c r="Q17" s="3" t="str">
        <f>'All Tandem Standards'!G76</f>
        <v>2:58:33</v>
      </c>
      <c r="R17" s="47" t="str">
        <f>'All Tandem Standards'!H76</f>
        <v>66.70</v>
      </c>
      <c r="S17" s="47" t="str">
        <f>'All Tandem Standards'!I76</f>
        <v>97.76</v>
      </c>
    </row>
    <row r="18" spans="1:20" x14ac:dyDescent="0.25">
      <c r="A18" s="4">
        <f>'All Tandem Standards'!A49</f>
        <v>56</v>
      </c>
      <c r="B18" s="3" t="str">
        <f>'All Tandem Standards'!B49</f>
        <v>13:09</v>
      </c>
      <c r="C18" s="3" t="str">
        <f>'All Tandem Standards'!C49</f>
        <v>19:48</v>
      </c>
      <c r="D18" s="3" t="str">
        <f>'All Tandem Standards'!D49</f>
        <v>33:15</v>
      </c>
      <c r="E18" s="3" t="str">
        <f>'All Tandem Standards'!E49</f>
        <v>40:03</v>
      </c>
      <c r="F18" s="3" t="str">
        <f>'All Tandem Standards'!F49</f>
        <v>1:07:48</v>
      </c>
      <c r="G18" s="3" t="str">
        <f>'All Tandem Standards'!G49</f>
        <v>2:21:06</v>
      </c>
      <c r="H18" s="46" t="str">
        <f>'All Tandem Standards'!H49</f>
        <v>104.20</v>
      </c>
      <c r="I18" s="46" t="str">
        <f>'All Tandem Standards'!I49</f>
        <v>169.61</v>
      </c>
      <c r="K18" s="4">
        <f>'All Tandem Standards'!A77</f>
        <v>84</v>
      </c>
      <c r="L18" s="3" t="str">
        <f>'All Tandem Standards'!B77</f>
        <v>16:07</v>
      </c>
      <c r="M18" s="3" t="str">
        <f>'All Tandem Standards'!C77</f>
        <v>24:20</v>
      </c>
      <c r="N18" s="3" t="str">
        <f>'All Tandem Standards'!D77</f>
        <v>41:02</v>
      </c>
      <c r="O18" s="3" t="str">
        <f>'All Tandem Standards'!E77</f>
        <v>49:33</v>
      </c>
      <c r="P18" s="3" t="str">
        <f>'All Tandem Standards'!F77</f>
        <v>1:24:39</v>
      </c>
      <c r="Q18" s="3" t="str">
        <f>'All Tandem Standards'!G77</f>
        <v>3:01:07</v>
      </c>
      <c r="R18" s="47" t="str">
        <f>'All Tandem Standards'!H77</f>
        <v>64.91</v>
      </c>
      <c r="S18" s="47" t="str">
        <f>'All Tandem Standards'!I77</f>
        <v>94.43</v>
      </c>
    </row>
    <row r="19" spans="1:20" x14ac:dyDescent="0.25">
      <c r="A19" s="4">
        <f>'All Tandem Standards'!A50</f>
        <v>57</v>
      </c>
      <c r="B19" s="3" t="str">
        <f>'All Tandem Standards'!B50</f>
        <v>13:12</v>
      </c>
      <c r="C19" s="3" t="str">
        <f>'All Tandem Standards'!C50</f>
        <v>19:53</v>
      </c>
      <c r="D19" s="3" t="str">
        <f>'All Tandem Standards'!D50</f>
        <v>33:24</v>
      </c>
      <c r="E19" s="3" t="str">
        <f>'All Tandem Standards'!E50</f>
        <v>40:14</v>
      </c>
      <c r="F19" s="3" t="str">
        <f>'All Tandem Standards'!F50</f>
        <v>1:08:07</v>
      </c>
      <c r="G19" s="3" t="str">
        <f>'All Tandem Standards'!G50</f>
        <v>2:21:50</v>
      </c>
      <c r="H19" s="46" t="str">
        <f>'All Tandem Standards'!H50</f>
        <v>103.18</v>
      </c>
      <c r="I19" s="46" t="str">
        <f>'All Tandem Standards'!I50</f>
        <v>167.62</v>
      </c>
      <c r="K19" s="4">
        <f>'All Tandem Standards'!A78</f>
        <v>85</v>
      </c>
      <c r="L19" s="3" t="str">
        <f>'All Tandem Standards'!B78</f>
        <v>16:18</v>
      </c>
      <c r="M19" s="3" t="str">
        <f>'All Tandem Standards'!C78</f>
        <v>24:36</v>
      </c>
      <c r="N19" s="3" t="str">
        <f>'All Tandem Standards'!D78</f>
        <v>41:31</v>
      </c>
      <c r="O19" s="3" t="str">
        <f>'All Tandem Standards'!E78</f>
        <v>50:08</v>
      </c>
      <c r="P19" s="3" t="str">
        <f>'All Tandem Standards'!F78</f>
        <v>1:25:45</v>
      </c>
      <c r="Q19" s="3" t="str">
        <f>'All Tandem Standards'!G78</f>
        <v>3:03:51</v>
      </c>
      <c r="R19" s="47" t="str">
        <f>'All Tandem Standards'!H78</f>
        <v>63.08</v>
      </c>
      <c r="S19" s="47" t="str">
        <f>'All Tandem Standards'!I78</f>
        <v>91.05</v>
      </c>
    </row>
    <row r="20" spans="1:20" x14ac:dyDescent="0.25">
      <c r="A20" s="4">
        <f>'All Tandem Standards'!A51</f>
        <v>58</v>
      </c>
      <c r="B20" s="3" t="str">
        <f>'All Tandem Standards'!B51</f>
        <v>13:16</v>
      </c>
      <c r="C20" s="3" t="str">
        <f>'All Tandem Standards'!C51</f>
        <v>19:59</v>
      </c>
      <c r="D20" s="3" t="str">
        <f>'All Tandem Standards'!D51</f>
        <v>33:34</v>
      </c>
      <c r="E20" s="3" t="str">
        <f>'All Tandem Standards'!E51</f>
        <v>40:25</v>
      </c>
      <c r="F20" s="3" t="str">
        <f>'All Tandem Standards'!F51</f>
        <v>1:08:27</v>
      </c>
      <c r="G20" s="3" t="str">
        <f>'All Tandem Standards'!G51</f>
        <v>2:22:36</v>
      </c>
      <c r="H20" s="46" t="str">
        <f>'All Tandem Standards'!H51</f>
        <v>102.14</v>
      </c>
      <c r="I20" s="46" t="str">
        <f>'All Tandem Standards'!I51</f>
        <v>165.57</v>
      </c>
      <c r="K20" s="4">
        <f>'All Tandem Standards'!A79</f>
        <v>86</v>
      </c>
      <c r="L20" s="3" t="str">
        <f>'All Tandem Standards'!B79</f>
        <v>16:30</v>
      </c>
      <c r="M20" s="3" t="str">
        <f>'All Tandem Standards'!C79</f>
        <v>24:54</v>
      </c>
      <c r="N20" s="3" t="str">
        <f>'All Tandem Standards'!D79</f>
        <v>42:02</v>
      </c>
      <c r="O20" s="3" t="str">
        <f>'All Tandem Standards'!E79</f>
        <v>50:46</v>
      </c>
      <c r="P20" s="3" t="str">
        <f>'All Tandem Standards'!F79</f>
        <v>1:26:53</v>
      </c>
      <c r="Q20" s="3" t="str">
        <f>'All Tandem Standards'!G79</f>
        <v>3:06:45</v>
      </c>
      <c r="R20" s="47" t="str">
        <f>'All Tandem Standards'!H79</f>
        <v>61.22</v>
      </c>
      <c r="S20" s="47" t="str">
        <f>'All Tandem Standards'!I79</f>
        <v>87.61</v>
      </c>
    </row>
    <row r="21" spans="1:20" x14ac:dyDescent="0.25">
      <c r="A21" s="4">
        <f>'All Tandem Standards'!A52</f>
        <v>59</v>
      </c>
      <c r="B21" s="45" t="str">
        <f>'All Tandem Standards'!B52</f>
        <v>13:20</v>
      </c>
      <c r="C21" s="45" t="str">
        <f>'All Tandem Standards'!C52</f>
        <v>20:05</v>
      </c>
      <c r="D21" s="45" t="str">
        <f>'All Tandem Standards'!D52</f>
        <v>33:44</v>
      </c>
      <c r="E21" s="45" t="str">
        <f>'All Tandem Standards'!E52</f>
        <v>40:38</v>
      </c>
      <c r="F21" s="45" t="str">
        <f>'All Tandem Standards'!F52</f>
        <v>1:08:48</v>
      </c>
      <c r="G21" s="45" t="str">
        <f>'All Tandem Standards'!G52</f>
        <v>2:23:24</v>
      </c>
      <c r="H21" s="48" t="str">
        <f>'All Tandem Standards'!H52</f>
        <v>101.06</v>
      </c>
      <c r="I21" s="48" t="str">
        <f>'All Tandem Standards'!I52</f>
        <v>163.47</v>
      </c>
      <c r="K21" s="4">
        <f>'All Tandem Standards'!A80</f>
        <v>87</v>
      </c>
      <c r="L21" s="3" t="str">
        <f>'All Tandem Standards'!B80</f>
        <v>16:42</v>
      </c>
      <c r="M21" s="3" t="str">
        <f>'All Tandem Standards'!C80</f>
        <v>25:13</v>
      </c>
      <c r="N21" s="3" t="str">
        <f>'All Tandem Standards'!D80</f>
        <v>42:35</v>
      </c>
      <c r="O21" s="3" t="str">
        <f>'All Tandem Standards'!E80</f>
        <v>51:26</v>
      </c>
      <c r="P21" s="3" t="str">
        <f>'All Tandem Standards'!F80</f>
        <v>1:28:06</v>
      </c>
      <c r="Q21" s="3" t="str">
        <f>'All Tandem Standards'!G80</f>
        <v>3:09:50</v>
      </c>
      <c r="R21" s="47" t="str">
        <f>'All Tandem Standards'!H80</f>
        <v>59.32</v>
      </c>
      <c r="S21" s="47" t="str">
        <f>'All Tandem Standards'!I80</f>
        <v>84.14</v>
      </c>
    </row>
    <row r="22" spans="1:20" x14ac:dyDescent="0.25">
      <c r="A22" s="4">
        <f>'All Tandem Standards'!A53</f>
        <v>60</v>
      </c>
      <c r="B22" s="3" t="str">
        <f>'All Tandem Standards'!B53</f>
        <v>13:24</v>
      </c>
      <c r="C22" s="3" t="str">
        <f>'All Tandem Standards'!C53</f>
        <v>20:11</v>
      </c>
      <c r="D22" s="3" t="str">
        <f>'All Tandem Standards'!D53</f>
        <v>33:54</v>
      </c>
      <c r="E22" s="3" t="str">
        <f>'All Tandem Standards'!E53</f>
        <v>40:50</v>
      </c>
      <c r="F22" s="3" t="str">
        <f>'All Tandem Standards'!F53</f>
        <v>1:09:10</v>
      </c>
      <c r="G22" s="3" t="str">
        <f>'All Tandem Standards'!G53</f>
        <v>2:24:14</v>
      </c>
      <c r="H22" s="46" t="str">
        <f>'All Tandem Standards'!H53</f>
        <v>99.96</v>
      </c>
      <c r="I22" s="46" t="str">
        <f>'All Tandem Standards'!I53</f>
        <v>161.30</v>
      </c>
      <c r="K22" s="4">
        <f>'All Tandem Standards'!A81</f>
        <v>88</v>
      </c>
      <c r="L22" s="3" t="str">
        <f>'All Tandem Standards'!B81</f>
        <v>16:55</v>
      </c>
      <c r="M22" s="3" t="str">
        <f>'All Tandem Standards'!C81</f>
        <v>25:33</v>
      </c>
      <c r="N22" s="3" t="str">
        <f>'All Tandem Standards'!D81</f>
        <v>43:09</v>
      </c>
      <c r="O22" s="3" t="str">
        <f>'All Tandem Standards'!E81</f>
        <v>52:08</v>
      </c>
      <c r="P22" s="3" t="str">
        <f>'All Tandem Standards'!F81</f>
        <v>1:29:23</v>
      </c>
      <c r="Q22" s="3" t="str">
        <f>'All Tandem Standards'!G81</f>
        <v>3:13:08</v>
      </c>
      <c r="R22" s="47" t="str">
        <f>'All Tandem Standards'!H81</f>
        <v>57.39</v>
      </c>
      <c r="S22" s="47" t="str">
        <f>'All Tandem Standards'!I81</f>
        <v>80.61</v>
      </c>
    </row>
    <row r="23" spans="1:20" x14ac:dyDescent="0.25">
      <c r="A23" s="4">
        <f>'All Tandem Standards'!A54</f>
        <v>61</v>
      </c>
      <c r="B23" s="3" t="str">
        <f>'All Tandem Standards'!B54</f>
        <v>13:28</v>
      </c>
      <c r="C23" s="3" t="str">
        <f>'All Tandem Standards'!C54</f>
        <v>20:17</v>
      </c>
      <c r="D23" s="3" t="str">
        <f>'All Tandem Standards'!D54</f>
        <v>34:05</v>
      </c>
      <c r="E23" s="3" t="str">
        <f>'All Tandem Standards'!E54</f>
        <v>41:03</v>
      </c>
      <c r="F23" s="3" t="str">
        <f>'All Tandem Standards'!F54</f>
        <v>1:09:33</v>
      </c>
      <c r="G23" s="3" t="str">
        <f>'All Tandem Standards'!G54</f>
        <v>2:25:07</v>
      </c>
      <c r="H23" s="46" t="str">
        <f>'All Tandem Standards'!H54</f>
        <v>98.83</v>
      </c>
      <c r="I23" s="46" t="str">
        <f>'All Tandem Standards'!I54</f>
        <v>159.09</v>
      </c>
      <c r="K23" s="4">
        <f>'All Tandem Standards'!A82</f>
        <v>89</v>
      </c>
      <c r="L23" s="45" t="str">
        <f>'All Tandem Standards'!B82</f>
        <v>17:09</v>
      </c>
      <c r="M23" s="45" t="str">
        <f>'All Tandem Standards'!C82</f>
        <v>25:53</v>
      </c>
      <c r="N23" s="45" t="str">
        <f>'All Tandem Standards'!D82</f>
        <v>43:45</v>
      </c>
      <c r="O23" s="45" t="str">
        <f>'All Tandem Standards'!E82</f>
        <v>52:52</v>
      </c>
      <c r="P23" s="45" t="str">
        <f>'All Tandem Standards'!F82</f>
        <v>1:30:44</v>
      </c>
      <c r="Q23" s="45" t="str">
        <f>'All Tandem Standards'!G82</f>
        <v>3:16:40</v>
      </c>
      <c r="R23" s="49" t="str">
        <f>'All Tandem Standards'!H82</f>
        <v>55.43</v>
      </c>
      <c r="S23" s="49" t="str">
        <f>'All Tandem Standards'!I82</f>
        <v>77.03</v>
      </c>
    </row>
    <row r="24" spans="1:20" x14ac:dyDescent="0.25">
      <c r="A24" s="4">
        <f>'All Tandem Standards'!A55</f>
        <v>62</v>
      </c>
      <c r="B24" s="3" t="str">
        <f>'All Tandem Standards'!B55</f>
        <v>13:33</v>
      </c>
      <c r="C24" s="3" t="str">
        <f>'All Tandem Standards'!C55</f>
        <v>20:24</v>
      </c>
      <c r="D24" s="3" t="str">
        <f>'All Tandem Standards'!D55</f>
        <v>34:16</v>
      </c>
      <c r="E24" s="3" t="str">
        <f>'All Tandem Standards'!E55</f>
        <v>41:17</v>
      </c>
      <c r="F24" s="3" t="str">
        <f>'All Tandem Standards'!F55</f>
        <v>1:09:57</v>
      </c>
      <c r="G24" s="3" t="str">
        <f>'All Tandem Standards'!G55</f>
        <v>2:26:02</v>
      </c>
      <c r="H24" s="46" t="str">
        <f>'All Tandem Standards'!H55</f>
        <v>97.66</v>
      </c>
      <c r="I24" s="46" t="str">
        <f>'All Tandem Standards'!I55</f>
        <v>156.82</v>
      </c>
      <c r="K24" s="4">
        <f>'All Tandem Standards'!A83</f>
        <v>90</v>
      </c>
      <c r="L24" s="3" t="str">
        <f>'All Tandem Standards'!B83</f>
        <v>17:23</v>
      </c>
      <c r="M24" s="3" t="str">
        <f>'All Tandem Standards'!C83</f>
        <v>26:15</v>
      </c>
      <c r="N24" s="3" t="str">
        <f>'All Tandem Standards'!D83</f>
        <v>44:24</v>
      </c>
      <c r="O24" s="3" t="str">
        <f>'All Tandem Standards'!E83</f>
        <v>53:39</v>
      </c>
      <c r="P24" s="3" t="str">
        <f>'All Tandem Standards'!F83</f>
        <v>1:32:11</v>
      </c>
      <c r="Q24" s="3" t="str">
        <f>'All Tandem Standards'!G83</f>
        <v>3:20:27</v>
      </c>
      <c r="R24" s="47" t="str">
        <f>'All Tandem Standards'!H83</f>
        <v>53.42</v>
      </c>
      <c r="S24" s="47" t="str">
        <f>'All Tandem Standards'!I83</f>
        <v>73.40</v>
      </c>
    </row>
    <row r="25" spans="1:20" x14ac:dyDescent="0.25">
      <c r="A25" s="4">
        <f>'All Tandem Standards'!A56</f>
        <v>63</v>
      </c>
      <c r="B25" s="3" t="str">
        <f>'All Tandem Standards'!B56</f>
        <v>13:37</v>
      </c>
      <c r="C25" s="3" t="str">
        <f>'All Tandem Standards'!C56</f>
        <v>20:31</v>
      </c>
      <c r="D25" s="3" t="str">
        <f>'All Tandem Standards'!D56</f>
        <v>34:28</v>
      </c>
      <c r="E25" s="3" t="str">
        <f>'All Tandem Standards'!E56</f>
        <v>41:32</v>
      </c>
      <c r="F25" s="3" t="str">
        <f>'All Tandem Standards'!F56</f>
        <v>1:10:23</v>
      </c>
      <c r="G25" s="3" t="str">
        <f>'All Tandem Standards'!G56</f>
        <v>2:26:59</v>
      </c>
      <c r="H25" s="46" t="str">
        <f>'All Tandem Standards'!H56</f>
        <v>96.47</v>
      </c>
      <c r="I25" s="46" t="str">
        <f>'All Tandem Standards'!I56</f>
        <v>154.49</v>
      </c>
      <c r="K25" s="4">
        <f>'All Tandem Standards'!A84</f>
        <v>91</v>
      </c>
      <c r="L25" s="3" t="str">
        <f>'All Tandem Standards'!B84</f>
        <v>17:38</v>
      </c>
      <c r="M25" s="3" t="str">
        <f>'All Tandem Standards'!C84</f>
        <v>26:38</v>
      </c>
      <c r="N25" s="3" t="str">
        <f>'All Tandem Standards'!D84</f>
        <v>45:04</v>
      </c>
      <c r="O25" s="3" t="str">
        <f>'All Tandem Standards'!E84</f>
        <v>54:29</v>
      </c>
      <c r="P25" s="3" t="str">
        <f>'All Tandem Standards'!F84</f>
        <v>1:33:43</v>
      </c>
      <c r="Q25" s="3" t="str">
        <f>'All Tandem Standards'!G84</f>
        <v>3:24:33</v>
      </c>
      <c r="R25" s="47" t="str">
        <f>'All Tandem Standards'!H84</f>
        <v>51.39</v>
      </c>
      <c r="S25" s="47" t="str">
        <f>'All Tandem Standards'!I84</f>
        <v>69.73</v>
      </c>
    </row>
    <row r="26" spans="1:20" x14ac:dyDescent="0.25">
      <c r="A26" s="4">
        <f>'All Tandem Standards'!A57</f>
        <v>64</v>
      </c>
      <c r="B26" s="3" t="str">
        <f>'All Tandem Standards'!B57</f>
        <v>13:42</v>
      </c>
      <c r="C26" s="3" t="str">
        <f>'All Tandem Standards'!C57</f>
        <v>20:37</v>
      </c>
      <c r="D26" s="3" t="str">
        <f>'All Tandem Standards'!D57</f>
        <v>34:40</v>
      </c>
      <c r="E26" s="3" t="str">
        <f>'All Tandem Standards'!E57</f>
        <v>41:46</v>
      </c>
      <c r="F26" s="3" t="str">
        <f>'All Tandem Standards'!F57</f>
        <v>1:10:48</v>
      </c>
      <c r="G26" s="3" t="str">
        <f>'All Tandem Standards'!G57</f>
        <v>2:27:59</v>
      </c>
      <c r="H26" s="46" t="str">
        <f>'All Tandem Standards'!H57</f>
        <v>95.25</v>
      </c>
      <c r="I26" s="46" t="str">
        <f>'All Tandem Standards'!I57</f>
        <v>152.12</v>
      </c>
      <c r="K26" s="4">
        <f>'All Tandem Standards'!A85</f>
        <v>92</v>
      </c>
      <c r="L26" s="3" t="str">
        <f>'All Tandem Standards'!B85</f>
        <v>17:54</v>
      </c>
      <c r="M26" s="3" t="str">
        <f>'All Tandem Standards'!C85</f>
        <v>27:03</v>
      </c>
      <c r="N26" s="3" t="str">
        <f>'All Tandem Standards'!D85</f>
        <v>45:47</v>
      </c>
      <c r="O26" s="3" t="str">
        <f>'All Tandem Standards'!E85</f>
        <v>55:23</v>
      </c>
      <c r="P26" s="3" t="str">
        <f>'All Tandem Standards'!F85</f>
        <v>1:35:22</v>
      </c>
      <c r="Q26" s="3" t="str">
        <f>'All Tandem Standards'!G85</f>
        <v>3:28:58</v>
      </c>
      <c r="R26" s="47" t="str">
        <f>'All Tandem Standards'!H85</f>
        <v>49.31</v>
      </c>
      <c r="S26" s="47" t="str">
        <f>'All Tandem Standards'!I85</f>
        <v>65.99</v>
      </c>
    </row>
    <row r="27" spans="1:20" x14ac:dyDescent="0.25">
      <c r="A27" s="4">
        <f>'All Tandem Standards'!A58</f>
        <v>65</v>
      </c>
      <c r="B27" s="3" t="str">
        <f>'All Tandem Standards'!B58</f>
        <v>13:47</v>
      </c>
      <c r="C27" s="3" t="str">
        <f>'All Tandem Standards'!C58</f>
        <v>20:45</v>
      </c>
      <c r="D27" s="3" t="str">
        <f>'All Tandem Standards'!D58</f>
        <v>34:52</v>
      </c>
      <c r="E27" s="3" t="str">
        <f>'All Tandem Standards'!E58</f>
        <v>42:01</v>
      </c>
      <c r="F27" s="3" t="str">
        <f>'All Tandem Standards'!F58</f>
        <v>1:11:15</v>
      </c>
      <c r="G27" s="3" t="str">
        <f>'All Tandem Standards'!G58</f>
        <v>2:29:01</v>
      </c>
      <c r="H27" s="46" t="str">
        <f>'All Tandem Standards'!H58</f>
        <v>94.00</v>
      </c>
      <c r="I27" s="46" t="str">
        <f>'All Tandem Standards'!I58</f>
        <v>149.69</v>
      </c>
      <c r="K27" s="4">
        <f>'All Tandem Standards'!A86</f>
        <v>93</v>
      </c>
      <c r="L27" s="3" t="str">
        <f>'All Tandem Standards'!B86</f>
        <v>18:11</v>
      </c>
      <c r="M27" s="3" t="str">
        <f>'All Tandem Standards'!C86</f>
        <v>27:29</v>
      </c>
      <c r="N27" s="3" t="str">
        <f>'All Tandem Standards'!D86</f>
        <v>46:33</v>
      </c>
      <c r="O27" s="3" t="str">
        <f>'All Tandem Standards'!E86</f>
        <v>56:19</v>
      </c>
      <c r="P27" s="3" t="str">
        <f>'All Tandem Standards'!F86</f>
        <v>1:37:07</v>
      </c>
      <c r="Q27" s="3" t="str">
        <f>'All Tandem Standards'!G86</f>
        <v>3:33:46</v>
      </c>
      <c r="R27" s="47" t="str">
        <f>'All Tandem Standards'!H86</f>
        <v>47.18</v>
      </c>
      <c r="S27" s="47" t="str">
        <f>'All Tandem Standards'!I86</f>
        <v>62.21</v>
      </c>
    </row>
    <row r="28" spans="1:20" x14ac:dyDescent="0.25">
      <c r="A28" s="4">
        <f>'All Tandem Standards'!A59</f>
        <v>66</v>
      </c>
      <c r="B28" s="3" t="str">
        <f>'All Tandem Standards'!B59</f>
        <v>13:52</v>
      </c>
      <c r="C28" s="3" t="str">
        <f>'All Tandem Standards'!C59</f>
        <v>20:53</v>
      </c>
      <c r="D28" s="3" t="str">
        <f>'All Tandem Standards'!D59</f>
        <v>35:06</v>
      </c>
      <c r="E28" s="3" t="str">
        <f>'All Tandem Standards'!E59</f>
        <v>42:18</v>
      </c>
      <c r="F28" s="3" t="str">
        <f>'All Tandem Standards'!F59</f>
        <v>1:11:44</v>
      </c>
      <c r="G28" s="3" t="str">
        <f>'All Tandem Standards'!G59</f>
        <v>2:30:06</v>
      </c>
      <c r="H28" s="46" t="str">
        <f>'All Tandem Standards'!H59</f>
        <v>92.72</v>
      </c>
      <c r="I28" s="46" t="str">
        <f>'All Tandem Standards'!I59</f>
        <v>147.21</v>
      </c>
      <c r="K28" s="4">
        <f>'All Tandem Standards'!A87</f>
        <v>94</v>
      </c>
      <c r="L28" s="3" t="str">
        <f>'All Tandem Standards'!B87</f>
        <v>18:29</v>
      </c>
      <c r="M28" s="3" t="str">
        <f>'All Tandem Standards'!C87</f>
        <v>27:57</v>
      </c>
      <c r="N28" s="3" t="str">
        <f>'All Tandem Standards'!D87</f>
        <v>47:22</v>
      </c>
      <c r="O28" s="3" t="str">
        <f>'All Tandem Standards'!E87</f>
        <v>57:19</v>
      </c>
      <c r="P28" s="3" t="str">
        <f>'All Tandem Standards'!F87</f>
        <v>1:39:00</v>
      </c>
      <c r="Q28" s="3" t="str">
        <f>'All Tandem Standards'!G87</f>
        <v>3:39:00</v>
      </c>
      <c r="R28" s="47" t="str">
        <f>'All Tandem Standards'!H87</f>
        <v>45.02</v>
      </c>
      <c r="S28" s="47" t="str">
        <f>'All Tandem Standards'!I87</f>
        <v>58.36</v>
      </c>
    </row>
    <row r="29" spans="1:20" x14ac:dyDescent="0.25">
      <c r="A29" s="4">
        <f>'All Tandem Standards'!A60</f>
        <v>67</v>
      </c>
      <c r="B29" s="3" t="str">
        <f>'All Tandem Standards'!B60</f>
        <v>13:57</v>
      </c>
      <c r="C29" s="3" t="str">
        <f>'All Tandem Standards'!C60</f>
        <v>21:00</v>
      </c>
      <c r="D29" s="3" t="str">
        <f>'All Tandem Standards'!D60</f>
        <v>35:19</v>
      </c>
      <c r="E29" s="3" t="str">
        <f>'All Tandem Standards'!E60</f>
        <v>42:35</v>
      </c>
      <c r="F29" s="3" t="str">
        <f>'All Tandem Standards'!F60</f>
        <v>1:12:13</v>
      </c>
      <c r="G29" s="3" t="str">
        <f>'All Tandem Standards'!G60</f>
        <v>2:31:14</v>
      </c>
      <c r="H29" s="46" t="str">
        <f>'All Tandem Standards'!H60</f>
        <v>91.41</v>
      </c>
      <c r="I29" s="46" t="str">
        <f>'All Tandem Standards'!I60</f>
        <v>144.68</v>
      </c>
      <c r="K29" s="4">
        <f>'All Tandem Standards'!A88</f>
        <v>95</v>
      </c>
      <c r="L29" s="3" t="str">
        <f>'All Tandem Standards'!B88</f>
        <v>18:48</v>
      </c>
      <c r="M29" s="3" t="str">
        <f>'All Tandem Standards'!C88</f>
        <v>28:26</v>
      </c>
      <c r="N29" s="3" t="str">
        <f>'All Tandem Standards'!D88</f>
        <v>48:14</v>
      </c>
      <c r="O29" s="3" t="str">
        <f>'All Tandem Standards'!E88</f>
        <v>58:24</v>
      </c>
      <c r="P29" s="3" t="str">
        <f>'All Tandem Standards'!F88</f>
        <v>1:41:01</v>
      </c>
      <c r="Q29" s="3" t="str">
        <f>'All Tandem Standards'!G88</f>
        <v>3:44:44</v>
      </c>
      <c r="R29" s="47" t="str">
        <f>'All Tandem Standards'!H88</f>
        <v>42.81</v>
      </c>
      <c r="S29" s="47" t="str">
        <f>'All Tandem Standards'!I88</f>
        <v>54.47</v>
      </c>
      <c r="T29" s="36">
        <f>Revision</f>
        <v>2024</v>
      </c>
    </row>
  </sheetData>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STANDARDS (PER RIDER) OPEN TANDEM BICYCLE</oddHeader>
    <oddFooter>&amp;L&amp;F&amp;CA tandem combined standard is derived by adding the two individual standards from this and/or facing table
Page &amp;P of &amp;N&amp;R&amp;D</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15A42-3365-4685-95C1-38D31E17147A}">
  <sheetPr codeName="Sheet27">
    <pageSetUpPr fitToPage="1"/>
  </sheetPr>
  <dimension ref="A1:T29"/>
  <sheetViews>
    <sheetView zoomScale="75" zoomScaleNormal="75" workbookViewId="0">
      <selection activeCell="L2" sqref="L2"/>
    </sheetView>
  </sheetViews>
  <sheetFormatPr defaultRowHeight="15" x14ac:dyDescent="0.25"/>
  <cols>
    <col min="1" max="1" width="4.5703125" customWidth="1"/>
    <col min="2" max="9" width="8.5703125" customWidth="1"/>
    <col min="10" max="11" width="4.5703125" customWidth="1"/>
    <col min="12" max="19" width="8.5703125" customWidth="1"/>
  </cols>
  <sheetData>
    <row r="1" spans="1:19" s="11" customFormat="1" x14ac:dyDescent="0.25">
      <c r="A1" s="9" t="s">
        <v>1</v>
      </c>
      <c r="B1" s="10" t="s">
        <v>13</v>
      </c>
      <c r="C1" s="10" t="s">
        <v>14</v>
      </c>
      <c r="D1" s="10" t="s">
        <v>15</v>
      </c>
      <c r="E1" s="10" t="s">
        <v>16</v>
      </c>
      <c r="F1" s="10" t="s">
        <v>17</v>
      </c>
      <c r="G1" s="10" t="s">
        <v>18</v>
      </c>
      <c r="H1" s="10" t="s">
        <v>19</v>
      </c>
      <c r="I1" s="10" t="s">
        <v>20</v>
      </c>
      <c r="J1" s="12"/>
      <c r="K1" s="9" t="s">
        <v>1</v>
      </c>
      <c r="L1" s="10" t="s">
        <v>13</v>
      </c>
      <c r="M1" s="10" t="s">
        <v>14</v>
      </c>
      <c r="N1" s="10" t="s">
        <v>15</v>
      </c>
      <c r="O1" s="10" t="s">
        <v>16</v>
      </c>
      <c r="P1" s="10" t="s">
        <v>17</v>
      </c>
      <c r="Q1" s="10" t="s">
        <v>18</v>
      </c>
      <c r="R1" s="10" t="s">
        <v>19</v>
      </c>
      <c r="S1" s="10" t="s">
        <v>20</v>
      </c>
    </row>
    <row r="2" spans="1:19" x14ac:dyDescent="0.25">
      <c r="A2" s="4">
        <f>'All Tandem Standards'!A33</f>
        <v>40</v>
      </c>
      <c r="B2" s="3" t="str">
        <f>'All Tandem Standards'!J33</f>
        <v>13:45</v>
      </c>
      <c r="C2" s="3" t="str">
        <f>'All Tandem Standards'!K33</f>
        <v>20:42</v>
      </c>
      <c r="D2" s="3" t="str">
        <f>'All Tandem Standards'!L33</f>
        <v>34:44</v>
      </c>
      <c r="E2" s="3" t="str">
        <f>'All Tandem Standards'!M33</f>
        <v>41:49</v>
      </c>
      <c r="F2" s="3" t="str">
        <f>'All Tandem Standards'!N33</f>
        <v>1:10:41</v>
      </c>
      <c r="G2" s="3" t="str">
        <f>'All Tandem Standards'!O33</f>
        <v>2:26:32</v>
      </c>
      <c r="H2" s="46" t="str">
        <f>'All Tandem Standards'!P33</f>
        <v>101.38</v>
      </c>
      <c r="I2" s="46" t="str">
        <f>'All Tandem Standards'!Q33</f>
        <v>172.19</v>
      </c>
      <c r="K2" s="4">
        <f>'All Tandem Standards'!A61</f>
        <v>68</v>
      </c>
      <c r="L2" s="3" t="str">
        <f>'All Tandem Standards'!J61</f>
        <v>15:26</v>
      </c>
      <c r="M2" s="3" t="str">
        <f>'All Tandem Standards'!K61</f>
        <v>23:15</v>
      </c>
      <c r="N2" s="3" t="str">
        <f>'All Tandem Standards'!L61</f>
        <v>39:06</v>
      </c>
      <c r="O2" s="3" t="str">
        <f>'All Tandem Standards'!M61</f>
        <v>47:07</v>
      </c>
      <c r="P2" s="3" t="str">
        <f>'All Tandem Standards'!N61</f>
        <v>1:19:58</v>
      </c>
      <c r="Q2" s="3" t="str">
        <f>'All Tandem Standards'!O61</f>
        <v>2:47:38</v>
      </c>
      <c r="R2" s="47" t="str">
        <f>'All Tandem Standards'!P61</f>
        <v>78.93</v>
      </c>
      <c r="S2" s="47" t="str">
        <f>'All Tandem Standards'!Q61</f>
        <v>127.97</v>
      </c>
    </row>
    <row r="3" spans="1:19" x14ac:dyDescent="0.25">
      <c r="A3" s="4">
        <f>'All Tandem Standards'!A34</f>
        <v>41</v>
      </c>
      <c r="B3" s="3" t="str">
        <f>'All Tandem Standards'!J34</f>
        <v>13:46</v>
      </c>
      <c r="C3" s="3" t="str">
        <f>'All Tandem Standards'!K34</f>
        <v>20:43</v>
      </c>
      <c r="D3" s="3" t="str">
        <f>'All Tandem Standards'!L34</f>
        <v>34:46</v>
      </c>
      <c r="E3" s="3" t="str">
        <f>'All Tandem Standards'!M34</f>
        <v>41:51</v>
      </c>
      <c r="F3" s="3" t="str">
        <f>'All Tandem Standards'!N34</f>
        <v>1:10:45</v>
      </c>
      <c r="G3" s="3" t="str">
        <f>'All Tandem Standards'!O34</f>
        <v>2:26:40</v>
      </c>
      <c r="H3" s="46" t="str">
        <f>'All Tandem Standards'!P34</f>
        <v>101.18</v>
      </c>
      <c r="I3" s="46" t="str">
        <f>'All Tandem Standards'!Q34</f>
        <v>171.71</v>
      </c>
      <c r="K3" s="4">
        <f>'All Tandem Standards'!A62</f>
        <v>69</v>
      </c>
      <c r="L3" s="45" t="str">
        <f>'All Tandem Standards'!J62</f>
        <v>15:33</v>
      </c>
      <c r="M3" s="45" t="str">
        <f>'All Tandem Standards'!K62</f>
        <v>23:25</v>
      </c>
      <c r="N3" s="45" t="str">
        <f>'All Tandem Standards'!L62</f>
        <v>39:23</v>
      </c>
      <c r="O3" s="45" t="str">
        <f>'All Tandem Standards'!M62</f>
        <v>47:28</v>
      </c>
      <c r="P3" s="45" t="str">
        <f>'All Tandem Standards'!N62</f>
        <v>1:20:35</v>
      </c>
      <c r="Q3" s="45" t="str">
        <f>'All Tandem Standards'!O62</f>
        <v>2:49:04</v>
      </c>
      <c r="R3" s="49" t="str">
        <f>'All Tandem Standards'!P62</f>
        <v>77.68</v>
      </c>
      <c r="S3" s="49" t="str">
        <f>'All Tandem Standards'!Q62</f>
        <v>125.57</v>
      </c>
    </row>
    <row r="4" spans="1:19" x14ac:dyDescent="0.25">
      <c r="A4" s="4">
        <f>'All Tandem Standards'!A35</f>
        <v>42</v>
      </c>
      <c r="B4" s="3" t="str">
        <f>'All Tandem Standards'!J35</f>
        <v>13:46</v>
      </c>
      <c r="C4" s="3" t="str">
        <f>'All Tandem Standards'!K35</f>
        <v>20:44</v>
      </c>
      <c r="D4" s="3" t="str">
        <f>'All Tandem Standards'!L35</f>
        <v>34:47</v>
      </c>
      <c r="E4" s="3" t="str">
        <f>'All Tandem Standards'!M35</f>
        <v>41:53</v>
      </c>
      <c r="F4" s="3" t="str">
        <f>'All Tandem Standards'!N35</f>
        <v>1:10:48</v>
      </c>
      <c r="G4" s="3" t="str">
        <f>'All Tandem Standards'!O35</f>
        <v>2:26:49</v>
      </c>
      <c r="H4" s="46" t="str">
        <f>'All Tandem Standards'!P35</f>
        <v>100.95</v>
      </c>
      <c r="I4" s="46" t="str">
        <f>'All Tandem Standards'!Q35</f>
        <v>171.17</v>
      </c>
      <c r="K4" s="4">
        <f>'All Tandem Standards'!A63</f>
        <v>70</v>
      </c>
      <c r="L4" s="3" t="str">
        <f>'All Tandem Standards'!J63</f>
        <v>15:39</v>
      </c>
      <c r="M4" s="3" t="str">
        <f>'All Tandem Standards'!K63</f>
        <v>23:36</v>
      </c>
      <c r="N4" s="3" t="str">
        <f>'All Tandem Standards'!L63</f>
        <v>39:40</v>
      </c>
      <c r="O4" s="3" t="str">
        <f>'All Tandem Standards'!M63</f>
        <v>47:49</v>
      </c>
      <c r="P4" s="3" t="str">
        <f>'All Tandem Standards'!N63</f>
        <v>1:21:12</v>
      </c>
      <c r="Q4" s="3" t="str">
        <f>'All Tandem Standards'!O63</f>
        <v>2:50:31</v>
      </c>
      <c r="R4" s="47" t="str">
        <f>'All Tandem Standards'!P63</f>
        <v>76.45</v>
      </c>
      <c r="S4" s="47" t="str">
        <f>'All Tandem Standards'!Q63</f>
        <v>123.17</v>
      </c>
    </row>
    <row r="5" spans="1:19" x14ac:dyDescent="0.25">
      <c r="A5" s="4">
        <f>'All Tandem Standards'!A36</f>
        <v>43</v>
      </c>
      <c r="B5" s="3" t="str">
        <f>'All Tandem Standards'!J36</f>
        <v>13:47</v>
      </c>
      <c r="C5" s="3" t="str">
        <f>'All Tandem Standards'!K36</f>
        <v>20:45</v>
      </c>
      <c r="D5" s="3" t="str">
        <f>'All Tandem Standards'!L36</f>
        <v>34:48</v>
      </c>
      <c r="E5" s="3" t="str">
        <f>'All Tandem Standards'!M36</f>
        <v>41:55</v>
      </c>
      <c r="F5" s="3" t="str">
        <f>'All Tandem Standards'!N36</f>
        <v>1:10:52</v>
      </c>
      <c r="G5" s="3" t="str">
        <f>'All Tandem Standards'!O36</f>
        <v>2:26:58</v>
      </c>
      <c r="H5" s="46" t="str">
        <f>'All Tandem Standards'!P36</f>
        <v>100.71</v>
      </c>
      <c r="I5" s="46" t="str">
        <f>'All Tandem Standards'!Q36</f>
        <v>170.59</v>
      </c>
      <c r="K5" s="4">
        <f>'All Tandem Standards'!A64</f>
        <v>71</v>
      </c>
      <c r="L5" s="3" t="str">
        <f>'All Tandem Standards'!J64</f>
        <v>15:46</v>
      </c>
      <c r="M5" s="3" t="str">
        <f>'All Tandem Standards'!K64</f>
        <v>23:46</v>
      </c>
      <c r="N5" s="3" t="str">
        <f>'All Tandem Standards'!L64</f>
        <v>39:59</v>
      </c>
      <c r="O5" s="3" t="str">
        <f>'All Tandem Standards'!M64</f>
        <v>48:12</v>
      </c>
      <c r="P5" s="3" t="str">
        <f>'All Tandem Standards'!N64</f>
        <v>1:21:51</v>
      </c>
      <c r="Q5" s="3" t="str">
        <f>'All Tandem Standards'!O64</f>
        <v>2:52:02</v>
      </c>
      <c r="R5" s="47" t="str">
        <f>'All Tandem Standards'!P64</f>
        <v>75.19</v>
      </c>
      <c r="S5" s="47" t="str">
        <f>'All Tandem Standards'!Q64</f>
        <v>120.73</v>
      </c>
    </row>
    <row r="6" spans="1:19" x14ac:dyDescent="0.25">
      <c r="A6" s="4">
        <f>'All Tandem Standards'!A37</f>
        <v>44</v>
      </c>
      <c r="B6" s="3" t="str">
        <f>'All Tandem Standards'!J37</f>
        <v>13:48</v>
      </c>
      <c r="C6" s="3" t="str">
        <f>'All Tandem Standards'!K37</f>
        <v>20:46</v>
      </c>
      <c r="D6" s="3" t="str">
        <f>'All Tandem Standards'!L37</f>
        <v>34:50</v>
      </c>
      <c r="E6" s="3" t="str">
        <f>'All Tandem Standards'!M37</f>
        <v>41:58</v>
      </c>
      <c r="F6" s="3" t="str">
        <f>'All Tandem Standards'!N37</f>
        <v>1:10:56</v>
      </c>
      <c r="G6" s="3" t="str">
        <f>'All Tandem Standards'!O37</f>
        <v>2:27:08</v>
      </c>
      <c r="H6" s="46" t="str">
        <f>'All Tandem Standards'!P37</f>
        <v>100.44</v>
      </c>
      <c r="I6" s="46" t="str">
        <f>'All Tandem Standards'!Q37</f>
        <v>169.95</v>
      </c>
      <c r="K6" s="4">
        <f>'All Tandem Standards'!A65</f>
        <v>72</v>
      </c>
      <c r="L6" s="3" t="str">
        <f>'All Tandem Standards'!J65</f>
        <v>15:53</v>
      </c>
      <c r="M6" s="3" t="str">
        <f>'All Tandem Standards'!K65</f>
        <v>23:57</v>
      </c>
      <c r="N6" s="3" t="str">
        <f>'All Tandem Standards'!L65</f>
        <v>40:17</v>
      </c>
      <c r="O6" s="3" t="str">
        <f>'All Tandem Standards'!M65</f>
        <v>48:35</v>
      </c>
      <c r="P6" s="3" t="str">
        <f>'All Tandem Standards'!N65</f>
        <v>1:22:32</v>
      </c>
      <c r="Q6" s="3" t="str">
        <f>'All Tandem Standards'!O65</f>
        <v>2:53:37</v>
      </c>
      <c r="R6" s="47" t="str">
        <f>'All Tandem Standards'!P65</f>
        <v>73.90</v>
      </c>
      <c r="S6" s="47" t="str">
        <f>'All Tandem Standards'!Q65</f>
        <v>118.24</v>
      </c>
    </row>
    <row r="7" spans="1:19" x14ac:dyDescent="0.25">
      <c r="A7" s="4">
        <f>'All Tandem Standards'!A38</f>
        <v>45</v>
      </c>
      <c r="B7" s="3" t="str">
        <f>'All Tandem Standards'!J38</f>
        <v>13:48</v>
      </c>
      <c r="C7" s="3" t="str">
        <f>'All Tandem Standards'!K38</f>
        <v>20:47</v>
      </c>
      <c r="D7" s="3" t="str">
        <f>'All Tandem Standards'!L38</f>
        <v>34:52</v>
      </c>
      <c r="E7" s="3" t="str">
        <f>'All Tandem Standards'!M38</f>
        <v>42:00</v>
      </c>
      <c r="F7" s="3" t="str">
        <f>'All Tandem Standards'!N38</f>
        <v>1:11:00</v>
      </c>
      <c r="G7" s="3" t="str">
        <f>'All Tandem Standards'!O38</f>
        <v>2:27:18</v>
      </c>
      <c r="H7" s="46" t="str">
        <f>'All Tandem Standards'!P38</f>
        <v>100.15</v>
      </c>
      <c r="I7" s="46" t="str">
        <f>'All Tandem Standards'!Q38</f>
        <v>169.24</v>
      </c>
      <c r="K7" s="4">
        <f>'All Tandem Standards'!A66</f>
        <v>73</v>
      </c>
      <c r="L7" s="3" t="str">
        <f>'All Tandem Standards'!J66</f>
        <v>16:01</v>
      </c>
      <c r="M7" s="3" t="str">
        <f>'All Tandem Standards'!K66</f>
        <v>24:08</v>
      </c>
      <c r="N7" s="3" t="str">
        <f>'All Tandem Standards'!L66</f>
        <v>40:37</v>
      </c>
      <c r="O7" s="3" t="str">
        <f>'All Tandem Standards'!M66</f>
        <v>48:58</v>
      </c>
      <c r="P7" s="3" t="str">
        <f>'All Tandem Standards'!N66</f>
        <v>1:23:14</v>
      </c>
      <c r="Q7" s="3" t="str">
        <f>'All Tandem Standards'!O66</f>
        <v>2:55:16</v>
      </c>
      <c r="R7" s="47" t="str">
        <f>'All Tandem Standards'!P66</f>
        <v>72.59</v>
      </c>
      <c r="S7" s="47" t="str">
        <f>'All Tandem Standards'!Q66</f>
        <v>115.72</v>
      </c>
    </row>
    <row r="8" spans="1:19" x14ac:dyDescent="0.25">
      <c r="A8" s="4">
        <f>'All Tandem Standards'!A39</f>
        <v>46</v>
      </c>
      <c r="B8" s="3" t="str">
        <f>'All Tandem Standards'!J39</f>
        <v>13:49</v>
      </c>
      <c r="C8" s="3" t="str">
        <f>'All Tandem Standards'!K39</f>
        <v>20:48</v>
      </c>
      <c r="D8" s="3" t="str">
        <f>'All Tandem Standards'!L39</f>
        <v>34:55</v>
      </c>
      <c r="E8" s="3" t="str">
        <f>'All Tandem Standards'!M39</f>
        <v>42:02</v>
      </c>
      <c r="F8" s="3" t="str">
        <f>'All Tandem Standards'!N39</f>
        <v>1:11:05</v>
      </c>
      <c r="G8" s="3" t="str">
        <f>'All Tandem Standards'!O39</f>
        <v>2:27:31</v>
      </c>
      <c r="H8" s="46" t="str">
        <f>'All Tandem Standards'!P39</f>
        <v>99.83</v>
      </c>
      <c r="I8" s="46" t="str">
        <f>'All Tandem Standards'!Q39</f>
        <v>168.47</v>
      </c>
      <c r="K8" s="4">
        <f>'All Tandem Standards'!A67</f>
        <v>74</v>
      </c>
      <c r="L8" s="3" t="str">
        <f>'All Tandem Standards'!J67</f>
        <v>16:09</v>
      </c>
      <c r="M8" s="3" t="str">
        <f>'All Tandem Standards'!K67</f>
        <v>24:20</v>
      </c>
      <c r="N8" s="3" t="str">
        <f>'All Tandem Standards'!L67</f>
        <v>40:57</v>
      </c>
      <c r="O8" s="3" t="str">
        <f>'All Tandem Standards'!M67</f>
        <v>49:23</v>
      </c>
      <c r="P8" s="3" t="str">
        <f>'All Tandem Standards'!N67</f>
        <v>1:23:58</v>
      </c>
      <c r="Q8" s="3" t="str">
        <f>'All Tandem Standards'!O67</f>
        <v>2:57:00</v>
      </c>
      <c r="R8" s="47" t="str">
        <f>'All Tandem Standards'!P67</f>
        <v>71.26</v>
      </c>
      <c r="S8" s="47" t="str">
        <f>'All Tandem Standards'!Q67</f>
        <v>113.14</v>
      </c>
    </row>
    <row r="9" spans="1:19" x14ac:dyDescent="0.25">
      <c r="A9" s="4">
        <f>'All Tandem Standards'!A40</f>
        <v>47</v>
      </c>
      <c r="B9" s="3" t="str">
        <f>'All Tandem Standards'!J40</f>
        <v>13:50</v>
      </c>
      <c r="C9" s="3" t="str">
        <f>'All Tandem Standards'!K40</f>
        <v>20:49</v>
      </c>
      <c r="D9" s="3" t="str">
        <f>'All Tandem Standards'!L40</f>
        <v>34:57</v>
      </c>
      <c r="E9" s="3" t="str">
        <f>'All Tandem Standards'!M40</f>
        <v>42:06</v>
      </c>
      <c r="F9" s="3" t="str">
        <f>'All Tandem Standards'!N40</f>
        <v>1:11:11</v>
      </c>
      <c r="G9" s="3" t="str">
        <f>'All Tandem Standards'!O40</f>
        <v>2:27:44</v>
      </c>
      <c r="H9" s="46" t="str">
        <f>'All Tandem Standards'!P40</f>
        <v>99.47</v>
      </c>
      <c r="I9" s="46" t="str">
        <f>'All Tandem Standards'!Q40</f>
        <v>167.63</v>
      </c>
      <c r="K9" s="4">
        <f>'All Tandem Standards'!A68</f>
        <v>75</v>
      </c>
      <c r="L9" s="3" t="str">
        <f>'All Tandem Standards'!J68</f>
        <v>16:17</v>
      </c>
      <c r="M9" s="3" t="str">
        <f>'All Tandem Standards'!K68</f>
        <v>24:32</v>
      </c>
      <c r="N9" s="3" t="str">
        <f>'All Tandem Standards'!L68</f>
        <v>41:18</v>
      </c>
      <c r="O9" s="3" t="str">
        <f>'All Tandem Standards'!M68</f>
        <v>49:49</v>
      </c>
      <c r="P9" s="3" t="str">
        <f>'All Tandem Standards'!N68</f>
        <v>1:24:44</v>
      </c>
      <c r="Q9" s="3" t="str">
        <f>'All Tandem Standards'!O68</f>
        <v>2:58:49</v>
      </c>
      <c r="R9" s="47" t="str">
        <f>'All Tandem Standards'!P68</f>
        <v>69.90</v>
      </c>
      <c r="S9" s="47" t="str">
        <f>'All Tandem Standards'!Q68</f>
        <v>110.53</v>
      </c>
    </row>
    <row r="10" spans="1:19" x14ac:dyDescent="0.25">
      <c r="A10" s="4">
        <f>'All Tandem Standards'!A41</f>
        <v>48</v>
      </c>
      <c r="B10" s="3" t="str">
        <f>'All Tandem Standards'!J41</f>
        <v>13:51</v>
      </c>
      <c r="C10" s="3" t="str">
        <f>'All Tandem Standards'!K41</f>
        <v>20:51</v>
      </c>
      <c r="D10" s="3" t="str">
        <f>'All Tandem Standards'!L41</f>
        <v>35:00</v>
      </c>
      <c r="E10" s="3" t="str">
        <f>'All Tandem Standards'!M41</f>
        <v>42:09</v>
      </c>
      <c r="F10" s="3" t="str">
        <f>'All Tandem Standards'!N41</f>
        <v>1:11:17</v>
      </c>
      <c r="G10" s="3" t="str">
        <f>'All Tandem Standards'!O41</f>
        <v>2:28:00</v>
      </c>
      <c r="H10" s="46" t="str">
        <f>'All Tandem Standards'!P41</f>
        <v>99.08</v>
      </c>
      <c r="I10" s="46" t="str">
        <f>'All Tandem Standards'!Q41</f>
        <v>166.72</v>
      </c>
      <c r="K10" s="4">
        <f>'All Tandem Standards'!A69</f>
        <v>76</v>
      </c>
      <c r="L10" s="3" t="str">
        <f>'All Tandem Standards'!J69</f>
        <v>16:25</v>
      </c>
      <c r="M10" s="3" t="str">
        <f>'All Tandem Standards'!K69</f>
        <v>24:45</v>
      </c>
      <c r="N10" s="3" t="str">
        <f>'All Tandem Standards'!L69</f>
        <v>41:40</v>
      </c>
      <c r="O10" s="3" t="str">
        <f>'All Tandem Standards'!M69</f>
        <v>50:16</v>
      </c>
      <c r="P10" s="3" t="str">
        <f>'All Tandem Standards'!N69</f>
        <v>1:25:32</v>
      </c>
      <c r="Q10" s="3" t="str">
        <f>'All Tandem Standards'!O69</f>
        <v>3:00:44</v>
      </c>
      <c r="R10" s="47" t="str">
        <f>'All Tandem Standards'!P69</f>
        <v>68.51</v>
      </c>
      <c r="S10" s="47" t="str">
        <f>'All Tandem Standards'!Q69</f>
        <v>107.86</v>
      </c>
    </row>
    <row r="11" spans="1:19" x14ac:dyDescent="0.25">
      <c r="A11" s="4">
        <f>'All Tandem Standards'!A42</f>
        <v>49</v>
      </c>
      <c r="B11" s="45" t="str">
        <f>'All Tandem Standards'!J42</f>
        <v>13:52</v>
      </c>
      <c r="C11" s="45" t="str">
        <f>'All Tandem Standards'!K42</f>
        <v>20:53</v>
      </c>
      <c r="D11" s="45" t="str">
        <f>'All Tandem Standards'!L42</f>
        <v>35:03</v>
      </c>
      <c r="E11" s="45" t="str">
        <f>'All Tandem Standards'!M42</f>
        <v>42:13</v>
      </c>
      <c r="F11" s="45" t="str">
        <f>'All Tandem Standards'!N42</f>
        <v>1:11:24</v>
      </c>
      <c r="G11" s="45" t="str">
        <f>'All Tandem Standards'!O42</f>
        <v>2:28:17</v>
      </c>
      <c r="H11" s="48" t="str">
        <f>'All Tandem Standards'!P42</f>
        <v>98.65</v>
      </c>
      <c r="I11" s="48" t="str">
        <f>'All Tandem Standards'!Q42</f>
        <v>165.73</v>
      </c>
      <c r="K11" s="4">
        <f>'All Tandem Standards'!A70</f>
        <v>77</v>
      </c>
      <c r="L11" s="3" t="str">
        <f>'All Tandem Standards'!J70</f>
        <v>16:34</v>
      </c>
      <c r="M11" s="3" t="str">
        <f>'All Tandem Standards'!K70</f>
        <v>24:59</v>
      </c>
      <c r="N11" s="3" t="str">
        <f>'All Tandem Standards'!L70</f>
        <v>42:03</v>
      </c>
      <c r="O11" s="3" t="str">
        <f>'All Tandem Standards'!M70</f>
        <v>50:44</v>
      </c>
      <c r="P11" s="3" t="str">
        <f>'All Tandem Standards'!N70</f>
        <v>1:26:22</v>
      </c>
      <c r="Q11" s="3" t="str">
        <f>'All Tandem Standards'!O70</f>
        <v>3:02:44</v>
      </c>
      <c r="R11" s="47" t="str">
        <f>'All Tandem Standards'!P70</f>
        <v>67.10</v>
      </c>
      <c r="S11" s="47" t="str">
        <f>'All Tandem Standards'!Q70</f>
        <v>105.16</v>
      </c>
    </row>
    <row r="12" spans="1:19" x14ac:dyDescent="0.25">
      <c r="A12" s="4">
        <f>'All Tandem Standards'!A43</f>
        <v>50</v>
      </c>
      <c r="B12" s="3" t="str">
        <f>'All Tandem Standards'!J43</f>
        <v>13:54</v>
      </c>
      <c r="C12" s="3" t="str">
        <f>'All Tandem Standards'!K43</f>
        <v>20:55</v>
      </c>
      <c r="D12" s="3" t="str">
        <f>'All Tandem Standards'!L43</f>
        <v>35:07</v>
      </c>
      <c r="E12" s="3" t="str">
        <f>'All Tandem Standards'!M43</f>
        <v>42:18</v>
      </c>
      <c r="F12" s="3" t="str">
        <f>'All Tandem Standards'!N43</f>
        <v>1:11:33</v>
      </c>
      <c r="G12" s="3" t="str">
        <f>'All Tandem Standards'!O43</f>
        <v>2:28:36</v>
      </c>
      <c r="H12" s="46" t="str">
        <f>'All Tandem Standards'!P43</f>
        <v>98.18</v>
      </c>
      <c r="I12" s="46" t="str">
        <f>'All Tandem Standards'!Q43</f>
        <v>164.66</v>
      </c>
      <c r="K12" s="4">
        <f>'All Tandem Standards'!A71</f>
        <v>78</v>
      </c>
      <c r="L12" s="3" t="str">
        <f>'All Tandem Standards'!J71</f>
        <v>16:43</v>
      </c>
      <c r="M12" s="3" t="str">
        <f>'All Tandem Standards'!K71</f>
        <v>25:12</v>
      </c>
      <c r="N12" s="3" t="str">
        <f>'All Tandem Standards'!L71</f>
        <v>42:27</v>
      </c>
      <c r="O12" s="3" t="str">
        <f>'All Tandem Standards'!M71</f>
        <v>51:13</v>
      </c>
      <c r="P12" s="3" t="str">
        <f>'All Tandem Standards'!N71</f>
        <v>1:27:14</v>
      </c>
      <c r="Q12" s="3" t="str">
        <f>'All Tandem Standards'!O71</f>
        <v>3:04:50</v>
      </c>
      <c r="R12" s="47" t="str">
        <f>'All Tandem Standards'!P71</f>
        <v>65.66</v>
      </c>
      <c r="S12" s="47" t="str">
        <f>'All Tandem Standards'!Q71</f>
        <v>102.41</v>
      </c>
    </row>
    <row r="13" spans="1:19" x14ac:dyDescent="0.25">
      <c r="A13" s="4">
        <f>'All Tandem Standards'!A44</f>
        <v>51</v>
      </c>
      <c r="B13" s="3" t="str">
        <f>'All Tandem Standards'!J44</f>
        <v>13:56</v>
      </c>
      <c r="C13" s="3" t="str">
        <f>'All Tandem Standards'!K44</f>
        <v>20:58</v>
      </c>
      <c r="D13" s="3" t="str">
        <f>'All Tandem Standards'!L44</f>
        <v>35:12</v>
      </c>
      <c r="E13" s="3" t="str">
        <f>'All Tandem Standards'!M44</f>
        <v>42:23</v>
      </c>
      <c r="F13" s="3" t="str">
        <f>'All Tandem Standards'!N44</f>
        <v>1:11:42</v>
      </c>
      <c r="G13" s="3" t="str">
        <f>'All Tandem Standards'!O44</f>
        <v>2:28:59</v>
      </c>
      <c r="H13" s="46" t="str">
        <f>'All Tandem Standards'!P44</f>
        <v>97.66</v>
      </c>
      <c r="I13" s="46" t="str">
        <f>'All Tandem Standards'!Q44</f>
        <v>163.50</v>
      </c>
      <c r="K13" s="4">
        <f>'All Tandem Standards'!A72</f>
        <v>79</v>
      </c>
      <c r="L13" s="45" t="str">
        <f>'All Tandem Standards'!J72</f>
        <v>16:53</v>
      </c>
      <c r="M13" s="45" t="str">
        <f>'All Tandem Standards'!K72</f>
        <v>25:27</v>
      </c>
      <c r="N13" s="45" t="str">
        <f>'All Tandem Standards'!L72</f>
        <v>42:52</v>
      </c>
      <c r="O13" s="45" t="str">
        <f>'All Tandem Standards'!M72</f>
        <v>51:44</v>
      </c>
      <c r="P13" s="45" t="str">
        <f>'All Tandem Standards'!N72</f>
        <v>1:28:09</v>
      </c>
      <c r="Q13" s="45" t="str">
        <f>'All Tandem Standards'!O72</f>
        <v>3:07:02</v>
      </c>
      <c r="R13" s="49" t="str">
        <f>'All Tandem Standards'!P72</f>
        <v>64.19</v>
      </c>
      <c r="S13" s="49" t="str">
        <f>'All Tandem Standards'!Q72</f>
        <v>99.62</v>
      </c>
    </row>
    <row r="14" spans="1:19" x14ac:dyDescent="0.25">
      <c r="A14" s="4">
        <f>'All Tandem Standards'!A45</f>
        <v>52</v>
      </c>
      <c r="B14" s="3" t="str">
        <f>'All Tandem Standards'!J45</f>
        <v>13:57</v>
      </c>
      <c r="C14" s="3" t="str">
        <f>'All Tandem Standards'!K45</f>
        <v>21:00</v>
      </c>
      <c r="D14" s="3" t="str">
        <f>'All Tandem Standards'!L45</f>
        <v>35:16</v>
      </c>
      <c r="E14" s="3" t="str">
        <f>'All Tandem Standards'!M45</f>
        <v>42:29</v>
      </c>
      <c r="F14" s="3" t="str">
        <f>'All Tandem Standards'!N45</f>
        <v>1:11:53</v>
      </c>
      <c r="G14" s="3" t="str">
        <f>'All Tandem Standards'!O45</f>
        <v>2:29:24</v>
      </c>
      <c r="H14" s="46" t="str">
        <f>'All Tandem Standards'!P45</f>
        <v>97.09</v>
      </c>
      <c r="I14" s="46" t="str">
        <f>'All Tandem Standards'!Q45</f>
        <v>162.26</v>
      </c>
      <c r="K14" s="4">
        <f>'All Tandem Standards'!A73</f>
        <v>80</v>
      </c>
      <c r="L14" s="3" t="str">
        <f>'All Tandem Standards'!J73</f>
        <v>17:02</v>
      </c>
      <c r="M14" s="3" t="str">
        <f>'All Tandem Standards'!K73</f>
        <v>25:42</v>
      </c>
      <c r="N14" s="3" t="str">
        <f>'All Tandem Standards'!L73</f>
        <v>43:19</v>
      </c>
      <c r="O14" s="3" t="str">
        <f>'All Tandem Standards'!M73</f>
        <v>52:16</v>
      </c>
      <c r="P14" s="3" t="str">
        <f>'All Tandem Standards'!N73</f>
        <v>1:29:07</v>
      </c>
      <c r="Q14" s="3" t="str">
        <f>'All Tandem Standards'!O73</f>
        <v>3:09:22</v>
      </c>
      <c r="R14" s="47" t="str">
        <f>'All Tandem Standards'!P73</f>
        <v>62.71</v>
      </c>
      <c r="S14" s="47" t="str">
        <f>'All Tandem Standards'!Q73</f>
        <v>96.78</v>
      </c>
    </row>
    <row r="15" spans="1:19" x14ac:dyDescent="0.25">
      <c r="A15" s="4">
        <f>'All Tandem Standards'!A46</f>
        <v>53</v>
      </c>
      <c r="B15" s="3" t="str">
        <f>'All Tandem Standards'!J46</f>
        <v>14:00</v>
      </c>
      <c r="C15" s="3" t="str">
        <f>'All Tandem Standards'!K46</f>
        <v>21:04</v>
      </c>
      <c r="D15" s="3" t="str">
        <f>'All Tandem Standards'!L46</f>
        <v>35:22</v>
      </c>
      <c r="E15" s="3" t="str">
        <f>'All Tandem Standards'!M46</f>
        <v>42:36</v>
      </c>
      <c r="F15" s="3" t="str">
        <f>'All Tandem Standards'!N46</f>
        <v>1:12:05</v>
      </c>
      <c r="G15" s="3" t="str">
        <f>'All Tandem Standards'!O46</f>
        <v>2:29:52</v>
      </c>
      <c r="H15" s="46" t="str">
        <f>'All Tandem Standards'!P46</f>
        <v>96.47</v>
      </c>
      <c r="I15" s="46" t="str">
        <f>'All Tandem Standards'!Q46</f>
        <v>160.92</v>
      </c>
      <c r="K15" s="4">
        <f>'All Tandem Standards'!A74</f>
        <v>81</v>
      </c>
      <c r="L15" s="3" t="str">
        <f>'All Tandem Standards'!J74</f>
        <v>17:13</v>
      </c>
      <c r="M15" s="3" t="str">
        <f>'All Tandem Standards'!K74</f>
        <v>25:58</v>
      </c>
      <c r="N15" s="3" t="str">
        <f>'All Tandem Standards'!L74</f>
        <v>43:46</v>
      </c>
      <c r="O15" s="3" t="str">
        <f>'All Tandem Standards'!M74</f>
        <v>52:49</v>
      </c>
      <c r="P15" s="3" t="str">
        <f>'All Tandem Standards'!N74</f>
        <v>1:30:07</v>
      </c>
      <c r="Q15" s="3" t="str">
        <f>'All Tandem Standards'!O74</f>
        <v>3:11:48</v>
      </c>
      <c r="R15" s="47" t="str">
        <f>'All Tandem Standards'!P74</f>
        <v>61.19</v>
      </c>
      <c r="S15" s="47" t="str">
        <f>'All Tandem Standards'!Q74</f>
        <v>93.90</v>
      </c>
    </row>
    <row r="16" spans="1:19" x14ac:dyDescent="0.25">
      <c r="A16" s="4">
        <f>'All Tandem Standards'!A47</f>
        <v>54</v>
      </c>
      <c r="B16" s="3" t="str">
        <f>'All Tandem Standards'!J47</f>
        <v>14:02</v>
      </c>
      <c r="C16" s="3" t="str">
        <f>'All Tandem Standards'!K47</f>
        <v>21:08</v>
      </c>
      <c r="D16" s="3" t="str">
        <f>'All Tandem Standards'!L47</f>
        <v>35:28</v>
      </c>
      <c r="E16" s="3" t="str">
        <f>'All Tandem Standards'!M47</f>
        <v>42:44</v>
      </c>
      <c r="F16" s="3" t="str">
        <f>'All Tandem Standards'!N47</f>
        <v>1:12:18</v>
      </c>
      <c r="G16" s="3" t="str">
        <f>'All Tandem Standards'!O47</f>
        <v>2:30:24</v>
      </c>
      <c r="H16" s="46" t="str">
        <f>'All Tandem Standards'!P47</f>
        <v>95.79</v>
      </c>
      <c r="I16" s="46" t="str">
        <f>'All Tandem Standards'!Q47</f>
        <v>159.49</v>
      </c>
      <c r="K16" s="4">
        <f>'All Tandem Standards'!A75</f>
        <v>82</v>
      </c>
      <c r="L16" s="3" t="str">
        <f>'All Tandem Standards'!J75</f>
        <v>17:24</v>
      </c>
      <c r="M16" s="3" t="str">
        <f>'All Tandem Standards'!K75</f>
        <v>26:14</v>
      </c>
      <c r="N16" s="3" t="str">
        <f>'All Tandem Standards'!L75</f>
        <v>44:15</v>
      </c>
      <c r="O16" s="3" t="str">
        <f>'All Tandem Standards'!M75</f>
        <v>53:24</v>
      </c>
      <c r="P16" s="3" t="str">
        <f>'All Tandem Standards'!N75</f>
        <v>1:31:10</v>
      </c>
      <c r="Q16" s="3" t="str">
        <f>'All Tandem Standards'!O75</f>
        <v>3:14:24</v>
      </c>
      <c r="R16" s="47" t="str">
        <f>'All Tandem Standards'!P75</f>
        <v>59.64</v>
      </c>
      <c r="S16" s="47" t="str">
        <f>'All Tandem Standards'!Q75</f>
        <v>90.97</v>
      </c>
    </row>
    <row r="17" spans="1:20" x14ac:dyDescent="0.25">
      <c r="A17" s="4">
        <f>'All Tandem Standards'!A48</f>
        <v>55</v>
      </c>
      <c r="B17" s="3" t="str">
        <f>'All Tandem Standards'!J48</f>
        <v>14:05</v>
      </c>
      <c r="C17" s="3" t="str">
        <f>'All Tandem Standards'!K48</f>
        <v>21:12</v>
      </c>
      <c r="D17" s="3" t="str">
        <f>'All Tandem Standards'!L48</f>
        <v>35:36</v>
      </c>
      <c r="E17" s="3" t="str">
        <f>'All Tandem Standards'!M48</f>
        <v>42:52</v>
      </c>
      <c r="F17" s="3" t="str">
        <f>'All Tandem Standards'!N48</f>
        <v>1:12:34</v>
      </c>
      <c r="G17" s="3" t="str">
        <f>'All Tandem Standards'!O48</f>
        <v>2:31:00</v>
      </c>
      <c r="H17" s="46" t="str">
        <f>'All Tandem Standards'!P48</f>
        <v>95.05</v>
      </c>
      <c r="I17" s="46" t="str">
        <f>'All Tandem Standards'!Q48</f>
        <v>157.96</v>
      </c>
      <c r="K17" s="4">
        <f>'All Tandem Standards'!A76</f>
        <v>83</v>
      </c>
      <c r="L17" s="3" t="str">
        <f>'All Tandem Standards'!J76</f>
        <v>17:35</v>
      </c>
      <c r="M17" s="3" t="str">
        <f>'All Tandem Standards'!K76</f>
        <v>26:32</v>
      </c>
      <c r="N17" s="3" t="str">
        <f>'All Tandem Standards'!L76</f>
        <v>44:45</v>
      </c>
      <c r="O17" s="3" t="str">
        <f>'All Tandem Standards'!M76</f>
        <v>54:01</v>
      </c>
      <c r="P17" s="3" t="str">
        <f>'All Tandem Standards'!N76</f>
        <v>1:32:16</v>
      </c>
      <c r="Q17" s="3" t="str">
        <f>'All Tandem Standards'!O76</f>
        <v>3:17:08</v>
      </c>
      <c r="R17" s="47" t="str">
        <f>'All Tandem Standards'!P76</f>
        <v>58.07</v>
      </c>
      <c r="S17" s="47" t="str">
        <f>'All Tandem Standards'!Q76</f>
        <v>88.00</v>
      </c>
    </row>
    <row r="18" spans="1:20" x14ac:dyDescent="0.25">
      <c r="A18" s="4">
        <f>'All Tandem Standards'!A49</f>
        <v>56</v>
      </c>
      <c r="B18" s="3" t="str">
        <f>'All Tandem Standards'!J49</f>
        <v>14:08</v>
      </c>
      <c r="C18" s="3" t="str">
        <f>'All Tandem Standards'!K49</f>
        <v>21:16</v>
      </c>
      <c r="D18" s="3" t="str">
        <f>'All Tandem Standards'!L49</f>
        <v>35:44</v>
      </c>
      <c r="E18" s="3" t="str">
        <f>'All Tandem Standards'!M49</f>
        <v>43:02</v>
      </c>
      <c r="F18" s="3" t="str">
        <f>'All Tandem Standards'!N49</f>
        <v>1:12:51</v>
      </c>
      <c r="G18" s="3" t="str">
        <f>'All Tandem Standards'!O49</f>
        <v>2:31:39</v>
      </c>
      <c r="H18" s="46" t="str">
        <f>'All Tandem Standards'!P49</f>
        <v>94.25</v>
      </c>
      <c r="I18" s="46" t="str">
        <f>'All Tandem Standards'!Q49</f>
        <v>156.32</v>
      </c>
      <c r="K18" s="4">
        <f>'All Tandem Standards'!A77</f>
        <v>84</v>
      </c>
      <c r="L18" s="3" t="str">
        <f>'All Tandem Standards'!J77</f>
        <v>17:47</v>
      </c>
      <c r="M18" s="3" t="str">
        <f>'All Tandem Standards'!K77</f>
        <v>26:50</v>
      </c>
      <c r="N18" s="3" t="str">
        <f>'All Tandem Standards'!L77</f>
        <v>45:16</v>
      </c>
      <c r="O18" s="3" t="str">
        <f>'All Tandem Standards'!M77</f>
        <v>54:40</v>
      </c>
      <c r="P18" s="3" t="str">
        <f>'All Tandem Standards'!N77</f>
        <v>1:33:26</v>
      </c>
      <c r="Q18" s="3" t="str">
        <f>'All Tandem Standards'!O77</f>
        <v>3:20:01</v>
      </c>
      <c r="R18" s="47" t="str">
        <f>'All Tandem Standards'!P77</f>
        <v>56.47</v>
      </c>
      <c r="S18" s="47" t="str">
        <f>'All Tandem Standards'!Q77</f>
        <v>84.99</v>
      </c>
    </row>
    <row r="19" spans="1:20" x14ac:dyDescent="0.25">
      <c r="A19" s="4">
        <f>'All Tandem Standards'!A50</f>
        <v>57</v>
      </c>
      <c r="B19" s="3" t="str">
        <f>'All Tandem Standards'!J50</f>
        <v>14:12</v>
      </c>
      <c r="C19" s="3" t="str">
        <f>'All Tandem Standards'!K50</f>
        <v>21:22</v>
      </c>
      <c r="D19" s="3" t="str">
        <f>'All Tandem Standards'!L50</f>
        <v>35:53</v>
      </c>
      <c r="E19" s="3" t="str">
        <f>'All Tandem Standards'!M50</f>
        <v>43:13</v>
      </c>
      <c r="F19" s="3" t="str">
        <f>'All Tandem Standards'!N50</f>
        <v>1:13:11</v>
      </c>
      <c r="G19" s="3" t="str">
        <f>'All Tandem Standards'!O50</f>
        <v>2:32:24</v>
      </c>
      <c r="H19" s="46" t="str">
        <f>'All Tandem Standards'!P50</f>
        <v>93.38</v>
      </c>
      <c r="I19" s="46" t="str">
        <f>'All Tandem Standards'!Q50</f>
        <v>154.58</v>
      </c>
      <c r="K19" s="4">
        <f>'All Tandem Standards'!A78</f>
        <v>85</v>
      </c>
      <c r="L19" s="3" t="str">
        <f>'All Tandem Standards'!J78</f>
        <v>18:00</v>
      </c>
      <c r="M19" s="3" t="str">
        <f>'All Tandem Standards'!K78</f>
        <v>27:09</v>
      </c>
      <c r="N19" s="3" t="str">
        <f>'All Tandem Standards'!L78</f>
        <v>45:49</v>
      </c>
      <c r="O19" s="3" t="str">
        <f>'All Tandem Standards'!M78</f>
        <v>55:20</v>
      </c>
      <c r="P19" s="3" t="str">
        <f>'All Tandem Standards'!N78</f>
        <v>1:34:39</v>
      </c>
      <c r="Q19" s="3" t="str">
        <f>'All Tandem Standards'!O78</f>
        <v>3:23:06</v>
      </c>
      <c r="R19" s="47" t="str">
        <f>'All Tandem Standards'!P78</f>
        <v>54.83</v>
      </c>
      <c r="S19" s="47" t="str">
        <f>'All Tandem Standards'!Q78</f>
        <v>81.92</v>
      </c>
    </row>
    <row r="20" spans="1:20" x14ac:dyDescent="0.25">
      <c r="A20" s="4">
        <f>'All Tandem Standards'!A51</f>
        <v>58</v>
      </c>
      <c r="B20" s="3" t="str">
        <f>'All Tandem Standards'!J51</f>
        <v>14:15</v>
      </c>
      <c r="C20" s="3" t="str">
        <f>'All Tandem Standards'!K51</f>
        <v>21:28</v>
      </c>
      <c r="D20" s="3" t="str">
        <f>'All Tandem Standards'!L51</f>
        <v>36:03</v>
      </c>
      <c r="E20" s="3" t="str">
        <f>'All Tandem Standards'!M51</f>
        <v>43:26</v>
      </c>
      <c r="F20" s="3" t="str">
        <f>'All Tandem Standards'!N51</f>
        <v>1:13:32</v>
      </c>
      <c r="G20" s="3" t="str">
        <f>'All Tandem Standards'!O51</f>
        <v>2:33:12</v>
      </c>
      <c r="H20" s="46" t="str">
        <f>'All Tandem Standards'!P51</f>
        <v>92.45</v>
      </c>
      <c r="I20" s="46" t="str">
        <f>'All Tandem Standards'!Q51</f>
        <v>152.73</v>
      </c>
      <c r="K20" s="4">
        <f>'All Tandem Standards'!A79</f>
        <v>86</v>
      </c>
      <c r="L20" s="3" t="str">
        <f>'All Tandem Standards'!J79</f>
        <v>18:12</v>
      </c>
      <c r="M20" s="3" t="str">
        <f>'All Tandem Standards'!K79</f>
        <v>27:29</v>
      </c>
      <c r="N20" s="3" t="str">
        <f>'All Tandem Standards'!L79</f>
        <v>46:24</v>
      </c>
      <c r="O20" s="3" t="str">
        <f>'All Tandem Standards'!M79</f>
        <v>56:03</v>
      </c>
      <c r="P20" s="3" t="str">
        <f>'All Tandem Standards'!N79</f>
        <v>1:35:57</v>
      </c>
      <c r="Q20" s="3" t="str">
        <f>'All Tandem Standards'!O79</f>
        <v>3:26:22</v>
      </c>
      <c r="R20" s="47" t="str">
        <f>'All Tandem Standards'!P79</f>
        <v>53.18</v>
      </c>
      <c r="S20" s="47" t="str">
        <f>'All Tandem Standards'!Q79</f>
        <v>78.81</v>
      </c>
    </row>
    <row r="21" spans="1:20" x14ac:dyDescent="0.25">
      <c r="A21" s="4">
        <f>'All Tandem Standards'!A52</f>
        <v>59</v>
      </c>
      <c r="B21" s="45" t="str">
        <f>'All Tandem Standards'!J52</f>
        <v>14:20</v>
      </c>
      <c r="C21" s="45" t="str">
        <f>'All Tandem Standards'!K52</f>
        <v>21:35</v>
      </c>
      <c r="D21" s="45" t="str">
        <f>'All Tandem Standards'!L52</f>
        <v>36:14</v>
      </c>
      <c r="E21" s="45" t="str">
        <f>'All Tandem Standards'!M52</f>
        <v>43:39</v>
      </c>
      <c r="F21" s="45" t="str">
        <f>'All Tandem Standards'!N52</f>
        <v>1:13:56</v>
      </c>
      <c r="G21" s="45" t="str">
        <f>'All Tandem Standards'!O52</f>
        <v>2:34:07</v>
      </c>
      <c r="H21" s="48" t="str">
        <f>'All Tandem Standards'!P52</f>
        <v>91.45</v>
      </c>
      <c r="I21" s="48" t="str">
        <f>'All Tandem Standards'!Q52</f>
        <v>150.77</v>
      </c>
      <c r="K21" s="4">
        <f>'All Tandem Standards'!A80</f>
        <v>87</v>
      </c>
      <c r="L21" s="3" t="str">
        <f>'All Tandem Standards'!J80</f>
        <v>18:26</v>
      </c>
      <c r="M21" s="3" t="str">
        <f>'All Tandem Standards'!K80</f>
        <v>27:50</v>
      </c>
      <c r="N21" s="3" t="str">
        <f>'All Tandem Standards'!L80</f>
        <v>47:01</v>
      </c>
      <c r="O21" s="3" t="str">
        <f>'All Tandem Standards'!M80</f>
        <v>56:48</v>
      </c>
      <c r="P21" s="3" t="str">
        <f>'All Tandem Standards'!N80</f>
        <v>1:37:19</v>
      </c>
      <c r="Q21" s="3" t="str">
        <f>'All Tandem Standards'!O80</f>
        <v>3:29:50</v>
      </c>
      <c r="R21" s="47" t="str">
        <f>'All Tandem Standards'!P80</f>
        <v>51.48</v>
      </c>
      <c r="S21" s="47" t="str">
        <f>'All Tandem Standards'!Q80</f>
        <v>75.65</v>
      </c>
    </row>
    <row r="22" spans="1:20" x14ac:dyDescent="0.25">
      <c r="A22" s="4">
        <f>'All Tandem Standards'!A53</f>
        <v>60</v>
      </c>
      <c r="B22" s="3" t="str">
        <f>'All Tandem Standards'!J53</f>
        <v>14:24</v>
      </c>
      <c r="C22" s="3" t="str">
        <f>'All Tandem Standards'!K53</f>
        <v>21:42</v>
      </c>
      <c r="D22" s="3" t="str">
        <f>'All Tandem Standards'!L53</f>
        <v>36:27</v>
      </c>
      <c r="E22" s="3" t="str">
        <f>'All Tandem Standards'!M53</f>
        <v>43:55</v>
      </c>
      <c r="F22" s="3" t="str">
        <f>'All Tandem Standards'!N53</f>
        <v>1:14:23</v>
      </c>
      <c r="G22" s="3" t="str">
        <f>'All Tandem Standards'!O53</f>
        <v>2:35:07</v>
      </c>
      <c r="H22" s="46" t="str">
        <f>'All Tandem Standards'!P53</f>
        <v>90.37</v>
      </c>
      <c r="I22" s="46" t="str">
        <f>'All Tandem Standards'!Q53</f>
        <v>148.70</v>
      </c>
      <c r="K22" s="4">
        <f>'All Tandem Standards'!A81</f>
        <v>88</v>
      </c>
      <c r="L22" s="3" t="str">
        <f>'All Tandem Standards'!J81</f>
        <v>18:41</v>
      </c>
      <c r="M22" s="3" t="str">
        <f>'All Tandem Standards'!K81</f>
        <v>28:12</v>
      </c>
      <c r="N22" s="3" t="str">
        <f>'All Tandem Standards'!L81</f>
        <v>47:39</v>
      </c>
      <c r="O22" s="3" t="str">
        <f>'All Tandem Standards'!M81</f>
        <v>57:35</v>
      </c>
      <c r="P22" s="3" t="str">
        <f>'All Tandem Standards'!N81</f>
        <v>1:38:46</v>
      </c>
      <c r="Q22" s="3" t="str">
        <f>'All Tandem Standards'!O81</f>
        <v>3:33:34</v>
      </c>
      <c r="R22" s="47" t="str">
        <f>'All Tandem Standards'!P81</f>
        <v>49.76</v>
      </c>
      <c r="S22" s="47" t="str">
        <f>'All Tandem Standards'!Q81</f>
        <v>72.45</v>
      </c>
    </row>
    <row r="23" spans="1:20" x14ac:dyDescent="0.25">
      <c r="A23" s="4">
        <f>'All Tandem Standards'!A54</f>
        <v>61</v>
      </c>
      <c r="B23" s="3" t="str">
        <f>'All Tandem Standards'!J54</f>
        <v>14:30</v>
      </c>
      <c r="C23" s="3" t="str">
        <f>'All Tandem Standards'!K54</f>
        <v>21:50</v>
      </c>
      <c r="D23" s="3" t="str">
        <f>'All Tandem Standards'!L54</f>
        <v>36:41</v>
      </c>
      <c r="E23" s="3" t="str">
        <f>'All Tandem Standards'!M54</f>
        <v>44:12</v>
      </c>
      <c r="F23" s="3" t="str">
        <f>'All Tandem Standards'!N54</f>
        <v>1:14:52</v>
      </c>
      <c r="G23" s="3" t="str">
        <f>'All Tandem Standards'!O54</f>
        <v>2:36:13</v>
      </c>
      <c r="H23" s="46" t="str">
        <f>'All Tandem Standards'!P54</f>
        <v>89.22</v>
      </c>
      <c r="I23" s="46" t="str">
        <f>'All Tandem Standards'!Q54</f>
        <v>146.52</v>
      </c>
      <c r="K23" s="4">
        <f>'All Tandem Standards'!A82</f>
        <v>89</v>
      </c>
      <c r="L23" s="45" t="str">
        <f>'All Tandem Standards'!J82</f>
        <v>18:56</v>
      </c>
      <c r="M23" s="45" t="str">
        <f>'All Tandem Standards'!K82</f>
        <v>28:36</v>
      </c>
      <c r="N23" s="45" t="str">
        <f>'All Tandem Standards'!L82</f>
        <v>48:20</v>
      </c>
      <c r="O23" s="45" t="str">
        <f>'All Tandem Standards'!M82</f>
        <v>58:25</v>
      </c>
      <c r="P23" s="45" t="str">
        <f>'All Tandem Standards'!N82</f>
        <v>1:40:17</v>
      </c>
      <c r="Q23" s="45" t="str">
        <f>'All Tandem Standards'!O82</f>
        <v>3:37:33</v>
      </c>
      <c r="R23" s="49" t="str">
        <f>'All Tandem Standards'!P82</f>
        <v>48.00</v>
      </c>
      <c r="S23" s="49" t="str">
        <f>'All Tandem Standards'!Q82</f>
        <v>69.20</v>
      </c>
    </row>
    <row r="24" spans="1:20" x14ac:dyDescent="0.25">
      <c r="A24" s="4">
        <f>'All Tandem Standards'!A55</f>
        <v>62</v>
      </c>
      <c r="B24" s="3" t="str">
        <f>'All Tandem Standards'!J55</f>
        <v>14:36</v>
      </c>
      <c r="C24" s="3" t="str">
        <f>'All Tandem Standards'!K55</f>
        <v>21:59</v>
      </c>
      <c r="D24" s="3" t="str">
        <f>'All Tandem Standards'!L55</f>
        <v>36:56</v>
      </c>
      <c r="E24" s="3" t="str">
        <f>'All Tandem Standards'!M55</f>
        <v>44:30</v>
      </c>
      <c r="F24" s="3" t="str">
        <f>'All Tandem Standards'!N55</f>
        <v>1:15:24</v>
      </c>
      <c r="G24" s="3" t="str">
        <f>'All Tandem Standards'!O55</f>
        <v>2:37:25</v>
      </c>
      <c r="H24" s="46" t="str">
        <f>'All Tandem Standards'!P55</f>
        <v>87.99</v>
      </c>
      <c r="I24" s="46" t="str">
        <f>'All Tandem Standards'!Q55</f>
        <v>144.23</v>
      </c>
      <c r="K24" s="4">
        <f>'All Tandem Standards'!A83</f>
        <v>90</v>
      </c>
      <c r="L24" s="3" t="str">
        <f>'All Tandem Standards'!J83</f>
        <v>19:12</v>
      </c>
      <c r="M24" s="3" t="str">
        <f>'All Tandem Standards'!K83</f>
        <v>29:00</v>
      </c>
      <c r="N24" s="3" t="str">
        <f>'All Tandem Standards'!L83</f>
        <v>49:03</v>
      </c>
      <c r="O24" s="3" t="str">
        <f>'All Tandem Standards'!M83</f>
        <v>59:18</v>
      </c>
      <c r="P24" s="3" t="str">
        <f>'All Tandem Standards'!N83</f>
        <v>1:41:55</v>
      </c>
      <c r="Q24" s="3" t="str">
        <f>'All Tandem Standards'!O83</f>
        <v>3:41:49</v>
      </c>
      <c r="R24" s="47" t="str">
        <f>'All Tandem Standards'!P83</f>
        <v>46.21</v>
      </c>
      <c r="S24" s="47" t="str">
        <f>'All Tandem Standards'!Q83</f>
        <v>65.89</v>
      </c>
    </row>
    <row r="25" spans="1:20" x14ac:dyDescent="0.25">
      <c r="A25" s="4">
        <f>'All Tandem Standards'!A56</f>
        <v>63</v>
      </c>
      <c r="B25" s="3" t="str">
        <f>'All Tandem Standards'!J56</f>
        <v>14:42</v>
      </c>
      <c r="C25" s="3" t="str">
        <f>'All Tandem Standards'!K56</f>
        <v>22:09</v>
      </c>
      <c r="D25" s="3" t="str">
        <f>'All Tandem Standards'!L56</f>
        <v>37:13</v>
      </c>
      <c r="E25" s="3" t="str">
        <f>'All Tandem Standards'!M56</f>
        <v>44:50</v>
      </c>
      <c r="F25" s="3" t="str">
        <f>'All Tandem Standards'!N56</f>
        <v>1:16:00</v>
      </c>
      <c r="G25" s="3" t="str">
        <f>'All Tandem Standards'!O56</f>
        <v>2:38:46</v>
      </c>
      <c r="H25" s="46" t="str">
        <f>'All Tandem Standards'!P56</f>
        <v>86.69</v>
      </c>
      <c r="I25" s="46" t="str">
        <f>'All Tandem Standards'!Q56</f>
        <v>141.81</v>
      </c>
      <c r="K25" s="4">
        <f>'All Tandem Standards'!A84</f>
        <v>91</v>
      </c>
      <c r="L25" s="3" t="str">
        <f>'All Tandem Standards'!J84</f>
        <v>19:29</v>
      </c>
      <c r="M25" s="3" t="str">
        <f>'All Tandem Standards'!K84</f>
        <v>29:27</v>
      </c>
      <c r="N25" s="3" t="str">
        <f>'All Tandem Standards'!L84</f>
        <v>49:49</v>
      </c>
      <c r="O25" s="3" t="str">
        <f>'All Tandem Standards'!M84</f>
        <v>1:00:14</v>
      </c>
      <c r="P25" s="3" t="str">
        <f>'All Tandem Standards'!N84</f>
        <v>1:43:39</v>
      </c>
      <c r="Q25" s="3" t="str">
        <f>'All Tandem Standards'!O84</f>
        <v>3:46:25</v>
      </c>
      <c r="R25" s="47" t="str">
        <f>'All Tandem Standards'!P84</f>
        <v>44.39</v>
      </c>
      <c r="S25" s="47" t="str">
        <f>'All Tandem Standards'!Q84</f>
        <v>62.54</v>
      </c>
    </row>
    <row r="26" spans="1:20" x14ac:dyDescent="0.25">
      <c r="A26" s="4">
        <f>'All Tandem Standards'!A57</f>
        <v>64</v>
      </c>
      <c r="B26" s="3" t="str">
        <f>'All Tandem Standards'!J57</f>
        <v>14:49</v>
      </c>
      <c r="C26" s="3" t="str">
        <f>'All Tandem Standards'!K57</f>
        <v>22:20</v>
      </c>
      <c r="D26" s="3" t="str">
        <f>'All Tandem Standards'!L57</f>
        <v>37:31</v>
      </c>
      <c r="E26" s="3" t="str">
        <f>'All Tandem Standards'!M57</f>
        <v>45:13</v>
      </c>
      <c r="F26" s="3" t="str">
        <f>'All Tandem Standards'!N57</f>
        <v>1:16:39</v>
      </c>
      <c r="G26" s="3" t="str">
        <f>'All Tandem Standards'!O57</f>
        <v>2:40:13</v>
      </c>
      <c r="H26" s="46" t="str">
        <f>'All Tandem Standards'!P57</f>
        <v>85.31</v>
      </c>
      <c r="I26" s="46" t="str">
        <f>'All Tandem Standards'!Q57</f>
        <v>139.28</v>
      </c>
      <c r="K26" s="4">
        <f>'All Tandem Standards'!A85</f>
        <v>92</v>
      </c>
      <c r="L26" s="3" t="str">
        <f>'All Tandem Standards'!J85</f>
        <v>19:47</v>
      </c>
      <c r="M26" s="3" t="str">
        <f>'All Tandem Standards'!K85</f>
        <v>29:54</v>
      </c>
      <c r="N26" s="3" t="str">
        <f>'All Tandem Standards'!L85</f>
        <v>50:38</v>
      </c>
      <c r="O26" s="3" t="str">
        <f>'All Tandem Standards'!M85</f>
        <v>1:01:14</v>
      </c>
      <c r="P26" s="3" t="str">
        <f>'All Tandem Standards'!N85</f>
        <v>1:45:30</v>
      </c>
      <c r="Q26" s="3" t="str">
        <f>'All Tandem Standards'!O85</f>
        <v>3:51:24</v>
      </c>
      <c r="R26" s="47" t="str">
        <f>'All Tandem Standards'!P85</f>
        <v>42.53</v>
      </c>
      <c r="S26" s="47" t="str">
        <f>'All Tandem Standards'!Q85</f>
        <v>59.13</v>
      </c>
    </row>
    <row r="27" spans="1:20" x14ac:dyDescent="0.25">
      <c r="A27" s="4">
        <f>'All Tandem Standards'!A58</f>
        <v>65</v>
      </c>
      <c r="B27" s="3" t="str">
        <f>'All Tandem Standards'!J58</f>
        <v>14:57</v>
      </c>
      <c r="C27" s="3" t="str">
        <f>'All Tandem Standards'!K58</f>
        <v>22:32</v>
      </c>
      <c r="D27" s="3" t="str">
        <f>'All Tandem Standards'!L58</f>
        <v>37:52</v>
      </c>
      <c r="E27" s="3" t="str">
        <f>'All Tandem Standards'!M58</f>
        <v>45:38</v>
      </c>
      <c r="F27" s="3" t="str">
        <f>'All Tandem Standards'!N58</f>
        <v>1:17:22</v>
      </c>
      <c r="G27" s="3" t="str">
        <f>'All Tandem Standards'!O58</f>
        <v>2:41:50</v>
      </c>
      <c r="H27" s="46" t="str">
        <f>'All Tandem Standards'!P58</f>
        <v>83.83</v>
      </c>
      <c r="I27" s="46" t="str">
        <f>'All Tandem Standards'!Q58</f>
        <v>136.63</v>
      </c>
      <c r="K27" s="4">
        <f>'All Tandem Standards'!A86</f>
        <v>93</v>
      </c>
      <c r="L27" s="3" t="str">
        <f>'All Tandem Standards'!J86</f>
        <v>20:06</v>
      </c>
      <c r="M27" s="3" t="str">
        <f>'All Tandem Standards'!K86</f>
        <v>30:24</v>
      </c>
      <c r="N27" s="3" t="str">
        <f>'All Tandem Standards'!L86</f>
        <v>51:29</v>
      </c>
      <c r="O27" s="3" t="str">
        <f>'All Tandem Standards'!M86</f>
        <v>1:02:18</v>
      </c>
      <c r="P27" s="3" t="str">
        <f>'All Tandem Standards'!N86</f>
        <v>1:47:28</v>
      </c>
      <c r="Q27" s="3" t="str">
        <f>'All Tandem Standards'!O86</f>
        <v>3:56:49</v>
      </c>
      <c r="R27" s="47" t="str">
        <f>'All Tandem Standards'!P86</f>
        <v>40.63</v>
      </c>
      <c r="S27" s="47" t="str">
        <f>'All Tandem Standards'!Q86</f>
        <v>55.67</v>
      </c>
    </row>
    <row r="28" spans="1:20" x14ac:dyDescent="0.25">
      <c r="A28" s="4">
        <f>'All Tandem Standards'!A59</f>
        <v>66</v>
      </c>
      <c r="B28" s="3" t="str">
        <f>'All Tandem Standards'!J59</f>
        <v>15:06</v>
      </c>
      <c r="C28" s="3" t="str">
        <f>'All Tandem Standards'!K59</f>
        <v>22:45</v>
      </c>
      <c r="D28" s="3" t="str">
        <f>'All Tandem Standards'!L59</f>
        <v>38:14</v>
      </c>
      <c r="E28" s="3" t="str">
        <f>'All Tandem Standards'!M59</f>
        <v>46:05</v>
      </c>
      <c r="F28" s="3" t="str">
        <f>'All Tandem Standards'!N59</f>
        <v>1:18:10</v>
      </c>
      <c r="G28" s="3" t="str">
        <f>'All Tandem Standards'!O59</f>
        <v>2:43:36</v>
      </c>
      <c r="H28" s="46" t="str">
        <f>'All Tandem Standards'!P59</f>
        <v>82.28</v>
      </c>
      <c r="I28" s="46" t="str">
        <f>'All Tandem Standards'!Q59</f>
        <v>133.86</v>
      </c>
      <c r="K28" s="4">
        <f>'All Tandem Standards'!A87</f>
        <v>94</v>
      </c>
      <c r="L28" s="3" t="str">
        <f>'All Tandem Standards'!J87</f>
        <v>20:26</v>
      </c>
      <c r="M28" s="3" t="str">
        <f>'All Tandem Standards'!K87</f>
        <v>30:55</v>
      </c>
      <c r="N28" s="3" t="str">
        <f>'All Tandem Standards'!L87</f>
        <v>52:24</v>
      </c>
      <c r="O28" s="3" t="str">
        <f>'All Tandem Standards'!M87</f>
        <v>1:03:26</v>
      </c>
      <c r="P28" s="3" t="str">
        <f>'All Tandem Standards'!N87</f>
        <v>1:49:36</v>
      </c>
      <c r="Q28" s="3" t="str">
        <f>'All Tandem Standards'!O87</f>
        <v>4:02:43</v>
      </c>
      <c r="R28" s="47" t="str">
        <f>'All Tandem Standards'!P87</f>
        <v>38.69</v>
      </c>
      <c r="S28" s="47" t="str">
        <f>'All Tandem Standards'!Q87</f>
        <v>52.15</v>
      </c>
    </row>
    <row r="29" spans="1:20" x14ac:dyDescent="0.25">
      <c r="A29" s="4">
        <f>'All Tandem Standards'!A60</f>
        <v>67</v>
      </c>
      <c r="B29" s="3" t="str">
        <f>'All Tandem Standards'!J60</f>
        <v>15:15</v>
      </c>
      <c r="C29" s="3" t="str">
        <f>'All Tandem Standards'!K60</f>
        <v>22:59</v>
      </c>
      <c r="D29" s="3" t="str">
        <f>'All Tandem Standards'!L60</f>
        <v>38:39</v>
      </c>
      <c r="E29" s="3" t="str">
        <f>'All Tandem Standards'!M60</f>
        <v>46:35</v>
      </c>
      <c r="F29" s="3" t="str">
        <f>'All Tandem Standards'!N60</f>
        <v>1:19:01</v>
      </c>
      <c r="G29" s="3" t="str">
        <f>'All Tandem Standards'!O60</f>
        <v>2:45:31</v>
      </c>
      <c r="H29" s="46" t="str">
        <f>'All Tandem Standards'!P60</f>
        <v>80.65</v>
      </c>
      <c r="I29" s="46" t="str">
        <f>'All Tandem Standards'!Q60</f>
        <v>130.97</v>
      </c>
      <c r="K29" s="4">
        <f>'All Tandem Standards'!A88</f>
        <v>95</v>
      </c>
      <c r="L29" s="3" t="str">
        <f>'All Tandem Standards'!J88</f>
        <v>20:48</v>
      </c>
      <c r="M29" s="3" t="str">
        <f>'All Tandem Standards'!K88</f>
        <v>31:29</v>
      </c>
      <c r="N29" s="3" t="str">
        <f>'All Tandem Standards'!L88</f>
        <v>53:24</v>
      </c>
      <c r="O29" s="3" t="str">
        <f>'All Tandem Standards'!M88</f>
        <v>1:04:39</v>
      </c>
      <c r="P29" s="3" t="str">
        <f>'All Tandem Standards'!N88</f>
        <v>1:51:53</v>
      </c>
      <c r="Q29" s="3" t="str">
        <f>'All Tandem Standards'!O88</f>
        <v>4:09:11</v>
      </c>
      <c r="R29" s="47" t="str">
        <f>'All Tandem Standards'!P88</f>
        <v>36.71</v>
      </c>
      <c r="S29" s="47" t="str">
        <f>'All Tandem Standards'!Q88</f>
        <v>48.58</v>
      </c>
      <c r="T29" s="28">
        <f>Revision</f>
        <v>2024</v>
      </c>
    </row>
  </sheetData>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STANDARDS (PER RIDER) FEMALE TANDEM BICYCLE</oddHeader>
    <oddFooter>&amp;L&amp;F&amp;CA tandem combined standard is derived by adding the two individual standards from this and/or facing table
Page &amp;P of &amp;N&amp;R&amp;D</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C5B2A-7E34-478A-9FC0-89FAC703E860}">
  <sheetPr codeName="Sheet29">
    <pageSetUpPr fitToPage="1"/>
  </sheetPr>
  <dimension ref="A1:T29"/>
  <sheetViews>
    <sheetView zoomScale="75" zoomScaleNormal="75" workbookViewId="0"/>
  </sheetViews>
  <sheetFormatPr defaultRowHeight="15" x14ac:dyDescent="0.25"/>
  <cols>
    <col min="1" max="1" width="4.5703125" customWidth="1"/>
    <col min="2" max="9" width="8.5703125" customWidth="1"/>
    <col min="10" max="11" width="4.5703125" customWidth="1"/>
    <col min="12" max="19" width="8.5703125" customWidth="1"/>
  </cols>
  <sheetData>
    <row r="1" spans="1:19" s="11" customFormat="1" x14ac:dyDescent="0.25">
      <c r="A1" s="9" t="s">
        <v>1</v>
      </c>
      <c r="B1" s="10" t="s">
        <v>13</v>
      </c>
      <c r="C1" s="10" t="s">
        <v>14</v>
      </c>
      <c r="D1" s="10" t="s">
        <v>15</v>
      </c>
      <c r="E1" s="10" t="s">
        <v>16</v>
      </c>
      <c r="F1" s="10" t="s">
        <v>17</v>
      </c>
      <c r="G1" s="10" t="s">
        <v>18</v>
      </c>
      <c r="H1" s="10" t="s">
        <v>19</v>
      </c>
      <c r="I1" s="10" t="s">
        <v>20</v>
      </c>
      <c r="J1" s="12"/>
      <c r="K1" s="9" t="s">
        <v>1</v>
      </c>
      <c r="L1" s="10" t="s">
        <v>13</v>
      </c>
      <c r="M1" s="10" t="s">
        <v>14</v>
      </c>
      <c r="N1" s="10" t="s">
        <v>15</v>
      </c>
      <c r="O1" s="10" t="s">
        <v>16</v>
      </c>
      <c r="P1" s="10" t="s">
        <v>17</v>
      </c>
      <c r="Q1" s="10" t="s">
        <v>18</v>
      </c>
      <c r="R1" s="10" t="s">
        <v>19</v>
      </c>
      <c r="S1" s="10" t="s">
        <v>20</v>
      </c>
    </row>
    <row r="2" spans="1:19" x14ac:dyDescent="0.25">
      <c r="A2" s="4">
        <f>'All Tandem Standards'!A33</f>
        <v>40</v>
      </c>
      <c r="B2" s="3" t="str">
        <f>'All Tandem Standards'!R33</f>
        <v>13:27</v>
      </c>
      <c r="C2" s="3" t="str">
        <f>'All Tandem Standards'!S33</f>
        <v>20:15</v>
      </c>
      <c r="D2" s="3" t="str">
        <f>'All Tandem Standards'!T33</f>
        <v>33:59</v>
      </c>
      <c r="E2" s="3" t="str">
        <f>'All Tandem Standards'!U33</f>
        <v>40:55</v>
      </c>
      <c r="F2" s="3" t="str">
        <f>'All Tandem Standards'!V33</f>
        <v>1:09:09</v>
      </c>
      <c r="G2" s="3" t="str">
        <f>'All Tandem Standards'!W33</f>
        <v>2:23:20</v>
      </c>
      <c r="H2" s="46" t="str">
        <f>'All Tandem Standards'!X33</f>
        <v>104.61</v>
      </c>
      <c r="I2" s="46" t="str">
        <f>'All Tandem Standards'!Y33</f>
        <v>176.75</v>
      </c>
      <c r="K2" s="4">
        <f>'All Tandem Standards'!A61</f>
        <v>68</v>
      </c>
      <c r="L2" s="3" t="str">
        <f>'All Tandem Standards'!R61</f>
        <v>15:05</v>
      </c>
      <c r="M2" s="3" t="str">
        <f>'All Tandem Standards'!S61</f>
        <v>22:44</v>
      </c>
      <c r="N2" s="3" t="str">
        <f>'All Tandem Standards'!T61</f>
        <v>38:13</v>
      </c>
      <c r="O2" s="3" t="str">
        <f>'All Tandem Standards'!U61</f>
        <v>46:04</v>
      </c>
      <c r="P2" s="3" t="str">
        <f>'All Tandem Standards'!V61</f>
        <v>1:18:11</v>
      </c>
      <c r="Q2" s="3" t="str">
        <f>'All Tandem Standards'!W61</f>
        <v>2:43:53</v>
      </c>
      <c r="R2" s="47" t="str">
        <f>'All Tandem Standards'!X61</f>
        <v>81.49</v>
      </c>
      <c r="S2" s="47" t="str">
        <f>'All Tandem Standards'!Y61</f>
        <v>131.27</v>
      </c>
    </row>
    <row r="3" spans="1:19" x14ac:dyDescent="0.25">
      <c r="A3" s="4">
        <f>'All Tandem Standards'!A34</f>
        <v>41</v>
      </c>
      <c r="B3" s="3" t="str">
        <f>'All Tandem Standards'!R34</f>
        <v>13:28</v>
      </c>
      <c r="C3" s="3" t="str">
        <f>'All Tandem Standards'!S34</f>
        <v>20:16</v>
      </c>
      <c r="D3" s="3" t="str">
        <f>'All Tandem Standards'!T34</f>
        <v>34:01</v>
      </c>
      <c r="E3" s="3" t="str">
        <f>'All Tandem Standards'!U34</f>
        <v>40:59</v>
      </c>
      <c r="F3" s="3" t="str">
        <f>'All Tandem Standards'!V34</f>
        <v>1:09:15</v>
      </c>
      <c r="G3" s="3" t="str">
        <f>'All Tandem Standards'!W34</f>
        <v>2:23:36</v>
      </c>
      <c r="H3" s="46" t="str">
        <f>'All Tandem Standards'!X34</f>
        <v>104.28</v>
      </c>
      <c r="I3" s="46" t="str">
        <f>'All Tandem Standards'!Y34</f>
        <v>176.09</v>
      </c>
      <c r="K3" s="4">
        <f>'All Tandem Standards'!A62</f>
        <v>69</v>
      </c>
      <c r="L3" s="45" t="str">
        <f>'All Tandem Standards'!R62</f>
        <v>15:12</v>
      </c>
      <c r="M3" s="45" t="str">
        <f>'All Tandem Standards'!S62</f>
        <v>22:54</v>
      </c>
      <c r="N3" s="45" t="str">
        <f>'All Tandem Standards'!T62</f>
        <v>38:30</v>
      </c>
      <c r="O3" s="45" t="str">
        <f>'All Tandem Standards'!U62</f>
        <v>46:24</v>
      </c>
      <c r="P3" s="45" t="str">
        <f>'All Tandem Standards'!V62</f>
        <v>1:18:46</v>
      </c>
      <c r="Q3" s="45" t="str">
        <f>'All Tandem Standards'!W62</f>
        <v>2:45:14</v>
      </c>
      <c r="R3" s="49" t="str">
        <f>'All Tandem Standards'!X62</f>
        <v>80.24</v>
      </c>
      <c r="S3" s="49" t="str">
        <f>'All Tandem Standards'!Y62</f>
        <v>128.86</v>
      </c>
    </row>
    <row r="4" spans="1:19" x14ac:dyDescent="0.25">
      <c r="A4" s="4">
        <f>'All Tandem Standards'!A35</f>
        <v>42</v>
      </c>
      <c r="B4" s="3" t="str">
        <f>'All Tandem Standards'!R35</f>
        <v>13:30</v>
      </c>
      <c r="C4" s="3" t="str">
        <f>'All Tandem Standards'!S35</f>
        <v>20:19</v>
      </c>
      <c r="D4" s="3" t="str">
        <f>'All Tandem Standards'!T35</f>
        <v>34:05</v>
      </c>
      <c r="E4" s="3" t="str">
        <f>'All Tandem Standards'!U35</f>
        <v>41:03</v>
      </c>
      <c r="F4" s="3" t="str">
        <f>'All Tandem Standards'!V35</f>
        <v>1:09:23</v>
      </c>
      <c r="G4" s="3" t="str">
        <f>'All Tandem Standards'!W35</f>
        <v>2:23:52</v>
      </c>
      <c r="H4" s="46" t="str">
        <f>'All Tandem Standards'!X35</f>
        <v>103.90</v>
      </c>
      <c r="I4" s="46" t="str">
        <f>'All Tandem Standards'!Y35</f>
        <v>175.32</v>
      </c>
      <c r="K4" s="4">
        <f>'All Tandem Standards'!A63</f>
        <v>70</v>
      </c>
      <c r="L4" s="3" t="str">
        <f>'All Tandem Standards'!R63</f>
        <v>15:18</v>
      </c>
      <c r="M4" s="3" t="str">
        <f>'All Tandem Standards'!S63</f>
        <v>23:03</v>
      </c>
      <c r="N4" s="3" t="str">
        <f>'All Tandem Standards'!T63</f>
        <v>38:47</v>
      </c>
      <c r="O4" s="3" t="str">
        <f>'All Tandem Standards'!U63</f>
        <v>46:45</v>
      </c>
      <c r="P4" s="3" t="str">
        <f>'All Tandem Standards'!V63</f>
        <v>1:19:22</v>
      </c>
      <c r="Q4" s="3" t="str">
        <f>'All Tandem Standards'!W63</f>
        <v>2:46:39</v>
      </c>
      <c r="R4" s="47" t="str">
        <f>'All Tandem Standards'!X63</f>
        <v>78.97</v>
      </c>
      <c r="S4" s="47" t="str">
        <f>'All Tandem Standards'!Y63</f>
        <v>126.39</v>
      </c>
    </row>
    <row r="5" spans="1:19" x14ac:dyDescent="0.25">
      <c r="A5" s="4">
        <f>'All Tandem Standards'!A36</f>
        <v>43</v>
      </c>
      <c r="B5" s="3" t="str">
        <f>'All Tandem Standards'!R36</f>
        <v>13:31</v>
      </c>
      <c r="C5" s="3" t="str">
        <f>'All Tandem Standards'!S36</f>
        <v>20:21</v>
      </c>
      <c r="D5" s="3" t="str">
        <f>'All Tandem Standards'!T36</f>
        <v>34:10</v>
      </c>
      <c r="E5" s="3" t="str">
        <f>'All Tandem Standards'!U36</f>
        <v>41:08</v>
      </c>
      <c r="F5" s="3" t="str">
        <f>'All Tandem Standards'!V36</f>
        <v>1:09:32</v>
      </c>
      <c r="G5" s="3" t="str">
        <f>'All Tandem Standards'!W36</f>
        <v>2:24:12</v>
      </c>
      <c r="H5" s="46" t="str">
        <f>'All Tandem Standards'!X36</f>
        <v>103.46</v>
      </c>
      <c r="I5" s="46" t="str">
        <f>'All Tandem Standards'!Y36</f>
        <v>174.47</v>
      </c>
      <c r="K5" s="4">
        <f>'All Tandem Standards'!A64</f>
        <v>71</v>
      </c>
      <c r="L5" s="3" t="str">
        <f>'All Tandem Standards'!R64</f>
        <v>15:25</v>
      </c>
      <c r="M5" s="3" t="str">
        <f>'All Tandem Standards'!S64</f>
        <v>23:13</v>
      </c>
      <c r="N5" s="3" t="str">
        <f>'All Tandem Standards'!T64</f>
        <v>39:04</v>
      </c>
      <c r="O5" s="3" t="str">
        <f>'All Tandem Standards'!U64</f>
        <v>47:06</v>
      </c>
      <c r="P5" s="3" t="str">
        <f>'All Tandem Standards'!V64</f>
        <v>1:20:00</v>
      </c>
      <c r="Q5" s="3" t="str">
        <f>'All Tandem Standards'!W64</f>
        <v>2:48:07</v>
      </c>
      <c r="R5" s="47" t="str">
        <f>'All Tandem Standards'!X64</f>
        <v>77.67</v>
      </c>
      <c r="S5" s="47" t="str">
        <f>'All Tandem Standards'!Y64</f>
        <v>123.88</v>
      </c>
    </row>
    <row r="6" spans="1:19" x14ac:dyDescent="0.25">
      <c r="A6" s="4">
        <f>'All Tandem Standards'!A37</f>
        <v>44</v>
      </c>
      <c r="B6" s="3" t="str">
        <f>'All Tandem Standards'!R37</f>
        <v>13:33</v>
      </c>
      <c r="C6" s="3" t="str">
        <f>'All Tandem Standards'!S37</f>
        <v>20:24</v>
      </c>
      <c r="D6" s="3" t="str">
        <f>'All Tandem Standards'!T37</f>
        <v>34:14</v>
      </c>
      <c r="E6" s="3" t="str">
        <f>'All Tandem Standards'!U37</f>
        <v>41:13</v>
      </c>
      <c r="F6" s="3" t="str">
        <f>'All Tandem Standards'!V37</f>
        <v>1:09:41</v>
      </c>
      <c r="G6" s="3" t="str">
        <f>'All Tandem Standards'!W37</f>
        <v>2:24:33</v>
      </c>
      <c r="H6" s="46" t="str">
        <f>'All Tandem Standards'!X37</f>
        <v>102.99</v>
      </c>
      <c r="I6" s="46" t="str">
        <f>'All Tandem Standards'!Y37</f>
        <v>173.52</v>
      </c>
      <c r="K6" s="4">
        <f>'All Tandem Standards'!A65</f>
        <v>72</v>
      </c>
      <c r="L6" s="3" t="str">
        <f>'All Tandem Standards'!R65</f>
        <v>15:32</v>
      </c>
      <c r="M6" s="3" t="str">
        <f>'All Tandem Standards'!S65</f>
        <v>23:24</v>
      </c>
      <c r="N6" s="3" t="str">
        <f>'All Tandem Standards'!T65</f>
        <v>39:23</v>
      </c>
      <c r="O6" s="3" t="str">
        <f>'All Tandem Standards'!U65</f>
        <v>47:28</v>
      </c>
      <c r="P6" s="3" t="str">
        <f>'All Tandem Standards'!V65</f>
        <v>1:20:39</v>
      </c>
      <c r="Q6" s="3" t="str">
        <f>'All Tandem Standards'!W65</f>
        <v>2:49:40</v>
      </c>
      <c r="R6" s="47" t="str">
        <f>'All Tandem Standards'!X65</f>
        <v>76.35</v>
      </c>
      <c r="S6" s="47" t="str">
        <f>'All Tandem Standards'!Y65</f>
        <v>121.34</v>
      </c>
    </row>
    <row r="7" spans="1:19" x14ac:dyDescent="0.25">
      <c r="A7" s="4">
        <f>'All Tandem Standards'!A38</f>
        <v>45</v>
      </c>
      <c r="B7" s="3" t="str">
        <f>'All Tandem Standards'!R38</f>
        <v>13:35</v>
      </c>
      <c r="C7" s="3" t="str">
        <f>'All Tandem Standards'!S38</f>
        <v>20:27</v>
      </c>
      <c r="D7" s="3" t="str">
        <f>'All Tandem Standards'!T38</f>
        <v>34:19</v>
      </c>
      <c r="E7" s="3" t="str">
        <f>'All Tandem Standards'!U38</f>
        <v>41:20</v>
      </c>
      <c r="F7" s="3" t="str">
        <f>'All Tandem Standards'!V38</f>
        <v>1:09:52</v>
      </c>
      <c r="G7" s="3" t="str">
        <f>'All Tandem Standards'!W38</f>
        <v>2:24:57</v>
      </c>
      <c r="H7" s="46" t="str">
        <f>'All Tandem Standards'!X38</f>
        <v>102.47</v>
      </c>
      <c r="I7" s="46" t="str">
        <f>'All Tandem Standards'!Y38</f>
        <v>172.49</v>
      </c>
      <c r="K7" s="4">
        <f>'All Tandem Standards'!A66</f>
        <v>73</v>
      </c>
      <c r="L7" s="3" t="str">
        <f>'All Tandem Standards'!R66</f>
        <v>15:39</v>
      </c>
      <c r="M7" s="3" t="str">
        <f>'All Tandem Standards'!S66</f>
        <v>23:36</v>
      </c>
      <c r="N7" s="3" t="str">
        <f>'All Tandem Standards'!T66</f>
        <v>39:41</v>
      </c>
      <c r="O7" s="3" t="str">
        <f>'All Tandem Standards'!U66</f>
        <v>47:51</v>
      </c>
      <c r="P7" s="3" t="str">
        <f>'All Tandem Standards'!V66</f>
        <v>1:21:21</v>
      </c>
      <c r="Q7" s="3" t="str">
        <f>'All Tandem Standards'!W66</f>
        <v>2:51:16</v>
      </c>
      <c r="R7" s="47" t="str">
        <f>'All Tandem Standards'!X66</f>
        <v>75.00</v>
      </c>
      <c r="S7" s="47" t="str">
        <f>'All Tandem Standards'!Y66</f>
        <v>118.74</v>
      </c>
    </row>
    <row r="8" spans="1:19" x14ac:dyDescent="0.25">
      <c r="A8" s="4">
        <f>'All Tandem Standards'!A39</f>
        <v>46</v>
      </c>
      <c r="B8" s="3" t="str">
        <f>'All Tandem Standards'!R39</f>
        <v>13:37</v>
      </c>
      <c r="C8" s="3" t="str">
        <f>'All Tandem Standards'!S39</f>
        <v>20:30</v>
      </c>
      <c r="D8" s="3" t="str">
        <f>'All Tandem Standards'!T39</f>
        <v>34:24</v>
      </c>
      <c r="E8" s="3" t="str">
        <f>'All Tandem Standards'!U39</f>
        <v>41:26</v>
      </c>
      <c r="F8" s="3" t="str">
        <f>'All Tandem Standards'!V39</f>
        <v>1:10:03</v>
      </c>
      <c r="G8" s="3" t="str">
        <f>'All Tandem Standards'!W39</f>
        <v>2:25:22</v>
      </c>
      <c r="H8" s="46" t="str">
        <f>'All Tandem Standards'!X39</f>
        <v>101.91</v>
      </c>
      <c r="I8" s="46" t="str">
        <f>'All Tandem Standards'!Y39</f>
        <v>171.39</v>
      </c>
      <c r="K8" s="4">
        <f>'All Tandem Standards'!A67</f>
        <v>74</v>
      </c>
      <c r="L8" s="3" t="str">
        <f>'All Tandem Standards'!R67</f>
        <v>15:47</v>
      </c>
      <c r="M8" s="3" t="str">
        <f>'All Tandem Standards'!S67</f>
        <v>23:47</v>
      </c>
      <c r="N8" s="3" t="str">
        <f>'All Tandem Standards'!T67</f>
        <v>40:01</v>
      </c>
      <c r="O8" s="3" t="str">
        <f>'All Tandem Standards'!U67</f>
        <v>48:16</v>
      </c>
      <c r="P8" s="3" t="str">
        <f>'All Tandem Standards'!V67</f>
        <v>1:22:03</v>
      </c>
      <c r="Q8" s="3" t="str">
        <f>'All Tandem Standards'!W67</f>
        <v>2:52:58</v>
      </c>
      <c r="R8" s="47" t="str">
        <f>'All Tandem Standards'!X67</f>
        <v>73.63</v>
      </c>
      <c r="S8" s="47" t="str">
        <f>'All Tandem Standards'!Y67</f>
        <v>116.10</v>
      </c>
    </row>
    <row r="9" spans="1:19" x14ac:dyDescent="0.25">
      <c r="A9" s="4">
        <f>'All Tandem Standards'!A40</f>
        <v>47</v>
      </c>
      <c r="B9" s="3" t="str">
        <f>'All Tandem Standards'!R40</f>
        <v>13:39</v>
      </c>
      <c r="C9" s="3" t="str">
        <f>'All Tandem Standards'!S40</f>
        <v>20:33</v>
      </c>
      <c r="D9" s="3" t="str">
        <f>'All Tandem Standards'!T40</f>
        <v>34:30</v>
      </c>
      <c r="E9" s="3" t="str">
        <f>'All Tandem Standards'!U40</f>
        <v>41:33</v>
      </c>
      <c r="F9" s="3" t="str">
        <f>'All Tandem Standards'!V40</f>
        <v>1:10:16</v>
      </c>
      <c r="G9" s="3" t="str">
        <f>'All Tandem Standards'!W40</f>
        <v>2:25:50</v>
      </c>
      <c r="H9" s="46" t="str">
        <f>'All Tandem Standards'!X40</f>
        <v>101.32</v>
      </c>
      <c r="I9" s="46" t="str">
        <f>'All Tandem Standards'!Y40</f>
        <v>170.21</v>
      </c>
      <c r="K9" s="4">
        <f>'All Tandem Standards'!A68</f>
        <v>75</v>
      </c>
      <c r="L9" s="3" t="str">
        <f>'All Tandem Standards'!R68</f>
        <v>15:55</v>
      </c>
      <c r="M9" s="3" t="str">
        <f>'All Tandem Standards'!S68</f>
        <v>23:59</v>
      </c>
      <c r="N9" s="3" t="str">
        <f>'All Tandem Standards'!T68</f>
        <v>40:22</v>
      </c>
      <c r="O9" s="3" t="str">
        <f>'All Tandem Standards'!U68</f>
        <v>48:41</v>
      </c>
      <c r="P9" s="3" t="str">
        <f>'All Tandem Standards'!V68</f>
        <v>1:22:48</v>
      </c>
      <c r="Q9" s="3" t="str">
        <f>'All Tandem Standards'!W68</f>
        <v>2:54:44</v>
      </c>
      <c r="R9" s="47" t="str">
        <f>'All Tandem Standards'!X68</f>
        <v>72.23</v>
      </c>
      <c r="S9" s="47" t="str">
        <f>'All Tandem Standards'!Y68</f>
        <v>113.42</v>
      </c>
    </row>
    <row r="10" spans="1:19" x14ac:dyDescent="0.25">
      <c r="A10" s="4">
        <f>'All Tandem Standards'!A41</f>
        <v>48</v>
      </c>
      <c r="B10" s="3" t="str">
        <f>'All Tandem Standards'!R41</f>
        <v>13:42</v>
      </c>
      <c r="C10" s="3" t="str">
        <f>'All Tandem Standards'!S41</f>
        <v>20:37</v>
      </c>
      <c r="D10" s="3" t="str">
        <f>'All Tandem Standards'!T41</f>
        <v>34:36</v>
      </c>
      <c r="E10" s="3" t="str">
        <f>'All Tandem Standards'!U41</f>
        <v>41:41</v>
      </c>
      <c r="F10" s="3" t="str">
        <f>'All Tandem Standards'!V41</f>
        <v>1:10:29</v>
      </c>
      <c r="G10" s="3" t="str">
        <f>'All Tandem Standards'!W41</f>
        <v>2:26:20</v>
      </c>
      <c r="H10" s="46" t="str">
        <f>'All Tandem Standards'!X41</f>
        <v>100.68</v>
      </c>
      <c r="I10" s="46" t="str">
        <f>'All Tandem Standards'!Y41</f>
        <v>168.95</v>
      </c>
      <c r="K10" s="4">
        <f>'All Tandem Standards'!A69</f>
        <v>76</v>
      </c>
      <c r="L10" s="3" t="str">
        <f>'All Tandem Standards'!R69</f>
        <v>16:03</v>
      </c>
      <c r="M10" s="3" t="str">
        <f>'All Tandem Standards'!S69</f>
        <v>24:11</v>
      </c>
      <c r="N10" s="3" t="str">
        <f>'All Tandem Standards'!T69</f>
        <v>40:43</v>
      </c>
      <c r="O10" s="3" t="str">
        <f>'All Tandem Standards'!U69</f>
        <v>49:07</v>
      </c>
      <c r="P10" s="3" t="str">
        <f>'All Tandem Standards'!V69</f>
        <v>1:23:35</v>
      </c>
      <c r="Q10" s="3" t="str">
        <f>'All Tandem Standards'!W69</f>
        <v>2:56:35</v>
      </c>
      <c r="R10" s="47" t="str">
        <f>'All Tandem Standards'!X69</f>
        <v>70.81</v>
      </c>
      <c r="S10" s="47" t="str">
        <f>'All Tandem Standards'!Y69</f>
        <v>110.69</v>
      </c>
    </row>
    <row r="11" spans="1:19" x14ac:dyDescent="0.25">
      <c r="A11" s="4">
        <f>'All Tandem Standards'!A42</f>
        <v>49</v>
      </c>
      <c r="B11" s="45" t="str">
        <f>'All Tandem Standards'!R42</f>
        <v>13:44</v>
      </c>
      <c r="C11" s="45" t="str">
        <f>'All Tandem Standards'!S42</f>
        <v>20:41</v>
      </c>
      <c r="D11" s="45" t="str">
        <f>'All Tandem Standards'!T42</f>
        <v>34:43</v>
      </c>
      <c r="E11" s="45" t="str">
        <f>'All Tandem Standards'!U42</f>
        <v>41:49</v>
      </c>
      <c r="F11" s="45" t="str">
        <f>'All Tandem Standards'!V42</f>
        <v>1:10:43</v>
      </c>
      <c r="G11" s="45" t="str">
        <f>'All Tandem Standards'!W42</f>
        <v>2:26:51</v>
      </c>
      <c r="H11" s="48" t="str">
        <f>'All Tandem Standards'!X42</f>
        <v>100.01</v>
      </c>
      <c r="I11" s="48" t="str">
        <f>'All Tandem Standards'!Y42</f>
        <v>167.62</v>
      </c>
      <c r="K11" s="4">
        <f>'All Tandem Standards'!A70</f>
        <v>77</v>
      </c>
      <c r="L11" s="3" t="str">
        <f>'All Tandem Standards'!R70</f>
        <v>16:11</v>
      </c>
      <c r="M11" s="3" t="str">
        <f>'All Tandem Standards'!S70</f>
        <v>24:24</v>
      </c>
      <c r="N11" s="3" t="str">
        <f>'All Tandem Standards'!T70</f>
        <v>41:06</v>
      </c>
      <c r="O11" s="3" t="str">
        <f>'All Tandem Standards'!U70</f>
        <v>49:34</v>
      </c>
      <c r="P11" s="3" t="str">
        <f>'All Tandem Standards'!V70</f>
        <v>1:24:23</v>
      </c>
      <c r="Q11" s="3" t="str">
        <f>'All Tandem Standards'!W70</f>
        <v>2:58:31</v>
      </c>
      <c r="R11" s="47" t="str">
        <f>'All Tandem Standards'!X70</f>
        <v>69.36</v>
      </c>
      <c r="S11" s="47" t="str">
        <f>'All Tandem Standards'!Y70</f>
        <v>107.91</v>
      </c>
    </row>
    <row r="12" spans="1:19" x14ac:dyDescent="0.25">
      <c r="A12" s="4">
        <f>'All Tandem Standards'!A43</f>
        <v>50</v>
      </c>
      <c r="B12" s="3" t="str">
        <f>'All Tandem Standards'!R43</f>
        <v>13:47</v>
      </c>
      <c r="C12" s="3" t="str">
        <f>'All Tandem Standards'!S43</f>
        <v>20:45</v>
      </c>
      <c r="D12" s="3" t="str">
        <f>'All Tandem Standards'!T43</f>
        <v>34:50</v>
      </c>
      <c r="E12" s="3" t="str">
        <f>'All Tandem Standards'!U43</f>
        <v>41:58</v>
      </c>
      <c r="F12" s="3" t="str">
        <f>'All Tandem Standards'!V43</f>
        <v>1:10:58</v>
      </c>
      <c r="G12" s="3" t="str">
        <f>'All Tandem Standards'!W43</f>
        <v>2:27:25</v>
      </c>
      <c r="H12" s="46" t="str">
        <f>'All Tandem Standards'!X43</f>
        <v>99.31</v>
      </c>
      <c r="I12" s="46" t="str">
        <f>'All Tandem Standards'!Y43</f>
        <v>166.22</v>
      </c>
      <c r="K12" s="4">
        <f>'All Tandem Standards'!A71</f>
        <v>78</v>
      </c>
      <c r="L12" s="3" t="str">
        <f>'All Tandem Standards'!R71</f>
        <v>16:20</v>
      </c>
      <c r="M12" s="3" t="str">
        <f>'All Tandem Standards'!S71</f>
        <v>24:38</v>
      </c>
      <c r="N12" s="3" t="str">
        <f>'All Tandem Standards'!T71</f>
        <v>41:29</v>
      </c>
      <c r="O12" s="3" t="str">
        <f>'All Tandem Standards'!U71</f>
        <v>50:03</v>
      </c>
      <c r="P12" s="3" t="str">
        <f>'All Tandem Standards'!V71</f>
        <v>1:25:14</v>
      </c>
      <c r="Q12" s="3" t="str">
        <f>'All Tandem Standards'!W71</f>
        <v>3:00:34</v>
      </c>
      <c r="R12" s="47" t="str">
        <f>'All Tandem Standards'!X71</f>
        <v>67.88</v>
      </c>
      <c r="S12" s="47" t="str">
        <f>'All Tandem Standards'!Y71</f>
        <v>105.09</v>
      </c>
    </row>
    <row r="13" spans="1:19" x14ac:dyDescent="0.25">
      <c r="A13" s="4">
        <f>'All Tandem Standards'!A44</f>
        <v>51</v>
      </c>
      <c r="B13" s="3" t="str">
        <f>'All Tandem Standards'!R44</f>
        <v>13:50</v>
      </c>
      <c r="C13" s="3" t="str">
        <f>'All Tandem Standards'!S44</f>
        <v>20:49</v>
      </c>
      <c r="D13" s="3" t="str">
        <f>'All Tandem Standards'!T44</f>
        <v>34:58</v>
      </c>
      <c r="E13" s="3" t="str">
        <f>'All Tandem Standards'!U44</f>
        <v>42:07</v>
      </c>
      <c r="F13" s="3" t="str">
        <f>'All Tandem Standards'!V44</f>
        <v>1:11:14</v>
      </c>
      <c r="G13" s="3" t="str">
        <f>'All Tandem Standards'!W44</f>
        <v>2:28:00</v>
      </c>
      <c r="H13" s="46" t="str">
        <f>'All Tandem Standards'!X44</f>
        <v>98.57</v>
      </c>
      <c r="I13" s="46" t="str">
        <f>'All Tandem Standards'!Y44</f>
        <v>164.76</v>
      </c>
      <c r="K13" s="4">
        <f>'All Tandem Standards'!A72</f>
        <v>79</v>
      </c>
      <c r="L13" s="45" t="str">
        <f>'All Tandem Standards'!R72</f>
        <v>16:29</v>
      </c>
      <c r="M13" s="45" t="str">
        <f>'All Tandem Standards'!S72</f>
        <v>24:52</v>
      </c>
      <c r="N13" s="45" t="str">
        <f>'All Tandem Standards'!T72</f>
        <v>41:53</v>
      </c>
      <c r="O13" s="45" t="str">
        <f>'All Tandem Standards'!U72</f>
        <v>50:33</v>
      </c>
      <c r="P13" s="45" t="str">
        <f>'All Tandem Standards'!V72</f>
        <v>1:26:07</v>
      </c>
      <c r="Q13" s="45" t="str">
        <f>'All Tandem Standards'!W72</f>
        <v>3:02:42</v>
      </c>
      <c r="R13" s="49" t="str">
        <f>'All Tandem Standards'!X72</f>
        <v>66.38</v>
      </c>
      <c r="S13" s="49" t="str">
        <f>'All Tandem Standards'!Y72</f>
        <v>102.23</v>
      </c>
    </row>
    <row r="14" spans="1:19" x14ac:dyDescent="0.25">
      <c r="A14" s="4">
        <f>'All Tandem Standards'!A45</f>
        <v>52</v>
      </c>
      <c r="B14" s="3" t="str">
        <f>'All Tandem Standards'!R45</f>
        <v>13:53</v>
      </c>
      <c r="C14" s="3" t="str">
        <f>'All Tandem Standards'!S45</f>
        <v>20:54</v>
      </c>
      <c r="D14" s="3" t="str">
        <f>'All Tandem Standards'!T45</f>
        <v>35:06</v>
      </c>
      <c r="E14" s="3" t="str">
        <f>'All Tandem Standards'!U45</f>
        <v>42:16</v>
      </c>
      <c r="F14" s="3" t="str">
        <f>'All Tandem Standards'!V45</f>
        <v>1:11:31</v>
      </c>
      <c r="G14" s="3" t="str">
        <f>'All Tandem Standards'!W45</f>
        <v>2:28:38</v>
      </c>
      <c r="H14" s="46" t="str">
        <f>'All Tandem Standards'!X45</f>
        <v>97.80</v>
      </c>
      <c r="I14" s="46" t="str">
        <f>'All Tandem Standards'!Y45</f>
        <v>163.23</v>
      </c>
      <c r="K14" s="4">
        <f>'All Tandem Standards'!A73</f>
        <v>80</v>
      </c>
      <c r="L14" s="3" t="str">
        <f>'All Tandem Standards'!R73</f>
        <v>16:39</v>
      </c>
      <c r="M14" s="3" t="str">
        <f>'All Tandem Standards'!S73</f>
        <v>25:07</v>
      </c>
      <c r="N14" s="3" t="str">
        <f>'All Tandem Standards'!T73</f>
        <v>42:19</v>
      </c>
      <c r="O14" s="3" t="str">
        <f>'All Tandem Standards'!U73</f>
        <v>51:03</v>
      </c>
      <c r="P14" s="3" t="str">
        <f>'All Tandem Standards'!V73</f>
        <v>1:27:03</v>
      </c>
      <c r="Q14" s="3" t="str">
        <f>'All Tandem Standards'!W73</f>
        <v>3:04:58</v>
      </c>
      <c r="R14" s="47" t="str">
        <f>'All Tandem Standards'!X73</f>
        <v>64.84</v>
      </c>
      <c r="S14" s="47" t="str">
        <f>'All Tandem Standards'!Y73</f>
        <v>99.33</v>
      </c>
    </row>
    <row r="15" spans="1:19" x14ac:dyDescent="0.25">
      <c r="A15" s="4">
        <f>'All Tandem Standards'!A46</f>
        <v>53</v>
      </c>
      <c r="B15" s="3" t="str">
        <f>'All Tandem Standards'!R46</f>
        <v>13:56</v>
      </c>
      <c r="C15" s="3" t="str">
        <f>'All Tandem Standards'!S46</f>
        <v>20:59</v>
      </c>
      <c r="D15" s="3" t="str">
        <f>'All Tandem Standards'!T46</f>
        <v>35:14</v>
      </c>
      <c r="E15" s="3" t="str">
        <f>'All Tandem Standards'!U46</f>
        <v>42:26</v>
      </c>
      <c r="F15" s="3" t="str">
        <f>'All Tandem Standards'!V46</f>
        <v>1:11:48</v>
      </c>
      <c r="G15" s="3" t="str">
        <f>'All Tandem Standards'!W46</f>
        <v>2:29:18</v>
      </c>
      <c r="H15" s="46" t="str">
        <f>'All Tandem Standards'!X46</f>
        <v>96.99</v>
      </c>
      <c r="I15" s="46" t="str">
        <f>'All Tandem Standards'!Y46</f>
        <v>161.64</v>
      </c>
      <c r="K15" s="4">
        <f>'All Tandem Standards'!A74</f>
        <v>81</v>
      </c>
      <c r="L15" s="3" t="str">
        <f>'All Tandem Standards'!R74</f>
        <v>16:49</v>
      </c>
      <c r="M15" s="3" t="str">
        <f>'All Tandem Standards'!S74</f>
        <v>25:22</v>
      </c>
      <c r="N15" s="3" t="str">
        <f>'All Tandem Standards'!T74</f>
        <v>42:46</v>
      </c>
      <c r="O15" s="3" t="str">
        <f>'All Tandem Standards'!U74</f>
        <v>51:36</v>
      </c>
      <c r="P15" s="3" t="str">
        <f>'All Tandem Standards'!V74</f>
        <v>1:28:01</v>
      </c>
      <c r="Q15" s="3" t="str">
        <f>'All Tandem Standards'!W74</f>
        <v>3:07:21</v>
      </c>
      <c r="R15" s="47" t="str">
        <f>'All Tandem Standards'!X74</f>
        <v>63.28</v>
      </c>
      <c r="S15" s="47" t="str">
        <f>'All Tandem Standards'!Y74</f>
        <v>96.37</v>
      </c>
    </row>
    <row r="16" spans="1:19" x14ac:dyDescent="0.25">
      <c r="A16" s="4">
        <f>'All Tandem Standards'!A47</f>
        <v>54</v>
      </c>
      <c r="B16" s="3" t="str">
        <f>'All Tandem Standards'!R47</f>
        <v>14:00</v>
      </c>
      <c r="C16" s="3" t="str">
        <f>'All Tandem Standards'!S47</f>
        <v>21:04</v>
      </c>
      <c r="D16" s="3" t="str">
        <f>'All Tandem Standards'!T47</f>
        <v>35:23</v>
      </c>
      <c r="E16" s="3" t="str">
        <f>'All Tandem Standards'!U47</f>
        <v>42:37</v>
      </c>
      <c r="F16" s="3" t="str">
        <f>'All Tandem Standards'!V47</f>
        <v>1:12:07</v>
      </c>
      <c r="G16" s="3" t="str">
        <f>'All Tandem Standards'!W47</f>
        <v>2:30:00</v>
      </c>
      <c r="H16" s="46" t="str">
        <f>'All Tandem Standards'!X47</f>
        <v>96.15</v>
      </c>
      <c r="I16" s="46" t="str">
        <f>'All Tandem Standards'!Y47</f>
        <v>159.99</v>
      </c>
      <c r="K16" s="4">
        <f>'All Tandem Standards'!A75</f>
        <v>82</v>
      </c>
      <c r="L16" s="3" t="str">
        <f>'All Tandem Standards'!R75</f>
        <v>17:00</v>
      </c>
      <c r="M16" s="3" t="str">
        <f>'All Tandem Standards'!S75</f>
        <v>25:38</v>
      </c>
      <c r="N16" s="3" t="str">
        <f>'All Tandem Standards'!T75</f>
        <v>43:13</v>
      </c>
      <c r="O16" s="3" t="str">
        <f>'All Tandem Standards'!U75</f>
        <v>52:10</v>
      </c>
      <c r="P16" s="3" t="str">
        <f>'All Tandem Standards'!V75</f>
        <v>1:29:03</v>
      </c>
      <c r="Q16" s="3" t="str">
        <f>'All Tandem Standards'!W75</f>
        <v>3:09:51</v>
      </c>
      <c r="R16" s="47" t="str">
        <f>'All Tandem Standards'!X75</f>
        <v>61.70</v>
      </c>
      <c r="S16" s="47" t="str">
        <f>'All Tandem Standards'!Y75</f>
        <v>93.37</v>
      </c>
    </row>
    <row r="17" spans="1:20" x14ac:dyDescent="0.25">
      <c r="A17" s="4">
        <f>'All Tandem Standards'!A48</f>
        <v>55</v>
      </c>
      <c r="B17" s="3" t="str">
        <f>'All Tandem Standards'!R48</f>
        <v>14:03</v>
      </c>
      <c r="C17" s="3" t="str">
        <f>'All Tandem Standards'!S48</f>
        <v>21:10</v>
      </c>
      <c r="D17" s="3" t="str">
        <f>'All Tandem Standards'!T48</f>
        <v>35:32</v>
      </c>
      <c r="E17" s="3" t="str">
        <f>'All Tandem Standards'!U48</f>
        <v>42:48</v>
      </c>
      <c r="F17" s="3" t="str">
        <f>'All Tandem Standards'!V48</f>
        <v>1:12:26</v>
      </c>
      <c r="G17" s="3" t="str">
        <f>'All Tandem Standards'!W48</f>
        <v>2:30:43</v>
      </c>
      <c r="H17" s="46" t="str">
        <f>'All Tandem Standards'!X48</f>
        <v>95.29</v>
      </c>
      <c r="I17" s="46" t="str">
        <f>'All Tandem Standards'!Y48</f>
        <v>158.28</v>
      </c>
      <c r="K17" s="4">
        <f>'All Tandem Standards'!A76</f>
        <v>83</v>
      </c>
      <c r="L17" s="3" t="str">
        <f>'All Tandem Standards'!R76</f>
        <v>17:11</v>
      </c>
      <c r="M17" s="3" t="str">
        <f>'All Tandem Standards'!S76</f>
        <v>25:55</v>
      </c>
      <c r="N17" s="3" t="str">
        <f>'All Tandem Standards'!T76</f>
        <v>43:43</v>
      </c>
      <c r="O17" s="3" t="str">
        <f>'All Tandem Standards'!U76</f>
        <v>52:46</v>
      </c>
      <c r="P17" s="3" t="str">
        <f>'All Tandem Standards'!V76</f>
        <v>1:30:08</v>
      </c>
      <c r="Q17" s="3" t="str">
        <f>'All Tandem Standards'!W76</f>
        <v>3:12:31</v>
      </c>
      <c r="R17" s="47" t="str">
        <f>'All Tandem Standards'!X76</f>
        <v>60.08</v>
      </c>
      <c r="S17" s="47" t="str">
        <f>'All Tandem Standards'!Y76</f>
        <v>90.33</v>
      </c>
    </row>
    <row r="18" spans="1:20" x14ac:dyDescent="0.25">
      <c r="A18" s="4">
        <f>'All Tandem Standards'!A49</f>
        <v>56</v>
      </c>
      <c r="B18" s="3" t="str">
        <f>'All Tandem Standards'!R49</f>
        <v>14:07</v>
      </c>
      <c r="C18" s="3" t="str">
        <f>'All Tandem Standards'!S49</f>
        <v>21:15</v>
      </c>
      <c r="D18" s="3" t="str">
        <f>'All Tandem Standards'!T49</f>
        <v>35:41</v>
      </c>
      <c r="E18" s="3" t="str">
        <f>'All Tandem Standards'!U49</f>
        <v>43:00</v>
      </c>
      <c r="F18" s="3" t="str">
        <f>'All Tandem Standards'!V49</f>
        <v>1:12:47</v>
      </c>
      <c r="G18" s="3" t="str">
        <f>'All Tandem Standards'!W49</f>
        <v>2:31:29</v>
      </c>
      <c r="H18" s="46" t="str">
        <f>'All Tandem Standards'!X49</f>
        <v>94.39</v>
      </c>
      <c r="I18" s="46" t="str">
        <f>'All Tandem Standards'!Y49</f>
        <v>156.51</v>
      </c>
      <c r="K18" s="4">
        <f>'All Tandem Standards'!A77</f>
        <v>84</v>
      </c>
      <c r="L18" s="3" t="str">
        <f>'All Tandem Standards'!R77</f>
        <v>17:22</v>
      </c>
      <c r="M18" s="3" t="str">
        <f>'All Tandem Standards'!S77</f>
        <v>26:13</v>
      </c>
      <c r="N18" s="3" t="str">
        <f>'All Tandem Standards'!T77</f>
        <v>44:13</v>
      </c>
      <c r="O18" s="3" t="str">
        <f>'All Tandem Standards'!U77</f>
        <v>53:24</v>
      </c>
      <c r="P18" s="3" t="str">
        <f>'All Tandem Standards'!V77</f>
        <v>1:31:15</v>
      </c>
      <c r="Q18" s="3" t="str">
        <f>'All Tandem Standards'!W77</f>
        <v>3:15:20</v>
      </c>
      <c r="R18" s="47" t="str">
        <f>'All Tandem Standards'!X77</f>
        <v>58.43</v>
      </c>
      <c r="S18" s="47" t="str">
        <f>'All Tandem Standards'!Y77</f>
        <v>87.24</v>
      </c>
    </row>
    <row r="19" spans="1:20" x14ac:dyDescent="0.25">
      <c r="A19" s="4">
        <f>'All Tandem Standards'!A50</f>
        <v>57</v>
      </c>
      <c r="B19" s="3" t="str">
        <f>'All Tandem Standards'!R50</f>
        <v>14:11</v>
      </c>
      <c r="C19" s="3" t="str">
        <f>'All Tandem Standards'!S50</f>
        <v>21:21</v>
      </c>
      <c r="D19" s="3" t="str">
        <f>'All Tandem Standards'!T50</f>
        <v>35:51</v>
      </c>
      <c r="E19" s="3" t="str">
        <f>'All Tandem Standards'!U50</f>
        <v>43:12</v>
      </c>
      <c r="F19" s="3" t="str">
        <f>'All Tandem Standards'!V50</f>
        <v>1:13:08</v>
      </c>
      <c r="G19" s="3" t="str">
        <f>'All Tandem Standards'!W50</f>
        <v>2:32:17</v>
      </c>
      <c r="H19" s="46" t="str">
        <f>'All Tandem Standards'!X50</f>
        <v>93.46</v>
      </c>
      <c r="I19" s="46" t="str">
        <f>'All Tandem Standards'!Y50</f>
        <v>154.69</v>
      </c>
      <c r="K19" s="4">
        <f>'All Tandem Standards'!A78</f>
        <v>85</v>
      </c>
      <c r="L19" s="3" t="str">
        <f>'All Tandem Standards'!R78</f>
        <v>17:35</v>
      </c>
      <c r="M19" s="3" t="str">
        <f>'All Tandem Standards'!S78</f>
        <v>26:31</v>
      </c>
      <c r="N19" s="3" t="str">
        <f>'All Tandem Standards'!T78</f>
        <v>44:45</v>
      </c>
      <c r="O19" s="3" t="str">
        <f>'All Tandem Standards'!U78</f>
        <v>54:03</v>
      </c>
      <c r="P19" s="3" t="str">
        <f>'All Tandem Standards'!V78</f>
        <v>1:32:26</v>
      </c>
      <c r="Q19" s="3" t="str">
        <f>'All Tandem Standards'!W78</f>
        <v>3:18:19</v>
      </c>
      <c r="R19" s="47" t="str">
        <f>'All Tandem Standards'!X78</f>
        <v>56.76</v>
      </c>
      <c r="S19" s="47" t="str">
        <f>'All Tandem Standards'!Y78</f>
        <v>84.10</v>
      </c>
    </row>
    <row r="20" spans="1:20" x14ac:dyDescent="0.25">
      <c r="A20" s="4">
        <f>'All Tandem Standards'!A51</f>
        <v>58</v>
      </c>
      <c r="B20" s="3" t="str">
        <f>'All Tandem Standards'!R51</f>
        <v>14:15</v>
      </c>
      <c r="C20" s="3" t="str">
        <f>'All Tandem Standards'!S51</f>
        <v>21:27</v>
      </c>
      <c r="D20" s="3" t="str">
        <f>'All Tandem Standards'!T51</f>
        <v>36:02</v>
      </c>
      <c r="E20" s="3" t="str">
        <f>'All Tandem Standards'!U51</f>
        <v>43:24</v>
      </c>
      <c r="F20" s="3" t="str">
        <f>'All Tandem Standards'!V51</f>
        <v>1:13:30</v>
      </c>
      <c r="G20" s="3" t="str">
        <f>'All Tandem Standards'!W51</f>
        <v>2:33:08</v>
      </c>
      <c r="H20" s="46" t="str">
        <f>'All Tandem Standards'!X51</f>
        <v>92.51</v>
      </c>
      <c r="I20" s="46" t="str">
        <f>'All Tandem Standards'!Y51</f>
        <v>152.82</v>
      </c>
      <c r="K20" s="4">
        <f>'All Tandem Standards'!A79</f>
        <v>86</v>
      </c>
      <c r="L20" s="3" t="str">
        <f>'All Tandem Standards'!R79</f>
        <v>17:47</v>
      </c>
      <c r="M20" s="3" t="str">
        <f>'All Tandem Standards'!S79</f>
        <v>26:51</v>
      </c>
      <c r="N20" s="3" t="str">
        <f>'All Tandem Standards'!T79</f>
        <v>45:19</v>
      </c>
      <c r="O20" s="3" t="str">
        <f>'All Tandem Standards'!U79</f>
        <v>54:44</v>
      </c>
      <c r="P20" s="3" t="str">
        <f>'All Tandem Standards'!V79</f>
        <v>1:33:42</v>
      </c>
      <c r="Q20" s="3" t="str">
        <f>'All Tandem Standards'!W79</f>
        <v>3:21:29</v>
      </c>
      <c r="R20" s="47" t="str">
        <f>'All Tandem Standards'!X79</f>
        <v>55.05</v>
      </c>
      <c r="S20" s="47" t="str">
        <f>'All Tandem Standards'!Y79</f>
        <v>80.92</v>
      </c>
    </row>
    <row r="21" spans="1:20" x14ac:dyDescent="0.25">
      <c r="A21" s="4">
        <f>'All Tandem Standards'!A52</f>
        <v>59</v>
      </c>
      <c r="B21" s="45" t="str">
        <f>'All Tandem Standards'!R52</f>
        <v>14:19</v>
      </c>
      <c r="C21" s="45" t="str">
        <f>'All Tandem Standards'!S52</f>
        <v>21:34</v>
      </c>
      <c r="D21" s="45" t="str">
        <f>'All Tandem Standards'!T52</f>
        <v>36:13</v>
      </c>
      <c r="E21" s="45" t="str">
        <f>'All Tandem Standards'!U52</f>
        <v>43:38</v>
      </c>
      <c r="F21" s="45" t="str">
        <f>'All Tandem Standards'!V52</f>
        <v>1:13:53</v>
      </c>
      <c r="G21" s="45" t="str">
        <f>'All Tandem Standards'!W52</f>
        <v>2:34:00</v>
      </c>
      <c r="H21" s="48" t="str">
        <f>'All Tandem Standards'!X52</f>
        <v>91.53</v>
      </c>
      <c r="I21" s="48" t="str">
        <f>'All Tandem Standards'!Y52</f>
        <v>150.89</v>
      </c>
      <c r="K21" s="4">
        <f>'All Tandem Standards'!A80</f>
        <v>87</v>
      </c>
      <c r="L21" s="3" t="str">
        <f>'All Tandem Standards'!R80</f>
        <v>18:00</v>
      </c>
      <c r="M21" s="3" t="str">
        <f>'All Tandem Standards'!S80</f>
        <v>27:11</v>
      </c>
      <c r="N21" s="3" t="str">
        <f>'All Tandem Standards'!T80</f>
        <v>45:55</v>
      </c>
      <c r="O21" s="3" t="str">
        <f>'All Tandem Standards'!U80</f>
        <v>55:28</v>
      </c>
      <c r="P21" s="3" t="str">
        <f>'All Tandem Standards'!V80</f>
        <v>1:35:01</v>
      </c>
      <c r="Q21" s="3" t="str">
        <f>'All Tandem Standards'!W80</f>
        <v>3:24:52</v>
      </c>
      <c r="R21" s="47" t="str">
        <f>'All Tandem Standards'!X80</f>
        <v>53.31</v>
      </c>
      <c r="S21" s="47" t="str">
        <f>'All Tandem Standards'!Y80</f>
        <v>77.69</v>
      </c>
    </row>
    <row r="22" spans="1:20" x14ac:dyDescent="0.25">
      <c r="A22" s="4">
        <f>'All Tandem Standards'!A53</f>
        <v>60</v>
      </c>
      <c r="B22" s="3" t="str">
        <f>'All Tandem Standards'!R53</f>
        <v>14:24</v>
      </c>
      <c r="C22" s="3" t="str">
        <f>'All Tandem Standards'!S53</f>
        <v>21:40</v>
      </c>
      <c r="D22" s="3" t="str">
        <f>'All Tandem Standards'!T53</f>
        <v>36:24</v>
      </c>
      <c r="E22" s="3" t="str">
        <f>'All Tandem Standards'!U53</f>
        <v>43:51</v>
      </c>
      <c r="F22" s="3" t="str">
        <f>'All Tandem Standards'!V53</f>
        <v>1:14:17</v>
      </c>
      <c r="G22" s="3" t="str">
        <f>'All Tandem Standards'!W53</f>
        <v>2:34:56</v>
      </c>
      <c r="H22" s="46" t="str">
        <f>'All Tandem Standards'!X53</f>
        <v>90.52</v>
      </c>
      <c r="I22" s="46" t="str">
        <f>'All Tandem Standards'!Y53</f>
        <v>148.90</v>
      </c>
      <c r="K22" s="4">
        <f>'All Tandem Standards'!A81</f>
        <v>88</v>
      </c>
      <c r="L22" s="3" t="str">
        <f>'All Tandem Standards'!R81</f>
        <v>18:14</v>
      </c>
      <c r="M22" s="3" t="str">
        <f>'All Tandem Standards'!S81</f>
        <v>27:33</v>
      </c>
      <c r="N22" s="3" t="str">
        <f>'All Tandem Standards'!T81</f>
        <v>46:32</v>
      </c>
      <c r="O22" s="3" t="str">
        <f>'All Tandem Standards'!U81</f>
        <v>56:14</v>
      </c>
      <c r="P22" s="3" t="str">
        <f>'All Tandem Standards'!V81</f>
        <v>1:36:26</v>
      </c>
      <c r="Q22" s="3" t="str">
        <f>'All Tandem Standards'!W81</f>
        <v>3:28:29</v>
      </c>
      <c r="R22" s="47" t="str">
        <f>'All Tandem Standards'!X81</f>
        <v>51.54</v>
      </c>
      <c r="S22" s="47" t="str">
        <f>'All Tandem Standards'!Y81</f>
        <v>74.41</v>
      </c>
    </row>
    <row r="23" spans="1:20" x14ac:dyDescent="0.25">
      <c r="A23" s="4">
        <f>'All Tandem Standards'!A54</f>
        <v>61</v>
      </c>
      <c r="B23" s="3" t="str">
        <f>'All Tandem Standards'!R54</f>
        <v>14:28</v>
      </c>
      <c r="C23" s="3" t="str">
        <f>'All Tandem Standards'!S54</f>
        <v>21:47</v>
      </c>
      <c r="D23" s="3" t="str">
        <f>'All Tandem Standards'!T54</f>
        <v>36:36</v>
      </c>
      <c r="E23" s="3" t="str">
        <f>'All Tandem Standards'!U54</f>
        <v>44:06</v>
      </c>
      <c r="F23" s="3" t="str">
        <f>'All Tandem Standards'!V54</f>
        <v>1:14:43</v>
      </c>
      <c r="G23" s="3" t="str">
        <f>'All Tandem Standards'!W54</f>
        <v>2:35:53</v>
      </c>
      <c r="H23" s="46" t="str">
        <f>'All Tandem Standards'!X54</f>
        <v>89.48</v>
      </c>
      <c r="I23" s="46" t="str">
        <f>'All Tandem Standards'!Y54</f>
        <v>146.87</v>
      </c>
      <c r="K23" s="4">
        <f>'All Tandem Standards'!A82</f>
        <v>89</v>
      </c>
      <c r="L23" s="45" t="str">
        <f>'All Tandem Standards'!R82</f>
        <v>18:29</v>
      </c>
      <c r="M23" s="45" t="str">
        <f>'All Tandem Standards'!S82</f>
        <v>27:56</v>
      </c>
      <c r="N23" s="45" t="str">
        <f>'All Tandem Standards'!T82</f>
        <v>47:12</v>
      </c>
      <c r="O23" s="45" t="str">
        <f>'All Tandem Standards'!U82</f>
        <v>57:03</v>
      </c>
      <c r="P23" s="45" t="str">
        <f>'All Tandem Standards'!V82</f>
        <v>1:37:55</v>
      </c>
      <c r="Q23" s="45" t="str">
        <f>'All Tandem Standards'!W82</f>
        <v>3:32:22</v>
      </c>
      <c r="R23" s="49" t="str">
        <f>'All Tandem Standards'!X82</f>
        <v>49.74</v>
      </c>
      <c r="S23" s="49" t="str">
        <f>'All Tandem Standards'!Y82</f>
        <v>71.07</v>
      </c>
    </row>
    <row r="24" spans="1:20" x14ac:dyDescent="0.25">
      <c r="A24" s="4">
        <f>'All Tandem Standards'!A55</f>
        <v>62</v>
      </c>
      <c r="B24" s="3" t="str">
        <f>'All Tandem Standards'!R55</f>
        <v>14:33</v>
      </c>
      <c r="C24" s="3" t="str">
        <f>'All Tandem Standards'!S55</f>
        <v>21:54</v>
      </c>
      <c r="D24" s="3" t="str">
        <f>'All Tandem Standards'!T55</f>
        <v>36:48</v>
      </c>
      <c r="E24" s="3" t="str">
        <f>'All Tandem Standards'!U55</f>
        <v>44:21</v>
      </c>
      <c r="F24" s="3" t="str">
        <f>'All Tandem Standards'!V55</f>
        <v>1:15:09</v>
      </c>
      <c r="G24" s="3" t="str">
        <f>'All Tandem Standards'!W55</f>
        <v>2:36:53</v>
      </c>
      <c r="H24" s="46" t="str">
        <f>'All Tandem Standards'!X55</f>
        <v>88.42</v>
      </c>
      <c r="I24" s="46" t="str">
        <f>'All Tandem Standards'!Y55</f>
        <v>144.79</v>
      </c>
      <c r="K24" s="4">
        <f>'All Tandem Standards'!A83</f>
        <v>90</v>
      </c>
      <c r="L24" s="3" t="str">
        <f>'All Tandem Standards'!R83</f>
        <v>18:45</v>
      </c>
      <c r="M24" s="3" t="str">
        <f>'All Tandem Standards'!S83</f>
        <v>28:20</v>
      </c>
      <c r="N24" s="3" t="str">
        <f>'All Tandem Standards'!T83</f>
        <v>47:54</v>
      </c>
      <c r="O24" s="3" t="str">
        <f>'All Tandem Standards'!U83</f>
        <v>57:54</v>
      </c>
      <c r="P24" s="3" t="str">
        <f>'All Tandem Standards'!V83</f>
        <v>1:39:30</v>
      </c>
      <c r="Q24" s="3" t="str">
        <f>'All Tandem Standards'!W83</f>
        <v>3:36:31</v>
      </c>
      <c r="R24" s="47" t="str">
        <f>'All Tandem Standards'!X83</f>
        <v>47.90</v>
      </c>
      <c r="S24" s="47" t="str">
        <f>'All Tandem Standards'!Y83</f>
        <v>67.69</v>
      </c>
    </row>
    <row r="25" spans="1:20" x14ac:dyDescent="0.25">
      <c r="A25" s="4">
        <f>'All Tandem Standards'!A56</f>
        <v>63</v>
      </c>
      <c r="B25" s="3" t="str">
        <f>'All Tandem Standards'!R56</f>
        <v>14:37</v>
      </c>
      <c r="C25" s="3" t="str">
        <f>'All Tandem Standards'!S56</f>
        <v>22:02</v>
      </c>
      <c r="D25" s="3" t="str">
        <f>'All Tandem Standards'!T56</f>
        <v>37:01</v>
      </c>
      <c r="E25" s="3" t="str">
        <f>'All Tandem Standards'!U56</f>
        <v>44:36</v>
      </c>
      <c r="F25" s="3" t="str">
        <f>'All Tandem Standards'!V56</f>
        <v>1:15:36</v>
      </c>
      <c r="G25" s="3" t="str">
        <f>'All Tandem Standards'!W56</f>
        <v>2:37:56</v>
      </c>
      <c r="H25" s="46" t="str">
        <f>'All Tandem Standards'!X56</f>
        <v>87.33</v>
      </c>
      <c r="I25" s="46" t="str">
        <f>'All Tandem Standards'!Y56</f>
        <v>142.65</v>
      </c>
      <c r="K25" s="4">
        <f>'All Tandem Standards'!A84</f>
        <v>91</v>
      </c>
      <c r="L25" s="3" t="str">
        <f>'All Tandem Standards'!R84</f>
        <v>19:01</v>
      </c>
      <c r="M25" s="3" t="str">
        <f>'All Tandem Standards'!S84</f>
        <v>28:45</v>
      </c>
      <c r="N25" s="3" t="str">
        <f>'All Tandem Standards'!T84</f>
        <v>48:38</v>
      </c>
      <c r="O25" s="3" t="str">
        <f>'All Tandem Standards'!U84</f>
        <v>58:49</v>
      </c>
      <c r="P25" s="3" t="str">
        <f>'All Tandem Standards'!V84</f>
        <v>1:41:11</v>
      </c>
      <c r="Q25" s="3" t="str">
        <f>'All Tandem Standards'!W84</f>
        <v>3:41:00</v>
      </c>
      <c r="R25" s="47" t="str">
        <f>'All Tandem Standards'!X84</f>
        <v>46.03</v>
      </c>
      <c r="S25" s="47" t="str">
        <f>'All Tandem Standards'!Y84</f>
        <v>64.26</v>
      </c>
    </row>
    <row r="26" spans="1:20" x14ac:dyDescent="0.25">
      <c r="A26" s="4">
        <f>'All Tandem Standards'!A57</f>
        <v>64</v>
      </c>
      <c r="B26" s="3" t="str">
        <f>'All Tandem Standards'!R57</f>
        <v>14:43</v>
      </c>
      <c r="C26" s="3" t="str">
        <f>'All Tandem Standards'!S57</f>
        <v>22:10</v>
      </c>
      <c r="D26" s="3" t="str">
        <f>'All Tandem Standards'!T57</f>
        <v>37:14</v>
      </c>
      <c r="E26" s="3" t="str">
        <f>'All Tandem Standards'!U57</f>
        <v>44:53</v>
      </c>
      <c r="F26" s="3" t="str">
        <f>'All Tandem Standards'!V57</f>
        <v>1:16:05</v>
      </c>
      <c r="G26" s="3" t="str">
        <f>'All Tandem Standards'!W57</f>
        <v>2:39:01</v>
      </c>
      <c r="H26" s="46" t="str">
        <f>'All Tandem Standards'!X57</f>
        <v>86.21</v>
      </c>
      <c r="I26" s="46" t="str">
        <f>'All Tandem Standards'!Y57</f>
        <v>140.47</v>
      </c>
      <c r="K26" s="4">
        <f>'All Tandem Standards'!A85</f>
        <v>92</v>
      </c>
      <c r="L26" s="3" t="str">
        <f>'All Tandem Standards'!R85</f>
        <v>19:19</v>
      </c>
      <c r="M26" s="3" t="str">
        <f>'All Tandem Standards'!S85</f>
        <v>29:12</v>
      </c>
      <c r="N26" s="3" t="str">
        <f>'All Tandem Standards'!T85</f>
        <v>49:25</v>
      </c>
      <c r="O26" s="3" t="str">
        <f>'All Tandem Standards'!U85</f>
        <v>59:47</v>
      </c>
      <c r="P26" s="3" t="str">
        <f>'All Tandem Standards'!V85</f>
        <v>1:42:59</v>
      </c>
      <c r="Q26" s="3" t="str">
        <f>'All Tandem Standards'!W85</f>
        <v>3:45:50</v>
      </c>
      <c r="R26" s="47" t="str">
        <f>'All Tandem Standards'!X85</f>
        <v>44.11</v>
      </c>
      <c r="S26" s="47" t="str">
        <f>'All Tandem Standards'!Y85</f>
        <v>60.78</v>
      </c>
    </row>
    <row r="27" spans="1:20" x14ac:dyDescent="0.25">
      <c r="A27" s="4">
        <f>'All Tandem Standards'!A58</f>
        <v>65</v>
      </c>
      <c r="B27" s="3" t="str">
        <f>'All Tandem Standards'!R58</f>
        <v>14:48</v>
      </c>
      <c r="C27" s="3" t="str">
        <f>'All Tandem Standards'!S58</f>
        <v>22:18</v>
      </c>
      <c r="D27" s="3" t="str">
        <f>'All Tandem Standards'!T58</f>
        <v>37:28</v>
      </c>
      <c r="E27" s="3" t="str">
        <f>'All Tandem Standards'!U58</f>
        <v>45:10</v>
      </c>
      <c r="F27" s="3" t="str">
        <f>'All Tandem Standards'!V58</f>
        <v>1:16:35</v>
      </c>
      <c r="G27" s="3" t="str">
        <f>'All Tandem Standards'!W58</f>
        <v>2:40:10</v>
      </c>
      <c r="H27" s="46" t="str">
        <f>'All Tandem Standards'!X58</f>
        <v>85.07</v>
      </c>
      <c r="I27" s="46" t="str">
        <f>'All Tandem Standards'!Y58</f>
        <v>138.24</v>
      </c>
      <c r="K27" s="4">
        <f>'All Tandem Standards'!A86</f>
        <v>93</v>
      </c>
      <c r="L27" s="3" t="str">
        <f>'All Tandem Standards'!R86</f>
        <v>19:37</v>
      </c>
      <c r="M27" s="3" t="str">
        <f>'All Tandem Standards'!S86</f>
        <v>29:40</v>
      </c>
      <c r="N27" s="3" t="str">
        <f>'All Tandem Standards'!T86</f>
        <v>50:16</v>
      </c>
      <c r="O27" s="3" t="str">
        <f>'All Tandem Standards'!U86</f>
        <v>1:00:49</v>
      </c>
      <c r="P27" s="3" t="str">
        <f>'All Tandem Standards'!V86</f>
        <v>1:44:54</v>
      </c>
      <c r="Q27" s="3" t="str">
        <f>'All Tandem Standards'!W86</f>
        <v>3:51:06</v>
      </c>
      <c r="R27" s="47" t="str">
        <f>'All Tandem Standards'!X86</f>
        <v>42.16</v>
      </c>
      <c r="S27" s="47" t="str">
        <f>'All Tandem Standards'!Y86</f>
        <v>57.24</v>
      </c>
    </row>
    <row r="28" spans="1:20" x14ac:dyDescent="0.25">
      <c r="A28" s="4">
        <f>'All Tandem Standards'!A59</f>
        <v>66</v>
      </c>
      <c r="B28" s="3" t="str">
        <f>'All Tandem Standards'!R59</f>
        <v>14:54</v>
      </c>
      <c r="C28" s="3" t="str">
        <f>'All Tandem Standards'!S59</f>
        <v>22:26</v>
      </c>
      <c r="D28" s="3" t="str">
        <f>'All Tandem Standards'!T59</f>
        <v>37:43</v>
      </c>
      <c r="E28" s="3" t="str">
        <f>'All Tandem Standards'!U59</f>
        <v>45:27</v>
      </c>
      <c r="F28" s="3" t="str">
        <f>'All Tandem Standards'!V59</f>
        <v>1:17:05</v>
      </c>
      <c r="G28" s="3" t="str">
        <f>'All Tandem Standards'!W59</f>
        <v>2:41:21</v>
      </c>
      <c r="H28" s="46" t="str">
        <f>'All Tandem Standards'!X59</f>
        <v>83.90</v>
      </c>
      <c r="I28" s="46" t="str">
        <f>'All Tandem Standards'!Y59</f>
        <v>135.96</v>
      </c>
      <c r="K28" s="4">
        <f>'All Tandem Standards'!A87</f>
        <v>94</v>
      </c>
      <c r="L28" s="3" t="str">
        <f>'All Tandem Standards'!R87</f>
        <v>19:58</v>
      </c>
      <c r="M28" s="3" t="str">
        <f>'All Tandem Standards'!S87</f>
        <v>30:11</v>
      </c>
      <c r="N28" s="3" t="str">
        <f>'All Tandem Standards'!T87</f>
        <v>51:09</v>
      </c>
      <c r="O28" s="3" t="str">
        <f>'All Tandem Standards'!U87</f>
        <v>1:01:55</v>
      </c>
      <c r="P28" s="3" t="str">
        <f>'All Tandem Standards'!V87</f>
        <v>1:46:58</v>
      </c>
      <c r="Q28" s="3" t="str">
        <f>'All Tandem Standards'!W87</f>
        <v>3:56:50</v>
      </c>
      <c r="R28" s="47" t="str">
        <f>'All Tandem Standards'!X87</f>
        <v>40.17</v>
      </c>
      <c r="S28" s="47" t="str">
        <f>'All Tandem Standards'!Y87</f>
        <v>53.65</v>
      </c>
    </row>
    <row r="29" spans="1:20" x14ac:dyDescent="0.25">
      <c r="A29" s="4">
        <f>'All Tandem Standards'!A60</f>
        <v>67</v>
      </c>
      <c r="B29" s="3" t="str">
        <f>'All Tandem Standards'!R60</f>
        <v>15:00</v>
      </c>
      <c r="C29" s="3" t="str">
        <f>'All Tandem Standards'!S60</f>
        <v>22:35</v>
      </c>
      <c r="D29" s="3" t="str">
        <f>'All Tandem Standards'!T60</f>
        <v>37:58</v>
      </c>
      <c r="E29" s="3" t="str">
        <f>'All Tandem Standards'!U60</f>
        <v>45:46</v>
      </c>
      <c r="F29" s="3" t="str">
        <f>'All Tandem Standards'!V60</f>
        <v>1:17:37</v>
      </c>
      <c r="G29" s="3" t="str">
        <f>'All Tandem Standards'!W60</f>
        <v>2:42:36</v>
      </c>
      <c r="H29" s="46" t="str">
        <f>'All Tandem Standards'!X60</f>
        <v>82.71</v>
      </c>
      <c r="I29" s="46" t="str">
        <f>'All Tandem Standards'!Y60</f>
        <v>133.64</v>
      </c>
      <c r="K29" s="4">
        <f>'All Tandem Standards'!A88</f>
        <v>95</v>
      </c>
      <c r="L29" s="3" t="str">
        <f>'All Tandem Standards'!R88</f>
        <v>20:18</v>
      </c>
      <c r="M29" s="3" t="str">
        <f>'All Tandem Standards'!S88</f>
        <v>30:43</v>
      </c>
      <c r="N29" s="3" t="str">
        <f>'All Tandem Standards'!T88</f>
        <v>52:07</v>
      </c>
      <c r="O29" s="3" t="str">
        <f>'All Tandem Standards'!U88</f>
        <v>1:03:06</v>
      </c>
      <c r="P29" s="3" t="str">
        <f>'All Tandem Standards'!V88</f>
        <v>1:49:11</v>
      </c>
      <c r="Q29" s="3" t="str">
        <f>'All Tandem Standards'!W88</f>
        <v>4:03:07</v>
      </c>
      <c r="R29" s="47" t="str">
        <f>'All Tandem Standards'!X88</f>
        <v>38.14</v>
      </c>
      <c r="S29" s="47" t="str">
        <f>'All Tandem Standards'!Y88</f>
        <v>50.00</v>
      </c>
      <c r="T29" s="35">
        <f>Revision</f>
        <v>2024</v>
      </c>
    </row>
  </sheetData>
  <sheetProtection algorithmName="SHA-512" hashValue="o6eWyJ+CeLj3xUP5o+cU4cK9U0SVx0n/WrvIzEp2WSi/szf059MnT4jZy7T6yi2Su6w361a1zW6S3WrX1jXQsw==" saltValue="tfWGbsdHLzBGC8Lx3xhRJQ=="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STANDARDS (PER RIDER) 
OPEN TANDEM TRICYCLE</oddHeader>
    <oddFooter>&amp;L&amp;F&amp;CA tandem combined standard is derived by adding the two individual standards from this and/or facing table
Page &amp;P of &amp;N&amp;R&amp;D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DFF70-DA32-4285-91F9-F0532EB73827}">
  <sheetPr codeName="Sheet30">
    <pageSetUpPr fitToPage="1"/>
  </sheetPr>
  <dimension ref="A1:T29"/>
  <sheetViews>
    <sheetView zoomScale="75" zoomScaleNormal="75" workbookViewId="0">
      <selection activeCell="V21" sqref="V21"/>
    </sheetView>
  </sheetViews>
  <sheetFormatPr defaultRowHeight="15" x14ac:dyDescent="0.25"/>
  <cols>
    <col min="1" max="1" width="4.5703125" customWidth="1"/>
    <col min="2" max="9" width="8.5703125" customWidth="1"/>
    <col min="10" max="11" width="4.5703125" customWidth="1"/>
    <col min="12" max="19" width="8.5703125" customWidth="1"/>
  </cols>
  <sheetData>
    <row r="1" spans="1:19" s="11" customFormat="1" x14ac:dyDescent="0.25">
      <c r="A1" s="9" t="s">
        <v>1</v>
      </c>
      <c r="B1" s="10" t="s">
        <v>13</v>
      </c>
      <c r="C1" s="10" t="s">
        <v>14</v>
      </c>
      <c r="D1" s="10" t="s">
        <v>15</v>
      </c>
      <c r="E1" s="10" t="s">
        <v>16</v>
      </c>
      <c r="F1" s="10" t="s">
        <v>17</v>
      </c>
      <c r="G1" s="10" t="s">
        <v>18</v>
      </c>
      <c r="H1" s="10" t="s">
        <v>19</v>
      </c>
      <c r="I1" s="10" t="s">
        <v>20</v>
      </c>
      <c r="J1" s="12"/>
      <c r="K1" s="9" t="s">
        <v>1</v>
      </c>
      <c r="L1" s="10" t="s">
        <v>13</v>
      </c>
      <c r="M1" s="10" t="s">
        <v>14</v>
      </c>
      <c r="N1" s="10" t="s">
        <v>15</v>
      </c>
      <c r="O1" s="10" t="s">
        <v>16</v>
      </c>
      <c r="P1" s="10" t="s">
        <v>17</v>
      </c>
      <c r="Q1" s="10" t="s">
        <v>18</v>
      </c>
      <c r="R1" s="10" t="s">
        <v>19</v>
      </c>
      <c r="S1" s="10" t="s">
        <v>20</v>
      </c>
    </row>
    <row r="2" spans="1:19" x14ac:dyDescent="0.25">
      <c r="A2" s="4">
        <f>'All Tandem Standards'!A33</f>
        <v>40</v>
      </c>
      <c r="B2" s="3" t="str">
        <f>'All Tandem Standards'!Z33</f>
        <v>14:47</v>
      </c>
      <c r="C2" s="3" t="str">
        <f>'All Tandem Standards'!AA33</f>
        <v>22:14</v>
      </c>
      <c r="D2" s="3" t="str">
        <f>'All Tandem Standards'!AB33</f>
        <v>37:19</v>
      </c>
      <c r="E2" s="3" t="str">
        <f>'All Tandem Standards'!AC33</f>
        <v>44:56</v>
      </c>
      <c r="F2" s="3" t="str">
        <f>'All Tandem Standards'!AD33</f>
        <v>1:15:57</v>
      </c>
      <c r="G2" s="3" t="str">
        <f>'All Tandem Standards'!AE33</f>
        <v>2:37:27</v>
      </c>
      <c r="H2" s="46" t="str">
        <f>'All Tandem Standards'!AF33</f>
        <v>91.39</v>
      </c>
      <c r="I2" s="46" t="str">
        <f>'All Tandem Standards'!AG33</f>
        <v>157.84</v>
      </c>
      <c r="K2" s="4">
        <f>'All Tandem Standards'!A61</f>
        <v>68</v>
      </c>
      <c r="L2" s="3" t="str">
        <f>'All Tandem Standards'!Z61</f>
        <v>16:37</v>
      </c>
      <c r="M2" s="3" t="str">
        <f>'All Tandem Standards'!AA61</f>
        <v>25:02</v>
      </c>
      <c r="N2" s="3" t="str">
        <f>'All Tandem Standards'!AB61</f>
        <v>42:06</v>
      </c>
      <c r="O2" s="3" t="str">
        <f>'All Tandem Standards'!AC61</f>
        <v>50:45</v>
      </c>
      <c r="P2" s="3" t="str">
        <f>'All Tandem Standards'!AD61</f>
        <v>1:26:07</v>
      </c>
      <c r="Q2" s="3" t="str">
        <f>'All Tandem Standards'!AE61</f>
        <v>3:00:33</v>
      </c>
      <c r="R2" s="47" t="str">
        <f>'All Tandem Standards'!AF61</f>
        <v>70.87</v>
      </c>
      <c r="S2" s="47" t="str">
        <f>'All Tandem Standards'!AG61</f>
        <v>117.33</v>
      </c>
    </row>
    <row r="3" spans="1:19" x14ac:dyDescent="0.25">
      <c r="A3" s="4">
        <f>'All Tandem Standards'!A34</f>
        <v>41</v>
      </c>
      <c r="B3" s="3" t="str">
        <f>'All Tandem Standards'!Z34</f>
        <v>14:47</v>
      </c>
      <c r="C3" s="3" t="str">
        <f>'All Tandem Standards'!AA34</f>
        <v>22:15</v>
      </c>
      <c r="D3" s="3" t="str">
        <f>'All Tandem Standards'!AB34</f>
        <v>37:21</v>
      </c>
      <c r="E3" s="3" t="str">
        <f>'All Tandem Standards'!AC34</f>
        <v>44:58</v>
      </c>
      <c r="F3" s="3" t="str">
        <f>'All Tandem Standards'!AD34</f>
        <v>1:16:00</v>
      </c>
      <c r="G3" s="3" t="str">
        <f>'All Tandem Standards'!AE34</f>
        <v>2:37:36</v>
      </c>
      <c r="H3" s="46" t="str">
        <f>'All Tandem Standards'!AF34</f>
        <v>91.20</v>
      </c>
      <c r="I3" s="46" t="str">
        <f>'All Tandem Standards'!AG34</f>
        <v>157.41</v>
      </c>
      <c r="K3" s="4">
        <f>'All Tandem Standards'!A62</f>
        <v>69</v>
      </c>
      <c r="L3" s="45" t="str">
        <f>'All Tandem Standards'!Z62</f>
        <v>16:44</v>
      </c>
      <c r="M3" s="45" t="str">
        <f>'All Tandem Standards'!AA62</f>
        <v>25:13</v>
      </c>
      <c r="N3" s="45" t="str">
        <f>'All Tandem Standards'!AB62</f>
        <v>42:25</v>
      </c>
      <c r="O3" s="45" t="str">
        <f>'All Tandem Standards'!AC62</f>
        <v>51:08</v>
      </c>
      <c r="P3" s="45" t="str">
        <f>'All Tandem Standards'!AD62</f>
        <v>1:26:48</v>
      </c>
      <c r="Q3" s="45" t="str">
        <f>'All Tandem Standards'!AE62</f>
        <v>3:02:08</v>
      </c>
      <c r="R3" s="48" t="str">
        <f>'All Tandem Standards'!AF62</f>
        <v>69.73</v>
      </c>
      <c r="S3" s="48" t="str">
        <f>'All Tandem Standards'!AG62</f>
        <v>115.13</v>
      </c>
    </row>
    <row r="4" spans="1:19" x14ac:dyDescent="0.25">
      <c r="A4" s="4">
        <f>'All Tandem Standards'!A35</f>
        <v>42</v>
      </c>
      <c r="B4" s="3" t="str">
        <f>'All Tandem Standards'!Z35</f>
        <v>14:48</v>
      </c>
      <c r="C4" s="3" t="str">
        <f>'All Tandem Standards'!AA35</f>
        <v>22:16</v>
      </c>
      <c r="D4" s="3" t="str">
        <f>'All Tandem Standards'!AB35</f>
        <v>37:23</v>
      </c>
      <c r="E4" s="3" t="str">
        <f>'All Tandem Standards'!AC35</f>
        <v>45:00</v>
      </c>
      <c r="F4" s="3" t="str">
        <f>'All Tandem Standards'!AD35</f>
        <v>1:16:04</v>
      </c>
      <c r="G4" s="3" t="str">
        <f>'All Tandem Standards'!AE35</f>
        <v>2:37:45</v>
      </c>
      <c r="H4" s="46" t="str">
        <f>'All Tandem Standards'!AF35</f>
        <v>91.00</v>
      </c>
      <c r="I4" s="46" t="str">
        <f>'All Tandem Standards'!AG35</f>
        <v>156.94</v>
      </c>
      <c r="K4" s="4">
        <f>'All Tandem Standards'!A63</f>
        <v>70</v>
      </c>
      <c r="L4" s="3" t="str">
        <f>'All Tandem Standards'!Z63</f>
        <v>16:52</v>
      </c>
      <c r="M4" s="3" t="str">
        <f>'All Tandem Standards'!AA63</f>
        <v>25:24</v>
      </c>
      <c r="N4" s="3" t="str">
        <f>'All Tandem Standards'!AB63</f>
        <v>42:44</v>
      </c>
      <c r="O4" s="3" t="str">
        <f>'All Tandem Standards'!AC63</f>
        <v>51:31</v>
      </c>
      <c r="P4" s="3" t="str">
        <f>'All Tandem Standards'!AD63</f>
        <v>1:27:28</v>
      </c>
      <c r="Q4" s="3" t="str">
        <f>'All Tandem Standards'!AE63</f>
        <v>3:03:43</v>
      </c>
      <c r="R4" s="46" t="str">
        <f>'All Tandem Standards'!AF63</f>
        <v>68.60</v>
      </c>
      <c r="S4" s="46" t="str">
        <f>'All Tandem Standards'!AG63</f>
        <v>112.93</v>
      </c>
    </row>
    <row r="5" spans="1:19" x14ac:dyDescent="0.25">
      <c r="A5" s="4">
        <f>'All Tandem Standards'!A36</f>
        <v>43</v>
      </c>
      <c r="B5" s="3" t="str">
        <f>'All Tandem Standards'!Z36</f>
        <v>14:48</v>
      </c>
      <c r="C5" s="3" t="str">
        <f>'All Tandem Standards'!AA36</f>
        <v>22:17</v>
      </c>
      <c r="D5" s="3" t="str">
        <f>'All Tandem Standards'!AB36</f>
        <v>37:24</v>
      </c>
      <c r="E5" s="3" t="str">
        <f>'All Tandem Standards'!AC36</f>
        <v>45:02</v>
      </c>
      <c r="F5" s="3" t="str">
        <f>'All Tandem Standards'!AD36</f>
        <v>1:16:09</v>
      </c>
      <c r="G5" s="3" t="str">
        <f>'All Tandem Standards'!AE36</f>
        <v>2:37:55</v>
      </c>
      <c r="H5" s="46" t="str">
        <f>'All Tandem Standards'!AF36</f>
        <v>90.79</v>
      </c>
      <c r="I5" s="46" t="str">
        <f>'All Tandem Standards'!AG36</f>
        <v>156.41</v>
      </c>
      <c r="K5" s="4">
        <f>'All Tandem Standards'!A64</f>
        <v>71</v>
      </c>
      <c r="L5" s="3" t="str">
        <f>'All Tandem Standards'!Z64</f>
        <v>16:59</v>
      </c>
      <c r="M5" s="3" t="str">
        <f>'All Tandem Standards'!AA64</f>
        <v>25:36</v>
      </c>
      <c r="N5" s="3" t="str">
        <f>'All Tandem Standards'!AB64</f>
        <v>43:04</v>
      </c>
      <c r="O5" s="3" t="str">
        <f>'All Tandem Standards'!AC64</f>
        <v>51:55</v>
      </c>
      <c r="P5" s="3" t="str">
        <f>'All Tandem Standards'!AD64</f>
        <v>1:28:11</v>
      </c>
      <c r="Q5" s="3" t="str">
        <f>'All Tandem Standards'!AE64</f>
        <v>3:05:23</v>
      </c>
      <c r="R5" s="47" t="str">
        <f>'All Tandem Standards'!AF64</f>
        <v>67.45</v>
      </c>
      <c r="S5" s="47" t="str">
        <f>'All Tandem Standards'!AG64</f>
        <v>110.68</v>
      </c>
    </row>
    <row r="6" spans="1:19" x14ac:dyDescent="0.25">
      <c r="A6" s="4">
        <f>'All Tandem Standards'!A37</f>
        <v>44</v>
      </c>
      <c r="B6" s="3" t="str">
        <f>'All Tandem Standards'!Z37</f>
        <v>14:49</v>
      </c>
      <c r="C6" s="3" t="str">
        <f>'All Tandem Standards'!AA37</f>
        <v>22:18</v>
      </c>
      <c r="D6" s="3" t="str">
        <f>'All Tandem Standards'!AB37</f>
        <v>37:26</v>
      </c>
      <c r="E6" s="3" t="str">
        <f>'All Tandem Standards'!AC37</f>
        <v>45:05</v>
      </c>
      <c r="F6" s="3" t="str">
        <f>'All Tandem Standards'!AD37</f>
        <v>1:16:13</v>
      </c>
      <c r="G6" s="3" t="str">
        <f>'All Tandem Standards'!AE37</f>
        <v>2:38:06</v>
      </c>
      <c r="H6" s="46" t="str">
        <f>'All Tandem Standards'!AF37</f>
        <v>90.55</v>
      </c>
      <c r="I6" s="46" t="str">
        <f>'All Tandem Standards'!AG37</f>
        <v>155.84</v>
      </c>
      <c r="K6" s="4">
        <f>'All Tandem Standards'!A65</f>
        <v>72</v>
      </c>
      <c r="L6" s="3" t="str">
        <f>'All Tandem Standards'!Z65</f>
        <v>17:07</v>
      </c>
      <c r="M6" s="3" t="str">
        <f>'All Tandem Standards'!AA65</f>
        <v>25:48</v>
      </c>
      <c r="N6" s="3" t="str">
        <f>'All Tandem Standards'!AB65</f>
        <v>43:24</v>
      </c>
      <c r="O6" s="3" t="str">
        <f>'All Tandem Standards'!AC65</f>
        <v>52:20</v>
      </c>
      <c r="P6" s="3" t="str">
        <f>'All Tandem Standards'!AD65</f>
        <v>1:28:56</v>
      </c>
      <c r="Q6" s="3" t="str">
        <f>'All Tandem Standards'!AE65</f>
        <v>3:07:07</v>
      </c>
      <c r="R6" s="47" t="str">
        <f>'All Tandem Standards'!AF65</f>
        <v>66.27</v>
      </c>
      <c r="S6" s="47" t="str">
        <f>'All Tandem Standards'!AG65</f>
        <v>108.40</v>
      </c>
    </row>
    <row r="7" spans="1:19" x14ac:dyDescent="0.25">
      <c r="A7" s="4">
        <f>'All Tandem Standards'!A38</f>
        <v>45</v>
      </c>
      <c r="B7" s="3" t="str">
        <f>'All Tandem Standards'!Z38</f>
        <v>14:50</v>
      </c>
      <c r="C7" s="3" t="str">
        <f>'All Tandem Standards'!AA38</f>
        <v>22:20</v>
      </c>
      <c r="D7" s="3" t="str">
        <f>'All Tandem Standards'!AB38</f>
        <v>37:28</v>
      </c>
      <c r="E7" s="3" t="str">
        <f>'All Tandem Standards'!AC38</f>
        <v>45:08</v>
      </c>
      <c r="F7" s="3" t="str">
        <f>'All Tandem Standards'!AD38</f>
        <v>1:16:18</v>
      </c>
      <c r="G7" s="3" t="str">
        <f>'All Tandem Standards'!AE38</f>
        <v>2:38:17</v>
      </c>
      <c r="H7" s="46" t="str">
        <f>'All Tandem Standards'!AF38</f>
        <v>90.29</v>
      </c>
      <c r="I7" s="46" t="str">
        <f>'All Tandem Standards'!AG38</f>
        <v>155.21</v>
      </c>
      <c r="K7" s="4">
        <f>'All Tandem Standards'!A66</f>
        <v>73</v>
      </c>
      <c r="L7" s="3" t="str">
        <f>'All Tandem Standards'!Z66</f>
        <v>17:15</v>
      </c>
      <c r="M7" s="3" t="str">
        <f>'All Tandem Standards'!AA66</f>
        <v>26:00</v>
      </c>
      <c r="N7" s="3" t="str">
        <f>'All Tandem Standards'!AB66</f>
        <v>43:46</v>
      </c>
      <c r="O7" s="3" t="str">
        <f>'All Tandem Standards'!AC66</f>
        <v>52:46</v>
      </c>
      <c r="P7" s="3" t="str">
        <f>'All Tandem Standards'!AD66</f>
        <v>1:29:42</v>
      </c>
      <c r="Q7" s="3" t="str">
        <f>'All Tandem Standards'!AE66</f>
        <v>3:08:56</v>
      </c>
      <c r="R7" s="47" t="str">
        <f>'All Tandem Standards'!AF66</f>
        <v>65.08</v>
      </c>
      <c r="S7" s="47" t="str">
        <f>'All Tandem Standards'!AG66</f>
        <v>106.07</v>
      </c>
    </row>
    <row r="8" spans="1:19" x14ac:dyDescent="0.25">
      <c r="A8" s="4">
        <f>'All Tandem Standards'!A39</f>
        <v>46</v>
      </c>
      <c r="B8" s="3" t="str">
        <f>'All Tandem Standards'!Z39</f>
        <v>14:51</v>
      </c>
      <c r="C8" s="3" t="str">
        <f>'All Tandem Standards'!AA39</f>
        <v>22:21</v>
      </c>
      <c r="D8" s="3" t="str">
        <f>'All Tandem Standards'!AB39</f>
        <v>37:31</v>
      </c>
      <c r="E8" s="3" t="str">
        <f>'All Tandem Standards'!AC39</f>
        <v>45:11</v>
      </c>
      <c r="F8" s="3" t="str">
        <f>'All Tandem Standards'!AD39</f>
        <v>1:16:23</v>
      </c>
      <c r="G8" s="3" t="str">
        <f>'All Tandem Standards'!AE39</f>
        <v>2:38:31</v>
      </c>
      <c r="H8" s="46" t="str">
        <f>'All Tandem Standards'!AF39</f>
        <v>90.00</v>
      </c>
      <c r="I8" s="46" t="str">
        <f>'All Tandem Standards'!AG39</f>
        <v>154.52</v>
      </c>
      <c r="K8" s="4">
        <f>'All Tandem Standards'!A67</f>
        <v>74</v>
      </c>
      <c r="L8" s="3" t="str">
        <f>'All Tandem Standards'!Z67</f>
        <v>17:24</v>
      </c>
      <c r="M8" s="3" t="str">
        <f>'All Tandem Standards'!AA67</f>
        <v>26:13</v>
      </c>
      <c r="N8" s="3" t="str">
        <f>'All Tandem Standards'!AB67</f>
        <v>44:08</v>
      </c>
      <c r="O8" s="3" t="str">
        <f>'All Tandem Standards'!AC67</f>
        <v>53:13</v>
      </c>
      <c r="P8" s="3" t="str">
        <f>'All Tandem Standards'!AD67</f>
        <v>1:30:30</v>
      </c>
      <c r="Q8" s="3" t="str">
        <f>'All Tandem Standards'!AE67</f>
        <v>3:10:50</v>
      </c>
      <c r="R8" s="47" t="str">
        <f>'All Tandem Standards'!AF67</f>
        <v>63.86</v>
      </c>
      <c r="S8" s="47" t="str">
        <f>'All Tandem Standards'!AG67</f>
        <v>103.70</v>
      </c>
    </row>
    <row r="9" spans="1:19" x14ac:dyDescent="0.25">
      <c r="A9" s="4">
        <f>'All Tandem Standards'!A40</f>
        <v>47</v>
      </c>
      <c r="B9" s="3" t="str">
        <f>'All Tandem Standards'!Z40</f>
        <v>14:52</v>
      </c>
      <c r="C9" s="3" t="str">
        <f>'All Tandem Standards'!AA40</f>
        <v>22:23</v>
      </c>
      <c r="D9" s="3" t="str">
        <f>'All Tandem Standards'!AB40</f>
        <v>37:34</v>
      </c>
      <c r="E9" s="3" t="str">
        <f>'All Tandem Standards'!AC40</f>
        <v>45:14</v>
      </c>
      <c r="F9" s="3" t="str">
        <f>'All Tandem Standards'!AD40</f>
        <v>1:16:29</v>
      </c>
      <c r="G9" s="3" t="str">
        <f>'All Tandem Standards'!AE40</f>
        <v>2:38:46</v>
      </c>
      <c r="H9" s="46" t="str">
        <f>'All Tandem Standards'!AF40</f>
        <v>89.68</v>
      </c>
      <c r="I9" s="46" t="str">
        <f>'All Tandem Standards'!AG40</f>
        <v>153.77</v>
      </c>
      <c r="K9" s="4">
        <f>'All Tandem Standards'!A68</f>
        <v>75</v>
      </c>
      <c r="L9" s="3" t="str">
        <f>'All Tandem Standards'!Z68</f>
        <v>17:33</v>
      </c>
      <c r="M9" s="3" t="str">
        <f>'All Tandem Standards'!AA68</f>
        <v>26:27</v>
      </c>
      <c r="N9" s="3" t="str">
        <f>'All Tandem Standards'!AB68</f>
        <v>44:31</v>
      </c>
      <c r="O9" s="3" t="str">
        <f>'All Tandem Standards'!AC68</f>
        <v>53:41</v>
      </c>
      <c r="P9" s="3" t="str">
        <f>'All Tandem Standards'!AD68</f>
        <v>1:31:20</v>
      </c>
      <c r="Q9" s="3" t="str">
        <f>'All Tandem Standards'!AE68</f>
        <v>3:12:49</v>
      </c>
      <c r="R9" s="47" t="str">
        <f>'All Tandem Standards'!AF68</f>
        <v>62.61</v>
      </c>
      <c r="S9" s="47" t="str">
        <f>'All Tandem Standards'!AG68</f>
        <v>101.29</v>
      </c>
    </row>
    <row r="10" spans="1:19" x14ac:dyDescent="0.25">
      <c r="A10" s="4">
        <f>'All Tandem Standards'!A41</f>
        <v>48</v>
      </c>
      <c r="B10" s="3" t="str">
        <f>'All Tandem Standards'!Z41</f>
        <v>14:53</v>
      </c>
      <c r="C10" s="3" t="str">
        <f>'All Tandem Standards'!AA41</f>
        <v>22:24</v>
      </c>
      <c r="D10" s="3" t="str">
        <f>'All Tandem Standards'!AB41</f>
        <v>37:37</v>
      </c>
      <c r="E10" s="3" t="str">
        <f>'All Tandem Standards'!AC41</f>
        <v>45:18</v>
      </c>
      <c r="F10" s="3" t="str">
        <f>'All Tandem Standards'!AD41</f>
        <v>1:16:36</v>
      </c>
      <c r="G10" s="3" t="str">
        <f>'All Tandem Standards'!AE41</f>
        <v>2:39:02</v>
      </c>
      <c r="H10" s="46" t="str">
        <f>'All Tandem Standards'!AF41</f>
        <v>89.34</v>
      </c>
      <c r="I10" s="46" t="str">
        <f>'All Tandem Standards'!AG41</f>
        <v>152.96</v>
      </c>
      <c r="K10" s="4">
        <f>'All Tandem Standards'!A69</f>
        <v>76</v>
      </c>
      <c r="L10" s="3" t="str">
        <f>'All Tandem Standards'!Z69</f>
        <v>17:42</v>
      </c>
      <c r="M10" s="3" t="str">
        <f>'All Tandem Standards'!AA69</f>
        <v>26:41</v>
      </c>
      <c r="N10" s="3" t="str">
        <f>'All Tandem Standards'!AB69</f>
        <v>44:55</v>
      </c>
      <c r="O10" s="3" t="str">
        <f>'All Tandem Standards'!AC69</f>
        <v>54:11</v>
      </c>
      <c r="P10" s="3" t="str">
        <f>'All Tandem Standards'!AD69</f>
        <v>1:32:13</v>
      </c>
      <c r="Q10" s="3" t="str">
        <f>'All Tandem Standards'!AE69</f>
        <v>3:14:54</v>
      </c>
      <c r="R10" s="47" t="str">
        <f>'All Tandem Standards'!AF69</f>
        <v>61.34</v>
      </c>
      <c r="S10" s="47" t="str">
        <f>'All Tandem Standards'!AG69</f>
        <v>98.84</v>
      </c>
    </row>
    <row r="11" spans="1:19" x14ac:dyDescent="0.25">
      <c r="A11" s="4">
        <f>'All Tandem Standards'!A42</f>
        <v>49</v>
      </c>
      <c r="B11" s="45" t="str">
        <f>'All Tandem Standards'!Z42</f>
        <v>14:54</v>
      </c>
      <c r="C11" s="45" t="str">
        <f>'All Tandem Standards'!AA42</f>
        <v>22:26</v>
      </c>
      <c r="D11" s="45" t="str">
        <f>'All Tandem Standards'!AB42</f>
        <v>37:40</v>
      </c>
      <c r="E11" s="45" t="str">
        <f>'All Tandem Standards'!AC42</f>
        <v>45:23</v>
      </c>
      <c r="F11" s="45" t="str">
        <f>'All Tandem Standards'!AD42</f>
        <v>1:16:44</v>
      </c>
      <c r="G11" s="45" t="str">
        <f>'All Tandem Standards'!AE42</f>
        <v>2:39:22</v>
      </c>
      <c r="H11" s="48" t="str">
        <f>'All Tandem Standards'!AF42</f>
        <v>88.95</v>
      </c>
      <c r="I11" s="48" t="str">
        <f>'All Tandem Standards'!AG42</f>
        <v>152.07</v>
      </c>
      <c r="K11" s="4">
        <f>'All Tandem Standards'!A70</f>
        <v>77</v>
      </c>
      <c r="L11" s="3" t="str">
        <f>'All Tandem Standards'!Z70</f>
        <v>17:51</v>
      </c>
      <c r="M11" s="3" t="str">
        <f>'All Tandem Standards'!AA70</f>
        <v>26:56</v>
      </c>
      <c r="N11" s="3" t="str">
        <f>'All Tandem Standards'!AB70</f>
        <v>45:21</v>
      </c>
      <c r="O11" s="3" t="str">
        <f>'All Tandem Standards'!AC70</f>
        <v>54:42</v>
      </c>
      <c r="P11" s="3" t="str">
        <f>'All Tandem Standards'!AD70</f>
        <v>1:33:08</v>
      </c>
      <c r="Q11" s="3" t="str">
        <f>'All Tandem Standards'!AE70</f>
        <v>3:17:06</v>
      </c>
      <c r="R11" s="47" t="str">
        <f>'All Tandem Standards'!AF70</f>
        <v>60.05</v>
      </c>
      <c r="S11" s="47" t="str">
        <f>'All Tandem Standards'!AG70</f>
        <v>96.35</v>
      </c>
    </row>
    <row r="12" spans="1:19" x14ac:dyDescent="0.25">
      <c r="A12" s="4">
        <f>'All Tandem Standards'!A43</f>
        <v>50</v>
      </c>
      <c r="B12" s="3" t="str">
        <f>'All Tandem Standards'!Z43</f>
        <v>14:56</v>
      </c>
      <c r="C12" s="3" t="str">
        <f>'All Tandem Standards'!AA43</f>
        <v>22:29</v>
      </c>
      <c r="D12" s="3" t="str">
        <f>'All Tandem Standards'!AB43</f>
        <v>37:45</v>
      </c>
      <c r="E12" s="3" t="str">
        <f>'All Tandem Standards'!AC43</f>
        <v>45:27</v>
      </c>
      <c r="F12" s="3" t="str">
        <f>'All Tandem Standards'!AD43</f>
        <v>1:16:53</v>
      </c>
      <c r="G12" s="3" t="str">
        <f>'All Tandem Standards'!AE43</f>
        <v>2:39:43</v>
      </c>
      <c r="H12" s="46" t="str">
        <f>'All Tandem Standards'!AF43</f>
        <v>88.52</v>
      </c>
      <c r="I12" s="46" t="str">
        <f>'All Tandem Standards'!AG43</f>
        <v>151.11</v>
      </c>
      <c r="K12" s="4">
        <f>'All Tandem Standards'!A71</f>
        <v>78</v>
      </c>
      <c r="L12" s="3" t="str">
        <f>'All Tandem Standards'!Z71</f>
        <v>18:01</v>
      </c>
      <c r="M12" s="3" t="str">
        <f>'All Tandem Standards'!AA71</f>
        <v>27:11</v>
      </c>
      <c r="N12" s="3" t="str">
        <f>'All Tandem Standards'!AB71</f>
        <v>45:47</v>
      </c>
      <c r="O12" s="3" t="str">
        <f>'All Tandem Standards'!AC71</f>
        <v>55:14</v>
      </c>
      <c r="P12" s="3" t="str">
        <f>'All Tandem Standards'!AD71</f>
        <v>1:34:05</v>
      </c>
      <c r="Q12" s="3" t="str">
        <f>'All Tandem Standards'!AE71</f>
        <v>3:19:24</v>
      </c>
      <c r="R12" s="47" t="str">
        <f>'All Tandem Standards'!AF71</f>
        <v>58.73</v>
      </c>
      <c r="S12" s="47" t="str">
        <f>'All Tandem Standards'!AG71</f>
        <v>93.82</v>
      </c>
    </row>
    <row r="13" spans="1:19" x14ac:dyDescent="0.25">
      <c r="A13" s="4">
        <f>'All Tandem Standards'!A44</f>
        <v>51</v>
      </c>
      <c r="B13" s="3" t="str">
        <f>'All Tandem Standards'!Z44</f>
        <v>14:58</v>
      </c>
      <c r="C13" s="3" t="str">
        <f>'All Tandem Standards'!AA44</f>
        <v>22:32</v>
      </c>
      <c r="D13" s="3" t="str">
        <f>'All Tandem Standards'!AB44</f>
        <v>37:49</v>
      </c>
      <c r="E13" s="3" t="str">
        <f>'All Tandem Standards'!AC44</f>
        <v>45:33</v>
      </c>
      <c r="F13" s="3" t="str">
        <f>'All Tandem Standards'!AD44</f>
        <v>1:17:03</v>
      </c>
      <c r="G13" s="3" t="str">
        <f>'All Tandem Standards'!AE44</f>
        <v>2:40:07</v>
      </c>
      <c r="H13" s="46" t="str">
        <f>'All Tandem Standards'!AF44</f>
        <v>88.06</v>
      </c>
      <c r="I13" s="46" t="str">
        <f>'All Tandem Standards'!AG44</f>
        <v>150.07</v>
      </c>
      <c r="K13" s="4">
        <f>'All Tandem Standards'!A72</f>
        <v>79</v>
      </c>
      <c r="L13" s="45" t="str">
        <f>'All Tandem Standards'!Z72</f>
        <v>18:12</v>
      </c>
      <c r="M13" s="45" t="str">
        <f>'All Tandem Standards'!AA72</f>
        <v>27:27</v>
      </c>
      <c r="N13" s="45" t="str">
        <f>'All Tandem Standards'!AB72</f>
        <v>46:14</v>
      </c>
      <c r="O13" s="45" t="str">
        <f>'All Tandem Standards'!AC72</f>
        <v>55:48</v>
      </c>
      <c r="P13" s="45" t="str">
        <f>'All Tandem Standards'!AD72</f>
        <v>1:35:05</v>
      </c>
      <c r="Q13" s="45" t="str">
        <f>'All Tandem Standards'!AE72</f>
        <v>3:21:49</v>
      </c>
      <c r="R13" s="48" t="str">
        <f>'All Tandem Standards'!AF72</f>
        <v>57.39</v>
      </c>
      <c r="S13" s="48" t="str">
        <f>'All Tandem Standards'!AG72</f>
        <v>91.24</v>
      </c>
    </row>
    <row r="14" spans="1:19" x14ac:dyDescent="0.25">
      <c r="A14" s="4">
        <f>'All Tandem Standards'!A45</f>
        <v>52</v>
      </c>
      <c r="B14" s="3" t="str">
        <f>'All Tandem Standards'!Z45</f>
        <v>15:00</v>
      </c>
      <c r="C14" s="3" t="str">
        <f>'All Tandem Standards'!AA45</f>
        <v>22:35</v>
      </c>
      <c r="D14" s="3" t="str">
        <f>'All Tandem Standards'!AB45</f>
        <v>37:55</v>
      </c>
      <c r="E14" s="3" t="str">
        <f>'All Tandem Standards'!AC45</f>
        <v>45:40</v>
      </c>
      <c r="F14" s="3" t="str">
        <f>'All Tandem Standards'!AD45</f>
        <v>1:17:15</v>
      </c>
      <c r="G14" s="3" t="str">
        <f>'All Tandem Standards'!AE45</f>
        <v>2:40:35</v>
      </c>
      <c r="H14" s="46" t="str">
        <f>'All Tandem Standards'!AF45</f>
        <v>87.54</v>
      </c>
      <c r="I14" s="46" t="str">
        <f>'All Tandem Standards'!AG45</f>
        <v>148.94</v>
      </c>
      <c r="K14" s="4">
        <f>'All Tandem Standards'!A73</f>
        <v>80</v>
      </c>
      <c r="L14" s="3" t="str">
        <f>'All Tandem Standards'!Z73</f>
        <v>18:23</v>
      </c>
      <c r="M14" s="3" t="str">
        <f>'All Tandem Standards'!AA73</f>
        <v>27:43</v>
      </c>
      <c r="N14" s="3" t="str">
        <f>'All Tandem Standards'!AB73</f>
        <v>46:43</v>
      </c>
      <c r="O14" s="3" t="str">
        <f>'All Tandem Standards'!AC73</f>
        <v>56:23</v>
      </c>
      <c r="P14" s="3" t="str">
        <f>'All Tandem Standards'!AD73</f>
        <v>1:36:08</v>
      </c>
      <c r="Q14" s="3" t="str">
        <f>'All Tandem Standards'!AE73</f>
        <v>3:24:22</v>
      </c>
      <c r="R14" s="46" t="str">
        <f>'All Tandem Standards'!AF73</f>
        <v>56.03</v>
      </c>
      <c r="S14" s="46" t="str">
        <f>'All Tandem Standards'!AG73</f>
        <v>88.62</v>
      </c>
    </row>
    <row r="15" spans="1:19" x14ac:dyDescent="0.25">
      <c r="A15" s="4">
        <f>'All Tandem Standards'!A46</f>
        <v>53</v>
      </c>
      <c r="B15" s="3" t="str">
        <f>'All Tandem Standards'!Z46</f>
        <v>15:02</v>
      </c>
      <c r="C15" s="3" t="str">
        <f>'All Tandem Standards'!AA46</f>
        <v>22:38</v>
      </c>
      <c r="D15" s="3" t="str">
        <f>'All Tandem Standards'!AB46</f>
        <v>38:01</v>
      </c>
      <c r="E15" s="3" t="str">
        <f>'All Tandem Standards'!AC46</f>
        <v>45:48</v>
      </c>
      <c r="F15" s="3" t="str">
        <f>'All Tandem Standards'!AD46</f>
        <v>1:17:28</v>
      </c>
      <c r="G15" s="3" t="str">
        <f>'All Tandem Standards'!AE46</f>
        <v>2:41:06</v>
      </c>
      <c r="H15" s="46" t="str">
        <f>'All Tandem Standards'!AF46</f>
        <v>86.98</v>
      </c>
      <c r="I15" s="46" t="str">
        <f>'All Tandem Standards'!AG46</f>
        <v>147.73</v>
      </c>
      <c r="K15" s="4">
        <f>'All Tandem Standards'!A74</f>
        <v>81</v>
      </c>
      <c r="L15" s="3" t="str">
        <f>'All Tandem Standards'!Z74</f>
        <v>18:34</v>
      </c>
      <c r="M15" s="3" t="str">
        <f>'All Tandem Standards'!AA74</f>
        <v>28:00</v>
      </c>
      <c r="N15" s="3" t="str">
        <f>'All Tandem Standards'!AB74</f>
        <v>47:13</v>
      </c>
      <c r="O15" s="3" t="str">
        <f>'All Tandem Standards'!AC74</f>
        <v>56:59</v>
      </c>
      <c r="P15" s="3" t="str">
        <f>'All Tandem Standards'!AD74</f>
        <v>1:37:14</v>
      </c>
      <c r="Q15" s="3" t="str">
        <f>'All Tandem Standards'!AE74</f>
        <v>3:27:02</v>
      </c>
      <c r="R15" s="47" t="str">
        <f>'All Tandem Standards'!AF74</f>
        <v>54.64</v>
      </c>
      <c r="S15" s="47" t="str">
        <f>'All Tandem Standards'!AG74</f>
        <v>85.97</v>
      </c>
    </row>
    <row r="16" spans="1:19" x14ac:dyDescent="0.25">
      <c r="A16" s="4">
        <f>'All Tandem Standards'!A47</f>
        <v>54</v>
      </c>
      <c r="B16" s="3" t="str">
        <f>'All Tandem Standards'!Z47</f>
        <v>15:05</v>
      </c>
      <c r="C16" s="3" t="str">
        <f>'All Tandem Standards'!AA47</f>
        <v>22:43</v>
      </c>
      <c r="D16" s="3" t="str">
        <f>'All Tandem Standards'!AB47</f>
        <v>38:08</v>
      </c>
      <c r="E16" s="3" t="str">
        <f>'All Tandem Standards'!AC47</f>
        <v>45:56</v>
      </c>
      <c r="F16" s="3" t="str">
        <f>'All Tandem Standards'!AD47</f>
        <v>1:17:44</v>
      </c>
      <c r="G16" s="3" t="str">
        <f>'All Tandem Standards'!AE47</f>
        <v>2:41:41</v>
      </c>
      <c r="H16" s="46" t="str">
        <f>'All Tandem Standards'!AF47</f>
        <v>86.36</v>
      </c>
      <c r="I16" s="46" t="str">
        <f>'All Tandem Standards'!AG47</f>
        <v>146.43</v>
      </c>
      <c r="K16" s="4">
        <f>'All Tandem Standards'!A75</f>
        <v>82</v>
      </c>
      <c r="L16" s="3" t="str">
        <f>'All Tandem Standards'!Z75</f>
        <v>18:46</v>
      </c>
      <c r="M16" s="3" t="str">
        <f>'All Tandem Standards'!AA75</f>
        <v>28:19</v>
      </c>
      <c r="N16" s="3" t="str">
        <f>'All Tandem Standards'!AB75</f>
        <v>47:45</v>
      </c>
      <c r="O16" s="3" t="str">
        <f>'All Tandem Standards'!AC75</f>
        <v>57:37</v>
      </c>
      <c r="P16" s="3" t="str">
        <f>'All Tandem Standards'!AD75</f>
        <v>1:38:23</v>
      </c>
      <c r="Q16" s="3" t="str">
        <f>'All Tandem Standards'!AE75</f>
        <v>3:29:53</v>
      </c>
      <c r="R16" s="47" t="str">
        <f>'All Tandem Standards'!AF75</f>
        <v>53.23</v>
      </c>
      <c r="S16" s="47" t="str">
        <f>'All Tandem Standards'!AG75</f>
        <v>83.26</v>
      </c>
    </row>
    <row r="17" spans="1:20" x14ac:dyDescent="0.25">
      <c r="A17" s="4">
        <f>'All Tandem Standards'!A48</f>
        <v>55</v>
      </c>
      <c r="B17" s="3" t="str">
        <f>'All Tandem Standards'!Z48</f>
        <v>15:08</v>
      </c>
      <c r="C17" s="3" t="str">
        <f>'All Tandem Standards'!AA48</f>
        <v>22:47</v>
      </c>
      <c r="D17" s="3" t="str">
        <f>'All Tandem Standards'!AB48</f>
        <v>38:16</v>
      </c>
      <c r="E17" s="3" t="str">
        <f>'All Tandem Standards'!AC48</f>
        <v>46:05</v>
      </c>
      <c r="F17" s="3" t="str">
        <f>'All Tandem Standards'!AD48</f>
        <v>1:18:00</v>
      </c>
      <c r="G17" s="3" t="str">
        <f>'All Tandem Standards'!AE48</f>
        <v>2:42:20</v>
      </c>
      <c r="H17" s="46" t="str">
        <f>'All Tandem Standards'!AF48</f>
        <v>85.69</v>
      </c>
      <c r="I17" s="46" t="str">
        <f>'All Tandem Standards'!AG48</f>
        <v>145.04</v>
      </c>
      <c r="K17" s="4">
        <f>'All Tandem Standards'!A76</f>
        <v>83</v>
      </c>
      <c r="L17" s="3" t="str">
        <f>'All Tandem Standards'!Z76</f>
        <v>18:59</v>
      </c>
      <c r="M17" s="3" t="str">
        <f>'All Tandem Standards'!AA76</f>
        <v>28:38</v>
      </c>
      <c r="N17" s="3" t="str">
        <f>'All Tandem Standards'!AB76</f>
        <v>48:17</v>
      </c>
      <c r="O17" s="3" t="str">
        <f>'All Tandem Standards'!AC76</f>
        <v>58:18</v>
      </c>
      <c r="P17" s="3" t="str">
        <f>'All Tandem Standards'!AD76</f>
        <v>1:39:36</v>
      </c>
      <c r="Q17" s="3" t="str">
        <f>'All Tandem Standards'!AE76</f>
        <v>3:32:52</v>
      </c>
      <c r="R17" s="47" t="str">
        <f>'All Tandem Standards'!AF76</f>
        <v>51.78</v>
      </c>
      <c r="S17" s="47" t="str">
        <f>'All Tandem Standards'!AG76</f>
        <v>80.52</v>
      </c>
    </row>
    <row r="18" spans="1:20" x14ac:dyDescent="0.25">
      <c r="A18" s="4">
        <f>'All Tandem Standards'!A49</f>
        <v>56</v>
      </c>
      <c r="B18" s="3" t="str">
        <f>'All Tandem Standards'!Z49</f>
        <v>15:12</v>
      </c>
      <c r="C18" s="3" t="str">
        <f>'All Tandem Standards'!AA49</f>
        <v>22:52</v>
      </c>
      <c r="D18" s="3" t="str">
        <f>'All Tandem Standards'!AB49</f>
        <v>38:24</v>
      </c>
      <c r="E18" s="3" t="str">
        <f>'All Tandem Standards'!AC49</f>
        <v>46:16</v>
      </c>
      <c r="F18" s="3" t="str">
        <f>'All Tandem Standards'!AD49</f>
        <v>1:18:19</v>
      </c>
      <c r="G18" s="3" t="str">
        <f>'All Tandem Standards'!AE49</f>
        <v>2:43:03</v>
      </c>
      <c r="H18" s="46" t="str">
        <f>'All Tandem Standards'!AF49</f>
        <v>84.96</v>
      </c>
      <c r="I18" s="46" t="str">
        <f>'All Tandem Standards'!AG49</f>
        <v>143.55</v>
      </c>
      <c r="K18" s="4">
        <f>'All Tandem Standards'!A77</f>
        <v>84</v>
      </c>
      <c r="L18" s="3" t="str">
        <f>'All Tandem Standards'!Z77</f>
        <v>19:12</v>
      </c>
      <c r="M18" s="3" t="str">
        <f>'All Tandem Standards'!AA77</f>
        <v>28:58</v>
      </c>
      <c r="N18" s="3" t="str">
        <f>'All Tandem Standards'!AB77</f>
        <v>48:52</v>
      </c>
      <c r="O18" s="3" t="str">
        <f>'All Tandem Standards'!AC77</f>
        <v>59:00</v>
      </c>
      <c r="P18" s="3" t="str">
        <f>'All Tandem Standards'!AD77</f>
        <v>1:40:52</v>
      </c>
      <c r="Q18" s="3" t="str">
        <f>'All Tandem Standards'!AE77</f>
        <v>3:36:02</v>
      </c>
      <c r="R18" s="47" t="str">
        <f>'All Tandem Standards'!AF77</f>
        <v>50.32</v>
      </c>
      <c r="S18" s="47" t="str">
        <f>'All Tandem Standards'!AG77</f>
        <v>77.73</v>
      </c>
    </row>
    <row r="19" spans="1:20" x14ac:dyDescent="0.25">
      <c r="A19" s="4">
        <f>'All Tandem Standards'!A50</f>
        <v>57</v>
      </c>
      <c r="B19" s="3" t="str">
        <f>'All Tandem Standards'!Z50</f>
        <v>15:15</v>
      </c>
      <c r="C19" s="3" t="str">
        <f>'All Tandem Standards'!AA50</f>
        <v>22:58</v>
      </c>
      <c r="D19" s="3" t="str">
        <f>'All Tandem Standards'!AB50</f>
        <v>38:35</v>
      </c>
      <c r="E19" s="3" t="str">
        <f>'All Tandem Standards'!AC50</f>
        <v>46:28</v>
      </c>
      <c r="F19" s="3" t="str">
        <f>'All Tandem Standards'!AD50</f>
        <v>1:18:40</v>
      </c>
      <c r="G19" s="3" t="str">
        <f>'All Tandem Standards'!AE50</f>
        <v>2:43:51</v>
      </c>
      <c r="H19" s="46" t="str">
        <f>'All Tandem Standards'!AF50</f>
        <v>84.17</v>
      </c>
      <c r="I19" s="46" t="str">
        <f>'All Tandem Standards'!AG50</f>
        <v>141.96</v>
      </c>
      <c r="K19" s="4">
        <f>'All Tandem Standards'!A78</f>
        <v>85</v>
      </c>
      <c r="L19" s="3" t="str">
        <f>'All Tandem Standards'!Z78</f>
        <v>19:25</v>
      </c>
      <c r="M19" s="3" t="str">
        <f>'All Tandem Standards'!AA78</f>
        <v>29:19</v>
      </c>
      <c r="N19" s="3" t="str">
        <f>'All Tandem Standards'!AB78</f>
        <v>49:28</v>
      </c>
      <c r="O19" s="3" t="str">
        <f>'All Tandem Standards'!AC78</f>
        <v>59:45</v>
      </c>
      <c r="P19" s="3" t="str">
        <f>'All Tandem Standards'!AD78</f>
        <v>1:42:12</v>
      </c>
      <c r="Q19" s="3" t="str">
        <f>'All Tandem Standards'!AE78</f>
        <v>3:39:24</v>
      </c>
      <c r="R19" s="47" t="str">
        <f>'All Tandem Standards'!AF78</f>
        <v>48.82</v>
      </c>
      <c r="S19" s="47" t="str">
        <f>'All Tandem Standards'!AG78</f>
        <v>74.90</v>
      </c>
    </row>
    <row r="20" spans="1:20" x14ac:dyDescent="0.25">
      <c r="A20" s="4">
        <f>'All Tandem Standards'!A51</f>
        <v>58</v>
      </c>
      <c r="B20" s="3" t="str">
        <f>'All Tandem Standards'!Z51</f>
        <v>15:20</v>
      </c>
      <c r="C20" s="3" t="str">
        <f>'All Tandem Standards'!AA51</f>
        <v>23:05</v>
      </c>
      <c r="D20" s="3" t="str">
        <f>'All Tandem Standards'!AB51</f>
        <v>38:46</v>
      </c>
      <c r="E20" s="3" t="str">
        <f>'All Tandem Standards'!AC51</f>
        <v>46:42</v>
      </c>
      <c r="F20" s="3" t="str">
        <f>'All Tandem Standards'!AD51</f>
        <v>1:19:04</v>
      </c>
      <c r="G20" s="3" t="str">
        <f>'All Tandem Standards'!AE51</f>
        <v>2:44:45</v>
      </c>
      <c r="H20" s="46" t="str">
        <f>'All Tandem Standards'!AF51</f>
        <v>83.32</v>
      </c>
      <c r="I20" s="46" t="str">
        <f>'All Tandem Standards'!AG51</f>
        <v>140.26</v>
      </c>
      <c r="K20" s="4">
        <f>'All Tandem Standards'!A79</f>
        <v>86</v>
      </c>
      <c r="L20" s="3" t="str">
        <f>'All Tandem Standards'!Z79</f>
        <v>19:39</v>
      </c>
      <c r="M20" s="3" t="str">
        <f>'All Tandem Standards'!AA79</f>
        <v>29:41</v>
      </c>
      <c r="N20" s="3" t="str">
        <f>'All Tandem Standards'!AB79</f>
        <v>50:06</v>
      </c>
      <c r="O20" s="3" t="str">
        <f>'All Tandem Standards'!AC79</f>
        <v>1:00:31</v>
      </c>
      <c r="P20" s="3" t="str">
        <f>'All Tandem Standards'!AD79</f>
        <v>1:43:37</v>
      </c>
      <c r="Q20" s="3" t="str">
        <f>'All Tandem Standards'!AE79</f>
        <v>3:42:59</v>
      </c>
      <c r="R20" s="47" t="str">
        <f>'All Tandem Standards'!AF79</f>
        <v>47.30</v>
      </c>
      <c r="S20" s="47" t="str">
        <f>'All Tandem Standards'!AG79</f>
        <v>72.01</v>
      </c>
    </row>
    <row r="21" spans="1:20" x14ac:dyDescent="0.25">
      <c r="A21" s="4">
        <f>'All Tandem Standards'!A52</f>
        <v>59</v>
      </c>
      <c r="B21" s="45" t="str">
        <f>'All Tandem Standards'!Z52</f>
        <v>15:24</v>
      </c>
      <c r="C21" s="45" t="str">
        <f>'All Tandem Standards'!AA52</f>
        <v>23:12</v>
      </c>
      <c r="D21" s="45" t="str">
        <f>'All Tandem Standards'!AB52</f>
        <v>38:58</v>
      </c>
      <c r="E21" s="45" t="str">
        <f>'All Tandem Standards'!AC52</f>
        <v>46:57</v>
      </c>
      <c r="F21" s="45" t="str">
        <f>'All Tandem Standards'!AD52</f>
        <v>1:19:30</v>
      </c>
      <c r="G21" s="45" t="str">
        <f>'All Tandem Standards'!AE52</f>
        <v>2:45:45</v>
      </c>
      <c r="H21" s="48" t="str">
        <f>'All Tandem Standards'!AF52</f>
        <v>82.40</v>
      </c>
      <c r="I21" s="48" t="str">
        <f>'All Tandem Standards'!AG52</f>
        <v>138.47</v>
      </c>
      <c r="K21" s="4">
        <f>'All Tandem Standards'!A80</f>
        <v>87</v>
      </c>
      <c r="L21" s="3" t="str">
        <f>'All Tandem Standards'!Z80</f>
        <v>19:55</v>
      </c>
      <c r="M21" s="3" t="str">
        <f>'All Tandem Standards'!AA80</f>
        <v>30:04</v>
      </c>
      <c r="N21" s="3" t="str">
        <f>'All Tandem Standards'!AB80</f>
        <v>50:47</v>
      </c>
      <c r="O21" s="3" t="str">
        <f>'All Tandem Standards'!AC80</f>
        <v>1:01:21</v>
      </c>
      <c r="P21" s="3" t="str">
        <f>'All Tandem Standards'!AD80</f>
        <v>1:45:07</v>
      </c>
      <c r="Q21" s="3" t="str">
        <f>'All Tandem Standards'!AE80</f>
        <v>3:46:48</v>
      </c>
      <c r="R21" s="47" t="str">
        <f>'All Tandem Standards'!AF80</f>
        <v>45.75</v>
      </c>
      <c r="S21" s="47" t="str">
        <f>'All Tandem Standards'!AG80</f>
        <v>69.09</v>
      </c>
    </row>
    <row r="22" spans="1:20" x14ac:dyDescent="0.25">
      <c r="A22" s="4">
        <f>'All Tandem Standards'!A53</f>
        <v>60</v>
      </c>
      <c r="B22" s="3" t="str">
        <f>'All Tandem Standards'!Z53</f>
        <v>15:30</v>
      </c>
      <c r="C22" s="3" t="str">
        <f>'All Tandem Standards'!AA53</f>
        <v>23:20</v>
      </c>
      <c r="D22" s="3" t="str">
        <f>'All Tandem Standards'!AB53</f>
        <v>39:12</v>
      </c>
      <c r="E22" s="3" t="str">
        <f>'All Tandem Standards'!AC53</f>
        <v>47:13</v>
      </c>
      <c r="F22" s="3" t="str">
        <f>'All Tandem Standards'!AD53</f>
        <v>1:20:00</v>
      </c>
      <c r="G22" s="3" t="str">
        <f>'All Tandem Standards'!AE53</f>
        <v>2:46:50</v>
      </c>
      <c r="H22" s="46" t="str">
        <f>'All Tandem Standards'!AF53</f>
        <v>81.42</v>
      </c>
      <c r="I22" s="46" t="str">
        <f>'All Tandem Standards'!AG53</f>
        <v>136.57</v>
      </c>
      <c r="K22" s="4">
        <f>'All Tandem Standards'!A81</f>
        <v>88</v>
      </c>
      <c r="L22" s="3" t="str">
        <f>'All Tandem Standards'!Z81</f>
        <v>20:11</v>
      </c>
      <c r="M22" s="3" t="str">
        <f>'All Tandem Standards'!AA81</f>
        <v>30:28</v>
      </c>
      <c r="N22" s="3" t="str">
        <f>'All Tandem Standards'!AB81</f>
        <v>51:29</v>
      </c>
      <c r="O22" s="3" t="str">
        <f>'All Tandem Standards'!AC81</f>
        <v>1:02:12</v>
      </c>
      <c r="P22" s="3" t="str">
        <f>'All Tandem Standards'!AD81</f>
        <v>1:46:42</v>
      </c>
      <c r="Q22" s="3" t="str">
        <f>'All Tandem Standards'!AE81</f>
        <v>3:50:52</v>
      </c>
      <c r="R22" s="47" t="str">
        <f>'All Tandem Standards'!AF81</f>
        <v>44.17</v>
      </c>
      <c r="S22" s="47" t="str">
        <f>'All Tandem Standards'!AG81</f>
        <v>66.12</v>
      </c>
    </row>
    <row r="23" spans="1:20" x14ac:dyDescent="0.25">
      <c r="A23" s="4">
        <f>'All Tandem Standards'!A54</f>
        <v>61</v>
      </c>
      <c r="B23" s="3" t="str">
        <f>'All Tandem Standards'!Z54</f>
        <v>15:36</v>
      </c>
      <c r="C23" s="3" t="str">
        <f>'All Tandem Standards'!AA54</f>
        <v>23:29</v>
      </c>
      <c r="D23" s="3" t="str">
        <f>'All Tandem Standards'!AB54</f>
        <v>39:27</v>
      </c>
      <c r="E23" s="3" t="str">
        <f>'All Tandem Standards'!AC54</f>
        <v>47:32</v>
      </c>
      <c r="F23" s="3" t="str">
        <f>'All Tandem Standards'!AD54</f>
        <v>1:20:32</v>
      </c>
      <c r="G23" s="3" t="str">
        <f>'All Tandem Standards'!AE54</f>
        <v>2:48:03</v>
      </c>
      <c r="H23" s="46" t="str">
        <f>'All Tandem Standards'!AF54</f>
        <v>80.37</v>
      </c>
      <c r="I23" s="46" t="str">
        <f>'All Tandem Standards'!AG54</f>
        <v>134.56</v>
      </c>
      <c r="K23" s="4">
        <f>'All Tandem Standards'!A82</f>
        <v>89</v>
      </c>
      <c r="L23" s="45" t="str">
        <f>'All Tandem Standards'!Z82</f>
        <v>20:27</v>
      </c>
      <c r="M23" s="45" t="str">
        <f>'All Tandem Standards'!AA82</f>
        <v>30:54</v>
      </c>
      <c r="N23" s="45" t="str">
        <f>'All Tandem Standards'!AB82</f>
        <v>52:13</v>
      </c>
      <c r="O23" s="45" t="str">
        <f>'All Tandem Standards'!AC82</f>
        <v>1:03:07</v>
      </c>
      <c r="P23" s="45" t="str">
        <f>'All Tandem Standards'!AD82</f>
        <v>1:48:23</v>
      </c>
      <c r="Q23" s="45" t="str">
        <f>'All Tandem Standards'!AE82</f>
        <v>3:55:14</v>
      </c>
      <c r="R23" s="48" t="str">
        <f>'All Tandem Standards'!AF82</f>
        <v>42.56</v>
      </c>
      <c r="S23" s="48" t="str">
        <f>'All Tandem Standards'!AG82</f>
        <v>63.10</v>
      </c>
    </row>
    <row r="24" spans="1:20" x14ac:dyDescent="0.25">
      <c r="A24" s="4">
        <f>'All Tandem Standards'!A55</f>
        <v>62</v>
      </c>
      <c r="B24" s="3" t="str">
        <f>'All Tandem Standards'!Z55</f>
        <v>15:42</v>
      </c>
      <c r="C24" s="3" t="str">
        <f>'All Tandem Standards'!AA55</f>
        <v>23:39</v>
      </c>
      <c r="D24" s="3" t="str">
        <f>'All Tandem Standards'!AB55</f>
        <v>39:44</v>
      </c>
      <c r="E24" s="3" t="str">
        <f>'All Tandem Standards'!AC55</f>
        <v>47:52</v>
      </c>
      <c r="F24" s="3" t="str">
        <f>'All Tandem Standards'!AD55</f>
        <v>1:21:07</v>
      </c>
      <c r="G24" s="3" t="str">
        <f>'All Tandem Standards'!AE55</f>
        <v>2:49:23</v>
      </c>
      <c r="H24" s="46" t="str">
        <f>'All Tandem Standards'!AF55</f>
        <v>79.24</v>
      </c>
      <c r="I24" s="46" t="str">
        <f>'All Tandem Standards'!AG55</f>
        <v>132.44</v>
      </c>
      <c r="K24" s="4">
        <f>'All Tandem Standards'!A83</f>
        <v>90</v>
      </c>
      <c r="L24" s="3" t="str">
        <f>'All Tandem Standards'!Z83</f>
        <v>20:45</v>
      </c>
      <c r="M24" s="3" t="str">
        <f>'All Tandem Standards'!AA83</f>
        <v>31:21</v>
      </c>
      <c r="N24" s="3" t="str">
        <f>'All Tandem Standards'!AB83</f>
        <v>53:00</v>
      </c>
      <c r="O24" s="3" t="str">
        <f>'All Tandem Standards'!AC83</f>
        <v>1:04:05</v>
      </c>
      <c r="P24" s="3" t="str">
        <f>'All Tandem Standards'!AD83</f>
        <v>1:50:10</v>
      </c>
      <c r="Q24" s="3" t="str">
        <f>'All Tandem Standards'!AE83</f>
        <v>3:59:55</v>
      </c>
      <c r="R24" s="46" t="str">
        <f>'All Tandem Standards'!AF83</f>
        <v>40.91</v>
      </c>
      <c r="S24" s="46" t="str">
        <f>'All Tandem Standards'!AG83</f>
        <v>60.03</v>
      </c>
    </row>
    <row r="25" spans="1:20" x14ac:dyDescent="0.25">
      <c r="A25" s="4">
        <f>'All Tandem Standards'!A56</f>
        <v>63</v>
      </c>
      <c r="B25" s="3" t="str">
        <f>'All Tandem Standards'!Z56</f>
        <v>15:49</v>
      </c>
      <c r="C25" s="3" t="str">
        <f>'All Tandem Standards'!AA56</f>
        <v>23:49</v>
      </c>
      <c r="D25" s="3" t="str">
        <f>'All Tandem Standards'!AB56</f>
        <v>40:02</v>
      </c>
      <c r="E25" s="3" t="str">
        <f>'All Tandem Standards'!AC56</f>
        <v>48:14</v>
      </c>
      <c r="F25" s="3" t="str">
        <f>'All Tandem Standards'!AD56</f>
        <v>1:21:46</v>
      </c>
      <c r="G25" s="3" t="str">
        <f>'All Tandem Standards'!AE56</f>
        <v>2:50:50</v>
      </c>
      <c r="H25" s="46" t="str">
        <f>'All Tandem Standards'!AF56</f>
        <v>78.04</v>
      </c>
      <c r="I25" s="46" t="str">
        <f>'All Tandem Standards'!AG56</f>
        <v>130.21</v>
      </c>
      <c r="K25" s="4">
        <f>'All Tandem Standards'!A84</f>
        <v>91</v>
      </c>
      <c r="L25" s="3" t="str">
        <f>'All Tandem Standards'!Z84</f>
        <v>21:03</v>
      </c>
      <c r="M25" s="3" t="str">
        <f>'All Tandem Standards'!AA84</f>
        <v>31:49</v>
      </c>
      <c r="N25" s="3" t="str">
        <f>'All Tandem Standards'!AB84</f>
        <v>53:51</v>
      </c>
      <c r="O25" s="3" t="str">
        <f>'All Tandem Standards'!AC84</f>
        <v>1:05:07</v>
      </c>
      <c r="P25" s="3" t="str">
        <f>'All Tandem Standards'!AD84</f>
        <v>1:52:03</v>
      </c>
      <c r="Q25" s="3" t="str">
        <f>'All Tandem Standards'!AE84</f>
        <v>4:04:58</v>
      </c>
      <c r="R25" s="47" t="str">
        <f>'All Tandem Standards'!AF84</f>
        <v>39.24</v>
      </c>
      <c r="S25" s="47" t="str">
        <f>'All Tandem Standards'!AG84</f>
        <v>56.91</v>
      </c>
    </row>
    <row r="26" spans="1:20" x14ac:dyDescent="0.25">
      <c r="A26" s="4">
        <f>'All Tandem Standards'!A57</f>
        <v>64</v>
      </c>
      <c r="B26" s="3" t="str">
        <f>'All Tandem Standards'!Z57</f>
        <v>15:57</v>
      </c>
      <c r="C26" s="3" t="str">
        <f>'All Tandem Standards'!AA57</f>
        <v>24:01</v>
      </c>
      <c r="D26" s="3" t="str">
        <f>'All Tandem Standards'!AB57</f>
        <v>40:23</v>
      </c>
      <c r="E26" s="3" t="str">
        <f>'All Tandem Standards'!AC57</f>
        <v>48:39</v>
      </c>
      <c r="F26" s="3" t="str">
        <f>'All Tandem Standards'!AD57</f>
        <v>1:22:29</v>
      </c>
      <c r="G26" s="3" t="str">
        <f>'All Tandem Standards'!AE57</f>
        <v>2:52:26</v>
      </c>
      <c r="H26" s="46" t="str">
        <f>'All Tandem Standards'!AF57</f>
        <v>76.76</v>
      </c>
      <c r="I26" s="46" t="str">
        <f>'All Tandem Standards'!AG57</f>
        <v>127.86</v>
      </c>
      <c r="K26" s="4">
        <f>'All Tandem Standards'!A85</f>
        <v>92</v>
      </c>
      <c r="L26" s="3" t="str">
        <f>'All Tandem Standards'!Z85</f>
        <v>21:23</v>
      </c>
      <c r="M26" s="3" t="str">
        <f>'All Tandem Standards'!AA85</f>
        <v>32:20</v>
      </c>
      <c r="N26" s="3" t="str">
        <f>'All Tandem Standards'!AB85</f>
        <v>54:44</v>
      </c>
      <c r="O26" s="3" t="str">
        <f>'All Tandem Standards'!AC85</f>
        <v>1:06:12</v>
      </c>
      <c r="P26" s="3" t="str">
        <f>'All Tandem Standards'!AD85</f>
        <v>1:54:05</v>
      </c>
      <c r="Q26" s="3" t="str">
        <f>'All Tandem Standards'!AE85</f>
        <v>4:10:25</v>
      </c>
      <c r="R26" s="47" t="str">
        <f>'All Tandem Standards'!AF85</f>
        <v>37.53</v>
      </c>
      <c r="S26" s="47" t="str">
        <f>'All Tandem Standards'!AG85</f>
        <v>53.75</v>
      </c>
    </row>
    <row r="27" spans="1:20" x14ac:dyDescent="0.25">
      <c r="A27" s="4">
        <f>'All Tandem Standards'!A58</f>
        <v>65</v>
      </c>
      <c r="B27" s="3" t="str">
        <f>'All Tandem Standards'!Z58</f>
        <v>16:06</v>
      </c>
      <c r="C27" s="3" t="str">
        <f>'All Tandem Standards'!AA58</f>
        <v>24:14</v>
      </c>
      <c r="D27" s="3" t="str">
        <f>'All Tandem Standards'!AB58</f>
        <v>40:45</v>
      </c>
      <c r="E27" s="3" t="str">
        <f>'All Tandem Standards'!AC58</f>
        <v>49:06</v>
      </c>
      <c r="F27" s="3" t="str">
        <f>'All Tandem Standards'!AD58</f>
        <v>1:23:16</v>
      </c>
      <c r="G27" s="3" t="str">
        <f>'All Tandem Standards'!AE58</f>
        <v>2:54:12</v>
      </c>
      <c r="H27" s="46" t="str">
        <f>'All Tandem Standards'!AF58</f>
        <v>75.41</v>
      </c>
      <c r="I27" s="46" t="str">
        <f>'All Tandem Standards'!AG58</f>
        <v>125.40</v>
      </c>
      <c r="K27" s="4">
        <f>'All Tandem Standards'!A86</f>
        <v>93</v>
      </c>
      <c r="L27" s="3" t="str">
        <f>'All Tandem Standards'!Z86</f>
        <v>21:44</v>
      </c>
      <c r="M27" s="3" t="str">
        <f>'All Tandem Standards'!AA86</f>
        <v>32:52</v>
      </c>
      <c r="N27" s="3" t="str">
        <f>'All Tandem Standards'!AB86</f>
        <v>55:40</v>
      </c>
      <c r="O27" s="3" t="str">
        <f>'All Tandem Standards'!AC86</f>
        <v>1:07:22</v>
      </c>
      <c r="P27" s="3" t="str">
        <f>'All Tandem Standards'!AD86</f>
        <v>1:56:15</v>
      </c>
      <c r="Q27" s="3" t="str">
        <f>'All Tandem Standards'!AE86</f>
        <v>4:16:21</v>
      </c>
      <c r="R27" s="47" t="str">
        <f>'All Tandem Standards'!AF86</f>
        <v>35.79</v>
      </c>
      <c r="S27" s="47" t="str">
        <f>'All Tandem Standards'!AG86</f>
        <v>50.53</v>
      </c>
    </row>
    <row r="28" spans="1:20" x14ac:dyDescent="0.25">
      <c r="A28" s="4">
        <f>'All Tandem Standards'!A59</f>
        <v>66</v>
      </c>
      <c r="B28" s="3" t="str">
        <f>'All Tandem Standards'!Z59</f>
        <v>16:15</v>
      </c>
      <c r="C28" s="3" t="str">
        <f>'All Tandem Standards'!AA59</f>
        <v>24:29</v>
      </c>
      <c r="D28" s="3" t="str">
        <f>'All Tandem Standards'!AB59</f>
        <v>41:10</v>
      </c>
      <c r="E28" s="3" t="str">
        <f>'All Tandem Standards'!AC59</f>
        <v>49:36</v>
      </c>
      <c r="F28" s="3" t="str">
        <f>'All Tandem Standards'!AD59</f>
        <v>1:24:08</v>
      </c>
      <c r="G28" s="3" t="str">
        <f>'All Tandem Standards'!AE59</f>
        <v>2:56:08</v>
      </c>
      <c r="H28" s="46" t="str">
        <f>'All Tandem Standards'!AF59</f>
        <v>73.98</v>
      </c>
      <c r="I28" s="46" t="str">
        <f>'All Tandem Standards'!AG59</f>
        <v>122.83</v>
      </c>
      <c r="K28" s="4">
        <f>'All Tandem Standards'!A87</f>
        <v>94</v>
      </c>
      <c r="L28" s="3" t="str">
        <f>'All Tandem Standards'!Z87</f>
        <v>22:06</v>
      </c>
      <c r="M28" s="3" t="str">
        <f>'All Tandem Standards'!AA87</f>
        <v>33:26</v>
      </c>
      <c r="N28" s="3" t="str">
        <f>'All Tandem Standards'!AB87</f>
        <v>56:41</v>
      </c>
      <c r="O28" s="3" t="str">
        <f>'All Tandem Standards'!AC87</f>
        <v>1:08:37</v>
      </c>
      <c r="P28" s="3" t="str">
        <f>'All Tandem Standards'!AD87</f>
        <v>1:58:34</v>
      </c>
      <c r="Q28" s="3" t="str">
        <f>'All Tandem Standards'!AE87</f>
        <v>4:22:49</v>
      </c>
      <c r="R28" s="47" t="str">
        <f>'All Tandem Standards'!AF87</f>
        <v>34.01</v>
      </c>
      <c r="S28" s="47" t="str">
        <f>'All Tandem Standards'!AG87</f>
        <v>47.25</v>
      </c>
    </row>
    <row r="29" spans="1:20" x14ac:dyDescent="0.25">
      <c r="A29" s="4">
        <f>'All Tandem Standards'!A60</f>
        <v>67</v>
      </c>
      <c r="B29" s="3" t="str">
        <f>'All Tandem Standards'!Z60</f>
        <v>16:25</v>
      </c>
      <c r="C29" s="3" t="str">
        <f>'All Tandem Standards'!AA60</f>
        <v>24:45</v>
      </c>
      <c r="D29" s="3" t="str">
        <f>'All Tandem Standards'!AB60</f>
        <v>41:36</v>
      </c>
      <c r="E29" s="3" t="str">
        <f>'All Tandem Standards'!AC60</f>
        <v>50:09</v>
      </c>
      <c r="F29" s="3" t="str">
        <f>'All Tandem Standards'!AD60</f>
        <v>1:25:05</v>
      </c>
      <c r="G29" s="3" t="str">
        <f>'All Tandem Standards'!AE60</f>
        <v>2:58:14</v>
      </c>
      <c r="H29" s="46" t="str">
        <f>'All Tandem Standards'!AF60</f>
        <v>72.47</v>
      </c>
      <c r="I29" s="46" t="str">
        <f>'All Tandem Standards'!AG60</f>
        <v>120.14</v>
      </c>
      <c r="K29" s="4">
        <f>'All Tandem Standards'!A88</f>
        <v>95</v>
      </c>
      <c r="L29" s="3" t="str">
        <f>'All Tandem Standards'!Z88</f>
        <v>22:30</v>
      </c>
      <c r="M29" s="3" t="str">
        <f>'All Tandem Standards'!AA88</f>
        <v>34:03</v>
      </c>
      <c r="N29" s="3" t="str">
        <f>'All Tandem Standards'!AB88</f>
        <v>57:46</v>
      </c>
      <c r="O29" s="3" t="str">
        <f>'All Tandem Standards'!AC88</f>
        <v>1:09:57</v>
      </c>
      <c r="P29" s="3" t="str">
        <f>'All Tandem Standards'!AD88</f>
        <v>2:01:04</v>
      </c>
      <c r="Q29" s="3" t="str">
        <f>'All Tandem Standards'!AE88</f>
        <v>4:29:54</v>
      </c>
      <c r="R29" s="47" t="str">
        <f>'All Tandem Standards'!AF88</f>
        <v>32.19</v>
      </c>
      <c r="S29" s="47" t="str">
        <f>'All Tandem Standards'!AG88</f>
        <v>43.92</v>
      </c>
      <c r="T29" s="29">
        <f>Revision</f>
        <v>2024</v>
      </c>
    </row>
  </sheetData>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STANDARDS (PER RIDER)
FEMALE TANDEM TRICYCLE</oddHeader>
    <oddFooter>&amp;L&amp;F&amp;CA tandem combined standard is derived by adding the two individual standards from this and/or facing table
Page &amp;P of &amp;N&amp;R&amp;D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F45A5-A07B-4757-9DF7-D048BCFFA53C}">
  <sheetPr codeName="Sheet3">
    <pageSetUpPr fitToPage="1"/>
  </sheetPr>
  <dimension ref="A1:D6"/>
  <sheetViews>
    <sheetView workbookViewId="0"/>
  </sheetViews>
  <sheetFormatPr defaultRowHeight="15" x14ac:dyDescent="0.25"/>
  <cols>
    <col min="1" max="1" width="45.28515625" customWidth="1"/>
    <col min="2" max="2" width="15.28515625" customWidth="1"/>
    <col min="3" max="3" width="11.42578125" customWidth="1"/>
    <col min="4" max="4" width="89.5703125" customWidth="1"/>
  </cols>
  <sheetData>
    <row r="1" spans="1:4" x14ac:dyDescent="0.25">
      <c r="A1" t="s">
        <v>56</v>
      </c>
    </row>
    <row r="2" spans="1:4" x14ac:dyDescent="0.25">
      <c r="A2" t="s">
        <v>50</v>
      </c>
    </row>
    <row r="3" spans="1:4" x14ac:dyDescent="0.25">
      <c r="A3" s="1" t="s">
        <v>29</v>
      </c>
      <c r="B3" s="20" t="s">
        <v>0</v>
      </c>
      <c r="C3" t="s">
        <v>26</v>
      </c>
      <c r="D3" s="1" t="s">
        <v>27</v>
      </c>
    </row>
    <row r="4" spans="1:4" x14ac:dyDescent="0.25">
      <c r="A4" t="s">
        <v>57</v>
      </c>
      <c r="B4" s="43" t="s">
        <v>58</v>
      </c>
      <c r="C4" s="44" t="str">
        <f>B4</f>
        <v>0.89 to 0.91</v>
      </c>
      <c r="D4" t="s">
        <v>55</v>
      </c>
    </row>
    <row r="5" spans="1:4" x14ac:dyDescent="0.25">
      <c r="A5" t="s">
        <v>30</v>
      </c>
      <c r="B5" s="18">
        <v>0.91284399999999999</v>
      </c>
      <c r="C5" s="6">
        <f t="shared" ref="C5:C6" si="0">B5</f>
        <v>0.91284399999999999</v>
      </c>
      <c r="D5" t="s">
        <v>28</v>
      </c>
    </row>
    <row r="6" spans="1:4" x14ac:dyDescent="0.25">
      <c r="A6" t="s">
        <v>31</v>
      </c>
      <c r="B6" s="18">
        <v>1.04</v>
      </c>
      <c r="C6" s="6">
        <f t="shared" si="0"/>
        <v>1.04</v>
      </c>
      <c r="D6" t="s">
        <v>32</v>
      </c>
    </row>
  </sheetData>
  <sheetProtection algorithmName="SHA-512" hashValue="UUKEf54l5Tau4yB9DZgYNhIztCwAs5NIfGyImQMF+g0rMmw6WyRv8VYRy95pTtCI1y7HkEanSxLS+JtNSdNB/A==" saltValue="LhVF4d0gqYqE/N5buW5n6w==" spinCount="100000" sheet="1" objects="1" scenarios="1"/>
  <pageMargins left="0.70866141732283472" right="0.70866141732283472" top="0.74803149606299213" bottom="0.74803149606299213" header="0.31496062992125984" footer="0.31496062992125984"/>
  <pageSetup paperSize="9" scale="81" orientation="landscape" r:id="rId1"/>
  <headerFooter>
    <oddHeader>&amp;C&amp;A</oddHeader>
    <oddFooter>&amp;L&amp;F&amp;CPage &amp;P of &amp;N&amp;R&amp;D</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CA48D-E024-46F6-99DA-5BDD3E2C631E}">
  <sheetPr codeName="Sheet17">
    <pageSetUpPr fitToPage="1"/>
  </sheetPr>
  <dimension ref="A1:AG93"/>
  <sheetViews>
    <sheetView zoomScale="50" zoomScaleNormal="50" workbookViewId="0">
      <pane xSplit="1" ySplit="4" topLeftCell="B5" activePane="bottomRight" state="frozen"/>
      <selection pane="topRight" activeCell="B1" sqref="B1"/>
      <selection pane="bottomLeft" activeCell="A5" sqref="A5"/>
      <selection pane="bottomRight" activeCell="A33" sqref="A5:XFD33"/>
    </sheetView>
  </sheetViews>
  <sheetFormatPr defaultRowHeight="15" x14ac:dyDescent="0.25"/>
  <cols>
    <col min="1" max="1" width="14.7109375" customWidth="1"/>
  </cols>
  <sheetData>
    <row r="1" spans="1:33" x14ac:dyDescent="0.25">
      <c r="A1" s="21" t="s">
        <v>34</v>
      </c>
      <c r="B1" s="22">
        <v>10</v>
      </c>
      <c r="C1" s="22">
        <v>10</v>
      </c>
      <c r="D1" s="22">
        <v>10</v>
      </c>
      <c r="E1" s="22">
        <v>10</v>
      </c>
      <c r="F1" s="22">
        <v>15</v>
      </c>
      <c r="G1" s="22">
        <v>15</v>
      </c>
      <c r="H1" s="22">
        <v>15</v>
      </c>
      <c r="I1" s="22">
        <v>15</v>
      </c>
      <c r="J1" s="22">
        <v>25</v>
      </c>
      <c r="K1" s="22">
        <v>25</v>
      </c>
      <c r="L1" s="22">
        <v>25</v>
      </c>
      <c r="M1" s="22">
        <v>25</v>
      </c>
      <c r="N1" s="22">
        <v>30</v>
      </c>
      <c r="O1" s="22">
        <v>30</v>
      </c>
      <c r="P1" s="22">
        <v>30</v>
      </c>
      <c r="Q1" s="22">
        <v>30</v>
      </c>
      <c r="R1" s="22">
        <v>50</v>
      </c>
      <c r="S1" s="22">
        <v>50</v>
      </c>
      <c r="T1" s="22">
        <v>50</v>
      </c>
      <c r="U1" s="22">
        <v>50</v>
      </c>
      <c r="V1" s="22">
        <v>100</v>
      </c>
      <c r="W1" s="22">
        <v>100</v>
      </c>
      <c r="X1" s="22">
        <v>100</v>
      </c>
      <c r="Y1" s="22">
        <v>100</v>
      </c>
      <c r="Z1" s="22">
        <v>12</v>
      </c>
      <c r="AA1" s="22">
        <v>12</v>
      </c>
      <c r="AB1" s="22">
        <v>12</v>
      </c>
      <c r="AC1" s="22">
        <v>12</v>
      </c>
      <c r="AD1" s="23">
        <v>24</v>
      </c>
      <c r="AE1" s="22">
        <v>24</v>
      </c>
      <c r="AF1" s="22">
        <v>24</v>
      </c>
      <c r="AG1" s="22">
        <v>24</v>
      </c>
    </row>
    <row r="2" spans="1:33" x14ac:dyDescent="0.25">
      <c r="A2" s="21" t="s">
        <v>8</v>
      </c>
      <c r="B2" s="24" t="s">
        <v>7</v>
      </c>
      <c r="C2" s="24" t="s">
        <v>7</v>
      </c>
      <c r="D2" s="24" t="s">
        <v>7</v>
      </c>
      <c r="E2" s="24" t="s">
        <v>7</v>
      </c>
      <c r="F2" s="24" t="s">
        <v>7</v>
      </c>
      <c r="G2" s="24" t="s">
        <v>7</v>
      </c>
      <c r="H2" s="24" t="s">
        <v>7</v>
      </c>
      <c r="I2" s="24" t="s">
        <v>7</v>
      </c>
      <c r="J2" s="24" t="s">
        <v>7</v>
      </c>
      <c r="K2" s="24" t="s">
        <v>7</v>
      </c>
      <c r="L2" s="24" t="s">
        <v>7</v>
      </c>
      <c r="M2" s="24" t="s">
        <v>7</v>
      </c>
      <c r="N2" s="24" t="s">
        <v>7</v>
      </c>
      <c r="O2" s="24" t="s">
        <v>7</v>
      </c>
      <c r="P2" s="24" t="s">
        <v>7</v>
      </c>
      <c r="Q2" s="24" t="s">
        <v>7</v>
      </c>
      <c r="R2" s="24" t="s">
        <v>7</v>
      </c>
      <c r="S2" s="24" t="s">
        <v>7</v>
      </c>
      <c r="T2" s="24" t="s">
        <v>7</v>
      </c>
      <c r="U2" s="24" t="s">
        <v>7</v>
      </c>
      <c r="V2" s="24" t="s">
        <v>7</v>
      </c>
      <c r="W2" s="24" t="s">
        <v>7</v>
      </c>
      <c r="X2" s="24" t="s">
        <v>7</v>
      </c>
      <c r="Y2" s="24" t="s">
        <v>7</v>
      </c>
      <c r="Z2" s="22" t="s">
        <v>12</v>
      </c>
      <c r="AA2" s="22" t="s">
        <v>12</v>
      </c>
      <c r="AB2" s="22" t="s">
        <v>12</v>
      </c>
      <c r="AC2" s="22" t="s">
        <v>12</v>
      </c>
      <c r="AD2" s="22" t="s">
        <v>12</v>
      </c>
      <c r="AE2" s="22" t="s">
        <v>12</v>
      </c>
      <c r="AF2" s="22" t="s">
        <v>12</v>
      </c>
      <c r="AG2" s="22" t="s">
        <v>12</v>
      </c>
    </row>
    <row r="3" spans="1:33" x14ac:dyDescent="0.25">
      <c r="A3" s="21" t="s">
        <v>48</v>
      </c>
      <c r="B3" s="22" t="s">
        <v>43</v>
      </c>
      <c r="C3" s="22" t="s">
        <v>4</v>
      </c>
      <c r="D3" s="22" t="s">
        <v>43</v>
      </c>
      <c r="E3" s="22" t="s">
        <v>4</v>
      </c>
      <c r="F3" s="22" t="s">
        <v>43</v>
      </c>
      <c r="G3" s="22" t="s">
        <v>4</v>
      </c>
      <c r="H3" s="22" t="s">
        <v>43</v>
      </c>
      <c r="I3" s="22" t="s">
        <v>4</v>
      </c>
      <c r="J3" s="22" t="s">
        <v>43</v>
      </c>
      <c r="K3" s="22" t="s">
        <v>4</v>
      </c>
      <c r="L3" s="22" t="s">
        <v>43</v>
      </c>
      <c r="M3" s="22" t="s">
        <v>4</v>
      </c>
      <c r="N3" s="22" t="s">
        <v>43</v>
      </c>
      <c r="O3" s="22" t="s">
        <v>4</v>
      </c>
      <c r="P3" s="22" t="s">
        <v>43</v>
      </c>
      <c r="Q3" s="22" t="s">
        <v>4</v>
      </c>
      <c r="R3" s="22" t="s">
        <v>43</v>
      </c>
      <c r="S3" s="22" t="s">
        <v>4</v>
      </c>
      <c r="T3" s="22" t="s">
        <v>43</v>
      </c>
      <c r="U3" s="22" t="s">
        <v>4</v>
      </c>
      <c r="V3" s="22" t="s">
        <v>43</v>
      </c>
      <c r="W3" s="22" t="s">
        <v>4</v>
      </c>
      <c r="X3" s="22" t="s">
        <v>43</v>
      </c>
      <c r="Y3" s="22" t="s">
        <v>4</v>
      </c>
      <c r="Z3" s="22" t="s">
        <v>43</v>
      </c>
      <c r="AA3" s="22" t="s">
        <v>4</v>
      </c>
      <c r="AB3" s="22" t="s">
        <v>43</v>
      </c>
      <c r="AC3" s="22" t="s">
        <v>4</v>
      </c>
      <c r="AD3" s="22" t="s">
        <v>43</v>
      </c>
      <c r="AE3" s="22" t="s">
        <v>4</v>
      </c>
      <c r="AF3" s="22" t="s">
        <v>43</v>
      </c>
      <c r="AG3" s="22" t="s">
        <v>4</v>
      </c>
    </row>
    <row r="4" spans="1:33" x14ac:dyDescent="0.25">
      <c r="A4" s="21" t="s">
        <v>6</v>
      </c>
      <c r="B4" s="22" t="s">
        <v>3</v>
      </c>
      <c r="C4" s="22" t="s">
        <v>3</v>
      </c>
      <c r="D4" s="22" t="s">
        <v>2</v>
      </c>
      <c r="E4" s="22" t="s">
        <v>2</v>
      </c>
      <c r="F4" s="22" t="s">
        <v>3</v>
      </c>
      <c r="G4" s="22" t="s">
        <v>3</v>
      </c>
      <c r="H4" s="22" t="s">
        <v>2</v>
      </c>
      <c r="I4" s="22" t="s">
        <v>2</v>
      </c>
      <c r="J4" s="22" t="s">
        <v>3</v>
      </c>
      <c r="K4" s="22" t="s">
        <v>3</v>
      </c>
      <c r="L4" s="22" t="s">
        <v>2</v>
      </c>
      <c r="M4" s="22" t="s">
        <v>2</v>
      </c>
      <c r="N4" s="22" t="s">
        <v>3</v>
      </c>
      <c r="O4" s="22" t="s">
        <v>3</v>
      </c>
      <c r="P4" s="22" t="s">
        <v>2</v>
      </c>
      <c r="Q4" s="22" t="s">
        <v>2</v>
      </c>
      <c r="R4" s="22" t="s">
        <v>3</v>
      </c>
      <c r="S4" s="22" t="s">
        <v>3</v>
      </c>
      <c r="T4" s="22" t="s">
        <v>2</v>
      </c>
      <c r="U4" s="22" t="s">
        <v>2</v>
      </c>
      <c r="V4" s="22" t="s">
        <v>3</v>
      </c>
      <c r="W4" s="22" t="s">
        <v>3</v>
      </c>
      <c r="X4" s="22" t="s">
        <v>2</v>
      </c>
      <c r="Y4" s="22" t="s">
        <v>2</v>
      </c>
      <c r="Z4" s="22" t="s">
        <v>3</v>
      </c>
      <c r="AA4" s="22" t="s">
        <v>3</v>
      </c>
      <c r="AB4" s="22" t="s">
        <v>2</v>
      </c>
      <c r="AC4" s="22" t="s">
        <v>2</v>
      </c>
      <c r="AD4" s="22" t="s">
        <v>3</v>
      </c>
      <c r="AE4" s="22" t="s">
        <v>3</v>
      </c>
      <c r="AF4" s="22" t="s">
        <v>2</v>
      </c>
      <c r="AG4" s="22" t="s">
        <v>2</v>
      </c>
    </row>
    <row r="5" spans="1:33" hidden="1" x14ac:dyDescent="0.25">
      <c r="A5" s="17">
        <v>11</v>
      </c>
      <c r="B5" s="33">
        <v>2.5810185185185186E-2</v>
      </c>
      <c r="C5" s="33">
        <v>2.840277777777778E-2</v>
      </c>
      <c r="D5" s="33">
        <v>2.7858796296296295E-2</v>
      </c>
      <c r="E5" s="33">
        <v>3.0706018518518518E-2</v>
      </c>
      <c r="F5" s="33"/>
      <c r="G5" s="33"/>
      <c r="H5" s="33"/>
      <c r="I5" s="33"/>
      <c r="J5" s="33"/>
      <c r="K5" s="33"/>
      <c r="L5" s="33"/>
      <c r="M5" s="33"/>
      <c r="N5" s="33"/>
      <c r="O5" s="33"/>
      <c r="P5" s="33"/>
      <c r="Q5" s="33"/>
      <c r="R5" s="33"/>
      <c r="S5" s="33"/>
      <c r="T5" s="33"/>
      <c r="U5" s="33"/>
      <c r="V5" s="33"/>
      <c r="W5" s="33"/>
      <c r="X5" s="33"/>
      <c r="Y5" s="33"/>
      <c r="Z5" s="34"/>
      <c r="AA5" s="34"/>
      <c r="AB5" s="34"/>
      <c r="AC5" s="34"/>
      <c r="AD5" s="34"/>
      <c r="AE5" s="34"/>
      <c r="AF5" s="34"/>
      <c r="AG5" s="34"/>
    </row>
    <row r="6" spans="1:33" hidden="1" x14ac:dyDescent="0.25">
      <c r="A6" s="17">
        <v>12</v>
      </c>
      <c r="B6" s="33">
        <v>2.2499999999999999E-2</v>
      </c>
      <c r="C6" s="33">
        <v>2.4733796296296299E-2</v>
      </c>
      <c r="D6" s="33">
        <v>2.4236111111111111E-2</v>
      </c>
      <c r="E6" s="33">
        <v>2.6678240740740742E-2</v>
      </c>
      <c r="F6" s="33">
        <v>3.4143518518518517E-2</v>
      </c>
      <c r="G6" s="33">
        <v>3.7534722222222219E-2</v>
      </c>
      <c r="H6" s="33">
        <v>3.6782407407407403E-2</v>
      </c>
      <c r="I6" s="33">
        <v>4.0486111111111112E-2</v>
      </c>
      <c r="J6" s="33">
        <v>5.8298611111111114E-2</v>
      </c>
      <c r="K6" s="33">
        <v>6.4108796296296289E-2</v>
      </c>
      <c r="L6" s="33">
        <v>6.2812499999999993E-2</v>
      </c>
      <c r="M6" s="33">
        <v>6.9166666666666668E-2</v>
      </c>
      <c r="N6" s="33">
        <v>7.0879629629629626E-2</v>
      </c>
      <c r="O6" s="33">
        <v>7.795138888888889E-2</v>
      </c>
      <c r="P6" s="33">
        <v>7.6388888888888895E-2</v>
      </c>
      <c r="Q6" s="33">
        <v>8.4108796296296293E-2</v>
      </c>
      <c r="R6" s="33">
        <v>0.12550925925925926</v>
      </c>
      <c r="S6" s="33">
        <v>0.1380902777777778</v>
      </c>
      <c r="T6" s="33">
        <v>0.13534722222222223</v>
      </c>
      <c r="U6" s="33">
        <v>0.14913194444444444</v>
      </c>
      <c r="V6" s="33">
        <v>0.32789351851851856</v>
      </c>
      <c r="W6" s="33">
        <v>0.36148148148148151</v>
      </c>
      <c r="X6" s="33">
        <v>0.35473379629629631</v>
      </c>
      <c r="Y6" s="33">
        <v>0.39153935185185185</v>
      </c>
      <c r="Z6" s="34">
        <v>153.44</v>
      </c>
      <c r="AA6" s="34">
        <v>130.74</v>
      </c>
      <c r="AB6" s="34">
        <v>136.38</v>
      </c>
      <c r="AC6" s="34">
        <v>115.22</v>
      </c>
      <c r="AD6" s="34">
        <v>277.53999999999996</v>
      </c>
      <c r="AE6" s="34">
        <v>242.62</v>
      </c>
      <c r="AF6" s="34">
        <v>251.03000000000003</v>
      </c>
      <c r="AG6" s="34">
        <v>217.58</v>
      </c>
    </row>
    <row r="7" spans="1:33" hidden="1" x14ac:dyDescent="0.25">
      <c r="A7" s="17">
        <v>13</v>
      </c>
      <c r="B7" s="33">
        <v>2.0763888888888891E-2</v>
      </c>
      <c r="C7" s="33">
        <v>2.2800925925925929E-2</v>
      </c>
      <c r="D7" s="33">
        <v>2.2326388888888889E-2</v>
      </c>
      <c r="E7" s="33">
        <v>2.4560185185185185E-2</v>
      </c>
      <c r="F7" s="33">
        <v>3.138888888888889E-2</v>
      </c>
      <c r="G7" s="33">
        <v>3.4467592592592591E-2</v>
      </c>
      <c r="H7" s="33">
        <v>3.3761574074074069E-2</v>
      </c>
      <c r="I7" s="33">
        <v>3.7141203703703704E-2</v>
      </c>
      <c r="J7" s="33">
        <v>5.3194444444444447E-2</v>
      </c>
      <c r="K7" s="33">
        <v>5.842592592592593E-2</v>
      </c>
      <c r="L7" s="33">
        <v>5.7210648148148149E-2</v>
      </c>
      <c r="M7" s="33">
        <v>6.2951388888888904E-2</v>
      </c>
      <c r="N7" s="33">
        <v>6.4386574074074082E-2</v>
      </c>
      <c r="O7" s="33">
        <v>7.0740740740740743E-2</v>
      </c>
      <c r="P7" s="33">
        <v>6.9282407407407404E-2</v>
      </c>
      <c r="Q7" s="33">
        <v>7.6215277777777771E-2</v>
      </c>
      <c r="R7" s="33">
        <v>0.11163194444444445</v>
      </c>
      <c r="S7" s="33">
        <v>0.12267361111111111</v>
      </c>
      <c r="T7" s="33">
        <v>0.12015046296296296</v>
      </c>
      <c r="U7" s="33">
        <v>0.13223379629629631</v>
      </c>
      <c r="V7" s="33">
        <v>0.25884259259259257</v>
      </c>
      <c r="W7" s="33">
        <v>0.28475694444444444</v>
      </c>
      <c r="X7" s="33">
        <v>0.27908564814814812</v>
      </c>
      <c r="Y7" s="33">
        <v>0.3074884259259259</v>
      </c>
      <c r="Z7" s="34">
        <v>175.29000000000002</v>
      </c>
      <c r="AA7" s="34">
        <v>151.35</v>
      </c>
      <c r="AB7" s="34">
        <v>157.15</v>
      </c>
      <c r="AC7" s="34">
        <v>134.72</v>
      </c>
      <c r="AD7" s="34">
        <v>305.74</v>
      </c>
      <c r="AE7" s="34">
        <v>270.12</v>
      </c>
      <c r="AF7" s="34">
        <v>278.62</v>
      </c>
      <c r="AG7" s="34">
        <v>244.38</v>
      </c>
    </row>
    <row r="8" spans="1:33" hidden="1" x14ac:dyDescent="0.25">
      <c r="A8" s="17">
        <v>14</v>
      </c>
      <c r="B8" s="33">
        <v>1.9699074074074074E-2</v>
      </c>
      <c r="C8" s="33">
        <v>2.1620370370370373E-2</v>
      </c>
      <c r="D8" s="33">
        <v>2.116898148148148E-2</v>
      </c>
      <c r="E8" s="33">
        <v>2.3275462962962963E-2</v>
      </c>
      <c r="F8" s="33">
        <v>2.9733796296296296E-2</v>
      </c>
      <c r="G8" s="33">
        <v>3.2638888888888891E-2</v>
      </c>
      <c r="H8" s="33">
        <v>3.1956018518518522E-2</v>
      </c>
      <c r="I8" s="33">
        <v>3.512731481481482E-2</v>
      </c>
      <c r="J8" s="33">
        <v>5.0185185185185187E-2</v>
      </c>
      <c r="K8" s="33">
        <v>5.5092592592592596E-2</v>
      </c>
      <c r="L8" s="33">
        <v>5.392361111111111E-2</v>
      </c>
      <c r="M8" s="33">
        <v>5.9293981481481489E-2</v>
      </c>
      <c r="N8" s="33">
        <v>6.0613425925925925E-2</v>
      </c>
      <c r="O8" s="33">
        <v>6.6539351851851863E-2</v>
      </c>
      <c r="P8" s="33">
        <v>6.5138888888888885E-2</v>
      </c>
      <c r="Q8" s="33">
        <v>7.1620370370370362E-2</v>
      </c>
      <c r="R8" s="33">
        <v>0.10392361111111112</v>
      </c>
      <c r="S8" s="33">
        <v>0.11410879629629631</v>
      </c>
      <c r="T8" s="33">
        <v>0.11170138888888889</v>
      </c>
      <c r="U8" s="33">
        <v>0.12285879629629631</v>
      </c>
      <c r="V8" s="33">
        <v>0.22884259259259263</v>
      </c>
      <c r="W8" s="33">
        <v>0.25142361111111111</v>
      </c>
      <c r="X8" s="33">
        <v>0.24622685185185184</v>
      </c>
      <c r="Y8" s="33">
        <v>0.27097222222222223</v>
      </c>
      <c r="Z8" s="34">
        <v>191.67000000000002</v>
      </c>
      <c r="AA8" s="34">
        <v>166.72</v>
      </c>
      <c r="AB8" s="34">
        <v>172.67000000000002</v>
      </c>
      <c r="AC8" s="34">
        <v>149.20999999999998</v>
      </c>
      <c r="AD8" s="34">
        <v>327.44</v>
      </c>
      <c r="AE8" s="34">
        <v>291.2</v>
      </c>
      <c r="AF8" s="34">
        <v>299.79000000000002</v>
      </c>
      <c r="AG8" s="34">
        <v>264.87</v>
      </c>
    </row>
    <row r="9" spans="1:33" hidden="1" x14ac:dyDescent="0.25">
      <c r="A9" s="17">
        <v>15</v>
      </c>
      <c r="B9" s="33">
        <v>1.9027777777777779E-2</v>
      </c>
      <c r="C9" s="33">
        <v>2.0879629629629633E-2</v>
      </c>
      <c r="D9" s="33">
        <v>2.042824074074074E-2</v>
      </c>
      <c r="E9" s="33">
        <v>2.2453703703703705E-2</v>
      </c>
      <c r="F9" s="33">
        <v>2.869212962962963E-2</v>
      </c>
      <c r="G9" s="33">
        <v>3.1469907407407405E-2</v>
      </c>
      <c r="H9" s="33">
        <v>3.0810185185185184E-2</v>
      </c>
      <c r="I9" s="33">
        <v>3.3854166666666671E-2</v>
      </c>
      <c r="J9" s="33">
        <v>4.8298611111111112E-2</v>
      </c>
      <c r="K9" s="33">
        <v>5.2986111111111116E-2</v>
      </c>
      <c r="L9" s="33">
        <v>5.185185185185185E-2</v>
      </c>
      <c r="M9" s="33">
        <v>5.6990740740740745E-2</v>
      </c>
      <c r="N9" s="33">
        <v>5.8240740740740739E-2</v>
      </c>
      <c r="O9" s="33">
        <v>6.3912037037037045E-2</v>
      </c>
      <c r="P9" s="33">
        <v>6.2546296296296294E-2</v>
      </c>
      <c r="Q9" s="33">
        <v>6.8738425925925925E-2</v>
      </c>
      <c r="R9" s="33">
        <v>9.9224537037037042E-2</v>
      </c>
      <c r="S9" s="33">
        <v>0.10887731481481483</v>
      </c>
      <c r="T9" s="33">
        <v>0.10655092592592592</v>
      </c>
      <c r="U9" s="33">
        <v>0.11712962962962964</v>
      </c>
      <c r="V9" s="33">
        <v>0.21246527777777779</v>
      </c>
      <c r="W9" s="33">
        <v>0.23321759259259259</v>
      </c>
      <c r="X9" s="33">
        <v>0.22827546296296297</v>
      </c>
      <c r="Y9" s="33">
        <v>0.25103009259259257</v>
      </c>
      <c r="Z9" s="34">
        <v>203.74</v>
      </c>
      <c r="AA9" s="34">
        <v>178.01999999999998</v>
      </c>
      <c r="AB9" s="34">
        <v>184.07</v>
      </c>
      <c r="AC9" s="34">
        <v>159.83999999999997</v>
      </c>
      <c r="AD9" s="34">
        <v>343.72</v>
      </c>
      <c r="AE9" s="34">
        <v>306.98</v>
      </c>
      <c r="AF9" s="34">
        <v>315.64999999999998</v>
      </c>
      <c r="AG9" s="34">
        <v>280.18</v>
      </c>
    </row>
    <row r="10" spans="1:33" hidden="1" x14ac:dyDescent="0.25">
      <c r="A10" s="17">
        <v>16</v>
      </c>
      <c r="B10" s="33">
        <v>1.8599537037037036E-2</v>
      </c>
      <c r="C10" s="33">
        <v>2.0393518518518523E-2</v>
      </c>
      <c r="D10" s="33">
        <v>1.9953703703703703E-2</v>
      </c>
      <c r="E10" s="33">
        <v>2.1921296296296296E-2</v>
      </c>
      <c r="F10" s="33">
        <v>2.8009259259259258E-2</v>
      </c>
      <c r="G10" s="33">
        <v>3.0717592592592591E-2</v>
      </c>
      <c r="H10" s="33">
        <v>3.006944444444444E-2</v>
      </c>
      <c r="I10" s="33">
        <v>3.3032407407407413E-2</v>
      </c>
      <c r="J10" s="33">
        <v>4.7083333333333331E-2</v>
      </c>
      <c r="K10" s="33">
        <v>5.1631944444444446E-2</v>
      </c>
      <c r="L10" s="33">
        <v>5.0520833333333334E-2</v>
      </c>
      <c r="M10" s="33">
        <v>5.5509259259259265E-2</v>
      </c>
      <c r="N10" s="33">
        <v>5.6736111111111112E-2</v>
      </c>
      <c r="O10" s="33">
        <v>6.2233796296296301E-2</v>
      </c>
      <c r="P10" s="33">
        <v>6.0891203703703704E-2</v>
      </c>
      <c r="Q10" s="33">
        <v>6.6898148148148137E-2</v>
      </c>
      <c r="R10" s="33">
        <v>9.6273148148148149E-2</v>
      </c>
      <c r="S10" s="33">
        <v>0.10560185185185186</v>
      </c>
      <c r="T10" s="33">
        <v>0.10332175925925927</v>
      </c>
      <c r="U10" s="33">
        <v>0.1135300925925926</v>
      </c>
      <c r="V10" s="33">
        <v>0.20278935185185187</v>
      </c>
      <c r="W10" s="33">
        <v>0.22246527777777778</v>
      </c>
      <c r="X10" s="33">
        <v>0.21768518518518515</v>
      </c>
      <c r="Y10" s="33">
        <v>0.23925925925925923</v>
      </c>
      <c r="Z10" s="34">
        <v>212.29</v>
      </c>
      <c r="AA10" s="34">
        <v>186.01</v>
      </c>
      <c r="AB10" s="34">
        <v>192.14</v>
      </c>
      <c r="AC10" s="34">
        <v>167.35</v>
      </c>
      <c r="AD10" s="34">
        <v>355.41999999999996</v>
      </c>
      <c r="AE10" s="34">
        <v>318.29999999999995</v>
      </c>
      <c r="AF10" s="34">
        <v>327.02</v>
      </c>
      <c r="AG10" s="34">
        <v>291.14</v>
      </c>
    </row>
    <row r="11" spans="1:33" hidden="1" x14ac:dyDescent="0.25">
      <c r="A11" s="17">
        <v>17</v>
      </c>
      <c r="B11" s="33">
        <v>1.832175925925926E-2</v>
      </c>
      <c r="C11" s="33">
        <v>2.0092592592592596E-2</v>
      </c>
      <c r="D11" s="33">
        <v>1.966435185185185E-2</v>
      </c>
      <c r="E11" s="33">
        <v>2.1597222222222223E-2</v>
      </c>
      <c r="F11" s="33">
        <v>2.7592592592592592E-2</v>
      </c>
      <c r="G11" s="33">
        <v>3.0254629629629631E-2</v>
      </c>
      <c r="H11" s="33">
        <v>2.960648148148148E-2</v>
      </c>
      <c r="I11" s="33">
        <v>3.2523148148148148E-2</v>
      </c>
      <c r="J11" s="33">
        <v>4.6342592592592595E-2</v>
      </c>
      <c r="K11" s="33">
        <v>5.0810185185185187E-2</v>
      </c>
      <c r="L11" s="33">
        <v>4.971064814814815E-2</v>
      </c>
      <c r="M11" s="33">
        <v>5.4606481481481485E-2</v>
      </c>
      <c r="N11" s="33">
        <v>5.5810185185185185E-2</v>
      </c>
      <c r="O11" s="33">
        <v>6.1203703703703705E-2</v>
      </c>
      <c r="P11" s="33">
        <v>5.9884259259259255E-2</v>
      </c>
      <c r="Q11" s="33">
        <v>6.5775462962962952E-2</v>
      </c>
      <c r="R11" s="33">
        <v>9.447916666666667E-2</v>
      </c>
      <c r="S11" s="33">
        <v>0.10361111111111113</v>
      </c>
      <c r="T11" s="33">
        <v>0.10135416666666666</v>
      </c>
      <c r="U11" s="33">
        <v>0.11135416666666667</v>
      </c>
      <c r="V11" s="33">
        <v>0.19711805555555556</v>
      </c>
      <c r="W11" s="33">
        <v>0.2161689814814815</v>
      </c>
      <c r="X11" s="33">
        <v>0.2114699074074074</v>
      </c>
      <c r="Y11" s="33">
        <v>0.23234953703703703</v>
      </c>
      <c r="Z11" s="34">
        <v>217.91</v>
      </c>
      <c r="AA11" s="34">
        <v>191.26</v>
      </c>
      <c r="AB11" s="34">
        <v>197.43</v>
      </c>
      <c r="AC11" s="34">
        <v>172.26999999999998</v>
      </c>
      <c r="AD11" s="34">
        <v>363.16999999999996</v>
      </c>
      <c r="AE11" s="34">
        <v>325.78999999999996</v>
      </c>
      <c r="AF11" s="34">
        <v>334.55</v>
      </c>
      <c r="AG11" s="34">
        <v>298.38</v>
      </c>
    </row>
    <row r="12" spans="1:33" hidden="1" x14ac:dyDescent="0.25">
      <c r="A12" s="17">
        <v>18</v>
      </c>
      <c r="B12" s="33">
        <v>1.818287037037037E-2</v>
      </c>
      <c r="C12" s="33">
        <v>1.9930555555555559E-2</v>
      </c>
      <c r="D12" s="33">
        <v>1.9502314814814813E-2</v>
      </c>
      <c r="E12" s="33">
        <v>2.1423611111111112E-2</v>
      </c>
      <c r="F12" s="33">
        <v>2.7372685185185184E-2</v>
      </c>
      <c r="G12" s="33">
        <v>3.0011574074074076E-2</v>
      </c>
      <c r="H12" s="33">
        <v>2.9363425925925925E-2</v>
      </c>
      <c r="I12" s="33">
        <v>3.2256944444444449E-2</v>
      </c>
      <c r="J12" s="33">
        <v>4.5949074074074073E-2</v>
      </c>
      <c r="K12" s="33">
        <v>5.0370370370370371E-2</v>
      </c>
      <c r="L12" s="33">
        <v>4.9270833333333333E-2</v>
      </c>
      <c r="M12" s="33">
        <v>5.4131944444444448E-2</v>
      </c>
      <c r="N12" s="33">
        <v>5.5324074074074074E-2</v>
      </c>
      <c r="O12" s="33">
        <v>6.0659722222222226E-2</v>
      </c>
      <c r="P12" s="33">
        <v>5.9340277777777777E-2</v>
      </c>
      <c r="Q12" s="33">
        <v>6.5173611111111099E-2</v>
      </c>
      <c r="R12" s="33">
        <v>9.3541666666666676E-2</v>
      </c>
      <c r="S12" s="33">
        <v>0.10255787037037038</v>
      </c>
      <c r="T12" s="33">
        <v>0.10032407407407408</v>
      </c>
      <c r="U12" s="33">
        <v>0.11020833333333334</v>
      </c>
      <c r="V12" s="33">
        <v>0.19418981481481482</v>
      </c>
      <c r="W12" s="33">
        <v>0.21291666666666667</v>
      </c>
      <c r="X12" s="33">
        <v>0.20826388888888889</v>
      </c>
      <c r="Y12" s="33">
        <v>0.22878472222222224</v>
      </c>
      <c r="Z12" s="34">
        <v>221.01</v>
      </c>
      <c r="AA12" s="34">
        <v>194.14</v>
      </c>
      <c r="AB12" s="34">
        <v>200.35</v>
      </c>
      <c r="AC12" s="34">
        <v>174.98</v>
      </c>
      <c r="AD12" s="34">
        <v>367.46</v>
      </c>
      <c r="AE12" s="34">
        <v>329.94</v>
      </c>
      <c r="AF12" s="34">
        <v>338.71000000000004</v>
      </c>
      <c r="AG12" s="34">
        <v>302.39</v>
      </c>
    </row>
    <row r="13" spans="1:33" hidden="1" x14ac:dyDescent="0.25">
      <c r="A13" s="17">
        <v>19</v>
      </c>
      <c r="B13" s="33">
        <v>1.8148148148148149E-2</v>
      </c>
      <c r="C13" s="33">
        <v>1.9895833333333335E-2</v>
      </c>
      <c r="D13" s="33">
        <v>1.9456018518518518E-2</v>
      </c>
      <c r="E13" s="33">
        <v>2.1377314814814814E-2</v>
      </c>
      <c r="F13" s="33">
        <v>2.7314814814814816E-2</v>
      </c>
      <c r="G13" s="33">
        <v>2.9942129629629631E-2</v>
      </c>
      <c r="H13" s="33">
        <v>2.929398148148148E-2</v>
      </c>
      <c r="I13" s="33">
        <v>3.2175925925925927E-2</v>
      </c>
      <c r="J13" s="33">
        <v>4.583333333333333E-2</v>
      </c>
      <c r="K13" s="33">
        <v>5.0254629629629628E-2</v>
      </c>
      <c r="L13" s="33">
        <v>4.9155092592592591E-2</v>
      </c>
      <c r="M13" s="33">
        <v>5.3993055555555558E-2</v>
      </c>
      <c r="N13" s="33">
        <v>5.5185185185185184E-2</v>
      </c>
      <c r="O13" s="33">
        <v>6.0509259259259263E-2</v>
      </c>
      <c r="P13" s="33">
        <v>5.9189814814814813E-2</v>
      </c>
      <c r="Q13" s="33">
        <v>6.5011574074074069E-2</v>
      </c>
      <c r="R13" s="33">
        <v>9.3275462962962963E-2</v>
      </c>
      <c r="S13" s="33">
        <v>0.10226851851851852</v>
      </c>
      <c r="T13" s="33">
        <v>0.10003472222222222</v>
      </c>
      <c r="U13" s="33">
        <v>0.10988425925925926</v>
      </c>
      <c r="V13" s="33">
        <v>0.19336805555555556</v>
      </c>
      <c r="W13" s="33">
        <v>0.21200231481481482</v>
      </c>
      <c r="X13" s="33">
        <v>0.20737268518518517</v>
      </c>
      <c r="Y13" s="33">
        <v>0.22778935185185184</v>
      </c>
      <c r="Z13" s="34">
        <v>221.9</v>
      </c>
      <c r="AA13" s="34">
        <v>194.97</v>
      </c>
      <c r="AB13" s="34">
        <v>201.18</v>
      </c>
      <c r="AC13" s="34">
        <v>175.75</v>
      </c>
      <c r="AD13" s="34">
        <v>368.69</v>
      </c>
      <c r="AE13" s="34">
        <v>331.13</v>
      </c>
      <c r="AF13" s="34">
        <v>339.91</v>
      </c>
      <c r="AG13" s="34">
        <v>303.54000000000002</v>
      </c>
    </row>
    <row r="14" spans="1:33" hidden="1" x14ac:dyDescent="0.25">
      <c r="A14" s="17">
        <v>20</v>
      </c>
      <c r="B14" s="33">
        <v>1.8148148148148149E-2</v>
      </c>
      <c r="C14" s="33">
        <v>1.9895833333333335E-2</v>
      </c>
      <c r="D14" s="33">
        <v>1.9456018518518518E-2</v>
      </c>
      <c r="E14" s="33">
        <v>2.1377314814814814E-2</v>
      </c>
      <c r="F14" s="33">
        <v>2.7314814814814816E-2</v>
      </c>
      <c r="G14" s="33">
        <v>2.9942129629629631E-2</v>
      </c>
      <c r="H14" s="33">
        <v>2.929398148148148E-2</v>
      </c>
      <c r="I14" s="33">
        <v>3.2175925925925927E-2</v>
      </c>
      <c r="J14" s="33">
        <v>4.583333333333333E-2</v>
      </c>
      <c r="K14" s="33">
        <v>5.0254629629629628E-2</v>
      </c>
      <c r="L14" s="33">
        <v>4.9155092592592591E-2</v>
      </c>
      <c r="M14" s="33">
        <v>5.3993055555555558E-2</v>
      </c>
      <c r="N14" s="33">
        <v>5.5185185185185184E-2</v>
      </c>
      <c r="O14" s="33">
        <v>6.0509259259259263E-2</v>
      </c>
      <c r="P14" s="33">
        <v>5.9189814814814813E-2</v>
      </c>
      <c r="Q14" s="33">
        <v>6.5011574074074069E-2</v>
      </c>
      <c r="R14" s="33">
        <v>9.3275462962962963E-2</v>
      </c>
      <c r="S14" s="33">
        <v>0.10226851851851852</v>
      </c>
      <c r="T14" s="33">
        <v>0.10003472222222222</v>
      </c>
      <c r="U14" s="33">
        <v>0.10988425925925926</v>
      </c>
      <c r="V14" s="33">
        <v>0.19336805555555556</v>
      </c>
      <c r="W14" s="33">
        <v>0.21200231481481482</v>
      </c>
      <c r="X14" s="33">
        <v>0.20737268518518517</v>
      </c>
      <c r="Y14" s="33">
        <v>0.22778935185185184</v>
      </c>
      <c r="Z14" s="34">
        <v>221.9</v>
      </c>
      <c r="AA14" s="34">
        <v>194.97</v>
      </c>
      <c r="AB14" s="34">
        <v>201.18</v>
      </c>
      <c r="AC14" s="34">
        <v>175.75</v>
      </c>
      <c r="AD14" s="34">
        <v>368.69</v>
      </c>
      <c r="AE14" s="34">
        <v>331.13</v>
      </c>
      <c r="AF14" s="34">
        <v>339.91</v>
      </c>
      <c r="AG14" s="34">
        <v>303.54000000000002</v>
      </c>
    </row>
    <row r="15" spans="1:33" hidden="1" x14ac:dyDescent="0.25">
      <c r="A15" s="17">
        <v>21</v>
      </c>
      <c r="B15" s="33">
        <v>1.8148148148148149E-2</v>
      </c>
      <c r="C15" s="33">
        <v>1.9895833333333335E-2</v>
      </c>
      <c r="D15" s="33">
        <v>1.9456018518518518E-2</v>
      </c>
      <c r="E15" s="33">
        <v>2.1377314814814814E-2</v>
      </c>
      <c r="F15" s="33">
        <v>2.7314814814814816E-2</v>
      </c>
      <c r="G15" s="33">
        <v>2.9942129629629631E-2</v>
      </c>
      <c r="H15" s="33">
        <v>2.929398148148148E-2</v>
      </c>
      <c r="I15" s="33">
        <v>3.2175925925925927E-2</v>
      </c>
      <c r="J15" s="33">
        <v>4.583333333333333E-2</v>
      </c>
      <c r="K15" s="33">
        <v>5.0254629629629628E-2</v>
      </c>
      <c r="L15" s="33">
        <v>4.9155092592592591E-2</v>
      </c>
      <c r="M15" s="33">
        <v>5.3993055555555558E-2</v>
      </c>
      <c r="N15" s="33">
        <v>5.5185185185185184E-2</v>
      </c>
      <c r="O15" s="33">
        <v>6.0509259259259263E-2</v>
      </c>
      <c r="P15" s="33">
        <v>5.9189814814814813E-2</v>
      </c>
      <c r="Q15" s="33">
        <v>6.5011574074074069E-2</v>
      </c>
      <c r="R15" s="33">
        <v>9.3275462962962963E-2</v>
      </c>
      <c r="S15" s="33">
        <v>0.10226851851851852</v>
      </c>
      <c r="T15" s="33">
        <v>0.10003472222222222</v>
      </c>
      <c r="U15" s="33">
        <v>0.10988425925925926</v>
      </c>
      <c r="V15" s="33">
        <v>0.19336805555555556</v>
      </c>
      <c r="W15" s="33">
        <v>0.21200231481481482</v>
      </c>
      <c r="X15" s="33">
        <v>0.20737268518518517</v>
      </c>
      <c r="Y15" s="33">
        <v>0.22778935185185184</v>
      </c>
      <c r="Z15" s="34">
        <v>221.9</v>
      </c>
      <c r="AA15" s="34">
        <v>194.97</v>
      </c>
      <c r="AB15" s="34">
        <v>201.18</v>
      </c>
      <c r="AC15" s="34">
        <v>175.75</v>
      </c>
      <c r="AD15" s="34">
        <v>368.69</v>
      </c>
      <c r="AE15" s="34">
        <v>331.13</v>
      </c>
      <c r="AF15" s="34">
        <v>339.91</v>
      </c>
      <c r="AG15" s="34">
        <v>303.54000000000002</v>
      </c>
    </row>
    <row r="16" spans="1:33" hidden="1" x14ac:dyDescent="0.25">
      <c r="A16" s="17">
        <v>22</v>
      </c>
      <c r="B16" s="33">
        <v>1.8148148148148149E-2</v>
      </c>
      <c r="C16" s="33">
        <v>1.9895833333333335E-2</v>
      </c>
      <c r="D16" s="33">
        <v>1.9456018518518518E-2</v>
      </c>
      <c r="E16" s="33">
        <v>2.1377314814814814E-2</v>
      </c>
      <c r="F16" s="33">
        <v>2.7314814814814816E-2</v>
      </c>
      <c r="G16" s="33">
        <v>2.9942129629629631E-2</v>
      </c>
      <c r="H16" s="33">
        <v>2.929398148148148E-2</v>
      </c>
      <c r="I16" s="33">
        <v>3.2175925925925927E-2</v>
      </c>
      <c r="J16" s="33">
        <v>4.583333333333333E-2</v>
      </c>
      <c r="K16" s="33">
        <v>5.0254629629629628E-2</v>
      </c>
      <c r="L16" s="33">
        <v>4.9155092592592591E-2</v>
      </c>
      <c r="M16" s="33">
        <v>5.3993055555555558E-2</v>
      </c>
      <c r="N16" s="33">
        <v>5.5185185185185184E-2</v>
      </c>
      <c r="O16" s="33">
        <v>6.0509259259259263E-2</v>
      </c>
      <c r="P16" s="33">
        <v>5.9189814814814813E-2</v>
      </c>
      <c r="Q16" s="33">
        <v>6.5011574074074069E-2</v>
      </c>
      <c r="R16" s="33">
        <v>9.3275462962962963E-2</v>
      </c>
      <c r="S16" s="33">
        <v>0.10226851851851852</v>
      </c>
      <c r="T16" s="33">
        <v>0.10003472222222222</v>
      </c>
      <c r="U16" s="33">
        <v>0.10988425925925926</v>
      </c>
      <c r="V16" s="33">
        <v>0.19336805555555556</v>
      </c>
      <c r="W16" s="33">
        <v>0.21200231481481482</v>
      </c>
      <c r="X16" s="33">
        <v>0.20737268518518517</v>
      </c>
      <c r="Y16" s="33">
        <v>0.22778935185185184</v>
      </c>
      <c r="Z16" s="34">
        <v>221.9</v>
      </c>
      <c r="AA16" s="34">
        <v>194.97</v>
      </c>
      <c r="AB16" s="34">
        <v>201.18</v>
      </c>
      <c r="AC16" s="34">
        <v>175.75</v>
      </c>
      <c r="AD16" s="34">
        <v>368.69</v>
      </c>
      <c r="AE16" s="34">
        <v>331.13</v>
      </c>
      <c r="AF16" s="34">
        <v>339.91</v>
      </c>
      <c r="AG16" s="34">
        <v>303.54000000000002</v>
      </c>
    </row>
    <row r="17" spans="1:33" hidden="1" x14ac:dyDescent="0.25">
      <c r="A17" s="17">
        <v>23</v>
      </c>
      <c r="B17" s="33">
        <v>1.8148148148148149E-2</v>
      </c>
      <c r="C17" s="33">
        <v>1.9895833333333335E-2</v>
      </c>
      <c r="D17" s="33">
        <v>1.9456018518518518E-2</v>
      </c>
      <c r="E17" s="33">
        <v>2.1377314814814814E-2</v>
      </c>
      <c r="F17" s="33">
        <v>2.7314814814814816E-2</v>
      </c>
      <c r="G17" s="33">
        <v>2.9942129629629631E-2</v>
      </c>
      <c r="H17" s="33">
        <v>2.929398148148148E-2</v>
      </c>
      <c r="I17" s="33">
        <v>3.2175925925925927E-2</v>
      </c>
      <c r="J17" s="33">
        <v>4.583333333333333E-2</v>
      </c>
      <c r="K17" s="33">
        <v>5.0254629629629628E-2</v>
      </c>
      <c r="L17" s="33">
        <v>4.9155092592592591E-2</v>
      </c>
      <c r="M17" s="33">
        <v>5.3993055555555558E-2</v>
      </c>
      <c r="N17" s="33">
        <v>5.5185185185185184E-2</v>
      </c>
      <c r="O17" s="33">
        <v>6.0509259259259263E-2</v>
      </c>
      <c r="P17" s="33">
        <v>5.9189814814814813E-2</v>
      </c>
      <c r="Q17" s="33">
        <v>6.5011574074074069E-2</v>
      </c>
      <c r="R17" s="33">
        <v>9.3275462962962963E-2</v>
      </c>
      <c r="S17" s="33">
        <v>0.10226851851851852</v>
      </c>
      <c r="T17" s="33">
        <v>0.10003472222222222</v>
      </c>
      <c r="U17" s="33">
        <v>0.10988425925925926</v>
      </c>
      <c r="V17" s="33">
        <v>0.19336805555555556</v>
      </c>
      <c r="W17" s="33">
        <v>0.21200231481481482</v>
      </c>
      <c r="X17" s="33">
        <v>0.20737268518518517</v>
      </c>
      <c r="Y17" s="33">
        <v>0.22778935185185184</v>
      </c>
      <c r="Z17" s="34">
        <v>221.9</v>
      </c>
      <c r="AA17" s="34">
        <v>194.97</v>
      </c>
      <c r="AB17" s="34">
        <v>201.18</v>
      </c>
      <c r="AC17" s="34">
        <v>175.75</v>
      </c>
      <c r="AD17" s="34">
        <v>368.69</v>
      </c>
      <c r="AE17" s="34">
        <v>331.13</v>
      </c>
      <c r="AF17" s="34">
        <v>339.91</v>
      </c>
      <c r="AG17" s="34">
        <v>303.54000000000002</v>
      </c>
    </row>
    <row r="18" spans="1:33" hidden="1" x14ac:dyDescent="0.25">
      <c r="A18" s="17">
        <v>24</v>
      </c>
      <c r="B18" s="33">
        <v>1.8148148148148149E-2</v>
      </c>
      <c r="C18" s="33">
        <v>1.9895833333333335E-2</v>
      </c>
      <c r="D18" s="33">
        <v>1.9456018518518518E-2</v>
      </c>
      <c r="E18" s="33">
        <v>2.1377314814814814E-2</v>
      </c>
      <c r="F18" s="33">
        <v>2.7314814814814816E-2</v>
      </c>
      <c r="G18" s="33">
        <v>2.9942129629629631E-2</v>
      </c>
      <c r="H18" s="33">
        <v>2.929398148148148E-2</v>
      </c>
      <c r="I18" s="33">
        <v>3.2175925925925927E-2</v>
      </c>
      <c r="J18" s="33">
        <v>4.583333333333333E-2</v>
      </c>
      <c r="K18" s="33">
        <v>5.0254629629629628E-2</v>
      </c>
      <c r="L18" s="33">
        <v>4.9155092592592591E-2</v>
      </c>
      <c r="M18" s="33">
        <v>5.3993055555555558E-2</v>
      </c>
      <c r="N18" s="33">
        <v>5.5185185185185184E-2</v>
      </c>
      <c r="O18" s="33">
        <v>6.0509259259259263E-2</v>
      </c>
      <c r="P18" s="33">
        <v>5.9189814814814813E-2</v>
      </c>
      <c r="Q18" s="33">
        <v>6.5011574074074069E-2</v>
      </c>
      <c r="R18" s="33">
        <v>9.3275462962962963E-2</v>
      </c>
      <c r="S18" s="33">
        <v>0.10226851851851852</v>
      </c>
      <c r="T18" s="33">
        <v>0.10003472222222222</v>
      </c>
      <c r="U18" s="33">
        <v>0.10988425925925926</v>
      </c>
      <c r="V18" s="33">
        <v>0.19336805555555556</v>
      </c>
      <c r="W18" s="33">
        <v>0.21200231481481482</v>
      </c>
      <c r="X18" s="33">
        <v>0.20737268518518517</v>
      </c>
      <c r="Y18" s="33">
        <v>0.22778935185185184</v>
      </c>
      <c r="Z18" s="34">
        <v>221.9</v>
      </c>
      <c r="AA18" s="34">
        <v>194.97</v>
      </c>
      <c r="AB18" s="34">
        <v>201.18</v>
      </c>
      <c r="AC18" s="34">
        <v>175.75</v>
      </c>
      <c r="AD18" s="34">
        <v>368.69</v>
      </c>
      <c r="AE18" s="34">
        <v>331.13</v>
      </c>
      <c r="AF18" s="34">
        <v>339.91</v>
      </c>
      <c r="AG18" s="34">
        <v>303.54000000000002</v>
      </c>
    </row>
    <row r="19" spans="1:33" hidden="1" x14ac:dyDescent="0.25">
      <c r="A19" s="17">
        <v>25</v>
      </c>
      <c r="B19" s="33">
        <v>1.8148148148148149E-2</v>
      </c>
      <c r="C19" s="33">
        <v>1.9895833333333335E-2</v>
      </c>
      <c r="D19" s="33">
        <v>1.9456018518518518E-2</v>
      </c>
      <c r="E19" s="33">
        <v>2.1377314814814814E-2</v>
      </c>
      <c r="F19" s="33">
        <v>2.7314814814814816E-2</v>
      </c>
      <c r="G19" s="33">
        <v>2.9942129629629631E-2</v>
      </c>
      <c r="H19" s="33">
        <v>2.929398148148148E-2</v>
      </c>
      <c r="I19" s="33">
        <v>3.2175925925925927E-2</v>
      </c>
      <c r="J19" s="33">
        <v>4.583333333333333E-2</v>
      </c>
      <c r="K19" s="33">
        <v>5.0254629629629628E-2</v>
      </c>
      <c r="L19" s="33">
        <v>4.9155092592592591E-2</v>
      </c>
      <c r="M19" s="33">
        <v>5.3993055555555558E-2</v>
      </c>
      <c r="N19" s="33">
        <v>5.5185185185185184E-2</v>
      </c>
      <c r="O19" s="33">
        <v>6.0509259259259263E-2</v>
      </c>
      <c r="P19" s="33">
        <v>5.9189814814814813E-2</v>
      </c>
      <c r="Q19" s="33">
        <v>6.5011574074074069E-2</v>
      </c>
      <c r="R19" s="33">
        <v>9.3275462962962963E-2</v>
      </c>
      <c r="S19" s="33">
        <v>0.10226851851851852</v>
      </c>
      <c r="T19" s="33">
        <v>0.10003472222222222</v>
      </c>
      <c r="U19" s="33">
        <v>0.10988425925925926</v>
      </c>
      <c r="V19" s="33">
        <v>0.19336805555555556</v>
      </c>
      <c r="W19" s="33">
        <v>0.21200231481481482</v>
      </c>
      <c r="X19" s="33">
        <v>0.20737268518518517</v>
      </c>
      <c r="Y19" s="33">
        <v>0.22778935185185184</v>
      </c>
      <c r="Z19" s="34">
        <v>221.9</v>
      </c>
      <c r="AA19" s="34">
        <v>194.97</v>
      </c>
      <c r="AB19" s="34">
        <v>201.18</v>
      </c>
      <c r="AC19" s="34">
        <v>175.75</v>
      </c>
      <c r="AD19" s="34">
        <v>368.69</v>
      </c>
      <c r="AE19" s="34">
        <v>331.13</v>
      </c>
      <c r="AF19" s="34">
        <v>339.91</v>
      </c>
      <c r="AG19" s="34">
        <v>303.54000000000002</v>
      </c>
    </row>
    <row r="20" spans="1:33" hidden="1" x14ac:dyDescent="0.25">
      <c r="A20" s="17">
        <v>26</v>
      </c>
      <c r="B20" s="33">
        <v>1.8148148148148149E-2</v>
      </c>
      <c r="C20" s="33">
        <v>1.9895833333333335E-2</v>
      </c>
      <c r="D20" s="33">
        <v>1.9456018518518518E-2</v>
      </c>
      <c r="E20" s="33">
        <v>2.1377314814814814E-2</v>
      </c>
      <c r="F20" s="33">
        <v>2.7314814814814816E-2</v>
      </c>
      <c r="G20" s="33">
        <v>2.9942129629629631E-2</v>
      </c>
      <c r="H20" s="33">
        <v>2.929398148148148E-2</v>
      </c>
      <c r="I20" s="33">
        <v>3.2175925925925927E-2</v>
      </c>
      <c r="J20" s="33">
        <v>4.583333333333333E-2</v>
      </c>
      <c r="K20" s="33">
        <v>5.0254629629629628E-2</v>
      </c>
      <c r="L20" s="33">
        <v>4.9155092592592591E-2</v>
      </c>
      <c r="M20" s="33">
        <v>5.3993055555555558E-2</v>
      </c>
      <c r="N20" s="33">
        <v>5.5185185185185184E-2</v>
      </c>
      <c r="O20" s="33">
        <v>6.0509259259259263E-2</v>
      </c>
      <c r="P20" s="33">
        <v>5.9189814814814813E-2</v>
      </c>
      <c r="Q20" s="33">
        <v>6.5011574074074069E-2</v>
      </c>
      <c r="R20" s="33">
        <v>9.3275462962962963E-2</v>
      </c>
      <c r="S20" s="33">
        <v>0.10226851851851852</v>
      </c>
      <c r="T20" s="33">
        <v>0.10003472222222222</v>
      </c>
      <c r="U20" s="33">
        <v>0.10988425925925926</v>
      </c>
      <c r="V20" s="33">
        <v>0.19336805555555556</v>
      </c>
      <c r="W20" s="33">
        <v>0.21200231481481482</v>
      </c>
      <c r="X20" s="33">
        <v>0.20737268518518517</v>
      </c>
      <c r="Y20" s="33">
        <v>0.22778935185185184</v>
      </c>
      <c r="Z20" s="34">
        <v>221.9</v>
      </c>
      <c r="AA20" s="34">
        <v>194.97</v>
      </c>
      <c r="AB20" s="34">
        <v>201.18</v>
      </c>
      <c r="AC20" s="34">
        <v>175.75</v>
      </c>
      <c r="AD20" s="34">
        <v>368.69</v>
      </c>
      <c r="AE20" s="34">
        <v>331.13</v>
      </c>
      <c r="AF20" s="34">
        <v>339.91</v>
      </c>
      <c r="AG20" s="34">
        <v>303.54000000000002</v>
      </c>
    </row>
    <row r="21" spans="1:33" hidden="1" x14ac:dyDescent="0.25">
      <c r="A21" s="17">
        <v>27</v>
      </c>
      <c r="B21" s="33">
        <v>1.8148148148148149E-2</v>
      </c>
      <c r="C21" s="33">
        <v>1.9895833333333335E-2</v>
      </c>
      <c r="D21" s="33">
        <v>1.9456018518518518E-2</v>
      </c>
      <c r="E21" s="33">
        <v>2.1377314814814814E-2</v>
      </c>
      <c r="F21" s="33">
        <v>2.7314814814814816E-2</v>
      </c>
      <c r="G21" s="33">
        <v>2.9942129629629631E-2</v>
      </c>
      <c r="H21" s="33">
        <v>2.929398148148148E-2</v>
      </c>
      <c r="I21" s="33">
        <v>3.2175925925925927E-2</v>
      </c>
      <c r="J21" s="33">
        <v>4.583333333333333E-2</v>
      </c>
      <c r="K21" s="33">
        <v>5.0254629629629628E-2</v>
      </c>
      <c r="L21" s="33">
        <v>4.9155092592592591E-2</v>
      </c>
      <c r="M21" s="33">
        <v>5.3993055555555558E-2</v>
      </c>
      <c r="N21" s="33">
        <v>5.5185185185185184E-2</v>
      </c>
      <c r="O21" s="33">
        <v>6.0509259259259263E-2</v>
      </c>
      <c r="P21" s="33">
        <v>5.9189814814814813E-2</v>
      </c>
      <c r="Q21" s="33">
        <v>6.5011574074074069E-2</v>
      </c>
      <c r="R21" s="33">
        <v>9.3275462962962963E-2</v>
      </c>
      <c r="S21" s="33">
        <v>0.10226851851851852</v>
      </c>
      <c r="T21" s="33">
        <v>0.10003472222222222</v>
      </c>
      <c r="U21" s="33">
        <v>0.10988425925925926</v>
      </c>
      <c r="V21" s="33">
        <v>0.19336805555555556</v>
      </c>
      <c r="W21" s="33">
        <v>0.21200231481481482</v>
      </c>
      <c r="X21" s="33">
        <v>0.20737268518518517</v>
      </c>
      <c r="Y21" s="33">
        <v>0.22778935185185184</v>
      </c>
      <c r="Z21" s="34">
        <v>221.9</v>
      </c>
      <c r="AA21" s="34">
        <v>194.97</v>
      </c>
      <c r="AB21" s="34">
        <v>201.18</v>
      </c>
      <c r="AC21" s="34">
        <v>175.75</v>
      </c>
      <c r="AD21" s="34">
        <v>368.69</v>
      </c>
      <c r="AE21" s="34">
        <v>331.13</v>
      </c>
      <c r="AF21" s="34">
        <v>339.91</v>
      </c>
      <c r="AG21" s="34">
        <v>303.54000000000002</v>
      </c>
    </row>
    <row r="22" spans="1:33" hidden="1" x14ac:dyDescent="0.25">
      <c r="A22" s="17">
        <v>28</v>
      </c>
      <c r="B22" s="33">
        <v>1.8148148148148149E-2</v>
      </c>
      <c r="C22" s="33">
        <v>1.9895833333333335E-2</v>
      </c>
      <c r="D22" s="33">
        <v>1.9456018518518518E-2</v>
      </c>
      <c r="E22" s="33">
        <v>2.1377314814814814E-2</v>
      </c>
      <c r="F22" s="33">
        <v>2.7314814814814816E-2</v>
      </c>
      <c r="G22" s="33">
        <v>2.9942129629629631E-2</v>
      </c>
      <c r="H22" s="33">
        <v>2.929398148148148E-2</v>
      </c>
      <c r="I22" s="33">
        <v>3.2175925925925927E-2</v>
      </c>
      <c r="J22" s="33">
        <v>4.583333333333333E-2</v>
      </c>
      <c r="K22" s="33">
        <v>5.0254629629629628E-2</v>
      </c>
      <c r="L22" s="33">
        <v>4.9155092592592591E-2</v>
      </c>
      <c r="M22" s="33">
        <v>5.3993055555555558E-2</v>
      </c>
      <c r="N22" s="33">
        <v>5.5185185185185184E-2</v>
      </c>
      <c r="O22" s="33">
        <v>6.0509259259259263E-2</v>
      </c>
      <c r="P22" s="33">
        <v>5.9189814814814813E-2</v>
      </c>
      <c r="Q22" s="33">
        <v>6.5011574074074069E-2</v>
      </c>
      <c r="R22" s="33">
        <v>9.3275462962962963E-2</v>
      </c>
      <c r="S22" s="33">
        <v>0.10226851851851852</v>
      </c>
      <c r="T22" s="33">
        <v>0.10003472222222222</v>
      </c>
      <c r="U22" s="33">
        <v>0.10988425925925926</v>
      </c>
      <c r="V22" s="33">
        <v>0.19336805555555556</v>
      </c>
      <c r="W22" s="33">
        <v>0.21200231481481482</v>
      </c>
      <c r="X22" s="33">
        <v>0.20737268518518517</v>
      </c>
      <c r="Y22" s="33">
        <v>0.22778935185185184</v>
      </c>
      <c r="Z22" s="34">
        <v>221.9</v>
      </c>
      <c r="AA22" s="34">
        <v>194.97</v>
      </c>
      <c r="AB22" s="34">
        <v>201.18</v>
      </c>
      <c r="AC22" s="34">
        <v>175.75</v>
      </c>
      <c r="AD22" s="34">
        <v>368.69</v>
      </c>
      <c r="AE22" s="34">
        <v>331.13</v>
      </c>
      <c r="AF22" s="34">
        <v>339.91</v>
      </c>
      <c r="AG22" s="34">
        <v>303.54000000000002</v>
      </c>
    </row>
    <row r="23" spans="1:33" hidden="1" x14ac:dyDescent="0.25">
      <c r="A23" s="17">
        <v>29</v>
      </c>
      <c r="B23" s="33">
        <v>1.8148148148148149E-2</v>
      </c>
      <c r="C23" s="33">
        <v>1.9895833333333335E-2</v>
      </c>
      <c r="D23" s="33">
        <v>1.9456018518518518E-2</v>
      </c>
      <c r="E23" s="33">
        <v>2.1377314814814814E-2</v>
      </c>
      <c r="F23" s="33">
        <v>2.7314814814814816E-2</v>
      </c>
      <c r="G23" s="33">
        <v>2.9942129629629631E-2</v>
      </c>
      <c r="H23" s="33">
        <v>2.929398148148148E-2</v>
      </c>
      <c r="I23" s="33">
        <v>3.2175925925925927E-2</v>
      </c>
      <c r="J23" s="33">
        <v>4.583333333333333E-2</v>
      </c>
      <c r="K23" s="33">
        <v>5.0254629629629628E-2</v>
      </c>
      <c r="L23" s="33">
        <v>4.9155092592592591E-2</v>
      </c>
      <c r="M23" s="33">
        <v>5.3993055555555558E-2</v>
      </c>
      <c r="N23" s="33">
        <v>5.5185185185185184E-2</v>
      </c>
      <c r="O23" s="33">
        <v>6.0509259259259263E-2</v>
      </c>
      <c r="P23" s="33">
        <v>5.9189814814814813E-2</v>
      </c>
      <c r="Q23" s="33">
        <v>6.5011574074074069E-2</v>
      </c>
      <c r="R23" s="33">
        <v>9.3275462962962963E-2</v>
      </c>
      <c r="S23" s="33">
        <v>0.10226851851851852</v>
      </c>
      <c r="T23" s="33">
        <v>0.10003472222222222</v>
      </c>
      <c r="U23" s="33">
        <v>0.10988425925925926</v>
      </c>
      <c r="V23" s="33">
        <v>0.19336805555555556</v>
      </c>
      <c r="W23" s="33">
        <v>0.21200231481481482</v>
      </c>
      <c r="X23" s="33">
        <v>0.20737268518518517</v>
      </c>
      <c r="Y23" s="33">
        <v>0.22778935185185184</v>
      </c>
      <c r="Z23" s="34">
        <v>221.9</v>
      </c>
      <c r="AA23" s="34">
        <v>194.97</v>
      </c>
      <c r="AB23" s="34">
        <v>201.18</v>
      </c>
      <c r="AC23" s="34">
        <v>175.75</v>
      </c>
      <c r="AD23" s="34">
        <v>368.69</v>
      </c>
      <c r="AE23" s="34">
        <v>331.13</v>
      </c>
      <c r="AF23" s="34">
        <v>339.91</v>
      </c>
      <c r="AG23" s="34">
        <v>303.54000000000002</v>
      </c>
    </row>
    <row r="24" spans="1:33" hidden="1" x14ac:dyDescent="0.25">
      <c r="A24" s="17">
        <v>30</v>
      </c>
      <c r="B24" s="33">
        <v>1.8148148148148149E-2</v>
      </c>
      <c r="C24" s="33">
        <v>1.9895833333333335E-2</v>
      </c>
      <c r="D24" s="33">
        <v>1.9456018518518518E-2</v>
      </c>
      <c r="E24" s="33">
        <v>2.1377314814814814E-2</v>
      </c>
      <c r="F24" s="33">
        <v>2.7314814814814816E-2</v>
      </c>
      <c r="G24" s="33">
        <v>2.9942129629629631E-2</v>
      </c>
      <c r="H24" s="33">
        <v>2.929398148148148E-2</v>
      </c>
      <c r="I24" s="33">
        <v>3.2175925925925927E-2</v>
      </c>
      <c r="J24" s="33">
        <v>4.583333333333333E-2</v>
      </c>
      <c r="K24" s="33">
        <v>5.0254629629629628E-2</v>
      </c>
      <c r="L24" s="33">
        <v>4.9155092592592591E-2</v>
      </c>
      <c r="M24" s="33">
        <v>5.3993055555555558E-2</v>
      </c>
      <c r="N24" s="33">
        <v>5.5185185185185184E-2</v>
      </c>
      <c r="O24" s="33">
        <v>6.0509259259259263E-2</v>
      </c>
      <c r="P24" s="33">
        <v>5.9189814814814813E-2</v>
      </c>
      <c r="Q24" s="33">
        <v>6.5011574074074069E-2</v>
      </c>
      <c r="R24" s="33">
        <v>9.3275462962962963E-2</v>
      </c>
      <c r="S24" s="33">
        <v>0.10226851851851852</v>
      </c>
      <c r="T24" s="33">
        <v>0.10003472222222222</v>
      </c>
      <c r="U24" s="33">
        <v>0.10988425925925926</v>
      </c>
      <c r="V24" s="33">
        <v>0.19336805555555556</v>
      </c>
      <c r="W24" s="33">
        <v>0.21200231481481482</v>
      </c>
      <c r="X24" s="33">
        <v>0.20737268518518517</v>
      </c>
      <c r="Y24" s="33">
        <v>0.22778935185185184</v>
      </c>
      <c r="Z24" s="34">
        <v>221.9</v>
      </c>
      <c r="AA24" s="34">
        <v>194.97</v>
      </c>
      <c r="AB24" s="34">
        <v>201.18</v>
      </c>
      <c r="AC24" s="34">
        <v>175.75</v>
      </c>
      <c r="AD24" s="34">
        <v>368.69</v>
      </c>
      <c r="AE24" s="34">
        <v>331.13</v>
      </c>
      <c r="AF24" s="34">
        <v>339.91</v>
      </c>
      <c r="AG24" s="34">
        <v>303.54000000000002</v>
      </c>
    </row>
    <row r="25" spans="1:33" hidden="1" x14ac:dyDescent="0.25">
      <c r="A25" s="17">
        <v>31</v>
      </c>
      <c r="B25" s="33">
        <v>1.8148148148148149E-2</v>
      </c>
      <c r="C25" s="33">
        <v>1.9895833333333335E-2</v>
      </c>
      <c r="D25" s="33">
        <v>1.9456018518518518E-2</v>
      </c>
      <c r="E25" s="33">
        <v>2.1377314814814814E-2</v>
      </c>
      <c r="F25" s="33">
        <v>2.7314814814814816E-2</v>
      </c>
      <c r="G25" s="33">
        <v>2.9942129629629631E-2</v>
      </c>
      <c r="H25" s="33">
        <v>2.929398148148148E-2</v>
      </c>
      <c r="I25" s="33">
        <v>3.2175925925925927E-2</v>
      </c>
      <c r="J25" s="33">
        <v>4.583333333333333E-2</v>
      </c>
      <c r="K25" s="33">
        <v>5.0254629629629628E-2</v>
      </c>
      <c r="L25" s="33">
        <v>4.9155092592592591E-2</v>
      </c>
      <c r="M25" s="33">
        <v>5.3993055555555558E-2</v>
      </c>
      <c r="N25" s="33">
        <v>5.5185185185185184E-2</v>
      </c>
      <c r="O25" s="33">
        <v>6.0509259259259263E-2</v>
      </c>
      <c r="P25" s="33">
        <v>5.9189814814814813E-2</v>
      </c>
      <c r="Q25" s="33">
        <v>6.5011574074074069E-2</v>
      </c>
      <c r="R25" s="33">
        <v>9.3275462962962963E-2</v>
      </c>
      <c r="S25" s="33">
        <v>0.10226851851851852</v>
      </c>
      <c r="T25" s="33">
        <v>0.10003472222222222</v>
      </c>
      <c r="U25" s="33">
        <v>0.10988425925925926</v>
      </c>
      <c r="V25" s="33">
        <v>0.19336805555555556</v>
      </c>
      <c r="W25" s="33">
        <v>0.21200231481481482</v>
      </c>
      <c r="X25" s="33">
        <v>0.20737268518518517</v>
      </c>
      <c r="Y25" s="33">
        <v>0.22778935185185184</v>
      </c>
      <c r="Z25" s="34">
        <v>221.9</v>
      </c>
      <c r="AA25" s="34">
        <v>194.97</v>
      </c>
      <c r="AB25" s="34">
        <v>201.18</v>
      </c>
      <c r="AC25" s="34">
        <v>175.75</v>
      </c>
      <c r="AD25" s="34">
        <v>368.69</v>
      </c>
      <c r="AE25" s="34">
        <v>331.13</v>
      </c>
      <c r="AF25" s="34">
        <v>339.91</v>
      </c>
      <c r="AG25" s="34">
        <v>303.54000000000002</v>
      </c>
    </row>
    <row r="26" spans="1:33" hidden="1" x14ac:dyDescent="0.25">
      <c r="A26" s="17">
        <v>32</v>
      </c>
      <c r="B26" s="33">
        <v>1.8148148148148149E-2</v>
      </c>
      <c r="C26" s="33">
        <v>1.9895833333333335E-2</v>
      </c>
      <c r="D26" s="33">
        <v>1.9456018518518518E-2</v>
      </c>
      <c r="E26" s="33">
        <v>2.1377314814814814E-2</v>
      </c>
      <c r="F26" s="33">
        <v>2.7314814814814816E-2</v>
      </c>
      <c r="G26" s="33">
        <v>2.9942129629629631E-2</v>
      </c>
      <c r="H26" s="33">
        <v>2.929398148148148E-2</v>
      </c>
      <c r="I26" s="33">
        <v>3.2175925925925927E-2</v>
      </c>
      <c r="J26" s="33">
        <v>4.583333333333333E-2</v>
      </c>
      <c r="K26" s="33">
        <v>5.0254629629629628E-2</v>
      </c>
      <c r="L26" s="33">
        <v>4.9155092592592591E-2</v>
      </c>
      <c r="M26" s="33">
        <v>5.3993055555555558E-2</v>
      </c>
      <c r="N26" s="33">
        <v>5.5185185185185184E-2</v>
      </c>
      <c r="O26" s="33">
        <v>6.0509259259259263E-2</v>
      </c>
      <c r="P26" s="33">
        <v>5.9189814814814813E-2</v>
      </c>
      <c r="Q26" s="33">
        <v>6.5011574074074069E-2</v>
      </c>
      <c r="R26" s="33">
        <v>9.3275462962962963E-2</v>
      </c>
      <c r="S26" s="33">
        <v>0.10226851851851852</v>
      </c>
      <c r="T26" s="33">
        <v>0.10003472222222222</v>
      </c>
      <c r="U26" s="33">
        <v>0.10988425925925926</v>
      </c>
      <c r="V26" s="33">
        <v>0.19336805555555556</v>
      </c>
      <c r="W26" s="33">
        <v>0.21200231481481482</v>
      </c>
      <c r="X26" s="33">
        <v>0.20737268518518517</v>
      </c>
      <c r="Y26" s="33">
        <v>0.22778935185185184</v>
      </c>
      <c r="Z26" s="34">
        <v>221.9</v>
      </c>
      <c r="AA26" s="34">
        <v>194.97</v>
      </c>
      <c r="AB26" s="34">
        <v>201.18</v>
      </c>
      <c r="AC26" s="34">
        <v>175.75</v>
      </c>
      <c r="AD26" s="34">
        <v>368.69</v>
      </c>
      <c r="AE26" s="34">
        <v>331.13</v>
      </c>
      <c r="AF26" s="34">
        <v>339.91</v>
      </c>
      <c r="AG26" s="34">
        <v>303.54000000000002</v>
      </c>
    </row>
    <row r="27" spans="1:33" hidden="1" x14ac:dyDescent="0.25">
      <c r="A27" s="17">
        <v>33</v>
      </c>
      <c r="B27" s="33">
        <v>1.8148148148148149E-2</v>
      </c>
      <c r="C27" s="33">
        <v>1.9895833333333335E-2</v>
      </c>
      <c r="D27" s="33">
        <v>1.9456018518518518E-2</v>
      </c>
      <c r="E27" s="33">
        <v>2.1377314814814814E-2</v>
      </c>
      <c r="F27" s="33">
        <v>2.7314814814814816E-2</v>
      </c>
      <c r="G27" s="33">
        <v>2.9942129629629631E-2</v>
      </c>
      <c r="H27" s="33">
        <v>2.929398148148148E-2</v>
      </c>
      <c r="I27" s="33">
        <v>3.2175925925925927E-2</v>
      </c>
      <c r="J27" s="33">
        <v>4.583333333333333E-2</v>
      </c>
      <c r="K27" s="33">
        <v>5.0254629629629628E-2</v>
      </c>
      <c r="L27" s="33">
        <v>4.9155092592592591E-2</v>
      </c>
      <c r="M27" s="33">
        <v>5.3993055555555558E-2</v>
      </c>
      <c r="N27" s="33">
        <v>5.5185185185185184E-2</v>
      </c>
      <c r="O27" s="33">
        <v>6.0509259259259263E-2</v>
      </c>
      <c r="P27" s="33">
        <v>5.9189814814814813E-2</v>
      </c>
      <c r="Q27" s="33">
        <v>6.5011574074074069E-2</v>
      </c>
      <c r="R27" s="33">
        <v>9.3275462962962963E-2</v>
      </c>
      <c r="S27" s="33">
        <v>0.10226851851851852</v>
      </c>
      <c r="T27" s="33">
        <v>0.10003472222222222</v>
      </c>
      <c r="U27" s="33">
        <v>0.10988425925925926</v>
      </c>
      <c r="V27" s="33">
        <v>0.19336805555555556</v>
      </c>
      <c r="W27" s="33">
        <v>0.21200231481481482</v>
      </c>
      <c r="X27" s="33">
        <v>0.20737268518518517</v>
      </c>
      <c r="Y27" s="33">
        <v>0.22778935185185184</v>
      </c>
      <c r="Z27" s="34">
        <v>221.9</v>
      </c>
      <c r="AA27" s="34">
        <v>194.97</v>
      </c>
      <c r="AB27" s="34">
        <v>201.18</v>
      </c>
      <c r="AC27" s="34">
        <v>175.75</v>
      </c>
      <c r="AD27" s="34">
        <v>368.69</v>
      </c>
      <c r="AE27" s="34">
        <v>331.13</v>
      </c>
      <c r="AF27" s="34">
        <v>339.91</v>
      </c>
      <c r="AG27" s="34">
        <v>303.54000000000002</v>
      </c>
    </row>
    <row r="28" spans="1:33" hidden="1" x14ac:dyDescent="0.25">
      <c r="A28" s="17">
        <v>34</v>
      </c>
      <c r="B28" s="33">
        <v>1.8148148148148149E-2</v>
      </c>
      <c r="C28" s="33">
        <v>1.9895833333333335E-2</v>
      </c>
      <c r="D28" s="33">
        <v>1.9456018518518518E-2</v>
      </c>
      <c r="E28" s="33">
        <v>2.1377314814814814E-2</v>
      </c>
      <c r="F28" s="33">
        <v>2.7314814814814816E-2</v>
      </c>
      <c r="G28" s="33">
        <v>2.9942129629629631E-2</v>
      </c>
      <c r="H28" s="33">
        <v>2.929398148148148E-2</v>
      </c>
      <c r="I28" s="33">
        <v>3.2175925925925927E-2</v>
      </c>
      <c r="J28" s="33">
        <v>4.583333333333333E-2</v>
      </c>
      <c r="K28" s="33">
        <v>5.0254629629629628E-2</v>
      </c>
      <c r="L28" s="33">
        <v>4.9155092592592591E-2</v>
      </c>
      <c r="M28" s="33">
        <v>5.3993055555555558E-2</v>
      </c>
      <c r="N28" s="33">
        <v>5.5185185185185184E-2</v>
      </c>
      <c r="O28" s="33">
        <v>6.0509259259259263E-2</v>
      </c>
      <c r="P28" s="33">
        <v>5.9189814814814813E-2</v>
      </c>
      <c r="Q28" s="33">
        <v>6.5011574074074069E-2</v>
      </c>
      <c r="R28" s="33">
        <v>9.3275462962962963E-2</v>
      </c>
      <c r="S28" s="33">
        <v>0.10226851851851852</v>
      </c>
      <c r="T28" s="33">
        <v>0.10003472222222222</v>
      </c>
      <c r="U28" s="33">
        <v>0.10988425925925926</v>
      </c>
      <c r="V28" s="33">
        <v>0.19336805555555556</v>
      </c>
      <c r="W28" s="33">
        <v>0.21200231481481482</v>
      </c>
      <c r="X28" s="33">
        <v>0.20737268518518517</v>
      </c>
      <c r="Y28" s="33">
        <v>0.22778935185185184</v>
      </c>
      <c r="Z28" s="34">
        <v>221.9</v>
      </c>
      <c r="AA28" s="34">
        <v>194.97</v>
      </c>
      <c r="AB28" s="34">
        <v>201.18</v>
      </c>
      <c r="AC28" s="34">
        <v>175.75</v>
      </c>
      <c r="AD28" s="34">
        <v>368.69</v>
      </c>
      <c r="AE28" s="34">
        <v>331.13</v>
      </c>
      <c r="AF28" s="34">
        <v>339.91</v>
      </c>
      <c r="AG28" s="34">
        <v>303.54000000000002</v>
      </c>
    </row>
    <row r="29" spans="1:33" hidden="1" x14ac:dyDescent="0.25">
      <c r="A29" s="17">
        <v>35</v>
      </c>
      <c r="B29" s="33">
        <v>1.8148148148148149E-2</v>
      </c>
      <c r="C29" s="33">
        <v>1.9895833333333335E-2</v>
      </c>
      <c r="D29" s="33">
        <v>1.9456018518518518E-2</v>
      </c>
      <c r="E29" s="33">
        <v>2.1377314814814814E-2</v>
      </c>
      <c r="F29" s="33">
        <v>2.7314814814814816E-2</v>
      </c>
      <c r="G29" s="33">
        <v>2.9942129629629631E-2</v>
      </c>
      <c r="H29" s="33">
        <v>2.929398148148148E-2</v>
      </c>
      <c r="I29" s="33">
        <v>3.2175925925925927E-2</v>
      </c>
      <c r="J29" s="33">
        <v>4.583333333333333E-2</v>
      </c>
      <c r="K29" s="33">
        <v>5.0254629629629628E-2</v>
      </c>
      <c r="L29" s="33">
        <v>4.9155092592592591E-2</v>
      </c>
      <c r="M29" s="33">
        <v>5.3993055555555558E-2</v>
      </c>
      <c r="N29" s="33">
        <v>5.5185185185185184E-2</v>
      </c>
      <c r="O29" s="33">
        <v>6.0509259259259263E-2</v>
      </c>
      <c r="P29" s="33">
        <v>5.9189814814814813E-2</v>
      </c>
      <c r="Q29" s="33">
        <v>6.5011574074074069E-2</v>
      </c>
      <c r="R29" s="33">
        <v>9.3275462962962963E-2</v>
      </c>
      <c r="S29" s="33">
        <v>0.10226851851851852</v>
      </c>
      <c r="T29" s="33">
        <v>0.10003472222222222</v>
      </c>
      <c r="U29" s="33">
        <v>0.10988425925925926</v>
      </c>
      <c r="V29" s="33">
        <v>0.19336805555555556</v>
      </c>
      <c r="W29" s="33">
        <v>0.21200231481481482</v>
      </c>
      <c r="X29" s="33">
        <v>0.20737268518518517</v>
      </c>
      <c r="Y29" s="33">
        <v>0.22778935185185184</v>
      </c>
      <c r="Z29" s="34">
        <v>221.9</v>
      </c>
      <c r="AA29" s="34">
        <v>194.97</v>
      </c>
      <c r="AB29" s="34">
        <v>201.18</v>
      </c>
      <c r="AC29" s="34">
        <v>175.75</v>
      </c>
      <c r="AD29" s="34">
        <v>368.69</v>
      </c>
      <c r="AE29" s="34">
        <v>331.13</v>
      </c>
      <c r="AF29" s="34">
        <v>339.91</v>
      </c>
      <c r="AG29" s="34">
        <v>303.54000000000002</v>
      </c>
    </row>
    <row r="30" spans="1:33" hidden="1" x14ac:dyDescent="0.25">
      <c r="A30" s="17">
        <v>36</v>
      </c>
      <c r="B30" s="33">
        <v>1.8148148148148149E-2</v>
      </c>
      <c r="C30" s="33">
        <v>1.9895833333333335E-2</v>
      </c>
      <c r="D30" s="33">
        <v>1.9456018518518518E-2</v>
      </c>
      <c r="E30" s="33">
        <v>2.1377314814814814E-2</v>
      </c>
      <c r="F30" s="33">
        <v>2.7314814814814816E-2</v>
      </c>
      <c r="G30" s="33">
        <v>2.9942129629629631E-2</v>
      </c>
      <c r="H30" s="33">
        <v>2.929398148148148E-2</v>
      </c>
      <c r="I30" s="33">
        <v>3.2175925925925927E-2</v>
      </c>
      <c r="J30" s="33">
        <v>4.583333333333333E-2</v>
      </c>
      <c r="K30" s="33">
        <v>5.0254629629629628E-2</v>
      </c>
      <c r="L30" s="33">
        <v>4.9155092592592591E-2</v>
      </c>
      <c r="M30" s="33">
        <v>5.3993055555555558E-2</v>
      </c>
      <c r="N30" s="33">
        <v>5.5185185185185184E-2</v>
      </c>
      <c r="O30" s="33">
        <v>6.0509259259259263E-2</v>
      </c>
      <c r="P30" s="33">
        <v>5.9189814814814813E-2</v>
      </c>
      <c r="Q30" s="33">
        <v>6.5011574074074069E-2</v>
      </c>
      <c r="R30" s="33">
        <v>9.3275462962962963E-2</v>
      </c>
      <c r="S30" s="33">
        <v>0.10226851851851852</v>
      </c>
      <c r="T30" s="33">
        <v>0.10003472222222222</v>
      </c>
      <c r="U30" s="33">
        <v>0.10988425925925926</v>
      </c>
      <c r="V30" s="33">
        <v>0.19336805555555556</v>
      </c>
      <c r="W30" s="33">
        <v>0.21200231481481482</v>
      </c>
      <c r="X30" s="33">
        <v>0.20737268518518517</v>
      </c>
      <c r="Y30" s="33">
        <v>0.22778935185185184</v>
      </c>
      <c r="Z30" s="34">
        <v>221.9</v>
      </c>
      <c r="AA30" s="34">
        <v>194.97</v>
      </c>
      <c r="AB30" s="34">
        <v>201.18</v>
      </c>
      <c r="AC30" s="34">
        <v>175.75</v>
      </c>
      <c r="AD30" s="34">
        <v>368.69</v>
      </c>
      <c r="AE30" s="34">
        <v>331.13</v>
      </c>
      <c r="AF30" s="34">
        <v>339.91</v>
      </c>
      <c r="AG30" s="34">
        <v>303.54000000000002</v>
      </c>
    </row>
    <row r="31" spans="1:33" hidden="1" x14ac:dyDescent="0.25">
      <c r="A31" s="17">
        <v>37</v>
      </c>
      <c r="B31" s="33">
        <v>1.8148148148148149E-2</v>
      </c>
      <c r="C31" s="33">
        <v>1.9895833333333335E-2</v>
      </c>
      <c r="D31" s="33">
        <v>1.9456018518518518E-2</v>
      </c>
      <c r="E31" s="33">
        <v>2.1377314814814814E-2</v>
      </c>
      <c r="F31" s="33">
        <v>2.7314814814814816E-2</v>
      </c>
      <c r="G31" s="33">
        <v>2.9942129629629631E-2</v>
      </c>
      <c r="H31" s="33">
        <v>2.929398148148148E-2</v>
      </c>
      <c r="I31" s="33">
        <v>3.2175925925925927E-2</v>
      </c>
      <c r="J31" s="33">
        <v>4.583333333333333E-2</v>
      </c>
      <c r="K31" s="33">
        <v>5.0254629629629628E-2</v>
      </c>
      <c r="L31" s="33">
        <v>4.9155092592592591E-2</v>
      </c>
      <c r="M31" s="33">
        <v>5.3993055555555558E-2</v>
      </c>
      <c r="N31" s="33">
        <v>5.5185185185185184E-2</v>
      </c>
      <c r="O31" s="33">
        <v>6.0509259259259263E-2</v>
      </c>
      <c r="P31" s="33">
        <v>5.9189814814814813E-2</v>
      </c>
      <c r="Q31" s="33">
        <v>6.5011574074074069E-2</v>
      </c>
      <c r="R31" s="33">
        <v>9.3275462962962963E-2</v>
      </c>
      <c r="S31" s="33">
        <v>0.10226851851851852</v>
      </c>
      <c r="T31" s="33">
        <v>0.10003472222222222</v>
      </c>
      <c r="U31" s="33">
        <v>0.10988425925925926</v>
      </c>
      <c r="V31" s="33">
        <v>0.19336805555555556</v>
      </c>
      <c r="W31" s="33">
        <v>0.21200231481481482</v>
      </c>
      <c r="X31" s="33">
        <v>0.20737268518518517</v>
      </c>
      <c r="Y31" s="33">
        <v>0.22778935185185184</v>
      </c>
      <c r="Z31" s="34">
        <v>221.9</v>
      </c>
      <c r="AA31" s="34">
        <v>194.97</v>
      </c>
      <c r="AB31" s="34">
        <v>201.18</v>
      </c>
      <c r="AC31" s="34">
        <v>175.75</v>
      </c>
      <c r="AD31" s="34">
        <v>368.69</v>
      </c>
      <c r="AE31" s="34">
        <v>331.13</v>
      </c>
      <c r="AF31" s="34">
        <v>339.91</v>
      </c>
      <c r="AG31" s="34">
        <v>303.54000000000002</v>
      </c>
    </row>
    <row r="32" spans="1:33" hidden="1" x14ac:dyDescent="0.25">
      <c r="A32" s="17">
        <v>38</v>
      </c>
      <c r="B32" s="33">
        <v>1.8148148148148149E-2</v>
      </c>
      <c r="C32" s="33">
        <v>1.9895833333333335E-2</v>
      </c>
      <c r="D32" s="33">
        <v>1.9456018518518518E-2</v>
      </c>
      <c r="E32" s="33">
        <v>2.1377314814814814E-2</v>
      </c>
      <c r="F32" s="33">
        <v>2.7314814814814816E-2</v>
      </c>
      <c r="G32" s="33">
        <v>2.9942129629629631E-2</v>
      </c>
      <c r="H32" s="33">
        <v>2.929398148148148E-2</v>
      </c>
      <c r="I32" s="33">
        <v>3.2175925925925927E-2</v>
      </c>
      <c r="J32" s="33">
        <v>4.583333333333333E-2</v>
      </c>
      <c r="K32" s="33">
        <v>5.0254629629629628E-2</v>
      </c>
      <c r="L32" s="33">
        <v>4.9155092592592591E-2</v>
      </c>
      <c r="M32" s="33">
        <v>5.3993055555555558E-2</v>
      </c>
      <c r="N32" s="33">
        <v>5.5185185185185184E-2</v>
      </c>
      <c r="O32" s="33">
        <v>6.0509259259259263E-2</v>
      </c>
      <c r="P32" s="33">
        <v>5.9189814814814813E-2</v>
      </c>
      <c r="Q32" s="33">
        <v>6.5011574074074069E-2</v>
      </c>
      <c r="R32" s="33">
        <v>9.3275462962962963E-2</v>
      </c>
      <c r="S32" s="33">
        <v>0.10226851851851852</v>
      </c>
      <c r="T32" s="33">
        <v>0.10003472222222222</v>
      </c>
      <c r="U32" s="33">
        <v>0.10988425925925926</v>
      </c>
      <c r="V32" s="33">
        <v>0.19336805555555556</v>
      </c>
      <c r="W32" s="33">
        <v>0.21200231481481482</v>
      </c>
      <c r="X32" s="33">
        <v>0.20737268518518517</v>
      </c>
      <c r="Y32" s="33">
        <v>0.22778935185185184</v>
      </c>
      <c r="Z32" s="34">
        <v>221.9</v>
      </c>
      <c r="AA32" s="34">
        <v>194.97</v>
      </c>
      <c r="AB32" s="34">
        <v>201.18</v>
      </c>
      <c r="AC32" s="34">
        <v>175.75</v>
      </c>
      <c r="AD32" s="34">
        <v>368.69</v>
      </c>
      <c r="AE32" s="34">
        <v>331.13</v>
      </c>
      <c r="AF32" s="34">
        <v>339.91</v>
      </c>
      <c r="AG32" s="34">
        <v>303.54000000000002</v>
      </c>
    </row>
    <row r="33" spans="1:33" hidden="1" x14ac:dyDescent="0.25">
      <c r="A33" s="17">
        <v>39</v>
      </c>
      <c r="B33" s="33">
        <v>1.8148148148148149E-2</v>
      </c>
      <c r="C33" s="33">
        <v>1.9895833333333335E-2</v>
      </c>
      <c r="D33" s="33">
        <v>1.9456018518518518E-2</v>
      </c>
      <c r="E33" s="33">
        <v>2.1377314814814814E-2</v>
      </c>
      <c r="F33" s="33">
        <v>2.7314814814814816E-2</v>
      </c>
      <c r="G33" s="33">
        <v>2.9942129629629631E-2</v>
      </c>
      <c r="H33" s="33">
        <v>2.929398148148148E-2</v>
      </c>
      <c r="I33" s="33">
        <v>3.2175925925925927E-2</v>
      </c>
      <c r="J33" s="33">
        <v>4.583333333333333E-2</v>
      </c>
      <c r="K33" s="33">
        <v>5.0254629629629628E-2</v>
      </c>
      <c r="L33" s="33">
        <v>4.9155092592592591E-2</v>
      </c>
      <c r="M33" s="33">
        <v>5.3993055555555558E-2</v>
      </c>
      <c r="N33" s="33">
        <v>5.5185185185185184E-2</v>
      </c>
      <c r="O33" s="33">
        <v>6.0509259259259263E-2</v>
      </c>
      <c r="P33" s="33">
        <v>5.9189814814814813E-2</v>
      </c>
      <c r="Q33" s="33">
        <v>6.5011574074074069E-2</v>
      </c>
      <c r="R33" s="33">
        <v>9.3275462962962963E-2</v>
      </c>
      <c r="S33" s="33">
        <v>0.10226851851851852</v>
      </c>
      <c r="T33" s="33">
        <v>0.10003472222222222</v>
      </c>
      <c r="U33" s="33">
        <v>0.10988425925925926</v>
      </c>
      <c r="V33" s="33">
        <v>0.19336805555555556</v>
      </c>
      <c r="W33" s="33">
        <v>0.21200231481481482</v>
      </c>
      <c r="X33" s="33">
        <v>0.20737268518518517</v>
      </c>
      <c r="Y33" s="33">
        <v>0.22778935185185184</v>
      </c>
      <c r="Z33" s="34">
        <v>221.9</v>
      </c>
      <c r="AA33" s="34">
        <v>194.97</v>
      </c>
      <c r="AB33" s="34">
        <v>201.18</v>
      </c>
      <c r="AC33" s="34">
        <v>175.75</v>
      </c>
      <c r="AD33" s="34">
        <v>368.69</v>
      </c>
      <c r="AE33" s="34">
        <v>331.13</v>
      </c>
      <c r="AF33" s="34">
        <v>339.91</v>
      </c>
      <c r="AG33" s="34">
        <v>303.54000000000002</v>
      </c>
    </row>
    <row r="34" spans="1:33" x14ac:dyDescent="0.25">
      <c r="A34" s="17">
        <v>40</v>
      </c>
      <c r="B34" s="30">
        <v>1.8148148148148149E-2</v>
      </c>
      <c r="C34" s="30">
        <v>1.9895833333333335E-2</v>
      </c>
      <c r="D34" s="30">
        <v>1.9456018518518518E-2</v>
      </c>
      <c r="E34" s="30">
        <v>2.1377314814814814E-2</v>
      </c>
      <c r="F34" s="30">
        <v>2.7314814814814816E-2</v>
      </c>
      <c r="G34" s="30">
        <v>2.9942129629629631E-2</v>
      </c>
      <c r="H34" s="30">
        <v>2.929398148148148E-2</v>
      </c>
      <c r="I34" s="30">
        <v>3.2175925925925927E-2</v>
      </c>
      <c r="J34" s="30">
        <v>4.583333333333333E-2</v>
      </c>
      <c r="K34" s="30">
        <v>5.0254629629629628E-2</v>
      </c>
      <c r="L34" s="30">
        <v>4.9155092592592591E-2</v>
      </c>
      <c r="M34" s="30">
        <v>5.3993055555555558E-2</v>
      </c>
      <c r="N34" s="30">
        <v>5.5185185185185184E-2</v>
      </c>
      <c r="O34" s="30">
        <v>6.0509259259259263E-2</v>
      </c>
      <c r="P34" s="30">
        <v>5.9189814814814813E-2</v>
      </c>
      <c r="Q34" s="30">
        <v>6.5011574074074069E-2</v>
      </c>
      <c r="R34" s="30">
        <v>9.3275462962962963E-2</v>
      </c>
      <c r="S34" s="30">
        <v>0.10226851851851852</v>
      </c>
      <c r="T34" s="30">
        <v>0.10003472222222222</v>
      </c>
      <c r="U34" s="30">
        <v>0.10988425925925926</v>
      </c>
      <c r="V34" s="30">
        <v>0.19336805555555556</v>
      </c>
      <c r="W34" s="30">
        <v>0.21200231481481482</v>
      </c>
      <c r="X34" s="30">
        <v>0.20737268518518517</v>
      </c>
      <c r="Y34" s="30">
        <v>0.22778935185185184</v>
      </c>
      <c r="Z34" s="31">
        <v>221.9</v>
      </c>
      <c r="AA34" s="31">
        <v>194.97</v>
      </c>
      <c r="AB34" s="31">
        <v>201.18</v>
      </c>
      <c r="AC34" s="31">
        <v>175.75</v>
      </c>
      <c r="AD34" s="31">
        <v>368.69</v>
      </c>
      <c r="AE34" s="31">
        <v>331.13</v>
      </c>
      <c r="AF34" s="31">
        <v>339.91</v>
      </c>
      <c r="AG34" s="31">
        <v>303.54000000000002</v>
      </c>
    </row>
    <row r="35" spans="1:33" x14ac:dyDescent="0.25">
      <c r="A35" s="25">
        <v>41</v>
      </c>
      <c r="B35" s="30">
        <v>1.8171296296296297E-2</v>
      </c>
      <c r="C35" s="30">
        <v>1.9907407407407408E-2</v>
      </c>
      <c r="D35" s="30">
        <v>1.9490740740740739E-2</v>
      </c>
      <c r="E35" s="30">
        <v>2.1388888888888888E-2</v>
      </c>
      <c r="F35" s="30">
        <v>2.7349537037037037E-2</v>
      </c>
      <c r="G35" s="30">
        <v>2.9965277777777778E-2</v>
      </c>
      <c r="H35" s="30">
        <v>2.9328703703703704E-2</v>
      </c>
      <c r="I35" s="30">
        <v>3.2199074074074074E-2</v>
      </c>
      <c r="J35" s="30">
        <v>4.5902777777777778E-2</v>
      </c>
      <c r="K35" s="30">
        <v>5.0289351851851849E-2</v>
      </c>
      <c r="L35" s="30">
        <v>4.9224537037037039E-2</v>
      </c>
      <c r="M35" s="30">
        <v>5.4027777777777779E-2</v>
      </c>
      <c r="N35" s="30">
        <v>5.527777777777778E-2</v>
      </c>
      <c r="O35" s="30">
        <v>6.0555555555555557E-2</v>
      </c>
      <c r="P35" s="30">
        <v>5.9282407407407409E-2</v>
      </c>
      <c r="Q35" s="30">
        <v>6.5057870370370377E-2</v>
      </c>
      <c r="R35" s="30">
        <v>9.3425925925925926E-2</v>
      </c>
      <c r="S35" s="30">
        <v>0.10234953703703703</v>
      </c>
      <c r="T35" s="30">
        <v>0.10019675925925926</v>
      </c>
      <c r="U35" s="30">
        <v>0.10996527777777777</v>
      </c>
      <c r="V35" s="30">
        <v>0.19370370370370371</v>
      </c>
      <c r="W35" s="30">
        <v>0.21219907407407407</v>
      </c>
      <c r="X35" s="30">
        <v>0.20774305555555556</v>
      </c>
      <c r="Y35" s="30">
        <v>0.22799768518518518</v>
      </c>
      <c r="Z35" s="31">
        <v>221.19</v>
      </c>
      <c r="AA35" s="31">
        <v>194.57</v>
      </c>
      <c r="AB35" s="31">
        <v>200.54</v>
      </c>
      <c r="AC35" s="31">
        <v>175.39</v>
      </c>
      <c r="AD35" s="31">
        <v>367.28</v>
      </c>
      <c r="AE35" s="31">
        <v>330.21</v>
      </c>
      <c r="AF35" s="31">
        <v>338.63</v>
      </c>
      <c r="AG35" s="31">
        <v>302.70999999999998</v>
      </c>
    </row>
    <row r="36" spans="1:33" x14ac:dyDescent="0.25">
      <c r="A36" s="25">
        <v>42</v>
      </c>
      <c r="B36" s="30">
        <v>1.8206018518518517E-2</v>
      </c>
      <c r="C36" s="30">
        <v>1.9918981481481482E-2</v>
      </c>
      <c r="D36" s="30">
        <v>1.9525462962962963E-2</v>
      </c>
      <c r="E36" s="30">
        <v>2.1400462962962961E-2</v>
      </c>
      <c r="F36" s="30">
        <v>2.7395833333333335E-2</v>
      </c>
      <c r="G36" s="30">
        <v>2.9988425925925925E-2</v>
      </c>
      <c r="H36" s="30">
        <v>2.9386574074074075E-2</v>
      </c>
      <c r="I36" s="30">
        <v>3.2222222222222222E-2</v>
      </c>
      <c r="J36" s="30">
        <v>4.5983796296296293E-2</v>
      </c>
      <c r="K36" s="30">
        <v>5.0324074074074077E-2</v>
      </c>
      <c r="L36" s="30">
        <v>4.9317129629629627E-2</v>
      </c>
      <c r="M36" s="30">
        <v>5.4074074074074073E-2</v>
      </c>
      <c r="N36" s="30">
        <v>5.5370370370370368E-2</v>
      </c>
      <c r="O36" s="30">
        <v>6.0601851851851851E-2</v>
      </c>
      <c r="P36" s="30">
        <v>5.9386574074074071E-2</v>
      </c>
      <c r="Q36" s="30">
        <v>6.5115740740740738E-2</v>
      </c>
      <c r="R36" s="30">
        <v>9.3599537037037037E-2</v>
      </c>
      <c r="S36" s="30">
        <v>0.10243055555555555</v>
      </c>
      <c r="T36" s="30">
        <v>0.10038194444444444</v>
      </c>
      <c r="U36" s="30">
        <v>0.11005787037037038</v>
      </c>
      <c r="V36" s="30">
        <v>0.19407407407407407</v>
      </c>
      <c r="W36" s="30">
        <v>0.21240740740740741</v>
      </c>
      <c r="X36" s="30">
        <v>0.20814814814814814</v>
      </c>
      <c r="Y36" s="30">
        <v>0.22822916666666668</v>
      </c>
      <c r="Z36" s="31">
        <v>220.38</v>
      </c>
      <c r="AA36" s="31">
        <v>194.14</v>
      </c>
      <c r="AB36" s="31">
        <v>199.8</v>
      </c>
      <c r="AC36" s="31">
        <v>175</v>
      </c>
      <c r="AD36" s="31">
        <v>365.67</v>
      </c>
      <c r="AE36" s="31">
        <v>329.18</v>
      </c>
      <c r="AF36" s="31">
        <v>337.16</v>
      </c>
      <c r="AG36" s="31">
        <v>301.8</v>
      </c>
    </row>
    <row r="37" spans="1:33" x14ac:dyDescent="0.25">
      <c r="A37" s="25">
        <v>43</v>
      </c>
      <c r="B37" s="30">
        <v>1.8240740740740741E-2</v>
      </c>
      <c r="C37" s="30">
        <v>1.9942129629629629E-2</v>
      </c>
      <c r="D37" s="30">
        <v>1.9560185185185184E-2</v>
      </c>
      <c r="E37" s="30">
        <v>2.1423611111111112E-2</v>
      </c>
      <c r="F37" s="30">
        <v>2.7453703703703702E-2</v>
      </c>
      <c r="G37" s="30">
        <v>3.0011574074074072E-2</v>
      </c>
      <c r="H37" s="30">
        <v>2.9444444444444443E-2</v>
      </c>
      <c r="I37" s="30">
        <v>3.2245370370370369E-2</v>
      </c>
      <c r="J37" s="30">
        <v>4.6076388888888889E-2</v>
      </c>
      <c r="K37" s="30">
        <v>5.0358796296296297E-2</v>
      </c>
      <c r="L37" s="30">
        <v>4.9421296296296297E-2</v>
      </c>
      <c r="M37" s="30">
        <v>5.4120370370370367E-2</v>
      </c>
      <c r="N37" s="30">
        <v>5.5486111111111111E-2</v>
      </c>
      <c r="O37" s="30">
        <v>6.0648148148148145E-2</v>
      </c>
      <c r="P37" s="30">
        <v>5.9502314814814813E-2</v>
      </c>
      <c r="Q37" s="30">
        <v>6.5162037037037032E-2</v>
      </c>
      <c r="R37" s="30">
        <v>9.3784722222222228E-2</v>
      </c>
      <c r="S37" s="30">
        <v>0.10252314814814815</v>
      </c>
      <c r="T37" s="30">
        <v>0.10059027777777778</v>
      </c>
      <c r="U37" s="30">
        <v>0.11016203703703703</v>
      </c>
      <c r="V37" s="30">
        <v>0.19450231481481481</v>
      </c>
      <c r="W37" s="30">
        <v>0.21261574074074074</v>
      </c>
      <c r="X37" s="30">
        <v>0.20862268518518517</v>
      </c>
      <c r="Y37" s="30">
        <v>0.22846064814814815</v>
      </c>
      <c r="Z37" s="31">
        <v>219.47</v>
      </c>
      <c r="AA37" s="31">
        <v>193.67</v>
      </c>
      <c r="AB37" s="31">
        <v>198.97</v>
      </c>
      <c r="AC37" s="31">
        <v>174.59</v>
      </c>
      <c r="AD37" s="31">
        <v>363.87</v>
      </c>
      <c r="AE37" s="31">
        <v>328.06</v>
      </c>
      <c r="AF37" s="31">
        <v>335.51</v>
      </c>
      <c r="AG37" s="31">
        <v>300.79000000000002</v>
      </c>
    </row>
    <row r="38" spans="1:33" x14ac:dyDescent="0.25">
      <c r="A38" s="25">
        <v>44</v>
      </c>
      <c r="B38" s="30">
        <v>1.8275462962962962E-2</v>
      </c>
      <c r="C38" s="30">
        <v>1.9953703703703703E-2</v>
      </c>
      <c r="D38" s="30">
        <v>1.9606481481481482E-2</v>
      </c>
      <c r="E38" s="30">
        <v>2.1435185185185186E-2</v>
      </c>
      <c r="F38" s="30">
        <v>2.7511574074074074E-2</v>
      </c>
      <c r="G38" s="30">
        <v>3.0034722222222223E-2</v>
      </c>
      <c r="H38" s="30">
        <v>2.9513888888888888E-2</v>
      </c>
      <c r="I38" s="30">
        <v>3.2268518518518516E-2</v>
      </c>
      <c r="J38" s="30">
        <v>4.6168981481481484E-2</v>
      </c>
      <c r="K38" s="30">
        <v>5.0405092592592592E-2</v>
      </c>
      <c r="L38" s="30">
        <v>4.9525462962962966E-2</v>
      </c>
      <c r="M38" s="30">
        <v>5.4166666666666669E-2</v>
      </c>
      <c r="N38" s="30">
        <v>5.5601851851851854E-2</v>
      </c>
      <c r="O38" s="30">
        <v>6.070601851851852E-2</v>
      </c>
      <c r="P38" s="30">
        <v>5.9641203703703703E-2</v>
      </c>
      <c r="Q38" s="30">
        <v>6.5219907407407407E-2</v>
      </c>
      <c r="R38" s="30">
        <v>9.3993055555555552E-2</v>
      </c>
      <c r="S38" s="30">
        <v>0.10261574074074074</v>
      </c>
      <c r="T38" s="30">
        <v>0.10082175925925926</v>
      </c>
      <c r="U38" s="30">
        <v>0.1102662037037037</v>
      </c>
      <c r="V38" s="30">
        <v>0.19497685185185185</v>
      </c>
      <c r="W38" s="30">
        <v>0.21285879629629631</v>
      </c>
      <c r="X38" s="30">
        <v>0.20913194444444444</v>
      </c>
      <c r="Y38" s="30">
        <v>0.22872685185185185</v>
      </c>
      <c r="Z38" s="31">
        <v>218.47</v>
      </c>
      <c r="AA38" s="31">
        <v>193.16</v>
      </c>
      <c r="AB38" s="31">
        <v>198.06</v>
      </c>
      <c r="AC38" s="31">
        <v>174.13</v>
      </c>
      <c r="AD38" s="31">
        <v>361.89</v>
      </c>
      <c r="AE38" s="31">
        <v>326.82</v>
      </c>
      <c r="AF38" s="31">
        <v>333.7</v>
      </c>
      <c r="AG38" s="31">
        <v>299.69</v>
      </c>
    </row>
    <row r="39" spans="1:33" x14ac:dyDescent="0.25">
      <c r="A39" s="25">
        <v>45</v>
      </c>
      <c r="B39" s="30">
        <v>1.832175925925926E-2</v>
      </c>
      <c r="C39" s="30">
        <v>1.9965277777777776E-2</v>
      </c>
      <c r="D39" s="30">
        <v>1.9652777777777779E-2</v>
      </c>
      <c r="E39" s="30">
        <v>2.1458333333333333E-2</v>
      </c>
      <c r="F39" s="30">
        <v>2.7581018518518519E-2</v>
      </c>
      <c r="G39" s="30">
        <v>3.005787037037037E-2</v>
      </c>
      <c r="H39" s="30">
        <v>2.9583333333333333E-2</v>
      </c>
      <c r="I39" s="30">
        <v>3.2303240740740743E-2</v>
      </c>
      <c r="J39" s="30">
        <v>4.628472222222222E-2</v>
      </c>
      <c r="K39" s="30">
        <v>5.0451388888888886E-2</v>
      </c>
      <c r="L39" s="30">
        <v>4.9641203703703701E-2</v>
      </c>
      <c r="M39" s="30">
        <v>5.4212962962962963E-2</v>
      </c>
      <c r="N39" s="30">
        <v>5.5740740740740743E-2</v>
      </c>
      <c r="O39" s="30">
        <v>6.0763888888888888E-2</v>
      </c>
      <c r="P39" s="30">
        <v>5.9791666666666667E-2</v>
      </c>
      <c r="Q39" s="30">
        <v>6.5289351851851848E-2</v>
      </c>
      <c r="R39" s="30">
        <v>9.4224537037037037E-2</v>
      </c>
      <c r="S39" s="30">
        <v>0.10271990740740741</v>
      </c>
      <c r="T39" s="30">
        <v>0.10107638888888888</v>
      </c>
      <c r="U39" s="30">
        <v>0.11038194444444445</v>
      </c>
      <c r="V39" s="30">
        <v>0.19549768518518518</v>
      </c>
      <c r="W39" s="30">
        <v>0.21311342592592591</v>
      </c>
      <c r="X39" s="30">
        <v>0.20969907407407407</v>
      </c>
      <c r="Y39" s="30">
        <v>0.22900462962962964</v>
      </c>
      <c r="Z39" s="31">
        <v>217.38</v>
      </c>
      <c r="AA39" s="31">
        <v>192.6</v>
      </c>
      <c r="AB39" s="31">
        <v>197.06</v>
      </c>
      <c r="AC39" s="31">
        <v>173.63</v>
      </c>
      <c r="AD39" s="31">
        <v>359.73</v>
      </c>
      <c r="AE39" s="31">
        <v>325.47000000000003</v>
      </c>
      <c r="AF39" s="31">
        <v>331.72</v>
      </c>
      <c r="AG39" s="31">
        <v>298.48</v>
      </c>
    </row>
    <row r="40" spans="1:33" x14ac:dyDescent="0.25">
      <c r="A40" s="25">
        <v>46</v>
      </c>
      <c r="B40" s="30">
        <v>1.8368055555555554E-2</v>
      </c>
      <c r="C40" s="30">
        <v>1.9988425925925927E-2</v>
      </c>
      <c r="D40" s="30">
        <v>1.9699074074074074E-2</v>
      </c>
      <c r="E40" s="30">
        <v>2.148148148148148E-2</v>
      </c>
      <c r="F40" s="30">
        <v>2.7650462962962963E-2</v>
      </c>
      <c r="G40" s="30">
        <v>3.0092592592592591E-2</v>
      </c>
      <c r="H40" s="30">
        <v>2.9652777777777778E-2</v>
      </c>
      <c r="I40" s="30">
        <v>3.2337962962962964E-2</v>
      </c>
      <c r="J40" s="30">
        <v>4.6400462962962963E-2</v>
      </c>
      <c r="K40" s="30">
        <v>5.0509259259259261E-2</v>
      </c>
      <c r="L40" s="30">
        <v>4.9780092592592591E-2</v>
      </c>
      <c r="M40" s="30">
        <v>5.4270833333333331E-2</v>
      </c>
      <c r="N40" s="30">
        <v>5.5879629629629626E-2</v>
      </c>
      <c r="O40" s="30">
        <v>6.0821759259259256E-2</v>
      </c>
      <c r="P40" s="30">
        <v>5.994212962962963E-2</v>
      </c>
      <c r="Q40" s="30">
        <v>6.535879629629629E-2</v>
      </c>
      <c r="R40" s="30">
        <v>9.447916666666667E-2</v>
      </c>
      <c r="S40" s="30">
        <v>0.10283564814814815</v>
      </c>
      <c r="T40" s="30">
        <v>0.10135416666666666</v>
      </c>
      <c r="U40" s="30">
        <v>0.11050925925925927</v>
      </c>
      <c r="V40" s="30">
        <v>0.19605324074074074</v>
      </c>
      <c r="W40" s="30">
        <v>0.21341435185185184</v>
      </c>
      <c r="X40" s="30">
        <v>0.21031250000000001</v>
      </c>
      <c r="Y40" s="30">
        <v>0.2293287037037037</v>
      </c>
      <c r="Z40" s="31">
        <v>216.21</v>
      </c>
      <c r="AA40" s="31">
        <v>191.98</v>
      </c>
      <c r="AB40" s="31">
        <v>195.99</v>
      </c>
      <c r="AC40" s="31">
        <v>173.08</v>
      </c>
      <c r="AD40" s="31">
        <v>357.41</v>
      </c>
      <c r="AE40" s="31">
        <v>323.99</v>
      </c>
      <c r="AF40" s="31">
        <v>329.59</v>
      </c>
      <c r="AG40" s="31">
        <v>297.16000000000003</v>
      </c>
    </row>
    <row r="41" spans="1:33" x14ac:dyDescent="0.25">
      <c r="A41" s="25">
        <v>47</v>
      </c>
      <c r="B41" s="30">
        <v>1.8414351851851852E-2</v>
      </c>
      <c r="C41" s="30">
        <v>2.0011574074074074E-2</v>
      </c>
      <c r="D41" s="30">
        <v>1.9756944444444445E-2</v>
      </c>
      <c r="E41" s="30">
        <v>2.150462962962963E-2</v>
      </c>
      <c r="F41" s="30">
        <v>2.7719907407407408E-2</v>
      </c>
      <c r="G41" s="30">
        <v>3.0127314814814815E-2</v>
      </c>
      <c r="H41" s="30">
        <v>2.9733796296296296E-2</v>
      </c>
      <c r="I41" s="30">
        <v>3.2372685185185185E-2</v>
      </c>
      <c r="J41" s="30">
        <v>4.6527777777777779E-2</v>
      </c>
      <c r="K41" s="30">
        <v>5.0567129629629629E-2</v>
      </c>
      <c r="L41" s="30">
        <v>4.9918981481481481E-2</v>
      </c>
      <c r="M41" s="30">
        <v>5.4340277777777779E-2</v>
      </c>
      <c r="N41" s="30">
        <v>5.6041666666666663E-2</v>
      </c>
      <c r="O41" s="30">
        <v>6.0902777777777778E-2</v>
      </c>
      <c r="P41" s="30">
        <v>6.011574074074074E-2</v>
      </c>
      <c r="Q41" s="30">
        <v>6.5439814814814812E-2</v>
      </c>
      <c r="R41" s="30">
        <v>9.4756944444444449E-2</v>
      </c>
      <c r="S41" s="30">
        <v>0.10297453703703703</v>
      </c>
      <c r="T41" s="30">
        <v>0.10165509259259259</v>
      </c>
      <c r="U41" s="30">
        <v>0.11065972222222223</v>
      </c>
      <c r="V41" s="30">
        <v>0.19666666666666666</v>
      </c>
      <c r="W41" s="30">
        <v>0.21373842592592593</v>
      </c>
      <c r="X41" s="30">
        <v>0.21098379629629629</v>
      </c>
      <c r="Y41" s="30">
        <v>0.22968749999999999</v>
      </c>
      <c r="Z41" s="31">
        <v>214.95</v>
      </c>
      <c r="AA41" s="31">
        <v>191.29</v>
      </c>
      <c r="AB41" s="31">
        <v>194.84</v>
      </c>
      <c r="AC41" s="31">
        <v>172.47</v>
      </c>
      <c r="AD41" s="31">
        <v>354.92</v>
      </c>
      <c r="AE41" s="31">
        <v>322.37</v>
      </c>
      <c r="AF41" s="31">
        <v>327.32</v>
      </c>
      <c r="AG41" s="31">
        <v>295.72000000000003</v>
      </c>
    </row>
    <row r="42" spans="1:33" x14ac:dyDescent="0.25">
      <c r="A42" s="25">
        <v>48</v>
      </c>
      <c r="B42" s="30">
        <v>1.8472222222222223E-2</v>
      </c>
      <c r="C42" s="30">
        <v>2.0034722222222221E-2</v>
      </c>
      <c r="D42" s="30">
        <v>1.9814814814814816E-2</v>
      </c>
      <c r="E42" s="30">
        <v>2.1539351851851851E-2</v>
      </c>
      <c r="F42" s="30">
        <v>2.7800925925925927E-2</v>
      </c>
      <c r="G42" s="30">
        <v>3.0162037037037036E-2</v>
      </c>
      <c r="H42" s="30">
        <v>2.9826388888888888E-2</v>
      </c>
      <c r="I42" s="30">
        <v>3.2418981481481479E-2</v>
      </c>
      <c r="J42" s="30">
        <v>4.6666666666666669E-2</v>
      </c>
      <c r="K42" s="30">
        <v>5.0636574074074077E-2</v>
      </c>
      <c r="L42" s="30">
        <v>5.0069444444444444E-2</v>
      </c>
      <c r="M42" s="30">
        <v>5.4421296296296294E-2</v>
      </c>
      <c r="N42" s="30">
        <v>5.6203703703703707E-2</v>
      </c>
      <c r="O42" s="30">
        <v>6.0983796296296293E-2</v>
      </c>
      <c r="P42" s="30">
        <v>6.0300925925925924E-2</v>
      </c>
      <c r="Q42" s="30">
        <v>6.5532407407407414E-2</v>
      </c>
      <c r="R42" s="30">
        <v>9.5046296296296295E-2</v>
      </c>
      <c r="S42" s="30">
        <v>0.10312499999999999</v>
      </c>
      <c r="T42" s="30">
        <v>0.1019675925925926</v>
      </c>
      <c r="U42" s="30">
        <v>0.11082175925925926</v>
      </c>
      <c r="V42" s="30">
        <v>0.1973148148148148</v>
      </c>
      <c r="W42" s="30">
        <v>0.21410879629629628</v>
      </c>
      <c r="X42" s="30">
        <v>0.2117013888888889</v>
      </c>
      <c r="Y42" s="30">
        <v>0.2300925925925926</v>
      </c>
      <c r="Z42" s="31">
        <v>213.62</v>
      </c>
      <c r="AA42" s="31">
        <v>190.54</v>
      </c>
      <c r="AB42" s="31">
        <v>193.62</v>
      </c>
      <c r="AC42" s="31">
        <v>171.8</v>
      </c>
      <c r="AD42" s="31">
        <v>352.28</v>
      </c>
      <c r="AE42" s="31">
        <v>320.62</v>
      </c>
      <c r="AF42" s="31">
        <v>324.89999999999998</v>
      </c>
      <c r="AG42" s="31">
        <v>294.14999999999998</v>
      </c>
    </row>
    <row r="43" spans="1:33" x14ac:dyDescent="0.25">
      <c r="A43" s="25">
        <v>49</v>
      </c>
      <c r="B43" s="30">
        <v>1.8530092592592591E-2</v>
      </c>
      <c r="C43" s="30">
        <v>2.0069444444444445E-2</v>
      </c>
      <c r="D43" s="30">
        <v>1.9872685185185184E-2</v>
      </c>
      <c r="E43" s="30">
        <v>2.1562499999999998E-2</v>
      </c>
      <c r="F43" s="30">
        <v>2.7893518518518519E-2</v>
      </c>
      <c r="G43" s="30">
        <v>3.0208333333333334E-2</v>
      </c>
      <c r="H43" s="30">
        <v>2.991898148148148E-2</v>
      </c>
      <c r="I43" s="30">
        <v>3.246527777777778E-2</v>
      </c>
      <c r="J43" s="30">
        <v>4.6817129629629632E-2</v>
      </c>
      <c r="K43" s="30">
        <v>5.0717592592592592E-2</v>
      </c>
      <c r="L43" s="30">
        <v>5.0231481481481481E-2</v>
      </c>
      <c r="M43" s="30">
        <v>5.4502314814814816E-2</v>
      </c>
      <c r="N43" s="30">
        <v>5.6388888888888891E-2</v>
      </c>
      <c r="O43" s="30">
        <v>6.1087962962962962E-2</v>
      </c>
      <c r="P43" s="30">
        <v>6.0497685185185182E-2</v>
      </c>
      <c r="Q43" s="30">
        <v>6.564814814814815E-2</v>
      </c>
      <c r="R43" s="30">
        <v>9.5358796296296303E-2</v>
      </c>
      <c r="S43" s="30">
        <v>0.1032986111111111</v>
      </c>
      <c r="T43" s="30">
        <v>0.10230324074074074</v>
      </c>
      <c r="U43" s="30">
        <v>0.11101851851851852</v>
      </c>
      <c r="V43" s="30">
        <v>0.19800925925925925</v>
      </c>
      <c r="W43" s="30">
        <v>0.21452546296296296</v>
      </c>
      <c r="X43" s="30">
        <v>0.2124537037037037</v>
      </c>
      <c r="Y43" s="30">
        <v>0.23055555555555557</v>
      </c>
      <c r="Z43" s="31">
        <v>212.21</v>
      </c>
      <c r="AA43" s="31">
        <v>189.72</v>
      </c>
      <c r="AB43" s="31">
        <v>192.33</v>
      </c>
      <c r="AC43" s="31">
        <v>171.05</v>
      </c>
      <c r="AD43" s="31">
        <v>349.48</v>
      </c>
      <c r="AE43" s="31">
        <v>318.72000000000003</v>
      </c>
      <c r="AF43" s="31">
        <v>322.35000000000002</v>
      </c>
      <c r="AG43" s="31">
        <v>292.44</v>
      </c>
    </row>
    <row r="44" spans="1:33" x14ac:dyDescent="0.25">
      <c r="A44" s="25">
        <v>50</v>
      </c>
      <c r="B44" s="30">
        <v>1.8587962962962962E-2</v>
      </c>
      <c r="C44" s="30">
        <v>2.0104166666666666E-2</v>
      </c>
      <c r="D44" s="30">
        <v>1.9942129629629629E-2</v>
      </c>
      <c r="E44" s="30">
        <v>2.1608796296296296E-2</v>
      </c>
      <c r="F44" s="30">
        <v>2.7986111111111111E-2</v>
      </c>
      <c r="G44" s="30">
        <v>3.0266203703703705E-2</v>
      </c>
      <c r="H44" s="30">
        <v>3.0023148148148149E-2</v>
      </c>
      <c r="I44" s="30">
        <v>3.2523148148148148E-2</v>
      </c>
      <c r="J44" s="30">
        <v>4.6967592592592596E-2</v>
      </c>
      <c r="K44" s="30">
        <v>5.0810185185185187E-2</v>
      </c>
      <c r="L44" s="30">
        <v>5.0405092592592592E-2</v>
      </c>
      <c r="M44" s="30">
        <v>5.4606481481481478E-2</v>
      </c>
      <c r="N44" s="30">
        <v>5.6574074074074075E-2</v>
      </c>
      <c r="O44" s="30">
        <v>6.1192129629629631E-2</v>
      </c>
      <c r="P44" s="30">
        <v>6.070601851851852E-2</v>
      </c>
      <c r="Q44" s="30">
        <v>6.5763888888888886E-2</v>
      </c>
      <c r="R44" s="30">
        <v>9.5682870370370376E-2</v>
      </c>
      <c r="S44" s="30">
        <v>0.10350694444444444</v>
      </c>
      <c r="T44" s="30">
        <v>0.1026736111111111</v>
      </c>
      <c r="U44" s="30">
        <v>0.11123842592592592</v>
      </c>
      <c r="V44" s="30">
        <v>0.19875000000000001</v>
      </c>
      <c r="W44" s="30">
        <v>0.215</v>
      </c>
      <c r="X44" s="30">
        <v>0.21327546296296296</v>
      </c>
      <c r="Y44" s="30">
        <v>0.2310763888888889</v>
      </c>
      <c r="Z44" s="31">
        <v>210.72</v>
      </c>
      <c r="AA44" s="31">
        <v>188.8</v>
      </c>
      <c r="AB44" s="31">
        <v>190.98</v>
      </c>
      <c r="AC44" s="31">
        <v>170.24</v>
      </c>
      <c r="AD44" s="31">
        <v>346.55</v>
      </c>
      <c r="AE44" s="31">
        <v>316.66000000000003</v>
      </c>
      <c r="AF44" s="31">
        <v>319.66000000000003</v>
      </c>
      <c r="AG44" s="31">
        <v>290.58999999999997</v>
      </c>
    </row>
    <row r="45" spans="1:33" x14ac:dyDescent="0.25">
      <c r="A45" s="25">
        <v>51</v>
      </c>
      <c r="B45" s="30">
        <v>1.8645833333333334E-2</v>
      </c>
      <c r="C45" s="30">
        <v>2.0150462962962964E-2</v>
      </c>
      <c r="D45" s="30">
        <v>2.0011574074074074E-2</v>
      </c>
      <c r="E45" s="30">
        <v>2.1655092592592594E-2</v>
      </c>
      <c r="F45" s="30">
        <v>2.8078703703703703E-2</v>
      </c>
      <c r="G45" s="30">
        <v>3.0324074074074073E-2</v>
      </c>
      <c r="H45" s="30">
        <v>3.0127314814814815E-2</v>
      </c>
      <c r="I45" s="30">
        <v>3.259259259259259E-2</v>
      </c>
      <c r="J45" s="30">
        <v>4.7141203703703706E-2</v>
      </c>
      <c r="K45" s="30">
        <v>5.091435185185185E-2</v>
      </c>
      <c r="L45" s="30">
        <v>5.0578703703703702E-2</v>
      </c>
      <c r="M45" s="30">
        <v>5.4722222222222221E-2</v>
      </c>
      <c r="N45" s="30">
        <v>5.6770833333333333E-2</v>
      </c>
      <c r="O45" s="30">
        <v>6.1319444444444447E-2</v>
      </c>
      <c r="P45" s="30">
        <v>6.0925925925925925E-2</v>
      </c>
      <c r="Q45" s="30">
        <v>6.5902777777777782E-2</v>
      </c>
      <c r="R45" s="30">
        <v>9.6030092592592597E-2</v>
      </c>
      <c r="S45" s="30">
        <v>0.10372685185185185</v>
      </c>
      <c r="T45" s="30">
        <v>0.10305555555555555</v>
      </c>
      <c r="U45" s="30">
        <v>0.11148148148148149</v>
      </c>
      <c r="V45" s="30">
        <v>0.19953703703703704</v>
      </c>
      <c r="W45" s="30">
        <v>0.21553240740740739</v>
      </c>
      <c r="X45" s="30">
        <v>0.21413194444444444</v>
      </c>
      <c r="Y45" s="30">
        <v>0.23165509259259259</v>
      </c>
      <c r="Z45" s="31">
        <v>209.17</v>
      </c>
      <c r="AA45" s="31">
        <v>187.8</v>
      </c>
      <c r="AB45" s="31">
        <v>189.55</v>
      </c>
      <c r="AC45" s="31">
        <v>169.34</v>
      </c>
      <c r="AD45" s="31">
        <v>343.48</v>
      </c>
      <c r="AE45" s="31">
        <v>314.43</v>
      </c>
      <c r="AF45" s="31">
        <v>316.85000000000002</v>
      </c>
      <c r="AG45" s="31">
        <v>288.58999999999997</v>
      </c>
    </row>
    <row r="46" spans="1:33" x14ac:dyDescent="0.25">
      <c r="A46" s="25">
        <v>52</v>
      </c>
      <c r="B46" s="30">
        <v>1.8715277777777779E-2</v>
      </c>
      <c r="C46" s="30">
        <v>2.0185185185185184E-2</v>
      </c>
      <c r="D46" s="30">
        <v>2.0092592592592592E-2</v>
      </c>
      <c r="E46" s="30">
        <v>2.1701388888888888E-2</v>
      </c>
      <c r="F46" s="30">
        <v>2.8182870370370372E-2</v>
      </c>
      <c r="G46" s="30">
        <v>3.0393518518518518E-2</v>
      </c>
      <c r="H46" s="30">
        <v>3.0243055555555554E-2</v>
      </c>
      <c r="I46" s="30">
        <v>3.2673611111111112E-2</v>
      </c>
      <c r="J46" s="30">
        <v>4.7314814814814816E-2</v>
      </c>
      <c r="K46" s="30">
        <v>5.1030092592592592E-2</v>
      </c>
      <c r="L46" s="30">
        <v>5.077546296296296E-2</v>
      </c>
      <c r="M46" s="30">
        <v>5.4849537037037037E-2</v>
      </c>
      <c r="N46" s="30">
        <v>5.6979166666666664E-2</v>
      </c>
      <c r="O46" s="30">
        <v>6.1469907407407411E-2</v>
      </c>
      <c r="P46" s="30">
        <v>6.115740740740741E-2</v>
      </c>
      <c r="Q46" s="30">
        <v>6.6064814814814812E-2</v>
      </c>
      <c r="R46" s="30">
        <v>9.6400462962962966E-2</v>
      </c>
      <c r="S46" s="30">
        <v>0.10399305555555556</v>
      </c>
      <c r="T46" s="30">
        <v>0.10346064814814815</v>
      </c>
      <c r="U46" s="30">
        <v>0.11177083333333333</v>
      </c>
      <c r="V46" s="30">
        <v>0.2003587962962963</v>
      </c>
      <c r="W46" s="30">
        <v>0.21614583333333334</v>
      </c>
      <c r="X46" s="30">
        <v>0.21503472222222222</v>
      </c>
      <c r="Y46" s="30">
        <v>0.2323263888888889</v>
      </c>
      <c r="Z46" s="31">
        <v>207.54</v>
      </c>
      <c r="AA46" s="31">
        <v>186.71</v>
      </c>
      <c r="AB46" s="31">
        <v>188.07</v>
      </c>
      <c r="AC46" s="31">
        <v>168.35</v>
      </c>
      <c r="AD46" s="31">
        <v>340.27</v>
      </c>
      <c r="AE46" s="31">
        <v>312.04000000000002</v>
      </c>
      <c r="AF46" s="31">
        <v>313.91000000000003</v>
      </c>
      <c r="AG46" s="31">
        <v>286.43</v>
      </c>
    </row>
    <row r="47" spans="1:33" x14ac:dyDescent="0.25">
      <c r="A47" s="25">
        <v>53</v>
      </c>
      <c r="B47" s="30">
        <v>1.8784722222222223E-2</v>
      </c>
      <c r="C47" s="30">
        <v>2.0243055555555556E-2</v>
      </c>
      <c r="D47" s="30">
        <v>2.0162037037037037E-2</v>
      </c>
      <c r="E47" s="30">
        <v>2.1759259259259259E-2</v>
      </c>
      <c r="F47" s="30">
        <v>2.8287037037037038E-2</v>
      </c>
      <c r="G47" s="30">
        <v>3.0474537037037036E-2</v>
      </c>
      <c r="H47" s="30">
        <v>3.0358796296296297E-2</v>
      </c>
      <c r="I47" s="30">
        <v>3.2754629629629627E-2</v>
      </c>
      <c r="J47" s="30">
        <v>4.7500000000000001E-2</v>
      </c>
      <c r="K47" s="30">
        <v>5.1168981481481482E-2</v>
      </c>
      <c r="L47" s="30">
        <v>5.0972222222222224E-2</v>
      </c>
      <c r="M47" s="30">
        <v>5.5E-2</v>
      </c>
      <c r="N47" s="30">
        <v>5.7210648148148149E-2</v>
      </c>
      <c r="O47" s="30">
        <v>6.1631944444444448E-2</v>
      </c>
      <c r="P47" s="30">
        <v>6.1400462962962962E-2</v>
      </c>
      <c r="Q47" s="30">
        <v>6.6250000000000003E-2</v>
      </c>
      <c r="R47" s="30">
        <v>9.6793981481481481E-2</v>
      </c>
      <c r="S47" s="30">
        <v>0.10428240740740741</v>
      </c>
      <c r="T47" s="30">
        <v>0.10387731481481481</v>
      </c>
      <c r="U47" s="30">
        <v>0.11208333333333333</v>
      </c>
      <c r="V47" s="30">
        <v>0.20123842592592592</v>
      </c>
      <c r="W47" s="30">
        <v>0.21682870370370369</v>
      </c>
      <c r="X47" s="30">
        <v>0.21599537037037037</v>
      </c>
      <c r="Y47" s="30">
        <v>0.23306712962962964</v>
      </c>
      <c r="Z47" s="31">
        <v>205.85</v>
      </c>
      <c r="AA47" s="31">
        <v>185.51</v>
      </c>
      <c r="AB47" s="31">
        <v>186.52</v>
      </c>
      <c r="AC47" s="31">
        <v>167.26</v>
      </c>
      <c r="AD47" s="31">
        <v>336.93</v>
      </c>
      <c r="AE47" s="31">
        <v>309.47000000000003</v>
      </c>
      <c r="AF47" s="31">
        <v>310.85000000000002</v>
      </c>
      <c r="AG47" s="31">
        <v>284.10000000000002</v>
      </c>
    </row>
    <row r="48" spans="1:33" x14ac:dyDescent="0.25">
      <c r="A48" s="25">
        <v>54</v>
      </c>
      <c r="B48" s="30">
        <v>1.8865740740740742E-2</v>
      </c>
      <c r="C48" s="30">
        <v>2.0300925925925927E-2</v>
      </c>
      <c r="D48" s="30">
        <v>2.0243055555555556E-2</v>
      </c>
      <c r="E48" s="30">
        <v>2.1817129629629631E-2</v>
      </c>
      <c r="F48" s="30">
        <v>2.8402777777777777E-2</v>
      </c>
      <c r="G48" s="30">
        <v>3.0567129629629628E-2</v>
      </c>
      <c r="H48" s="30">
        <v>3.048611111111111E-2</v>
      </c>
      <c r="I48" s="30">
        <v>3.2858796296296296E-2</v>
      </c>
      <c r="J48" s="30">
        <v>4.7685185185185185E-2</v>
      </c>
      <c r="K48" s="30">
        <v>5.1319444444444445E-2</v>
      </c>
      <c r="L48" s="30">
        <v>5.1180555555555556E-2</v>
      </c>
      <c r="M48" s="30">
        <v>5.5162037037037037E-2</v>
      </c>
      <c r="N48" s="30">
        <v>5.7442129629629628E-2</v>
      </c>
      <c r="O48" s="30">
        <v>6.1817129629629632E-2</v>
      </c>
      <c r="P48" s="30">
        <v>6.1655092592592595E-2</v>
      </c>
      <c r="Q48" s="30">
        <v>6.6446759259259261E-2</v>
      </c>
      <c r="R48" s="30">
        <v>9.7199074074074077E-2</v>
      </c>
      <c r="S48" s="30">
        <v>0.10460648148148148</v>
      </c>
      <c r="T48" s="30">
        <v>0.1043287037037037</v>
      </c>
      <c r="U48" s="30">
        <v>0.11245370370370371</v>
      </c>
      <c r="V48" s="30">
        <v>0.20215277777777776</v>
      </c>
      <c r="W48" s="30">
        <v>0.21759259259259259</v>
      </c>
      <c r="X48" s="30">
        <v>0.21700231481481483</v>
      </c>
      <c r="Y48" s="30">
        <v>0.23391203703703703</v>
      </c>
      <c r="Z48" s="31">
        <v>204.09</v>
      </c>
      <c r="AA48" s="31">
        <v>184.21</v>
      </c>
      <c r="AB48" s="31">
        <v>184.91</v>
      </c>
      <c r="AC48" s="31">
        <v>166.08</v>
      </c>
      <c r="AD48" s="31">
        <v>333.46</v>
      </c>
      <c r="AE48" s="31">
        <v>306.70999999999998</v>
      </c>
      <c r="AF48" s="31">
        <v>307.68</v>
      </c>
      <c r="AG48" s="31">
        <v>281.60000000000002</v>
      </c>
    </row>
    <row r="49" spans="1:33" x14ac:dyDescent="0.25">
      <c r="A49" s="25">
        <v>55</v>
      </c>
      <c r="B49" s="30">
        <v>1.894675925925926E-2</v>
      </c>
      <c r="C49" s="30">
        <v>2.0370370370370372E-2</v>
      </c>
      <c r="D49" s="30">
        <v>2.0335648148148148E-2</v>
      </c>
      <c r="E49" s="30">
        <v>2.1898148148148149E-2</v>
      </c>
      <c r="F49" s="30">
        <v>2.8518518518518519E-2</v>
      </c>
      <c r="G49" s="30">
        <v>3.0671296296296297E-2</v>
      </c>
      <c r="H49" s="30">
        <v>3.0613425925925926E-2</v>
      </c>
      <c r="I49" s="30">
        <v>3.2962962962962965E-2</v>
      </c>
      <c r="J49" s="30">
        <v>4.7893518518518516E-2</v>
      </c>
      <c r="K49" s="30">
        <v>5.1493055555555556E-2</v>
      </c>
      <c r="L49" s="30">
        <v>5.140046296296296E-2</v>
      </c>
      <c r="M49" s="30">
        <v>5.5358796296296295E-2</v>
      </c>
      <c r="N49" s="30">
        <v>5.7685185185185187E-2</v>
      </c>
      <c r="O49" s="30">
        <v>6.2025462962962963E-2</v>
      </c>
      <c r="P49" s="30">
        <v>6.1921296296296294E-2</v>
      </c>
      <c r="Q49" s="30">
        <v>6.6678240740740746E-2</v>
      </c>
      <c r="R49" s="30">
        <v>9.762731481481482E-2</v>
      </c>
      <c r="S49" s="30">
        <v>0.10498842592592593</v>
      </c>
      <c r="T49" s="30">
        <v>0.10479166666666667</v>
      </c>
      <c r="U49" s="30">
        <v>0.11285879629629629</v>
      </c>
      <c r="V49" s="30">
        <v>0.203125</v>
      </c>
      <c r="W49" s="30">
        <v>0.21844907407407407</v>
      </c>
      <c r="X49" s="30">
        <v>0.21805555555555556</v>
      </c>
      <c r="Y49" s="30">
        <v>0.23484953703703704</v>
      </c>
      <c r="Z49" s="31">
        <v>202.26</v>
      </c>
      <c r="AA49" s="31">
        <v>182.79</v>
      </c>
      <c r="AB49" s="31">
        <v>183.25</v>
      </c>
      <c r="AC49" s="31">
        <v>164.79</v>
      </c>
      <c r="AD49" s="31">
        <v>329.87</v>
      </c>
      <c r="AE49" s="31">
        <v>303.76</v>
      </c>
      <c r="AF49" s="31">
        <v>304.39</v>
      </c>
      <c r="AG49" s="31">
        <v>278.92</v>
      </c>
    </row>
    <row r="50" spans="1:33" x14ac:dyDescent="0.25">
      <c r="A50" s="25">
        <v>56</v>
      </c>
      <c r="B50" s="30">
        <v>1.9027777777777779E-2</v>
      </c>
      <c r="C50" s="30">
        <v>2.0439814814814813E-2</v>
      </c>
      <c r="D50" s="30">
        <v>2.0416666666666666E-2</v>
      </c>
      <c r="E50" s="30">
        <v>2.1979166666666668E-2</v>
      </c>
      <c r="F50" s="30">
        <v>2.8645833333333332E-2</v>
      </c>
      <c r="G50" s="30">
        <v>3.0775462962962963E-2</v>
      </c>
      <c r="H50" s="30">
        <v>3.0752314814814816E-2</v>
      </c>
      <c r="I50" s="30">
        <v>3.3090277777777781E-2</v>
      </c>
      <c r="J50" s="30">
        <v>4.8101851851851854E-2</v>
      </c>
      <c r="K50" s="30">
        <v>5.1689814814814813E-2</v>
      </c>
      <c r="L50" s="30">
        <v>5.1631944444444446E-2</v>
      </c>
      <c r="M50" s="30">
        <v>5.5567129629629633E-2</v>
      </c>
      <c r="N50" s="30">
        <v>5.7939814814814812E-2</v>
      </c>
      <c r="O50" s="30">
        <v>6.2268518518518522E-2</v>
      </c>
      <c r="P50" s="30">
        <v>6.2199074074074073E-2</v>
      </c>
      <c r="Q50" s="30">
        <v>6.6944444444444445E-2</v>
      </c>
      <c r="R50" s="30">
        <v>9.807870370370371E-2</v>
      </c>
      <c r="S50" s="30">
        <v>0.10540509259259259</v>
      </c>
      <c r="T50" s="30">
        <v>0.10528935185185186</v>
      </c>
      <c r="U50" s="30">
        <v>0.11331018518518518</v>
      </c>
      <c r="V50" s="30">
        <v>0.20413194444444444</v>
      </c>
      <c r="W50" s="30">
        <v>0.21940972222222221</v>
      </c>
      <c r="X50" s="30">
        <v>0.21916666666666668</v>
      </c>
      <c r="Y50" s="30">
        <v>0.2358912037037037</v>
      </c>
      <c r="Z50" s="31">
        <v>200.38</v>
      </c>
      <c r="AA50" s="31">
        <v>181.25</v>
      </c>
      <c r="AB50" s="31">
        <v>181.52</v>
      </c>
      <c r="AC50" s="31">
        <v>163.38999999999999</v>
      </c>
      <c r="AD50" s="31">
        <v>326.17</v>
      </c>
      <c r="AE50" s="31">
        <v>300.62</v>
      </c>
      <c r="AF50" s="31">
        <v>300.99</v>
      </c>
      <c r="AG50" s="31">
        <v>276.05</v>
      </c>
    </row>
    <row r="51" spans="1:33" x14ac:dyDescent="0.25">
      <c r="A51" s="25">
        <v>57</v>
      </c>
      <c r="B51" s="30">
        <v>1.9108796296296297E-2</v>
      </c>
      <c r="C51" s="30">
        <v>2.0532407407407409E-2</v>
      </c>
      <c r="D51" s="30">
        <v>2.0509259259259258E-2</v>
      </c>
      <c r="E51" s="30">
        <v>2.207175925925926E-2</v>
      </c>
      <c r="F51" s="30">
        <v>2.8773148148148148E-2</v>
      </c>
      <c r="G51" s="30">
        <v>3.0902777777777779E-2</v>
      </c>
      <c r="H51" s="30">
        <v>3.0891203703703702E-2</v>
      </c>
      <c r="I51" s="30">
        <v>3.3229166666666664E-2</v>
      </c>
      <c r="J51" s="30">
        <v>4.8321759259259259E-2</v>
      </c>
      <c r="K51" s="30">
        <v>5.1909722222222225E-2</v>
      </c>
      <c r="L51" s="30">
        <v>5.1874999999999998E-2</v>
      </c>
      <c r="M51" s="30">
        <v>5.5810185185185185E-2</v>
      </c>
      <c r="N51" s="30">
        <v>5.8206018518518518E-2</v>
      </c>
      <c r="O51" s="30">
        <v>6.2534722222222228E-2</v>
      </c>
      <c r="P51" s="30">
        <v>6.25E-2</v>
      </c>
      <c r="Q51" s="30">
        <v>6.7233796296296292E-2</v>
      </c>
      <c r="R51" s="30">
        <v>9.8541666666666666E-2</v>
      </c>
      <c r="S51" s="30">
        <v>0.10586805555555556</v>
      </c>
      <c r="T51" s="30">
        <v>0.10579861111111111</v>
      </c>
      <c r="U51" s="30">
        <v>0.11381944444444445</v>
      </c>
      <c r="V51" s="30">
        <v>0.20519675925925926</v>
      </c>
      <c r="W51" s="30">
        <v>0.22047453703703704</v>
      </c>
      <c r="X51" s="30">
        <v>0.22032407407407406</v>
      </c>
      <c r="Y51" s="30">
        <v>0.23706018518518518</v>
      </c>
      <c r="Z51" s="31">
        <v>198.43</v>
      </c>
      <c r="AA51" s="31">
        <v>179.58</v>
      </c>
      <c r="AB51" s="31">
        <v>179.74</v>
      </c>
      <c r="AC51" s="31">
        <v>161.87</v>
      </c>
      <c r="AD51" s="31">
        <v>322.33999999999997</v>
      </c>
      <c r="AE51" s="31">
        <v>297.27</v>
      </c>
      <c r="AF51" s="31">
        <v>297.49</v>
      </c>
      <c r="AG51" s="31">
        <v>273</v>
      </c>
    </row>
    <row r="52" spans="1:33" x14ac:dyDescent="0.25">
      <c r="A52" s="25">
        <v>58</v>
      </c>
      <c r="B52" s="30">
        <v>1.9201388888888889E-2</v>
      </c>
      <c r="C52" s="30">
        <v>2.0625000000000001E-2</v>
      </c>
      <c r="D52" s="30">
        <v>2.0613425925925927E-2</v>
      </c>
      <c r="E52" s="30">
        <v>2.2175925925925925E-2</v>
      </c>
      <c r="F52" s="30">
        <v>2.8900462962962965E-2</v>
      </c>
      <c r="G52" s="30">
        <v>3.1053240740740742E-2</v>
      </c>
      <c r="H52" s="30">
        <v>3.1041666666666665E-2</v>
      </c>
      <c r="I52" s="30">
        <v>3.3391203703703701E-2</v>
      </c>
      <c r="J52" s="30">
        <v>4.8553240740740744E-2</v>
      </c>
      <c r="K52" s="30">
        <v>5.2152777777777777E-2</v>
      </c>
      <c r="L52" s="30">
        <v>5.212962962962963E-2</v>
      </c>
      <c r="M52" s="30">
        <v>5.6076388888888891E-2</v>
      </c>
      <c r="N52" s="30">
        <v>5.8483796296296298E-2</v>
      </c>
      <c r="O52" s="30">
        <v>6.2835648148148154E-2</v>
      </c>
      <c r="P52" s="30">
        <v>6.2800925925925927E-2</v>
      </c>
      <c r="Q52" s="30">
        <v>6.7557870370370365E-2</v>
      </c>
      <c r="R52" s="30">
        <v>9.9027777777777784E-2</v>
      </c>
      <c r="S52" s="30">
        <v>0.10638888888888889</v>
      </c>
      <c r="T52" s="30">
        <v>0.10633101851851852</v>
      </c>
      <c r="U52" s="30">
        <v>0.11439814814814815</v>
      </c>
      <c r="V52" s="30">
        <v>0.20630787037037038</v>
      </c>
      <c r="W52" s="30">
        <v>0.22165509259259258</v>
      </c>
      <c r="X52" s="30">
        <v>0.22153935185185186</v>
      </c>
      <c r="Y52" s="30">
        <v>0.23835648148148147</v>
      </c>
      <c r="Z52" s="31">
        <v>196.42</v>
      </c>
      <c r="AA52" s="31">
        <v>177.79</v>
      </c>
      <c r="AB52" s="31">
        <v>177.91</v>
      </c>
      <c r="AC52" s="31">
        <v>160.24</v>
      </c>
      <c r="AD52" s="31">
        <v>318.41000000000003</v>
      </c>
      <c r="AE52" s="31">
        <v>293.72000000000003</v>
      </c>
      <c r="AF52" s="31">
        <v>293.88</v>
      </c>
      <c r="AG52" s="31">
        <v>269.74</v>
      </c>
    </row>
    <row r="53" spans="1:33" x14ac:dyDescent="0.25">
      <c r="A53" s="25">
        <v>59</v>
      </c>
      <c r="B53" s="30">
        <v>1.9293981481481481E-2</v>
      </c>
      <c r="C53" s="30">
        <v>2.0729166666666667E-2</v>
      </c>
      <c r="D53" s="30">
        <v>2.0717592592592593E-2</v>
      </c>
      <c r="E53" s="30">
        <v>2.2291666666666668E-2</v>
      </c>
      <c r="F53" s="30">
        <v>2.9050925925925924E-2</v>
      </c>
      <c r="G53" s="30">
        <v>3.1215277777777779E-2</v>
      </c>
      <c r="H53" s="30">
        <v>3.1192129629629629E-2</v>
      </c>
      <c r="I53" s="30">
        <v>3.3564814814814818E-2</v>
      </c>
      <c r="J53" s="30">
        <v>4.8796296296296296E-2</v>
      </c>
      <c r="K53" s="30">
        <v>5.2430555555555557E-2</v>
      </c>
      <c r="L53" s="30">
        <v>5.2395833333333336E-2</v>
      </c>
      <c r="M53" s="30">
        <v>5.6377314814814818E-2</v>
      </c>
      <c r="N53" s="30">
        <v>5.8784722222222224E-2</v>
      </c>
      <c r="O53" s="30">
        <v>6.3159722222222228E-2</v>
      </c>
      <c r="P53" s="30">
        <v>6.3125000000000001E-2</v>
      </c>
      <c r="Q53" s="30">
        <v>6.7916666666666667E-2</v>
      </c>
      <c r="R53" s="30">
        <v>9.9537037037037035E-2</v>
      </c>
      <c r="S53" s="30">
        <v>0.10696759259259259</v>
      </c>
      <c r="T53" s="30">
        <v>0.10689814814814814</v>
      </c>
      <c r="U53" s="30">
        <v>0.11502314814814815</v>
      </c>
      <c r="V53" s="30">
        <v>0.20746527777777779</v>
      </c>
      <c r="W53" s="30">
        <v>0.22296296296296297</v>
      </c>
      <c r="X53" s="30">
        <v>0.2228125</v>
      </c>
      <c r="Y53" s="30">
        <v>0.23979166666666665</v>
      </c>
      <c r="Z53" s="31">
        <v>194.35</v>
      </c>
      <c r="AA53" s="31">
        <v>175.86</v>
      </c>
      <c r="AB53" s="31">
        <v>176.02</v>
      </c>
      <c r="AC53" s="31">
        <v>158.47</v>
      </c>
      <c r="AD53" s="31">
        <v>314.36</v>
      </c>
      <c r="AE53" s="31">
        <v>289.95</v>
      </c>
      <c r="AF53" s="31">
        <v>290.17</v>
      </c>
      <c r="AG53" s="31">
        <v>266.29000000000002</v>
      </c>
    </row>
    <row r="54" spans="1:33" x14ac:dyDescent="0.25">
      <c r="A54" s="25">
        <v>60</v>
      </c>
      <c r="B54" s="30">
        <v>1.9386574074074073E-2</v>
      </c>
      <c r="C54" s="30">
        <v>2.0844907407407406E-2</v>
      </c>
      <c r="D54" s="30">
        <v>2.0821759259259259E-2</v>
      </c>
      <c r="E54" s="30">
        <v>2.2418981481481481E-2</v>
      </c>
      <c r="F54" s="30">
        <v>2.9189814814814814E-2</v>
      </c>
      <c r="G54" s="30">
        <v>3.138888888888889E-2</v>
      </c>
      <c r="H54" s="30">
        <v>3.1354166666666669E-2</v>
      </c>
      <c r="I54" s="30">
        <v>3.3750000000000002E-2</v>
      </c>
      <c r="J54" s="30">
        <v>4.9039351851851855E-2</v>
      </c>
      <c r="K54" s="30">
        <v>5.2731481481481483E-2</v>
      </c>
      <c r="L54" s="30">
        <v>5.2662037037037035E-2</v>
      </c>
      <c r="M54" s="30">
        <v>5.6701388888888891E-2</v>
      </c>
      <c r="N54" s="30">
        <v>5.9085648148148151E-2</v>
      </c>
      <c r="O54" s="30">
        <v>6.3530092592592596E-2</v>
      </c>
      <c r="P54" s="30">
        <v>6.3449074074074074E-2</v>
      </c>
      <c r="Q54" s="30">
        <v>6.8321759259259263E-2</v>
      </c>
      <c r="R54" s="30">
        <v>0.10006944444444445</v>
      </c>
      <c r="S54" s="30">
        <v>0.10760416666666667</v>
      </c>
      <c r="T54" s="30">
        <v>0.10747685185185185</v>
      </c>
      <c r="U54" s="30">
        <v>0.11572916666666666</v>
      </c>
      <c r="V54" s="30">
        <v>0.20868055555555556</v>
      </c>
      <c r="W54" s="30">
        <v>0.22440972222222222</v>
      </c>
      <c r="X54" s="30">
        <v>0.22414351851851852</v>
      </c>
      <c r="Y54" s="30">
        <v>0.24137731481481481</v>
      </c>
      <c r="Z54" s="31">
        <v>192.23</v>
      </c>
      <c r="AA54" s="31">
        <v>173.79</v>
      </c>
      <c r="AB54" s="31">
        <v>174.08</v>
      </c>
      <c r="AC54" s="31">
        <v>156.58000000000001</v>
      </c>
      <c r="AD54" s="31">
        <v>310.2</v>
      </c>
      <c r="AE54" s="31">
        <v>285.97000000000003</v>
      </c>
      <c r="AF54" s="31">
        <v>286.35000000000002</v>
      </c>
      <c r="AG54" s="31">
        <v>262.63</v>
      </c>
    </row>
    <row r="55" spans="1:33" x14ac:dyDescent="0.25">
      <c r="A55" s="25">
        <v>61</v>
      </c>
      <c r="B55" s="30">
        <v>1.9490740740740739E-2</v>
      </c>
      <c r="C55" s="30">
        <v>2.0972222222222222E-2</v>
      </c>
      <c r="D55" s="30">
        <v>2.0925925925925924E-2</v>
      </c>
      <c r="E55" s="30">
        <v>2.255787037037037E-2</v>
      </c>
      <c r="F55" s="30">
        <v>2.9351851851851851E-2</v>
      </c>
      <c r="G55" s="30">
        <v>3.1585648148148147E-2</v>
      </c>
      <c r="H55" s="30">
        <v>3.1516203703703706E-2</v>
      </c>
      <c r="I55" s="30">
        <v>3.3969907407407407E-2</v>
      </c>
      <c r="J55" s="30">
        <v>4.9305555555555554E-2</v>
      </c>
      <c r="K55" s="30">
        <v>5.3067129629629631E-2</v>
      </c>
      <c r="L55" s="30">
        <v>5.2951388888888888E-2</v>
      </c>
      <c r="M55" s="30">
        <v>5.707175925925926E-2</v>
      </c>
      <c r="N55" s="30">
        <v>5.9398148148148151E-2</v>
      </c>
      <c r="O55" s="30">
        <v>6.3935185185185192E-2</v>
      </c>
      <c r="P55" s="30">
        <v>6.3796296296296295E-2</v>
      </c>
      <c r="Q55" s="30">
        <v>6.8761574074074072E-2</v>
      </c>
      <c r="R55" s="30">
        <v>0.10062500000000001</v>
      </c>
      <c r="S55" s="30">
        <v>0.10831018518518519</v>
      </c>
      <c r="T55" s="30">
        <v>0.10809027777777777</v>
      </c>
      <c r="U55" s="30">
        <v>0.11650462962962962</v>
      </c>
      <c r="V55" s="30">
        <v>0.20994212962962963</v>
      </c>
      <c r="W55" s="30">
        <v>0.22600694444444444</v>
      </c>
      <c r="X55" s="30">
        <v>0.2255324074074074</v>
      </c>
      <c r="Y55" s="30">
        <v>0.24312500000000001</v>
      </c>
      <c r="Z55" s="31">
        <v>190.05</v>
      </c>
      <c r="AA55" s="31">
        <v>171.58</v>
      </c>
      <c r="AB55" s="31">
        <v>172.08</v>
      </c>
      <c r="AC55" s="31">
        <v>154.55000000000001</v>
      </c>
      <c r="AD55" s="31">
        <v>305.94</v>
      </c>
      <c r="AE55" s="31">
        <v>281.77</v>
      </c>
      <c r="AF55" s="31">
        <v>282.44</v>
      </c>
      <c r="AG55" s="31">
        <v>258.77</v>
      </c>
    </row>
    <row r="56" spans="1:33" x14ac:dyDescent="0.25">
      <c r="A56" s="25">
        <v>62</v>
      </c>
      <c r="B56" s="30">
        <v>1.9594907407407408E-2</v>
      </c>
      <c r="C56" s="30">
        <v>2.1111111111111112E-2</v>
      </c>
      <c r="D56" s="30">
        <v>2.1041666666666667E-2</v>
      </c>
      <c r="E56" s="30">
        <v>2.2708333333333334E-2</v>
      </c>
      <c r="F56" s="30">
        <v>2.9502314814814815E-2</v>
      </c>
      <c r="G56" s="30">
        <v>3.1805555555555552E-2</v>
      </c>
      <c r="H56" s="30">
        <v>3.1689814814814816E-2</v>
      </c>
      <c r="I56" s="30">
        <v>3.4212962962962966E-2</v>
      </c>
      <c r="J56" s="30">
        <v>4.957175925925926E-2</v>
      </c>
      <c r="K56" s="30">
        <v>5.3437499999999999E-2</v>
      </c>
      <c r="L56" s="30">
        <v>5.3252314814814815E-2</v>
      </c>
      <c r="M56" s="30">
        <v>5.7476851851851848E-2</v>
      </c>
      <c r="N56" s="30">
        <v>5.9733796296296299E-2</v>
      </c>
      <c r="O56" s="30">
        <v>6.4386574074074068E-2</v>
      </c>
      <c r="P56" s="30">
        <v>6.4166666666666664E-2</v>
      </c>
      <c r="Q56" s="30">
        <v>6.9259259259259257E-2</v>
      </c>
      <c r="R56" s="30">
        <v>0.1012037037037037</v>
      </c>
      <c r="S56" s="30">
        <v>0.10909722222222222</v>
      </c>
      <c r="T56" s="30">
        <v>0.10872685185185185</v>
      </c>
      <c r="U56" s="30">
        <v>0.11736111111111111</v>
      </c>
      <c r="V56" s="30">
        <v>0.21127314814814815</v>
      </c>
      <c r="W56" s="30">
        <v>0.22775462962962964</v>
      </c>
      <c r="X56" s="30">
        <v>0.22697916666666668</v>
      </c>
      <c r="Y56" s="30">
        <v>0.24504629629629629</v>
      </c>
      <c r="Z56" s="31">
        <v>187.81</v>
      </c>
      <c r="AA56" s="31">
        <v>169.22</v>
      </c>
      <c r="AB56" s="31">
        <v>170.04</v>
      </c>
      <c r="AC56" s="31">
        <v>152.38</v>
      </c>
      <c r="AD56" s="31">
        <v>301.57</v>
      </c>
      <c r="AE56" s="31">
        <v>277.36</v>
      </c>
      <c r="AF56" s="31">
        <v>278.44</v>
      </c>
      <c r="AG56" s="31">
        <v>254.69</v>
      </c>
    </row>
    <row r="57" spans="1:33" x14ac:dyDescent="0.25">
      <c r="A57" s="25">
        <v>63</v>
      </c>
      <c r="B57" s="30">
        <v>1.9699074074074074E-2</v>
      </c>
      <c r="C57" s="30">
        <v>2.1273148148148149E-2</v>
      </c>
      <c r="D57" s="30">
        <v>2.1157407407407406E-2</v>
      </c>
      <c r="E57" s="30">
        <v>2.2881944444444444E-2</v>
      </c>
      <c r="F57" s="30">
        <v>2.9675925925925925E-2</v>
      </c>
      <c r="G57" s="30">
        <v>3.2037037037037037E-2</v>
      </c>
      <c r="H57" s="30">
        <v>3.1875000000000001E-2</v>
      </c>
      <c r="I57" s="30">
        <v>3.4467592592592591E-2</v>
      </c>
      <c r="J57" s="30">
        <v>4.9861111111111113E-2</v>
      </c>
      <c r="K57" s="30">
        <v>5.3842592592592595E-2</v>
      </c>
      <c r="L57" s="30">
        <v>5.3564814814814815E-2</v>
      </c>
      <c r="M57" s="30">
        <v>5.7928240740740738E-2</v>
      </c>
      <c r="N57" s="30">
        <v>6.008101851851852E-2</v>
      </c>
      <c r="O57" s="30">
        <v>6.4872685185185186E-2</v>
      </c>
      <c r="P57" s="30">
        <v>6.4537037037037032E-2</v>
      </c>
      <c r="Q57" s="30">
        <v>6.9791666666666669E-2</v>
      </c>
      <c r="R57" s="30">
        <v>0.10181712962962963</v>
      </c>
      <c r="S57" s="30">
        <v>0.10995370370370371</v>
      </c>
      <c r="T57" s="30">
        <v>0.10938657407407408</v>
      </c>
      <c r="U57" s="30">
        <v>0.1182986111111111</v>
      </c>
      <c r="V57" s="30">
        <v>0.21265046296296297</v>
      </c>
      <c r="W57" s="30">
        <v>0.22968749999999999</v>
      </c>
      <c r="X57" s="30">
        <v>0.22849537037037038</v>
      </c>
      <c r="Y57" s="30">
        <v>0.24716435185185184</v>
      </c>
      <c r="Z57" s="31">
        <v>185.51</v>
      </c>
      <c r="AA57" s="31">
        <v>166.71</v>
      </c>
      <c r="AB57" s="31">
        <v>167.94</v>
      </c>
      <c r="AC57" s="31">
        <v>150.07</v>
      </c>
      <c r="AD57" s="31">
        <v>297.10000000000002</v>
      </c>
      <c r="AE57" s="31">
        <v>272.70999999999998</v>
      </c>
      <c r="AF57" s="31">
        <v>274.33</v>
      </c>
      <c r="AG57" s="31">
        <v>250.4</v>
      </c>
    </row>
    <row r="58" spans="1:33" x14ac:dyDescent="0.25">
      <c r="A58" s="25">
        <v>64</v>
      </c>
      <c r="B58" s="30">
        <v>1.9814814814814816E-2</v>
      </c>
      <c r="C58" s="30">
        <v>2.1446759259259259E-2</v>
      </c>
      <c r="D58" s="30">
        <v>2.1284722222222222E-2</v>
      </c>
      <c r="E58" s="30">
        <v>2.3078703703703702E-2</v>
      </c>
      <c r="F58" s="30">
        <v>2.9837962962962962E-2</v>
      </c>
      <c r="G58" s="30">
        <v>3.2303240740740743E-2</v>
      </c>
      <c r="H58" s="30">
        <v>3.2060185185185185E-2</v>
      </c>
      <c r="I58" s="30">
        <v>3.4756944444444444E-2</v>
      </c>
      <c r="J58" s="30">
        <v>5.0150462962962966E-2</v>
      </c>
      <c r="K58" s="30">
        <v>5.4282407407407404E-2</v>
      </c>
      <c r="L58" s="30">
        <v>5.3877314814814815E-2</v>
      </c>
      <c r="M58" s="30">
        <v>5.8414351851851849E-2</v>
      </c>
      <c r="N58" s="30">
        <v>6.0428240740740741E-2</v>
      </c>
      <c r="O58" s="30">
        <v>6.5416666666666665E-2</v>
      </c>
      <c r="P58" s="30">
        <v>6.4930555555555561E-2</v>
      </c>
      <c r="Q58" s="30">
        <v>7.0393518518518522E-2</v>
      </c>
      <c r="R58" s="30">
        <v>0.10244212962962963</v>
      </c>
      <c r="S58" s="30">
        <v>0.11090277777777778</v>
      </c>
      <c r="T58" s="30">
        <v>0.11006944444444444</v>
      </c>
      <c r="U58" s="30">
        <v>0.11934027777777778</v>
      </c>
      <c r="V58" s="30">
        <v>0.21408564814814815</v>
      </c>
      <c r="W58" s="30">
        <v>0.23180555555555554</v>
      </c>
      <c r="X58" s="30">
        <v>0.23006944444444444</v>
      </c>
      <c r="Y58" s="30">
        <v>0.24947916666666667</v>
      </c>
      <c r="Z58" s="31">
        <v>183.17</v>
      </c>
      <c r="AA58" s="31">
        <v>164.05</v>
      </c>
      <c r="AB58" s="31">
        <v>165.79</v>
      </c>
      <c r="AC58" s="31">
        <v>147.62</v>
      </c>
      <c r="AD58" s="31">
        <v>292.54000000000002</v>
      </c>
      <c r="AE58" s="31">
        <v>267.83999999999997</v>
      </c>
      <c r="AF58" s="31">
        <v>270.14</v>
      </c>
      <c r="AG58" s="31">
        <v>245.89</v>
      </c>
    </row>
    <row r="59" spans="1:33" x14ac:dyDescent="0.25">
      <c r="A59" s="25">
        <v>65</v>
      </c>
      <c r="B59" s="30">
        <v>1.9930555555555556E-2</v>
      </c>
      <c r="C59" s="30">
        <v>2.1631944444444443E-2</v>
      </c>
      <c r="D59" s="30">
        <v>2.1412037037037038E-2</v>
      </c>
      <c r="E59" s="30">
        <v>2.3287037037037037E-2</v>
      </c>
      <c r="F59" s="30">
        <v>3.0023148148148149E-2</v>
      </c>
      <c r="G59" s="30">
        <v>3.259259259259259E-2</v>
      </c>
      <c r="H59" s="30">
        <v>3.2256944444444442E-2</v>
      </c>
      <c r="I59" s="30">
        <v>3.5069444444444445E-2</v>
      </c>
      <c r="J59" s="30">
        <v>5.0451388888888886E-2</v>
      </c>
      <c r="K59" s="30">
        <v>5.4780092592592596E-2</v>
      </c>
      <c r="L59" s="30">
        <v>5.4212962962962963E-2</v>
      </c>
      <c r="M59" s="30">
        <v>5.8958333333333335E-2</v>
      </c>
      <c r="N59" s="30">
        <v>6.0798611111111109E-2</v>
      </c>
      <c r="O59" s="30">
        <v>6.6018518518518518E-2</v>
      </c>
      <c r="P59" s="30">
        <v>6.5335648148148143E-2</v>
      </c>
      <c r="Q59" s="30">
        <v>7.104166666666667E-2</v>
      </c>
      <c r="R59" s="30">
        <v>0.10309027777777778</v>
      </c>
      <c r="S59" s="30">
        <v>0.11193287037037038</v>
      </c>
      <c r="T59" s="30">
        <v>0.11078703703703703</v>
      </c>
      <c r="U59" s="30">
        <v>0.12047453703703703</v>
      </c>
      <c r="V59" s="30">
        <v>0.21559027777777778</v>
      </c>
      <c r="W59" s="30">
        <v>0.23413194444444443</v>
      </c>
      <c r="X59" s="30">
        <v>0.23172453703703705</v>
      </c>
      <c r="Y59" s="30">
        <v>0.25202546296296297</v>
      </c>
      <c r="Z59" s="31">
        <v>180.76</v>
      </c>
      <c r="AA59" s="31">
        <v>161.22</v>
      </c>
      <c r="AB59" s="31">
        <v>163.59</v>
      </c>
      <c r="AC59" s="31">
        <v>145.02000000000001</v>
      </c>
      <c r="AD59" s="31">
        <v>287.87</v>
      </c>
      <c r="AE59" s="31">
        <v>262.75</v>
      </c>
      <c r="AF59" s="31">
        <v>265.85000000000002</v>
      </c>
      <c r="AG59" s="31">
        <v>241.16</v>
      </c>
    </row>
    <row r="60" spans="1:33" x14ac:dyDescent="0.25">
      <c r="A60" s="25">
        <v>66</v>
      </c>
      <c r="B60" s="30">
        <v>2.0057870370370372E-2</v>
      </c>
      <c r="C60" s="30">
        <v>2.1851851851851851E-2</v>
      </c>
      <c r="D60" s="30">
        <v>2.1550925925925925E-2</v>
      </c>
      <c r="E60" s="30">
        <v>2.3518518518518518E-2</v>
      </c>
      <c r="F60" s="30">
        <v>3.0208333333333334E-2</v>
      </c>
      <c r="G60" s="30">
        <v>3.290509259259259E-2</v>
      </c>
      <c r="H60" s="30">
        <v>3.246527777777778E-2</v>
      </c>
      <c r="I60" s="30">
        <v>3.5416666666666666E-2</v>
      </c>
      <c r="J60" s="30">
        <v>5.077546296296296E-2</v>
      </c>
      <c r="K60" s="30">
        <v>5.5324074074074074E-2</v>
      </c>
      <c r="L60" s="30">
        <v>5.4560185185185184E-2</v>
      </c>
      <c r="M60" s="30">
        <v>5.9548611111111108E-2</v>
      </c>
      <c r="N60" s="30">
        <v>6.1192129629629631E-2</v>
      </c>
      <c r="O60" s="30">
        <v>6.6666666666666666E-2</v>
      </c>
      <c r="P60" s="30">
        <v>6.5763888888888886E-2</v>
      </c>
      <c r="Q60" s="30">
        <v>7.1759259259259259E-2</v>
      </c>
      <c r="R60" s="30">
        <v>0.10377314814814814</v>
      </c>
      <c r="S60" s="30">
        <v>0.11307870370370371</v>
      </c>
      <c r="T60" s="30">
        <v>0.11152777777777778</v>
      </c>
      <c r="U60" s="30">
        <v>0.12172453703703703</v>
      </c>
      <c r="V60" s="30">
        <v>0.21716435185185184</v>
      </c>
      <c r="W60" s="30">
        <v>0.23667824074074073</v>
      </c>
      <c r="X60" s="30">
        <v>0.23343749999999999</v>
      </c>
      <c r="Y60" s="30">
        <v>0.25481481481481483</v>
      </c>
      <c r="Z60" s="31">
        <v>178.31</v>
      </c>
      <c r="AA60" s="31">
        <v>158.24</v>
      </c>
      <c r="AB60" s="31">
        <v>161.35</v>
      </c>
      <c r="AC60" s="31">
        <v>142.26</v>
      </c>
      <c r="AD60" s="31">
        <v>283.10000000000002</v>
      </c>
      <c r="AE60" s="31">
        <v>257.42</v>
      </c>
      <c r="AF60" s="31">
        <v>261.47000000000003</v>
      </c>
      <c r="AG60" s="31">
        <v>236.21</v>
      </c>
    </row>
    <row r="61" spans="1:33" x14ac:dyDescent="0.25">
      <c r="A61" s="25">
        <v>67</v>
      </c>
      <c r="B61" s="30">
        <v>2.0185185185185184E-2</v>
      </c>
      <c r="C61" s="30">
        <v>2.207175925925926E-2</v>
      </c>
      <c r="D61" s="30">
        <v>2.1689814814814815E-2</v>
      </c>
      <c r="E61" s="30">
        <v>2.3761574074074074E-2</v>
      </c>
      <c r="F61" s="30">
        <v>3.0393518518518518E-2</v>
      </c>
      <c r="G61" s="30">
        <v>3.3252314814814818E-2</v>
      </c>
      <c r="H61" s="30">
        <v>3.2673611111111112E-2</v>
      </c>
      <c r="I61" s="30">
        <v>3.5798611111111114E-2</v>
      </c>
      <c r="J61" s="30">
        <v>5.1099537037037034E-2</v>
      </c>
      <c r="K61" s="30">
        <v>5.5914351851851854E-2</v>
      </c>
      <c r="L61" s="30">
        <v>5.4930555555555559E-2</v>
      </c>
      <c r="M61" s="30">
        <v>6.0196759259259262E-2</v>
      </c>
      <c r="N61" s="30">
        <v>6.159722222222222E-2</v>
      </c>
      <c r="O61" s="30">
        <v>6.7384259259259255E-2</v>
      </c>
      <c r="P61" s="30">
        <v>6.6203703703703709E-2</v>
      </c>
      <c r="Q61" s="30">
        <v>7.2546296296296303E-2</v>
      </c>
      <c r="R61" s="30">
        <v>0.10447916666666666</v>
      </c>
      <c r="S61" s="30">
        <v>0.11432870370370371</v>
      </c>
      <c r="T61" s="30">
        <v>0.11230324074074075</v>
      </c>
      <c r="U61" s="30">
        <v>0.12309027777777778</v>
      </c>
      <c r="V61" s="30">
        <v>0.21879629629629629</v>
      </c>
      <c r="W61" s="30">
        <v>0.23946759259259259</v>
      </c>
      <c r="X61" s="30">
        <v>0.23523148148148149</v>
      </c>
      <c r="Y61" s="30">
        <v>0.25787037037037036</v>
      </c>
      <c r="Z61" s="31">
        <v>175.79</v>
      </c>
      <c r="AA61" s="31">
        <v>155.09</v>
      </c>
      <c r="AB61" s="31">
        <v>159.05000000000001</v>
      </c>
      <c r="AC61" s="31">
        <v>139.36000000000001</v>
      </c>
      <c r="AD61" s="31">
        <v>278.24</v>
      </c>
      <c r="AE61" s="31">
        <v>251.87</v>
      </c>
      <c r="AF61" s="31">
        <v>257</v>
      </c>
      <c r="AG61" s="31">
        <v>231.04</v>
      </c>
    </row>
    <row r="62" spans="1:33" x14ac:dyDescent="0.25">
      <c r="A62" s="25">
        <v>68</v>
      </c>
      <c r="B62" s="30">
        <v>2.0312500000000001E-2</v>
      </c>
      <c r="C62" s="30">
        <v>2.2326388888888889E-2</v>
      </c>
      <c r="D62" s="30">
        <v>2.1828703703703704E-2</v>
      </c>
      <c r="E62" s="30">
        <v>2.4039351851851853E-2</v>
      </c>
      <c r="F62" s="30">
        <v>3.0601851851851852E-2</v>
      </c>
      <c r="G62" s="30">
        <v>3.363425925925926E-2</v>
      </c>
      <c r="H62" s="30">
        <v>3.2893518518518516E-2</v>
      </c>
      <c r="I62" s="30">
        <v>3.622685185185185E-2</v>
      </c>
      <c r="J62" s="30">
        <v>5.1446759259259262E-2</v>
      </c>
      <c r="K62" s="30">
        <v>5.6562500000000002E-2</v>
      </c>
      <c r="L62" s="30">
        <v>5.5300925925925927E-2</v>
      </c>
      <c r="M62" s="30">
        <v>6.0902777777777778E-2</v>
      </c>
      <c r="N62" s="30">
        <v>6.2013888888888889E-2</v>
      </c>
      <c r="O62" s="30">
        <v>6.8171296296296299E-2</v>
      </c>
      <c r="P62" s="30">
        <v>6.6655092592592599E-2</v>
      </c>
      <c r="Q62" s="30">
        <v>7.3414351851851856E-2</v>
      </c>
      <c r="R62" s="30">
        <v>0.1052199074074074</v>
      </c>
      <c r="S62" s="30">
        <v>0.11569444444444445</v>
      </c>
      <c r="T62" s="30">
        <v>0.11311342592592592</v>
      </c>
      <c r="U62" s="30">
        <v>0.12458333333333334</v>
      </c>
      <c r="V62" s="30">
        <v>0.22050925925925927</v>
      </c>
      <c r="W62" s="30">
        <v>0.24252314814814815</v>
      </c>
      <c r="X62" s="30">
        <v>0.23710648148148147</v>
      </c>
      <c r="Y62" s="30">
        <v>0.26121527777777775</v>
      </c>
      <c r="Z62" s="31">
        <v>173.23</v>
      </c>
      <c r="AA62" s="31">
        <v>151.78</v>
      </c>
      <c r="AB62" s="31">
        <v>156.71</v>
      </c>
      <c r="AC62" s="31">
        <v>136.29</v>
      </c>
      <c r="AD62" s="31">
        <v>273.29000000000002</v>
      </c>
      <c r="AE62" s="31">
        <v>246.09</v>
      </c>
      <c r="AF62" s="31">
        <v>252.44</v>
      </c>
      <c r="AG62" s="31">
        <v>225.64</v>
      </c>
    </row>
    <row r="63" spans="1:33" x14ac:dyDescent="0.25">
      <c r="A63" s="25">
        <v>69</v>
      </c>
      <c r="B63" s="30">
        <v>2.045138888888889E-2</v>
      </c>
      <c r="C63" s="30">
        <v>2.2488425925925926E-2</v>
      </c>
      <c r="D63" s="30">
        <v>2.1979166666666668E-2</v>
      </c>
      <c r="E63" s="30">
        <v>2.4212962962962964E-2</v>
      </c>
      <c r="F63" s="30">
        <v>3.0810185185185184E-2</v>
      </c>
      <c r="G63" s="30">
        <v>3.3888888888888892E-2</v>
      </c>
      <c r="H63" s="30">
        <v>3.3125000000000002E-2</v>
      </c>
      <c r="I63" s="30">
        <v>3.6493055555555556E-2</v>
      </c>
      <c r="J63" s="30">
        <v>5.1805555555555556E-2</v>
      </c>
      <c r="K63" s="30">
        <v>5.6979166666666664E-2</v>
      </c>
      <c r="L63" s="30">
        <v>5.5694444444444442E-2</v>
      </c>
      <c r="M63" s="30">
        <v>6.1365740740740742E-2</v>
      </c>
      <c r="N63" s="30">
        <v>6.2442129629629632E-2</v>
      </c>
      <c r="O63" s="30">
        <v>6.868055555555555E-2</v>
      </c>
      <c r="P63" s="30">
        <v>6.7129629629629636E-2</v>
      </c>
      <c r="Q63" s="30">
        <v>7.3969907407407401E-2</v>
      </c>
      <c r="R63" s="30">
        <v>0.1059837962962963</v>
      </c>
      <c r="S63" s="30">
        <v>0.11658564814814815</v>
      </c>
      <c r="T63" s="30">
        <v>0.11395833333333333</v>
      </c>
      <c r="U63" s="30">
        <v>0.12556712962962963</v>
      </c>
      <c r="V63" s="30">
        <v>0.22229166666666667</v>
      </c>
      <c r="W63" s="30">
        <v>0.24459490740740741</v>
      </c>
      <c r="X63" s="30">
        <v>0.23906250000000001</v>
      </c>
      <c r="Y63" s="30">
        <v>0.26349537037037035</v>
      </c>
      <c r="Z63" s="31">
        <v>170.61</v>
      </c>
      <c r="AA63" s="31">
        <v>149.38999999999999</v>
      </c>
      <c r="AB63" s="31">
        <v>154.31</v>
      </c>
      <c r="AC63" s="31">
        <v>134.1</v>
      </c>
      <c r="AD63" s="31">
        <v>268.24</v>
      </c>
      <c r="AE63" s="31">
        <v>241.48</v>
      </c>
      <c r="AF63" s="31">
        <v>247.8</v>
      </c>
      <c r="AG63" s="31">
        <v>221.41</v>
      </c>
    </row>
    <row r="64" spans="1:33" x14ac:dyDescent="0.25">
      <c r="A64" s="25">
        <v>70</v>
      </c>
      <c r="B64" s="30">
        <v>2.0590277777777777E-2</v>
      </c>
      <c r="C64" s="30">
        <v>2.2650462962962963E-2</v>
      </c>
      <c r="D64" s="30">
        <v>2.2141203703703705E-2</v>
      </c>
      <c r="E64" s="30">
        <v>2.4398148148148148E-2</v>
      </c>
      <c r="F64" s="30">
        <v>3.1030092592592592E-2</v>
      </c>
      <c r="G64" s="30">
        <v>3.4131944444444444E-2</v>
      </c>
      <c r="H64" s="30">
        <v>3.335648148148148E-2</v>
      </c>
      <c r="I64" s="30">
        <v>3.6759259259259262E-2</v>
      </c>
      <c r="J64" s="30">
        <v>5.2175925925925924E-2</v>
      </c>
      <c r="K64" s="30">
        <v>5.7395833333333333E-2</v>
      </c>
      <c r="L64" s="30">
        <v>5.6099537037037038E-2</v>
      </c>
      <c r="M64" s="30">
        <v>6.1817129629629632E-2</v>
      </c>
      <c r="N64" s="30">
        <v>6.2893518518518515E-2</v>
      </c>
      <c r="O64" s="30">
        <v>6.9189814814814815E-2</v>
      </c>
      <c r="P64" s="30">
        <v>6.7627314814814821E-2</v>
      </c>
      <c r="Q64" s="30">
        <v>7.452546296296296E-2</v>
      </c>
      <c r="R64" s="30">
        <v>0.10678240740740741</v>
      </c>
      <c r="S64" s="30">
        <v>0.11748842592592593</v>
      </c>
      <c r="T64" s="30">
        <v>0.11482638888888889</v>
      </c>
      <c r="U64" s="30">
        <v>0.12655092592592593</v>
      </c>
      <c r="V64" s="30">
        <v>0.22415509259259259</v>
      </c>
      <c r="W64" s="30">
        <v>0.24668981481481481</v>
      </c>
      <c r="X64" s="30">
        <v>0.24109953703703704</v>
      </c>
      <c r="Y64" s="30">
        <v>0.26578703703703704</v>
      </c>
      <c r="Z64" s="31">
        <v>167.94</v>
      </c>
      <c r="AA64" s="31">
        <v>147.02000000000001</v>
      </c>
      <c r="AB64" s="31">
        <v>151.87</v>
      </c>
      <c r="AC64" s="31">
        <v>131.93</v>
      </c>
      <c r="AD64" s="31">
        <v>263.08999999999997</v>
      </c>
      <c r="AE64" s="31">
        <v>236.87</v>
      </c>
      <c r="AF64" s="31">
        <v>243.06</v>
      </c>
      <c r="AG64" s="31">
        <v>217.17</v>
      </c>
    </row>
    <row r="65" spans="1:33" x14ac:dyDescent="0.25">
      <c r="A65" s="25">
        <v>71</v>
      </c>
      <c r="B65" s="30">
        <v>2.074074074074074E-2</v>
      </c>
      <c r="C65" s="30">
        <v>2.2812499999999999E-2</v>
      </c>
      <c r="D65" s="30">
        <v>2.2303240740740742E-2</v>
      </c>
      <c r="E65" s="30">
        <v>2.4571759259259258E-2</v>
      </c>
      <c r="F65" s="30">
        <v>3.125E-2</v>
      </c>
      <c r="G65" s="30">
        <v>3.4386574074074076E-2</v>
      </c>
      <c r="H65" s="30">
        <v>3.3599537037037039E-2</v>
      </c>
      <c r="I65" s="30">
        <v>3.7037037037037035E-2</v>
      </c>
      <c r="J65" s="30">
        <v>5.2557870370370373E-2</v>
      </c>
      <c r="K65" s="30">
        <v>5.783564814814815E-2</v>
      </c>
      <c r="L65" s="30">
        <v>5.6527777777777781E-2</v>
      </c>
      <c r="M65" s="30">
        <v>6.2303240740740742E-2</v>
      </c>
      <c r="N65" s="30">
        <v>6.3368055555555552E-2</v>
      </c>
      <c r="O65" s="30">
        <v>6.9722222222222227E-2</v>
      </c>
      <c r="P65" s="30">
        <v>6.8148148148148152E-2</v>
      </c>
      <c r="Q65" s="30">
        <v>7.5104166666666666E-2</v>
      </c>
      <c r="R65" s="30">
        <v>0.10761574074074073</v>
      </c>
      <c r="S65" s="30">
        <v>0.11842592592592592</v>
      </c>
      <c r="T65" s="30">
        <v>0.11574074074074074</v>
      </c>
      <c r="U65" s="30">
        <v>0.12758101851851852</v>
      </c>
      <c r="V65" s="30">
        <v>0.22609953703703703</v>
      </c>
      <c r="W65" s="30">
        <v>0.24888888888888888</v>
      </c>
      <c r="X65" s="30">
        <v>0.24322916666666666</v>
      </c>
      <c r="Y65" s="30">
        <v>0.26819444444444446</v>
      </c>
      <c r="Z65" s="31">
        <v>165.22</v>
      </c>
      <c r="AA65" s="31">
        <v>144.59</v>
      </c>
      <c r="AB65" s="31">
        <v>149.37</v>
      </c>
      <c r="AC65" s="31">
        <v>129.71</v>
      </c>
      <c r="AD65" s="31">
        <v>257.86</v>
      </c>
      <c r="AE65" s="31">
        <v>232.18</v>
      </c>
      <c r="AF65" s="31">
        <v>238.24</v>
      </c>
      <c r="AG65" s="31">
        <v>212.85</v>
      </c>
    </row>
    <row r="66" spans="1:33" x14ac:dyDescent="0.25">
      <c r="A66" s="25">
        <v>72</v>
      </c>
      <c r="B66" s="30">
        <v>2.0891203703703703E-2</v>
      </c>
      <c r="C66" s="30">
        <v>2.298611111111111E-2</v>
      </c>
      <c r="D66" s="30">
        <v>2.2465277777777778E-2</v>
      </c>
      <c r="E66" s="30">
        <v>2.476851851851852E-2</v>
      </c>
      <c r="F66" s="30">
        <v>3.1481481481481478E-2</v>
      </c>
      <c r="G66" s="30">
        <v>3.4641203703703702E-2</v>
      </c>
      <c r="H66" s="30">
        <v>3.3865740740740738E-2</v>
      </c>
      <c r="I66" s="30">
        <v>3.7326388888888888E-2</v>
      </c>
      <c r="J66" s="30">
        <v>5.2962962962962962E-2</v>
      </c>
      <c r="K66" s="30">
        <v>5.828703703703704E-2</v>
      </c>
      <c r="L66" s="30">
        <v>5.6967592592592591E-2</v>
      </c>
      <c r="M66" s="30">
        <v>6.2789351851851846E-2</v>
      </c>
      <c r="N66" s="30">
        <v>6.385416666666667E-2</v>
      </c>
      <c r="O66" s="30">
        <v>7.0277777777777772E-2</v>
      </c>
      <c r="P66" s="30">
        <v>6.868055555555555E-2</v>
      </c>
      <c r="Q66" s="30">
        <v>7.5717592592592586E-2</v>
      </c>
      <c r="R66" s="30">
        <v>0.1084837962962963</v>
      </c>
      <c r="S66" s="30">
        <v>0.11939814814814814</v>
      </c>
      <c r="T66" s="30">
        <v>0.11668981481481482</v>
      </c>
      <c r="U66" s="30">
        <v>0.12865740740740741</v>
      </c>
      <c r="V66" s="30">
        <v>0.22813657407407406</v>
      </c>
      <c r="W66" s="30">
        <v>0.25118055555555557</v>
      </c>
      <c r="X66" s="30">
        <v>0.24546296296296297</v>
      </c>
      <c r="Y66" s="30">
        <v>0.2707060185185185</v>
      </c>
      <c r="Z66" s="31">
        <v>162.44</v>
      </c>
      <c r="AA66" s="31">
        <v>142.12</v>
      </c>
      <c r="AB66" s="31">
        <v>146.83000000000001</v>
      </c>
      <c r="AC66" s="31">
        <v>127.45</v>
      </c>
      <c r="AD66" s="31">
        <v>252.53</v>
      </c>
      <c r="AE66" s="31">
        <v>227.39</v>
      </c>
      <c r="AF66" s="31">
        <v>233.34</v>
      </c>
      <c r="AG66" s="31">
        <v>208.46</v>
      </c>
    </row>
    <row r="67" spans="1:33" x14ac:dyDescent="0.25">
      <c r="A67" s="25">
        <v>73</v>
      </c>
      <c r="B67" s="30">
        <v>2.105324074074074E-2</v>
      </c>
      <c r="C67" s="30">
        <v>2.3171296296296297E-2</v>
      </c>
      <c r="D67" s="30">
        <v>2.2638888888888889E-2</v>
      </c>
      <c r="E67" s="30">
        <v>2.4965277777777777E-2</v>
      </c>
      <c r="F67" s="30">
        <v>3.1724537037037037E-2</v>
      </c>
      <c r="G67" s="30">
        <v>3.4918981481481481E-2</v>
      </c>
      <c r="H67" s="30">
        <v>3.4131944444444444E-2</v>
      </c>
      <c r="I67" s="30">
        <v>3.7627314814814815E-2</v>
      </c>
      <c r="J67" s="30">
        <v>5.3379629629629631E-2</v>
      </c>
      <c r="K67" s="30">
        <v>5.8761574074074077E-2</v>
      </c>
      <c r="L67" s="30">
        <v>5.7418981481481481E-2</v>
      </c>
      <c r="M67" s="30">
        <v>6.3310185185185192E-2</v>
      </c>
      <c r="N67" s="30">
        <v>6.4363425925925921E-2</v>
      </c>
      <c r="O67" s="30">
        <v>7.0844907407407412E-2</v>
      </c>
      <c r="P67" s="30">
        <v>6.9236111111111109E-2</v>
      </c>
      <c r="Q67" s="30">
        <v>7.6342592592592587E-2</v>
      </c>
      <c r="R67" s="30">
        <v>0.10938657407407408</v>
      </c>
      <c r="S67" s="30">
        <v>0.12041666666666667</v>
      </c>
      <c r="T67" s="30">
        <v>0.11768518518518518</v>
      </c>
      <c r="U67" s="30">
        <v>0.12976851851851851</v>
      </c>
      <c r="V67" s="30">
        <v>0.23026620370370371</v>
      </c>
      <c r="W67" s="30">
        <v>0.25357638888888889</v>
      </c>
      <c r="X67" s="30">
        <v>0.24778935185185186</v>
      </c>
      <c r="Y67" s="30">
        <v>0.27333333333333332</v>
      </c>
      <c r="Z67" s="31">
        <v>159.61000000000001</v>
      </c>
      <c r="AA67" s="31">
        <v>139.6</v>
      </c>
      <c r="AB67" s="31">
        <v>144.24</v>
      </c>
      <c r="AC67" s="31">
        <v>125.15</v>
      </c>
      <c r="AD67" s="31">
        <v>247.12</v>
      </c>
      <c r="AE67" s="31">
        <v>222.53</v>
      </c>
      <c r="AF67" s="31">
        <v>228.35</v>
      </c>
      <c r="AG67" s="31">
        <v>203.98</v>
      </c>
    </row>
    <row r="68" spans="1:33" x14ac:dyDescent="0.25">
      <c r="A68" s="25">
        <v>74</v>
      </c>
      <c r="B68" s="30">
        <v>2.1215277777777777E-2</v>
      </c>
      <c r="C68" s="30">
        <v>2.3356481481481482E-2</v>
      </c>
      <c r="D68" s="30">
        <v>2.2824074074074073E-2</v>
      </c>
      <c r="E68" s="30">
        <v>2.5173611111111112E-2</v>
      </c>
      <c r="F68" s="30">
        <v>3.197916666666667E-2</v>
      </c>
      <c r="G68" s="30">
        <v>3.5208333333333335E-2</v>
      </c>
      <c r="H68" s="30">
        <v>3.4409722222222223E-2</v>
      </c>
      <c r="I68" s="30">
        <v>3.7939814814814815E-2</v>
      </c>
      <c r="J68" s="30">
        <v>5.3819444444444448E-2</v>
      </c>
      <c r="K68" s="30">
        <v>5.9247685185185188E-2</v>
      </c>
      <c r="L68" s="30">
        <v>5.7905092592592591E-2</v>
      </c>
      <c r="M68" s="30">
        <v>6.384259259259259E-2</v>
      </c>
      <c r="N68" s="30">
        <v>6.4895833333333333E-2</v>
      </c>
      <c r="O68" s="30">
        <v>7.1446759259259265E-2</v>
      </c>
      <c r="P68" s="30">
        <v>6.9826388888888882E-2</v>
      </c>
      <c r="Q68" s="30">
        <v>7.7002314814814815E-2</v>
      </c>
      <c r="R68" s="30">
        <v>0.11032407407407407</v>
      </c>
      <c r="S68" s="30">
        <v>0.12148148148148148</v>
      </c>
      <c r="T68" s="30">
        <v>0.11871527777777778</v>
      </c>
      <c r="U68" s="30">
        <v>0.13092592592592592</v>
      </c>
      <c r="V68" s="30">
        <v>0.23248842592592592</v>
      </c>
      <c r="W68" s="30">
        <v>0.25608796296296299</v>
      </c>
      <c r="X68" s="30">
        <v>0.2502314814814815</v>
      </c>
      <c r="Y68" s="30">
        <v>0.27608796296296295</v>
      </c>
      <c r="Z68" s="31">
        <v>156.72</v>
      </c>
      <c r="AA68" s="31">
        <v>137.03</v>
      </c>
      <c r="AB68" s="31">
        <v>141.6</v>
      </c>
      <c r="AC68" s="31">
        <v>122.8</v>
      </c>
      <c r="AD68" s="31">
        <v>241.61</v>
      </c>
      <c r="AE68" s="31">
        <v>217.58</v>
      </c>
      <c r="AF68" s="31">
        <v>223.27</v>
      </c>
      <c r="AG68" s="31">
        <v>199.43</v>
      </c>
    </row>
    <row r="69" spans="1:33" x14ac:dyDescent="0.25">
      <c r="A69" s="25">
        <v>75</v>
      </c>
      <c r="B69" s="30">
        <v>2.1388888888888888E-2</v>
      </c>
      <c r="C69" s="30">
        <v>2.3553240740740739E-2</v>
      </c>
      <c r="D69" s="30">
        <v>2.3020833333333334E-2</v>
      </c>
      <c r="E69" s="30">
        <v>2.5381944444444443E-2</v>
      </c>
      <c r="F69" s="30">
        <v>3.2245370370370369E-2</v>
      </c>
      <c r="G69" s="30">
        <v>3.5497685185185188E-2</v>
      </c>
      <c r="H69" s="30">
        <v>3.4687500000000003E-2</v>
      </c>
      <c r="I69" s="30">
        <v>3.8263888888888889E-2</v>
      </c>
      <c r="J69" s="30">
        <v>5.4270833333333331E-2</v>
      </c>
      <c r="K69" s="30">
        <v>5.9756944444444446E-2</v>
      </c>
      <c r="L69" s="30">
        <v>5.8391203703703702E-2</v>
      </c>
      <c r="M69" s="30">
        <v>6.4409722222222215E-2</v>
      </c>
      <c r="N69" s="30">
        <v>6.5451388888888892E-2</v>
      </c>
      <c r="O69" s="30">
        <v>7.2071759259259266E-2</v>
      </c>
      <c r="P69" s="30">
        <v>7.0428240740740736E-2</v>
      </c>
      <c r="Q69" s="30">
        <v>7.767361111111111E-2</v>
      </c>
      <c r="R69" s="30">
        <v>0.11130787037037038</v>
      </c>
      <c r="S69" s="30">
        <v>0.12259259259259259</v>
      </c>
      <c r="T69" s="30">
        <v>0.11979166666666667</v>
      </c>
      <c r="U69" s="30">
        <v>0.13214120370370369</v>
      </c>
      <c r="V69" s="30">
        <v>0.23482638888888888</v>
      </c>
      <c r="W69" s="30">
        <v>0.25871527777777775</v>
      </c>
      <c r="X69" s="30">
        <v>0.25278935185185186</v>
      </c>
      <c r="Y69" s="30">
        <v>0.27895833333333331</v>
      </c>
      <c r="Z69" s="31">
        <v>153.79</v>
      </c>
      <c r="AA69" s="31">
        <v>134.41999999999999</v>
      </c>
      <c r="AB69" s="31">
        <v>138.91</v>
      </c>
      <c r="AC69" s="31">
        <v>120.4</v>
      </c>
      <c r="AD69" s="31">
        <v>236.01</v>
      </c>
      <c r="AE69" s="31">
        <v>212.55</v>
      </c>
      <c r="AF69" s="31">
        <v>218.11</v>
      </c>
      <c r="AG69" s="31">
        <v>194.79</v>
      </c>
    </row>
    <row r="70" spans="1:33" x14ac:dyDescent="0.25">
      <c r="A70" s="25">
        <v>76</v>
      </c>
      <c r="B70" s="30">
        <v>2.1574074074074075E-2</v>
      </c>
      <c r="C70" s="30">
        <v>2.375E-2</v>
      </c>
      <c r="D70" s="30">
        <v>2.3217592592592592E-2</v>
      </c>
      <c r="E70" s="30">
        <v>2.5601851851851851E-2</v>
      </c>
      <c r="F70" s="30">
        <v>3.2523148148148148E-2</v>
      </c>
      <c r="G70" s="30">
        <v>3.5810185185185188E-2</v>
      </c>
      <c r="H70" s="30">
        <v>3.4988425925925923E-2</v>
      </c>
      <c r="I70" s="30">
        <v>3.8599537037037036E-2</v>
      </c>
      <c r="J70" s="30">
        <v>5.4745370370370368E-2</v>
      </c>
      <c r="K70" s="30">
        <v>6.0289351851851851E-2</v>
      </c>
      <c r="L70" s="30">
        <v>5.8912037037037034E-2</v>
      </c>
      <c r="M70" s="30">
        <v>6.4988425925925922E-2</v>
      </c>
      <c r="N70" s="30">
        <v>6.6030092592592599E-2</v>
      </c>
      <c r="O70" s="30">
        <v>7.2719907407407414E-2</v>
      </c>
      <c r="P70" s="30">
        <v>7.1053240740740736E-2</v>
      </c>
      <c r="Q70" s="30">
        <v>7.8391203703703699E-2</v>
      </c>
      <c r="R70" s="30">
        <v>0.11233796296296296</v>
      </c>
      <c r="S70" s="30">
        <v>0.12375</v>
      </c>
      <c r="T70" s="30">
        <v>0.12091435185185186</v>
      </c>
      <c r="U70" s="30">
        <v>0.13341435185185185</v>
      </c>
      <c r="V70" s="30">
        <v>0.23726851851851852</v>
      </c>
      <c r="W70" s="30">
        <v>0.26148148148148148</v>
      </c>
      <c r="X70" s="30">
        <v>0.25546296296296295</v>
      </c>
      <c r="Y70" s="30">
        <v>0.28197916666666667</v>
      </c>
      <c r="Z70" s="31">
        <v>150.79</v>
      </c>
      <c r="AA70" s="31">
        <v>131.75</v>
      </c>
      <c r="AB70" s="31">
        <v>136.16999999999999</v>
      </c>
      <c r="AC70" s="31">
        <v>117.97</v>
      </c>
      <c r="AD70" s="31">
        <v>230.33</v>
      </c>
      <c r="AE70" s="31">
        <v>207.43</v>
      </c>
      <c r="AF70" s="31">
        <v>212.86</v>
      </c>
      <c r="AG70" s="31">
        <v>190.08</v>
      </c>
    </row>
    <row r="71" spans="1:33" x14ac:dyDescent="0.25">
      <c r="A71" s="25">
        <v>77</v>
      </c>
      <c r="B71" s="30">
        <v>2.1759259259259259E-2</v>
      </c>
      <c r="C71" s="30">
        <v>2.3969907407407409E-2</v>
      </c>
      <c r="D71" s="30">
        <v>2.3414351851851853E-2</v>
      </c>
      <c r="E71" s="30">
        <v>2.5833333333333333E-2</v>
      </c>
      <c r="F71" s="30">
        <v>3.2800925925925928E-2</v>
      </c>
      <c r="G71" s="30">
        <v>3.6134259259259262E-2</v>
      </c>
      <c r="H71" s="30">
        <v>3.5312499999999997E-2</v>
      </c>
      <c r="I71" s="30">
        <v>3.8958333333333331E-2</v>
      </c>
      <c r="J71" s="30">
        <v>5.5231481481481479E-2</v>
      </c>
      <c r="K71" s="30">
        <v>6.084490740740741E-2</v>
      </c>
      <c r="L71" s="30">
        <v>5.9456018518518519E-2</v>
      </c>
      <c r="M71" s="30">
        <v>6.5601851851851856E-2</v>
      </c>
      <c r="N71" s="30">
        <v>6.6631944444444438E-2</v>
      </c>
      <c r="O71" s="30">
        <v>7.3391203703703708E-2</v>
      </c>
      <c r="P71" s="30">
        <v>7.1712962962962964E-2</v>
      </c>
      <c r="Q71" s="30">
        <v>7.9131944444444449E-2</v>
      </c>
      <c r="R71" s="30">
        <v>0.11341435185185185</v>
      </c>
      <c r="S71" s="30">
        <v>0.12495370370370371</v>
      </c>
      <c r="T71" s="30">
        <v>0.12208333333333334</v>
      </c>
      <c r="U71" s="30">
        <v>0.13473379629629631</v>
      </c>
      <c r="V71" s="30">
        <v>0.23983796296296298</v>
      </c>
      <c r="W71" s="30">
        <v>0.26436342592592593</v>
      </c>
      <c r="X71" s="30">
        <v>0.25827546296296294</v>
      </c>
      <c r="Y71" s="30">
        <v>0.28515046296296298</v>
      </c>
      <c r="Z71" s="31">
        <v>147.75</v>
      </c>
      <c r="AA71" s="31">
        <v>129.03</v>
      </c>
      <c r="AB71" s="31">
        <v>133.38</v>
      </c>
      <c r="AC71" s="31">
        <v>115.48</v>
      </c>
      <c r="AD71" s="31">
        <v>224.55</v>
      </c>
      <c r="AE71" s="31">
        <v>202.23</v>
      </c>
      <c r="AF71" s="31">
        <v>207.52</v>
      </c>
      <c r="AG71" s="31">
        <v>185.29</v>
      </c>
    </row>
    <row r="72" spans="1:33" x14ac:dyDescent="0.25">
      <c r="A72" s="25">
        <v>78</v>
      </c>
      <c r="B72" s="30">
        <v>2.1956018518518517E-2</v>
      </c>
      <c r="C72" s="30">
        <v>2.4189814814814813E-2</v>
      </c>
      <c r="D72" s="30">
        <v>2.3634259259259258E-2</v>
      </c>
      <c r="E72" s="30">
        <v>2.6076388888888889E-2</v>
      </c>
      <c r="F72" s="30">
        <v>3.3101851851851855E-2</v>
      </c>
      <c r="G72" s="30">
        <v>3.6469907407407409E-2</v>
      </c>
      <c r="H72" s="30">
        <v>3.5636574074074077E-2</v>
      </c>
      <c r="I72" s="30">
        <v>3.9317129629629632E-2</v>
      </c>
      <c r="J72" s="30">
        <v>5.5752314814814817E-2</v>
      </c>
      <c r="K72" s="30">
        <v>6.1423611111111109E-2</v>
      </c>
      <c r="L72" s="30">
        <v>6.0011574074074071E-2</v>
      </c>
      <c r="M72" s="30">
        <v>6.6238425925925923E-2</v>
      </c>
      <c r="N72" s="30">
        <v>6.7256944444444439E-2</v>
      </c>
      <c r="O72" s="30">
        <v>7.4108796296296298E-2</v>
      </c>
      <c r="P72" s="30">
        <v>7.2407407407407406E-2</v>
      </c>
      <c r="Q72" s="30">
        <v>7.9907407407407413E-2</v>
      </c>
      <c r="R72" s="30">
        <v>0.11452546296296297</v>
      </c>
      <c r="S72" s="30">
        <v>0.12621527777777777</v>
      </c>
      <c r="T72" s="30">
        <v>0.12331018518518519</v>
      </c>
      <c r="U72" s="30">
        <v>0.13612268518518519</v>
      </c>
      <c r="V72" s="30">
        <v>0.24253472222222222</v>
      </c>
      <c r="W72" s="30">
        <v>0.26740740740740743</v>
      </c>
      <c r="X72" s="30">
        <v>0.26122685185185185</v>
      </c>
      <c r="Y72" s="30">
        <v>0.28848379629629628</v>
      </c>
      <c r="Z72" s="31">
        <v>144.63999999999999</v>
      </c>
      <c r="AA72" s="31">
        <v>126.27</v>
      </c>
      <c r="AB72" s="31">
        <v>130.54</v>
      </c>
      <c r="AC72" s="31">
        <v>112.95</v>
      </c>
      <c r="AD72" s="31">
        <v>218.68</v>
      </c>
      <c r="AE72" s="31">
        <v>196.94</v>
      </c>
      <c r="AF72" s="31">
        <v>202.1</v>
      </c>
      <c r="AG72" s="31">
        <v>180.42</v>
      </c>
    </row>
    <row r="73" spans="1:33" x14ac:dyDescent="0.25">
      <c r="A73" s="25">
        <v>79</v>
      </c>
      <c r="B73" s="30">
        <v>2.2164351851851852E-2</v>
      </c>
      <c r="C73" s="30">
        <v>2.4421296296296295E-2</v>
      </c>
      <c r="D73" s="30">
        <v>2.3854166666666666E-2</v>
      </c>
      <c r="E73" s="30">
        <v>2.6331018518518517E-2</v>
      </c>
      <c r="F73" s="30">
        <v>3.3414351851851855E-2</v>
      </c>
      <c r="G73" s="30">
        <v>3.681712962962963E-2</v>
      </c>
      <c r="H73" s="30">
        <v>3.5972222222222225E-2</v>
      </c>
      <c r="I73" s="30">
        <v>3.9710648148148148E-2</v>
      </c>
      <c r="J73" s="30">
        <v>5.6284722222222222E-2</v>
      </c>
      <c r="K73" s="30">
        <v>6.2025462962962963E-2</v>
      </c>
      <c r="L73" s="30">
        <v>6.0601851851851851E-2</v>
      </c>
      <c r="M73" s="30">
        <v>6.6898148148148151E-2</v>
      </c>
      <c r="N73" s="30">
        <v>6.7905092592592586E-2</v>
      </c>
      <c r="O73" s="30">
        <v>7.4837962962962967E-2</v>
      </c>
      <c r="P73" s="30">
        <v>7.3124999999999996E-2</v>
      </c>
      <c r="Q73" s="30">
        <v>8.0717592592592591E-2</v>
      </c>
      <c r="R73" s="30">
        <v>0.11570601851851851</v>
      </c>
      <c r="S73" s="30">
        <v>0.12753472222222223</v>
      </c>
      <c r="T73" s="30">
        <v>0.1245949074074074</v>
      </c>
      <c r="U73" s="30">
        <v>0.13756944444444444</v>
      </c>
      <c r="V73" s="30">
        <v>0.24535879629629628</v>
      </c>
      <c r="W73" s="30">
        <v>0.27060185185185187</v>
      </c>
      <c r="X73" s="30">
        <v>0.2643287037037037</v>
      </c>
      <c r="Y73" s="30">
        <v>0.29197916666666668</v>
      </c>
      <c r="Z73" s="31">
        <v>141.47999999999999</v>
      </c>
      <c r="AA73" s="31">
        <v>123.45</v>
      </c>
      <c r="AB73" s="31">
        <v>127.65</v>
      </c>
      <c r="AC73" s="31">
        <v>110.37</v>
      </c>
      <c r="AD73" s="31">
        <v>212.73</v>
      </c>
      <c r="AE73" s="31">
        <v>191.57</v>
      </c>
      <c r="AF73" s="31">
        <v>196.6</v>
      </c>
      <c r="AG73" s="31">
        <v>175.47</v>
      </c>
    </row>
    <row r="74" spans="1:33" x14ac:dyDescent="0.25">
      <c r="A74" s="25">
        <v>80</v>
      </c>
      <c r="B74" s="30">
        <v>2.2372685185185186E-2</v>
      </c>
      <c r="C74" s="30">
        <v>2.4652777777777777E-2</v>
      </c>
      <c r="D74" s="30">
        <v>2.4085648148148148E-2</v>
      </c>
      <c r="E74" s="30">
        <v>2.6597222222222223E-2</v>
      </c>
      <c r="F74" s="30">
        <v>3.3738425925925929E-2</v>
      </c>
      <c r="G74" s="30">
        <v>3.7187499999999998E-2</v>
      </c>
      <c r="H74" s="30">
        <v>3.6331018518518519E-2</v>
      </c>
      <c r="I74" s="30">
        <v>4.010416666666667E-2</v>
      </c>
      <c r="J74" s="30">
        <v>5.6851851851851855E-2</v>
      </c>
      <c r="K74" s="30">
        <v>6.2662037037037044E-2</v>
      </c>
      <c r="L74" s="30">
        <v>6.1215277777777778E-2</v>
      </c>
      <c r="M74" s="30">
        <v>6.7592592592592593E-2</v>
      </c>
      <c r="N74" s="30">
        <v>6.8599537037037042E-2</v>
      </c>
      <c r="O74" s="30">
        <v>7.5613425925925931E-2</v>
      </c>
      <c r="P74" s="30">
        <v>7.3865740740740746E-2</v>
      </c>
      <c r="Q74" s="30">
        <v>8.1562499999999996E-2</v>
      </c>
      <c r="R74" s="30">
        <v>0.11693287037037037</v>
      </c>
      <c r="S74" s="30">
        <v>0.12892361111111111</v>
      </c>
      <c r="T74" s="30">
        <v>0.12594907407407407</v>
      </c>
      <c r="U74" s="30">
        <v>0.13908564814814814</v>
      </c>
      <c r="V74" s="30">
        <v>0.24834490740740742</v>
      </c>
      <c r="W74" s="30">
        <v>0.27395833333333336</v>
      </c>
      <c r="X74" s="30">
        <v>0.26760416666666664</v>
      </c>
      <c r="Y74" s="30">
        <v>0.2956597222222222</v>
      </c>
      <c r="Z74" s="31">
        <v>138.27000000000001</v>
      </c>
      <c r="AA74" s="31">
        <v>120.59</v>
      </c>
      <c r="AB74" s="31">
        <v>124.7</v>
      </c>
      <c r="AC74" s="31">
        <v>107.75</v>
      </c>
      <c r="AD74" s="31">
        <v>206.68</v>
      </c>
      <c r="AE74" s="31">
        <v>186.12</v>
      </c>
      <c r="AF74" s="31">
        <v>191.01</v>
      </c>
      <c r="AG74" s="31">
        <v>170.43</v>
      </c>
    </row>
    <row r="75" spans="1:33" x14ac:dyDescent="0.25">
      <c r="A75" s="25">
        <v>81</v>
      </c>
      <c r="B75" s="30">
        <v>2.2592592592592591E-2</v>
      </c>
      <c r="C75" s="30">
        <v>2.4907407407407406E-2</v>
      </c>
      <c r="D75" s="30">
        <v>2.4328703703703703E-2</v>
      </c>
      <c r="E75" s="30">
        <v>2.6863425925925926E-2</v>
      </c>
      <c r="F75" s="30">
        <v>3.4074074074074076E-2</v>
      </c>
      <c r="G75" s="30">
        <v>3.7569444444444447E-2</v>
      </c>
      <c r="H75" s="30">
        <v>3.6701388888888888E-2</v>
      </c>
      <c r="I75" s="30">
        <v>4.0520833333333332E-2</v>
      </c>
      <c r="J75" s="30">
        <v>5.7430555555555554E-2</v>
      </c>
      <c r="K75" s="30">
        <v>6.3321759259259258E-2</v>
      </c>
      <c r="L75" s="30">
        <v>6.1863425925925926E-2</v>
      </c>
      <c r="M75" s="30">
        <v>6.8310185185185182E-2</v>
      </c>
      <c r="N75" s="30">
        <v>6.9305555555555551E-2</v>
      </c>
      <c r="O75" s="30">
        <v>7.6423611111111109E-2</v>
      </c>
      <c r="P75" s="30">
        <v>7.4652777777777776E-2</v>
      </c>
      <c r="Q75" s="30">
        <v>8.2442129629629629E-2</v>
      </c>
      <c r="R75" s="30">
        <v>0.1182175925925926</v>
      </c>
      <c r="S75" s="30">
        <v>0.13037037037037036</v>
      </c>
      <c r="T75" s="30">
        <v>0.12734953703703702</v>
      </c>
      <c r="U75" s="30">
        <v>0.14067129629629629</v>
      </c>
      <c r="V75" s="30">
        <v>0.25149305555555557</v>
      </c>
      <c r="W75" s="30">
        <v>0.27750000000000002</v>
      </c>
      <c r="X75" s="30">
        <v>0.27104166666666668</v>
      </c>
      <c r="Y75" s="30">
        <v>0.29953703703703705</v>
      </c>
      <c r="Z75" s="31">
        <v>135</v>
      </c>
      <c r="AA75" s="31">
        <v>117.67</v>
      </c>
      <c r="AB75" s="31">
        <v>121.7</v>
      </c>
      <c r="AC75" s="31">
        <v>105.08</v>
      </c>
      <c r="AD75" s="31">
        <v>200.54</v>
      </c>
      <c r="AE75" s="31">
        <v>180.58</v>
      </c>
      <c r="AF75" s="31">
        <v>185.33</v>
      </c>
      <c r="AG75" s="31">
        <v>165.32</v>
      </c>
    </row>
    <row r="76" spans="1:33" x14ac:dyDescent="0.25">
      <c r="A76" s="25">
        <v>82</v>
      </c>
      <c r="B76" s="30">
        <v>2.2824074074074073E-2</v>
      </c>
      <c r="C76" s="30">
        <v>2.5173611111111112E-2</v>
      </c>
      <c r="D76" s="30">
        <v>2.4583333333333332E-2</v>
      </c>
      <c r="E76" s="30">
        <v>2.7152777777777779E-2</v>
      </c>
      <c r="F76" s="30">
        <v>3.4432870370370371E-2</v>
      </c>
      <c r="G76" s="30">
        <v>3.7962962962962962E-2</v>
      </c>
      <c r="H76" s="30">
        <v>3.709490740740741E-2</v>
      </c>
      <c r="I76" s="30">
        <v>4.0960648148148149E-2</v>
      </c>
      <c r="J76" s="30">
        <v>5.8043981481481481E-2</v>
      </c>
      <c r="K76" s="30">
        <v>6.40162037037037E-2</v>
      </c>
      <c r="L76" s="30">
        <v>6.2534722222222228E-2</v>
      </c>
      <c r="M76" s="30">
        <v>6.9074074074074079E-2</v>
      </c>
      <c r="N76" s="30">
        <v>7.0057870370370368E-2</v>
      </c>
      <c r="O76" s="30">
        <v>7.7268518518518514E-2</v>
      </c>
      <c r="P76" s="30">
        <v>7.5474537037037034E-2</v>
      </c>
      <c r="Q76" s="30">
        <v>8.3368055555555556E-2</v>
      </c>
      <c r="R76" s="30">
        <v>0.11957175925925925</v>
      </c>
      <c r="S76" s="30">
        <v>0.13189814814814815</v>
      </c>
      <c r="T76" s="30">
        <v>0.12883101851851853</v>
      </c>
      <c r="U76" s="30">
        <v>0.14233796296296297</v>
      </c>
      <c r="V76" s="30">
        <v>0.25481481481481483</v>
      </c>
      <c r="W76" s="30">
        <v>0.28125</v>
      </c>
      <c r="X76" s="30">
        <v>0.27467592592592593</v>
      </c>
      <c r="Y76" s="30">
        <v>0.30364583333333334</v>
      </c>
      <c r="Z76" s="31">
        <v>131.66</v>
      </c>
      <c r="AA76" s="31">
        <v>114.7</v>
      </c>
      <c r="AB76" s="31">
        <v>118.65</v>
      </c>
      <c r="AC76" s="31">
        <v>102.36</v>
      </c>
      <c r="AD76" s="31">
        <v>194.32</v>
      </c>
      <c r="AE76" s="31">
        <v>174.95</v>
      </c>
      <c r="AF76" s="31">
        <v>179.56</v>
      </c>
      <c r="AG76" s="31">
        <v>160.12</v>
      </c>
    </row>
    <row r="77" spans="1:33" x14ac:dyDescent="0.25">
      <c r="A77" s="25">
        <v>83</v>
      </c>
      <c r="B77" s="30">
        <v>2.3067129629629628E-2</v>
      </c>
      <c r="C77" s="30">
        <v>2.5439814814814814E-2</v>
      </c>
      <c r="D77" s="30">
        <v>2.4849537037037038E-2</v>
      </c>
      <c r="E77" s="30">
        <v>2.7453703703703702E-2</v>
      </c>
      <c r="F77" s="30">
        <v>3.4803240740740739E-2</v>
      </c>
      <c r="G77" s="30">
        <v>3.8391203703703705E-2</v>
      </c>
      <c r="H77" s="30">
        <v>3.7499999999999999E-2</v>
      </c>
      <c r="I77" s="30">
        <v>4.1423611111111112E-2</v>
      </c>
      <c r="J77" s="30">
        <v>5.8692129629629629E-2</v>
      </c>
      <c r="K77" s="30">
        <v>6.4733796296296303E-2</v>
      </c>
      <c r="L77" s="30">
        <v>6.3240740740740736E-2</v>
      </c>
      <c r="M77" s="30">
        <v>6.986111111111111E-2</v>
      </c>
      <c r="N77" s="30">
        <v>7.0844907407407412E-2</v>
      </c>
      <c r="O77" s="30">
        <v>7.8148148148148147E-2</v>
      </c>
      <c r="P77" s="30">
        <v>7.6342592592592587E-2</v>
      </c>
      <c r="Q77" s="30">
        <v>8.4340277777777778E-2</v>
      </c>
      <c r="R77" s="30">
        <v>0.1209837962962963</v>
      </c>
      <c r="S77" s="30">
        <v>0.13349537037037038</v>
      </c>
      <c r="T77" s="30">
        <v>0.13039351851851852</v>
      </c>
      <c r="U77" s="30">
        <v>0.14408564814814814</v>
      </c>
      <c r="V77" s="30">
        <v>0.25832175925925926</v>
      </c>
      <c r="W77" s="30">
        <v>0.28519675925925925</v>
      </c>
      <c r="X77" s="30">
        <v>0.27853009259259259</v>
      </c>
      <c r="Y77" s="30">
        <v>0.30797453703703703</v>
      </c>
      <c r="Z77" s="31">
        <v>128.27000000000001</v>
      </c>
      <c r="AA77" s="31">
        <v>111.67</v>
      </c>
      <c r="AB77" s="31">
        <v>115.54</v>
      </c>
      <c r="AC77" s="31">
        <v>99.58</v>
      </c>
      <c r="AD77" s="31">
        <v>188</v>
      </c>
      <c r="AE77" s="31">
        <v>169.24</v>
      </c>
      <c r="AF77" s="31">
        <v>173.71</v>
      </c>
      <c r="AG77" s="31">
        <v>154.84</v>
      </c>
    </row>
    <row r="78" spans="1:33" x14ac:dyDescent="0.25">
      <c r="A78" s="25">
        <v>84</v>
      </c>
      <c r="B78" s="30">
        <v>2.3321759259259261E-2</v>
      </c>
      <c r="C78" s="30">
        <v>2.5729166666666668E-2</v>
      </c>
      <c r="D78" s="30">
        <v>2.5127314814814814E-2</v>
      </c>
      <c r="E78" s="30">
        <v>2.7766203703703703E-2</v>
      </c>
      <c r="F78" s="30">
        <v>3.5196759259259261E-2</v>
      </c>
      <c r="G78" s="30">
        <v>3.8831018518518522E-2</v>
      </c>
      <c r="H78" s="30">
        <v>3.7928240740740742E-2</v>
      </c>
      <c r="I78" s="30">
        <v>4.189814814814815E-2</v>
      </c>
      <c r="J78" s="30">
        <v>5.9363425925925924E-2</v>
      </c>
      <c r="K78" s="30">
        <v>6.5497685185185187E-2</v>
      </c>
      <c r="L78" s="30">
        <v>6.3969907407407406E-2</v>
      </c>
      <c r="M78" s="30">
        <v>7.0694444444444449E-2</v>
      </c>
      <c r="N78" s="30">
        <v>7.1678240740740737E-2</v>
      </c>
      <c r="O78" s="30">
        <v>7.9085648148148155E-2</v>
      </c>
      <c r="P78" s="30">
        <v>7.7245370370370367E-2</v>
      </c>
      <c r="Q78" s="30">
        <v>8.5358796296296294E-2</v>
      </c>
      <c r="R78" s="30">
        <v>0.12247685185185185</v>
      </c>
      <c r="S78" s="30">
        <v>0.13517361111111112</v>
      </c>
      <c r="T78" s="30">
        <v>0.13202546296296297</v>
      </c>
      <c r="U78" s="30">
        <v>0.14592592592592593</v>
      </c>
      <c r="V78" s="30">
        <v>0.26203703703703701</v>
      </c>
      <c r="W78" s="30">
        <v>0.28938657407407409</v>
      </c>
      <c r="X78" s="30">
        <v>0.28259259259259262</v>
      </c>
      <c r="Y78" s="30">
        <v>0.31255787037037036</v>
      </c>
      <c r="Z78" s="31">
        <v>124.82</v>
      </c>
      <c r="AA78" s="31">
        <v>108.59</v>
      </c>
      <c r="AB78" s="31">
        <v>112.37</v>
      </c>
      <c r="AC78" s="31">
        <v>96.76</v>
      </c>
      <c r="AD78" s="31">
        <v>181.59</v>
      </c>
      <c r="AE78" s="31">
        <v>163.44</v>
      </c>
      <c r="AF78" s="31">
        <v>167.77</v>
      </c>
      <c r="AG78" s="31">
        <v>149.47999999999999</v>
      </c>
    </row>
    <row r="79" spans="1:33" x14ac:dyDescent="0.25">
      <c r="A79" s="25">
        <v>85</v>
      </c>
      <c r="B79" s="30">
        <v>2.3587962962962963E-2</v>
      </c>
      <c r="C79" s="30">
        <v>2.6030092592592594E-2</v>
      </c>
      <c r="D79" s="30">
        <v>2.5428240740740741E-2</v>
      </c>
      <c r="E79" s="30">
        <v>2.8101851851851854E-2</v>
      </c>
      <c r="F79" s="30">
        <v>3.560185185185185E-2</v>
      </c>
      <c r="G79" s="30">
        <v>3.9282407407407405E-2</v>
      </c>
      <c r="H79" s="30">
        <v>3.8368055555555558E-2</v>
      </c>
      <c r="I79" s="30">
        <v>4.2407407407407408E-2</v>
      </c>
      <c r="J79" s="30">
        <v>6.0069444444444446E-2</v>
      </c>
      <c r="K79" s="30">
        <v>6.6296296296296298E-2</v>
      </c>
      <c r="L79" s="30">
        <v>6.474537037037037E-2</v>
      </c>
      <c r="M79" s="30">
        <v>7.1574074074074068E-2</v>
      </c>
      <c r="N79" s="30">
        <v>7.2534722222222223E-2</v>
      </c>
      <c r="O79" s="30">
        <v>8.0057870370370376E-2</v>
      </c>
      <c r="P79" s="30">
        <v>7.8194444444444441E-2</v>
      </c>
      <c r="Q79" s="30">
        <v>8.6435185185185184E-2</v>
      </c>
      <c r="R79" s="30">
        <v>0.12405092592592593</v>
      </c>
      <c r="S79" s="30">
        <v>0.13694444444444445</v>
      </c>
      <c r="T79" s="30">
        <v>0.13373842592592591</v>
      </c>
      <c r="U79" s="30">
        <v>0.14787037037037037</v>
      </c>
      <c r="V79" s="30">
        <v>0.26598379629629632</v>
      </c>
      <c r="W79" s="30">
        <v>0.29383101851851851</v>
      </c>
      <c r="X79" s="30">
        <v>0.28692129629629631</v>
      </c>
      <c r="Y79" s="30">
        <v>0.31743055555555555</v>
      </c>
      <c r="Z79" s="31">
        <v>121.31</v>
      </c>
      <c r="AA79" s="31">
        <v>105.45</v>
      </c>
      <c r="AB79" s="31">
        <v>109.15</v>
      </c>
      <c r="AC79" s="31">
        <v>93.89</v>
      </c>
      <c r="AD79" s="31">
        <v>175.09</v>
      </c>
      <c r="AE79" s="31">
        <v>157.54</v>
      </c>
      <c r="AF79" s="31">
        <v>161.72999999999999</v>
      </c>
      <c r="AG79" s="31">
        <v>144.03</v>
      </c>
    </row>
    <row r="80" spans="1:33" x14ac:dyDescent="0.25">
      <c r="A80" s="25">
        <v>86</v>
      </c>
      <c r="B80" s="30">
        <v>2.3865740740740739E-2</v>
      </c>
      <c r="C80" s="30">
        <v>2.6342592592592591E-2</v>
      </c>
      <c r="D80" s="30">
        <v>2.5729166666666668E-2</v>
      </c>
      <c r="E80" s="30">
        <v>2.8437500000000001E-2</v>
      </c>
      <c r="F80" s="30">
        <v>3.6030092592592593E-2</v>
      </c>
      <c r="G80" s="30">
        <v>3.9768518518518516E-2</v>
      </c>
      <c r="H80" s="30">
        <v>3.8842592592592595E-2</v>
      </c>
      <c r="I80" s="30">
        <v>4.2939814814814813E-2</v>
      </c>
      <c r="J80" s="30">
        <v>6.0821759259259256E-2</v>
      </c>
      <c r="K80" s="30">
        <v>6.7141203703703703E-2</v>
      </c>
      <c r="L80" s="30">
        <v>6.5567129629629628E-2</v>
      </c>
      <c r="M80" s="30">
        <v>7.2488425925925928E-2</v>
      </c>
      <c r="N80" s="30">
        <v>7.3449074074074069E-2</v>
      </c>
      <c r="O80" s="30">
        <v>8.1087962962962959E-2</v>
      </c>
      <c r="P80" s="30">
        <v>7.918981481481481E-2</v>
      </c>
      <c r="Q80" s="30">
        <v>8.7557870370370369E-2</v>
      </c>
      <c r="R80" s="30">
        <v>0.12570601851851851</v>
      </c>
      <c r="S80" s="30">
        <v>0.13881944444444444</v>
      </c>
      <c r="T80" s="30">
        <v>0.13555555555555557</v>
      </c>
      <c r="U80" s="30">
        <v>0.14991898148148147</v>
      </c>
      <c r="V80" s="30">
        <v>0.2701736111111111</v>
      </c>
      <c r="W80" s="30">
        <v>0.29855324074074074</v>
      </c>
      <c r="X80" s="30">
        <v>0.29150462962962964</v>
      </c>
      <c r="Y80" s="30">
        <v>0.32260416666666669</v>
      </c>
      <c r="Z80" s="31">
        <v>117.73</v>
      </c>
      <c r="AA80" s="31">
        <v>102.26</v>
      </c>
      <c r="AB80" s="31">
        <v>105.87</v>
      </c>
      <c r="AC80" s="31">
        <v>90.96</v>
      </c>
      <c r="AD80" s="31">
        <v>168.49</v>
      </c>
      <c r="AE80" s="31">
        <v>151.56</v>
      </c>
      <c r="AF80" s="31">
        <v>155.61000000000001</v>
      </c>
      <c r="AG80" s="31">
        <v>138.49</v>
      </c>
    </row>
    <row r="81" spans="1:33" x14ac:dyDescent="0.25">
      <c r="A81" s="25">
        <v>87</v>
      </c>
      <c r="B81" s="30">
        <v>2.4166666666666666E-2</v>
      </c>
      <c r="C81" s="30">
        <v>2.6678240740740742E-2</v>
      </c>
      <c r="D81" s="30">
        <v>2.6053240740740741E-2</v>
      </c>
      <c r="E81" s="30">
        <v>2.8807870370370369E-2</v>
      </c>
      <c r="F81" s="30">
        <v>3.6481481481481483E-2</v>
      </c>
      <c r="G81" s="30">
        <v>4.027777777777778E-2</v>
      </c>
      <c r="H81" s="30">
        <v>3.9328703703703706E-2</v>
      </c>
      <c r="I81" s="30">
        <v>4.3495370370370372E-2</v>
      </c>
      <c r="J81" s="30">
        <v>6.159722222222222E-2</v>
      </c>
      <c r="K81" s="30">
        <v>6.8020833333333336E-2</v>
      </c>
      <c r="L81" s="30">
        <v>6.6423611111111114E-2</v>
      </c>
      <c r="M81" s="30">
        <v>7.346064814814815E-2</v>
      </c>
      <c r="N81" s="30">
        <v>7.4409722222222224E-2</v>
      </c>
      <c r="O81" s="30">
        <v>8.217592592592593E-2</v>
      </c>
      <c r="P81" s="30">
        <v>8.0243055555555554E-2</v>
      </c>
      <c r="Q81" s="30">
        <v>8.8749999999999996E-2</v>
      </c>
      <c r="R81" s="30">
        <v>0.12745370370370371</v>
      </c>
      <c r="S81" s="30">
        <v>0.14078703703703704</v>
      </c>
      <c r="T81" s="30">
        <v>0.13747685185185185</v>
      </c>
      <c r="U81" s="30">
        <v>0.15208333333333332</v>
      </c>
      <c r="V81" s="30">
        <v>0.27464120370370371</v>
      </c>
      <c r="W81" s="30">
        <v>0.30358796296296298</v>
      </c>
      <c r="X81" s="30">
        <v>0.29640046296296296</v>
      </c>
      <c r="Y81" s="30">
        <v>0.328125</v>
      </c>
      <c r="Z81" s="31">
        <v>114.08</v>
      </c>
      <c r="AA81" s="31">
        <v>99</v>
      </c>
      <c r="AB81" s="31">
        <v>102.52</v>
      </c>
      <c r="AC81" s="31">
        <v>87.98</v>
      </c>
      <c r="AD81" s="31">
        <v>161.81</v>
      </c>
      <c r="AE81" s="31">
        <v>145.49</v>
      </c>
      <c r="AF81" s="31">
        <v>149.4</v>
      </c>
      <c r="AG81" s="31">
        <v>132.87</v>
      </c>
    </row>
    <row r="82" spans="1:33" x14ac:dyDescent="0.25">
      <c r="A82" s="25">
        <v>88</v>
      </c>
      <c r="B82" s="30">
        <v>2.4479166666666666E-2</v>
      </c>
      <c r="C82" s="30">
        <v>2.7025462962962963E-2</v>
      </c>
      <c r="D82" s="30">
        <v>2.6388888888888889E-2</v>
      </c>
      <c r="E82" s="30">
        <v>2.9189814814814814E-2</v>
      </c>
      <c r="F82" s="30">
        <v>3.695601851851852E-2</v>
      </c>
      <c r="G82" s="30">
        <v>4.0810185185185185E-2</v>
      </c>
      <c r="H82" s="30">
        <v>3.9849537037037037E-2</v>
      </c>
      <c r="I82" s="30">
        <v>4.4074074074074071E-2</v>
      </c>
      <c r="J82" s="30">
        <v>6.2430555555555559E-2</v>
      </c>
      <c r="K82" s="30">
        <v>6.8946759259259263E-2</v>
      </c>
      <c r="L82" s="30">
        <v>6.7326388888888894E-2</v>
      </c>
      <c r="M82" s="30">
        <v>7.4479166666666666E-2</v>
      </c>
      <c r="N82" s="30">
        <v>7.542824074074074E-2</v>
      </c>
      <c r="O82" s="30">
        <v>8.3310185185185182E-2</v>
      </c>
      <c r="P82" s="30">
        <v>8.1354166666666672E-2</v>
      </c>
      <c r="Q82" s="30">
        <v>0.09</v>
      </c>
      <c r="R82" s="30">
        <v>0.12931712962962963</v>
      </c>
      <c r="S82" s="30">
        <v>0.14288194444444444</v>
      </c>
      <c r="T82" s="30">
        <v>0.13951388888888888</v>
      </c>
      <c r="U82" s="30">
        <v>0.15436342592592592</v>
      </c>
      <c r="V82" s="30">
        <v>0.27940972222222221</v>
      </c>
      <c r="W82" s="30">
        <v>0.30896990740740743</v>
      </c>
      <c r="X82" s="30">
        <v>0.30163194444444447</v>
      </c>
      <c r="Y82" s="30">
        <v>0.33401620370370372</v>
      </c>
      <c r="Z82" s="31">
        <v>110.37</v>
      </c>
      <c r="AA82" s="31">
        <v>95.69</v>
      </c>
      <c r="AB82" s="31">
        <v>99.12</v>
      </c>
      <c r="AC82" s="31">
        <v>84.94</v>
      </c>
      <c r="AD82" s="31">
        <v>155.02000000000001</v>
      </c>
      <c r="AE82" s="31">
        <v>139.33000000000001</v>
      </c>
      <c r="AF82" s="31">
        <v>143.09</v>
      </c>
      <c r="AG82" s="31">
        <v>127.15</v>
      </c>
    </row>
    <row r="83" spans="1:33" x14ac:dyDescent="0.25">
      <c r="A83" s="25">
        <v>89</v>
      </c>
      <c r="B83" s="30">
        <v>2.480324074074074E-2</v>
      </c>
      <c r="C83" s="30">
        <v>2.7395833333333335E-2</v>
      </c>
      <c r="D83" s="30">
        <v>2.6747685185185187E-2</v>
      </c>
      <c r="E83" s="30">
        <v>2.9594907407407407E-2</v>
      </c>
      <c r="F83" s="30">
        <v>3.7453703703703704E-2</v>
      </c>
      <c r="G83" s="30">
        <v>4.1377314814814818E-2</v>
      </c>
      <c r="H83" s="30">
        <v>4.040509259259259E-2</v>
      </c>
      <c r="I83" s="30">
        <v>4.4699074074074072E-2</v>
      </c>
      <c r="J83" s="30">
        <v>6.3298611111111111E-2</v>
      </c>
      <c r="K83" s="30">
        <v>6.9930555555555551E-2</v>
      </c>
      <c r="L83" s="30">
        <v>6.8287037037037035E-2</v>
      </c>
      <c r="M83" s="30">
        <v>7.5555555555555556E-2</v>
      </c>
      <c r="N83" s="30">
        <v>7.649305555555555E-2</v>
      </c>
      <c r="O83" s="30">
        <v>8.4525462962962969E-2</v>
      </c>
      <c r="P83" s="30">
        <v>8.2534722222222218E-2</v>
      </c>
      <c r="Q83" s="30">
        <v>9.1319444444444439E-2</v>
      </c>
      <c r="R83" s="30">
        <v>0.13127314814814814</v>
      </c>
      <c r="S83" s="30">
        <v>0.14509259259259261</v>
      </c>
      <c r="T83" s="30">
        <v>0.14166666666666666</v>
      </c>
      <c r="U83" s="30">
        <v>0.15679398148148149</v>
      </c>
      <c r="V83" s="30">
        <v>0.28452546296296294</v>
      </c>
      <c r="W83" s="30">
        <v>0.31473379629629628</v>
      </c>
      <c r="X83" s="30">
        <v>0.30723379629629627</v>
      </c>
      <c r="Y83" s="30">
        <v>0.34032407407407406</v>
      </c>
      <c r="Z83" s="31">
        <v>106.59</v>
      </c>
      <c r="AA83" s="31">
        <v>92.31</v>
      </c>
      <c r="AB83" s="31">
        <v>95.65</v>
      </c>
      <c r="AC83" s="31">
        <v>81.84</v>
      </c>
      <c r="AD83" s="31">
        <v>148.13999999999999</v>
      </c>
      <c r="AE83" s="31">
        <v>133.07</v>
      </c>
      <c r="AF83" s="31">
        <v>136.68</v>
      </c>
      <c r="AG83" s="31">
        <v>121.35</v>
      </c>
    </row>
    <row r="84" spans="1:33" x14ac:dyDescent="0.25">
      <c r="A84" s="25">
        <v>90</v>
      </c>
      <c r="B84" s="30">
        <v>2.5138888888888888E-2</v>
      </c>
      <c r="C84" s="30">
        <v>2.7777777777777776E-2</v>
      </c>
      <c r="D84" s="30">
        <v>2.7129629629629629E-2</v>
      </c>
      <c r="E84" s="30">
        <v>3.0011574074074072E-2</v>
      </c>
      <c r="F84" s="30">
        <v>3.7986111111111109E-2</v>
      </c>
      <c r="G84" s="30">
        <v>4.1967592592592591E-2</v>
      </c>
      <c r="H84" s="30">
        <v>4.0983796296296296E-2</v>
      </c>
      <c r="I84" s="30">
        <v>4.5347222222222219E-2</v>
      </c>
      <c r="J84" s="30">
        <v>6.4224537037037038E-2</v>
      </c>
      <c r="K84" s="30">
        <v>7.0972222222222228E-2</v>
      </c>
      <c r="L84" s="30">
        <v>6.9293981481481484E-2</v>
      </c>
      <c r="M84" s="30">
        <v>7.6689814814814808E-2</v>
      </c>
      <c r="N84" s="30">
        <v>7.7627314814814816E-2</v>
      </c>
      <c r="O84" s="30">
        <v>8.5798611111111117E-2</v>
      </c>
      <c r="P84" s="30">
        <v>8.3773148148148152E-2</v>
      </c>
      <c r="Q84" s="30">
        <v>9.2719907407407404E-2</v>
      </c>
      <c r="R84" s="30">
        <v>0.13336805555555556</v>
      </c>
      <c r="S84" s="30">
        <v>0.14744212962962963</v>
      </c>
      <c r="T84" s="30">
        <v>0.14394675925925926</v>
      </c>
      <c r="U84" s="30">
        <v>0.15937499999999999</v>
      </c>
      <c r="V84" s="30">
        <v>0.29001157407407407</v>
      </c>
      <c r="W84" s="30">
        <v>0.32091435185185185</v>
      </c>
      <c r="X84" s="30">
        <v>0.31324074074074076</v>
      </c>
      <c r="Y84" s="30">
        <v>0.34709490740740739</v>
      </c>
      <c r="Z84" s="31">
        <v>102.74</v>
      </c>
      <c r="AA84" s="31">
        <v>88.87</v>
      </c>
      <c r="AB84" s="31">
        <v>92.11</v>
      </c>
      <c r="AC84" s="31">
        <v>78.680000000000007</v>
      </c>
      <c r="AD84" s="31">
        <v>141.16</v>
      </c>
      <c r="AE84" s="31">
        <v>126.71</v>
      </c>
      <c r="AF84" s="31">
        <v>130.18</v>
      </c>
      <c r="AG84" s="31">
        <v>115.45</v>
      </c>
    </row>
    <row r="85" spans="1:33" x14ac:dyDescent="0.25">
      <c r="A85" s="25">
        <v>91</v>
      </c>
      <c r="B85" s="30">
        <v>2.5509259259259259E-2</v>
      </c>
      <c r="C85" s="30">
        <v>2.8194444444444446E-2</v>
      </c>
      <c r="D85" s="30">
        <v>2.7523148148148147E-2</v>
      </c>
      <c r="E85" s="30">
        <v>3.0462962962962963E-2</v>
      </c>
      <c r="F85" s="30">
        <v>3.8541666666666669E-2</v>
      </c>
      <c r="G85" s="30">
        <v>4.2604166666666665E-2</v>
      </c>
      <c r="H85" s="30">
        <v>4.1597222222222223E-2</v>
      </c>
      <c r="I85" s="30">
        <v>4.6041666666666668E-2</v>
      </c>
      <c r="J85" s="30">
        <v>6.519675925925926E-2</v>
      </c>
      <c r="K85" s="30">
        <v>7.2071759259259266E-2</v>
      </c>
      <c r="L85" s="30">
        <v>7.0370370370370375E-2</v>
      </c>
      <c r="M85" s="30">
        <v>7.7905092592592595E-2</v>
      </c>
      <c r="N85" s="30">
        <v>7.8831018518518522E-2</v>
      </c>
      <c r="O85" s="30">
        <v>8.7152777777777773E-2</v>
      </c>
      <c r="P85" s="30">
        <v>8.5092592592592595E-2</v>
      </c>
      <c r="Q85" s="30">
        <v>9.420138888888889E-2</v>
      </c>
      <c r="R85" s="30">
        <v>0.13559027777777777</v>
      </c>
      <c r="S85" s="30">
        <v>0.1499537037037037</v>
      </c>
      <c r="T85" s="30">
        <v>0.14637731481481481</v>
      </c>
      <c r="U85" s="30">
        <v>0.16211805555555556</v>
      </c>
      <c r="V85" s="30">
        <v>0.29592592592592593</v>
      </c>
      <c r="W85" s="30">
        <v>0.32758101851851851</v>
      </c>
      <c r="X85" s="30">
        <v>0.31972222222222224</v>
      </c>
      <c r="Y85" s="30">
        <v>0.35439814814814813</v>
      </c>
      <c r="Z85" s="31">
        <v>98.82</v>
      </c>
      <c r="AA85" s="31">
        <v>85.36</v>
      </c>
      <c r="AB85" s="31">
        <v>88.51</v>
      </c>
      <c r="AC85" s="31">
        <v>75.459999999999994</v>
      </c>
      <c r="AD85" s="31">
        <v>134.09</v>
      </c>
      <c r="AE85" s="31">
        <v>120.26</v>
      </c>
      <c r="AF85" s="31">
        <v>123.58</v>
      </c>
      <c r="AG85" s="31">
        <v>109.45</v>
      </c>
    </row>
    <row r="86" spans="1:33" x14ac:dyDescent="0.25">
      <c r="A86" s="25">
        <v>92</v>
      </c>
      <c r="B86" s="30">
        <v>2.5891203703703704E-2</v>
      </c>
      <c r="C86" s="30">
        <v>2.8622685185185185E-2</v>
      </c>
      <c r="D86" s="30">
        <v>2.795138888888889E-2</v>
      </c>
      <c r="E86" s="30">
        <v>3.09375E-2</v>
      </c>
      <c r="F86" s="30">
        <v>3.9131944444444441E-2</v>
      </c>
      <c r="G86" s="30">
        <v>4.3263888888888886E-2</v>
      </c>
      <c r="H86" s="30">
        <v>4.2245370370370371E-2</v>
      </c>
      <c r="I86" s="30">
        <v>4.6770833333333331E-2</v>
      </c>
      <c r="J86" s="30">
        <v>6.6238425925925923E-2</v>
      </c>
      <c r="K86" s="30">
        <v>7.3252314814814812E-2</v>
      </c>
      <c r="L86" s="30">
        <v>7.1504629629629626E-2</v>
      </c>
      <c r="M86" s="30">
        <v>7.9178240740740743E-2</v>
      </c>
      <c r="N86" s="30">
        <v>8.0115740740740737E-2</v>
      </c>
      <c r="O86" s="30">
        <v>8.8599537037037032E-2</v>
      </c>
      <c r="P86" s="30">
        <v>8.6493055555555559E-2</v>
      </c>
      <c r="Q86" s="30">
        <v>9.5787037037037032E-2</v>
      </c>
      <c r="R86" s="30">
        <v>0.13796296296296295</v>
      </c>
      <c r="S86" s="30">
        <v>0.15262731481481481</v>
      </c>
      <c r="T86" s="30">
        <v>0.14898148148148149</v>
      </c>
      <c r="U86" s="30">
        <v>0.1650462962962963</v>
      </c>
      <c r="V86" s="30">
        <v>0.30232638888888891</v>
      </c>
      <c r="W86" s="30">
        <v>0.33479166666666665</v>
      </c>
      <c r="X86" s="30">
        <v>0.32672453703703702</v>
      </c>
      <c r="Y86" s="30">
        <v>0.36230324074074072</v>
      </c>
      <c r="Z86" s="31">
        <v>94.82</v>
      </c>
      <c r="AA86" s="31">
        <v>81.78</v>
      </c>
      <c r="AB86" s="31">
        <v>84.83</v>
      </c>
      <c r="AC86" s="31">
        <v>72.17</v>
      </c>
      <c r="AD86" s="31">
        <v>126.91</v>
      </c>
      <c r="AE86" s="31">
        <v>113.71</v>
      </c>
      <c r="AF86" s="31">
        <v>116.88</v>
      </c>
      <c r="AG86" s="31">
        <v>103.36</v>
      </c>
    </row>
    <row r="87" spans="1:33" x14ac:dyDescent="0.25">
      <c r="A87" s="25">
        <v>93</v>
      </c>
      <c r="B87" s="30">
        <v>2.630787037037037E-2</v>
      </c>
      <c r="C87" s="30">
        <v>2.9085648148148149E-2</v>
      </c>
      <c r="D87" s="30">
        <v>2.8391203703703703E-2</v>
      </c>
      <c r="E87" s="30">
        <v>3.1446759259259258E-2</v>
      </c>
      <c r="F87" s="30">
        <v>3.9768518518518516E-2</v>
      </c>
      <c r="G87" s="30">
        <v>4.3981481481481483E-2</v>
      </c>
      <c r="H87" s="30">
        <v>4.2928240740740739E-2</v>
      </c>
      <c r="I87" s="30">
        <v>4.7546296296296295E-2</v>
      </c>
      <c r="J87" s="30">
        <v>6.7349537037037041E-2</v>
      </c>
      <c r="K87" s="30">
        <v>7.4490740740740746E-2</v>
      </c>
      <c r="L87" s="30">
        <v>7.2719907407407414E-2</v>
      </c>
      <c r="M87" s="30">
        <v>8.054398148148148E-2</v>
      </c>
      <c r="N87" s="30">
        <v>8.1481481481481488E-2</v>
      </c>
      <c r="O87" s="30">
        <v>9.0138888888888893E-2</v>
      </c>
      <c r="P87" s="30">
        <v>8.7986111111111112E-2</v>
      </c>
      <c r="Q87" s="30">
        <v>9.7465277777777776E-2</v>
      </c>
      <c r="R87" s="30">
        <v>0.14049768518518518</v>
      </c>
      <c r="S87" s="30">
        <v>0.1554861111111111</v>
      </c>
      <c r="T87" s="30">
        <v>0.15175925925925926</v>
      </c>
      <c r="U87" s="30">
        <v>0.16818287037037036</v>
      </c>
      <c r="V87" s="30">
        <v>0.30927083333333333</v>
      </c>
      <c r="W87" s="30">
        <v>0.34261574074074075</v>
      </c>
      <c r="X87" s="30">
        <v>0.33434027777777775</v>
      </c>
      <c r="Y87" s="30">
        <v>0.37087962962962961</v>
      </c>
      <c r="Z87" s="31">
        <v>90.74</v>
      </c>
      <c r="AA87" s="31">
        <v>78.13</v>
      </c>
      <c r="AB87" s="31">
        <v>81.08</v>
      </c>
      <c r="AC87" s="31">
        <v>68.819999999999993</v>
      </c>
      <c r="AD87" s="31">
        <v>119.63</v>
      </c>
      <c r="AE87" s="31">
        <v>107.05</v>
      </c>
      <c r="AF87" s="31">
        <v>110.08</v>
      </c>
      <c r="AG87" s="31">
        <v>97.17</v>
      </c>
    </row>
    <row r="88" spans="1:33" x14ac:dyDescent="0.25">
      <c r="A88" s="25">
        <v>94</v>
      </c>
      <c r="B88" s="30">
        <v>2.673611111111111E-2</v>
      </c>
      <c r="C88" s="30">
        <v>2.9571759259259259E-2</v>
      </c>
      <c r="D88" s="30">
        <v>2.8877314814814814E-2</v>
      </c>
      <c r="E88" s="30">
        <v>3.197916666666667E-2</v>
      </c>
      <c r="F88" s="30">
        <v>4.0439814814814817E-2</v>
      </c>
      <c r="G88" s="30">
        <v>4.4733796296296299E-2</v>
      </c>
      <c r="H88" s="30">
        <v>4.3668981481481482E-2</v>
      </c>
      <c r="I88" s="30">
        <v>4.8379629629629627E-2</v>
      </c>
      <c r="J88" s="30">
        <v>6.851851851851852E-2</v>
      </c>
      <c r="K88" s="30">
        <v>7.5821759259259255E-2</v>
      </c>
      <c r="L88" s="30">
        <v>7.4004629629629629E-2</v>
      </c>
      <c r="M88" s="30">
        <v>8.200231481481482E-2</v>
      </c>
      <c r="N88" s="30">
        <v>8.2928240740740747E-2</v>
      </c>
      <c r="O88" s="30">
        <v>9.1770833333333329E-2</v>
      </c>
      <c r="P88" s="30">
        <v>8.9583333333333334E-2</v>
      </c>
      <c r="Q88" s="30">
        <v>9.9270833333333336E-2</v>
      </c>
      <c r="R88" s="30">
        <v>0.14322916666666666</v>
      </c>
      <c r="S88" s="30">
        <v>0.15855324074074073</v>
      </c>
      <c r="T88" s="30">
        <v>0.15474537037037037</v>
      </c>
      <c r="U88" s="30">
        <v>0.17153935185185185</v>
      </c>
      <c r="V88" s="30">
        <v>0.31684027777777779</v>
      </c>
      <c r="W88" s="30">
        <v>0.35115740740740742</v>
      </c>
      <c r="X88" s="30">
        <v>0.34263888888888888</v>
      </c>
      <c r="Y88" s="30">
        <v>0.3802314814814815</v>
      </c>
      <c r="Z88" s="31">
        <v>86.58</v>
      </c>
      <c r="AA88" s="31">
        <v>74.400000000000006</v>
      </c>
      <c r="AB88" s="31">
        <v>77.25</v>
      </c>
      <c r="AC88" s="31">
        <v>65.400000000000006</v>
      </c>
      <c r="AD88" s="31">
        <v>112.24</v>
      </c>
      <c r="AE88" s="31">
        <v>100.29</v>
      </c>
      <c r="AF88" s="31">
        <v>103.18</v>
      </c>
      <c r="AG88" s="31">
        <v>90.87</v>
      </c>
    </row>
    <row r="89" spans="1:33" x14ac:dyDescent="0.25">
      <c r="A89" s="25">
        <v>95</v>
      </c>
      <c r="B89" s="30">
        <v>2.7199074074074073E-2</v>
      </c>
      <c r="C89" s="30">
        <v>3.0104166666666668E-2</v>
      </c>
      <c r="D89" s="30">
        <v>2.9374999999999998E-2</v>
      </c>
      <c r="E89" s="30">
        <v>3.2557870370370369E-2</v>
      </c>
      <c r="F89" s="30">
        <v>4.1145833333333333E-2</v>
      </c>
      <c r="G89" s="30">
        <v>4.5543981481481484E-2</v>
      </c>
      <c r="H89" s="30">
        <v>4.4444444444444446E-2</v>
      </c>
      <c r="I89" s="30">
        <v>4.925925925925926E-2</v>
      </c>
      <c r="J89" s="30">
        <v>6.9780092592592588E-2</v>
      </c>
      <c r="K89" s="30">
        <v>7.7245370370370367E-2</v>
      </c>
      <c r="L89" s="30">
        <v>7.5393518518518512E-2</v>
      </c>
      <c r="M89" s="30">
        <v>8.3564814814814814E-2</v>
      </c>
      <c r="N89" s="30">
        <v>8.4490740740740741E-2</v>
      </c>
      <c r="O89" s="30">
        <v>9.3530092592592595E-2</v>
      </c>
      <c r="P89" s="30">
        <v>9.1284722222222225E-2</v>
      </c>
      <c r="Q89" s="30">
        <v>0.10119212962962963</v>
      </c>
      <c r="R89" s="30">
        <v>0.1461574074074074</v>
      </c>
      <c r="S89" s="30">
        <v>0.16186342592592592</v>
      </c>
      <c r="T89" s="30">
        <v>0.15796296296296297</v>
      </c>
      <c r="U89" s="30">
        <v>0.17516203703703703</v>
      </c>
      <c r="V89" s="30">
        <v>0.32513888888888887</v>
      </c>
      <c r="W89" s="30">
        <v>0.36050925925925925</v>
      </c>
      <c r="X89" s="30">
        <v>0.35173611111111114</v>
      </c>
      <c r="Y89" s="30">
        <v>0.39047453703703705</v>
      </c>
      <c r="Z89" s="31">
        <v>82.33</v>
      </c>
      <c r="AA89" s="31">
        <v>70.59</v>
      </c>
      <c r="AB89" s="31">
        <v>73.349999999999994</v>
      </c>
      <c r="AC89" s="31">
        <v>61.9</v>
      </c>
      <c r="AD89" s="31">
        <v>104.75</v>
      </c>
      <c r="AE89" s="31">
        <v>93.43</v>
      </c>
      <c r="AF89" s="31">
        <v>96.16</v>
      </c>
      <c r="AG89" s="31">
        <v>84.47</v>
      </c>
    </row>
    <row r="90" spans="1:33" x14ac:dyDescent="0.25">
      <c r="A90" s="25">
        <v>96</v>
      </c>
      <c r="B90" s="30">
        <v>2.7696759259259258E-2</v>
      </c>
      <c r="C90" s="30">
        <v>3.0659722222222224E-2</v>
      </c>
      <c r="D90" s="30">
        <v>2.991898148148148E-2</v>
      </c>
      <c r="E90" s="30">
        <v>3.3171296296296296E-2</v>
      </c>
      <c r="F90" s="30">
        <v>4.1909722222222223E-2</v>
      </c>
      <c r="G90" s="30">
        <v>4.6400462962962963E-2</v>
      </c>
      <c r="H90" s="30">
        <v>4.5289351851851851E-2</v>
      </c>
      <c r="I90" s="30">
        <v>5.019675925925926E-2</v>
      </c>
      <c r="J90" s="30">
        <v>7.1134259259259258E-2</v>
      </c>
      <c r="K90" s="30">
        <v>7.8773148148148148E-2</v>
      </c>
      <c r="L90" s="30">
        <v>7.6874999999999999E-2</v>
      </c>
      <c r="M90" s="30">
        <v>8.5231481481481478E-2</v>
      </c>
      <c r="N90" s="30">
        <v>8.6168981481481485E-2</v>
      </c>
      <c r="O90" s="30">
        <v>9.5416666666666664E-2</v>
      </c>
      <c r="P90" s="30">
        <v>9.3124999999999999E-2</v>
      </c>
      <c r="Q90" s="30">
        <v>0.10325231481481481</v>
      </c>
      <c r="R90" s="30">
        <v>0.14932870370370371</v>
      </c>
      <c r="S90" s="30">
        <v>0.16543981481481482</v>
      </c>
      <c r="T90" s="30">
        <v>0.16143518518518518</v>
      </c>
      <c r="U90" s="30">
        <v>0.17908564814814815</v>
      </c>
      <c r="V90" s="30">
        <v>0.33429398148148148</v>
      </c>
      <c r="W90" s="30">
        <v>0.37082175925925925</v>
      </c>
      <c r="X90" s="30">
        <v>0.36175925925925928</v>
      </c>
      <c r="Y90" s="30">
        <v>0.40177083333333335</v>
      </c>
      <c r="Z90" s="31">
        <v>78</v>
      </c>
      <c r="AA90" s="31">
        <v>66.7</v>
      </c>
      <c r="AB90" s="31">
        <v>69.36</v>
      </c>
      <c r="AC90" s="31">
        <v>58.33</v>
      </c>
      <c r="AD90" s="31">
        <v>97.15</v>
      </c>
      <c r="AE90" s="31">
        <v>86.45</v>
      </c>
      <c r="AF90" s="31">
        <v>89.04</v>
      </c>
      <c r="AG90" s="31">
        <v>77.959999999999994</v>
      </c>
    </row>
    <row r="91" spans="1:33" x14ac:dyDescent="0.25">
      <c r="A91" s="25">
        <v>97</v>
      </c>
      <c r="B91" s="30">
        <v>2.8229166666666666E-2</v>
      </c>
      <c r="C91" s="30">
        <v>3.1261574074074074E-2</v>
      </c>
      <c r="D91" s="30">
        <v>3.050925925925926E-2</v>
      </c>
      <c r="E91" s="30">
        <v>3.3819444444444444E-2</v>
      </c>
      <c r="F91" s="30">
        <v>4.2731481481481481E-2</v>
      </c>
      <c r="G91" s="30">
        <v>4.732638888888889E-2</v>
      </c>
      <c r="H91" s="30">
        <v>4.6192129629629632E-2</v>
      </c>
      <c r="I91" s="30">
        <v>5.1215277777777776E-2</v>
      </c>
      <c r="J91" s="30">
        <v>7.2592592592592597E-2</v>
      </c>
      <c r="K91" s="30">
        <v>8.0416666666666664E-2</v>
      </c>
      <c r="L91" s="30">
        <v>7.8472222222222221E-2</v>
      </c>
      <c r="M91" s="30">
        <v>8.7037037037037038E-2</v>
      </c>
      <c r="N91" s="30">
        <v>8.7974537037037032E-2</v>
      </c>
      <c r="O91" s="30">
        <v>9.7453703703703709E-2</v>
      </c>
      <c r="P91" s="30">
        <v>9.510416666666667E-2</v>
      </c>
      <c r="Q91" s="30">
        <v>0.10548611111111111</v>
      </c>
      <c r="R91" s="30">
        <v>0.1527662037037037</v>
      </c>
      <c r="S91" s="30">
        <v>0.16931712962962964</v>
      </c>
      <c r="T91" s="30">
        <v>0.16520833333333335</v>
      </c>
      <c r="U91" s="30">
        <v>0.18333333333333332</v>
      </c>
      <c r="V91" s="30">
        <v>0.34444444444444444</v>
      </c>
      <c r="W91" s="30">
        <v>0.38226851851851851</v>
      </c>
      <c r="X91" s="30">
        <v>0.37288194444444445</v>
      </c>
      <c r="Y91" s="30">
        <v>0.41430555555555554</v>
      </c>
      <c r="Z91" s="31">
        <v>73.569999999999993</v>
      </c>
      <c r="AA91" s="31">
        <v>62.73</v>
      </c>
      <c r="AB91" s="31">
        <v>65.28</v>
      </c>
      <c r="AC91" s="31">
        <v>54.67</v>
      </c>
      <c r="AD91" s="31">
        <v>89.44</v>
      </c>
      <c r="AE91" s="31">
        <v>79.36</v>
      </c>
      <c r="AF91" s="31">
        <v>81.8</v>
      </c>
      <c r="AG91" s="31">
        <v>71.34</v>
      </c>
    </row>
    <row r="92" spans="1:33" x14ac:dyDescent="0.25">
      <c r="A92" s="25">
        <v>98</v>
      </c>
      <c r="B92" s="30">
        <v>2.8796296296296296E-2</v>
      </c>
      <c r="C92" s="30">
        <v>3.1898148148148148E-2</v>
      </c>
      <c r="D92" s="30">
        <v>3.1134259259259261E-2</v>
      </c>
      <c r="E92" s="30">
        <v>3.4525462962962966E-2</v>
      </c>
      <c r="F92" s="30">
        <v>4.3622685185185188E-2</v>
      </c>
      <c r="G92" s="30">
        <v>4.8321759259259259E-2</v>
      </c>
      <c r="H92" s="30">
        <v>4.715277777777778E-2</v>
      </c>
      <c r="I92" s="30">
        <v>5.230324074074074E-2</v>
      </c>
      <c r="J92" s="30">
        <v>7.4166666666666672E-2</v>
      </c>
      <c r="K92" s="30">
        <v>8.2187499999999997E-2</v>
      </c>
      <c r="L92" s="30">
        <v>8.0196759259259259E-2</v>
      </c>
      <c r="M92" s="30">
        <v>8.8969907407407414E-2</v>
      </c>
      <c r="N92" s="30">
        <v>8.9930555555555555E-2</v>
      </c>
      <c r="O92" s="30">
        <v>9.9652777777777785E-2</v>
      </c>
      <c r="P92" s="30">
        <v>9.723379629629629E-2</v>
      </c>
      <c r="Q92" s="30">
        <v>0.10789351851851851</v>
      </c>
      <c r="R92" s="30">
        <v>0.1565162037037037</v>
      </c>
      <c r="S92" s="30">
        <v>0.17354166666666668</v>
      </c>
      <c r="T92" s="30">
        <v>0.16931712962962964</v>
      </c>
      <c r="U92" s="30">
        <v>0.18795138888888888</v>
      </c>
      <c r="V92" s="30">
        <v>0.35579861111111111</v>
      </c>
      <c r="W92" s="30">
        <v>0.39505787037037038</v>
      </c>
      <c r="X92" s="30">
        <v>0.3853125</v>
      </c>
      <c r="Y92" s="30">
        <v>0.42832175925925925</v>
      </c>
      <c r="Z92" s="31">
        <v>69.05</v>
      </c>
      <c r="AA92" s="31">
        <v>58.67</v>
      </c>
      <c r="AB92" s="31">
        <v>61.11</v>
      </c>
      <c r="AC92" s="31">
        <v>50.93</v>
      </c>
      <c r="AD92" s="31">
        <v>81.61</v>
      </c>
      <c r="AE92" s="31">
        <v>72.150000000000006</v>
      </c>
      <c r="AF92" s="31">
        <v>74.45</v>
      </c>
      <c r="AG92" s="31">
        <v>64.59</v>
      </c>
    </row>
    <row r="93" spans="1:33" x14ac:dyDescent="0.25">
      <c r="A93" s="25">
        <v>99</v>
      </c>
      <c r="B93" s="30">
        <v>2.9409722222222223E-2</v>
      </c>
      <c r="C93" s="30">
        <v>3.259259259259259E-2</v>
      </c>
      <c r="D93" s="30">
        <v>3.1805555555555552E-2</v>
      </c>
      <c r="E93" s="30">
        <v>3.528935185185185E-2</v>
      </c>
      <c r="F93" s="30">
        <v>4.4571759259259262E-2</v>
      </c>
      <c r="G93" s="30">
        <v>4.9398148148148149E-2</v>
      </c>
      <c r="H93" s="30">
        <v>4.8206018518518516E-2</v>
      </c>
      <c r="I93" s="30">
        <v>5.3483796296296293E-2</v>
      </c>
      <c r="J93" s="30">
        <v>7.587962962962963E-2</v>
      </c>
      <c r="K93" s="30">
        <v>8.4108796296296293E-2</v>
      </c>
      <c r="L93" s="30">
        <v>8.206018518518518E-2</v>
      </c>
      <c r="M93" s="30">
        <v>9.1076388888888887E-2</v>
      </c>
      <c r="N93" s="30">
        <v>9.2048611111111109E-2</v>
      </c>
      <c r="O93" s="30">
        <v>0.10204861111111112</v>
      </c>
      <c r="P93" s="30">
        <v>9.9560185185185182E-2</v>
      </c>
      <c r="Q93" s="30">
        <v>0.11052083333333333</v>
      </c>
      <c r="R93" s="30">
        <v>0.16062499999999999</v>
      </c>
      <c r="S93" s="30">
        <v>0.17815972222222223</v>
      </c>
      <c r="T93" s="30">
        <v>0.17380787037037038</v>
      </c>
      <c r="U93" s="30">
        <v>0.19302083333333334</v>
      </c>
      <c r="V93" s="30">
        <v>0.36858796296296298</v>
      </c>
      <c r="W93" s="30">
        <v>0.40947916666666667</v>
      </c>
      <c r="X93" s="30">
        <v>0.39932870370370371</v>
      </c>
      <c r="Y93" s="30">
        <v>0.44412037037037039</v>
      </c>
      <c r="Z93" s="31">
        <v>64.42</v>
      </c>
      <c r="AA93" s="31">
        <v>54.51</v>
      </c>
      <c r="AB93" s="31">
        <v>56.84</v>
      </c>
      <c r="AC93" s="31">
        <v>47.11</v>
      </c>
      <c r="AD93" s="31">
        <v>73.67</v>
      </c>
      <c r="AE93" s="31">
        <v>64.83</v>
      </c>
      <c r="AF93" s="31">
        <v>66.98</v>
      </c>
      <c r="AG93" s="31">
        <v>57.73</v>
      </c>
    </row>
  </sheetData>
  <sheetProtection sheet="1" objects="1" scenarios="1"/>
  <pageMargins left="0.70866141732283472" right="0.70866141732283472" top="0.74803149606299213" bottom="0.74803149606299213" header="0.31496062992125984" footer="0.31496062992125984"/>
  <pageSetup paperSize="9" scale="35" orientation="landscape" r:id="rId1"/>
  <headerFooter>
    <oddHeader>&amp;C&amp;A</oddHeader>
    <oddFooter>&amp;L&amp;F&amp;CPage &amp;P of &amp;N&amp;R&amp;D</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2E6B5-954E-4D25-984D-450634B12DB9}">
  <sheetPr codeName="Sheet18">
    <pageSetUpPr fitToPage="1"/>
  </sheetPr>
  <dimension ref="A1:AG93"/>
  <sheetViews>
    <sheetView zoomScale="50" zoomScaleNormal="50"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14.85546875" customWidth="1"/>
  </cols>
  <sheetData>
    <row r="1" spans="1:33" x14ac:dyDescent="0.25">
      <c r="A1" s="13" t="s">
        <v>34</v>
      </c>
      <c r="B1" s="14">
        <v>10</v>
      </c>
      <c r="C1" s="14">
        <v>10</v>
      </c>
      <c r="D1" s="14">
        <v>10</v>
      </c>
      <c r="E1" s="14">
        <v>10</v>
      </c>
      <c r="F1" s="14">
        <v>15</v>
      </c>
      <c r="G1" s="14">
        <v>15</v>
      </c>
      <c r="H1" s="14">
        <v>15</v>
      </c>
      <c r="I1" s="14">
        <v>15</v>
      </c>
      <c r="J1" s="14">
        <v>25</v>
      </c>
      <c r="K1" s="14">
        <v>25</v>
      </c>
      <c r="L1" s="14">
        <v>25</v>
      </c>
      <c r="M1" s="14">
        <v>25</v>
      </c>
      <c r="N1" s="14">
        <v>30</v>
      </c>
      <c r="O1" s="14">
        <v>30</v>
      </c>
      <c r="P1" s="14">
        <v>30</v>
      </c>
      <c r="Q1" s="14">
        <v>30</v>
      </c>
      <c r="R1" s="14">
        <v>50</v>
      </c>
      <c r="S1" s="14">
        <v>50</v>
      </c>
      <c r="T1" s="14">
        <v>50</v>
      </c>
      <c r="U1" s="14">
        <v>50</v>
      </c>
      <c r="V1" s="14">
        <v>100</v>
      </c>
      <c r="W1" s="14">
        <v>100</v>
      </c>
      <c r="X1" s="14">
        <v>100</v>
      </c>
      <c r="Y1" s="14">
        <v>100</v>
      </c>
      <c r="Z1" s="14">
        <v>12</v>
      </c>
      <c r="AA1" s="14">
        <v>12</v>
      </c>
      <c r="AB1" s="14">
        <v>12</v>
      </c>
      <c r="AC1" s="14">
        <v>12</v>
      </c>
      <c r="AD1" s="15">
        <v>24</v>
      </c>
      <c r="AE1" s="14">
        <v>24</v>
      </c>
      <c r="AF1" s="14">
        <v>24</v>
      </c>
      <c r="AG1" s="14">
        <v>24</v>
      </c>
    </row>
    <row r="2" spans="1:33" x14ac:dyDescent="0.25">
      <c r="A2" s="13" t="s">
        <v>8</v>
      </c>
      <c r="B2" s="16" t="s">
        <v>7</v>
      </c>
      <c r="C2" s="16" t="s">
        <v>7</v>
      </c>
      <c r="D2" s="16" t="s">
        <v>7</v>
      </c>
      <c r="E2" s="16" t="s">
        <v>7</v>
      </c>
      <c r="F2" s="16" t="s">
        <v>7</v>
      </c>
      <c r="G2" s="16" t="s">
        <v>7</v>
      </c>
      <c r="H2" s="16" t="s">
        <v>7</v>
      </c>
      <c r="I2" s="16" t="s">
        <v>7</v>
      </c>
      <c r="J2" s="16" t="s">
        <v>7</v>
      </c>
      <c r="K2" s="16" t="s">
        <v>7</v>
      </c>
      <c r="L2" s="16" t="s">
        <v>7</v>
      </c>
      <c r="M2" s="16" t="s">
        <v>7</v>
      </c>
      <c r="N2" s="16" t="s">
        <v>7</v>
      </c>
      <c r="O2" s="16" t="s">
        <v>7</v>
      </c>
      <c r="P2" s="16" t="s">
        <v>7</v>
      </c>
      <c r="Q2" s="16" t="s">
        <v>7</v>
      </c>
      <c r="R2" s="16" t="s">
        <v>7</v>
      </c>
      <c r="S2" s="16" t="s">
        <v>7</v>
      </c>
      <c r="T2" s="16" t="s">
        <v>7</v>
      </c>
      <c r="U2" s="16" t="s">
        <v>7</v>
      </c>
      <c r="V2" s="16" t="s">
        <v>7</v>
      </c>
      <c r="W2" s="16" t="s">
        <v>7</v>
      </c>
      <c r="X2" s="16" t="s">
        <v>7</v>
      </c>
      <c r="Y2" s="16" t="s">
        <v>7</v>
      </c>
      <c r="Z2" s="14" t="s">
        <v>12</v>
      </c>
      <c r="AA2" s="14" t="s">
        <v>12</v>
      </c>
      <c r="AB2" s="14" t="s">
        <v>12</v>
      </c>
      <c r="AC2" s="14" t="s">
        <v>12</v>
      </c>
      <c r="AD2" s="14" t="s">
        <v>12</v>
      </c>
      <c r="AE2" s="14" t="s">
        <v>12</v>
      </c>
      <c r="AF2" s="14" t="s">
        <v>12</v>
      </c>
      <c r="AG2" s="14" t="s">
        <v>12</v>
      </c>
    </row>
    <row r="3" spans="1:33" x14ac:dyDescent="0.25">
      <c r="A3" s="13" t="s">
        <v>5</v>
      </c>
      <c r="B3" s="14" t="s">
        <v>43</v>
      </c>
      <c r="C3" s="14" t="s">
        <v>4</v>
      </c>
      <c r="D3" s="14" t="s">
        <v>43</v>
      </c>
      <c r="E3" s="14" t="s">
        <v>4</v>
      </c>
      <c r="F3" s="14" t="s">
        <v>43</v>
      </c>
      <c r="G3" s="14" t="s">
        <v>4</v>
      </c>
      <c r="H3" s="14" t="s">
        <v>43</v>
      </c>
      <c r="I3" s="14" t="s">
        <v>4</v>
      </c>
      <c r="J3" s="14" t="s">
        <v>43</v>
      </c>
      <c r="K3" s="14" t="s">
        <v>4</v>
      </c>
      <c r="L3" s="14" t="s">
        <v>43</v>
      </c>
      <c r="M3" s="14" t="s">
        <v>4</v>
      </c>
      <c r="N3" s="14" t="s">
        <v>43</v>
      </c>
      <c r="O3" s="14" t="s">
        <v>4</v>
      </c>
      <c r="P3" s="14" t="s">
        <v>43</v>
      </c>
      <c r="Q3" s="14" t="s">
        <v>4</v>
      </c>
      <c r="R3" s="14" t="s">
        <v>43</v>
      </c>
      <c r="S3" s="14" t="s">
        <v>4</v>
      </c>
      <c r="T3" s="14" t="s">
        <v>43</v>
      </c>
      <c r="U3" s="14" t="s">
        <v>4</v>
      </c>
      <c r="V3" s="14" t="s">
        <v>43</v>
      </c>
      <c r="W3" s="14" t="s">
        <v>4</v>
      </c>
      <c r="X3" s="14" t="s">
        <v>43</v>
      </c>
      <c r="Y3" s="14" t="s">
        <v>4</v>
      </c>
      <c r="Z3" s="14" t="s">
        <v>43</v>
      </c>
      <c r="AA3" s="14" t="s">
        <v>4</v>
      </c>
      <c r="AB3" s="14" t="s">
        <v>43</v>
      </c>
      <c r="AC3" s="14" t="s">
        <v>4</v>
      </c>
      <c r="AD3" s="14" t="s">
        <v>43</v>
      </c>
      <c r="AE3" s="14" t="s">
        <v>4</v>
      </c>
      <c r="AF3" s="14" t="s">
        <v>43</v>
      </c>
      <c r="AG3" s="14" t="s">
        <v>4</v>
      </c>
    </row>
    <row r="4" spans="1:33" x14ac:dyDescent="0.25">
      <c r="A4" s="13" t="s">
        <v>6</v>
      </c>
      <c r="B4" s="14" t="s">
        <v>3</v>
      </c>
      <c r="C4" s="14" t="s">
        <v>3</v>
      </c>
      <c r="D4" s="14" t="s">
        <v>2</v>
      </c>
      <c r="E4" s="14" t="s">
        <v>2</v>
      </c>
      <c r="F4" s="14" t="s">
        <v>3</v>
      </c>
      <c r="G4" s="14" t="s">
        <v>3</v>
      </c>
      <c r="H4" s="14" t="s">
        <v>2</v>
      </c>
      <c r="I4" s="14" t="s">
        <v>2</v>
      </c>
      <c r="J4" s="14" t="s">
        <v>3</v>
      </c>
      <c r="K4" s="14" t="s">
        <v>3</v>
      </c>
      <c r="L4" s="14" t="s">
        <v>2</v>
      </c>
      <c r="M4" s="14" t="s">
        <v>2</v>
      </c>
      <c r="N4" s="14" t="s">
        <v>3</v>
      </c>
      <c r="O4" s="14" t="s">
        <v>3</v>
      </c>
      <c r="P4" s="14" t="s">
        <v>2</v>
      </c>
      <c r="Q4" s="14" t="s">
        <v>2</v>
      </c>
      <c r="R4" s="14" t="s">
        <v>3</v>
      </c>
      <c r="S4" s="14" t="s">
        <v>3</v>
      </c>
      <c r="T4" s="14" t="s">
        <v>2</v>
      </c>
      <c r="U4" s="14" t="s">
        <v>2</v>
      </c>
      <c r="V4" s="14" t="s">
        <v>3</v>
      </c>
      <c r="W4" s="14" t="s">
        <v>3</v>
      </c>
      <c r="X4" s="14" t="s">
        <v>2</v>
      </c>
      <c r="Y4" s="14" t="s">
        <v>2</v>
      </c>
      <c r="Z4" s="14" t="s">
        <v>3</v>
      </c>
      <c r="AA4" s="14" t="s">
        <v>3</v>
      </c>
      <c r="AB4" s="14" t="s">
        <v>2</v>
      </c>
      <c r="AC4" s="14" t="s">
        <v>2</v>
      </c>
      <c r="AD4" s="14" t="s">
        <v>3</v>
      </c>
      <c r="AE4" s="14" t="s">
        <v>3</v>
      </c>
      <c r="AF4" s="14" t="s">
        <v>2</v>
      </c>
      <c r="AG4" s="14" t="s">
        <v>2</v>
      </c>
    </row>
    <row r="5" spans="1:33" hidden="1" x14ac:dyDescent="0.25">
      <c r="A5" s="17">
        <v>11</v>
      </c>
      <c r="B5" s="33">
        <v>1.238425925925926E-2</v>
      </c>
      <c r="C5" s="33">
        <v>1.3634259259259259E-2</v>
      </c>
      <c r="D5" s="33">
        <v>1.3368055555555555E-2</v>
      </c>
      <c r="E5" s="33">
        <v>1.4733796296296297E-2</v>
      </c>
      <c r="F5" s="33"/>
      <c r="G5" s="33"/>
      <c r="H5" s="33"/>
      <c r="I5" s="33"/>
      <c r="J5" s="33"/>
      <c r="K5" s="33"/>
      <c r="L5" s="33"/>
      <c r="M5" s="33"/>
      <c r="N5" s="33"/>
      <c r="O5" s="33"/>
      <c r="P5" s="33"/>
      <c r="Q5" s="33"/>
      <c r="R5" s="33"/>
      <c r="S5" s="33"/>
      <c r="T5" s="33"/>
      <c r="U5" s="33"/>
      <c r="V5" s="33"/>
      <c r="W5" s="33"/>
      <c r="X5" s="33"/>
      <c r="Y5" s="33"/>
      <c r="Z5" s="34"/>
      <c r="AA5" s="34"/>
      <c r="AB5" s="34"/>
      <c r="AC5" s="34"/>
      <c r="AD5" s="34"/>
      <c r="AE5" s="34"/>
      <c r="AF5" s="34"/>
      <c r="AG5" s="34"/>
    </row>
    <row r="6" spans="1:33" hidden="1" x14ac:dyDescent="0.25">
      <c r="A6" s="17">
        <v>12</v>
      </c>
      <c r="B6" s="33">
        <v>1.0798611111111111E-2</v>
      </c>
      <c r="C6" s="33">
        <v>1.1875E-2</v>
      </c>
      <c r="D6" s="33">
        <v>1.1631944444444445E-2</v>
      </c>
      <c r="E6" s="33">
        <v>1.2800925925925926E-2</v>
      </c>
      <c r="F6" s="33">
        <v>1.638888888888889E-2</v>
      </c>
      <c r="G6" s="33">
        <v>1.8020833333333333E-2</v>
      </c>
      <c r="H6" s="33">
        <v>1.7650462962962962E-2</v>
      </c>
      <c r="I6" s="33">
        <v>1.9432870370370371E-2</v>
      </c>
      <c r="J6" s="33">
        <v>2.7986111111111111E-2</v>
      </c>
      <c r="K6" s="33">
        <v>3.0775462962962963E-2</v>
      </c>
      <c r="L6" s="33">
        <v>3.0150462962962962E-2</v>
      </c>
      <c r="M6" s="33">
        <v>3.3194444444444443E-2</v>
      </c>
      <c r="N6" s="33">
        <v>3.4027777777777775E-2</v>
      </c>
      <c r="O6" s="33">
        <v>3.7418981481481484E-2</v>
      </c>
      <c r="P6" s="33">
        <v>3.6666666666666667E-2</v>
      </c>
      <c r="Q6" s="33">
        <v>4.0370370370370369E-2</v>
      </c>
      <c r="R6" s="33">
        <v>6.0243055555555557E-2</v>
      </c>
      <c r="S6" s="33">
        <v>6.6284722222222217E-2</v>
      </c>
      <c r="T6" s="33">
        <v>6.4965277777777775E-2</v>
      </c>
      <c r="U6" s="33">
        <v>7.1585648148148148E-2</v>
      </c>
      <c r="V6" s="33">
        <v>0.15738425925925925</v>
      </c>
      <c r="W6" s="33">
        <v>0.17350694444444445</v>
      </c>
      <c r="X6" s="33">
        <v>0.17027777777777778</v>
      </c>
      <c r="Y6" s="33">
        <v>0.18793981481481481</v>
      </c>
      <c r="Z6" s="34">
        <v>79.788796296296297</v>
      </c>
      <c r="AA6" s="34">
        <v>67.984803240740746</v>
      </c>
      <c r="AB6" s="34">
        <v>70.917604166666663</v>
      </c>
      <c r="AC6" s="34">
        <v>59.914398148148145</v>
      </c>
      <c r="AD6" s="34">
        <v>144.32079861111112</v>
      </c>
      <c r="AE6" s="34">
        <v>126.16239583333333</v>
      </c>
      <c r="AF6" s="34">
        <v>130.53560185185185</v>
      </c>
      <c r="AG6" s="34">
        <v>113.14159722222222</v>
      </c>
    </row>
    <row r="7" spans="1:33" hidden="1" x14ac:dyDescent="0.25">
      <c r="A7" s="17">
        <v>13</v>
      </c>
      <c r="B7" s="33">
        <v>9.9652777777777778E-3</v>
      </c>
      <c r="C7" s="33">
        <v>1.0949074074074075E-2</v>
      </c>
      <c r="D7" s="33">
        <v>1.0717592592592593E-2</v>
      </c>
      <c r="E7" s="33">
        <v>1.1793981481481482E-2</v>
      </c>
      <c r="F7" s="33">
        <v>1.5069444444444444E-2</v>
      </c>
      <c r="G7" s="33">
        <v>1.653935185185185E-2</v>
      </c>
      <c r="H7" s="33">
        <v>1.6203703703703703E-2</v>
      </c>
      <c r="I7" s="33">
        <v>1.7824074074074076E-2</v>
      </c>
      <c r="J7" s="33">
        <v>2.5532407407407406E-2</v>
      </c>
      <c r="K7" s="33">
        <v>2.8043981481481482E-2</v>
      </c>
      <c r="L7" s="33">
        <v>2.7465277777777779E-2</v>
      </c>
      <c r="M7" s="33">
        <v>3.0219907407407407E-2</v>
      </c>
      <c r="N7" s="33">
        <v>3.0902777777777779E-2</v>
      </c>
      <c r="O7" s="33">
        <v>3.3958333333333333E-2</v>
      </c>
      <c r="P7" s="33">
        <v>3.3252314814814818E-2</v>
      </c>
      <c r="Q7" s="33">
        <v>3.6585648148148145E-2</v>
      </c>
      <c r="R7" s="33">
        <v>5.3587962962962962E-2</v>
      </c>
      <c r="S7" s="33">
        <v>5.8888888888888886E-2</v>
      </c>
      <c r="T7" s="33">
        <v>5.7673611111111113E-2</v>
      </c>
      <c r="U7" s="33">
        <v>6.3472222222222222E-2</v>
      </c>
      <c r="V7" s="33">
        <v>0.12424768518518518</v>
      </c>
      <c r="W7" s="33">
        <v>0.13667824074074075</v>
      </c>
      <c r="X7" s="33">
        <v>0.13395833333333335</v>
      </c>
      <c r="Y7" s="33">
        <v>0.14759259259259258</v>
      </c>
      <c r="Z7" s="34">
        <v>91.150798611111114</v>
      </c>
      <c r="AA7" s="34">
        <v>78.70200231481482</v>
      </c>
      <c r="AB7" s="34">
        <v>81.717997685185182</v>
      </c>
      <c r="AC7" s="34">
        <v>70.054398148148152</v>
      </c>
      <c r="AD7" s="34">
        <v>158.98480324074075</v>
      </c>
      <c r="AE7" s="34">
        <v>140.46239583333335</v>
      </c>
      <c r="AF7" s="34">
        <v>144.88239583333333</v>
      </c>
      <c r="AG7" s="34">
        <v>127.07760416666666</v>
      </c>
    </row>
    <row r="8" spans="1:33" hidden="1" x14ac:dyDescent="0.25">
      <c r="A8" s="17">
        <v>14</v>
      </c>
      <c r="B8" s="33">
        <v>9.4560185185185181E-3</v>
      </c>
      <c r="C8" s="33">
        <v>1.0381944444444444E-2</v>
      </c>
      <c r="D8" s="33">
        <v>1.0162037037037037E-2</v>
      </c>
      <c r="E8" s="33">
        <v>1.1168981481481481E-2</v>
      </c>
      <c r="F8" s="33">
        <v>1.4270833333333333E-2</v>
      </c>
      <c r="G8" s="33">
        <v>1.5671296296296298E-2</v>
      </c>
      <c r="H8" s="33">
        <v>1.5335648148148149E-2</v>
      </c>
      <c r="I8" s="33">
        <v>1.6863425925925928E-2</v>
      </c>
      <c r="J8" s="33">
        <v>2.4085648148148148E-2</v>
      </c>
      <c r="K8" s="33">
        <v>2.644675925925926E-2</v>
      </c>
      <c r="L8" s="33">
        <v>2.5879629629629631E-2</v>
      </c>
      <c r="M8" s="33">
        <v>2.8460648148148148E-2</v>
      </c>
      <c r="N8" s="33">
        <v>2.9097222222222222E-2</v>
      </c>
      <c r="O8" s="33">
        <v>3.1944444444444442E-2</v>
      </c>
      <c r="P8" s="33">
        <v>3.1261574074074074E-2</v>
      </c>
      <c r="Q8" s="33">
        <v>3.4375000000000003E-2</v>
      </c>
      <c r="R8" s="33">
        <v>4.988425925925926E-2</v>
      </c>
      <c r="S8" s="33">
        <v>5.4768518518518522E-2</v>
      </c>
      <c r="T8" s="33">
        <v>5.3611111111111109E-2</v>
      </c>
      <c r="U8" s="33">
        <v>5.8969907407407408E-2</v>
      </c>
      <c r="V8" s="33">
        <v>0.10984953703703704</v>
      </c>
      <c r="W8" s="33">
        <v>0.12068287037037037</v>
      </c>
      <c r="X8" s="33">
        <v>0.11819444444444445</v>
      </c>
      <c r="Y8" s="33">
        <v>0.13006944444444443</v>
      </c>
      <c r="Z8" s="34">
        <v>99.668402777777771</v>
      </c>
      <c r="AA8" s="34">
        <v>86.694398148148153</v>
      </c>
      <c r="AB8" s="34">
        <v>89.788402777777776</v>
      </c>
      <c r="AC8" s="34">
        <v>77.589201388888895</v>
      </c>
      <c r="AD8" s="34">
        <v>170.2687962962963</v>
      </c>
      <c r="AE8" s="34">
        <v>151.42400462962962</v>
      </c>
      <c r="AF8" s="34">
        <v>155.89079861111111</v>
      </c>
      <c r="AG8" s="34">
        <v>137.73239583333333</v>
      </c>
    </row>
    <row r="9" spans="1:33" hidden="1" x14ac:dyDescent="0.25">
      <c r="A9" s="17">
        <v>15</v>
      </c>
      <c r="B9" s="33">
        <v>9.1319444444444443E-3</v>
      </c>
      <c r="C9" s="33">
        <v>1.0023148148148147E-2</v>
      </c>
      <c r="D9" s="33">
        <v>9.8032407407407408E-3</v>
      </c>
      <c r="E9" s="33">
        <v>1.0775462962962962E-2</v>
      </c>
      <c r="F9" s="33">
        <v>1.3773148148148149E-2</v>
      </c>
      <c r="G9" s="33">
        <v>1.5104166666666667E-2</v>
      </c>
      <c r="H9" s="33">
        <v>1.4791666666666667E-2</v>
      </c>
      <c r="I9" s="33">
        <v>1.6250000000000001E-2</v>
      </c>
      <c r="J9" s="33">
        <v>2.3182870370370371E-2</v>
      </c>
      <c r="K9" s="33">
        <v>2.5428240740740741E-2</v>
      </c>
      <c r="L9" s="33">
        <v>2.4884259259259259E-2</v>
      </c>
      <c r="M9" s="33">
        <v>2.736111111111111E-2</v>
      </c>
      <c r="N9" s="33">
        <v>2.795138888888889E-2</v>
      </c>
      <c r="O9" s="33">
        <v>3.0682870370370371E-2</v>
      </c>
      <c r="P9" s="33">
        <v>3.0023148148148149E-2</v>
      </c>
      <c r="Q9" s="33">
        <v>3.2997685185185185E-2</v>
      </c>
      <c r="R9" s="33">
        <v>4.7627314814814817E-2</v>
      </c>
      <c r="S9" s="33">
        <v>5.2256944444444446E-2</v>
      </c>
      <c r="T9" s="33">
        <v>5.1145833333333335E-2</v>
      </c>
      <c r="U9" s="33">
        <v>5.6226851851851854E-2</v>
      </c>
      <c r="V9" s="33">
        <v>0.10197916666666666</v>
      </c>
      <c r="W9" s="33">
        <v>0.11194444444444444</v>
      </c>
      <c r="X9" s="33">
        <v>0.10957175925925926</v>
      </c>
      <c r="Y9" s="33">
        <v>0.12049768518518518</v>
      </c>
      <c r="Z9" s="34">
        <v>105.94480324074074</v>
      </c>
      <c r="AA9" s="34">
        <v>92.570405092592594</v>
      </c>
      <c r="AB9" s="34">
        <v>95.716400462962966</v>
      </c>
      <c r="AC9" s="34">
        <v>83.116805555555558</v>
      </c>
      <c r="AD9" s="34">
        <v>178.73439814814816</v>
      </c>
      <c r="AE9" s="34">
        <v>159.62959490740741</v>
      </c>
      <c r="AF9" s="34">
        <v>164.13799768518518</v>
      </c>
      <c r="AG9" s="34">
        <v>145.69359953703704</v>
      </c>
    </row>
    <row r="10" spans="1:33" hidden="1" x14ac:dyDescent="0.25">
      <c r="A10" s="17">
        <v>16</v>
      </c>
      <c r="B10" s="33">
        <v>8.9236111111111113E-3</v>
      </c>
      <c r="C10" s="33">
        <v>9.7916666666666673E-3</v>
      </c>
      <c r="D10" s="33">
        <v>9.5833333333333326E-3</v>
      </c>
      <c r="E10" s="33">
        <v>1.0520833333333333E-2</v>
      </c>
      <c r="F10" s="33">
        <v>1.3449074074074073E-2</v>
      </c>
      <c r="G10" s="33">
        <v>1.474537037037037E-2</v>
      </c>
      <c r="H10" s="33">
        <v>1.443287037037037E-2</v>
      </c>
      <c r="I10" s="33">
        <v>1.5856481481481482E-2</v>
      </c>
      <c r="J10" s="33">
        <v>2.2604166666666668E-2</v>
      </c>
      <c r="K10" s="33">
        <v>2.4780092592592593E-2</v>
      </c>
      <c r="L10" s="33">
        <v>2.4247685185185185E-2</v>
      </c>
      <c r="M10" s="33">
        <v>2.6643518518518518E-2</v>
      </c>
      <c r="N10" s="33">
        <v>2.7233796296296298E-2</v>
      </c>
      <c r="O10" s="33">
        <v>2.9872685185185186E-2</v>
      </c>
      <c r="P10" s="33">
        <v>2.9224537037037038E-2</v>
      </c>
      <c r="Q10" s="33">
        <v>3.2106481481481479E-2</v>
      </c>
      <c r="R10" s="33">
        <v>4.6215277777777779E-2</v>
      </c>
      <c r="S10" s="33">
        <v>5.0694444444444445E-2</v>
      </c>
      <c r="T10" s="33">
        <v>4.9594907407407407E-2</v>
      </c>
      <c r="U10" s="33">
        <v>5.4490740740740742E-2</v>
      </c>
      <c r="V10" s="33">
        <v>9.7337962962962959E-2</v>
      </c>
      <c r="W10" s="33">
        <v>0.10678240740740741</v>
      </c>
      <c r="X10" s="33">
        <v>0.10449074074074075</v>
      </c>
      <c r="Y10" s="33">
        <v>0.11484953703703704</v>
      </c>
      <c r="Z10" s="34">
        <v>110.39079861111111</v>
      </c>
      <c r="AA10" s="34">
        <v>96.725196759259262</v>
      </c>
      <c r="AB10" s="34">
        <v>99.912800925925922</v>
      </c>
      <c r="AC10" s="34">
        <v>87.022002314814813</v>
      </c>
      <c r="AD10" s="34">
        <v>184.81840277777778</v>
      </c>
      <c r="AE10" s="34">
        <v>165.51599537037038</v>
      </c>
      <c r="AF10" s="34">
        <v>170.0504050925926</v>
      </c>
      <c r="AG10" s="34">
        <v>151.39280092592594</v>
      </c>
    </row>
    <row r="11" spans="1:33" hidden="1" x14ac:dyDescent="0.25">
      <c r="A11" s="17">
        <v>17</v>
      </c>
      <c r="B11" s="33">
        <v>8.7962962962962968E-3</v>
      </c>
      <c r="C11" s="33">
        <v>9.6412037037037039E-3</v>
      </c>
      <c r="D11" s="33">
        <v>9.4444444444444445E-3</v>
      </c>
      <c r="E11" s="33">
        <v>1.037037037037037E-2</v>
      </c>
      <c r="F11" s="33">
        <v>1.324074074074074E-2</v>
      </c>
      <c r="G11" s="33">
        <v>1.4525462962962962E-2</v>
      </c>
      <c r="H11" s="33">
        <v>1.4212962962962964E-2</v>
      </c>
      <c r="I11" s="33">
        <v>1.5613425925925926E-2</v>
      </c>
      <c r="J11" s="33">
        <v>2.224537037037037E-2</v>
      </c>
      <c r="K11" s="33">
        <v>2.4386574074074074E-2</v>
      </c>
      <c r="L11" s="33">
        <v>2.3865740740740739E-2</v>
      </c>
      <c r="M11" s="33">
        <v>2.6215277777777778E-2</v>
      </c>
      <c r="N11" s="33">
        <v>2.6793981481481481E-2</v>
      </c>
      <c r="O11" s="33">
        <v>2.9374999999999998E-2</v>
      </c>
      <c r="P11" s="33">
        <v>2.8750000000000001E-2</v>
      </c>
      <c r="Q11" s="33">
        <v>3.1574074074074074E-2</v>
      </c>
      <c r="R11" s="33">
        <v>4.5347222222222219E-2</v>
      </c>
      <c r="S11" s="33">
        <v>4.9733796296296297E-2</v>
      </c>
      <c r="T11" s="33">
        <v>4.8645833333333333E-2</v>
      </c>
      <c r="U11" s="33">
        <v>5.3449074074074072E-2</v>
      </c>
      <c r="V11" s="33">
        <v>9.4618055555555552E-2</v>
      </c>
      <c r="W11" s="33">
        <v>0.10376157407407408</v>
      </c>
      <c r="X11" s="33">
        <v>0.10150462962962963</v>
      </c>
      <c r="Y11" s="33">
        <v>0.11152777777777778</v>
      </c>
      <c r="Z11" s="34">
        <v>113.31319444444445</v>
      </c>
      <c r="AA11" s="34">
        <v>99.455196759259266</v>
      </c>
      <c r="AB11" s="34">
        <v>102.66359953703704</v>
      </c>
      <c r="AC11" s="34">
        <v>89.580405092592599</v>
      </c>
      <c r="AD11" s="34">
        <v>188.84840277777778</v>
      </c>
      <c r="AE11" s="34">
        <v>169.41079861111112</v>
      </c>
      <c r="AF11" s="34">
        <v>173.96599537037036</v>
      </c>
      <c r="AG11" s="34">
        <v>155.15760416666666</v>
      </c>
    </row>
    <row r="12" spans="1:33" hidden="1" x14ac:dyDescent="0.25">
      <c r="A12" s="17">
        <v>18</v>
      </c>
      <c r="B12" s="33">
        <v>8.726851851851852E-3</v>
      </c>
      <c r="C12" s="33">
        <v>9.571759259259259E-3</v>
      </c>
      <c r="D12" s="33">
        <v>9.3634259259259261E-3</v>
      </c>
      <c r="E12" s="33">
        <v>1.0277777777777778E-2</v>
      </c>
      <c r="F12" s="33">
        <v>1.3136574074074075E-2</v>
      </c>
      <c r="G12" s="33">
        <v>1.4409722222222223E-2</v>
      </c>
      <c r="H12" s="33">
        <v>1.4097222222222223E-2</v>
      </c>
      <c r="I12" s="33">
        <v>1.5486111111111112E-2</v>
      </c>
      <c r="J12" s="33">
        <v>2.2060185185185186E-2</v>
      </c>
      <c r="K12" s="33">
        <v>2.417824074074074E-2</v>
      </c>
      <c r="L12" s="33">
        <v>2.3645833333333335E-2</v>
      </c>
      <c r="M12" s="33">
        <v>2.5983796296296297E-2</v>
      </c>
      <c r="N12" s="33">
        <v>2.6550925925925926E-2</v>
      </c>
      <c r="O12" s="33">
        <v>2.9120370370370369E-2</v>
      </c>
      <c r="P12" s="33">
        <v>2.8483796296296295E-2</v>
      </c>
      <c r="Q12" s="33">
        <v>3.1284722222222221E-2</v>
      </c>
      <c r="R12" s="33">
        <v>4.4895833333333336E-2</v>
      </c>
      <c r="S12" s="33">
        <v>4.9224537037037039E-2</v>
      </c>
      <c r="T12" s="33">
        <v>4.8159722222222222E-2</v>
      </c>
      <c r="U12" s="33">
        <v>5.2905092592592594E-2</v>
      </c>
      <c r="V12" s="33">
        <v>9.3206018518518521E-2</v>
      </c>
      <c r="W12" s="33">
        <v>0.10219907407407407</v>
      </c>
      <c r="X12" s="33">
        <v>9.9965277777777778E-2</v>
      </c>
      <c r="Y12" s="33">
        <v>0.10981481481481481</v>
      </c>
      <c r="Z12" s="34">
        <v>114.92519675925926</v>
      </c>
      <c r="AA12" s="34">
        <v>100.95280092592593</v>
      </c>
      <c r="AB12" s="34">
        <v>104.18200231481481</v>
      </c>
      <c r="AC12" s="34">
        <v>90.989594907407408</v>
      </c>
      <c r="AD12" s="34">
        <v>191.07920138888889</v>
      </c>
      <c r="AE12" s="34">
        <v>171.56879629629628</v>
      </c>
      <c r="AF12" s="34">
        <v>176.1292013888889</v>
      </c>
      <c r="AG12" s="34">
        <v>157.24280092592593</v>
      </c>
    </row>
    <row r="13" spans="1:33" hidden="1" x14ac:dyDescent="0.25">
      <c r="A13" s="17">
        <v>19</v>
      </c>
      <c r="B13" s="33">
        <v>8.7152777777777784E-3</v>
      </c>
      <c r="C13" s="33">
        <v>9.5486111111111119E-3</v>
      </c>
      <c r="D13" s="33">
        <v>9.3402777777777772E-3</v>
      </c>
      <c r="E13" s="33">
        <v>1.0266203703703704E-2</v>
      </c>
      <c r="F13" s="33">
        <v>1.3113425925925926E-2</v>
      </c>
      <c r="G13" s="33">
        <v>1.4375000000000001E-2</v>
      </c>
      <c r="H13" s="33">
        <v>1.40625E-2</v>
      </c>
      <c r="I13" s="33">
        <v>1.5439814814814814E-2</v>
      </c>
      <c r="J13" s="33">
        <v>2.2002314814814815E-2</v>
      </c>
      <c r="K13" s="33">
        <v>2.4120370370370372E-2</v>
      </c>
      <c r="L13" s="33">
        <v>2.3599537037037037E-2</v>
      </c>
      <c r="M13" s="33">
        <v>2.5914351851851852E-2</v>
      </c>
      <c r="N13" s="33">
        <v>2.6493055555555554E-2</v>
      </c>
      <c r="O13" s="33">
        <v>2.9039351851851851E-2</v>
      </c>
      <c r="P13" s="33">
        <v>2.841435185185185E-2</v>
      </c>
      <c r="Q13" s="33">
        <v>3.1203703703703702E-2</v>
      </c>
      <c r="R13" s="33">
        <v>4.476851851851852E-2</v>
      </c>
      <c r="S13" s="33">
        <v>4.9085648148148149E-2</v>
      </c>
      <c r="T13" s="33">
        <v>4.8020833333333332E-2</v>
      </c>
      <c r="U13" s="33">
        <v>5.2743055555555557E-2</v>
      </c>
      <c r="V13" s="33">
        <v>9.2812500000000006E-2</v>
      </c>
      <c r="W13" s="33">
        <v>0.10175925925925926</v>
      </c>
      <c r="X13" s="33">
        <v>9.9537037037037035E-2</v>
      </c>
      <c r="Y13" s="33">
        <v>0.10934027777777777</v>
      </c>
      <c r="Z13" s="34">
        <v>115.38799768518518</v>
      </c>
      <c r="AA13" s="34">
        <v>101.38439814814815</v>
      </c>
      <c r="AB13" s="34">
        <v>104.61359953703703</v>
      </c>
      <c r="AC13" s="34">
        <v>91.39</v>
      </c>
      <c r="AD13" s="34">
        <v>191.71879629629629</v>
      </c>
      <c r="AE13" s="34">
        <v>172.18760416666666</v>
      </c>
      <c r="AF13" s="34">
        <v>176.75319444444443</v>
      </c>
      <c r="AG13" s="34">
        <v>157.8407986111111</v>
      </c>
    </row>
    <row r="14" spans="1:33" hidden="1" x14ac:dyDescent="0.25">
      <c r="A14" s="17">
        <v>20</v>
      </c>
      <c r="B14" s="33">
        <v>8.7152777777777784E-3</v>
      </c>
      <c r="C14" s="33">
        <v>9.5486111111111119E-3</v>
      </c>
      <c r="D14" s="33">
        <v>9.3402777777777772E-3</v>
      </c>
      <c r="E14" s="33">
        <v>1.0266203703703704E-2</v>
      </c>
      <c r="F14" s="33">
        <v>1.3113425925925926E-2</v>
      </c>
      <c r="G14" s="33">
        <v>1.4375000000000001E-2</v>
      </c>
      <c r="H14" s="33">
        <v>1.40625E-2</v>
      </c>
      <c r="I14" s="33">
        <v>1.5439814814814814E-2</v>
      </c>
      <c r="J14" s="33">
        <v>2.2002314814814815E-2</v>
      </c>
      <c r="K14" s="33">
        <v>2.4120370370370372E-2</v>
      </c>
      <c r="L14" s="33">
        <v>2.3599537037037037E-2</v>
      </c>
      <c r="M14" s="33">
        <v>2.5914351851851852E-2</v>
      </c>
      <c r="N14" s="33">
        <v>2.6493055555555554E-2</v>
      </c>
      <c r="O14" s="33">
        <v>2.9039351851851851E-2</v>
      </c>
      <c r="P14" s="33">
        <v>2.841435185185185E-2</v>
      </c>
      <c r="Q14" s="33">
        <v>3.1203703703703702E-2</v>
      </c>
      <c r="R14" s="33">
        <v>4.476851851851852E-2</v>
      </c>
      <c r="S14" s="33">
        <v>4.9085648148148149E-2</v>
      </c>
      <c r="T14" s="33">
        <v>4.8020833333333332E-2</v>
      </c>
      <c r="U14" s="33">
        <v>5.2743055555555557E-2</v>
      </c>
      <c r="V14" s="33">
        <v>9.2812500000000006E-2</v>
      </c>
      <c r="W14" s="33">
        <v>0.10175925925925926</v>
      </c>
      <c r="X14" s="33">
        <v>9.9537037037037035E-2</v>
      </c>
      <c r="Y14" s="33">
        <v>0.10934027777777777</v>
      </c>
      <c r="Z14" s="34">
        <v>115.38799768518518</v>
      </c>
      <c r="AA14" s="34">
        <v>101.38439814814815</v>
      </c>
      <c r="AB14" s="34">
        <v>104.61359953703703</v>
      </c>
      <c r="AC14" s="34">
        <v>91.39</v>
      </c>
      <c r="AD14" s="34">
        <v>191.71879629629629</v>
      </c>
      <c r="AE14" s="34">
        <v>172.18760416666666</v>
      </c>
      <c r="AF14" s="34">
        <v>176.75319444444443</v>
      </c>
      <c r="AG14" s="34">
        <v>157.8407986111111</v>
      </c>
    </row>
    <row r="15" spans="1:33" hidden="1" x14ac:dyDescent="0.25">
      <c r="A15" s="17">
        <v>21</v>
      </c>
      <c r="B15" s="33">
        <v>8.7152777777777784E-3</v>
      </c>
      <c r="C15" s="33">
        <v>9.5486111111111119E-3</v>
      </c>
      <c r="D15" s="33">
        <v>9.3402777777777772E-3</v>
      </c>
      <c r="E15" s="33">
        <v>1.0266203703703704E-2</v>
      </c>
      <c r="F15" s="33">
        <v>1.3113425925925926E-2</v>
      </c>
      <c r="G15" s="33">
        <v>1.4375000000000001E-2</v>
      </c>
      <c r="H15" s="33">
        <v>1.40625E-2</v>
      </c>
      <c r="I15" s="33">
        <v>1.5439814814814814E-2</v>
      </c>
      <c r="J15" s="33">
        <v>2.2002314814814815E-2</v>
      </c>
      <c r="K15" s="33">
        <v>2.4120370370370372E-2</v>
      </c>
      <c r="L15" s="33">
        <v>2.3599537037037037E-2</v>
      </c>
      <c r="M15" s="33">
        <v>2.5914351851851852E-2</v>
      </c>
      <c r="N15" s="33">
        <v>2.6493055555555554E-2</v>
      </c>
      <c r="O15" s="33">
        <v>2.9039351851851851E-2</v>
      </c>
      <c r="P15" s="33">
        <v>2.841435185185185E-2</v>
      </c>
      <c r="Q15" s="33">
        <v>3.1203703703703702E-2</v>
      </c>
      <c r="R15" s="33">
        <v>4.476851851851852E-2</v>
      </c>
      <c r="S15" s="33">
        <v>4.9085648148148149E-2</v>
      </c>
      <c r="T15" s="33">
        <v>4.8020833333333332E-2</v>
      </c>
      <c r="U15" s="33">
        <v>5.2743055555555557E-2</v>
      </c>
      <c r="V15" s="33">
        <v>9.2812500000000006E-2</v>
      </c>
      <c r="W15" s="33">
        <v>0.10175925925925926</v>
      </c>
      <c r="X15" s="33">
        <v>9.9537037037037035E-2</v>
      </c>
      <c r="Y15" s="33">
        <v>0.10934027777777777</v>
      </c>
      <c r="Z15" s="34">
        <v>115.38799768518518</v>
      </c>
      <c r="AA15" s="34">
        <v>101.38439814814815</v>
      </c>
      <c r="AB15" s="34">
        <v>104.61359953703703</v>
      </c>
      <c r="AC15" s="34">
        <v>91.39</v>
      </c>
      <c r="AD15" s="34">
        <v>191.71879629629629</v>
      </c>
      <c r="AE15" s="34">
        <v>172.18760416666666</v>
      </c>
      <c r="AF15" s="34">
        <v>176.75319444444443</v>
      </c>
      <c r="AG15" s="34">
        <v>157.8407986111111</v>
      </c>
    </row>
    <row r="16" spans="1:33" hidden="1" x14ac:dyDescent="0.25">
      <c r="A16" s="17">
        <v>22</v>
      </c>
      <c r="B16" s="33">
        <v>8.7152777777777784E-3</v>
      </c>
      <c r="C16" s="33">
        <v>9.5486111111111119E-3</v>
      </c>
      <c r="D16" s="33">
        <v>9.3402777777777772E-3</v>
      </c>
      <c r="E16" s="33">
        <v>1.0266203703703704E-2</v>
      </c>
      <c r="F16" s="33">
        <v>1.3113425925925926E-2</v>
      </c>
      <c r="G16" s="33">
        <v>1.4375000000000001E-2</v>
      </c>
      <c r="H16" s="33">
        <v>1.40625E-2</v>
      </c>
      <c r="I16" s="33">
        <v>1.5439814814814814E-2</v>
      </c>
      <c r="J16" s="33">
        <v>2.2002314814814815E-2</v>
      </c>
      <c r="K16" s="33">
        <v>2.4120370370370372E-2</v>
      </c>
      <c r="L16" s="33">
        <v>2.3599537037037037E-2</v>
      </c>
      <c r="M16" s="33">
        <v>2.5914351851851852E-2</v>
      </c>
      <c r="N16" s="33">
        <v>2.6493055555555554E-2</v>
      </c>
      <c r="O16" s="33">
        <v>2.9039351851851851E-2</v>
      </c>
      <c r="P16" s="33">
        <v>2.841435185185185E-2</v>
      </c>
      <c r="Q16" s="33">
        <v>3.1203703703703702E-2</v>
      </c>
      <c r="R16" s="33">
        <v>4.476851851851852E-2</v>
      </c>
      <c r="S16" s="33">
        <v>4.9085648148148149E-2</v>
      </c>
      <c r="T16" s="33">
        <v>4.8020833333333332E-2</v>
      </c>
      <c r="U16" s="33">
        <v>5.2743055555555557E-2</v>
      </c>
      <c r="V16" s="33">
        <v>9.2812500000000006E-2</v>
      </c>
      <c r="W16" s="33">
        <v>0.10175925925925926</v>
      </c>
      <c r="X16" s="33">
        <v>9.9537037037037035E-2</v>
      </c>
      <c r="Y16" s="33">
        <v>0.10934027777777777</v>
      </c>
      <c r="Z16" s="34">
        <v>115.38799768518518</v>
      </c>
      <c r="AA16" s="34">
        <v>101.38439814814815</v>
      </c>
      <c r="AB16" s="34">
        <v>104.61359953703703</v>
      </c>
      <c r="AC16" s="34">
        <v>91.39</v>
      </c>
      <c r="AD16" s="34">
        <v>191.71879629629629</v>
      </c>
      <c r="AE16" s="34">
        <v>172.18760416666666</v>
      </c>
      <c r="AF16" s="34">
        <v>176.75319444444443</v>
      </c>
      <c r="AG16" s="34">
        <v>157.8407986111111</v>
      </c>
    </row>
    <row r="17" spans="1:33" hidden="1" x14ac:dyDescent="0.25">
      <c r="A17" s="17">
        <v>23</v>
      </c>
      <c r="B17" s="33">
        <v>8.7152777777777784E-3</v>
      </c>
      <c r="C17" s="33">
        <v>9.5486111111111119E-3</v>
      </c>
      <c r="D17" s="33">
        <v>9.3402777777777772E-3</v>
      </c>
      <c r="E17" s="33">
        <v>1.0266203703703704E-2</v>
      </c>
      <c r="F17" s="33">
        <v>1.3113425925925926E-2</v>
      </c>
      <c r="G17" s="33">
        <v>1.4375000000000001E-2</v>
      </c>
      <c r="H17" s="33">
        <v>1.40625E-2</v>
      </c>
      <c r="I17" s="33">
        <v>1.5439814814814814E-2</v>
      </c>
      <c r="J17" s="33">
        <v>2.2002314814814815E-2</v>
      </c>
      <c r="K17" s="33">
        <v>2.4120370370370372E-2</v>
      </c>
      <c r="L17" s="33">
        <v>2.3599537037037037E-2</v>
      </c>
      <c r="M17" s="33">
        <v>2.5914351851851852E-2</v>
      </c>
      <c r="N17" s="33">
        <v>2.6493055555555554E-2</v>
      </c>
      <c r="O17" s="33">
        <v>2.9039351851851851E-2</v>
      </c>
      <c r="P17" s="33">
        <v>2.841435185185185E-2</v>
      </c>
      <c r="Q17" s="33">
        <v>3.1203703703703702E-2</v>
      </c>
      <c r="R17" s="33">
        <v>4.476851851851852E-2</v>
      </c>
      <c r="S17" s="33">
        <v>4.9085648148148149E-2</v>
      </c>
      <c r="T17" s="33">
        <v>4.8020833333333332E-2</v>
      </c>
      <c r="U17" s="33">
        <v>5.2743055555555557E-2</v>
      </c>
      <c r="V17" s="33">
        <v>9.2812500000000006E-2</v>
      </c>
      <c r="W17" s="33">
        <v>0.10175925925925926</v>
      </c>
      <c r="X17" s="33">
        <v>9.9537037037037035E-2</v>
      </c>
      <c r="Y17" s="33">
        <v>0.10934027777777777</v>
      </c>
      <c r="Z17" s="34">
        <v>115.38799768518518</v>
      </c>
      <c r="AA17" s="34">
        <v>101.38439814814815</v>
      </c>
      <c r="AB17" s="34">
        <v>104.61359953703703</v>
      </c>
      <c r="AC17" s="34">
        <v>91.39</v>
      </c>
      <c r="AD17" s="34">
        <v>191.71879629629629</v>
      </c>
      <c r="AE17" s="34">
        <v>172.18760416666666</v>
      </c>
      <c r="AF17" s="34">
        <v>176.75319444444443</v>
      </c>
      <c r="AG17" s="34">
        <v>157.8407986111111</v>
      </c>
    </row>
    <row r="18" spans="1:33" hidden="1" x14ac:dyDescent="0.25">
      <c r="A18" s="17">
        <v>24</v>
      </c>
      <c r="B18" s="33">
        <v>8.7152777777777784E-3</v>
      </c>
      <c r="C18" s="33">
        <v>9.5486111111111119E-3</v>
      </c>
      <c r="D18" s="33">
        <v>9.3402777777777772E-3</v>
      </c>
      <c r="E18" s="33">
        <v>1.0266203703703704E-2</v>
      </c>
      <c r="F18" s="33">
        <v>1.3113425925925926E-2</v>
      </c>
      <c r="G18" s="33">
        <v>1.4375000000000001E-2</v>
      </c>
      <c r="H18" s="33">
        <v>1.40625E-2</v>
      </c>
      <c r="I18" s="33">
        <v>1.5439814814814814E-2</v>
      </c>
      <c r="J18" s="33">
        <v>2.2002314814814815E-2</v>
      </c>
      <c r="K18" s="33">
        <v>2.4120370370370372E-2</v>
      </c>
      <c r="L18" s="33">
        <v>2.3599537037037037E-2</v>
      </c>
      <c r="M18" s="33">
        <v>2.5914351851851852E-2</v>
      </c>
      <c r="N18" s="33">
        <v>2.6493055555555554E-2</v>
      </c>
      <c r="O18" s="33">
        <v>2.9039351851851851E-2</v>
      </c>
      <c r="P18" s="33">
        <v>2.841435185185185E-2</v>
      </c>
      <c r="Q18" s="33">
        <v>3.1203703703703702E-2</v>
      </c>
      <c r="R18" s="33">
        <v>4.476851851851852E-2</v>
      </c>
      <c r="S18" s="33">
        <v>4.9085648148148149E-2</v>
      </c>
      <c r="T18" s="33">
        <v>4.8020833333333332E-2</v>
      </c>
      <c r="U18" s="33">
        <v>5.2743055555555557E-2</v>
      </c>
      <c r="V18" s="33">
        <v>9.2812500000000006E-2</v>
      </c>
      <c r="W18" s="33">
        <v>0.10175925925925926</v>
      </c>
      <c r="X18" s="33">
        <v>9.9537037037037035E-2</v>
      </c>
      <c r="Y18" s="33">
        <v>0.10934027777777777</v>
      </c>
      <c r="Z18" s="34">
        <v>115.38799768518518</v>
      </c>
      <c r="AA18" s="34">
        <v>101.38439814814815</v>
      </c>
      <c r="AB18" s="34">
        <v>104.61359953703703</v>
      </c>
      <c r="AC18" s="34">
        <v>91.39</v>
      </c>
      <c r="AD18" s="34">
        <v>191.71879629629629</v>
      </c>
      <c r="AE18" s="34">
        <v>172.18760416666666</v>
      </c>
      <c r="AF18" s="34">
        <v>176.75319444444443</v>
      </c>
      <c r="AG18" s="34">
        <v>157.8407986111111</v>
      </c>
    </row>
    <row r="19" spans="1:33" hidden="1" x14ac:dyDescent="0.25">
      <c r="A19" s="17">
        <v>25</v>
      </c>
      <c r="B19" s="33">
        <v>8.7152777777777784E-3</v>
      </c>
      <c r="C19" s="33">
        <v>9.5486111111111119E-3</v>
      </c>
      <c r="D19" s="33">
        <v>9.3402777777777772E-3</v>
      </c>
      <c r="E19" s="33">
        <v>1.0266203703703704E-2</v>
      </c>
      <c r="F19" s="33">
        <v>1.3113425925925926E-2</v>
      </c>
      <c r="G19" s="33">
        <v>1.4375000000000001E-2</v>
      </c>
      <c r="H19" s="33">
        <v>1.40625E-2</v>
      </c>
      <c r="I19" s="33">
        <v>1.5439814814814814E-2</v>
      </c>
      <c r="J19" s="33">
        <v>2.2002314814814815E-2</v>
      </c>
      <c r="K19" s="33">
        <v>2.4120370370370372E-2</v>
      </c>
      <c r="L19" s="33">
        <v>2.3599537037037037E-2</v>
      </c>
      <c r="M19" s="33">
        <v>2.5914351851851852E-2</v>
      </c>
      <c r="N19" s="33">
        <v>2.6493055555555554E-2</v>
      </c>
      <c r="O19" s="33">
        <v>2.9039351851851851E-2</v>
      </c>
      <c r="P19" s="33">
        <v>2.841435185185185E-2</v>
      </c>
      <c r="Q19" s="33">
        <v>3.1203703703703702E-2</v>
      </c>
      <c r="R19" s="33">
        <v>4.476851851851852E-2</v>
      </c>
      <c r="S19" s="33">
        <v>4.9085648148148149E-2</v>
      </c>
      <c r="T19" s="33">
        <v>4.8020833333333332E-2</v>
      </c>
      <c r="U19" s="33">
        <v>5.2743055555555557E-2</v>
      </c>
      <c r="V19" s="33">
        <v>9.2812500000000006E-2</v>
      </c>
      <c r="W19" s="33">
        <v>0.10175925925925926</v>
      </c>
      <c r="X19" s="33">
        <v>9.9537037037037035E-2</v>
      </c>
      <c r="Y19" s="33">
        <v>0.10934027777777777</v>
      </c>
      <c r="Z19" s="34">
        <v>115.38799768518518</v>
      </c>
      <c r="AA19" s="34">
        <v>101.38439814814815</v>
      </c>
      <c r="AB19" s="34">
        <v>104.61359953703703</v>
      </c>
      <c r="AC19" s="34">
        <v>91.39</v>
      </c>
      <c r="AD19" s="34">
        <v>191.71879629629629</v>
      </c>
      <c r="AE19" s="34">
        <v>172.18760416666666</v>
      </c>
      <c r="AF19" s="34">
        <v>176.75319444444443</v>
      </c>
      <c r="AG19" s="34">
        <v>157.8407986111111</v>
      </c>
    </row>
    <row r="20" spans="1:33" hidden="1" x14ac:dyDescent="0.25">
      <c r="A20" s="17">
        <v>26</v>
      </c>
      <c r="B20" s="33">
        <v>8.7152777777777784E-3</v>
      </c>
      <c r="C20" s="33">
        <v>9.5486111111111119E-3</v>
      </c>
      <c r="D20" s="33">
        <v>9.3402777777777772E-3</v>
      </c>
      <c r="E20" s="33">
        <v>1.0266203703703704E-2</v>
      </c>
      <c r="F20" s="33">
        <v>1.3113425925925926E-2</v>
      </c>
      <c r="G20" s="33">
        <v>1.4375000000000001E-2</v>
      </c>
      <c r="H20" s="33">
        <v>1.40625E-2</v>
      </c>
      <c r="I20" s="33">
        <v>1.5439814814814814E-2</v>
      </c>
      <c r="J20" s="33">
        <v>2.2002314814814815E-2</v>
      </c>
      <c r="K20" s="33">
        <v>2.4120370370370372E-2</v>
      </c>
      <c r="L20" s="33">
        <v>2.3599537037037037E-2</v>
      </c>
      <c r="M20" s="33">
        <v>2.5914351851851852E-2</v>
      </c>
      <c r="N20" s="33">
        <v>2.6493055555555554E-2</v>
      </c>
      <c r="O20" s="33">
        <v>2.9039351851851851E-2</v>
      </c>
      <c r="P20" s="33">
        <v>2.841435185185185E-2</v>
      </c>
      <c r="Q20" s="33">
        <v>3.1203703703703702E-2</v>
      </c>
      <c r="R20" s="33">
        <v>4.476851851851852E-2</v>
      </c>
      <c r="S20" s="33">
        <v>4.9085648148148149E-2</v>
      </c>
      <c r="T20" s="33">
        <v>4.8020833333333332E-2</v>
      </c>
      <c r="U20" s="33">
        <v>5.2743055555555557E-2</v>
      </c>
      <c r="V20" s="33">
        <v>9.2812500000000006E-2</v>
      </c>
      <c r="W20" s="33">
        <v>0.10175925925925926</v>
      </c>
      <c r="X20" s="33">
        <v>9.9537037037037035E-2</v>
      </c>
      <c r="Y20" s="33">
        <v>0.10934027777777777</v>
      </c>
      <c r="Z20" s="34">
        <v>115.38799768518518</v>
      </c>
      <c r="AA20" s="34">
        <v>101.38439814814815</v>
      </c>
      <c r="AB20" s="34">
        <v>104.61359953703703</v>
      </c>
      <c r="AC20" s="34">
        <v>91.39</v>
      </c>
      <c r="AD20" s="34">
        <v>191.71879629629629</v>
      </c>
      <c r="AE20" s="34">
        <v>172.18760416666666</v>
      </c>
      <c r="AF20" s="34">
        <v>176.75319444444443</v>
      </c>
      <c r="AG20" s="34">
        <v>157.8407986111111</v>
      </c>
    </row>
    <row r="21" spans="1:33" hidden="1" x14ac:dyDescent="0.25">
      <c r="A21" s="17">
        <v>27</v>
      </c>
      <c r="B21" s="33">
        <v>8.7152777777777784E-3</v>
      </c>
      <c r="C21" s="33">
        <v>9.5486111111111119E-3</v>
      </c>
      <c r="D21" s="33">
        <v>9.3402777777777772E-3</v>
      </c>
      <c r="E21" s="33">
        <v>1.0266203703703704E-2</v>
      </c>
      <c r="F21" s="33">
        <v>1.3113425925925926E-2</v>
      </c>
      <c r="G21" s="33">
        <v>1.4375000000000001E-2</v>
      </c>
      <c r="H21" s="33">
        <v>1.40625E-2</v>
      </c>
      <c r="I21" s="33">
        <v>1.5439814814814814E-2</v>
      </c>
      <c r="J21" s="33">
        <v>2.2002314814814815E-2</v>
      </c>
      <c r="K21" s="33">
        <v>2.4120370370370372E-2</v>
      </c>
      <c r="L21" s="33">
        <v>2.3599537037037037E-2</v>
      </c>
      <c r="M21" s="33">
        <v>2.5914351851851852E-2</v>
      </c>
      <c r="N21" s="33">
        <v>2.6493055555555554E-2</v>
      </c>
      <c r="O21" s="33">
        <v>2.9039351851851851E-2</v>
      </c>
      <c r="P21" s="33">
        <v>2.841435185185185E-2</v>
      </c>
      <c r="Q21" s="33">
        <v>3.1203703703703702E-2</v>
      </c>
      <c r="R21" s="33">
        <v>4.476851851851852E-2</v>
      </c>
      <c r="S21" s="33">
        <v>4.9085648148148149E-2</v>
      </c>
      <c r="T21" s="33">
        <v>4.8020833333333332E-2</v>
      </c>
      <c r="U21" s="33">
        <v>5.2743055555555557E-2</v>
      </c>
      <c r="V21" s="33">
        <v>9.2812500000000006E-2</v>
      </c>
      <c r="W21" s="33">
        <v>0.10175925925925926</v>
      </c>
      <c r="X21" s="33">
        <v>9.9537037037037035E-2</v>
      </c>
      <c r="Y21" s="33">
        <v>0.10934027777777777</v>
      </c>
      <c r="Z21" s="34">
        <v>115.38799768518518</v>
      </c>
      <c r="AA21" s="34">
        <v>101.38439814814815</v>
      </c>
      <c r="AB21" s="34">
        <v>104.61359953703703</v>
      </c>
      <c r="AC21" s="34">
        <v>91.39</v>
      </c>
      <c r="AD21" s="34">
        <v>191.71879629629629</v>
      </c>
      <c r="AE21" s="34">
        <v>172.18760416666666</v>
      </c>
      <c r="AF21" s="34">
        <v>176.75319444444443</v>
      </c>
      <c r="AG21" s="34">
        <v>157.8407986111111</v>
      </c>
    </row>
    <row r="22" spans="1:33" hidden="1" x14ac:dyDescent="0.25">
      <c r="A22" s="17">
        <v>28</v>
      </c>
      <c r="B22" s="33">
        <v>8.7152777777777784E-3</v>
      </c>
      <c r="C22" s="33">
        <v>9.5486111111111119E-3</v>
      </c>
      <c r="D22" s="33">
        <v>9.3402777777777772E-3</v>
      </c>
      <c r="E22" s="33">
        <v>1.0266203703703704E-2</v>
      </c>
      <c r="F22" s="33">
        <v>1.3113425925925926E-2</v>
      </c>
      <c r="G22" s="33">
        <v>1.4375000000000001E-2</v>
      </c>
      <c r="H22" s="33">
        <v>1.40625E-2</v>
      </c>
      <c r="I22" s="33">
        <v>1.5439814814814814E-2</v>
      </c>
      <c r="J22" s="33">
        <v>2.2002314814814815E-2</v>
      </c>
      <c r="K22" s="33">
        <v>2.4120370370370372E-2</v>
      </c>
      <c r="L22" s="33">
        <v>2.3599537037037037E-2</v>
      </c>
      <c r="M22" s="33">
        <v>2.5914351851851852E-2</v>
      </c>
      <c r="N22" s="33">
        <v>2.6493055555555554E-2</v>
      </c>
      <c r="O22" s="33">
        <v>2.9039351851851851E-2</v>
      </c>
      <c r="P22" s="33">
        <v>2.841435185185185E-2</v>
      </c>
      <c r="Q22" s="33">
        <v>3.1203703703703702E-2</v>
      </c>
      <c r="R22" s="33">
        <v>4.476851851851852E-2</v>
      </c>
      <c r="S22" s="33">
        <v>4.9085648148148149E-2</v>
      </c>
      <c r="T22" s="33">
        <v>4.8020833333333332E-2</v>
      </c>
      <c r="U22" s="33">
        <v>5.2743055555555557E-2</v>
      </c>
      <c r="V22" s="33">
        <v>9.2812500000000006E-2</v>
      </c>
      <c r="W22" s="33">
        <v>0.10175925925925926</v>
      </c>
      <c r="X22" s="33">
        <v>9.9537037037037035E-2</v>
      </c>
      <c r="Y22" s="33">
        <v>0.10934027777777777</v>
      </c>
      <c r="Z22" s="34">
        <v>115.38799768518518</v>
      </c>
      <c r="AA22" s="34">
        <v>101.38439814814815</v>
      </c>
      <c r="AB22" s="34">
        <v>104.61359953703703</v>
      </c>
      <c r="AC22" s="34">
        <v>91.39</v>
      </c>
      <c r="AD22" s="34">
        <v>191.71879629629629</v>
      </c>
      <c r="AE22" s="34">
        <v>172.18760416666666</v>
      </c>
      <c r="AF22" s="34">
        <v>176.75319444444443</v>
      </c>
      <c r="AG22" s="34">
        <v>157.8407986111111</v>
      </c>
    </row>
    <row r="23" spans="1:33" hidden="1" x14ac:dyDescent="0.25">
      <c r="A23" s="17">
        <v>29</v>
      </c>
      <c r="B23" s="33">
        <v>8.7152777777777784E-3</v>
      </c>
      <c r="C23" s="33">
        <v>9.5486111111111119E-3</v>
      </c>
      <c r="D23" s="33">
        <v>9.3402777777777772E-3</v>
      </c>
      <c r="E23" s="33">
        <v>1.0266203703703704E-2</v>
      </c>
      <c r="F23" s="33">
        <v>1.3113425925925926E-2</v>
      </c>
      <c r="G23" s="33">
        <v>1.4375000000000001E-2</v>
      </c>
      <c r="H23" s="33">
        <v>1.40625E-2</v>
      </c>
      <c r="I23" s="33">
        <v>1.5439814814814814E-2</v>
      </c>
      <c r="J23" s="33">
        <v>2.2002314814814815E-2</v>
      </c>
      <c r="K23" s="33">
        <v>2.4120370370370372E-2</v>
      </c>
      <c r="L23" s="33">
        <v>2.3599537037037037E-2</v>
      </c>
      <c r="M23" s="33">
        <v>2.5914351851851852E-2</v>
      </c>
      <c r="N23" s="33">
        <v>2.6493055555555554E-2</v>
      </c>
      <c r="O23" s="33">
        <v>2.9039351851851851E-2</v>
      </c>
      <c r="P23" s="33">
        <v>2.841435185185185E-2</v>
      </c>
      <c r="Q23" s="33">
        <v>3.1203703703703702E-2</v>
      </c>
      <c r="R23" s="33">
        <v>4.476851851851852E-2</v>
      </c>
      <c r="S23" s="33">
        <v>4.9085648148148149E-2</v>
      </c>
      <c r="T23" s="33">
        <v>4.8020833333333332E-2</v>
      </c>
      <c r="U23" s="33">
        <v>5.2743055555555557E-2</v>
      </c>
      <c r="V23" s="33">
        <v>9.2812500000000006E-2</v>
      </c>
      <c r="W23" s="33">
        <v>0.10175925925925926</v>
      </c>
      <c r="X23" s="33">
        <v>9.9537037037037035E-2</v>
      </c>
      <c r="Y23" s="33">
        <v>0.10934027777777777</v>
      </c>
      <c r="Z23" s="34">
        <v>115.38799768518518</v>
      </c>
      <c r="AA23" s="34">
        <v>101.38439814814815</v>
      </c>
      <c r="AB23" s="34">
        <v>104.61359953703703</v>
      </c>
      <c r="AC23" s="34">
        <v>91.39</v>
      </c>
      <c r="AD23" s="34">
        <v>191.71879629629629</v>
      </c>
      <c r="AE23" s="34">
        <v>172.18760416666666</v>
      </c>
      <c r="AF23" s="34">
        <v>176.75319444444443</v>
      </c>
      <c r="AG23" s="34">
        <v>157.8407986111111</v>
      </c>
    </row>
    <row r="24" spans="1:33" hidden="1" x14ac:dyDescent="0.25">
      <c r="A24" s="17">
        <v>30</v>
      </c>
      <c r="B24" s="33">
        <v>8.7152777777777784E-3</v>
      </c>
      <c r="C24" s="33">
        <v>9.5486111111111119E-3</v>
      </c>
      <c r="D24" s="33">
        <v>9.3402777777777772E-3</v>
      </c>
      <c r="E24" s="33">
        <v>1.0266203703703704E-2</v>
      </c>
      <c r="F24" s="33">
        <v>1.3113425925925926E-2</v>
      </c>
      <c r="G24" s="33">
        <v>1.4375000000000001E-2</v>
      </c>
      <c r="H24" s="33">
        <v>1.40625E-2</v>
      </c>
      <c r="I24" s="33">
        <v>1.5439814814814814E-2</v>
      </c>
      <c r="J24" s="33">
        <v>2.2002314814814815E-2</v>
      </c>
      <c r="K24" s="33">
        <v>2.4120370370370372E-2</v>
      </c>
      <c r="L24" s="33">
        <v>2.3599537037037037E-2</v>
      </c>
      <c r="M24" s="33">
        <v>2.5914351851851852E-2</v>
      </c>
      <c r="N24" s="33">
        <v>2.6493055555555554E-2</v>
      </c>
      <c r="O24" s="33">
        <v>2.9039351851851851E-2</v>
      </c>
      <c r="P24" s="33">
        <v>2.841435185185185E-2</v>
      </c>
      <c r="Q24" s="33">
        <v>3.1203703703703702E-2</v>
      </c>
      <c r="R24" s="33">
        <v>4.476851851851852E-2</v>
      </c>
      <c r="S24" s="33">
        <v>4.9085648148148149E-2</v>
      </c>
      <c r="T24" s="33">
        <v>4.8020833333333332E-2</v>
      </c>
      <c r="U24" s="33">
        <v>5.2743055555555557E-2</v>
      </c>
      <c r="V24" s="33">
        <v>9.2812500000000006E-2</v>
      </c>
      <c r="W24" s="33">
        <v>0.10175925925925926</v>
      </c>
      <c r="X24" s="33">
        <v>9.9537037037037035E-2</v>
      </c>
      <c r="Y24" s="33">
        <v>0.10934027777777777</v>
      </c>
      <c r="Z24" s="34">
        <v>115.38799768518518</v>
      </c>
      <c r="AA24" s="34">
        <v>101.38439814814815</v>
      </c>
      <c r="AB24" s="34">
        <v>104.61359953703703</v>
      </c>
      <c r="AC24" s="34">
        <v>91.39</v>
      </c>
      <c r="AD24" s="34">
        <v>191.71879629629629</v>
      </c>
      <c r="AE24" s="34">
        <v>172.18760416666666</v>
      </c>
      <c r="AF24" s="34">
        <v>176.75319444444443</v>
      </c>
      <c r="AG24" s="34">
        <v>157.8407986111111</v>
      </c>
    </row>
    <row r="25" spans="1:33" hidden="1" x14ac:dyDescent="0.25">
      <c r="A25" s="17">
        <v>31</v>
      </c>
      <c r="B25" s="33">
        <v>8.7152777777777784E-3</v>
      </c>
      <c r="C25" s="33">
        <v>9.5486111111111119E-3</v>
      </c>
      <c r="D25" s="33">
        <v>9.3402777777777772E-3</v>
      </c>
      <c r="E25" s="33">
        <v>1.0266203703703704E-2</v>
      </c>
      <c r="F25" s="33">
        <v>1.3113425925925926E-2</v>
      </c>
      <c r="G25" s="33">
        <v>1.4375000000000001E-2</v>
      </c>
      <c r="H25" s="33">
        <v>1.40625E-2</v>
      </c>
      <c r="I25" s="33">
        <v>1.5439814814814814E-2</v>
      </c>
      <c r="J25" s="33">
        <v>2.2002314814814815E-2</v>
      </c>
      <c r="K25" s="33">
        <v>2.4120370370370372E-2</v>
      </c>
      <c r="L25" s="33">
        <v>2.3599537037037037E-2</v>
      </c>
      <c r="M25" s="33">
        <v>2.5914351851851852E-2</v>
      </c>
      <c r="N25" s="33">
        <v>2.6493055555555554E-2</v>
      </c>
      <c r="O25" s="33">
        <v>2.9039351851851851E-2</v>
      </c>
      <c r="P25" s="33">
        <v>2.841435185185185E-2</v>
      </c>
      <c r="Q25" s="33">
        <v>3.1203703703703702E-2</v>
      </c>
      <c r="R25" s="33">
        <v>4.476851851851852E-2</v>
      </c>
      <c r="S25" s="33">
        <v>4.9085648148148149E-2</v>
      </c>
      <c r="T25" s="33">
        <v>4.8020833333333332E-2</v>
      </c>
      <c r="U25" s="33">
        <v>5.2743055555555557E-2</v>
      </c>
      <c r="V25" s="33">
        <v>9.2812500000000006E-2</v>
      </c>
      <c r="W25" s="33">
        <v>0.10175925925925926</v>
      </c>
      <c r="X25" s="33">
        <v>9.9537037037037035E-2</v>
      </c>
      <c r="Y25" s="33">
        <v>0.10934027777777777</v>
      </c>
      <c r="Z25" s="34">
        <v>115.38799768518518</v>
      </c>
      <c r="AA25" s="34">
        <v>101.38439814814815</v>
      </c>
      <c r="AB25" s="34">
        <v>104.61359953703703</v>
      </c>
      <c r="AC25" s="34">
        <v>91.39</v>
      </c>
      <c r="AD25" s="34">
        <v>191.71879629629629</v>
      </c>
      <c r="AE25" s="34">
        <v>172.18760416666666</v>
      </c>
      <c r="AF25" s="34">
        <v>176.75319444444443</v>
      </c>
      <c r="AG25" s="34">
        <v>157.8407986111111</v>
      </c>
    </row>
    <row r="26" spans="1:33" hidden="1" x14ac:dyDescent="0.25">
      <c r="A26" s="17">
        <v>32</v>
      </c>
      <c r="B26" s="33">
        <v>8.7152777777777784E-3</v>
      </c>
      <c r="C26" s="33">
        <v>9.5486111111111119E-3</v>
      </c>
      <c r="D26" s="33">
        <v>9.3402777777777772E-3</v>
      </c>
      <c r="E26" s="33">
        <v>1.0266203703703704E-2</v>
      </c>
      <c r="F26" s="33">
        <v>1.3113425925925926E-2</v>
      </c>
      <c r="G26" s="33">
        <v>1.4375000000000001E-2</v>
      </c>
      <c r="H26" s="33">
        <v>1.40625E-2</v>
      </c>
      <c r="I26" s="33">
        <v>1.5439814814814814E-2</v>
      </c>
      <c r="J26" s="33">
        <v>2.2002314814814815E-2</v>
      </c>
      <c r="K26" s="33">
        <v>2.4120370370370372E-2</v>
      </c>
      <c r="L26" s="33">
        <v>2.3599537037037037E-2</v>
      </c>
      <c r="M26" s="33">
        <v>2.5914351851851852E-2</v>
      </c>
      <c r="N26" s="33">
        <v>2.6493055555555554E-2</v>
      </c>
      <c r="O26" s="33">
        <v>2.9039351851851851E-2</v>
      </c>
      <c r="P26" s="33">
        <v>2.841435185185185E-2</v>
      </c>
      <c r="Q26" s="33">
        <v>3.1203703703703702E-2</v>
      </c>
      <c r="R26" s="33">
        <v>4.476851851851852E-2</v>
      </c>
      <c r="S26" s="33">
        <v>4.9085648148148149E-2</v>
      </c>
      <c r="T26" s="33">
        <v>4.8020833333333332E-2</v>
      </c>
      <c r="U26" s="33">
        <v>5.2743055555555557E-2</v>
      </c>
      <c r="V26" s="33">
        <v>9.2812500000000006E-2</v>
      </c>
      <c r="W26" s="33">
        <v>0.10175925925925926</v>
      </c>
      <c r="X26" s="33">
        <v>9.9537037037037035E-2</v>
      </c>
      <c r="Y26" s="33">
        <v>0.10934027777777777</v>
      </c>
      <c r="Z26" s="34">
        <v>115.38799768518518</v>
      </c>
      <c r="AA26" s="34">
        <v>101.38439814814815</v>
      </c>
      <c r="AB26" s="34">
        <v>104.61359953703703</v>
      </c>
      <c r="AC26" s="34">
        <v>91.39</v>
      </c>
      <c r="AD26" s="34">
        <v>191.71879629629629</v>
      </c>
      <c r="AE26" s="34">
        <v>172.18760416666666</v>
      </c>
      <c r="AF26" s="34">
        <v>176.75319444444443</v>
      </c>
      <c r="AG26" s="34">
        <v>157.8407986111111</v>
      </c>
    </row>
    <row r="27" spans="1:33" hidden="1" x14ac:dyDescent="0.25">
      <c r="A27" s="17">
        <v>33</v>
      </c>
      <c r="B27" s="33">
        <v>8.7152777777777784E-3</v>
      </c>
      <c r="C27" s="33">
        <v>9.5486111111111119E-3</v>
      </c>
      <c r="D27" s="33">
        <v>9.3402777777777772E-3</v>
      </c>
      <c r="E27" s="33">
        <v>1.0266203703703704E-2</v>
      </c>
      <c r="F27" s="33">
        <v>1.3113425925925926E-2</v>
      </c>
      <c r="G27" s="33">
        <v>1.4375000000000001E-2</v>
      </c>
      <c r="H27" s="33">
        <v>1.40625E-2</v>
      </c>
      <c r="I27" s="33">
        <v>1.5439814814814814E-2</v>
      </c>
      <c r="J27" s="33">
        <v>2.2002314814814815E-2</v>
      </c>
      <c r="K27" s="33">
        <v>2.4120370370370372E-2</v>
      </c>
      <c r="L27" s="33">
        <v>2.3599537037037037E-2</v>
      </c>
      <c r="M27" s="33">
        <v>2.5914351851851852E-2</v>
      </c>
      <c r="N27" s="33">
        <v>2.6493055555555554E-2</v>
      </c>
      <c r="O27" s="33">
        <v>2.9039351851851851E-2</v>
      </c>
      <c r="P27" s="33">
        <v>2.841435185185185E-2</v>
      </c>
      <c r="Q27" s="33">
        <v>3.1203703703703702E-2</v>
      </c>
      <c r="R27" s="33">
        <v>4.476851851851852E-2</v>
      </c>
      <c r="S27" s="33">
        <v>4.9085648148148149E-2</v>
      </c>
      <c r="T27" s="33">
        <v>4.8020833333333332E-2</v>
      </c>
      <c r="U27" s="33">
        <v>5.2743055555555557E-2</v>
      </c>
      <c r="V27" s="33">
        <v>9.2812500000000006E-2</v>
      </c>
      <c r="W27" s="33">
        <v>0.10175925925925926</v>
      </c>
      <c r="X27" s="33">
        <v>9.9537037037037035E-2</v>
      </c>
      <c r="Y27" s="33">
        <v>0.10934027777777777</v>
      </c>
      <c r="Z27" s="34">
        <v>115.38799768518518</v>
      </c>
      <c r="AA27" s="34">
        <v>101.38439814814815</v>
      </c>
      <c r="AB27" s="34">
        <v>104.61359953703703</v>
      </c>
      <c r="AC27" s="34">
        <v>91.39</v>
      </c>
      <c r="AD27" s="34">
        <v>191.71879629629629</v>
      </c>
      <c r="AE27" s="34">
        <v>172.18760416666666</v>
      </c>
      <c r="AF27" s="34">
        <v>176.75319444444443</v>
      </c>
      <c r="AG27" s="34">
        <v>157.8407986111111</v>
      </c>
    </row>
    <row r="28" spans="1:33" hidden="1" x14ac:dyDescent="0.25">
      <c r="A28" s="17">
        <v>34</v>
      </c>
      <c r="B28" s="33">
        <v>8.7152777777777784E-3</v>
      </c>
      <c r="C28" s="33">
        <v>9.5486111111111119E-3</v>
      </c>
      <c r="D28" s="33">
        <v>9.3402777777777772E-3</v>
      </c>
      <c r="E28" s="33">
        <v>1.0266203703703704E-2</v>
      </c>
      <c r="F28" s="33">
        <v>1.3113425925925926E-2</v>
      </c>
      <c r="G28" s="33">
        <v>1.4375000000000001E-2</v>
      </c>
      <c r="H28" s="33">
        <v>1.40625E-2</v>
      </c>
      <c r="I28" s="33">
        <v>1.5439814814814814E-2</v>
      </c>
      <c r="J28" s="33">
        <v>2.2002314814814815E-2</v>
      </c>
      <c r="K28" s="33">
        <v>2.4120370370370372E-2</v>
      </c>
      <c r="L28" s="33">
        <v>2.3599537037037037E-2</v>
      </c>
      <c r="M28" s="33">
        <v>2.5914351851851852E-2</v>
      </c>
      <c r="N28" s="33">
        <v>2.6493055555555554E-2</v>
      </c>
      <c r="O28" s="33">
        <v>2.9039351851851851E-2</v>
      </c>
      <c r="P28" s="33">
        <v>2.841435185185185E-2</v>
      </c>
      <c r="Q28" s="33">
        <v>3.1203703703703702E-2</v>
      </c>
      <c r="R28" s="33">
        <v>4.476851851851852E-2</v>
      </c>
      <c r="S28" s="33">
        <v>4.9085648148148149E-2</v>
      </c>
      <c r="T28" s="33">
        <v>4.8020833333333332E-2</v>
      </c>
      <c r="U28" s="33">
        <v>5.2743055555555557E-2</v>
      </c>
      <c r="V28" s="33">
        <v>9.2812500000000006E-2</v>
      </c>
      <c r="W28" s="33">
        <v>0.10175925925925926</v>
      </c>
      <c r="X28" s="33">
        <v>9.9537037037037035E-2</v>
      </c>
      <c r="Y28" s="33">
        <v>0.10934027777777777</v>
      </c>
      <c r="Z28" s="34">
        <v>115.38799768518518</v>
      </c>
      <c r="AA28" s="34">
        <v>101.38439814814815</v>
      </c>
      <c r="AB28" s="34">
        <v>104.61359953703703</v>
      </c>
      <c r="AC28" s="34">
        <v>91.39</v>
      </c>
      <c r="AD28" s="34">
        <v>191.71879629629629</v>
      </c>
      <c r="AE28" s="34">
        <v>172.18760416666666</v>
      </c>
      <c r="AF28" s="34">
        <v>176.75319444444443</v>
      </c>
      <c r="AG28" s="34">
        <v>157.8407986111111</v>
      </c>
    </row>
    <row r="29" spans="1:33" hidden="1" x14ac:dyDescent="0.25">
      <c r="A29" s="17">
        <v>35</v>
      </c>
      <c r="B29" s="33">
        <v>8.7152777777777784E-3</v>
      </c>
      <c r="C29" s="33">
        <v>9.5486111111111119E-3</v>
      </c>
      <c r="D29" s="33">
        <v>9.3402777777777772E-3</v>
      </c>
      <c r="E29" s="33">
        <v>1.0266203703703704E-2</v>
      </c>
      <c r="F29" s="33">
        <v>1.3113425925925926E-2</v>
      </c>
      <c r="G29" s="33">
        <v>1.4375000000000001E-2</v>
      </c>
      <c r="H29" s="33">
        <v>1.40625E-2</v>
      </c>
      <c r="I29" s="33">
        <v>1.5439814814814814E-2</v>
      </c>
      <c r="J29" s="33">
        <v>2.2002314814814815E-2</v>
      </c>
      <c r="K29" s="33">
        <v>2.4120370370370372E-2</v>
      </c>
      <c r="L29" s="33">
        <v>2.3599537037037037E-2</v>
      </c>
      <c r="M29" s="33">
        <v>2.5914351851851852E-2</v>
      </c>
      <c r="N29" s="33">
        <v>2.6493055555555554E-2</v>
      </c>
      <c r="O29" s="33">
        <v>2.9039351851851851E-2</v>
      </c>
      <c r="P29" s="33">
        <v>2.841435185185185E-2</v>
      </c>
      <c r="Q29" s="33">
        <v>3.1203703703703702E-2</v>
      </c>
      <c r="R29" s="33">
        <v>4.476851851851852E-2</v>
      </c>
      <c r="S29" s="33">
        <v>4.9085648148148149E-2</v>
      </c>
      <c r="T29" s="33">
        <v>4.8020833333333332E-2</v>
      </c>
      <c r="U29" s="33">
        <v>5.2743055555555557E-2</v>
      </c>
      <c r="V29" s="33">
        <v>9.2812500000000006E-2</v>
      </c>
      <c r="W29" s="33">
        <v>0.10175925925925926</v>
      </c>
      <c r="X29" s="33">
        <v>9.9537037037037035E-2</v>
      </c>
      <c r="Y29" s="33">
        <v>0.10934027777777777</v>
      </c>
      <c r="Z29" s="34">
        <v>115.38799768518518</v>
      </c>
      <c r="AA29" s="34">
        <v>101.38439814814815</v>
      </c>
      <c r="AB29" s="34">
        <v>104.61359953703703</v>
      </c>
      <c r="AC29" s="34">
        <v>91.39</v>
      </c>
      <c r="AD29" s="34">
        <v>191.71879629629629</v>
      </c>
      <c r="AE29" s="34">
        <v>172.18760416666666</v>
      </c>
      <c r="AF29" s="34">
        <v>176.75319444444443</v>
      </c>
      <c r="AG29" s="34">
        <v>157.8407986111111</v>
      </c>
    </row>
    <row r="30" spans="1:33" hidden="1" x14ac:dyDescent="0.25">
      <c r="A30" s="17">
        <v>36</v>
      </c>
      <c r="B30" s="33">
        <v>8.7152777777777784E-3</v>
      </c>
      <c r="C30" s="33">
        <v>9.5486111111111119E-3</v>
      </c>
      <c r="D30" s="33">
        <v>9.3402777777777772E-3</v>
      </c>
      <c r="E30" s="33">
        <v>1.0266203703703704E-2</v>
      </c>
      <c r="F30" s="33">
        <v>1.3113425925925926E-2</v>
      </c>
      <c r="G30" s="33">
        <v>1.4375000000000001E-2</v>
      </c>
      <c r="H30" s="33">
        <v>1.40625E-2</v>
      </c>
      <c r="I30" s="33">
        <v>1.5439814814814814E-2</v>
      </c>
      <c r="J30" s="33">
        <v>2.2002314814814815E-2</v>
      </c>
      <c r="K30" s="33">
        <v>2.4120370370370372E-2</v>
      </c>
      <c r="L30" s="33">
        <v>2.3599537037037037E-2</v>
      </c>
      <c r="M30" s="33">
        <v>2.5914351851851852E-2</v>
      </c>
      <c r="N30" s="33">
        <v>2.6493055555555554E-2</v>
      </c>
      <c r="O30" s="33">
        <v>2.9039351851851851E-2</v>
      </c>
      <c r="P30" s="33">
        <v>2.841435185185185E-2</v>
      </c>
      <c r="Q30" s="33">
        <v>3.1203703703703702E-2</v>
      </c>
      <c r="R30" s="33">
        <v>4.476851851851852E-2</v>
      </c>
      <c r="S30" s="33">
        <v>4.9085648148148149E-2</v>
      </c>
      <c r="T30" s="33">
        <v>4.8020833333333332E-2</v>
      </c>
      <c r="U30" s="33">
        <v>5.2743055555555557E-2</v>
      </c>
      <c r="V30" s="33">
        <v>9.2812500000000006E-2</v>
      </c>
      <c r="W30" s="33">
        <v>0.10175925925925926</v>
      </c>
      <c r="X30" s="33">
        <v>9.9537037037037035E-2</v>
      </c>
      <c r="Y30" s="33">
        <v>0.10934027777777777</v>
      </c>
      <c r="Z30" s="34">
        <v>115.38799768518518</v>
      </c>
      <c r="AA30" s="34">
        <v>101.38439814814815</v>
      </c>
      <c r="AB30" s="34">
        <v>104.61359953703703</v>
      </c>
      <c r="AC30" s="34">
        <v>91.39</v>
      </c>
      <c r="AD30" s="34">
        <v>191.71879629629629</v>
      </c>
      <c r="AE30" s="34">
        <v>172.18760416666666</v>
      </c>
      <c r="AF30" s="34">
        <v>176.75319444444443</v>
      </c>
      <c r="AG30" s="34">
        <v>157.8407986111111</v>
      </c>
    </row>
    <row r="31" spans="1:33" hidden="1" x14ac:dyDescent="0.25">
      <c r="A31" s="17">
        <v>37</v>
      </c>
      <c r="B31" s="33">
        <v>8.7152777777777784E-3</v>
      </c>
      <c r="C31" s="33">
        <v>9.5486111111111119E-3</v>
      </c>
      <c r="D31" s="33">
        <v>9.3402777777777772E-3</v>
      </c>
      <c r="E31" s="33">
        <v>1.0266203703703704E-2</v>
      </c>
      <c r="F31" s="33">
        <v>1.3113425925925926E-2</v>
      </c>
      <c r="G31" s="33">
        <v>1.4375000000000001E-2</v>
      </c>
      <c r="H31" s="33">
        <v>1.40625E-2</v>
      </c>
      <c r="I31" s="33">
        <v>1.5439814814814814E-2</v>
      </c>
      <c r="J31" s="33">
        <v>2.2002314814814815E-2</v>
      </c>
      <c r="K31" s="33">
        <v>2.4120370370370372E-2</v>
      </c>
      <c r="L31" s="33">
        <v>2.3599537037037037E-2</v>
      </c>
      <c r="M31" s="33">
        <v>2.5914351851851852E-2</v>
      </c>
      <c r="N31" s="33">
        <v>2.6493055555555554E-2</v>
      </c>
      <c r="O31" s="33">
        <v>2.9039351851851851E-2</v>
      </c>
      <c r="P31" s="33">
        <v>2.841435185185185E-2</v>
      </c>
      <c r="Q31" s="33">
        <v>3.1203703703703702E-2</v>
      </c>
      <c r="R31" s="33">
        <v>4.476851851851852E-2</v>
      </c>
      <c r="S31" s="33">
        <v>4.9085648148148149E-2</v>
      </c>
      <c r="T31" s="33">
        <v>4.8020833333333332E-2</v>
      </c>
      <c r="U31" s="33">
        <v>5.2743055555555557E-2</v>
      </c>
      <c r="V31" s="33">
        <v>9.2812500000000006E-2</v>
      </c>
      <c r="W31" s="33">
        <v>0.10175925925925926</v>
      </c>
      <c r="X31" s="33">
        <v>9.9537037037037035E-2</v>
      </c>
      <c r="Y31" s="33">
        <v>0.10934027777777777</v>
      </c>
      <c r="Z31" s="34">
        <v>115.38799768518518</v>
      </c>
      <c r="AA31" s="34">
        <v>101.38439814814815</v>
      </c>
      <c r="AB31" s="34">
        <v>104.61359953703703</v>
      </c>
      <c r="AC31" s="34">
        <v>91.39</v>
      </c>
      <c r="AD31" s="34">
        <v>191.71879629629629</v>
      </c>
      <c r="AE31" s="34">
        <v>172.18760416666666</v>
      </c>
      <c r="AF31" s="34">
        <v>176.75319444444443</v>
      </c>
      <c r="AG31" s="34">
        <v>157.8407986111111</v>
      </c>
    </row>
    <row r="32" spans="1:33" hidden="1" x14ac:dyDescent="0.25">
      <c r="A32" s="17">
        <v>38</v>
      </c>
      <c r="B32" s="33">
        <v>8.7152777777777784E-3</v>
      </c>
      <c r="C32" s="33">
        <v>9.5486111111111119E-3</v>
      </c>
      <c r="D32" s="33">
        <v>9.3402777777777772E-3</v>
      </c>
      <c r="E32" s="33">
        <v>1.0266203703703704E-2</v>
      </c>
      <c r="F32" s="33">
        <v>1.3113425925925926E-2</v>
      </c>
      <c r="G32" s="33">
        <v>1.4375000000000001E-2</v>
      </c>
      <c r="H32" s="33">
        <v>1.40625E-2</v>
      </c>
      <c r="I32" s="33">
        <v>1.5439814814814814E-2</v>
      </c>
      <c r="J32" s="33">
        <v>2.2002314814814815E-2</v>
      </c>
      <c r="K32" s="33">
        <v>2.4120370370370372E-2</v>
      </c>
      <c r="L32" s="33">
        <v>2.3599537037037037E-2</v>
      </c>
      <c r="M32" s="33">
        <v>2.5914351851851852E-2</v>
      </c>
      <c r="N32" s="33">
        <v>2.6493055555555554E-2</v>
      </c>
      <c r="O32" s="33">
        <v>2.9039351851851851E-2</v>
      </c>
      <c r="P32" s="33">
        <v>2.841435185185185E-2</v>
      </c>
      <c r="Q32" s="33">
        <v>3.1203703703703702E-2</v>
      </c>
      <c r="R32" s="33">
        <v>4.476851851851852E-2</v>
      </c>
      <c r="S32" s="33">
        <v>4.9085648148148149E-2</v>
      </c>
      <c r="T32" s="33">
        <v>4.8020833333333332E-2</v>
      </c>
      <c r="U32" s="33">
        <v>5.2743055555555557E-2</v>
      </c>
      <c r="V32" s="33">
        <v>9.2812500000000006E-2</v>
      </c>
      <c r="W32" s="33">
        <v>0.10175925925925926</v>
      </c>
      <c r="X32" s="33">
        <v>9.9537037037037035E-2</v>
      </c>
      <c r="Y32" s="33">
        <v>0.10934027777777777</v>
      </c>
      <c r="Z32" s="34">
        <v>115.38799768518518</v>
      </c>
      <c r="AA32" s="34">
        <v>101.38439814814815</v>
      </c>
      <c r="AB32" s="34">
        <v>104.61359953703703</v>
      </c>
      <c r="AC32" s="34">
        <v>91.39</v>
      </c>
      <c r="AD32" s="34">
        <v>191.71879629629629</v>
      </c>
      <c r="AE32" s="34">
        <v>172.18760416666666</v>
      </c>
      <c r="AF32" s="34">
        <v>176.75319444444443</v>
      </c>
      <c r="AG32" s="34">
        <v>157.8407986111111</v>
      </c>
    </row>
    <row r="33" spans="1:33" hidden="1" x14ac:dyDescent="0.25">
      <c r="A33" s="17">
        <v>39</v>
      </c>
      <c r="B33" s="33">
        <v>8.7152777777777784E-3</v>
      </c>
      <c r="C33" s="33">
        <v>9.5486111111111119E-3</v>
      </c>
      <c r="D33" s="33">
        <v>9.3402777777777772E-3</v>
      </c>
      <c r="E33" s="33">
        <v>1.0266203703703704E-2</v>
      </c>
      <c r="F33" s="33">
        <v>1.3113425925925926E-2</v>
      </c>
      <c r="G33" s="33">
        <v>1.4375000000000001E-2</v>
      </c>
      <c r="H33" s="33">
        <v>1.40625E-2</v>
      </c>
      <c r="I33" s="33">
        <v>1.5439814814814814E-2</v>
      </c>
      <c r="J33" s="33">
        <v>2.2002314814814815E-2</v>
      </c>
      <c r="K33" s="33">
        <v>2.4120370370370372E-2</v>
      </c>
      <c r="L33" s="33">
        <v>2.3599537037037037E-2</v>
      </c>
      <c r="M33" s="33">
        <v>2.5914351851851852E-2</v>
      </c>
      <c r="N33" s="33">
        <v>2.6493055555555554E-2</v>
      </c>
      <c r="O33" s="33">
        <v>2.9039351851851851E-2</v>
      </c>
      <c r="P33" s="33">
        <v>2.841435185185185E-2</v>
      </c>
      <c r="Q33" s="33">
        <v>3.1203703703703702E-2</v>
      </c>
      <c r="R33" s="33">
        <v>4.476851851851852E-2</v>
      </c>
      <c r="S33" s="33">
        <v>4.9085648148148149E-2</v>
      </c>
      <c r="T33" s="33">
        <v>4.8020833333333332E-2</v>
      </c>
      <c r="U33" s="33">
        <v>5.2743055555555557E-2</v>
      </c>
      <c r="V33" s="33">
        <v>9.2812500000000006E-2</v>
      </c>
      <c r="W33" s="33">
        <v>0.10175925925925926</v>
      </c>
      <c r="X33" s="33">
        <v>9.9537037037037035E-2</v>
      </c>
      <c r="Y33" s="33">
        <v>0.10934027777777777</v>
      </c>
      <c r="Z33" s="34">
        <v>115.38799768518518</v>
      </c>
      <c r="AA33" s="34">
        <v>101.38439814814815</v>
      </c>
      <c r="AB33" s="34">
        <v>104.61359953703703</v>
      </c>
      <c r="AC33" s="34">
        <v>91.39</v>
      </c>
      <c r="AD33" s="34">
        <v>191.71879629629629</v>
      </c>
      <c r="AE33" s="34">
        <v>172.18760416666666</v>
      </c>
      <c r="AF33" s="34">
        <v>176.75319444444443</v>
      </c>
      <c r="AG33" s="34">
        <v>157.8407986111111</v>
      </c>
    </row>
    <row r="34" spans="1:33" x14ac:dyDescent="0.25">
      <c r="A34" s="17">
        <v>40</v>
      </c>
      <c r="B34" s="26">
        <v>8.7152777777777784E-3</v>
      </c>
      <c r="C34" s="26">
        <v>9.5486111111111119E-3</v>
      </c>
      <c r="D34" s="26">
        <v>9.3402777777777772E-3</v>
      </c>
      <c r="E34" s="26">
        <v>1.0266203703703704E-2</v>
      </c>
      <c r="F34" s="26">
        <v>1.3113425925925926E-2</v>
      </c>
      <c r="G34" s="26">
        <v>1.4375000000000001E-2</v>
      </c>
      <c r="H34" s="26">
        <v>1.40625E-2</v>
      </c>
      <c r="I34" s="26">
        <v>1.5439814814814814E-2</v>
      </c>
      <c r="J34" s="26">
        <v>2.2002314814814815E-2</v>
      </c>
      <c r="K34" s="26">
        <v>2.4120370370370372E-2</v>
      </c>
      <c r="L34" s="26">
        <v>2.3599537037037037E-2</v>
      </c>
      <c r="M34" s="26">
        <v>2.5914351851851852E-2</v>
      </c>
      <c r="N34" s="26">
        <v>2.6493055555555554E-2</v>
      </c>
      <c r="O34" s="26">
        <v>2.9039351851851851E-2</v>
      </c>
      <c r="P34" s="26">
        <v>2.841435185185185E-2</v>
      </c>
      <c r="Q34" s="26">
        <v>3.1203703703703702E-2</v>
      </c>
      <c r="R34" s="26">
        <v>4.476851851851852E-2</v>
      </c>
      <c r="S34" s="26">
        <v>4.9085648148148149E-2</v>
      </c>
      <c r="T34" s="26">
        <v>4.8020833333333332E-2</v>
      </c>
      <c r="U34" s="26">
        <v>5.2743055555555557E-2</v>
      </c>
      <c r="V34" s="26">
        <v>9.2812500000000006E-2</v>
      </c>
      <c r="W34" s="26">
        <v>0.10175925925925926</v>
      </c>
      <c r="X34" s="26">
        <v>9.9537037037037035E-2</v>
      </c>
      <c r="Y34" s="26">
        <v>0.10934027777777777</v>
      </c>
      <c r="Z34" s="27">
        <v>115.38799768518518</v>
      </c>
      <c r="AA34" s="27">
        <v>101.38439814814815</v>
      </c>
      <c r="AB34" s="27">
        <v>104.61359953703703</v>
      </c>
      <c r="AC34" s="27">
        <v>91.39</v>
      </c>
      <c r="AD34" s="27">
        <v>191.71879629629629</v>
      </c>
      <c r="AE34" s="27">
        <v>172.18760416666666</v>
      </c>
      <c r="AF34" s="27">
        <v>176.75319444444443</v>
      </c>
      <c r="AG34" s="27">
        <v>157.8407986111111</v>
      </c>
    </row>
    <row r="35" spans="1:33" x14ac:dyDescent="0.25">
      <c r="A35" s="17">
        <v>41</v>
      </c>
      <c r="B35" s="26">
        <v>8.726851851851852E-3</v>
      </c>
      <c r="C35" s="26">
        <v>9.5601851851851855E-3</v>
      </c>
      <c r="D35" s="26">
        <v>9.3518518518518525E-3</v>
      </c>
      <c r="E35" s="26">
        <v>1.0266203703703704E-2</v>
      </c>
      <c r="F35" s="26">
        <v>1.3125E-2</v>
      </c>
      <c r="G35" s="26">
        <v>1.4386574074074074E-2</v>
      </c>
      <c r="H35" s="26">
        <v>1.4074074074074074E-2</v>
      </c>
      <c r="I35" s="26">
        <v>1.545138888888889E-2</v>
      </c>
      <c r="J35" s="26">
        <v>2.2037037037037036E-2</v>
      </c>
      <c r="K35" s="26">
        <v>2.4143518518518519E-2</v>
      </c>
      <c r="L35" s="26">
        <v>2.3622685185185184E-2</v>
      </c>
      <c r="M35" s="26">
        <v>2.5937499999999999E-2</v>
      </c>
      <c r="N35" s="26">
        <v>2.6527777777777779E-2</v>
      </c>
      <c r="O35" s="26">
        <v>2.9062500000000002E-2</v>
      </c>
      <c r="P35" s="26">
        <v>2.8460648148148148E-2</v>
      </c>
      <c r="Q35" s="26">
        <v>3.1226851851851853E-2</v>
      </c>
      <c r="R35" s="26">
        <v>4.4849537037037035E-2</v>
      </c>
      <c r="S35" s="26">
        <v>4.9131944444444443E-2</v>
      </c>
      <c r="T35" s="26">
        <v>4.809027777777778E-2</v>
      </c>
      <c r="U35" s="26">
        <v>5.2777777777777778E-2</v>
      </c>
      <c r="V35" s="26">
        <v>9.2974537037037036E-2</v>
      </c>
      <c r="W35" s="26">
        <v>0.10185185185185185</v>
      </c>
      <c r="X35" s="26">
        <v>9.9722222222222226E-2</v>
      </c>
      <c r="Y35" s="26">
        <v>0.10944444444444444</v>
      </c>
      <c r="Z35" s="27">
        <v>115.0187962962963</v>
      </c>
      <c r="AA35" s="27">
        <v>101.17640046296296</v>
      </c>
      <c r="AB35" s="27">
        <v>104.28079861111111</v>
      </c>
      <c r="AC35" s="27">
        <v>91.202800925925928</v>
      </c>
      <c r="AD35" s="27">
        <v>190.98560185185184</v>
      </c>
      <c r="AE35" s="27">
        <v>171.70920138888889</v>
      </c>
      <c r="AF35" s="27">
        <v>176.08760416666667</v>
      </c>
      <c r="AG35" s="27">
        <v>157.4092013888889</v>
      </c>
    </row>
    <row r="36" spans="1:33" x14ac:dyDescent="0.25">
      <c r="A36" s="17">
        <v>42</v>
      </c>
      <c r="B36" s="26">
        <v>8.7384259259259255E-3</v>
      </c>
      <c r="C36" s="26">
        <v>9.5601851851851855E-3</v>
      </c>
      <c r="D36" s="26">
        <v>9.3749999999999997E-3</v>
      </c>
      <c r="E36" s="26">
        <v>1.0277777777777778E-2</v>
      </c>
      <c r="F36" s="26">
        <v>1.3148148148148148E-2</v>
      </c>
      <c r="G36" s="26">
        <v>1.4398148148148148E-2</v>
      </c>
      <c r="H36" s="26">
        <v>1.4108796296296296E-2</v>
      </c>
      <c r="I36" s="26">
        <v>1.5462962962962963E-2</v>
      </c>
      <c r="J36" s="26">
        <v>2.207175925925926E-2</v>
      </c>
      <c r="K36" s="26">
        <v>2.4155092592592593E-2</v>
      </c>
      <c r="L36" s="26">
        <v>2.3668981481481482E-2</v>
      </c>
      <c r="M36" s="26">
        <v>2.5960648148148149E-2</v>
      </c>
      <c r="N36" s="26">
        <v>2.6574074074074073E-2</v>
      </c>
      <c r="O36" s="26">
        <v>2.9085648148148149E-2</v>
      </c>
      <c r="P36" s="26">
        <v>2.8506944444444446E-2</v>
      </c>
      <c r="Q36" s="26">
        <v>3.125E-2</v>
      </c>
      <c r="R36" s="26">
        <v>4.4930555555555557E-2</v>
      </c>
      <c r="S36" s="26">
        <v>4.9166666666666664E-2</v>
      </c>
      <c r="T36" s="26">
        <v>4.8182870370370369E-2</v>
      </c>
      <c r="U36" s="26">
        <v>5.2824074074074072E-2</v>
      </c>
      <c r="V36" s="26">
        <v>9.3159722222222227E-2</v>
      </c>
      <c r="W36" s="26">
        <v>0.10195601851851852</v>
      </c>
      <c r="X36" s="26">
        <v>9.9907407407407403E-2</v>
      </c>
      <c r="Y36" s="26">
        <v>0.10954861111111111</v>
      </c>
      <c r="Z36" s="27">
        <v>114.59760416666667</v>
      </c>
      <c r="AA36" s="27">
        <v>100.95280092592593</v>
      </c>
      <c r="AB36" s="27">
        <v>103.89599537037037</v>
      </c>
      <c r="AC36" s="27">
        <v>91</v>
      </c>
      <c r="AD36" s="27">
        <v>190.14840277777779</v>
      </c>
      <c r="AE36" s="27">
        <v>171.17359953703703</v>
      </c>
      <c r="AF36" s="27">
        <v>175.32319444444445</v>
      </c>
      <c r="AG36" s="27">
        <v>156.93599537037036</v>
      </c>
    </row>
    <row r="37" spans="1:33" x14ac:dyDescent="0.25">
      <c r="A37" s="17">
        <v>43</v>
      </c>
      <c r="B37" s="26">
        <v>8.7500000000000008E-3</v>
      </c>
      <c r="C37" s="26">
        <v>9.571759259259259E-3</v>
      </c>
      <c r="D37" s="26">
        <v>9.3865740740740732E-3</v>
      </c>
      <c r="E37" s="26">
        <v>1.0277777777777778E-2</v>
      </c>
      <c r="F37" s="26">
        <v>1.3182870370370371E-2</v>
      </c>
      <c r="G37" s="26">
        <v>1.4409722222222223E-2</v>
      </c>
      <c r="H37" s="26">
        <v>1.4131944444444445E-2</v>
      </c>
      <c r="I37" s="26">
        <v>1.5474537037037037E-2</v>
      </c>
      <c r="J37" s="26">
        <v>2.2118055555555554E-2</v>
      </c>
      <c r="K37" s="26">
        <v>2.4166666666666666E-2</v>
      </c>
      <c r="L37" s="26">
        <v>2.3726851851851853E-2</v>
      </c>
      <c r="M37" s="26">
        <v>2.5972222222222223E-2</v>
      </c>
      <c r="N37" s="26">
        <v>2.6631944444444444E-2</v>
      </c>
      <c r="O37" s="26">
        <v>2.9108796296296296E-2</v>
      </c>
      <c r="P37" s="26">
        <v>2.8564814814814814E-2</v>
      </c>
      <c r="Q37" s="26">
        <v>3.1273148148148147E-2</v>
      </c>
      <c r="R37" s="26">
        <v>4.5011574074074072E-2</v>
      </c>
      <c r="S37" s="26">
        <v>4.9212962962962965E-2</v>
      </c>
      <c r="T37" s="26">
        <v>4.8287037037037038E-2</v>
      </c>
      <c r="U37" s="26">
        <v>5.2881944444444447E-2</v>
      </c>
      <c r="V37" s="26">
        <v>9.3356481481481485E-2</v>
      </c>
      <c r="W37" s="26">
        <v>0.10206018518518518</v>
      </c>
      <c r="X37" s="26">
        <v>0.10013888888888889</v>
      </c>
      <c r="Y37" s="26">
        <v>0.10966435185185185</v>
      </c>
      <c r="Z37" s="27">
        <v>114.12439814814815</v>
      </c>
      <c r="AA37" s="27">
        <v>100.70840277777778</v>
      </c>
      <c r="AB37" s="27">
        <v>103.46439814814815</v>
      </c>
      <c r="AC37" s="27">
        <v>90.78680555555556</v>
      </c>
      <c r="AD37" s="27">
        <v>189.21239583333335</v>
      </c>
      <c r="AE37" s="27">
        <v>170.59120370370371</v>
      </c>
      <c r="AF37" s="27">
        <v>174.46519675925927</v>
      </c>
      <c r="AG37" s="27">
        <v>156.41079861111112</v>
      </c>
    </row>
    <row r="38" spans="1:33" x14ac:dyDescent="0.25">
      <c r="A38" s="17">
        <v>44</v>
      </c>
      <c r="B38" s="26">
        <v>8.773148148148148E-3</v>
      </c>
      <c r="C38" s="26">
        <v>9.5833333333333326E-3</v>
      </c>
      <c r="D38" s="26">
        <v>9.4097222222222221E-3</v>
      </c>
      <c r="E38" s="26">
        <v>1.0289351851851852E-2</v>
      </c>
      <c r="F38" s="26">
        <v>1.3206018518518518E-2</v>
      </c>
      <c r="G38" s="26">
        <v>1.4421296296296297E-2</v>
      </c>
      <c r="H38" s="26">
        <v>1.4166666666666666E-2</v>
      </c>
      <c r="I38" s="26">
        <v>1.5486111111111112E-2</v>
      </c>
      <c r="J38" s="26">
        <v>2.2164351851851852E-2</v>
      </c>
      <c r="K38" s="26">
        <v>2.4189814814814813E-2</v>
      </c>
      <c r="L38" s="26">
        <v>2.3773148148148147E-2</v>
      </c>
      <c r="M38" s="26">
        <v>2.599537037037037E-2</v>
      </c>
      <c r="N38" s="26">
        <v>2.6689814814814816E-2</v>
      </c>
      <c r="O38" s="26">
        <v>2.914351851851852E-2</v>
      </c>
      <c r="P38" s="26">
        <v>2.8622685185185185E-2</v>
      </c>
      <c r="Q38" s="26">
        <v>3.1307870370370368E-2</v>
      </c>
      <c r="R38" s="26">
        <v>4.5115740740740741E-2</v>
      </c>
      <c r="S38" s="26">
        <v>4.925925925925926E-2</v>
      </c>
      <c r="T38" s="26">
        <v>4.8391203703703707E-2</v>
      </c>
      <c r="U38" s="26">
        <v>5.2928240740740741E-2</v>
      </c>
      <c r="V38" s="26">
        <v>9.3587962962962956E-2</v>
      </c>
      <c r="W38" s="26">
        <v>0.10217592592592592</v>
      </c>
      <c r="X38" s="26">
        <v>0.10038194444444444</v>
      </c>
      <c r="Y38" s="26">
        <v>0.10979166666666666</v>
      </c>
      <c r="Z38" s="27">
        <v>113.60439814814815</v>
      </c>
      <c r="AA38" s="27">
        <v>100.44319444444444</v>
      </c>
      <c r="AB38" s="27">
        <v>102.9912037037037</v>
      </c>
      <c r="AC38" s="27">
        <v>90.547604166666673</v>
      </c>
      <c r="AD38" s="27">
        <v>188.18280092592593</v>
      </c>
      <c r="AE38" s="27">
        <v>169.94640046296297</v>
      </c>
      <c r="AF38" s="27">
        <v>173.52400462962962</v>
      </c>
      <c r="AG38" s="27">
        <v>155.83879629629629</v>
      </c>
    </row>
    <row r="39" spans="1:33" x14ac:dyDescent="0.25">
      <c r="A39" s="17">
        <v>45</v>
      </c>
      <c r="B39" s="26">
        <v>8.7962962962962968E-3</v>
      </c>
      <c r="C39" s="26">
        <v>9.5833333333333326E-3</v>
      </c>
      <c r="D39" s="26">
        <v>9.432870370370371E-3</v>
      </c>
      <c r="E39" s="26">
        <v>1.0300925925925925E-2</v>
      </c>
      <c r="F39" s="26">
        <v>1.324074074074074E-2</v>
      </c>
      <c r="G39" s="26">
        <v>1.443287037037037E-2</v>
      </c>
      <c r="H39" s="26">
        <v>1.4201388888888888E-2</v>
      </c>
      <c r="I39" s="26">
        <v>1.5509259259259259E-2</v>
      </c>
      <c r="J39" s="26">
        <v>2.2222222222222223E-2</v>
      </c>
      <c r="K39" s="26">
        <v>2.4212962962962964E-2</v>
      </c>
      <c r="L39" s="26">
        <v>2.3831018518518519E-2</v>
      </c>
      <c r="M39" s="26">
        <v>2.6018518518518517E-2</v>
      </c>
      <c r="N39" s="26">
        <v>2.675925925925926E-2</v>
      </c>
      <c r="O39" s="26">
        <v>2.9166666666666667E-2</v>
      </c>
      <c r="P39" s="26">
        <v>2.8703703703703703E-2</v>
      </c>
      <c r="Q39" s="26">
        <v>3.1342592592592596E-2</v>
      </c>
      <c r="R39" s="26">
        <v>4.5231481481481484E-2</v>
      </c>
      <c r="S39" s="26">
        <v>4.9305555555555554E-2</v>
      </c>
      <c r="T39" s="26">
        <v>4.8518518518518516E-2</v>
      </c>
      <c r="U39" s="26">
        <v>5.2986111111111109E-2</v>
      </c>
      <c r="V39" s="26">
        <v>9.3842592592592589E-2</v>
      </c>
      <c r="W39" s="26">
        <v>0.10229166666666667</v>
      </c>
      <c r="X39" s="26">
        <v>0.10065972222222222</v>
      </c>
      <c r="Y39" s="26">
        <v>0.10991898148148148</v>
      </c>
      <c r="Z39" s="27">
        <v>113.03760416666667</v>
      </c>
      <c r="AA39" s="27">
        <v>100.15200231481481</v>
      </c>
      <c r="AB39" s="27">
        <v>102.47120370370371</v>
      </c>
      <c r="AC39" s="27">
        <v>90.287604166666668</v>
      </c>
      <c r="AD39" s="27">
        <v>187.05959490740742</v>
      </c>
      <c r="AE39" s="27">
        <v>169.24439814814815</v>
      </c>
      <c r="AF39" s="27">
        <v>172.49439814814815</v>
      </c>
      <c r="AG39" s="27">
        <v>155.20959490740742</v>
      </c>
    </row>
    <row r="40" spans="1:33" x14ac:dyDescent="0.25">
      <c r="A40" s="17">
        <v>46</v>
      </c>
      <c r="B40" s="26">
        <v>8.819444444444444E-3</v>
      </c>
      <c r="C40" s="26">
        <v>9.5949074074074079E-3</v>
      </c>
      <c r="D40" s="26">
        <v>9.4560185185185181E-3</v>
      </c>
      <c r="E40" s="26">
        <v>1.03125E-2</v>
      </c>
      <c r="F40" s="26">
        <v>1.3275462962962963E-2</v>
      </c>
      <c r="G40" s="26">
        <v>1.4444444444444444E-2</v>
      </c>
      <c r="H40" s="26">
        <v>1.4236111111111111E-2</v>
      </c>
      <c r="I40" s="26">
        <v>1.5520833333333333E-2</v>
      </c>
      <c r="J40" s="26">
        <v>2.2268518518518517E-2</v>
      </c>
      <c r="K40" s="26">
        <v>2.4247685185185185E-2</v>
      </c>
      <c r="L40" s="26">
        <v>2.388888888888889E-2</v>
      </c>
      <c r="M40" s="26">
        <v>2.6053240740740741E-2</v>
      </c>
      <c r="N40" s="26">
        <v>2.6817129629629628E-2</v>
      </c>
      <c r="O40" s="26">
        <v>2.9189814814814814E-2</v>
      </c>
      <c r="P40" s="26">
        <v>2.8773148148148148E-2</v>
      </c>
      <c r="Q40" s="26">
        <v>3.1377314814814816E-2</v>
      </c>
      <c r="R40" s="26">
        <v>4.5347222222222219E-2</v>
      </c>
      <c r="S40" s="26">
        <v>4.9363425925925929E-2</v>
      </c>
      <c r="T40" s="26">
        <v>4.8645833333333333E-2</v>
      </c>
      <c r="U40" s="26">
        <v>5.3043981481481484E-2</v>
      </c>
      <c r="V40" s="26">
        <v>9.4108796296296301E-2</v>
      </c>
      <c r="W40" s="26">
        <v>0.10244212962962963</v>
      </c>
      <c r="X40" s="26">
        <v>0.10094907407407408</v>
      </c>
      <c r="Y40" s="26">
        <v>0.11008101851851852</v>
      </c>
      <c r="Z40" s="27">
        <v>112.42920138888888</v>
      </c>
      <c r="AA40" s="27">
        <v>99.829594907407412</v>
      </c>
      <c r="AB40" s="27">
        <v>101.91480324074074</v>
      </c>
      <c r="AC40" s="27">
        <v>90.001597222222216</v>
      </c>
      <c r="AD40" s="27">
        <v>185.85319444444445</v>
      </c>
      <c r="AE40" s="27">
        <v>168.47480324074073</v>
      </c>
      <c r="AF40" s="27">
        <v>171.38680555555555</v>
      </c>
      <c r="AG40" s="27">
        <v>154.52319444444444</v>
      </c>
    </row>
    <row r="41" spans="1:33" x14ac:dyDescent="0.25">
      <c r="A41" s="17">
        <v>47</v>
      </c>
      <c r="B41" s="26">
        <v>8.8425925925925929E-3</v>
      </c>
      <c r="C41" s="26">
        <v>9.6064814814814815E-3</v>
      </c>
      <c r="D41" s="26">
        <v>9.479166666666667E-3</v>
      </c>
      <c r="E41" s="26">
        <v>1.0324074074074074E-2</v>
      </c>
      <c r="F41" s="26">
        <v>1.3310185185185185E-2</v>
      </c>
      <c r="G41" s="26">
        <v>1.4456018518518519E-2</v>
      </c>
      <c r="H41" s="26">
        <v>1.4270833333333333E-2</v>
      </c>
      <c r="I41" s="26">
        <v>1.5543981481481482E-2</v>
      </c>
      <c r="J41" s="26">
        <v>2.2337962962962962E-2</v>
      </c>
      <c r="K41" s="26">
        <v>2.4270833333333332E-2</v>
      </c>
      <c r="L41" s="26">
        <v>2.3958333333333335E-2</v>
      </c>
      <c r="M41" s="26">
        <v>2.6087962962962962E-2</v>
      </c>
      <c r="N41" s="26">
        <v>2.6898148148148147E-2</v>
      </c>
      <c r="O41" s="26">
        <v>2.9236111111111112E-2</v>
      </c>
      <c r="P41" s="26">
        <v>2.8854166666666667E-2</v>
      </c>
      <c r="Q41" s="26">
        <v>3.1412037037037037E-2</v>
      </c>
      <c r="R41" s="26">
        <v>4.5486111111111109E-2</v>
      </c>
      <c r="S41" s="26">
        <v>4.943287037037037E-2</v>
      </c>
      <c r="T41" s="26">
        <v>4.8796296296296296E-2</v>
      </c>
      <c r="U41" s="26">
        <v>5.3113425925925925E-2</v>
      </c>
      <c r="V41" s="26">
        <v>9.4398148148148148E-2</v>
      </c>
      <c r="W41" s="26">
        <v>0.1025925925925926</v>
      </c>
      <c r="X41" s="26">
        <v>0.10127314814814815</v>
      </c>
      <c r="Y41" s="26">
        <v>0.11025462962962963</v>
      </c>
      <c r="Z41" s="27">
        <v>111.77400462962963</v>
      </c>
      <c r="AA41" s="27">
        <v>99.470798611111107</v>
      </c>
      <c r="AB41" s="27">
        <v>101.31680555555556</v>
      </c>
      <c r="AC41" s="27">
        <v>89.684398148148148</v>
      </c>
      <c r="AD41" s="27">
        <v>184.55840277777779</v>
      </c>
      <c r="AE41" s="27">
        <v>167.63239583333333</v>
      </c>
      <c r="AF41" s="27">
        <v>170.20640046296296</v>
      </c>
      <c r="AG41" s="27">
        <v>153.77439814814815</v>
      </c>
    </row>
    <row r="42" spans="1:33" x14ac:dyDescent="0.25">
      <c r="A42" s="17">
        <v>48</v>
      </c>
      <c r="B42" s="26">
        <v>8.86574074074074E-3</v>
      </c>
      <c r="C42" s="26">
        <v>9.618055555555555E-3</v>
      </c>
      <c r="D42" s="26">
        <v>9.5138888888888894E-3</v>
      </c>
      <c r="E42" s="26">
        <v>1.0335648148148148E-2</v>
      </c>
      <c r="F42" s="26">
        <v>1.3344907407407408E-2</v>
      </c>
      <c r="G42" s="26">
        <v>1.4479166666666666E-2</v>
      </c>
      <c r="H42" s="26">
        <v>1.4317129629629629E-2</v>
      </c>
      <c r="I42" s="26">
        <v>1.5555555555555555E-2</v>
      </c>
      <c r="J42" s="26">
        <v>2.2395833333333334E-2</v>
      </c>
      <c r="K42" s="26">
        <v>2.4305555555555556E-2</v>
      </c>
      <c r="L42" s="26">
        <v>2.4027777777777776E-2</v>
      </c>
      <c r="M42" s="26">
        <v>2.6122685185185186E-2</v>
      </c>
      <c r="N42" s="26">
        <v>2.6979166666666665E-2</v>
      </c>
      <c r="O42" s="26">
        <v>2.9270833333333333E-2</v>
      </c>
      <c r="P42" s="26">
        <v>2.8946759259259259E-2</v>
      </c>
      <c r="Q42" s="26">
        <v>3.1458333333333331E-2</v>
      </c>
      <c r="R42" s="26">
        <v>4.5624999999999999E-2</v>
      </c>
      <c r="S42" s="26">
        <v>4.9502314814814811E-2</v>
      </c>
      <c r="T42" s="26">
        <v>4.8946759259259259E-2</v>
      </c>
      <c r="U42" s="26">
        <v>5.3194444444444447E-2</v>
      </c>
      <c r="V42" s="26">
        <v>9.4710648148148155E-2</v>
      </c>
      <c r="W42" s="26">
        <v>0.10277777777777777</v>
      </c>
      <c r="X42" s="26">
        <v>0.10162037037037037</v>
      </c>
      <c r="Y42" s="26">
        <v>0.11043981481481481</v>
      </c>
      <c r="Z42" s="27">
        <v>111.08239583333334</v>
      </c>
      <c r="AA42" s="27">
        <v>99.080798611111106</v>
      </c>
      <c r="AB42" s="27">
        <v>100.68239583333333</v>
      </c>
      <c r="AC42" s="27">
        <v>89.33599537037037</v>
      </c>
      <c r="AD42" s="27">
        <v>183.18560185185186</v>
      </c>
      <c r="AE42" s="27">
        <v>166.72239583333334</v>
      </c>
      <c r="AF42" s="27">
        <v>168.94799768518519</v>
      </c>
      <c r="AG42" s="27">
        <v>152.95799768518518</v>
      </c>
    </row>
    <row r="43" spans="1:33" x14ac:dyDescent="0.25">
      <c r="A43" s="17">
        <v>49</v>
      </c>
      <c r="B43" s="26">
        <v>8.8888888888888889E-3</v>
      </c>
      <c r="C43" s="26">
        <v>9.6296296296296303E-3</v>
      </c>
      <c r="D43" s="26">
        <v>9.5370370370370366E-3</v>
      </c>
      <c r="E43" s="26">
        <v>1.0347222222222223E-2</v>
      </c>
      <c r="F43" s="26">
        <v>1.3391203703703704E-2</v>
      </c>
      <c r="G43" s="26">
        <v>1.4502314814814815E-2</v>
      </c>
      <c r="H43" s="26">
        <v>1.4363425925925925E-2</v>
      </c>
      <c r="I43" s="26">
        <v>1.5578703703703704E-2</v>
      </c>
      <c r="J43" s="26">
        <v>2.2476851851851852E-2</v>
      </c>
      <c r="K43" s="26">
        <v>2.4340277777777777E-2</v>
      </c>
      <c r="L43" s="26">
        <v>2.4108796296296295E-2</v>
      </c>
      <c r="M43" s="26">
        <v>2.6157407407407407E-2</v>
      </c>
      <c r="N43" s="26">
        <v>2.7071759259259261E-2</v>
      </c>
      <c r="O43" s="26">
        <v>2.931712962962963E-2</v>
      </c>
      <c r="P43" s="26">
        <v>2.9039351851851851E-2</v>
      </c>
      <c r="Q43" s="26">
        <v>3.1516203703703706E-2</v>
      </c>
      <c r="R43" s="26">
        <v>4.5775462962962962E-2</v>
      </c>
      <c r="S43" s="26">
        <v>4.9583333333333333E-2</v>
      </c>
      <c r="T43" s="26">
        <v>4.9108796296296296E-2</v>
      </c>
      <c r="U43" s="26">
        <v>5.3287037037037036E-2</v>
      </c>
      <c r="V43" s="26">
        <v>9.5046296296296295E-2</v>
      </c>
      <c r="W43" s="26">
        <v>0.10297453703703703</v>
      </c>
      <c r="X43" s="26">
        <v>0.10197916666666666</v>
      </c>
      <c r="Y43" s="26">
        <v>0.1106712962962963</v>
      </c>
      <c r="Z43" s="27">
        <v>110.34920138888889</v>
      </c>
      <c r="AA43" s="27">
        <v>98.654398148148147</v>
      </c>
      <c r="AB43" s="27">
        <v>100.01159722222222</v>
      </c>
      <c r="AC43" s="27">
        <v>88.945995370370369</v>
      </c>
      <c r="AD43" s="27">
        <v>181.7295949074074</v>
      </c>
      <c r="AE43" s="27">
        <v>165.73439814814816</v>
      </c>
      <c r="AF43" s="27">
        <v>167.62200231481481</v>
      </c>
      <c r="AG43" s="27">
        <v>152.06879629629628</v>
      </c>
    </row>
    <row r="44" spans="1:33" x14ac:dyDescent="0.25">
      <c r="A44" s="17">
        <v>50</v>
      </c>
      <c r="B44" s="26">
        <v>8.9236111111111113E-3</v>
      </c>
      <c r="C44" s="26">
        <v>9.6527777777777775E-3</v>
      </c>
      <c r="D44" s="26">
        <v>9.571759259259259E-3</v>
      </c>
      <c r="E44" s="26">
        <v>1.037037037037037E-2</v>
      </c>
      <c r="F44" s="26">
        <v>1.34375E-2</v>
      </c>
      <c r="G44" s="26">
        <v>1.4525462962962962E-2</v>
      </c>
      <c r="H44" s="26">
        <v>1.4409722222222223E-2</v>
      </c>
      <c r="I44" s="26">
        <v>1.5613425925925926E-2</v>
      </c>
      <c r="J44" s="26">
        <v>2.2546296296296297E-2</v>
      </c>
      <c r="K44" s="26">
        <v>2.4386574074074074E-2</v>
      </c>
      <c r="L44" s="26">
        <v>2.4189814814814813E-2</v>
      </c>
      <c r="M44" s="26">
        <v>2.6215277777777778E-2</v>
      </c>
      <c r="N44" s="26">
        <v>2.7152777777777779E-2</v>
      </c>
      <c r="O44" s="26">
        <v>2.9374999999999998E-2</v>
      </c>
      <c r="P44" s="26">
        <v>2.914351851851852E-2</v>
      </c>
      <c r="Q44" s="26">
        <v>3.15625E-2</v>
      </c>
      <c r="R44" s="26">
        <v>4.5925925925925926E-2</v>
      </c>
      <c r="S44" s="26">
        <v>4.9687500000000002E-2</v>
      </c>
      <c r="T44" s="26">
        <v>4.9282407407407407E-2</v>
      </c>
      <c r="U44" s="26">
        <v>5.3391203703703705E-2</v>
      </c>
      <c r="V44" s="26">
        <v>9.5405092592592597E-2</v>
      </c>
      <c r="W44" s="26">
        <v>0.10319444444444445</v>
      </c>
      <c r="X44" s="26">
        <v>0.10237268518518519</v>
      </c>
      <c r="Y44" s="26">
        <v>0.11091435185185185</v>
      </c>
      <c r="Z44" s="27">
        <v>109.57439814814815</v>
      </c>
      <c r="AA44" s="27">
        <v>98.175995370370373</v>
      </c>
      <c r="AB44" s="27">
        <v>99.309594907407401</v>
      </c>
      <c r="AC44" s="27">
        <v>88.524803240740738</v>
      </c>
      <c r="AD44" s="27">
        <v>180.20599537037037</v>
      </c>
      <c r="AE44" s="27">
        <v>164.66319444444446</v>
      </c>
      <c r="AF44" s="27">
        <v>166.22319444444443</v>
      </c>
      <c r="AG44" s="27">
        <v>151.10680555555555</v>
      </c>
    </row>
    <row r="45" spans="1:33" x14ac:dyDescent="0.25">
      <c r="A45" s="17">
        <v>51</v>
      </c>
      <c r="B45" s="26">
        <v>8.9467592592592585E-3</v>
      </c>
      <c r="C45" s="26">
        <v>9.6759259259259264E-3</v>
      </c>
      <c r="D45" s="26">
        <v>9.6064814814814815E-3</v>
      </c>
      <c r="E45" s="26">
        <v>1.0393518518518519E-2</v>
      </c>
      <c r="F45" s="26">
        <v>1.3472222222222222E-2</v>
      </c>
      <c r="G45" s="26">
        <v>1.4560185185185185E-2</v>
      </c>
      <c r="H45" s="26">
        <v>1.4456018518518519E-2</v>
      </c>
      <c r="I45" s="26">
        <v>1.5648148148148147E-2</v>
      </c>
      <c r="J45" s="26">
        <v>2.2627314814814815E-2</v>
      </c>
      <c r="K45" s="26">
        <v>2.4444444444444446E-2</v>
      </c>
      <c r="L45" s="26">
        <v>2.4282407407407409E-2</v>
      </c>
      <c r="M45" s="26">
        <v>2.6261574074074073E-2</v>
      </c>
      <c r="N45" s="26">
        <v>2.7245370370370371E-2</v>
      </c>
      <c r="O45" s="26">
        <v>2.943287037037037E-2</v>
      </c>
      <c r="P45" s="26">
        <v>2.9247685185185186E-2</v>
      </c>
      <c r="Q45" s="26">
        <v>3.1631944444444442E-2</v>
      </c>
      <c r="R45" s="26">
        <v>4.6099537037037036E-2</v>
      </c>
      <c r="S45" s="26">
        <v>4.9791666666666665E-2</v>
      </c>
      <c r="T45" s="26">
        <v>4.9467592592592591E-2</v>
      </c>
      <c r="U45" s="26">
        <v>5.3506944444444447E-2</v>
      </c>
      <c r="V45" s="26">
        <v>9.5775462962962965E-2</v>
      </c>
      <c r="W45" s="26">
        <v>0.10346064814814815</v>
      </c>
      <c r="X45" s="26">
        <v>0.10277777777777777</v>
      </c>
      <c r="Y45" s="26">
        <v>0.11119212962962963</v>
      </c>
      <c r="Z45" s="27">
        <v>108.76840277777778</v>
      </c>
      <c r="AA45" s="27">
        <v>97.655995370370377</v>
      </c>
      <c r="AB45" s="27">
        <v>98.565995370370374</v>
      </c>
      <c r="AC45" s="27">
        <v>88.056805555555556</v>
      </c>
      <c r="AD45" s="27">
        <v>178.6095949074074</v>
      </c>
      <c r="AE45" s="27">
        <v>163.50359953703705</v>
      </c>
      <c r="AF45" s="27">
        <v>164.76200231481482</v>
      </c>
      <c r="AG45" s="27">
        <v>150.06680555555556</v>
      </c>
    </row>
    <row r="46" spans="1:33" x14ac:dyDescent="0.25">
      <c r="A46" s="17">
        <v>52</v>
      </c>
      <c r="B46" s="26">
        <v>8.9814814814814809E-3</v>
      </c>
      <c r="C46" s="26">
        <v>9.6874999999999999E-3</v>
      </c>
      <c r="D46" s="26">
        <v>9.6412037037037039E-3</v>
      </c>
      <c r="E46" s="26">
        <v>1.0416666666666666E-2</v>
      </c>
      <c r="F46" s="26">
        <v>1.3551203675013199E-2</v>
      </c>
      <c r="G46" s="26">
        <v>1.4583333333333334E-2</v>
      </c>
      <c r="H46" s="26">
        <v>1.4513888888888889E-2</v>
      </c>
      <c r="I46" s="26">
        <v>1.5682870370370371E-2</v>
      </c>
      <c r="J46" s="26">
        <v>2.2708333333333334E-2</v>
      </c>
      <c r="K46" s="26">
        <v>2.449074074074074E-2</v>
      </c>
      <c r="L46" s="26">
        <v>2.4375000000000001E-2</v>
      </c>
      <c r="M46" s="26">
        <v>2.6331018518518517E-2</v>
      </c>
      <c r="N46" s="26">
        <v>2.7349537037037037E-2</v>
      </c>
      <c r="O46" s="26">
        <v>2.9502314814814815E-2</v>
      </c>
      <c r="P46" s="26">
        <v>2.9351851851851851E-2</v>
      </c>
      <c r="Q46" s="26">
        <v>3.1712962962962964E-2</v>
      </c>
      <c r="R46" s="26">
        <v>4.6273148148148147E-2</v>
      </c>
      <c r="S46" s="26">
        <v>4.9918981481481481E-2</v>
      </c>
      <c r="T46" s="26">
        <v>4.9664351851851848E-2</v>
      </c>
      <c r="U46" s="26">
        <v>5.364583333333333E-2</v>
      </c>
      <c r="V46" s="26">
        <v>9.616898148148148E-2</v>
      </c>
      <c r="W46" s="26">
        <v>0.10375</v>
      </c>
      <c r="X46" s="26">
        <v>0.1032175925925926</v>
      </c>
      <c r="Y46" s="26">
        <v>0.1115162037037037</v>
      </c>
      <c r="Z46" s="27">
        <v>107.92079861111111</v>
      </c>
      <c r="AA46" s="27">
        <v>97.089201388888895</v>
      </c>
      <c r="AB46" s="27">
        <v>97.796400462962964</v>
      </c>
      <c r="AC46" s="27">
        <v>87.542002314814809</v>
      </c>
      <c r="AD46" s="27">
        <v>176.94040509259258</v>
      </c>
      <c r="AE46" s="27">
        <v>162.26079861111111</v>
      </c>
      <c r="AF46" s="27">
        <v>163.23319444444445</v>
      </c>
      <c r="AG46" s="27">
        <v>148.94359953703704</v>
      </c>
    </row>
    <row r="47" spans="1:33" x14ac:dyDescent="0.25">
      <c r="A47" s="17">
        <v>53</v>
      </c>
      <c r="B47" s="26">
        <v>9.0162037037037034E-3</v>
      </c>
      <c r="C47" s="26">
        <v>9.7222222222222224E-3</v>
      </c>
      <c r="D47" s="26">
        <v>9.6759259259259264E-3</v>
      </c>
      <c r="E47" s="26">
        <v>1.0439814814814815E-2</v>
      </c>
      <c r="F47" s="26">
        <v>1.357638888888889E-2</v>
      </c>
      <c r="G47" s="26">
        <v>1.462962962962963E-2</v>
      </c>
      <c r="H47" s="26">
        <v>1.457175925925926E-2</v>
      </c>
      <c r="I47" s="26">
        <v>1.5717592592592592E-2</v>
      </c>
      <c r="J47" s="26">
        <v>2.2800925925925926E-2</v>
      </c>
      <c r="K47" s="26">
        <v>2.4560185185185185E-2</v>
      </c>
      <c r="L47" s="26">
        <v>2.4467592592592593E-2</v>
      </c>
      <c r="M47" s="26">
        <v>2.6400462962962962E-2</v>
      </c>
      <c r="N47" s="26">
        <v>2.7465277777777779E-2</v>
      </c>
      <c r="O47" s="26">
        <v>2.9583333333333333E-2</v>
      </c>
      <c r="P47" s="26">
        <v>2.9467592592592594E-2</v>
      </c>
      <c r="Q47" s="26">
        <v>3.1805555555555552E-2</v>
      </c>
      <c r="R47" s="26">
        <v>4.6458333333333331E-2</v>
      </c>
      <c r="S47" s="26">
        <v>5.0057870370370371E-2</v>
      </c>
      <c r="T47" s="26">
        <v>4.9861111111111113E-2</v>
      </c>
      <c r="U47" s="26">
        <v>5.3796296296296293E-2</v>
      </c>
      <c r="V47" s="26">
        <v>9.6597222222222223E-2</v>
      </c>
      <c r="W47" s="26">
        <v>0.10407407407407407</v>
      </c>
      <c r="X47" s="26">
        <v>0.10368055555555555</v>
      </c>
      <c r="Y47" s="26">
        <v>0.111875</v>
      </c>
      <c r="Z47" s="27">
        <v>107.04200231481481</v>
      </c>
      <c r="AA47" s="27">
        <v>96.465196759259257</v>
      </c>
      <c r="AB47" s="27">
        <v>96.990405092592596</v>
      </c>
      <c r="AC47" s="27">
        <v>86.975196759259262</v>
      </c>
      <c r="AD47" s="27">
        <v>175.20359953703704</v>
      </c>
      <c r="AE47" s="27">
        <v>160.92439814814816</v>
      </c>
      <c r="AF47" s="27">
        <v>161.64200231481482</v>
      </c>
      <c r="AG47" s="27">
        <v>147.73200231481482</v>
      </c>
    </row>
    <row r="48" spans="1:33" x14ac:dyDescent="0.25">
      <c r="A48" s="17">
        <v>54</v>
      </c>
      <c r="B48" s="26">
        <v>9.0509259259259258E-3</v>
      </c>
      <c r="C48" s="26">
        <v>9.7453703703703695E-3</v>
      </c>
      <c r="D48" s="26">
        <v>9.7222222222222224E-3</v>
      </c>
      <c r="E48" s="26">
        <v>1.0474537037037037E-2</v>
      </c>
      <c r="F48" s="26">
        <v>1.3634259259259259E-2</v>
      </c>
      <c r="G48" s="26">
        <v>1.4675925925925926E-2</v>
      </c>
      <c r="H48" s="26">
        <v>1.462962962962963E-2</v>
      </c>
      <c r="I48" s="26">
        <v>1.5775462962962963E-2</v>
      </c>
      <c r="J48" s="26">
        <v>2.2893518518518518E-2</v>
      </c>
      <c r="K48" s="26">
        <v>2.462962962962963E-2</v>
      </c>
      <c r="L48" s="26">
        <v>2.4571759259259258E-2</v>
      </c>
      <c r="M48" s="26">
        <v>2.6481481481481481E-2</v>
      </c>
      <c r="N48" s="26">
        <v>2.7569444444444445E-2</v>
      </c>
      <c r="O48" s="26">
        <v>2.9675925925925925E-2</v>
      </c>
      <c r="P48" s="26">
        <v>2.9594907407407407E-2</v>
      </c>
      <c r="Q48" s="26">
        <v>3.1898148148148148E-2</v>
      </c>
      <c r="R48" s="26">
        <v>4.6655092592592595E-2</v>
      </c>
      <c r="S48" s="26">
        <v>5.0208333333333334E-2</v>
      </c>
      <c r="T48" s="26">
        <v>5.0081018518518518E-2</v>
      </c>
      <c r="U48" s="26">
        <v>5.3981481481481484E-2</v>
      </c>
      <c r="V48" s="26">
        <v>9.7037037037037033E-2</v>
      </c>
      <c r="W48" s="26">
        <v>0.10444444444444445</v>
      </c>
      <c r="X48" s="26">
        <v>0.10416666666666667</v>
      </c>
      <c r="Y48" s="26">
        <v>0.1122800925925926</v>
      </c>
      <c r="Z48" s="27">
        <v>106.12680555555555</v>
      </c>
      <c r="AA48" s="27">
        <v>95.789201388888884</v>
      </c>
      <c r="AB48" s="27">
        <v>96.153194444444438</v>
      </c>
      <c r="AC48" s="27">
        <v>86.361597222222215</v>
      </c>
      <c r="AD48" s="27">
        <v>173.39920138888888</v>
      </c>
      <c r="AE48" s="27">
        <v>159.48920138888889</v>
      </c>
      <c r="AF48" s="27">
        <v>159.99359953703703</v>
      </c>
      <c r="AG48" s="27">
        <v>146.43200231481481</v>
      </c>
    </row>
    <row r="49" spans="1:33" x14ac:dyDescent="0.25">
      <c r="A49" s="17">
        <v>55</v>
      </c>
      <c r="B49" s="26">
        <v>9.0972222222222218E-3</v>
      </c>
      <c r="C49" s="26">
        <v>9.780092592592592E-3</v>
      </c>
      <c r="D49" s="26">
        <v>9.7569444444444448E-3</v>
      </c>
      <c r="E49" s="26">
        <v>1.050925925925926E-2</v>
      </c>
      <c r="F49" s="26">
        <v>1.369212962962963E-2</v>
      </c>
      <c r="G49" s="26">
        <v>1.4722222222222222E-2</v>
      </c>
      <c r="H49" s="26">
        <v>1.4699074074074074E-2</v>
      </c>
      <c r="I49" s="26">
        <v>1.5821759259259258E-2</v>
      </c>
      <c r="J49" s="26">
        <v>2.298611111111111E-2</v>
      </c>
      <c r="K49" s="26">
        <v>2.4722222222222222E-2</v>
      </c>
      <c r="L49" s="26">
        <v>2.4675925925925928E-2</v>
      </c>
      <c r="M49" s="26">
        <v>2.6574074074074073E-2</v>
      </c>
      <c r="N49" s="26">
        <v>2.7685185185185184E-2</v>
      </c>
      <c r="O49" s="26">
        <v>2.9768518518518517E-2</v>
      </c>
      <c r="P49" s="26">
        <v>2.9722222222222223E-2</v>
      </c>
      <c r="Q49" s="26">
        <v>3.2002314814814817E-2</v>
      </c>
      <c r="R49" s="26">
        <v>4.6863425925925926E-2</v>
      </c>
      <c r="S49" s="26">
        <v>5.0393518518518518E-2</v>
      </c>
      <c r="T49" s="26">
        <v>5.0300925925925923E-2</v>
      </c>
      <c r="U49" s="26">
        <v>5.4166666666666669E-2</v>
      </c>
      <c r="V49" s="26">
        <v>9.7500000000000003E-2</v>
      </c>
      <c r="W49" s="26">
        <v>0.10486111111111111</v>
      </c>
      <c r="X49" s="26">
        <v>0.10466435185185186</v>
      </c>
      <c r="Y49" s="26">
        <v>0.11273148148148149</v>
      </c>
      <c r="Z49" s="27">
        <v>105.17519675925926</v>
      </c>
      <c r="AA49" s="27">
        <v>95.050798611111105</v>
      </c>
      <c r="AB49" s="27">
        <v>95.29</v>
      </c>
      <c r="AC49" s="27">
        <v>85.690798611111106</v>
      </c>
      <c r="AD49" s="27">
        <v>171.53239583333334</v>
      </c>
      <c r="AE49" s="27">
        <v>157.95519675925925</v>
      </c>
      <c r="AF49" s="27">
        <v>158.28280092592593</v>
      </c>
      <c r="AG49" s="27">
        <v>145.03840277777778</v>
      </c>
    </row>
    <row r="50" spans="1:33" x14ac:dyDescent="0.25">
      <c r="A50" s="17">
        <v>56</v>
      </c>
      <c r="B50" s="26">
        <v>9.1319444444444443E-3</v>
      </c>
      <c r="C50" s="26">
        <v>9.8148148148148144E-3</v>
      </c>
      <c r="D50" s="26">
        <v>9.8032407407407408E-3</v>
      </c>
      <c r="E50" s="26">
        <v>1.0555555555555556E-2</v>
      </c>
      <c r="F50" s="26">
        <v>1.375E-2</v>
      </c>
      <c r="G50" s="26">
        <v>1.4768518518518519E-2</v>
      </c>
      <c r="H50" s="26">
        <v>1.4756944444444444E-2</v>
      </c>
      <c r="I50" s="26">
        <v>1.5879629629629629E-2</v>
      </c>
      <c r="J50" s="26">
        <v>2.3090277777777779E-2</v>
      </c>
      <c r="K50" s="26">
        <v>2.4814814814814814E-2</v>
      </c>
      <c r="L50" s="26">
        <v>2.4780092592592593E-2</v>
      </c>
      <c r="M50" s="26">
        <v>2.6666666666666668E-2</v>
      </c>
      <c r="N50" s="26">
        <v>2.78125E-2</v>
      </c>
      <c r="O50" s="26">
        <v>2.988425925925926E-2</v>
      </c>
      <c r="P50" s="26">
        <v>2.9861111111111113E-2</v>
      </c>
      <c r="Q50" s="26">
        <v>3.2129629629629633E-2</v>
      </c>
      <c r="R50" s="26">
        <v>4.7083333333333331E-2</v>
      </c>
      <c r="S50" s="26">
        <v>5.0590277777777776E-2</v>
      </c>
      <c r="T50" s="26">
        <v>5.0543981481481481E-2</v>
      </c>
      <c r="U50" s="26">
        <v>5.4386574074074073E-2</v>
      </c>
      <c r="V50" s="26">
        <v>9.7986111111111107E-2</v>
      </c>
      <c r="W50" s="26">
        <v>0.1053125</v>
      </c>
      <c r="X50" s="26">
        <v>0.10519675925925925</v>
      </c>
      <c r="Y50" s="26">
        <v>0.11322916666666667</v>
      </c>
      <c r="Z50" s="27">
        <v>104.19760416666666</v>
      </c>
      <c r="AA50" s="27">
        <v>94.25</v>
      </c>
      <c r="AB50" s="27">
        <v>94.390405092592587</v>
      </c>
      <c r="AC50" s="27">
        <v>84.962800925925933</v>
      </c>
      <c r="AD50" s="27">
        <v>169.60840277777777</v>
      </c>
      <c r="AE50" s="27">
        <v>156.32239583333333</v>
      </c>
      <c r="AF50" s="27">
        <v>156.51480324074075</v>
      </c>
      <c r="AG50" s="27">
        <v>143.54599537037038</v>
      </c>
    </row>
    <row r="51" spans="1:33" x14ac:dyDescent="0.25">
      <c r="A51" s="17">
        <v>57</v>
      </c>
      <c r="B51" s="26">
        <v>9.1666666666666667E-3</v>
      </c>
      <c r="C51" s="26">
        <v>9.8611111111111104E-3</v>
      </c>
      <c r="D51" s="26">
        <v>9.8495370370370369E-3</v>
      </c>
      <c r="E51" s="26">
        <v>1.0590277777777778E-2</v>
      </c>
      <c r="F51" s="26">
        <v>1.380787037037037E-2</v>
      </c>
      <c r="G51" s="26">
        <v>1.4837962962962963E-2</v>
      </c>
      <c r="H51" s="26">
        <v>1.4826388888888889E-2</v>
      </c>
      <c r="I51" s="26">
        <v>1.5949074074074074E-2</v>
      </c>
      <c r="J51" s="26">
        <v>2.3194444444444445E-2</v>
      </c>
      <c r="K51" s="26">
        <v>2.4918981481481483E-2</v>
      </c>
      <c r="L51" s="26">
        <v>2.4895833333333332E-2</v>
      </c>
      <c r="M51" s="26">
        <v>2.6793981481481481E-2</v>
      </c>
      <c r="N51" s="26">
        <v>2.7939814814814813E-2</v>
      </c>
      <c r="O51" s="26">
        <v>3.0011574074074072E-2</v>
      </c>
      <c r="P51" s="26">
        <v>0.03</v>
      </c>
      <c r="Q51" s="26">
        <v>3.2268518518518516E-2</v>
      </c>
      <c r="R51" s="26">
        <v>4.7303240740740743E-2</v>
      </c>
      <c r="S51" s="26">
        <v>5.0821759259259261E-2</v>
      </c>
      <c r="T51" s="26">
        <v>5.078703703703704E-2</v>
      </c>
      <c r="U51" s="26">
        <v>5.4629629629629632E-2</v>
      </c>
      <c r="V51" s="26">
        <v>9.8495370370370372E-2</v>
      </c>
      <c r="W51" s="26">
        <v>0.10583333333333333</v>
      </c>
      <c r="X51" s="26">
        <v>0.10575231481481481</v>
      </c>
      <c r="Y51" s="26">
        <v>0.11378472222222222</v>
      </c>
      <c r="Z51" s="27">
        <v>103.18359953703704</v>
      </c>
      <c r="AA51" s="27">
        <v>93.381597222222226</v>
      </c>
      <c r="AB51" s="27">
        <v>93.464803240740736</v>
      </c>
      <c r="AC51" s="27">
        <v>84.17239583333334</v>
      </c>
      <c r="AD51" s="27">
        <v>167.61680555555554</v>
      </c>
      <c r="AE51" s="27">
        <v>154.5804050925926</v>
      </c>
      <c r="AF51" s="27">
        <v>154.69480324074075</v>
      </c>
      <c r="AG51" s="27">
        <v>141.96</v>
      </c>
    </row>
    <row r="52" spans="1:33" x14ac:dyDescent="0.25">
      <c r="A52" s="17">
        <v>58</v>
      </c>
      <c r="B52" s="26">
        <v>9.2129629629629627E-3</v>
      </c>
      <c r="C52" s="26">
        <v>9.8958333333333329E-3</v>
      </c>
      <c r="D52" s="26">
        <v>9.8958333333333329E-3</v>
      </c>
      <c r="E52" s="26">
        <v>1.0648148148148148E-2</v>
      </c>
      <c r="F52" s="26">
        <v>1.3877314814814815E-2</v>
      </c>
      <c r="G52" s="26">
        <v>1.4907407407407407E-2</v>
      </c>
      <c r="H52" s="26">
        <v>1.4895833333333334E-2</v>
      </c>
      <c r="I52" s="26">
        <v>1.6030092592592592E-2</v>
      </c>
      <c r="J52" s="26">
        <v>2.3310185185185184E-2</v>
      </c>
      <c r="K52" s="26">
        <v>2.5034722222222222E-2</v>
      </c>
      <c r="L52" s="26">
        <v>2.5023148148148149E-2</v>
      </c>
      <c r="M52" s="26">
        <v>2.6921296296296297E-2</v>
      </c>
      <c r="N52" s="26">
        <v>2.8067129629629629E-2</v>
      </c>
      <c r="O52" s="26">
        <v>3.0162037037037036E-2</v>
      </c>
      <c r="P52" s="26">
        <v>3.0138888888888889E-2</v>
      </c>
      <c r="Q52" s="26">
        <v>3.2430555555555553E-2</v>
      </c>
      <c r="R52" s="26">
        <v>4.7534722222222221E-2</v>
      </c>
      <c r="S52" s="26">
        <v>5.1064814814814813E-2</v>
      </c>
      <c r="T52" s="26">
        <v>5.1041666666666666E-2</v>
      </c>
      <c r="U52" s="26">
        <v>5.4907407407407405E-2</v>
      </c>
      <c r="V52" s="26">
        <v>9.9027777777777784E-2</v>
      </c>
      <c r="W52" s="26">
        <v>0.10638888888888889</v>
      </c>
      <c r="X52" s="26">
        <v>0.10634259259259259</v>
      </c>
      <c r="Y52" s="26">
        <v>0.11440972222222222</v>
      </c>
      <c r="Z52" s="27">
        <v>102.13840277777778</v>
      </c>
      <c r="AA52" s="27">
        <v>92.450798611111111</v>
      </c>
      <c r="AB52" s="27">
        <v>92.513194444444451</v>
      </c>
      <c r="AC52" s="27">
        <v>83.324803240740735</v>
      </c>
      <c r="AD52" s="27">
        <v>165.57319444444445</v>
      </c>
      <c r="AE52" s="27">
        <v>152.73439814814816</v>
      </c>
      <c r="AF52" s="27">
        <v>152.81760416666665</v>
      </c>
      <c r="AG52" s="27">
        <v>140.26480324074075</v>
      </c>
    </row>
    <row r="53" spans="1:33" x14ac:dyDescent="0.25">
      <c r="A53" s="17">
        <v>59</v>
      </c>
      <c r="B53" s="26">
        <v>9.2592592592592587E-3</v>
      </c>
      <c r="C53" s="26">
        <v>9.9537037037037042E-3</v>
      </c>
      <c r="D53" s="26">
        <v>9.9421296296296289E-3</v>
      </c>
      <c r="E53" s="26">
        <v>1.0694444444444444E-2</v>
      </c>
      <c r="F53" s="26">
        <v>1.3946759259259259E-2</v>
      </c>
      <c r="G53" s="26">
        <v>1.4988425925925926E-2</v>
      </c>
      <c r="H53" s="26">
        <v>1.4976851851851852E-2</v>
      </c>
      <c r="I53" s="26">
        <v>1.6111111111111111E-2</v>
      </c>
      <c r="J53" s="26">
        <v>2.3425925925925926E-2</v>
      </c>
      <c r="K53" s="26">
        <v>2.5162037037037038E-2</v>
      </c>
      <c r="L53" s="26">
        <v>2.5150462962962961E-2</v>
      </c>
      <c r="M53" s="26">
        <v>2.7060185185185184E-2</v>
      </c>
      <c r="N53" s="26">
        <v>2.8217592592592593E-2</v>
      </c>
      <c r="O53" s="26">
        <v>3.0312499999999999E-2</v>
      </c>
      <c r="P53" s="26">
        <v>3.0300925925925926E-2</v>
      </c>
      <c r="Q53" s="26">
        <v>3.2604166666666663E-2</v>
      </c>
      <c r="R53" s="26">
        <v>4.777777777777778E-2</v>
      </c>
      <c r="S53" s="26">
        <v>5.1342592592592592E-2</v>
      </c>
      <c r="T53" s="26">
        <v>5.1307870370370372E-2</v>
      </c>
      <c r="U53" s="26">
        <v>5.5208333333333331E-2</v>
      </c>
      <c r="V53" s="26">
        <v>9.9583333333333329E-2</v>
      </c>
      <c r="W53" s="26">
        <v>0.10702546296296296</v>
      </c>
      <c r="X53" s="26">
        <v>0.10694444444444444</v>
      </c>
      <c r="Y53" s="26">
        <v>0.11510416666666666</v>
      </c>
      <c r="Z53" s="27">
        <v>101.06200231481482</v>
      </c>
      <c r="AA53" s="27">
        <v>91.447199074074078</v>
      </c>
      <c r="AB53" s="27">
        <v>91.530405092592588</v>
      </c>
      <c r="AC53" s="27">
        <v>82.404398148148147</v>
      </c>
      <c r="AD53" s="27">
        <v>163.46719907407407</v>
      </c>
      <c r="AE53" s="27">
        <v>150.77400462962962</v>
      </c>
      <c r="AF53" s="27">
        <v>150.88840277777777</v>
      </c>
      <c r="AG53" s="27">
        <v>138.47079861111112</v>
      </c>
    </row>
    <row r="54" spans="1:33" x14ac:dyDescent="0.25">
      <c r="A54" s="17">
        <v>60</v>
      </c>
      <c r="B54" s="26">
        <v>9.3055555555555548E-3</v>
      </c>
      <c r="C54" s="26">
        <v>0.01</v>
      </c>
      <c r="D54" s="26">
        <v>0.01</v>
      </c>
      <c r="E54" s="26">
        <v>1.0763888888888889E-2</v>
      </c>
      <c r="F54" s="26">
        <v>1.4016203703703704E-2</v>
      </c>
      <c r="G54" s="26">
        <v>1.5069444444444444E-2</v>
      </c>
      <c r="H54" s="26">
        <v>1.5046296296296295E-2</v>
      </c>
      <c r="I54" s="26">
        <v>1.6203703703703703E-2</v>
      </c>
      <c r="J54" s="26">
        <v>2.3541666666666666E-2</v>
      </c>
      <c r="K54" s="26">
        <v>2.5312500000000002E-2</v>
      </c>
      <c r="L54" s="26">
        <v>2.5277777777777777E-2</v>
      </c>
      <c r="M54" s="26">
        <v>2.7222222222222221E-2</v>
      </c>
      <c r="N54" s="26">
        <v>2.8356481481481483E-2</v>
      </c>
      <c r="O54" s="26">
        <v>3.0497685185185187E-2</v>
      </c>
      <c r="P54" s="26">
        <v>3.0451388888888889E-2</v>
      </c>
      <c r="Q54" s="26">
        <v>3.2789351851851854E-2</v>
      </c>
      <c r="R54" s="26">
        <v>4.8032407407407406E-2</v>
      </c>
      <c r="S54" s="26">
        <v>5.1655092592592593E-2</v>
      </c>
      <c r="T54" s="26">
        <v>5.1585648148148151E-2</v>
      </c>
      <c r="U54" s="26">
        <v>5.5555555555555552E-2</v>
      </c>
      <c r="V54" s="26">
        <v>0.10016203703703704</v>
      </c>
      <c r="W54" s="26">
        <v>0.1077199074074074</v>
      </c>
      <c r="X54" s="26">
        <v>0.10759259259259259</v>
      </c>
      <c r="Y54" s="26">
        <v>0.11585648148148148</v>
      </c>
      <c r="Z54" s="27">
        <v>99.959594907407407</v>
      </c>
      <c r="AA54" s="27">
        <v>90.370798611111113</v>
      </c>
      <c r="AB54" s="27">
        <v>90.521597222222226</v>
      </c>
      <c r="AC54" s="27">
        <v>81.421597222222218</v>
      </c>
      <c r="AD54" s="27">
        <v>161.30400462962962</v>
      </c>
      <c r="AE54" s="27">
        <v>148.70439814814816</v>
      </c>
      <c r="AF54" s="27">
        <v>148.90200231481481</v>
      </c>
      <c r="AG54" s="27">
        <v>136.56760416666665</v>
      </c>
    </row>
    <row r="55" spans="1:33" x14ac:dyDescent="0.25">
      <c r="A55" s="17">
        <v>61</v>
      </c>
      <c r="B55" s="26">
        <v>9.3518518518518525E-3</v>
      </c>
      <c r="C55" s="26">
        <v>1.0069444444444445E-2</v>
      </c>
      <c r="D55" s="26">
        <v>1.0046296296296296E-2</v>
      </c>
      <c r="E55" s="26">
        <v>1.0833333333333334E-2</v>
      </c>
      <c r="F55" s="26">
        <v>1.4085648148148147E-2</v>
      </c>
      <c r="G55" s="26">
        <v>1.5162037037037036E-2</v>
      </c>
      <c r="H55" s="26">
        <v>1.5127314814814816E-2</v>
      </c>
      <c r="I55" s="26">
        <v>1.6307870370370372E-2</v>
      </c>
      <c r="J55" s="26">
        <v>2.3668981481481482E-2</v>
      </c>
      <c r="K55" s="26">
        <v>2.5474537037037039E-2</v>
      </c>
      <c r="L55" s="26">
        <v>2.5416666666666667E-2</v>
      </c>
      <c r="M55" s="26">
        <v>2.7395833333333335E-2</v>
      </c>
      <c r="N55" s="26">
        <v>2.8506944444444446E-2</v>
      </c>
      <c r="O55" s="26">
        <v>3.0694444444444444E-2</v>
      </c>
      <c r="P55" s="26">
        <v>3.0624999999999999E-2</v>
      </c>
      <c r="Q55" s="26">
        <v>3.3009259259259259E-2</v>
      </c>
      <c r="R55" s="26">
        <v>4.8298611111111112E-2</v>
      </c>
      <c r="S55" s="26">
        <v>5.199074074074074E-2</v>
      </c>
      <c r="T55" s="26">
        <v>5.1886574074074071E-2</v>
      </c>
      <c r="U55" s="26">
        <v>5.5925925925925928E-2</v>
      </c>
      <c r="V55" s="26">
        <v>0.10077546296296297</v>
      </c>
      <c r="W55" s="26">
        <v>0.1084837962962963</v>
      </c>
      <c r="X55" s="26">
        <v>0.10825231481481482</v>
      </c>
      <c r="Y55" s="26">
        <v>0.11670138888888888</v>
      </c>
      <c r="Z55" s="27">
        <v>98.825995370370364</v>
      </c>
      <c r="AA55" s="27">
        <v>89.221597222222229</v>
      </c>
      <c r="AB55" s="27">
        <v>89.48159722222222</v>
      </c>
      <c r="AC55" s="27">
        <v>80.365995370370371</v>
      </c>
      <c r="AD55" s="27">
        <v>159.08879629629629</v>
      </c>
      <c r="AE55" s="27">
        <v>146.5204050925926</v>
      </c>
      <c r="AF55" s="27">
        <v>146.8687962962963</v>
      </c>
      <c r="AG55" s="27">
        <v>134.56040509259259</v>
      </c>
    </row>
    <row r="56" spans="1:33" x14ac:dyDescent="0.25">
      <c r="A56" s="17">
        <v>62</v>
      </c>
      <c r="B56" s="26">
        <v>9.4097222222222221E-3</v>
      </c>
      <c r="C56" s="26">
        <v>1.0138888888888888E-2</v>
      </c>
      <c r="D56" s="26">
        <v>1.0104166666666666E-2</v>
      </c>
      <c r="E56" s="26">
        <v>1.0902777777777779E-2</v>
      </c>
      <c r="F56" s="26">
        <v>1.4166666666666666E-2</v>
      </c>
      <c r="G56" s="26">
        <v>1.5266203703703704E-2</v>
      </c>
      <c r="H56" s="26">
        <v>1.5208333333333334E-2</v>
      </c>
      <c r="I56" s="26">
        <v>1.6423611111111111E-2</v>
      </c>
      <c r="J56" s="26">
        <v>2.3796296296296298E-2</v>
      </c>
      <c r="K56" s="26">
        <v>2.5648148148148149E-2</v>
      </c>
      <c r="L56" s="26">
        <v>2.5555555555555557E-2</v>
      </c>
      <c r="M56" s="26">
        <v>2.7592592592592592E-2</v>
      </c>
      <c r="N56" s="26">
        <v>2.8668981481481483E-2</v>
      </c>
      <c r="O56" s="26">
        <v>3.0902777777777779E-2</v>
      </c>
      <c r="P56" s="26">
        <v>3.079861111111111E-2</v>
      </c>
      <c r="Q56" s="26">
        <v>3.3240740740740737E-2</v>
      </c>
      <c r="R56" s="26">
        <v>4.8576388888888891E-2</v>
      </c>
      <c r="S56" s="26">
        <v>5.2361111111111108E-2</v>
      </c>
      <c r="T56" s="26">
        <v>5.2187499999999998E-2</v>
      </c>
      <c r="U56" s="26">
        <v>5.6331018518518516E-2</v>
      </c>
      <c r="V56" s="26">
        <v>0.10141203703703704</v>
      </c>
      <c r="W56" s="26">
        <v>0.10931712962962963</v>
      </c>
      <c r="X56" s="26">
        <v>0.10894675925925926</v>
      </c>
      <c r="Y56" s="26">
        <v>0.11762731481481481</v>
      </c>
      <c r="Z56" s="27">
        <v>97.661203703703706</v>
      </c>
      <c r="AA56" s="27">
        <v>87.99439814814815</v>
      </c>
      <c r="AB56" s="27">
        <v>88.42079861111111</v>
      </c>
      <c r="AC56" s="27">
        <v>79.237604166666671</v>
      </c>
      <c r="AD56" s="27">
        <v>156.81640046296297</v>
      </c>
      <c r="AE56" s="27">
        <v>144.22719907407406</v>
      </c>
      <c r="AF56" s="27">
        <v>144.78879629629628</v>
      </c>
      <c r="AG56" s="27">
        <v>132.43879629629629</v>
      </c>
    </row>
    <row r="57" spans="1:33" x14ac:dyDescent="0.25">
      <c r="A57" s="17">
        <v>63</v>
      </c>
      <c r="B57" s="26">
        <v>9.4560185185185181E-3</v>
      </c>
      <c r="C57" s="26">
        <v>1.0208333333333333E-2</v>
      </c>
      <c r="D57" s="26">
        <v>1.0150462962962964E-2</v>
      </c>
      <c r="E57" s="26">
        <v>1.0983796296296297E-2</v>
      </c>
      <c r="F57" s="26">
        <v>1.4247685185185184E-2</v>
      </c>
      <c r="G57" s="26">
        <v>1.5381944444444445E-2</v>
      </c>
      <c r="H57" s="26">
        <v>1.5300925925925926E-2</v>
      </c>
      <c r="I57" s="26">
        <v>1.653935185185185E-2</v>
      </c>
      <c r="J57" s="26">
        <v>2.3935185185185184E-2</v>
      </c>
      <c r="K57" s="26">
        <v>2.5844907407407407E-2</v>
      </c>
      <c r="L57" s="26">
        <v>2.5706018518518517E-2</v>
      </c>
      <c r="M57" s="26">
        <v>2.7800925925925927E-2</v>
      </c>
      <c r="N57" s="26">
        <v>2.8842592592592593E-2</v>
      </c>
      <c r="O57" s="26">
        <v>3.1134259259259261E-2</v>
      </c>
      <c r="P57" s="26">
        <v>3.0972222222222224E-2</v>
      </c>
      <c r="Q57" s="26">
        <v>3.349537037037037E-2</v>
      </c>
      <c r="R57" s="26">
        <v>4.8877314814814818E-2</v>
      </c>
      <c r="S57" s="26">
        <v>5.2777777777777778E-2</v>
      </c>
      <c r="T57" s="26">
        <v>5.2499999999999998E-2</v>
      </c>
      <c r="U57" s="26">
        <v>5.6782407407407406E-2</v>
      </c>
      <c r="V57" s="26">
        <v>0.10207175925925926</v>
      </c>
      <c r="W57" s="26">
        <v>0.11025462962962963</v>
      </c>
      <c r="X57" s="26">
        <v>0.10967592592592593</v>
      </c>
      <c r="Y57" s="26">
        <v>0.11863425925925926</v>
      </c>
      <c r="Z57" s="27">
        <v>96.465196759259257</v>
      </c>
      <c r="AA57" s="27">
        <v>86.68920138888889</v>
      </c>
      <c r="AB57" s="27">
        <v>87.328796296296289</v>
      </c>
      <c r="AC57" s="27">
        <v>78.036400462962959</v>
      </c>
      <c r="AD57" s="27">
        <v>154.49200231481481</v>
      </c>
      <c r="AE57" s="27">
        <v>141.80920138888888</v>
      </c>
      <c r="AF57" s="27">
        <v>142.65159722222222</v>
      </c>
      <c r="AG57" s="27">
        <v>130.20799768518518</v>
      </c>
    </row>
    <row r="58" spans="1:33" x14ac:dyDescent="0.25">
      <c r="A58" s="17">
        <v>64</v>
      </c>
      <c r="B58" s="26">
        <v>9.5138888888888894E-3</v>
      </c>
      <c r="C58" s="26">
        <v>1.0289351851851852E-2</v>
      </c>
      <c r="D58" s="26">
        <v>1.0219907407407407E-2</v>
      </c>
      <c r="E58" s="26">
        <v>1.1076388888888889E-2</v>
      </c>
      <c r="F58" s="26">
        <v>1.4317129629629629E-2</v>
      </c>
      <c r="G58" s="26">
        <v>1.5509259259259259E-2</v>
      </c>
      <c r="H58" s="26">
        <v>1.5393518518518518E-2</v>
      </c>
      <c r="I58" s="26">
        <v>1.667824074074074E-2</v>
      </c>
      <c r="J58" s="26">
        <v>2.4074074074074074E-2</v>
      </c>
      <c r="K58" s="26">
        <v>2.6053240740740741E-2</v>
      </c>
      <c r="L58" s="26">
        <v>2.585648148148148E-2</v>
      </c>
      <c r="M58" s="26">
        <v>2.8043981481481482E-2</v>
      </c>
      <c r="N58" s="26">
        <v>2.900462962962963E-2</v>
      </c>
      <c r="O58" s="26">
        <v>3.1400462962962963E-2</v>
      </c>
      <c r="P58" s="26">
        <v>3.1168981481481482E-2</v>
      </c>
      <c r="Q58" s="26">
        <v>3.3784722222222223E-2</v>
      </c>
      <c r="R58" s="26">
        <v>4.9166666666666664E-2</v>
      </c>
      <c r="S58" s="26">
        <v>5.3229166666666668E-2</v>
      </c>
      <c r="T58" s="26">
        <v>5.2835648148148145E-2</v>
      </c>
      <c r="U58" s="26">
        <v>5.7280092592592591E-2</v>
      </c>
      <c r="V58" s="26">
        <v>0.10276620370370371</v>
      </c>
      <c r="W58" s="26">
        <v>0.11126157407407407</v>
      </c>
      <c r="X58" s="26">
        <v>0.11042824074074074</v>
      </c>
      <c r="Y58" s="26">
        <v>0.11974537037037038</v>
      </c>
      <c r="Z58" s="27">
        <v>95.248402777777784</v>
      </c>
      <c r="AA58" s="27">
        <v>85.305995370370368</v>
      </c>
      <c r="AB58" s="27">
        <v>86.210798611111116</v>
      </c>
      <c r="AC58" s="27">
        <v>76.762395833333329</v>
      </c>
      <c r="AD58" s="27">
        <v>152.1207986111111</v>
      </c>
      <c r="AE58" s="27">
        <v>139.27680555555557</v>
      </c>
      <c r="AF58" s="27">
        <v>140.47280092592592</v>
      </c>
      <c r="AG58" s="27">
        <v>127.86280092592592</v>
      </c>
    </row>
    <row r="59" spans="1:33" x14ac:dyDescent="0.25">
      <c r="A59" s="17">
        <v>65</v>
      </c>
      <c r="B59" s="26">
        <v>9.571759259259259E-3</v>
      </c>
      <c r="C59" s="26">
        <v>1.0381944444444444E-2</v>
      </c>
      <c r="D59" s="26">
        <v>1.0277777777777778E-2</v>
      </c>
      <c r="E59" s="26">
        <v>1.1180555555555555E-2</v>
      </c>
      <c r="F59" s="26">
        <v>1.4409722222222223E-2</v>
      </c>
      <c r="G59" s="26">
        <v>1.5648148148148147E-2</v>
      </c>
      <c r="H59" s="26">
        <v>1.5486111111111112E-2</v>
      </c>
      <c r="I59" s="26">
        <v>1.6828703703703703E-2</v>
      </c>
      <c r="J59" s="26">
        <v>2.4212962962962964E-2</v>
      </c>
      <c r="K59" s="26">
        <v>2.6296296296296297E-2</v>
      </c>
      <c r="L59" s="26">
        <v>2.6018518518518517E-2</v>
      </c>
      <c r="M59" s="26">
        <v>2.8298611111111111E-2</v>
      </c>
      <c r="N59" s="26">
        <v>2.9178240740740741E-2</v>
      </c>
      <c r="O59" s="26">
        <v>3.1689814814814816E-2</v>
      </c>
      <c r="P59" s="26">
        <v>3.1365740740740743E-2</v>
      </c>
      <c r="Q59" s="26">
        <v>3.4097222222222223E-2</v>
      </c>
      <c r="R59" s="26">
        <v>4.9479166666666664E-2</v>
      </c>
      <c r="S59" s="26">
        <v>5.3726851851851852E-2</v>
      </c>
      <c r="T59" s="26">
        <v>5.3182870370370373E-2</v>
      </c>
      <c r="U59" s="26">
        <v>5.7824074074074076E-2</v>
      </c>
      <c r="V59" s="26">
        <v>0.1034837962962963</v>
      </c>
      <c r="W59" s="26">
        <v>0.11238425925925925</v>
      </c>
      <c r="X59" s="26">
        <v>0.11122685185185185</v>
      </c>
      <c r="Y59" s="26">
        <v>0.12097222222222222</v>
      </c>
      <c r="Z59" s="27">
        <v>93.995196759259258</v>
      </c>
      <c r="AA59" s="27">
        <v>83.834398148148153</v>
      </c>
      <c r="AB59" s="27">
        <v>85.066805555555561</v>
      </c>
      <c r="AC59" s="27">
        <v>75.410405092592597</v>
      </c>
      <c r="AD59" s="27">
        <v>149.69239583333334</v>
      </c>
      <c r="AE59" s="27">
        <v>136.63</v>
      </c>
      <c r="AF59" s="27">
        <v>138.24200231481481</v>
      </c>
      <c r="AG59" s="27">
        <v>125.40319444444444</v>
      </c>
    </row>
    <row r="60" spans="1:33" x14ac:dyDescent="0.25">
      <c r="A60" s="17">
        <v>66</v>
      </c>
      <c r="B60" s="26">
        <v>9.6296296296296303E-3</v>
      </c>
      <c r="C60" s="26">
        <v>1.0486111111111111E-2</v>
      </c>
      <c r="D60" s="26">
        <v>1.0347222222222223E-2</v>
      </c>
      <c r="E60" s="26">
        <v>1.1284722222222222E-2</v>
      </c>
      <c r="F60" s="26">
        <v>1.4502314814814815E-2</v>
      </c>
      <c r="G60" s="26">
        <v>1.579861111111111E-2</v>
      </c>
      <c r="H60" s="26">
        <v>1.5578703703703704E-2</v>
      </c>
      <c r="I60" s="26">
        <v>1.7002314814814814E-2</v>
      </c>
      <c r="J60" s="26">
        <v>2.4375000000000001E-2</v>
      </c>
      <c r="K60" s="26">
        <v>2.6550925925925926E-2</v>
      </c>
      <c r="L60" s="26">
        <v>2.6192129629629631E-2</v>
      </c>
      <c r="M60" s="26">
        <v>2.8587962962962964E-2</v>
      </c>
      <c r="N60" s="26">
        <v>2.9374999999999998E-2</v>
      </c>
      <c r="O60" s="26">
        <v>3.2002314814814817E-2</v>
      </c>
      <c r="P60" s="26">
        <v>3.15625E-2</v>
      </c>
      <c r="Q60" s="26">
        <v>3.4444444444444444E-2</v>
      </c>
      <c r="R60" s="26">
        <v>4.9814814814814812E-2</v>
      </c>
      <c r="S60" s="26">
        <v>5.4282407407407404E-2</v>
      </c>
      <c r="T60" s="26">
        <v>5.3530092592592594E-2</v>
      </c>
      <c r="U60" s="26">
        <v>5.8425925925925923E-2</v>
      </c>
      <c r="V60" s="26">
        <v>0.10423611111111111</v>
      </c>
      <c r="W60" s="26">
        <v>0.11361111111111111</v>
      </c>
      <c r="X60" s="26">
        <v>0.11204861111111111</v>
      </c>
      <c r="Y60" s="26">
        <v>0.12231481481481482</v>
      </c>
      <c r="Z60" s="27">
        <v>92.721203703703708</v>
      </c>
      <c r="AA60" s="27">
        <v>82.284803240740743</v>
      </c>
      <c r="AB60" s="27">
        <v>83.902002314814808</v>
      </c>
      <c r="AC60" s="27">
        <v>73.975196759259262</v>
      </c>
      <c r="AD60" s="27">
        <v>147.21200231481481</v>
      </c>
      <c r="AE60" s="27">
        <v>133.85840277777777</v>
      </c>
      <c r="AF60" s="27">
        <v>135.96439814814815</v>
      </c>
      <c r="AG60" s="27">
        <v>122.82920138888889</v>
      </c>
    </row>
    <row r="61" spans="1:33" x14ac:dyDescent="0.25">
      <c r="A61" s="17">
        <v>67</v>
      </c>
      <c r="B61" s="26">
        <v>9.6874999999999999E-3</v>
      </c>
      <c r="C61" s="26">
        <v>1.0590277777777778E-2</v>
      </c>
      <c r="D61" s="26">
        <v>1.0416666666666666E-2</v>
      </c>
      <c r="E61" s="26">
        <v>1.1400462962962963E-2</v>
      </c>
      <c r="F61" s="26">
        <v>1.4583333333333334E-2</v>
      </c>
      <c r="G61" s="26">
        <v>1.5960648148148147E-2</v>
      </c>
      <c r="H61" s="26">
        <v>1.5682870370370371E-2</v>
      </c>
      <c r="I61" s="26">
        <v>1.7187500000000001E-2</v>
      </c>
      <c r="J61" s="26">
        <v>2.4525462962962964E-2</v>
      </c>
      <c r="K61" s="26">
        <v>2.6840277777777779E-2</v>
      </c>
      <c r="L61" s="26">
        <v>2.6365740740740742E-2</v>
      </c>
      <c r="M61" s="26">
        <v>2.8888888888888888E-2</v>
      </c>
      <c r="N61" s="26">
        <v>2.9571759259259259E-2</v>
      </c>
      <c r="O61" s="26">
        <v>3.2349537037037038E-2</v>
      </c>
      <c r="P61" s="26">
        <v>3.1782407407407405E-2</v>
      </c>
      <c r="Q61" s="26">
        <v>3.4826388888888886E-2</v>
      </c>
      <c r="R61" s="26">
        <v>5.0150462962962966E-2</v>
      </c>
      <c r="S61" s="26">
        <v>5.4872685185185184E-2</v>
      </c>
      <c r="T61" s="26">
        <v>5.3900462962962963E-2</v>
      </c>
      <c r="U61" s="26">
        <v>5.9085648148148151E-2</v>
      </c>
      <c r="V61" s="26">
        <v>0.10502314814814814</v>
      </c>
      <c r="W61" s="26">
        <v>0.11494212962962963</v>
      </c>
      <c r="X61" s="26">
        <v>0.11291666666666667</v>
      </c>
      <c r="Y61" s="26">
        <v>0.12377314814814815</v>
      </c>
      <c r="Z61" s="27">
        <v>91.410798611111105</v>
      </c>
      <c r="AA61" s="27">
        <v>80.646805555555559</v>
      </c>
      <c r="AB61" s="27">
        <v>82.705995370370374</v>
      </c>
      <c r="AC61" s="27">
        <v>72.467199074074074</v>
      </c>
      <c r="AD61" s="27">
        <v>144.68480324074073</v>
      </c>
      <c r="AE61" s="27">
        <v>130.97239583333334</v>
      </c>
      <c r="AF61" s="27">
        <v>133.63999999999999</v>
      </c>
      <c r="AG61" s="27">
        <v>120.14079861111111</v>
      </c>
    </row>
    <row r="62" spans="1:33" x14ac:dyDescent="0.25">
      <c r="A62" s="17">
        <v>68</v>
      </c>
      <c r="B62" s="26">
        <v>9.7453703703703695E-3</v>
      </c>
      <c r="C62" s="26">
        <v>1.0717592592592593E-2</v>
      </c>
      <c r="D62" s="26">
        <v>1.0474537037037037E-2</v>
      </c>
      <c r="E62" s="26">
        <v>1.1539351851851851E-2</v>
      </c>
      <c r="F62" s="26">
        <v>1.4687499999999999E-2</v>
      </c>
      <c r="G62" s="26">
        <v>1.6145833333333335E-2</v>
      </c>
      <c r="H62" s="26">
        <v>1.5787037037037037E-2</v>
      </c>
      <c r="I62" s="26">
        <v>1.7384259259259259E-2</v>
      </c>
      <c r="J62" s="26">
        <v>2.4699074074074075E-2</v>
      </c>
      <c r="K62" s="26">
        <v>2.7152777777777779E-2</v>
      </c>
      <c r="L62" s="26">
        <v>2.6539351851851852E-2</v>
      </c>
      <c r="M62" s="26">
        <v>2.9236111111111112E-2</v>
      </c>
      <c r="N62" s="26">
        <v>2.9768518518518517E-2</v>
      </c>
      <c r="O62" s="26">
        <v>3.2719907407407406E-2</v>
      </c>
      <c r="P62" s="26">
        <v>3.1990740740740743E-2</v>
      </c>
      <c r="Q62" s="26">
        <v>3.5243055555555555E-2</v>
      </c>
      <c r="R62" s="26">
        <v>5.0509259259259261E-2</v>
      </c>
      <c r="S62" s="26">
        <v>5.5532407407407405E-2</v>
      </c>
      <c r="T62" s="26">
        <v>5.4293981481481485E-2</v>
      </c>
      <c r="U62" s="26">
        <v>5.980324074074074E-2</v>
      </c>
      <c r="V62" s="26">
        <v>0.1058449074074074</v>
      </c>
      <c r="W62" s="26">
        <v>0.11641203703703704</v>
      </c>
      <c r="X62" s="26">
        <v>0.11380787037037036</v>
      </c>
      <c r="Y62" s="26">
        <v>0.12538194444444445</v>
      </c>
      <c r="Z62" s="27">
        <v>90.079594907407412</v>
      </c>
      <c r="AA62" s="27">
        <v>78.925601851851852</v>
      </c>
      <c r="AB62" s="27">
        <v>81.489201388888887</v>
      </c>
      <c r="AC62" s="27">
        <v>70.870798611111113</v>
      </c>
      <c r="AD62" s="27">
        <v>142.11079861111111</v>
      </c>
      <c r="AE62" s="27">
        <v>127.96680555555555</v>
      </c>
      <c r="AF62" s="27">
        <v>131.2687962962963</v>
      </c>
      <c r="AG62" s="27">
        <v>117.33280092592592</v>
      </c>
    </row>
    <row r="63" spans="1:33" x14ac:dyDescent="0.25">
      <c r="A63" s="17">
        <v>69</v>
      </c>
      <c r="B63" s="26">
        <v>9.8148148148148144E-3</v>
      </c>
      <c r="C63" s="26">
        <v>1.0798611111111111E-2</v>
      </c>
      <c r="D63" s="26">
        <v>1.0555555555555556E-2</v>
      </c>
      <c r="E63" s="26">
        <v>1.1620370370370371E-2</v>
      </c>
      <c r="F63" s="26">
        <v>1.4791666666666667E-2</v>
      </c>
      <c r="G63" s="26">
        <v>1.6261574074074074E-2</v>
      </c>
      <c r="H63" s="26">
        <v>1.5902777777777776E-2</v>
      </c>
      <c r="I63" s="26">
        <v>1.7511574074074075E-2</v>
      </c>
      <c r="J63" s="26">
        <v>2.4861111111111112E-2</v>
      </c>
      <c r="K63" s="26">
        <v>2.7349537037037037E-2</v>
      </c>
      <c r="L63" s="26">
        <v>2.673611111111111E-2</v>
      </c>
      <c r="M63" s="26">
        <v>2.9456018518518517E-2</v>
      </c>
      <c r="N63" s="26">
        <v>2.9976851851851852E-2</v>
      </c>
      <c r="O63" s="26">
        <v>3.2962962962962965E-2</v>
      </c>
      <c r="P63" s="26">
        <v>3.2222222222222222E-2</v>
      </c>
      <c r="Q63" s="26">
        <v>3.5509259259259261E-2</v>
      </c>
      <c r="R63" s="26">
        <v>5.0868055555555555E-2</v>
      </c>
      <c r="S63" s="26">
        <v>5.5960648148148148E-2</v>
      </c>
      <c r="T63" s="26">
        <v>5.4699074074074074E-2</v>
      </c>
      <c r="U63" s="26">
        <v>6.0277777777777777E-2</v>
      </c>
      <c r="V63" s="26">
        <v>0.10670138888888889</v>
      </c>
      <c r="W63" s="26">
        <v>0.1174074074074074</v>
      </c>
      <c r="X63" s="26">
        <v>0.11474537037037037</v>
      </c>
      <c r="Y63" s="26">
        <v>0.12648148148148147</v>
      </c>
      <c r="Z63" s="27">
        <v>88.717199074074074</v>
      </c>
      <c r="AA63" s="27">
        <v>77.682800925925932</v>
      </c>
      <c r="AB63" s="27">
        <v>80.241203703703704</v>
      </c>
      <c r="AC63" s="27">
        <v>69.732002314814821</v>
      </c>
      <c r="AD63" s="27">
        <v>139.48480324074075</v>
      </c>
      <c r="AE63" s="27">
        <v>125.56959490740741</v>
      </c>
      <c r="AF63" s="27">
        <v>128.85599537037038</v>
      </c>
      <c r="AG63" s="27">
        <v>115.13319444444444</v>
      </c>
    </row>
    <row r="64" spans="1:33" x14ac:dyDescent="0.25">
      <c r="A64" s="17">
        <v>70</v>
      </c>
      <c r="B64" s="26">
        <v>9.8842592592592593E-3</v>
      </c>
      <c r="C64" s="26">
        <v>1.0868055555555556E-2</v>
      </c>
      <c r="D64" s="26">
        <v>1.0625000000000001E-2</v>
      </c>
      <c r="E64" s="26">
        <v>1.1712962962962963E-2</v>
      </c>
      <c r="F64" s="26">
        <v>1.4895833333333334E-2</v>
      </c>
      <c r="G64" s="26">
        <v>1.638888888888889E-2</v>
      </c>
      <c r="H64" s="26">
        <v>1.6006944444444445E-2</v>
      </c>
      <c r="I64" s="26">
        <v>1.7638888888888888E-2</v>
      </c>
      <c r="J64" s="26">
        <v>2.5046296296296296E-2</v>
      </c>
      <c r="K64" s="26">
        <v>2.7546296296296298E-2</v>
      </c>
      <c r="L64" s="26">
        <v>2.6932870370370371E-2</v>
      </c>
      <c r="M64" s="26">
        <v>2.9675925925925925E-2</v>
      </c>
      <c r="N64" s="26">
        <v>3.0185185185185186E-2</v>
      </c>
      <c r="O64" s="26">
        <v>3.3206018518518517E-2</v>
      </c>
      <c r="P64" s="26">
        <v>3.246527777777778E-2</v>
      </c>
      <c r="Q64" s="26">
        <v>3.577546296296296E-2</v>
      </c>
      <c r="R64" s="26">
        <v>5.1249999999999997E-2</v>
      </c>
      <c r="S64" s="26">
        <v>5.6388888888888891E-2</v>
      </c>
      <c r="T64" s="26">
        <v>5.5115740740740743E-2</v>
      </c>
      <c r="U64" s="26">
        <v>6.0740740740740741E-2</v>
      </c>
      <c r="V64" s="26">
        <v>0.10759259259259259</v>
      </c>
      <c r="W64" s="26">
        <v>0.11841435185185185</v>
      </c>
      <c r="X64" s="26">
        <v>0.11572916666666666</v>
      </c>
      <c r="Y64" s="26">
        <v>0.12758101851851852</v>
      </c>
      <c r="Z64" s="27">
        <v>87.328796296296289</v>
      </c>
      <c r="AA64" s="27">
        <v>76.45040509259259</v>
      </c>
      <c r="AB64" s="27">
        <v>78.972395833333337</v>
      </c>
      <c r="AC64" s="27">
        <v>68.603599537037042</v>
      </c>
      <c r="AD64" s="27">
        <v>136.80680555555554</v>
      </c>
      <c r="AE64" s="27">
        <v>123.17239583333334</v>
      </c>
      <c r="AF64" s="27">
        <v>126.39120370370371</v>
      </c>
      <c r="AG64" s="27">
        <v>112.92840277777778</v>
      </c>
    </row>
    <row r="65" spans="1:33" x14ac:dyDescent="0.25">
      <c r="A65" s="17">
        <v>71</v>
      </c>
      <c r="B65" s="26">
        <v>9.9537037037037042E-3</v>
      </c>
      <c r="C65" s="26">
        <v>1.0949074074074075E-2</v>
      </c>
      <c r="D65" s="26">
        <v>1.0706018518518519E-2</v>
      </c>
      <c r="E65" s="26">
        <v>1.1793981481481482E-2</v>
      </c>
      <c r="F65" s="26">
        <v>1.4999999999999999E-2</v>
      </c>
      <c r="G65" s="26">
        <v>1.650462962962963E-2</v>
      </c>
      <c r="H65" s="26">
        <v>1.6122685185185184E-2</v>
      </c>
      <c r="I65" s="26">
        <v>1.7777777777777778E-2</v>
      </c>
      <c r="J65" s="26">
        <v>2.5231481481481483E-2</v>
      </c>
      <c r="K65" s="26">
        <v>2.7766203703703703E-2</v>
      </c>
      <c r="L65" s="26">
        <v>2.7129629629629629E-2</v>
      </c>
      <c r="M65" s="26">
        <v>2.9907407407407407E-2</v>
      </c>
      <c r="N65" s="26">
        <v>3.0416666666666668E-2</v>
      </c>
      <c r="O65" s="26">
        <v>3.3472222222222223E-2</v>
      </c>
      <c r="P65" s="26">
        <v>3.2708333333333332E-2</v>
      </c>
      <c r="Q65" s="26">
        <v>3.605324074074074E-2</v>
      </c>
      <c r="R65" s="26">
        <v>5.1655092592592593E-2</v>
      </c>
      <c r="S65" s="26">
        <v>5.6840277777777781E-2</v>
      </c>
      <c r="T65" s="26">
        <v>5.5555555555555552E-2</v>
      </c>
      <c r="U65" s="26">
        <v>6.1238425925925925E-2</v>
      </c>
      <c r="V65" s="26">
        <v>0.10853009259259259</v>
      </c>
      <c r="W65" s="26">
        <v>0.1194675925925926</v>
      </c>
      <c r="X65" s="26">
        <v>0.11674768518518519</v>
      </c>
      <c r="Y65" s="26">
        <v>0.12873842592592594</v>
      </c>
      <c r="Z65" s="27">
        <v>85.914398148148152</v>
      </c>
      <c r="AA65" s="27">
        <v>75.186805555555551</v>
      </c>
      <c r="AB65" s="27">
        <v>77.67239583333334</v>
      </c>
      <c r="AC65" s="27">
        <v>67.449201388888895</v>
      </c>
      <c r="AD65" s="27">
        <v>134.08719907407408</v>
      </c>
      <c r="AE65" s="27">
        <v>120.73359953703704</v>
      </c>
      <c r="AF65" s="27">
        <v>123.88480324074074</v>
      </c>
      <c r="AG65" s="27">
        <v>110.68200231481481</v>
      </c>
    </row>
    <row r="66" spans="1:33" x14ac:dyDescent="0.25">
      <c r="A66" s="17">
        <v>72</v>
      </c>
      <c r="B66" s="26">
        <v>1.0023148148148147E-2</v>
      </c>
      <c r="C66" s="26">
        <v>1.1030092592592593E-2</v>
      </c>
      <c r="D66" s="26">
        <v>1.0787037037037038E-2</v>
      </c>
      <c r="E66" s="26">
        <v>1.1886574074074074E-2</v>
      </c>
      <c r="F66" s="26">
        <v>1.511574074074074E-2</v>
      </c>
      <c r="G66" s="26">
        <v>1.6631944444444446E-2</v>
      </c>
      <c r="H66" s="26">
        <v>1.6250000000000001E-2</v>
      </c>
      <c r="I66" s="26">
        <v>1.7916666666666668E-2</v>
      </c>
      <c r="J66" s="26">
        <v>2.5416666666666667E-2</v>
      </c>
      <c r="K66" s="26">
        <v>2.7974537037037037E-2</v>
      </c>
      <c r="L66" s="26">
        <v>2.7349537037037037E-2</v>
      </c>
      <c r="M66" s="26">
        <v>3.0138888888888889E-2</v>
      </c>
      <c r="N66" s="26">
        <v>3.0648148148148147E-2</v>
      </c>
      <c r="O66" s="26">
        <v>3.3738425925925929E-2</v>
      </c>
      <c r="P66" s="26">
        <v>3.2962962962962965E-2</v>
      </c>
      <c r="Q66" s="26">
        <v>3.6342592592592593E-2</v>
      </c>
      <c r="R66" s="26">
        <v>5.2071759259259262E-2</v>
      </c>
      <c r="S66" s="26">
        <v>5.7314814814814811E-2</v>
      </c>
      <c r="T66" s="26">
        <v>5.6006944444444443E-2</v>
      </c>
      <c r="U66" s="26">
        <v>6.1759259259259257E-2</v>
      </c>
      <c r="V66" s="26">
        <v>0.10950231481481482</v>
      </c>
      <c r="W66" s="26">
        <v>0.12056712962962964</v>
      </c>
      <c r="X66" s="26">
        <v>0.11782407407407407</v>
      </c>
      <c r="Y66" s="26">
        <v>0.12994212962962962</v>
      </c>
      <c r="Z66" s="27">
        <v>84.46879629629629</v>
      </c>
      <c r="AA66" s="27">
        <v>73.90239583333333</v>
      </c>
      <c r="AB66" s="27">
        <v>76.351597222222225</v>
      </c>
      <c r="AC66" s="27">
        <v>66.27400462962963</v>
      </c>
      <c r="AD66" s="27">
        <v>131.31560185185185</v>
      </c>
      <c r="AE66" s="27">
        <v>118.24280092592592</v>
      </c>
      <c r="AF66" s="27">
        <v>121.33680555555556</v>
      </c>
      <c r="AG66" s="27">
        <v>108.39920138888888</v>
      </c>
    </row>
    <row r="67" spans="1:33" x14ac:dyDescent="0.25">
      <c r="A67" s="17">
        <v>73</v>
      </c>
      <c r="B67" s="26">
        <v>1.0104166666666666E-2</v>
      </c>
      <c r="C67" s="26">
        <v>1.1122685185185185E-2</v>
      </c>
      <c r="D67" s="26">
        <v>1.0868055555555556E-2</v>
      </c>
      <c r="E67" s="26">
        <v>1.1979166666666667E-2</v>
      </c>
      <c r="F67" s="26">
        <v>1.5231481481481481E-2</v>
      </c>
      <c r="G67" s="26">
        <v>1.6759259259259258E-2</v>
      </c>
      <c r="H67" s="26">
        <v>1.638888888888889E-2</v>
      </c>
      <c r="I67" s="26">
        <v>1.8055555555555554E-2</v>
      </c>
      <c r="J67" s="26">
        <v>2.5624999999999998E-2</v>
      </c>
      <c r="K67" s="26">
        <v>2.8206018518518519E-2</v>
      </c>
      <c r="L67" s="26">
        <v>2.7557870370370371E-2</v>
      </c>
      <c r="M67" s="26">
        <v>3.0393518518518518E-2</v>
      </c>
      <c r="N67" s="26">
        <v>3.0891203703703702E-2</v>
      </c>
      <c r="O67" s="26">
        <v>3.4004629629629628E-2</v>
      </c>
      <c r="P67" s="26">
        <v>3.3229166666666664E-2</v>
      </c>
      <c r="Q67" s="26">
        <v>3.664351851851852E-2</v>
      </c>
      <c r="R67" s="26">
        <v>5.2499999999999998E-2</v>
      </c>
      <c r="S67" s="26">
        <v>5.7800925925925929E-2</v>
      </c>
      <c r="T67" s="26">
        <v>5.6493055555555553E-2</v>
      </c>
      <c r="U67" s="26">
        <v>6.2291666666666669E-2</v>
      </c>
      <c r="V67" s="26">
        <v>0.11053240740740741</v>
      </c>
      <c r="W67" s="26">
        <v>0.12171296296296297</v>
      </c>
      <c r="X67" s="26">
        <v>0.11893518518518519</v>
      </c>
      <c r="Y67" s="26">
        <v>0.13120370370370371</v>
      </c>
      <c r="Z67" s="27">
        <v>82.997199074074075</v>
      </c>
      <c r="AA67" s="27">
        <v>72.59200231481482</v>
      </c>
      <c r="AB67" s="27">
        <v>75.004803240740742</v>
      </c>
      <c r="AC67" s="27">
        <v>65.077997685185181</v>
      </c>
      <c r="AD67" s="27">
        <v>128.50239583333334</v>
      </c>
      <c r="AE67" s="27">
        <v>115.71560185185186</v>
      </c>
      <c r="AF67" s="27">
        <v>118.74200231481481</v>
      </c>
      <c r="AG67" s="27">
        <v>106.06959490740741</v>
      </c>
    </row>
    <row r="68" spans="1:33" x14ac:dyDescent="0.25">
      <c r="A68" s="17">
        <v>74</v>
      </c>
      <c r="B68" s="26">
        <v>1.0185185185185186E-2</v>
      </c>
      <c r="C68" s="26">
        <v>1.1215277777777777E-2</v>
      </c>
      <c r="D68" s="26">
        <v>1.0960648148148148E-2</v>
      </c>
      <c r="E68" s="26">
        <v>1.2083333333333333E-2</v>
      </c>
      <c r="F68" s="26">
        <v>1.5347222222222222E-2</v>
      </c>
      <c r="G68" s="26">
        <v>1.6898148148148148E-2</v>
      </c>
      <c r="H68" s="26">
        <v>1.6516203703703703E-2</v>
      </c>
      <c r="I68" s="26">
        <v>1.8206018518518517E-2</v>
      </c>
      <c r="J68" s="26">
        <v>2.5833333333333333E-2</v>
      </c>
      <c r="K68" s="26">
        <v>2.8437500000000001E-2</v>
      </c>
      <c r="L68" s="26">
        <v>2.7789351851851853E-2</v>
      </c>
      <c r="M68" s="26">
        <v>3.0648148148148147E-2</v>
      </c>
      <c r="N68" s="26">
        <v>3.1145833333333334E-2</v>
      </c>
      <c r="O68" s="26">
        <v>3.4293981481481481E-2</v>
      </c>
      <c r="P68" s="26">
        <v>3.3518518518518517E-2</v>
      </c>
      <c r="Q68" s="26">
        <v>3.695601851851852E-2</v>
      </c>
      <c r="R68" s="26">
        <v>5.2951388888888888E-2</v>
      </c>
      <c r="S68" s="26">
        <v>5.8310185185185187E-2</v>
      </c>
      <c r="T68" s="26">
        <v>5.6979166666666664E-2</v>
      </c>
      <c r="U68" s="26">
        <v>6.2847222222222221E-2</v>
      </c>
      <c r="V68" s="26">
        <v>0.11159722222222222</v>
      </c>
      <c r="W68" s="26">
        <v>0.12291666666666666</v>
      </c>
      <c r="X68" s="26">
        <v>0.12011574074074075</v>
      </c>
      <c r="Y68" s="26">
        <v>0.13252314814814814</v>
      </c>
      <c r="Z68" s="27">
        <v>81.49439814814815</v>
      </c>
      <c r="AA68" s="27">
        <v>71.25560185185185</v>
      </c>
      <c r="AB68" s="27">
        <v>73.632002314814812</v>
      </c>
      <c r="AC68" s="27">
        <v>63.855995370370373</v>
      </c>
      <c r="AD68" s="27">
        <v>125.63719907407408</v>
      </c>
      <c r="AE68" s="27">
        <v>113.14159722222222</v>
      </c>
      <c r="AF68" s="27">
        <v>116.1004050925926</v>
      </c>
      <c r="AG68" s="27">
        <v>103.70359953703704</v>
      </c>
    </row>
    <row r="69" spans="1:33" x14ac:dyDescent="0.25">
      <c r="A69" s="17">
        <v>75</v>
      </c>
      <c r="B69" s="26">
        <v>1.0266203703703704E-2</v>
      </c>
      <c r="C69" s="26">
        <v>1.1307870370370371E-2</v>
      </c>
      <c r="D69" s="26">
        <v>1.105324074074074E-2</v>
      </c>
      <c r="E69" s="26">
        <v>1.21875E-2</v>
      </c>
      <c r="F69" s="26">
        <v>1.5474537037037037E-2</v>
      </c>
      <c r="G69" s="26">
        <v>1.7037037037037038E-2</v>
      </c>
      <c r="H69" s="26">
        <v>1.6655092592592593E-2</v>
      </c>
      <c r="I69" s="26">
        <v>1.8368055555555554E-2</v>
      </c>
      <c r="J69" s="26">
        <v>2.6053240740740741E-2</v>
      </c>
      <c r="K69" s="26">
        <v>2.8680555555555556E-2</v>
      </c>
      <c r="L69" s="26">
        <v>2.8032407407407409E-2</v>
      </c>
      <c r="M69" s="26">
        <v>3.0914351851851853E-2</v>
      </c>
      <c r="N69" s="26">
        <v>3.1412037037037037E-2</v>
      </c>
      <c r="O69" s="26">
        <v>3.4594907407407408E-2</v>
      </c>
      <c r="P69" s="26">
        <v>3.380787037037037E-2</v>
      </c>
      <c r="Q69" s="26">
        <v>3.7280092592592594E-2</v>
      </c>
      <c r="R69" s="26">
        <v>5.3425925925925925E-2</v>
      </c>
      <c r="S69" s="26">
        <v>5.8842592592592592E-2</v>
      </c>
      <c r="T69" s="26">
        <v>5.7500000000000002E-2</v>
      </c>
      <c r="U69" s="26">
        <v>6.3425925925925927E-2</v>
      </c>
      <c r="V69" s="26">
        <v>0.11271990740740741</v>
      </c>
      <c r="W69" s="26">
        <v>0.12417824074074074</v>
      </c>
      <c r="X69" s="26">
        <v>0.1213425925925926</v>
      </c>
      <c r="Y69" s="26">
        <v>0.13390046296296296</v>
      </c>
      <c r="Z69" s="27">
        <v>79.970798611111107</v>
      </c>
      <c r="AA69" s="27">
        <v>69.898402777777775</v>
      </c>
      <c r="AB69" s="27">
        <v>72.23319444444445</v>
      </c>
      <c r="AC69" s="27">
        <v>62.607997685185182</v>
      </c>
      <c r="AD69" s="27">
        <v>122.72519675925926</v>
      </c>
      <c r="AE69" s="27">
        <v>110.52599537037037</v>
      </c>
      <c r="AF69" s="27">
        <v>113.41719907407408</v>
      </c>
      <c r="AG69" s="27">
        <v>101.29079861111111</v>
      </c>
    </row>
    <row r="70" spans="1:33" x14ac:dyDescent="0.25">
      <c r="A70" s="17">
        <v>76</v>
      </c>
      <c r="B70" s="26">
        <v>1.0358796296296297E-2</v>
      </c>
      <c r="C70" s="26">
        <v>1.1400462962962963E-2</v>
      </c>
      <c r="D70" s="26">
        <v>1.1145833333333334E-2</v>
      </c>
      <c r="E70" s="26">
        <v>1.2291666666666666E-2</v>
      </c>
      <c r="F70" s="26">
        <v>1.5613425925925926E-2</v>
      </c>
      <c r="G70" s="26">
        <v>1.7187500000000001E-2</v>
      </c>
      <c r="H70" s="26">
        <v>1.6793981481481483E-2</v>
      </c>
      <c r="I70" s="26">
        <v>1.8530092592592591E-2</v>
      </c>
      <c r="J70" s="26">
        <v>2.627314814814815E-2</v>
      </c>
      <c r="K70" s="26">
        <v>2.8935185185185185E-2</v>
      </c>
      <c r="L70" s="26">
        <v>2.8275462962962964E-2</v>
      </c>
      <c r="M70" s="26">
        <v>3.1192129629629629E-2</v>
      </c>
      <c r="N70" s="26">
        <v>3.1689814814814816E-2</v>
      </c>
      <c r="O70" s="26">
        <v>3.4907407407407408E-2</v>
      </c>
      <c r="P70" s="26">
        <v>3.4108796296296297E-2</v>
      </c>
      <c r="Q70" s="26">
        <v>3.7627314814814815E-2</v>
      </c>
      <c r="R70" s="26">
        <v>5.392361111111111E-2</v>
      </c>
      <c r="S70" s="26">
        <v>5.9398148148148151E-2</v>
      </c>
      <c r="T70" s="26">
        <v>5.8043981481481481E-2</v>
      </c>
      <c r="U70" s="26">
        <v>6.4039351851851847E-2</v>
      </c>
      <c r="V70" s="26">
        <v>0.11388888888888889</v>
      </c>
      <c r="W70" s="26">
        <v>0.12550925925925926</v>
      </c>
      <c r="X70" s="26">
        <v>0.12262731481481481</v>
      </c>
      <c r="Y70" s="26">
        <v>0.13534722222222223</v>
      </c>
      <c r="Z70" s="27">
        <v>78.410798611111105</v>
      </c>
      <c r="AA70" s="27">
        <v>68.510000000000005</v>
      </c>
      <c r="AB70" s="27">
        <v>70.808402777777772</v>
      </c>
      <c r="AC70" s="27">
        <v>61.344398148148152</v>
      </c>
      <c r="AD70" s="27">
        <v>119.77159722222223</v>
      </c>
      <c r="AE70" s="27">
        <v>107.86359953703703</v>
      </c>
      <c r="AF70" s="27">
        <v>110.68719907407407</v>
      </c>
      <c r="AG70" s="27">
        <v>98.841597222222219</v>
      </c>
    </row>
    <row r="71" spans="1:33" x14ac:dyDescent="0.25">
      <c r="A71" s="17">
        <v>77</v>
      </c>
      <c r="B71" s="26">
        <v>1.0439814814814815E-2</v>
      </c>
      <c r="C71" s="26">
        <v>1.150462962962963E-2</v>
      </c>
      <c r="D71" s="26">
        <v>1.1238425925925926E-2</v>
      </c>
      <c r="E71" s="26">
        <v>1.2395833333333333E-2</v>
      </c>
      <c r="F71" s="26">
        <v>1.5740740740740739E-2</v>
      </c>
      <c r="G71" s="26">
        <v>1.7349537037037038E-2</v>
      </c>
      <c r="H71" s="26">
        <v>1.6944444444444446E-2</v>
      </c>
      <c r="I71" s="26">
        <v>1.8703703703703705E-2</v>
      </c>
      <c r="J71" s="26">
        <v>2.6516203703703705E-2</v>
      </c>
      <c r="K71" s="26">
        <v>2.9201388888888888E-2</v>
      </c>
      <c r="L71" s="26">
        <v>2.8541666666666667E-2</v>
      </c>
      <c r="M71" s="26">
        <v>3.1493055555555559E-2</v>
      </c>
      <c r="N71" s="26">
        <v>3.197916666666667E-2</v>
      </c>
      <c r="O71" s="26">
        <v>3.5231481481481482E-2</v>
      </c>
      <c r="P71" s="26">
        <v>3.4421296296296297E-2</v>
      </c>
      <c r="Q71" s="26">
        <v>3.7986111111111109E-2</v>
      </c>
      <c r="R71" s="26">
        <v>5.4444444444444441E-2</v>
      </c>
      <c r="S71" s="26">
        <v>5.9976851851851851E-2</v>
      </c>
      <c r="T71" s="26">
        <v>5.859953703703704E-2</v>
      </c>
      <c r="U71" s="26">
        <v>6.4675925925925928E-2</v>
      </c>
      <c r="V71" s="26">
        <v>0.11512731481481482</v>
      </c>
      <c r="W71" s="26">
        <v>0.12689814814814815</v>
      </c>
      <c r="X71" s="26">
        <v>0.1239699074074074</v>
      </c>
      <c r="Y71" s="26">
        <v>0.136875</v>
      </c>
      <c r="Z71" s="27">
        <v>76.83</v>
      </c>
      <c r="AA71" s="27">
        <v>67.095601851851853</v>
      </c>
      <c r="AB71" s="27">
        <v>69.357604166666661</v>
      </c>
      <c r="AC71" s="27">
        <v>60.04959490740741</v>
      </c>
      <c r="AD71" s="27">
        <v>116.76599537037038</v>
      </c>
      <c r="AE71" s="27">
        <v>105.15959490740741</v>
      </c>
      <c r="AF71" s="27">
        <v>107.9104050925926</v>
      </c>
      <c r="AG71" s="27">
        <v>96.350798611111117</v>
      </c>
    </row>
    <row r="72" spans="1:33" x14ac:dyDescent="0.25">
      <c r="A72" s="17">
        <v>78</v>
      </c>
      <c r="B72" s="26">
        <v>1.0543981481481482E-2</v>
      </c>
      <c r="C72" s="26">
        <v>1.1608796296296296E-2</v>
      </c>
      <c r="D72" s="26">
        <v>1.1342592592592593E-2</v>
      </c>
      <c r="E72" s="26">
        <v>1.2511574074074074E-2</v>
      </c>
      <c r="F72" s="26">
        <v>1.5891203703703703E-2</v>
      </c>
      <c r="G72" s="26">
        <v>1.7500000000000002E-2</v>
      </c>
      <c r="H72" s="26">
        <v>1.7106481481481483E-2</v>
      </c>
      <c r="I72" s="26">
        <v>1.8877314814814816E-2</v>
      </c>
      <c r="J72" s="26">
        <v>2.675925925925926E-2</v>
      </c>
      <c r="K72" s="26">
        <v>2.9479166666666667E-2</v>
      </c>
      <c r="L72" s="26">
        <v>2.8807870370370369E-2</v>
      </c>
      <c r="M72" s="26">
        <v>3.1793981481481479E-2</v>
      </c>
      <c r="N72" s="26">
        <v>3.2280092592592589E-2</v>
      </c>
      <c r="O72" s="26">
        <v>3.5567129629629629E-2</v>
      </c>
      <c r="P72" s="26">
        <v>3.4756944444444444E-2</v>
      </c>
      <c r="Q72" s="26">
        <v>3.8356481481481484E-2</v>
      </c>
      <c r="R72" s="26">
        <v>5.4976851851851853E-2</v>
      </c>
      <c r="S72" s="26">
        <v>6.0578703703703704E-2</v>
      </c>
      <c r="T72" s="26">
        <v>5.9189814814814813E-2</v>
      </c>
      <c r="U72" s="26">
        <v>6.5335648148148143E-2</v>
      </c>
      <c r="V72" s="26">
        <v>0.11641203703703704</v>
      </c>
      <c r="W72" s="26">
        <v>0.12835648148148149</v>
      </c>
      <c r="X72" s="26">
        <v>0.12539351851851852</v>
      </c>
      <c r="Y72" s="26">
        <v>0.13847222222222222</v>
      </c>
      <c r="Z72" s="27">
        <v>75.212800925925933</v>
      </c>
      <c r="AA72" s="27">
        <v>65.660405092592597</v>
      </c>
      <c r="AB72" s="27">
        <v>67.880798611111118</v>
      </c>
      <c r="AC72" s="27">
        <v>58.734004629629631</v>
      </c>
      <c r="AD72" s="27">
        <v>113.71359953703704</v>
      </c>
      <c r="AE72" s="27">
        <v>102.4087962962963</v>
      </c>
      <c r="AF72" s="27">
        <v>105.09200231481482</v>
      </c>
      <c r="AG72" s="27">
        <v>93.818402777777777</v>
      </c>
    </row>
    <row r="73" spans="1:33" x14ac:dyDescent="0.25">
      <c r="A73" s="17">
        <v>79</v>
      </c>
      <c r="B73" s="26">
        <v>1.0636574074074074E-2</v>
      </c>
      <c r="C73" s="26">
        <v>1.1724537037037037E-2</v>
      </c>
      <c r="D73" s="26">
        <v>1.1446759259259259E-2</v>
      </c>
      <c r="E73" s="26">
        <v>1.2638888888888889E-2</v>
      </c>
      <c r="F73" s="26">
        <v>1.6041666666666666E-2</v>
      </c>
      <c r="G73" s="26">
        <v>1.7673611111111112E-2</v>
      </c>
      <c r="H73" s="26">
        <v>1.726851851851852E-2</v>
      </c>
      <c r="I73" s="26">
        <v>1.90625E-2</v>
      </c>
      <c r="J73" s="26">
        <v>2.7013888888888889E-2</v>
      </c>
      <c r="K73" s="26">
        <v>2.9768518518518517E-2</v>
      </c>
      <c r="L73" s="26">
        <v>2.9085648148148149E-2</v>
      </c>
      <c r="M73" s="26">
        <v>3.2106481481481479E-2</v>
      </c>
      <c r="N73" s="26">
        <v>3.259259259259259E-2</v>
      </c>
      <c r="O73" s="26">
        <v>3.5925925925925924E-2</v>
      </c>
      <c r="P73" s="26">
        <v>3.5104166666666665E-2</v>
      </c>
      <c r="Q73" s="26">
        <v>3.875E-2</v>
      </c>
      <c r="R73" s="26">
        <v>5.5543981481481479E-2</v>
      </c>
      <c r="S73" s="26">
        <v>6.1215277777777778E-2</v>
      </c>
      <c r="T73" s="26">
        <v>5.980324074074074E-2</v>
      </c>
      <c r="U73" s="26">
        <v>6.6030092592592599E-2</v>
      </c>
      <c r="V73" s="26">
        <v>0.11777777777777777</v>
      </c>
      <c r="W73" s="26">
        <v>0.12988425925925925</v>
      </c>
      <c r="X73" s="26">
        <v>0.12687499999999999</v>
      </c>
      <c r="Y73" s="26">
        <v>0.14015046296296296</v>
      </c>
      <c r="Z73" s="27">
        <v>73.569594907407406</v>
      </c>
      <c r="AA73" s="27">
        <v>64.194004629629632</v>
      </c>
      <c r="AB73" s="27">
        <v>66.377997685185179</v>
      </c>
      <c r="AC73" s="27">
        <v>57.392395833333332</v>
      </c>
      <c r="AD73" s="27">
        <v>110.6195949074074</v>
      </c>
      <c r="AE73" s="27">
        <v>99.616400462962957</v>
      </c>
      <c r="AF73" s="27">
        <v>102.23200231481482</v>
      </c>
      <c r="AG73" s="27">
        <v>91.24439814814815</v>
      </c>
    </row>
    <row r="74" spans="1:33" x14ac:dyDescent="0.25">
      <c r="A74" s="17">
        <v>80</v>
      </c>
      <c r="B74" s="26">
        <v>1.074074074074074E-2</v>
      </c>
      <c r="C74" s="26">
        <v>1.1828703703703704E-2</v>
      </c>
      <c r="D74" s="26">
        <v>1.15625E-2</v>
      </c>
      <c r="E74" s="26">
        <v>1.2766203703703703E-2</v>
      </c>
      <c r="F74" s="26">
        <v>1.6192129629629629E-2</v>
      </c>
      <c r="G74" s="26">
        <v>1.7847222222222223E-2</v>
      </c>
      <c r="H74" s="26">
        <v>1.744212962962963E-2</v>
      </c>
      <c r="I74" s="26">
        <v>1.9247685185185184E-2</v>
      </c>
      <c r="J74" s="26">
        <v>2.7291666666666665E-2</v>
      </c>
      <c r="K74" s="26">
        <v>3.0081018518518517E-2</v>
      </c>
      <c r="L74" s="26">
        <v>2.9386574074074075E-2</v>
      </c>
      <c r="M74" s="26">
        <v>3.2442129629629626E-2</v>
      </c>
      <c r="N74" s="26">
        <v>3.2928240740740744E-2</v>
      </c>
      <c r="O74" s="26">
        <v>3.6296296296296299E-2</v>
      </c>
      <c r="P74" s="26">
        <v>3.5451388888888886E-2</v>
      </c>
      <c r="Q74" s="26">
        <v>3.9155092592592596E-2</v>
      </c>
      <c r="R74" s="26">
        <v>5.6122685185185185E-2</v>
      </c>
      <c r="S74" s="26">
        <v>6.1886574074074073E-2</v>
      </c>
      <c r="T74" s="26">
        <v>6.0451388888888888E-2</v>
      </c>
      <c r="U74" s="26">
        <v>6.6759259259259254E-2</v>
      </c>
      <c r="V74" s="26">
        <v>0.11920138888888888</v>
      </c>
      <c r="W74" s="26">
        <v>0.13150462962962964</v>
      </c>
      <c r="X74" s="26">
        <v>0.12844907407407408</v>
      </c>
      <c r="Y74" s="26">
        <v>0.1419212962962963</v>
      </c>
      <c r="Z74" s="27">
        <v>71.900405092592592</v>
      </c>
      <c r="AA74" s="27">
        <v>62.706805555555555</v>
      </c>
      <c r="AB74" s="27">
        <v>64.844004629629623</v>
      </c>
      <c r="AC74" s="27">
        <v>56.03</v>
      </c>
      <c r="AD74" s="27">
        <v>107.47359953703703</v>
      </c>
      <c r="AE74" s="27">
        <v>96.782395833333339</v>
      </c>
      <c r="AF74" s="27">
        <v>99.325196759259256</v>
      </c>
      <c r="AG74" s="27">
        <v>88.623599537037038</v>
      </c>
    </row>
    <row r="75" spans="1:33" x14ac:dyDescent="0.25">
      <c r="A75" s="17">
        <v>81</v>
      </c>
      <c r="B75" s="26">
        <v>1.0844907407407407E-2</v>
      </c>
      <c r="C75" s="26">
        <v>1.1956018518518519E-2</v>
      </c>
      <c r="D75" s="26">
        <v>1.1678240740740741E-2</v>
      </c>
      <c r="E75" s="26">
        <v>1.2893518518518518E-2</v>
      </c>
      <c r="F75" s="26">
        <v>1.6354166666666666E-2</v>
      </c>
      <c r="G75" s="26">
        <v>1.8032407407407407E-2</v>
      </c>
      <c r="H75" s="26">
        <v>1.7615740740740741E-2</v>
      </c>
      <c r="I75" s="26">
        <v>1.9444444444444445E-2</v>
      </c>
      <c r="J75" s="26">
        <v>2.7569444444444445E-2</v>
      </c>
      <c r="K75" s="26">
        <v>3.0393518518518518E-2</v>
      </c>
      <c r="L75" s="26">
        <v>2.9699074074074076E-2</v>
      </c>
      <c r="M75" s="26">
        <v>3.2789351851851854E-2</v>
      </c>
      <c r="N75" s="26">
        <v>3.3263888888888891E-2</v>
      </c>
      <c r="O75" s="26">
        <v>3.667824074074074E-2</v>
      </c>
      <c r="P75" s="26">
        <v>3.5833333333333335E-2</v>
      </c>
      <c r="Q75" s="26">
        <v>3.9571759259259258E-2</v>
      </c>
      <c r="R75" s="26">
        <v>5.6747685185185186E-2</v>
      </c>
      <c r="S75" s="26">
        <v>6.2581018518518522E-2</v>
      </c>
      <c r="T75" s="26">
        <v>6.1122685185185183E-2</v>
      </c>
      <c r="U75" s="26">
        <v>6.7523148148148152E-2</v>
      </c>
      <c r="V75" s="26">
        <v>0.1207175925925926</v>
      </c>
      <c r="W75" s="26">
        <v>0.13319444444444445</v>
      </c>
      <c r="X75" s="26">
        <v>0.13010416666666666</v>
      </c>
      <c r="Y75" s="26">
        <v>0.14377314814814815</v>
      </c>
      <c r="Z75" s="27">
        <v>70.2</v>
      </c>
      <c r="AA75" s="27">
        <v>61.188402777777775</v>
      </c>
      <c r="AB75" s="27">
        <v>63.284004629629628</v>
      </c>
      <c r="AC75" s="27">
        <v>54.641597222222224</v>
      </c>
      <c r="AD75" s="27">
        <v>104.28079861111111</v>
      </c>
      <c r="AE75" s="27">
        <v>93.901597222222222</v>
      </c>
      <c r="AF75" s="27">
        <v>96.371597222222221</v>
      </c>
      <c r="AG75" s="27">
        <v>85.966400462962966</v>
      </c>
    </row>
    <row r="76" spans="1:33" x14ac:dyDescent="0.25">
      <c r="A76" s="17">
        <v>82</v>
      </c>
      <c r="B76" s="26">
        <v>1.0960648148148148E-2</v>
      </c>
      <c r="C76" s="26">
        <v>1.2083333333333333E-2</v>
      </c>
      <c r="D76" s="26">
        <v>1.1805555555555555E-2</v>
      </c>
      <c r="E76" s="26">
        <v>1.3032407407407407E-2</v>
      </c>
      <c r="F76" s="26">
        <v>1.6527777777777777E-2</v>
      </c>
      <c r="G76" s="26">
        <v>1.8217592592592594E-2</v>
      </c>
      <c r="H76" s="26">
        <v>1.7800925925925925E-2</v>
      </c>
      <c r="I76" s="26">
        <v>1.9664351851851853E-2</v>
      </c>
      <c r="J76" s="26">
        <v>2.7858796296296295E-2</v>
      </c>
      <c r="K76" s="26">
        <v>3.0729166666666665E-2</v>
      </c>
      <c r="L76" s="26">
        <v>3.0011574074074072E-2</v>
      </c>
      <c r="M76" s="26">
        <v>3.3159722222222222E-2</v>
      </c>
      <c r="N76" s="26">
        <v>3.3622685185185186E-2</v>
      </c>
      <c r="O76" s="26">
        <v>3.7083333333333336E-2</v>
      </c>
      <c r="P76" s="26">
        <v>3.622685185185185E-2</v>
      </c>
      <c r="Q76" s="26">
        <v>4.0011574074074074E-2</v>
      </c>
      <c r="R76" s="26">
        <v>5.7395833333333333E-2</v>
      </c>
      <c r="S76" s="26">
        <v>6.3310185185185192E-2</v>
      </c>
      <c r="T76" s="26">
        <v>6.1840277777777779E-2</v>
      </c>
      <c r="U76" s="26">
        <v>6.8321759259259263E-2</v>
      </c>
      <c r="V76" s="26">
        <v>0.12231481481481482</v>
      </c>
      <c r="W76" s="26">
        <v>0.13500000000000001</v>
      </c>
      <c r="X76" s="26">
        <v>0.13184027777777776</v>
      </c>
      <c r="Y76" s="26">
        <v>0.14575231481481482</v>
      </c>
      <c r="Z76" s="27">
        <v>68.46319444444444</v>
      </c>
      <c r="AA76" s="27">
        <v>59.644004629629627</v>
      </c>
      <c r="AB76" s="27">
        <v>61.697997685185186</v>
      </c>
      <c r="AC76" s="27">
        <v>53.227199074074072</v>
      </c>
      <c r="AD76" s="27">
        <v>101.04640046296296</v>
      </c>
      <c r="AE76" s="27">
        <v>90.974004629629633</v>
      </c>
      <c r="AF76" s="27">
        <v>93.371203703703699</v>
      </c>
      <c r="AG76" s="27">
        <v>83.262395833333329</v>
      </c>
    </row>
    <row r="77" spans="1:33" x14ac:dyDescent="0.25">
      <c r="A77" s="17">
        <v>83</v>
      </c>
      <c r="B77" s="26">
        <v>1.1076388888888889E-2</v>
      </c>
      <c r="C77" s="26">
        <v>1.2210648148148148E-2</v>
      </c>
      <c r="D77" s="26">
        <v>1.193287037037037E-2</v>
      </c>
      <c r="E77" s="26">
        <v>1.3182870370370371E-2</v>
      </c>
      <c r="F77" s="26">
        <v>1.6701388888888891E-2</v>
      </c>
      <c r="G77" s="26">
        <v>1.8425925925925925E-2</v>
      </c>
      <c r="H77" s="26">
        <v>1.7997685185185186E-2</v>
      </c>
      <c r="I77" s="26">
        <v>1.9884259259259258E-2</v>
      </c>
      <c r="J77" s="26">
        <v>2.8171296296296295E-2</v>
      </c>
      <c r="K77" s="26">
        <v>3.107638888888889E-2</v>
      </c>
      <c r="L77" s="26">
        <v>3.0358796296296297E-2</v>
      </c>
      <c r="M77" s="26">
        <v>3.3530092592592591E-2</v>
      </c>
      <c r="N77" s="26">
        <v>3.4004629629629628E-2</v>
      </c>
      <c r="O77" s="26">
        <v>3.7511574074074072E-2</v>
      </c>
      <c r="P77" s="26">
        <v>3.664351851851852E-2</v>
      </c>
      <c r="Q77" s="26">
        <v>4.0486111111111112E-2</v>
      </c>
      <c r="R77" s="26">
        <v>5.8067129629629628E-2</v>
      </c>
      <c r="S77" s="26">
        <v>6.4074074074074075E-2</v>
      </c>
      <c r="T77" s="26">
        <v>6.2592592592592589E-2</v>
      </c>
      <c r="U77" s="26">
        <v>6.9166666666666668E-2</v>
      </c>
      <c r="V77" s="26">
        <v>0.12399305555555555</v>
      </c>
      <c r="W77" s="26">
        <v>0.13689814814814816</v>
      </c>
      <c r="X77" s="26">
        <v>0.13369212962962962</v>
      </c>
      <c r="Y77" s="26">
        <v>0.14782407407407408</v>
      </c>
      <c r="Z77" s="27">
        <v>66.70040509259259</v>
      </c>
      <c r="AA77" s="27">
        <v>58.068402777777777</v>
      </c>
      <c r="AB77" s="27">
        <v>60.080798611111113</v>
      </c>
      <c r="AC77" s="27">
        <v>51.781597222222224</v>
      </c>
      <c r="AD77" s="27">
        <v>97.76</v>
      </c>
      <c r="AE77" s="27">
        <v>88.004803240740742</v>
      </c>
      <c r="AF77" s="27">
        <v>90.32920138888889</v>
      </c>
      <c r="AG77" s="27">
        <v>80.51680555555555</v>
      </c>
    </row>
    <row r="78" spans="1:33" x14ac:dyDescent="0.25">
      <c r="A78" s="17">
        <v>84</v>
      </c>
      <c r="B78" s="26">
        <v>1.119212962962963E-2</v>
      </c>
      <c r="C78" s="26">
        <v>1.2349537037037037E-2</v>
      </c>
      <c r="D78" s="26">
        <v>1.2060185185185186E-2</v>
      </c>
      <c r="E78" s="26">
        <v>1.3333333333333334E-2</v>
      </c>
      <c r="F78" s="26">
        <v>1.6898148148148148E-2</v>
      </c>
      <c r="G78" s="26">
        <v>1.863425925925926E-2</v>
      </c>
      <c r="H78" s="26">
        <v>1.8206018518518517E-2</v>
      </c>
      <c r="I78" s="26">
        <v>2.011574074074074E-2</v>
      </c>
      <c r="J78" s="26">
        <v>2.8495370370370369E-2</v>
      </c>
      <c r="K78" s="26">
        <v>3.1435185185185184E-2</v>
      </c>
      <c r="L78" s="26">
        <v>3.0706018518518518E-2</v>
      </c>
      <c r="M78" s="26">
        <v>3.3935185185185186E-2</v>
      </c>
      <c r="N78" s="26">
        <v>3.4409722222222223E-2</v>
      </c>
      <c r="O78" s="26">
        <v>3.7962962962962962E-2</v>
      </c>
      <c r="P78" s="26">
        <v>3.7083333333333336E-2</v>
      </c>
      <c r="Q78" s="26">
        <v>4.0972222222222222E-2</v>
      </c>
      <c r="R78" s="26">
        <v>5.8784722222222224E-2</v>
      </c>
      <c r="S78" s="26">
        <v>6.4884259259259253E-2</v>
      </c>
      <c r="T78" s="26">
        <v>6.3368055555555552E-2</v>
      </c>
      <c r="U78" s="26">
        <v>7.0046296296296301E-2</v>
      </c>
      <c r="V78" s="26">
        <v>0.12577546296296296</v>
      </c>
      <c r="W78" s="26">
        <v>0.13890046296296296</v>
      </c>
      <c r="X78" s="26">
        <v>0.13564814814814816</v>
      </c>
      <c r="Y78" s="26">
        <v>0.15002314814814816</v>
      </c>
      <c r="Z78" s="27">
        <v>64.906400462962964</v>
      </c>
      <c r="AA78" s="27">
        <v>56.466805555555553</v>
      </c>
      <c r="AB78" s="27">
        <v>58.432395833333331</v>
      </c>
      <c r="AC78" s="27">
        <v>50.315196759259258</v>
      </c>
      <c r="AD78" s="27">
        <v>94.426805555555561</v>
      </c>
      <c r="AE78" s="27">
        <v>84.9887962962963</v>
      </c>
      <c r="AF78" s="27">
        <v>87.240405092592596</v>
      </c>
      <c r="AG78" s="27">
        <v>77.729594907407403</v>
      </c>
    </row>
    <row r="79" spans="1:33" x14ac:dyDescent="0.25">
      <c r="A79" s="17">
        <v>85</v>
      </c>
      <c r="B79" s="26">
        <v>1.1319444444444444E-2</v>
      </c>
      <c r="C79" s="26">
        <v>1.2500000000000001E-2</v>
      </c>
      <c r="D79" s="26">
        <v>1.2210648148148148E-2</v>
      </c>
      <c r="E79" s="26">
        <v>1.3483796296296296E-2</v>
      </c>
      <c r="F79" s="26">
        <v>1.7083333333333332E-2</v>
      </c>
      <c r="G79" s="26">
        <v>1.8854166666666668E-2</v>
      </c>
      <c r="H79" s="26">
        <v>1.8414351851851852E-2</v>
      </c>
      <c r="I79" s="26">
        <v>2.0358796296296295E-2</v>
      </c>
      <c r="J79" s="26">
        <v>2.883101851851852E-2</v>
      </c>
      <c r="K79" s="26">
        <v>3.1817129629629633E-2</v>
      </c>
      <c r="L79" s="26">
        <v>3.107638888888889E-2</v>
      </c>
      <c r="M79" s="26">
        <v>3.4351851851851849E-2</v>
      </c>
      <c r="N79" s="26">
        <v>3.4814814814814812E-2</v>
      </c>
      <c r="O79" s="26">
        <v>3.8425925925925926E-2</v>
      </c>
      <c r="P79" s="26">
        <v>3.7534722222222219E-2</v>
      </c>
      <c r="Q79" s="26">
        <v>4.1493055555555554E-2</v>
      </c>
      <c r="R79" s="26">
        <v>5.9548611111111108E-2</v>
      </c>
      <c r="S79" s="26">
        <v>6.5729166666666672E-2</v>
      </c>
      <c r="T79" s="26">
        <v>6.4189814814814811E-2</v>
      </c>
      <c r="U79" s="26">
        <v>7.0972222222222228E-2</v>
      </c>
      <c r="V79" s="26">
        <v>0.12767361111111111</v>
      </c>
      <c r="W79" s="26">
        <v>0.14104166666666668</v>
      </c>
      <c r="X79" s="26">
        <v>0.13771990740740742</v>
      </c>
      <c r="Y79" s="26">
        <v>0.15236111111111111</v>
      </c>
      <c r="Z79" s="27">
        <v>63.081203703703707</v>
      </c>
      <c r="AA79" s="27">
        <v>54.834004629629632</v>
      </c>
      <c r="AB79" s="27">
        <v>56.757997685185188</v>
      </c>
      <c r="AC79" s="27">
        <v>48.822800925925925</v>
      </c>
      <c r="AD79" s="27">
        <v>91.046805555555551</v>
      </c>
      <c r="AE79" s="27">
        <v>81.92079861111111</v>
      </c>
      <c r="AF79" s="27">
        <v>84.099594907407408</v>
      </c>
      <c r="AG79" s="27">
        <v>74.89560185185185</v>
      </c>
    </row>
    <row r="80" spans="1:33" x14ac:dyDescent="0.25">
      <c r="A80" s="17">
        <v>86</v>
      </c>
      <c r="B80" s="26">
        <v>1.1458333333333333E-2</v>
      </c>
      <c r="C80" s="26">
        <v>1.2638888888888889E-2</v>
      </c>
      <c r="D80" s="26">
        <v>1.2349537037037037E-2</v>
      </c>
      <c r="E80" s="26">
        <v>1.3645833333333333E-2</v>
      </c>
      <c r="F80" s="26">
        <v>1.7291666666666667E-2</v>
      </c>
      <c r="G80" s="26">
        <v>1.9085648148148147E-2</v>
      </c>
      <c r="H80" s="26">
        <v>1.8645833333333334E-2</v>
      </c>
      <c r="I80" s="26">
        <v>2.0613425925925927E-2</v>
      </c>
      <c r="J80" s="26">
        <v>2.9189814814814814E-2</v>
      </c>
      <c r="K80" s="26">
        <v>3.2222222222222222E-2</v>
      </c>
      <c r="L80" s="26">
        <v>3.1469907407407405E-2</v>
      </c>
      <c r="M80" s="26">
        <v>3.4791666666666665E-2</v>
      </c>
      <c r="N80" s="26">
        <v>3.5254629629629629E-2</v>
      </c>
      <c r="O80" s="26">
        <v>3.892361111111111E-2</v>
      </c>
      <c r="P80" s="26">
        <v>3.8009259259259257E-2</v>
      </c>
      <c r="Q80" s="26">
        <v>4.2025462962962966E-2</v>
      </c>
      <c r="R80" s="26">
        <v>6.0335648148148145E-2</v>
      </c>
      <c r="S80" s="26">
        <v>6.6631944444444438E-2</v>
      </c>
      <c r="T80" s="26">
        <v>6.5069444444444444E-2</v>
      </c>
      <c r="U80" s="26">
        <v>7.1956018518518516E-2</v>
      </c>
      <c r="V80" s="26">
        <v>0.12968750000000001</v>
      </c>
      <c r="W80" s="26">
        <v>0.14331018518518518</v>
      </c>
      <c r="X80" s="26">
        <v>0.13991898148148149</v>
      </c>
      <c r="Y80" s="26">
        <v>0.15484953703703705</v>
      </c>
      <c r="Z80" s="27">
        <v>61.219594907407405</v>
      </c>
      <c r="AA80" s="27">
        <v>53.175196759259258</v>
      </c>
      <c r="AB80" s="27">
        <v>55.052395833333335</v>
      </c>
      <c r="AC80" s="27">
        <v>47.299201388888889</v>
      </c>
      <c r="AD80" s="27">
        <v>87.614803240740741</v>
      </c>
      <c r="AE80" s="27">
        <v>78.811203703703697</v>
      </c>
      <c r="AF80" s="27">
        <v>80.917199074074077</v>
      </c>
      <c r="AG80" s="27">
        <v>72.014803240740747</v>
      </c>
    </row>
    <row r="81" spans="1:33" x14ac:dyDescent="0.25">
      <c r="A81" s="17">
        <v>87</v>
      </c>
      <c r="B81" s="26">
        <v>1.1597222222222222E-2</v>
      </c>
      <c r="C81" s="26">
        <v>1.2800925925925926E-2</v>
      </c>
      <c r="D81" s="26">
        <v>1.2500000000000001E-2</v>
      </c>
      <c r="E81" s="26">
        <v>1.3831018518518519E-2</v>
      </c>
      <c r="F81" s="26">
        <v>1.7511574074074075E-2</v>
      </c>
      <c r="G81" s="26">
        <v>1.9328703703703702E-2</v>
      </c>
      <c r="H81" s="26">
        <v>1.8877314814814816E-2</v>
      </c>
      <c r="I81" s="26">
        <v>2.087962962962963E-2</v>
      </c>
      <c r="J81" s="26">
        <v>2.9571759259259259E-2</v>
      </c>
      <c r="K81" s="26">
        <v>3.2650462962962964E-2</v>
      </c>
      <c r="L81" s="26">
        <v>3.1886574074074074E-2</v>
      </c>
      <c r="M81" s="26">
        <v>3.5266203703703702E-2</v>
      </c>
      <c r="N81" s="26">
        <v>3.5717592592592592E-2</v>
      </c>
      <c r="O81" s="26">
        <v>3.9444444444444442E-2</v>
      </c>
      <c r="P81" s="26">
        <v>3.8518518518518521E-2</v>
      </c>
      <c r="Q81" s="26">
        <v>4.2604166666666665E-2</v>
      </c>
      <c r="R81" s="26">
        <v>6.1180555555555557E-2</v>
      </c>
      <c r="S81" s="26">
        <v>6.7581018518518512E-2</v>
      </c>
      <c r="T81" s="26">
        <v>6.598379629629629E-2</v>
      </c>
      <c r="U81" s="26">
        <v>7.2997685185185179E-2</v>
      </c>
      <c r="V81" s="26">
        <v>0.1318287037037037</v>
      </c>
      <c r="W81" s="26">
        <v>0.14571759259259259</v>
      </c>
      <c r="X81" s="26">
        <v>0.14226851851851852</v>
      </c>
      <c r="Y81" s="26">
        <v>0.1575</v>
      </c>
      <c r="Z81" s="27">
        <v>59.321597222222223</v>
      </c>
      <c r="AA81" s="27">
        <v>51.48</v>
      </c>
      <c r="AB81" s="27">
        <v>53.310405092592596</v>
      </c>
      <c r="AC81" s="27">
        <v>45.749594907407406</v>
      </c>
      <c r="AD81" s="27">
        <v>84.141203703703709</v>
      </c>
      <c r="AE81" s="27">
        <v>75.654803240740748</v>
      </c>
      <c r="AF81" s="27">
        <v>77.687997685185181</v>
      </c>
      <c r="AG81" s="27">
        <v>69.092395833333327</v>
      </c>
    </row>
    <row r="82" spans="1:33" x14ac:dyDescent="0.25">
      <c r="A82" s="17">
        <v>88</v>
      </c>
      <c r="B82" s="26">
        <v>1.1747685185185186E-2</v>
      </c>
      <c r="C82" s="26">
        <v>1.2974537037037038E-2</v>
      </c>
      <c r="D82" s="26">
        <v>1.2662037037037038E-2</v>
      </c>
      <c r="E82" s="26">
        <v>1.4016203703703704E-2</v>
      </c>
      <c r="F82" s="26">
        <v>1.7743055555555557E-2</v>
      </c>
      <c r="G82" s="26">
        <v>1.9583333333333335E-2</v>
      </c>
      <c r="H82" s="26">
        <v>1.9131944444444444E-2</v>
      </c>
      <c r="I82" s="26">
        <v>2.1157407407407406E-2</v>
      </c>
      <c r="J82" s="26">
        <v>2.9965277777777778E-2</v>
      </c>
      <c r="K82" s="26">
        <v>3.3090277777777781E-2</v>
      </c>
      <c r="L82" s="26">
        <v>3.2314814814814817E-2</v>
      </c>
      <c r="M82" s="26">
        <v>3.5752314814814813E-2</v>
      </c>
      <c r="N82" s="26">
        <v>3.6203703703703703E-2</v>
      </c>
      <c r="O82" s="26">
        <v>3.9988425925925927E-2</v>
      </c>
      <c r="P82" s="26">
        <v>3.9050925925925926E-2</v>
      </c>
      <c r="Q82" s="26">
        <v>4.3194444444444445E-2</v>
      </c>
      <c r="R82" s="26">
        <v>6.2071759259259257E-2</v>
      </c>
      <c r="S82" s="26">
        <v>6.8587962962962962E-2</v>
      </c>
      <c r="T82" s="26">
        <v>6.6967592592592592E-2</v>
      </c>
      <c r="U82" s="26">
        <v>7.4097222222222217E-2</v>
      </c>
      <c r="V82" s="26">
        <v>0.13412037037037036</v>
      </c>
      <c r="W82" s="26">
        <v>0.14831018518518518</v>
      </c>
      <c r="X82" s="26">
        <v>0.14478009259259259</v>
      </c>
      <c r="Y82" s="26">
        <v>0.16032407407407406</v>
      </c>
      <c r="Z82" s="27">
        <v>57.392395833333332</v>
      </c>
      <c r="AA82" s="27">
        <v>49.758796296296296</v>
      </c>
      <c r="AB82" s="27">
        <v>51.54239583333333</v>
      </c>
      <c r="AC82" s="27">
        <v>44.168796296296293</v>
      </c>
      <c r="AD82" s="27">
        <v>80.610405092592586</v>
      </c>
      <c r="AE82" s="27">
        <v>72.451597222222219</v>
      </c>
      <c r="AF82" s="27">
        <v>74.40680555555555</v>
      </c>
      <c r="AG82" s="27">
        <v>66.117997685185188</v>
      </c>
    </row>
    <row r="83" spans="1:33" x14ac:dyDescent="0.25">
      <c r="A83" s="17">
        <v>89</v>
      </c>
      <c r="B83" s="26">
        <v>1.1909722222222223E-2</v>
      </c>
      <c r="C83" s="26">
        <v>1.3148148148148148E-2</v>
      </c>
      <c r="D83" s="26">
        <v>1.2835648148148148E-2</v>
      </c>
      <c r="E83" s="26">
        <v>1.4201388888888888E-2</v>
      </c>
      <c r="F83" s="26">
        <v>1.7974537037037035E-2</v>
      </c>
      <c r="G83" s="26">
        <v>1.9861111111111111E-2</v>
      </c>
      <c r="H83" s="26">
        <v>1.9398148148148147E-2</v>
      </c>
      <c r="I83" s="26">
        <v>2.1458333333333333E-2</v>
      </c>
      <c r="J83" s="26">
        <v>3.0381944444444444E-2</v>
      </c>
      <c r="K83" s="26">
        <v>3.3564814814814818E-2</v>
      </c>
      <c r="L83" s="26">
        <v>3.2777777777777781E-2</v>
      </c>
      <c r="M83" s="26">
        <v>3.6261574074074071E-2</v>
      </c>
      <c r="N83" s="26">
        <v>3.6712962962962961E-2</v>
      </c>
      <c r="O83" s="26">
        <v>4.0567129629629627E-2</v>
      </c>
      <c r="P83" s="26">
        <v>3.9618055555555552E-2</v>
      </c>
      <c r="Q83" s="26">
        <v>4.3831018518518519E-2</v>
      </c>
      <c r="R83" s="26">
        <v>6.3009259259259265E-2</v>
      </c>
      <c r="S83" s="26">
        <v>6.9641203703703705E-2</v>
      </c>
      <c r="T83" s="26">
        <v>6.7997685185185189E-2</v>
      </c>
      <c r="U83" s="26">
        <v>7.526620370370371E-2</v>
      </c>
      <c r="V83" s="26">
        <v>0.13657407407407407</v>
      </c>
      <c r="W83" s="26">
        <v>0.15107638888888889</v>
      </c>
      <c r="X83" s="26">
        <v>0.14747685185185186</v>
      </c>
      <c r="Y83" s="26">
        <v>0.16335648148148149</v>
      </c>
      <c r="Z83" s="27">
        <v>55.426805555555553</v>
      </c>
      <c r="AA83" s="27">
        <v>48.001203703703702</v>
      </c>
      <c r="AB83" s="27">
        <v>49.737997685185185</v>
      </c>
      <c r="AC83" s="27">
        <v>42.556805555555556</v>
      </c>
      <c r="AD83" s="27">
        <v>77.032800925925926</v>
      </c>
      <c r="AE83" s="27">
        <v>69.19640046296297</v>
      </c>
      <c r="AF83" s="27">
        <v>71.07359953703704</v>
      </c>
      <c r="AG83" s="27">
        <v>63.102002314814818</v>
      </c>
    </row>
    <row r="84" spans="1:33" x14ac:dyDescent="0.25">
      <c r="A84" s="17">
        <v>90</v>
      </c>
      <c r="B84" s="26">
        <v>1.207175925925926E-2</v>
      </c>
      <c r="C84" s="26">
        <v>1.3333333333333334E-2</v>
      </c>
      <c r="D84" s="26">
        <v>1.3020833333333334E-2</v>
      </c>
      <c r="E84" s="26">
        <v>1.4409722222222223E-2</v>
      </c>
      <c r="F84" s="26">
        <v>1.8229166666666668E-2</v>
      </c>
      <c r="G84" s="26">
        <v>2.013888888888889E-2</v>
      </c>
      <c r="H84" s="26">
        <v>1.9675925925925927E-2</v>
      </c>
      <c r="I84" s="26">
        <v>2.1770833333333333E-2</v>
      </c>
      <c r="J84" s="26">
        <v>3.0833333333333334E-2</v>
      </c>
      <c r="K84" s="26">
        <v>3.4062500000000002E-2</v>
      </c>
      <c r="L84" s="26">
        <v>3.3263888888888891E-2</v>
      </c>
      <c r="M84" s="26">
        <v>3.6805555555555557E-2</v>
      </c>
      <c r="N84" s="26">
        <v>3.7256944444444447E-2</v>
      </c>
      <c r="O84" s="26">
        <v>4.1180555555555554E-2</v>
      </c>
      <c r="P84" s="26">
        <v>4.0208333333333332E-2</v>
      </c>
      <c r="Q84" s="26">
        <v>4.4502314814814814E-2</v>
      </c>
      <c r="R84" s="26">
        <v>6.40162037037037E-2</v>
      </c>
      <c r="S84" s="26">
        <v>7.0775462962962957E-2</v>
      </c>
      <c r="T84" s="26">
        <v>6.9097222222222227E-2</v>
      </c>
      <c r="U84" s="26">
        <v>7.6504629629629631E-2</v>
      </c>
      <c r="V84" s="26">
        <v>0.13920138888888889</v>
      </c>
      <c r="W84" s="26">
        <v>0.15403935185185186</v>
      </c>
      <c r="X84" s="26">
        <v>0.15035879629629631</v>
      </c>
      <c r="Y84" s="26">
        <v>0.1666087962962963</v>
      </c>
      <c r="Z84" s="27">
        <v>53.424803240740744</v>
      </c>
      <c r="AA84" s="27">
        <v>46.212395833333332</v>
      </c>
      <c r="AB84" s="27">
        <v>47.897199074074074</v>
      </c>
      <c r="AC84" s="27">
        <v>40.913599537037037</v>
      </c>
      <c r="AD84" s="27">
        <v>73.403194444444438</v>
      </c>
      <c r="AE84" s="27">
        <v>65.889201388888893</v>
      </c>
      <c r="AF84" s="27">
        <v>67.693599537037031</v>
      </c>
      <c r="AG84" s="27">
        <v>60.034004629629628</v>
      </c>
    </row>
    <row r="85" spans="1:33" x14ac:dyDescent="0.25">
      <c r="A85" s="17">
        <v>91</v>
      </c>
      <c r="B85" s="26">
        <v>1.224537037037037E-2</v>
      </c>
      <c r="C85" s="26">
        <v>1.3530092592592592E-2</v>
      </c>
      <c r="D85" s="26">
        <v>1.3206018518518518E-2</v>
      </c>
      <c r="E85" s="26">
        <v>1.4618055555555556E-2</v>
      </c>
      <c r="F85" s="26">
        <v>1.849537037037037E-2</v>
      </c>
      <c r="G85" s="26">
        <v>2.045138888888889E-2</v>
      </c>
      <c r="H85" s="26">
        <v>1.9965277777777776E-2</v>
      </c>
      <c r="I85" s="26">
        <v>2.2094907407407407E-2</v>
      </c>
      <c r="J85" s="26">
        <v>3.1296296296296294E-2</v>
      </c>
      <c r="K85" s="26">
        <v>3.4594907407407408E-2</v>
      </c>
      <c r="L85" s="26">
        <v>3.3773148148148149E-2</v>
      </c>
      <c r="M85" s="26">
        <v>3.7395833333333336E-2</v>
      </c>
      <c r="N85" s="26">
        <v>3.7835648148148146E-2</v>
      </c>
      <c r="O85" s="26">
        <v>4.1828703703703701E-2</v>
      </c>
      <c r="P85" s="26">
        <v>4.0844907407407406E-2</v>
      </c>
      <c r="Q85" s="26">
        <v>4.521990740740741E-2</v>
      </c>
      <c r="R85" s="26">
        <v>6.5081018518518524E-2</v>
      </c>
      <c r="S85" s="26">
        <v>7.1979166666666664E-2</v>
      </c>
      <c r="T85" s="26">
        <v>7.0266203703703706E-2</v>
      </c>
      <c r="U85" s="26">
        <v>7.7812500000000007E-2</v>
      </c>
      <c r="V85" s="26">
        <v>0.14204861111111111</v>
      </c>
      <c r="W85" s="26">
        <v>0.1572337962962963</v>
      </c>
      <c r="X85" s="26">
        <v>0.15347222222222223</v>
      </c>
      <c r="Y85" s="26">
        <v>0.17011574074074073</v>
      </c>
      <c r="Z85" s="27">
        <v>51.38640046296296</v>
      </c>
      <c r="AA85" s="27">
        <v>44.387199074074076</v>
      </c>
      <c r="AB85" s="27">
        <v>46.025196759259259</v>
      </c>
      <c r="AC85" s="27">
        <v>39.239201388888887</v>
      </c>
      <c r="AD85" s="27">
        <v>69.726805555555558</v>
      </c>
      <c r="AE85" s="27">
        <v>62.535196759259257</v>
      </c>
      <c r="AF85" s="27">
        <v>64.261597222222221</v>
      </c>
      <c r="AG85" s="27">
        <v>56.91400462962963</v>
      </c>
    </row>
    <row r="86" spans="1:33" x14ac:dyDescent="0.25">
      <c r="A86" s="17">
        <v>92</v>
      </c>
      <c r="B86" s="26">
        <v>1.2430555555555556E-2</v>
      </c>
      <c r="C86" s="26">
        <v>1.3738425925925926E-2</v>
      </c>
      <c r="D86" s="26">
        <v>1.3414351851851853E-2</v>
      </c>
      <c r="E86" s="26">
        <v>1.4849537037037038E-2</v>
      </c>
      <c r="F86" s="26">
        <v>1.8784722222222223E-2</v>
      </c>
      <c r="G86" s="26">
        <v>2.0763888888888887E-2</v>
      </c>
      <c r="H86" s="26">
        <v>2.0277777777777777E-2</v>
      </c>
      <c r="I86" s="26">
        <v>2.2453703703703705E-2</v>
      </c>
      <c r="J86" s="26">
        <v>3.1793981481481479E-2</v>
      </c>
      <c r="K86" s="26">
        <v>3.516203703703704E-2</v>
      </c>
      <c r="L86" s="26">
        <v>3.4317129629629628E-2</v>
      </c>
      <c r="M86" s="26">
        <v>3.8009259259259257E-2</v>
      </c>
      <c r="N86" s="26">
        <v>3.8460648148148147E-2</v>
      </c>
      <c r="O86" s="26">
        <v>4.252314814814815E-2</v>
      </c>
      <c r="P86" s="26">
        <v>4.1516203703703701E-2</v>
      </c>
      <c r="Q86" s="26">
        <v>4.597222222222222E-2</v>
      </c>
      <c r="R86" s="26">
        <v>6.6226851851851856E-2</v>
      </c>
      <c r="S86" s="26">
        <v>7.3263888888888892E-2</v>
      </c>
      <c r="T86" s="26">
        <v>7.1516203703703707E-2</v>
      </c>
      <c r="U86" s="26">
        <v>7.9224537037037038E-2</v>
      </c>
      <c r="V86" s="26">
        <v>0.14511574074074074</v>
      </c>
      <c r="W86" s="26">
        <v>0.16069444444444445</v>
      </c>
      <c r="X86" s="26">
        <v>0.15682870370370369</v>
      </c>
      <c r="Y86" s="26">
        <v>0.17390046296296297</v>
      </c>
      <c r="Z86" s="27">
        <v>49.306400462962962</v>
      </c>
      <c r="AA86" s="27">
        <v>42.525601851851853</v>
      </c>
      <c r="AB86" s="27">
        <v>44.111597222222223</v>
      </c>
      <c r="AC86" s="27">
        <v>37.528402777777778</v>
      </c>
      <c r="AD86" s="27">
        <v>65.993194444444441</v>
      </c>
      <c r="AE86" s="27">
        <v>59.129201388888887</v>
      </c>
      <c r="AF86" s="27">
        <v>60.77760416666667</v>
      </c>
      <c r="AG86" s="27">
        <v>53.747199074074075</v>
      </c>
    </row>
    <row r="87" spans="1:33" x14ac:dyDescent="0.25">
      <c r="A87" s="17">
        <v>93</v>
      </c>
      <c r="B87" s="26">
        <v>1.2627314814814815E-2</v>
      </c>
      <c r="C87" s="26">
        <v>1.3958333333333333E-2</v>
      </c>
      <c r="D87" s="26">
        <v>1.3622685185185186E-2</v>
      </c>
      <c r="E87" s="26">
        <v>1.5092592592592593E-2</v>
      </c>
      <c r="F87" s="26">
        <v>1.9085648148148147E-2</v>
      </c>
      <c r="G87" s="26">
        <v>2.1111111111111112E-2</v>
      </c>
      <c r="H87" s="26">
        <v>2.060185185185185E-2</v>
      </c>
      <c r="I87" s="26">
        <v>2.2824074074074073E-2</v>
      </c>
      <c r="J87" s="26">
        <v>3.2326388888888891E-2</v>
      </c>
      <c r="K87" s="26">
        <v>3.5752314814814813E-2</v>
      </c>
      <c r="L87" s="26">
        <v>3.4907407407407408E-2</v>
      </c>
      <c r="M87" s="26">
        <v>3.8657407407407404E-2</v>
      </c>
      <c r="N87" s="26">
        <v>3.9108796296296294E-2</v>
      </c>
      <c r="O87" s="26">
        <v>4.3263888888888886E-2</v>
      </c>
      <c r="P87" s="26">
        <v>4.2233796296296297E-2</v>
      </c>
      <c r="Q87" s="26">
        <v>4.6782407407407404E-2</v>
      </c>
      <c r="R87" s="26">
        <v>6.744212962962963E-2</v>
      </c>
      <c r="S87" s="26">
        <v>7.4629629629629629E-2</v>
      </c>
      <c r="T87" s="26">
        <v>7.2847222222222216E-2</v>
      </c>
      <c r="U87" s="26">
        <v>8.0729166666666671E-2</v>
      </c>
      <c r="V87" s="26">
        <v>0.14844907407407407</v>
      </c>
      <c r="W87" s="26">
        <v>0.16445601851851852</v>
      </c>
      <c r="X87" s="26">
        <v>0.16048611111111111</v>
      </c>
      <c r="Y87" s="26">
        <v>0.17802083333333332</v>
      </c>
      <c r="Z87" s="27">
        <v>47.184803240740742</v>
      </c>
      <c r="AA87" s="27">
        <v>40.627604166666664</v>
      </c>
      <c r="AB87" s="27">
        <v>42.16159722222222</v>
      </c>
      <c r="AC87" s="27">
        <v>35.786400462962966</v>
      </c>
      <c r="AD87" s="27">
        <v>62.20760416666667</v>
      </c>
      <c r="AE87" s="27">
        <v>55.665995370370368</v>
      </c>
      <c r="AF87" s="27">
        <v>57.241597222222225</v>
      </c>
      <c r="AG87" s="27">
        <v>50.528402777777778</v>
      </c>
    </row>
    <row r="88" spans="1:33" x14ac:dyDescent="0.25">
      <c r="A88" s="17">
        <v>94</v>
      </c>
      <c r="B88" s="26">
        <v>1.2835648148148148E-2</v>
      </c>
      <c r="C88" s="26">
        <v>1.4189814814814815E-2</v>
      </c>
      <c r="D88" s="26">
        <v>1.3865740740740741E-2</v>
      </c>
      <c r="E88" s="26">
        <v>1.5347222222222222E-2</v>
      </c>
      <c r="F88" s="26">
        <v>1.9409722222222221E-2</v>
      </c>
      <c r="G88" s="26">
        <v>2.1469907407407406E-2</v>
      </c>
      <c r="H88" s="26">
        <v>2.0960648148148148E-2</v>
      </c>
      <c r="I88" s="26">
        <v>2.3217592592592592E-2</v>
      </c>
      <c r="J88" s="26">
        <v>3.2893518518518516E-2</v>
      </c>
      <c r="K88" s="26">
        <v>3.6388888888888887E-2</v>
      </c>
      <c r="L88" s="26">
        <v>3.5520833333333335E-2</v>
      </c>
      <c r="M88" s="26">
        <v>3.9363425925925927E-2</v>
      </c>
      <c r="N88" s="26">
        <v>3.9803240740740743E-2</v>
      </c>
      <c r="O88" s="26">
        <v>4.4050925925925924E-2</v>
      </c>
      <c r="P88" s="26">
        <v>4.2997685185185187E-2</v>
      </c>
      <c r="Q88" s="26">
        <v>4.7650462962962964E-2</v>
      </c>
      <c r="R88" s="26">
        <v>6.8750000000000006E-2</v>
      </c>
      <c r="S88" s="26">
        <v>7.6111111111111115E-2</v>
      </c>
      <c r="T88" s="26">
        <v>7.4282407407407408E-2</v>
      </c>
      <c r="U88" s="26">
        <v>8.233796296296296E-2</v>
      </c>
      <c r="V88" s="26">
        <v>0.15208333333333332</v>
      </c>
      <c r="W88" s="26">
        <v>0.16855324074074074</v>
      </c>
      <c r="X88" s="26">
        <v>0.16446759259259258</v>
      </c>
      <c r="Y88" s="26">
        <v>0.18251157407407406</v>
      </c>
      <c r="Z88" s="27">
        <v>45.021597222222219</v>
      </c>
      <c r="AA88" s="27">
        <v>38.687997685185188</v>
      </c>
      <c r="AB88" s="27">
        <v>40.17</v>
      </c>
      <c r="AC88" s="27">
        <v>34.007997685185188</v>
      </c>
      <c r="AD88" s="27">
        <v>58.364803240740741</v>
      </c>
      <c r="AE88" s="27">
        <v>52.150798611111114</v>
      </c>
      <c r="AF88" s="27">
        <v>53.653599537037039</v>
      </c>
      <c r="AG88" s="27">
        <v>47.252395833333331</v>
      </c>
    </row>
    <row r="89" spans="1:33" x14ac:dyDescent="0.25">
      <c r="A89" s="17">
        <v>95</v>
      </c>
      <c r="B89" s="26">
        <v>1.3055555555555556E-2</v>
      </c>
      <c r="C89" s="26">
        <v>1.4444444444444444E-2</v>
      </c>
      <c r="D89" s="26">
        <v>1.4097222222222223E-2</v>
      </c>
      <c r="E89" s="26">
        <v>1.5625E-2</v>
      </c>
      <c r="F89" s="26">
        <v>1.9745370370370371E-2</v>
      </c>
      <c r="G89" s="26">
        <v>2.1863425925925925E-2</v>
      </c>
      <c r="H89" s="26">
        <v>2.133101851851852E-2</v>
      </c>
      <c r="I89" s="26">
        <v>2.3645833333333335E-2</v>
      </c>
      <c r="J89" s="26">
        <v>3.349537037037037E-2</v>
      </c>
      <c r="K89" s="26">
        <v>3.7083333333333336E-2</v>
      </c>
      <c r="L89" s="26">
        <v>3.619212962962963E-2</v>
      </c>
      <c r="M89" s="26">
        <v>4.0115740740740743E-2</v>
      </c>
      <c r="N89" s="26">
        <v>4.0555555555555553E-2</v>
      </c>
      <c r="O89" s="26">
        <v>4.4895833333333336E-2</v>
      </c>
      <c r="P89" s="26">
        <v>4.3819444444444446E-2</v>
      </c>
      <c r="Q89" s="26">
        <v>4.8576388888888891E-2</v>
      </c>
      <c r="R89" s="26">
        <v>7.0150462962962956E-2</v>
      </c>
      <c r="S89" s="26">
        <v>7.7696759259259257E-2</v>
      </c>
      <c r="T89" s="26">
        <v>7.5821759259259255E-2</v>
      </c>
      <c r="U89" s="26">
        <v>8.4074074074074079E-2</v>
      </c>
      <c r="V89" s="26">
        <v>0.15606481481481482</v>
      </c>
      <c r="W89" s="26">
        <v>0.17304398148148148</v>
      </c>
      <c r="X89" s="26">
        <v>0.16883101851851851</v>
      </c>
      <c r="Y89" s="26">
        <v>0.18743055555555554</v>
      </c>
      <c r="Z89" s="27">
        <v>42.811597222222225</v>
      </c>
      <c r="AA89" s="27">
        <v>36.706805555555555</v>
      </c>
      <c r="AB89" s="27">
        <v>38.142002314814818</v>
      </c>
      <c r="AC89" s="27">
        <v>32.187997685185188</v>
      </c>
      <c r="AD89" s="27">
        <v>54.47</v>
      </c>
      <c r="AE89" s="27">
        <v>48.583599537037038</v>
      </c>
      <c r="AF89" s="27">
        <v>50.003194444444446</v>
      </c>
      <c r="AG89" s="27">
        <v>43.92439814814815</v>
      </c>
    </row>
    <row r="90" spans="1:33" x14ac:dyDescent="0.25">
      <c r="A90" s="17">
        <v>96</v>
      </c>
      <c r="B90" s="26">
        <v>1.3298611111111112E-2</v>
      </c>
      <c r="C90" s="26">
        <v>1.4722222222222222E-2</v>
      </c>
      <c r="D90" s="26">
        <v>1.4363425925925925E-2</v>
      </c>
      <c r="E90" s="26">
        <v>1.5925925925925927E-2</v>
      </c>
      <c r="F90" s="26">
        <v>2.011574074074074E-2</v>
      </c>
      <c r="G90" s="26">
        <v>2.2268518518518517E-2</v>
      </c>
      <c r="H90" s="26">
        <v>2.1736111111111112E-2</v>
      </c>
      <c r="I90" s="26">
        <v>2.4097222222222221E-2</v>
      </c>
      <c r="J90" s="26">
        <v>3.4143518518518517E-2</v>
      </c>
      <c r="K90" s="26">
        <v>3.7812499999999999E-2</v>
      </c>
      <c r="L90" s="26">
        <v>3.6898148148148145E-2</v>
      </c>
      <c r="M90" s="26">
        <v>4.0914351851851855E-2</v>
      </c>
      <c r="N90" s="26">
        <v>4.1365740740740738E-2</v>
      </c>
      <c r="O90" s="26">
        <v>4.5798611111111109E-2</v>
      </c>
      <c r="P90" s="26">
        <v>4.4699074074074072E-2</v>
      </c>
      <c r="Q90" s="26">
        <v>4.9560185185185186E-2</v>
      </c>
      <c r="R90" s="26">
        <v>7.1678240740740737E-2</v>
      </c>
      <c r="S90" s="26">
        <v>7.9409722222222229E-2</v>
      </c>
      <c r="T90" s="26">
        <v>7.7488425925925933E-2</v>
      </c>
      <c r="U90" s="26">
        <v>8.5960648148148147E-2</v>
      </c>
      <c r="V90" s="26">
        <v>0.16046296296296297</v>
      </c>
      <c r="W90" s="26">
        <v>0.17799768518518519</v>
      </c>
      <c r="X90" s="26">
        <v>0.17364583333333333</v>
      </c>
      <c r="Y90" s="26">
        <v>0.19284722222222223</v>
      </c>
      <c r="Z90" s="27">
        <v>40.56</v>
      </c>
      <c r="AA90" s="27">
        <v>34.684004629629626</v>
      </c>
      <c r="AB90" s="27">
        <v>36.067199074074075</v>
      </c>
      <c r="AC90" s="27">
        <v>30.331597222222221</v>
      </c>
      <c r="AD90" s="27">
        <v>50.517997685185186</v>
      </c>
      <c r="AE90" s="27">
        <v>44.95400462962963</v>
      </c>
      <c r="AF90" s="27">
        <v>46.300798611111112</v>
      </c>
      <c r="AG90" s="27">
        <v>40.539201388888891</v>
      </c>
    </row>
    <row r="91" spans="1:33" x14ac:dyDescent="0.25">
      <c r="A91" s="17">
        <v>97</v>
      </c>
      <c r="B91" s="26">
        <v>1.3553240740740741E-2</v>
      </c>
      <c r="C91" s="26">
        <v>1.4999999999999999E-2</v>
      </c>
      <c r="D91" s="26">
        <v>1.4641203703703703E-2</v>
      </c>
      <c r="E91" s="26">
        <v>1.6238425925925927E-2</v>
      </c>
      <c r="F91" s="26">
        <v>2.0509259259259258E-2</v>
      </c>
      <c r="G91" s="26">
        <v>2.2719907407407407E-2</v>
      </c>
      <c r="H91" s="26">
        <v>2.2175925925925925E-2</v>
      </c>
      <c r="I91" s="26">
        <v>2.4583333333333332E-2</v>
      </c>
      <c r="J91" s="26">
        <v>3.484953703703704E-2</v>
      </c>
      <c r="K91" s="26">
        <v>3.8599537037037036E-2</v>
      </c>
      <c r="L91" s="26">
        <v>3.7662037037037036E-2</v>
      </c>
      <c r="M91" s="26">
        <v>4.1782407407407407E-2</v>
      </c>
      <c r="N91" s="26">
        <v>4.2222222222222223E-2</v>
      </c>
      <c r="O91" s="26">
        <v>4.6782407407407404E-2</v>
      </c>
      <c r="P91" s="26">
        <v>4.5648148148148146E-2</v>
      </c>
      <c r="Q91" s="26">
        <v>5.0636574074074077E-2</v>
      </c>
      <c r="R91" s="26">
        <v>7.3333333333333334E-2</v>
      </c>
      <c r="S91" s="26">
        <v>8.127314814814815E-2</v>
      </c>
      <c r="T91" s="26">
        <v>7.930555555555556E-2</v>
      </c>
      <c r="U91" s="26">
        <v>8.7997685185185179E-2</v>
      </c>
      <c r="V91" s="26">
        <v>0.16533564814814813</v>
      </c>
      <c r="W91" s="26">
        <v>0.1834837962962963</v>
      </c>
      <c r="X91" s="26">
        <v>0.17898148148148149</v>
      </c>
      <c r="Y91" s="26">
        <v>0.19886574074074073</v>
      </c>
      <c r="Z91" s="27">
        <v>38.256400462962965</v>
      </c>
      <c r="AA91" s="27">
        <v>32.619594907407411</v>
      </c>
      <c r="AB91" s="27">
        <v>33.945601851851855</v>
      </c>
      <c r="AC91" s="27">
        <v>28.428402777777777</v>
      </c>
      <c r="AD91" s="27">
        <v>46.508796296296296</v>
      </c>
      <c r="AE91" s="27">
        <v>41.267199074074071</v>
      </c>
      <c r="AF91" s="27">
        <v>42.535995370370372</v>
      </c>
      <c r="AG91" s="27">
        <v>37.096805555555555</v>
      </c>
    </row>
    <row r="92" spans="1:33" x14ac:dyDescent="0.25">
      <c r="A92" s="17">
        <v>98</v>
      </c>
      <c r="B92" s="26">
        <v>1.3819444444444445E-2</v>
      </c>
      <c r="C92" s="26">
        <v>1.53125E-2</v>
      </c>
      <c r="D92" s="26">
        <v>1.494212962962963E-2</v>
      </c>
      <c r="E92" s="26">
        <v>1.6574074074074074E-2</v>
      </c>
      <c r="F92" s="26">
        <v>2.0937500000000001E-2</v>
      </c>
      <c r="G92" s="26">
        <v>2.3194444444444445E-2</v>
      </c>
      <c r="H92" s="26">
        <v>2.2638888888888889E-2</v>
      </c>
      <c r="I92" s="26">
        <v>2.5104166666666667E-2</v>
      </c>
      <c r="J92" s="26">
        <v>3.560185185185185E-2</v>
      </c>
      <c r="K92" s="26">
        <v>3.9444444444444442E-2</v>
      </c>
      <c r="L92" s="26">
        <v>3.8495370370370367E-2</v>
      </c>
      <c r="M92" s="26">
        <v>4.2708333333333334E-2</v>
      </c>
      <c r="N92" s="26">
        <v>4.3171296296296298E-2</v>
      </c>
      <c r="O92" s="26">
        <v>4.7835648148148148E-2</v>
      </c>
      <c r="P92" s="26">
        <v>4.6666666666666669E-2</v>
      </c>
      <c r="Q92" s="26">
        <v>5.1793981481481483E-2</v>
      </c>
      <c r="R92" s="26">
        <v>7.5127314814814813E-2</v>
      </c>
      <c r="S92" s="26">
        <v>8.3298611111111115E-2</v>
      </c>
      <c r="T92" s="26">
        <v>8.127314814814815E-2</v>
      </c>
      <c r="U92" s="26">
        <v>9.0219907407407401E-2</v>
      </c>
      <c r="V92" s="26">
        <v>0.17078703703703704</v>
      </c>
      <c r="W92" s="26">
        <v>0.18962962962962962</v>
      </c>
      <c r="X92" s="26">
        <v>0.1849537037037037</v>
      </c>
      <c r="Y92" s="26">
        <v>0.20559027777777777</v>
      </c>
      <c r="Z92" s="27">
        <v>35.90599537037037</v>
      </c>
      <c r="AA92" s="27">
        <v>30.508402777777778</v>
      </c>
      <c r="AB92" s="27">
        <v>31.777199074074073</v>
      </c>
      <c r="AC92" s="27">
        <v>26.483599537037037</v>
      </c>
      <c r="AD92" s="27">
        <v>42.437199074074073</v>
      </c>
      <c r="AE92" s="27">
        <v>37.517997685185186</v>
      </c>
      <c r="AF92" s="27">
        <v>38.714004629629628</v>
      </c>
      <c r="AG92" s="27">
        <v>33.586805555555557</v>
      </c>
    </row>
    <row r="93" spans="1:33" x14ac:dyDescent="0.25">
      <c r="A93" s="17">
        <v>99</v>
      </c>
      <c r="B93" s="26">
        <v>1.412037037037037E-2</v>
      </c>
      <c r="C93" s="26">
        <v>1.5648148148148147E-2</v>
      </c>
      <c r="D93" s="26">
        <v>1.5266203703703704E-2</v>
      </c>
      <c r="E93" s="26">
        <v>1.6944444444444446E-2</v>
      </c>
      <c r="F93" s="26">
        <v>2.1388888888888888E-2</v>
      </c>
      <c r="G93" s="26">
        <v>2.3715277777777776E-2</v>
      </c>
      <c r="H93" s="26">
        <v>2.3136574074074073E-2</v>
      </c>
      <c r="I93" s="26">
        <v>2.5671296296296296E-2</v>
      </c>
      <c r="J93" s="26">
        <v>3.6423611111111108E-2</v>
      </c>
      <c r="K93" s="26">
        <v>4.0370370370370369E-2</v>
      </c>
      <c r="L93" s="26">
        <v>3.9386574074074074E-2</v>
      </c>
      <c r="M93" s="26">
        <v>4.3715277777777777E-2</v>
      </c>
      <c r="N93" s="26">
        <v>4.417824074074074E-2</v>
      </c>
      <c r="O93" s="26">
        <v>4.898148148148148E-2</v>
      </c>
      <c r="P93" s="26">
        <v>4.7789351851851854E-2</v>
      </c>
      <c r="Q93" s="26">
        <v>5.3055555555555557E-2</v>
      </c>
      <c r="R93" s="26">
        <v>7.7094907407407404E-2</v>
      </c>
      <c r="S93" s="26">
        <v>8.5520833333333338E-2</v>
      </c>
      <c r="T93" s="26">
        <v>8.3425925925925931E-2</v>
      </c>
      <c r="U93" s="26">
        <v>9.2650462962962962E-2</v>
      </c>
      <c r="V93" s="26">
        <v>0.1769212962962963</v>
      </c>
      <c r="W93" s="26">
        <v>0.19655092592592593</v>
      </c>
      <c r="X93" s="26">
        <v>0.19167824074074075</v>
      </c>
      <c r="Y93" s="26">
        <v>0.21318287037037037</v>
      </c>
      <c r="Z93" s="27">
        <v>33.498402777777777</v>
      </c>
      <c r="AA93" s="27">
        <v>28.34519675925926</v>
      </c>
      <c r="AB93" s="27">
        <v>29.556805555555556</v>
      </c>
      <c r="AC93" s="27">
        <v>24.497199074074075</v>
      </c>
      <c r="AD93" s="27">
        <v>38.308402777777779</v>
      </c>
      <c r="AE93" s="27">
        <v>33.711597222222224</v>
      </c>
      <c r="AF93" s="27">
        <v>34.829594907407404</v>
      </c>
      <c r="AG93" s="27">
        <v>30.019594907407406</v>
      </c>
    </row>
  </sheetData>
  <sheetProtection sheet="1" objects="1" scenarios="1"/>
  <pageMargins left="0.70866141732283461" right="0.70866141732283461" top="0.74803149606299213" bottom="0.74803149606299213" header="0.31496062992125984" footer="0.31496062992125984"/>
  <pageSetup paperSize="9" scale="35" orientation="landscape" r:id="rId1"/>
  <headerFooter>
    <oddHeader>&amp;C&amp;A</oddHeader>
    <oddFooter>&amp;L&amp;F&amp;CPage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C09F9-B70C-4127-A121-6A4E9E66A8F0}">
  <sheetPr codeName="Sheet4">
    <pageSetUpPr fitToPage="1"/>
  </sheetPr>
  <dimension ref="A1:T32"/>
  <sheetViews>
    <sheetView zoomScale="75" zoomScaleNormal="75" workbookViewId="0"/>
  </sheetViews>
  <sheetFormatPr defaultRowHeight="15" x14ac:dyDescent="0.25"/>
  <cols>
    <col min="1" max="1" width="4.5703125" customWidth="1"/>
    <col min="2" max="7" width="8.5703125" customWidth="1"/>
    <col min="8" max="9" width="8.5703125" style="31" customWidth="1"/>
    <col min="10" max="11" width="4.5703125" customWidth="1"/>
    <col min="12" max="17" width="8.5703125" customWidth="1"/>
    <col min="18" max="19" width="8.5703125" style="31" customWidth="1"/>
  </cols>
  <sheetData>
    <row r="1" spans="1:19" s="11" customFormat="1" x14ac:dyDescent="0.25">
      <c r="A1" s="9" t="s">
        <v>1</v>
      </c>
      <c r="B1" s="10" t="s">
        <v>13</v>
      </c>
      <c r="C1" s="10" t="s">
        <v>14</v>
      </c>
      <c r="D1" s="10" t="s">
        <v>15</v>
      </c>
      <c r="E1" s="10" t="s">
        <v>16</v>
      </c>
      <c r="F1" s="10" t="s">
        <v>17</v>
      </c>
      <c r="G1" s="10" t="s">
        <v>18</v>
      </c>
      <c r="H1" s="60" t="s">
        <v>19</v>
      </c>
      <c r="I1" s="60" t="s">
        <v>20</v>
      </c>
      <c r="J1" s="12"/>
      <c r="K1" s="9" t="s">
        <v>1</v>
      </c>
      <c r="L1" s="10" t="s">
        <v>13</v>
      </c>
      <c r="M1" s="10" t="s">
        <v>14</v>
      </c>
      <c r="N1" s="10" t="s">
        <v>15</v>
      </c>
      <c r="O1" s="10" t="s">
        <v>16</v>
      </c>
      <c r="P1" s="10" t="s">
        <v>17</v>
      </c>
      <c r="Q1" s="10" t="s">
        <v>18</v>
      </c>
      <c r="R1" s="60" t="s">
        <v>19</v>
      </c>
      <c r="S1" s="60" t="s">
        <v>20</v>
      </c>
    </row>
    <row r="2" spans="1:19" x14ac:dyDescent="0.25">
      <c r="A2" s="4">
        <f>'All Solo Adjustments'!A33</f>
        <v>40</v>
      </c>
      <c r="B2" s="3">
        <f>'All Solo Adjustments'!B33</f>
        <v>0</v>
      </c>
      <c r="C2" s="3">
        <f>'All Solo Adjustments'!C33</f>
        <v>0</v>
      </c>
      <c r="D2" s="3">
        <f>'All Solo Adjustments'!D33</f>
        <v>0</v>
      </c>
      <c r="E2" s="3">
        <f>'All Solo Adjustments'!E33</f>
        <v>0</v>
      </c>
      <c r="F2" s="3">
        <f>'All Solo Adjustments'!F33</f>
        <v>0</v>
      </c>
      <c r="G2" s="3">
        <f>'All Solo Adjustments'!G33</f>
        <v>0</v>
      </c>
      <c r="H2" s="47" t="e">
        <f>'All Solo Adjustments'!#REF!</f>
        <v>#REF!</v>
      </c>
      <c r="I2" s="47" t="e">
        <f>'All Solo Adjustments'!#REF!</f>
        <v>#REF!</v>
      </c>
      <c r="K2" s="4">
        <f>'All Solo Adjustments'!A61</f>
        <v>68</v>
      </c>
      <c r="L2" s="3">
        <f>'All Solo Adjustments'!B61</f>
        <v>2.1643518518518522E-3</v>
      </c>
      <c r="M2" s="3">
        <f>'All Solo Adjustments'!C61</f>
        <v>3.2870370370370371E-3</v>
      </c>
      <c r="N2" s="3">
        <f>'All Solo Adjustments'!D61</f>
        <v>5.6134259259259262E-3</v>
      </c>
      <c r="O2" s="3">
        <f>'All Solo Adjustments'!E61</f>
        <v>6.8287037037037032E-3</v>
      </c>
      <c r="P2" s="3">
        <f>'All Solo Adjustments'!F61</f>
        <v>1.1944444444444445E-2</v>
      </c>
      <c r="Q2" s="3">
        <f>'All Solo Adjustments'!G61</f>
        <v>2.7141203703703706E-2</v>
      </c>
      <c r="R2" s="47" t="e">
        <f>'All Solo Adjustments'!#REF!</f>
        <v>#REF!</v>
      </c>
      <c r="S2" s="47" t="e">
        <f>'All Solo Adjustments'!#REF!</f>
        <v>#REF!</v>
      </c>
    </row>
    <row r="3" spans="1:19" x14ac:dyDescent="0.25">
      <c r="A3" s="4">
        <f>'All Solo Adjustments'!A34</f>
        <v>41</v>
      </c>
      <c r="B3" s="3">
        <f>'All Solo Adjustments'!B34</f>
        <v>2.314814814814815E-5</v>
      </c>
      <c r="C3" s="3">
        <f>'All Solo Adjustments'!C34</f>
        <v>3.4722222222222222E-5</v>
      </c>
      <c r="D3" s="3">
        <f>'All Solo Adjustments'!D34</f>
        <v>6.9444444444444444E-5</v>
      </c>
      <c r="E3" s="3">
        <f>'All Solo Adjustments'!E34</f>
        <v>9.2592592592592602E-5</v>
      </c>
      <c r="F3" s="3">
        <f>'All Solo Adjustments'!F34</f>
        <v>1.5046296296296295E-4</v>
      </c>
      <c r="G3" s="3">
        <f>'All Solo Adjustments'!G34</f>
        <v>3.3564814814814818E-4</v>
      </c>
      <c r="H3" s="47" t="e">
        <f>'All Solo Adjustments'!#REF!</f>
        <v>#REF!</v>
      </c>
      <c r="I3" s="47" t="e">
        <f>'All Solo Adjustments'!#REF!</f>
        <v>#REF!</v>
      </c>
      <c r="K3" s="4">
        <f>'All Solo Adjustments'!A62</f>
        <v>69</v>
      </c>
      <c r="L3" s="45">
        <f>'All Solo Adjustments'!B62</f>
        <v>2.3032407407407407E-3</v>
      </c>
      <c r="M3" s="45">
        <f>'All Solo Adjustments'!C62</f>
        <v>3.4953703703703705E-3</v>
      </c>
      <c r="N3" s="45">
        <f>'All Solo Adjustments'!D62</f>
        <v>5.9722222222222225E-3</v>
      </c>
      <c r="O3" s="45">
        <f>'All Solo Adjustments'!E62</f>
        <v>7.2569444444444443E-3</v>
      </c>
      <c r="P3" s="45">
        <f>'All Solo Adjustments'!F62</f>
        <v>1.2708333333333332E-2</v>
      </c>
      <c r="Q3" s="45">
        <f>'All Solo Adjustments'!G62</f>
        <v>2.8923611111111112E-2</v>
      </c>
      <c r="R3" s="49" t="e">
        <f>'All Solo Adjustments'!#REF!</f>
        <v>#REF!</v>
      </c>
      <c r="S3" s="49" t="e">
        <f>'All Solo Adjustments'!#REF!</f>
        <v>#REF!</v>
      </c>
    </row>
    <row r="4" spans="1:19" x14ac:dyDescent="0.25">
      <c r="A4" s="4">
        <f>'All Solo Adjustments'!A35</f>
        <v>42</v>
      </c>
      <c r="B4" s="3">
        <f>'All Solo Adjustments'!B35</f>
        <v>5.7870370370370366E-5</v>
      </c>
      <c r="C4" s="3">
        <f>'All Solo Adjustments'!C35</f>
        <v>8.1018518518518516E-5</v>
      </c>
      <c r="D4" s="3">
        <f>'All Solo Adjustments'!D35</f>
        <v>1.5046296296296295E-4</v>
      </c>
      <c r="E4" s="3">
        <f>'All Solo Adjustments'!E35</f>
        <v>1.851851851851852E-4</v>
      </c>
      <c r="F4" s="3">
        <f>'All Solo Adjustments'!F35</f>
        <v>3.2407407407407406E-4</v>
      </c>
      <c r="G4" s="3">
        <f>'All Solo Adjustments'!G35</f>
        <v>7.0601851851851858E-4</v>
      </c>
      <c r="H4" s="47" t="e">
        <f>'All Solo Adjustments'!#REF!</f>
        <v>#REF!</v>
      </c>
      <c r="I4" s="47" t="e">
        <f>'All Solo Adjustments'!#REF!</f>
        <v>#REF!</v>
      </c>
      <c r="K4" s="4">
        <f>'All Solo Adjustments'!A63</f>
        <v>70</v>
      </c>
      <c r="L4" s="3">
        <f>'All Solo Adjustments'!B63</f>
        <v>2.4421296296296296E-3</v>
      </c>
      <c r="M4" s="3">
        <f>'All Solo Adjustments'!C63</f>
        <v>3.7152777777777778E-3</v>
      </c>
      <c r="N4" s="3">
        <f>'All Solo Adjustments'!D63</f>
        <v>6.3425925925925924E-3</v>
      </c>
      <c r="O4" s="3">
        <f>'All Solo Adjustments'!E63</f>
        <v>7.7083333333333335E-3</v>
      </c>
      <c r="P4" s="3">
        <f>'All Solo Adjustments'!F63</f>
        <v>1.3506944444444445E-2</v>
      </c>
      <c r="Q4" s="3">
        <f>'All Solo Adjustments'!G63</f>
        <v>3.078703703703704E-2</v>
      </c>
      <c r="R4" s="47" t="e">
        <f>'All Solo Adjustments'!#REF!</f>
        <v>#REF!</v>
      </c>
      <c r="S4" s="47" t="e">
        <f>'All Solo Adjustments'!#REF!</f>
        <v>#REF!</v>
      </c>
    </row>
    <row r="5" spans="1:19" x14ac:dyDescent="0.25">
      <c r="A5" s="4">
        <f>'All Solo Adjustments'!A36</f>
        <v>43</v>
      </c>
      <c r="B5" s="3">
        <f>'All Solo Adjustments'!B36</f>
        <v>9.2592592592592602E-5</v>
      </c>
      <c r="C5" s="3">
        <f>'All Solo Adjustments'!C36</f>
        <v>1.3888888888888889E-4</v>
      </c>
      <c r="D5" s="3">
        <f>'All Solo Adjustments'!D36</f>
        <v>2.4305555555555555E-4</v>
      </c>
      <c r="E5" s="3">
        <f>'All Solo Adjustments'!E36</f>
        <v>3.0092592592592589E-4</v>
      </c>
      <c r="F5" s="3">
        <f>'All Solo Adjustments'!F36</f>
        <v>5.0925925925925921E-4</v>
      </c>
      <c r="G5" s="3">
        <f>'All Solo Adjustments'!G36</f>
        <v>1.1342592592592591E-3</v>
      </c>
      <c r="H5" s="47" t="e">
        <f>'All Solo Adjustments'!#REF!</f>
        <v>#REF!</v>
      </c>
      <c r="I5" s="47" t="e">
        <f>'All Solo Adjustments'!#REF!</f>
        <v>#REF!</v>
      </c>
      <c r="K5" s="4">
        <f>'All Solo Adjustments'!A64</f>
        <v>71</v>
      </c>
      <c r="L5" s="3">
        <f>'All Solo Adjustments'!B64</f>
        <v>2.5925925925925925E-3</v>
      </c>
      <c r="M5" s="3">
        <f>'All Solo Adjustments'!C64</f>
        <v>3.9351851851851848E-3</v>
      </c>
      <c r="N5" s="3">
        <f>'All Solo Adjustments'!D64</f>
        <v>6.7245370370370375E-3</v>
      </c>
      <c r="O5" s="3">
        <f>'All Solo Adjustments'!E64</f>
        <v>8.1828703703703699E-3</v>
      </c>
      <c r="P5" s="3">
        <f>'All Solo Adjustments'!F64</f>
        <v>1.4340277777777778E-2</v>
      </c>
      <c r="Q5" s="3">
        <f>'All Solo Adjustments'!G64</f>
        <v>3.2731481481481479E-2</v>
      </c>
      <c r="R5" s="47" t="e">
        <f>'All Solo Adjustments'!#REF!</f>
        <v>#REF!</v>
      </c>
      <c r="S5" s="47" t="e">
        <f>'All Solo Adjustments'!#REF!</f>
        <v>#REF!</v>
      </c>
    </row>
    <row r="6" spans="1:19" x14ac:dyDescent="0.25">
      <c r="A6" s="4">
        <f>'All Solo Adjustments'!A37</f>
        <v>44</v>
      </c>
      <c r="B6" s="3">
        <f>'All Solo Adjustments'!B37</f>
        <v>1.273148148148148E-4</v>
      </c>
      <c r="C6" s="3">
        <f>'All Solo Adjustments'!C37</f>
        <v>1.9675925925925926E-4</v>
      </c>
      <c r="D6" s="3">
        <f>'All Solo Adjustments'!D37</f>
        <v>3.3564814814814818E-4</v>
      </c>
      <c r="E6" s="3">
        <f>'All Solo Adjustments'!E37</f>
        <v>4.1666666666666669E-4</v>
      </c>
      <c r="F6" s="3">
        <f>'All Solo Adjustments'!F37</f>
        <v>7.1759259259259259E-4</v>
      </c>
      <c r="G6" s="3">
        <f>'All Solo Adjustments'!G37</f>
        <v>1.6087962962962963E-3</v>
      </c>
      <c r="H6" s="47" t="e">
        <f>'All Solo Adjustments'!#REF!</f>
        <v>#REF!</v>
      </c>
      <c r="I6" s="47" t="e">
        <f>'All Solo Adjustments'!#REF!</f>
        <v>#REF!</v>
      </c>
      <c r="K6" s="4">
        <f>'All Solo Adjustments'!A65</f>
        <v>72</v>
      </c>
      <c r="L6" s="3">
        <f>'All Solo Adjustments'!B65</f>
        <v>2.7430555555555554E-3</v>
      </c>
      <c r="M6" s="3">
        <f>'All Solo Adjustments'!C65</f>
        <v>4.1666666666666666E-3</v>
      </c>
      <c r="N6" s="3">
        <f>'All Solo Adjustments'!D65</f>
        <v>7.129629629629629E-3</v>
      </c>
      <c r="O6" s="3">
        <f>'All Solo Adjustments'!E65</f>
        <v>8.6689814814814824E-3</v>
      </c>
      <c r="P6" s="3">
        <f>'All Solo Adjustments'!F65</f>
        <v>1.5208333333333332E-2</v>
      </c>
      <c r="Q6" s="3">
        <f>'All Solo Adjustments'!G65</f>
        <v>3.4768518518518518E-2</v>
      </c>
      <c r="R6" s="47" t="e">
        <f>'All Solo Adjustments'!#REF!</f>
        <v>#REF!</v>
      </c>
      <c r="S6" s="47" t="e">
        <f>'All Solo Adjustments'!#REF!</f>
        <v>#REF!</v>
      </c>
    </row>
    <row r="7" spans="1:19" x14ac:dyDescent="0.25">
      <c r="A7" s="4">
        <f>'All Solo Adjustments'!A38</f>
        <v>45</v>
      </c>
      <c r="B7" s="3">
        <f>'All Solo Adjustments'!B38</f>
        <v>1.7361111111111109E-4</v>
      </c>
      <c r="C7" s="3">
        <f>'All Solo Adjustments'!C38</f>
        <v>2.6620370370370367E-4</v>
      </c>
      <c r="D7" s="3">
        <f>'All Solo Adjustments'!D38</f>
        <v>4.5138888888888892E-4</v>
      </c>
      <c r="E7" s="3">
        <f>'All Solo Adjustments'!E38</f>
        <v>5.5555555555555556E-4</v>
      </c>
      <c r="F7" s="3">
        <f>'All Solo Adjustments'!F38</f>
        <v>9.4907407407407408E-4</v>
      </c>
      <c r="G7" s="3">
        <f>'All Solo Adjustments'!G38</f>
        <v>2.1296296296296293E-3</v>
      </c>
      <c r="H7" s="47" t="e">
        <f>'All Solo Adjustments'!#REF!</f>
        <v>#REF!</v>
      </c>
      <c r="I7" s="47" t="e">
        <f>'All Solo Adjustments'!#REF!</f>
        <v>#REF!</v>
      </c>
      <c r="K7" s="4">
        <f>'All Solo Adjustments'!A66</f>
        <v>73</v>
      </c>
      <c r="L7" s="3">
        <f>'All Solo Adjustments'!B66</f>
        <v>2.9050925925925924E-3</v>
      </c>
      <c r="M7" s="3">
        <f>'All Solo Adjustments'!C66</f>
        <v>4.409722222222222E-3</v>
      </c>
      <c r="N7" s="3">
        <f>'All Solo Adjustments'!D66</f>
        <v>7.5462962962962966E-3</v>
      </c>
      <c r="O7" s="3">
        <f>'All Solo Adjustments'!E66</f>
        <v>9.178240740740742E-3</v>
      </c>
      <c r="P7" s="3">
        <f>'All Solo Adjustments'!F66</f>
        <v>1.6111111111111111E-2</v>
      </c>
      <c r="Q7" s="3">
        <f>'All Solo Adjustments'!G66</f>
        <v>3.6898148148148152E-2</v>
      </c>
      <c r="R7" s="47" t="e">
        <f>'All Solo Adjustments'!#REF!</f>
        <v>#REF!</v>
      </c>
      <c r="S7" s="47" t="e">
        <f>'All Solo Adjustments'!#REF!</f>
        <v>#REF!</v>
      </c>
    </row>
    <row r="8" spans="1:19" x14ac:dyDescent="0.25">
      <c r="A8" s="4">
        <f>'All Solo Adjustments'!A39</f>
        <v>46</v>
      </c>
      <c r="B8" s="3">
        <f>'All Solo Adjustments'!B39</f>
        <v>2.199074074074074E-4</v>
      </c>
      <c r="C8" s="3">
        <f>'All Solo Adjustments'!C39</f>
        <v>3.3564814814814818E-4</v>
      </c>
      <c r="D8" s="3">
        <f>'All Solo Adjustments'!D39</f>
        <v>5.6712962962962956E-4</v>
      </c>
      <c r="E8" s="3">
        <f>'All Solo Adjustments'!E39</f>
        <v>6.9444444444444436E-4</v>
      </c>
      <c r="F8" s="3">
        <f>'All Solo Adjustments'!F39</f>
        <v>1.2037037037037036E-3</v>
      </c>
      <c r="G8" s="3">
        <f>'All Solo Adjustments'!G39</f>
        <v>2.6851851851851854E-3</v>
      </c>
      <c r="H8" s="47" t="e">
        <f>'All Solo Adjustments'!#REF!</f>
        <v>#REF!</v>
      </c>
      <c r="I8" s="47" t="e">
        <f>'All Solo Adjustments'!#REF!</f>
        <v>#REF!</v>
      </c>
      <c r="K8" s="4">
        <f>'All Solo Adjustments'!A67</f>
        <v>74</v>
      </c>
      <c r="L8" s="3">
        <f>'All Solo Adjustments'!B67</f>
        <v>3.0671296296296297E-3</v>
      </c>
      <c r="M8" s="3">
        <f>'All Solo Adjustments'!C67</f>
        <v>4.6643518518518518E-3</v>
      </c>
      <c r="N8" s="3">
        <f>'All Solo Adjustments'!D67</f>
        <v>7.9861111111111122E-3</v>
      </c>
      <c r="O8" s="3">
        <f>'All Solo Adjustments'!E67</f>
        <v>9.7106481481481488E-3</v>
      </c>
      <c r="P8" s="3">
        <f>'All Solo Adjustments'!F67</f>
        <v>1.7048611111111112E-2</v>
      </c>
      <c r="Q8" s="3">
        <f>'All Solo Adjustments'!G67</f>
        <v>3.9120370370370375E-2</v>
      </c>
      <c r="R8" s="47" t="e">
        <f>'All Solo Adjustments'!#REF!</f>
        <v>#REF!</v>
      </c>
      <c r="S8" s="47" t="e">
        <f>'All Solo Adjustments'!#REF!</f>
        <v>#REF!</v>
      </c>
    </row>
    <row r="9" spans="1:19" x14ac:dyDescent="0.25">
      <c r="A9" s="4">
        <f>'All Solo Adjustments'!A40</f>
        <v>47</v>
      </c>
      <c r="B9" s="3">
        <f>'All Solo Adjustments'!B40</f>
        <v>2.6620370370370367E-4</v>
      </c>
      <c r="C9" s="3">
        <f>'All Solo Adjustments'!C40</f>
        <v>4.0509259259259258E-4</v>
      </c>
      <c r="D9" s="3">
        <f>'All Solo Adjustments'!D40</f>
        <v>6.9444444444444436E-4</v>
      </c>
      <c r="E9" s="3">
        <f>'All Solo Adjustments'!E40</f>
        <v>8.5648148148148139E-4</v>
      </c>
      <c r="F9" s="3">
        <f>'All Solo Adjustments'!F40</f>
        <v>1.4814814814814816E-3</v>
      </c>
      <c r="G9" s="3">
        <f>'All Solo Adjustments'!G40</f>
        <v>3.2986111111111111E-3</v>
      </c>
      <c r="H9" s="47" t="e">
        <f>'All Solo Adjustments'!#REF!</f>
        <v>#REF!</v>
      </c>
      <c r="I9" s="47" t="e">
        <f>'All Solo Adjustments'!#REF!</f>
        <v>#REF!</v>
      </c>
      <c r="K9" s="4">
        <f>'All Solo Adjustments'!A68</f>
        <v>75</v>
      </c>
      <c r="L9" s="3">
        <f>'All Solo Adjustments'!B68</f>
        <v>3.2407407407407406E-3</v>
      </c>
      <c r="M9" s="3">
        <f>'All Solo Adjustments'!C68</f>
        <v>4.9305555555555552E-3</v>
      </c>
      <c r="N9" s="3">
        <f>'All Solo Adjustments'!D68</f>
        <v>8.4374999999999988E-3</v>
      </c>
      <c r="O9" s="3">
        <f>'All Solo Adjustments'!E68</f>
        <v>1.0266203703703704E-2</v>
      </c>
      <c r="P9" s="3">
        <f>'All Solo Adjustments'!F68</f>
        <v>1.8032407407407407E-2</v>
      </c>
      <c r="Q9" s="3">
        <f>'All Solo Adjustments'!G68</f>
        <v>4.1458333333333333E-2</v>
      </c>
      <c r="R9" s="47" t="e">
        <f>'All Solo Adjustments'!#REF!</f>
        <v>#REF!</v>
      </c>
      <c r="S9" s="47" t="e">
        <f>'All Solo Adjustments'!#REF!</f>
        <v>#REF!</v>
      </c>
    </row>
    <row r="10" spans="1:19" x14ac:dyDescent="0.25">
      <c r="A10" s="4">
        <f>'All Solo Adjustments'!A41</f>
        <v>48</v>
      </c>
      <c r="B10" s="3">
        <f>'All Solo Adjustments'!B41</f>
        <v>3.2407407407407406E-4</v>
      </c>
      <c r="C10" s="3">
        <f>'All Solo Adjustments'!C41</f>
        <v>4.861111111111111E-4</v>
      </c>
      <c r="D10" s="3">
        <f>'All Solo Adjustments'!D41</f>
        <v>8.3333333333333339E-4</v>
      </c>
      <c r="E10" s="3">
        <f>'All Solo Adjustments'!E41</f>
        <v>1.0185185185185184E-3</v>
      </c>
      <c r="F10" s="3">
        <f>'All Solo Adjustments'!F41</f>
        <v>1.7708333333333332E-3</v>
      </c>
      <c r="G10" s="3">
        <f>'All Solo Adjustments'!G41</f>
        <v>3.9467592592592592E-3</v>
      </c>
      <c r="H10" s="47" t="e">
        <f>'All Solo Adjustments'!#REF!</f>
        <v>#REF!</v>
      </c>
      <c r="I10" s="47" t="e">
        <f>'All Solo Adjustments'!#REF!</f>
        <v>#REF!</v>
      </c>
      <c r="K10" s="4">
        <f>'All Solo Adjustments'!A69</f>
        <v>76</v>
      </c>
      <c r="L10" s="3">
        <f>'All Solo Adjustments'!B69</f>
        <v>3.4259259259259256E-3</v>
      </c>
      <c r="M10" s="3">
        <f>'All Solo Adjustments'!C69</f>
        <v>5.208333333333333E-3</v>
      </c>
      <c r="N10" s="3">
        <f>'All Solo Adjustments'!D69</f>
        <v>8.912037037037036E-3</v>
      </c>
      <c r="O10" s="3">
        <f>'All Solo Adjustments'!E69</f>
        <v>1.0844907407407407E-2</v>
      </c>
      <c r="P10" s="3">
        <f>'All Solo Adjustments'!F69</f>
        <v>1.90625E-2</v>
      </c>
      <c r="Q10" s="3">
        <f>'All Solo Adjustments'!G69</f>
        <v>7.3167438271604936E-4</v>
      </c>
      <c r="R10" s="47" t="e">
        <f>'All Solo Adjustments'!#REF!</f>
        <v>#REF!</v>
      </c>
      <c r="S10" s="47" t="e">
        <f>'All Solo Adjustments'!#REF!</f>
        <v>#REF!</v>
      </c>
    </row>
    <row r="11" spans="1:19" x14ac:dyDescent="0.25">
      <c r="A11" s="4">
        <f>'All Solo Adjustments'!A42</f>
        <v>49</v>
      </c>
      <c r="B11" s="45">
        <f>'All Solo Adjustments'!B42</f>
        <v>3.8194444444444441E-4</v>
      </c>
      <c r="C11" s="45">
        <f>'All Solo Adjustments'!C42</f>
        <v>5.7870370370370378E-4</v>
      </c>
      <c r="D11" s="45">
        <f>'All Solo Adjustments'!D42</f>
        <v>9.837962962962962E-4</v>
      </c>
      <c r="E11" s="45">
        <f>'All Solo Adjustments'!E42</f>
        <v>1.2037037037037036E-3</v>
      </c>
      <c r="F11" s="45">
        <f>'All Solo Adjustments'!F42</f>
        <v>2.0833333333333333E-3</v>
      </c>
      <c r="G11" s="45">
        <f>'All Solo Adjustments'!G42</f>
        <v>4.6412037037037038E-3</v>
      </c>
      <c r="H11" s="49" t="e">
        <f>'All Solo Adjustments'!#REF!</f>
        <v>#REF!</v>
      </c>
      <c r="I11" s="49" t="e">
        <f>'All Solo Adjustments'!#REF!</f>
        <v>#REF!</v>
      </c>
      <c r="K11" s="4">
        <f>'All Solo Adjustments'!A70</f>
        <v>77</v>
      </c>
      <c r="L11" s="3">
        <f>'All Solo Adjustments'!B70</f>
        <v>3.6111111111111114E-3</v>
      </c>
      <c r="M11" s="3">
        <f>'All Solo Adjustments'!C70</f>
        <v>5.4861111111111109E-3</v>
      </c>
      <c r="N11" s="3">
        <f>'All Solo Adjustments'!D70</f>
        <v>9.3981481481481485E-3</v>
      </c>
      <c r="O11" s="3">
        <f>'All Solo Adjustments'!E70</f>
        <v>1.1446759259259259E-2</v>
      </c>
      <c r="P11" s="3">
        <f>'All Solo Adjustments'!F70</f>
        <v>2.0138888888888887E-2</v>
      </c>
      <c r="Q11" s="3">
        <f>'All Solo Adjustments'!G70</f>
        <v>7.744984567901234E-4</v>
      </c>
      <c r="R11" s="47" t="e">
        <f>'All Solo Adjustments'!#REF!</f>
        <v>#REF!</v>
      </c>
      <c r="S11" s="47" t="e">
        <f>'All Solo Adjustments'!#REF!</f>
        <v>#REF!</v>
      </c>
    </row>
    <row r="12" spans="1:19" x14ac:dyDescent="0.25">
      <c r="A12" s="4">
        <f>'All Solo Adjustments'!A43</f>
        <v>50</v>
      </c>
      <c r="B12" s="3">
        <f>'All Solo Adjustments'!B43</f>
        <v>4.3981481481481481E-4</v>
      </c>
      <c r="C12" s="3">
        <f>'All Solo Adjustments'!C43</f>
        <v>6.7129629629629635E-4</v>
      </c>
      <c r="D12" s="3">
        <f>'All Solo Adjustments'!D43</f>
        <v>1.1342592592592591E-3</v>
      </c>
      <c r="E12" s="3">
        <f>'All Solo Adjustments'!E43</f>
        <v>1.3888888888888887E-3</v>
      </c>
      <c r="F12" s="3">
        <f>'All Solo Adjustments'!F43</f>
        <v>2.4074074074074072E-3</v>
      </c>
      <c r="G12" s="3">
        <f>'All Solo Adjustments'!G43</f>
        <v>5.3819444444444444E-3</v>
      </c>
      <c r="H12" s="47" t="e">
        <f>'All Solo Adjustments'!#REF!</f>
        <v>#REF!</v>
      </c>
      <c r="I12" s="47" t="e">
        <f>'All Solo Adjustments'!#REF!</f>
        <v>#REF!</v>
      </c>
      <c r="K12" s="4">
        <f>'All Solo Adjustments'!A71</f>
        <v>78</v>
      </c>
      <c r="L12" s="3">
        <f>'All Solo Adjustments'!B71</f>
        <v>3.8078703703703703E-3</v>
      </c>
      <c r="M12" s="3">
        <f>'All Solo Adjustments'!C71</f>
        <v>5.7870370370370367E-3</v>
      </c>
      <c r="N12" s="3">
        <f>'All Solo Adjustments'!D71</f>
        <v>9.9189814814814817E-3</v>
      </c>
      <c r="O12" s="3">
        <f>'All Solo Adjustments'!E71</f>
        <v>1.207175925925926E-2</v>
      </c>
      <c r="P12" s="3">
        <f>'All Solo Adjustments'!F71</f>
        <v>2.1249999999999998E-2</v>
      </c>
      <c r="Q12" s="3">
        <f>'All Solo Adjustments'!G71</f>
        <v>8.1944444444444437E-4</v>
      </c>
      <c r="R12" s="47" t="e">
        <f>'All Solo Adjustments'!#REF!</f>
        <v>#REF!</v>
      </c>
      <c r="S12" s="47" t="e">
        <f>'All Solo Adjustments'!#REF!</f>
        <v>#REF!</v>
      </c>
    </row>
    <row r="13" spans="1:19" x14ac:dyDescent="0.25">
      <c r="A13" s="4">
        <f>'All Solo Adjustments'!A44</f>
        <v>51</v>
      </c>
      <c r="B13" s="3">
        <f>'All Solo Adjustments'!B44</f>
        <v>4.9768518518518521E-4</v>
      </c>
      <c r="C13" s="3">
        <f>'All Solo Adjustments'!C44</f>
        <v>7.6388888888888882E-4</v>
      </c>
      <c r="D13" s="3">
        <f>'All Solo Adjustments'!D44</f>
        <v>1.3078703703703703E-3</v>
      </c>
      <c r="E13" s="3">
        <f>'All Solo Adjustments'!E44</f>
        <v>1.5856481481481481E-3</v>
      </c>
      <c r="F13" s="3">
        <f>'All Solo Adjustments'!F44</f>
        <v>2.7546296296296294E-3</v>
      </c>
      <c r="G13" s="3">
        <f>'All Solo Adjustments'!G44</f>
        <v>6.1689814814814819E-3</v>
      </c>
      <c r="H13" s="47" t="e">
        <f>'All Solo Adjustments'!#REF!</f>
        <v>#REF!</v>
      </c>
      <c r="I13" s="47" t="e">
        <f>'All Solo Adjustments'!#REF!</f>
        <v>#REF!</v>
      </c>
      <c r="K13" s="4">
        <f>'All Solo Adjustments'!A72</f>
        <v>79</v>
      </c>
      <c r="L13" s="45">
        <f>'All Solo Adjustments'!B72</f>
        <v>4.0162037037037041E-3</v>
      </c>
      <c r="M13" s="45">
        <f>'All Solo Adjustments'!C72</f>
        <v>6.099537037037037E-3</v>
      </c>
      <c r="N13" s="45">
        <f>'All Solo Adjustments'!D72</f>
        <v>1.0451388888888889E-2</v>
      </c>
      <c r="O13" s="45">
        <f>'All Solo Adjustments'!E72</f>
        <v>1.2719907407407407E-2</v>
      </c>
      <c r="P13" s="45">
        <f>'All Solo Adjustments'!F72</f>
        <v>2.2430555555555558E-2</v>
      </c>
      <c r="Q13" s="45">
        <f>'All Solo Adjustments'!G72</f>
        <v>8.6651234567901238E-4</v>
      </c>
      <c r="R13" s="49" t="e">
        <f>'All Solo Adjustments'!#REF!</f>
        <v>#REF!</v>
      </c>
      <c r="S13" s="49" t="e">
        <f>'All Solo Adjustments'!#REF!</f>
        <v>#REF!</v>
      </c>
    </row>
    <row r="14" spans="1:19" x14ac:dyDescent="0.25">
      <c r="A14" s="4">
        <f>'All Solo Adjustments'!A45</f>
        <v>52</v>
      </c>
      <c r="B14" s="3">
        <f>'All Solo Adjustments'!B45</f>
        <v>5.6712962962962956E-4</v>
      </c>
      <c r="C14" s="3">
        <f>'All Solo Adjustments'!C45</f>
        <v>8.6805555555555562E-4</v>
      </c>
      <c r="D14" s="3">
        <f>'All Solo Adjustments'!D45</f>
        <v>1.4814814814814816E-3</v>
      </c>
      <c r="E14" s="3">
        <f>'All Solo Adjustments'!E45</f>
        <v>1.7939814814814817E-3</v>
      </c>
      <c r="F14" s="3">
        <f>'All Solo Adjustments'!F45</f>
        <v>3.1250000000000002E-3</v>
      </c>
      <c r="G14" s="3">
        <f>'All Solo Adjustments'!G45</f>
        <v>6.9907407407407409E-3</v>
      </c>
      <c r="H14" s="47" t="e">
        <f>'All Solo Adjustments'!#REF!</f>
        <v>#REF!</v>
      </c>
      <c r="I14" s="47" t="e">
        <f>'All Solo Adjustments'!#REF!</f>
        <v>#REF!</v>
      </c>
      <c r="K14" s="4">
        <f>'All Solo Adjustments'!A73</f>
        <v>80</v>
      </c>
      <c r="L14" s="3">
        <f>'All Solo Adjustments'!B73</f>
        <v>4.2245370370370371E-3</v>
      </c>
      <c r="M14" s="3">
        <f>'All Solo Adjustments'!C73</f>
        <v>6.4236111111111117E-3</v>
      </c>
      <c r="N14" s="3">
        <f>'All Solo Adjustments'!D73</f>
        <v>1.1018518518518518E-2</v>
      </c>
      <c r="O14" s="3">
        <f>'All Solo Adjustments'!E73</f>
        <v>1.3414351851851853E-2</v>
      </c>
      <c r="P14" s="3">
        <f>'All Solo Adjustments'!F73</f>
        <v>2.3657407407407408E-2</v>
      </c>
      <c r="Q14" s="3">
        <f>'All Solo Adjustments'!G73</f>
        <v>9.1628086419753092E-4</v>
      </c>
      <c r="R14" s="47" t="e">
        <f>'All Solo Adjustments'!#REF!</f>
        <v>#REF!</v>
      </c>
      <c r="S14" s="47" t="e">
        <f>'All Solo Adjustments'!#REF!</f>
        <v>#REF!</v>
      </c>
    </row>
    <row r="15" spans="1:19" x14ac:dyDescent="0.25">
      <c r="A15" s="4">
        <f>'All Solo Adjustments'!A46</f>
        <v>53</v>
      </c>
      <c r="B15" s="3">
        <f>'All Solo Adjustments'!B46</f>
        <v>6.3657407407407413E-4</v>
      </c>
      <c r="C15" s="3">
        <f>'All Solo Adjustments'!C46</f>
        <v>9.7222222222222219E-4</v>
      </c>
      <c r="D15" s="3">
        <f>'All Solo Adjustments'!D46</f>
        <v>1.6666666666666668E-3</v>
      </c>
      <c r="E15" s="3">
        <f>'All Solo Adjustments'!E46</f>
        <v>2.0254629629629629E-3</v>
      </c>
      <c r="F15" s="3">
        <f>'All Solo Adjustments'!F46</f>
        <v>3.5185185185185185E-3</v>
      </c>
      <c r="G15" s="3">
        <f>'All Solo Adjustments'!G46</f>
        <v>7.8703703703703696E-3</v>
      </c>
      <c r="H15" s="47" t="e">
        <f>'All Solo Adjustments'!#REF!</f>
        <v>#REF!</v>
      </c>
      <c r="I15" s="47" t="e">
        <f>'All Solo Adjustments'!#REF!</f>
        <v>#REF!</v>
      </c>
      <c r="K15" s="4">
        <f>'All Solo Adjustments'!A74</f>
        <v>81</v>
      </c>
      <c r="L15" s="3">
        <f>'All Solo Adjustments'!B74</f>
        <v>4.4444444444444444E-3</v>
      </c>
      <c r="M15" s="3">
        <f>'All Solo Adjustments'!C74</f>
        <v>6.7592592592592591E-3</v>
      </c>
      <c r="N15" s="3">
        <f>'All Solo Adjustments'!D74</f>
        <v>1.1597222222222222E-2</v>
      </c>
      <c r="O15" s="3">
        <f>'All Solo Adjustments'!E74</f>
        <v>1.412037037037037E-2</v>
      </c>
      <c r="P15" s="3">
        <f>'All Solo Adjustments'!F74</f>
        <v>2.4942129629629627E-2</v>
      </c>
      <c r="Q15" s="3">
        <f>'All Solo Adjustments'!G74</f>
        <v>9.687500000000001E-4</v>
      </c>
      <c r="R15" s="47" t="e">
        <f>'All Solo Adjustments'!#REF!</f>
        <v>#REF!</v>
      </c>
      <c r="S15" s="47" t="e">
        <f>'All Solo Adjustments'!#REF!</f>
        <v>#REF!</v>
      </c>
    </row>
    <row r="16" spans="1:19" x14ac:dyDescent="0.25">
      <c r="A16" s="4">
        <f>'All Solo Adjustments'!A47</f>
        <v>54</v>
      </c>
      <c r="B16" s="3">
        <f>'All Solo Adjustments'!B47</f>
        <v>7.1759259259259259E-4</v>
      </c>
      <c r="C16" s="3">
        <f>'All Solo Adjustments'!C47</f>
        <v>1.0879629629629631E-3</v>
      </c>
      <c r="D16" s="3">
        <f>'All Solo Adjustments'!D47</f>
        <v>1.8518518518518517E-3</v>
      </c>
      <c r="E16" s="3">
        <f>'All Solo Adjustments'!E47</f>
        <v>2.2569444444444442E-3</v>
      </c>
      <c r="F16" s="3">
        <f>'All Solo Adjustments'!F47</f>
        <v>3.9236111111111112E-3</v>
      </c>
      <c r="G16" s="3">
        <f>'All Solo Adjustments'!G47</f>
        <v>8.7847222222222233E-3</v>
      </c>
      <c r="H16" s="47" t="e">
        <f>'All Solo Adjustments'!#REF!</f>
        <v>#REF!</v>
      </c>
      <c r="I16" s="47" t="e">
        <f>'All Solo Adjustments'!#REF!</f>
        <v>#REF!</v>
      </c>
      <c r="K16" s="4">
        <f>'All Solo Adjustments'!A75</f>
        <v>82</v>
      </c>
      <c r="L16" s="3">
        <f>'All Solo Adjustments'!B75</f>
        <v>4.6759259259259263E-3</v>
      </c>
      <c r="M16" s="3">
        <f>'All Solo Adjustments'!C75</f>
        <v>7.1180555555555554E-3</v>
      </c>
      <c r="N16" s="3">
        <f>'All Solo Adjustments'!D75</f>
        <v>1.2210648148148148E-2</v>
      </c>
      <c r="O16" s="3">
        <f>'All Solo Adjustments'!E75</f>
        <v>1.4872685185185187E-2</v>
      </c>
      <c r="P16" s="3">
        <f>'All Solo Adjustments'!F75</f>
        <v>2.6296296296296297E-2</v>
      </c>
      <c r="Q16" s="3">
        <f>'All Solo Adjustments'!G75</f>
        <v>1.0241126543209876E-3</v>
      </c>
      <c r="R16" s="47" t="e">
        <f>'All Solo Adjustments'!#REF!</f>
        <v>#REF!</v>
      </c>
      <c r="S16" s="47" t="e">
        <f>'All Solo Adjustments'!#REF!</f>
        <v>#REF!</v>
      </c>
    </row>
    <row r="17" spans="1:20" x14ac:dyDescent="0.25">
      <c r="A17" s="4">
        <f>'All Solo Adjustments'!A48</f>
        <v>55</v>
      </c>
      <c r="B17" s="3">
        <f>'All Solo Adjustments'!B48</f>
        <v>7.9861111111111116E-4</v>
      </c>
      <c r="C17" s="3">
        <f>'All Solo Adjustments'!C48</f>
        <v>1.2037037037037036E-3</v>
      </c>
      <c r="D17" s="3">
        <f>'All Solo Adjustments'!D48</f>
        <v>2.0601851851851853E-3</v>
      </c>
      <c r="E17" s="3">
        <f>'All Solo Adjustments'!E48</f>
        <v>2.5000000000000001E-3</v>
      </c>
      <c r="F17" s="3">
        <f>'All Solo Adjustments'!F48</f>
        <v>4.3518518518518524E-3</v>
      </c>
      <c r="G17" s="3">
        <f>'All Solo Adjustments'!G48</f>
        <v>9.7569444444444448E-3</v>
      </c>
      <c r="H17" s="47" t="e">
        <f>'All Solo Adjustments'!#REF!</f>
        <v>#REF!</v>
      </c>
      <c r="I17" s="47" t="e">
        <f>'All Solo Adjustments'!#REF!</f>
        <v>#REF!</v>
      </c>
      <c r="K17" s="4">
        <f>'All Solo Adjustments'!A76</f>
        <v>83</v>
      </c>
      <c r="L17" s="3">
        <f>'All Solo Adjustments'!B76</f>
        <v>4.9189814814814816E-3</v>
      </c>
      <c r="M17" s="3">
        <f>'All Solo Adjustments'!C76</f>
        <v>7.4884259259259262E-3</v>
      </c>
      <c r="N17" s="3">
        <f>'All Solo Adjustments'!D76</f>
        <v>1.2858796296296297E-2</v>
      </c>
      <c r="O17" s="3">
        <f>'All Solo Adjustments'!E76</f>
        <v>1.5659722222222221E-2</v>
      </c>
      <c r="P17" s="3">
        <f>'All Solo Adjustments'!F76</f>
        <v>2.7708333333333335E-2</v>
      </c>
      <c r="Q17" s="3">
        <f>'All Solo Adjustments'!G76</f>
        <v>1.0825617283950618E-3</v>
      </c>
      <c r="R17" s="47" t="e">
        <f>'All Solo Adjustments'!#REF!</f>
        <v>#REF!</v>
      </c>
      <c r="S17" s="47" t="e">
        <f>'All Solo Adjustments'!#REF!</f>
        <v>#REF!</v>
      </c>
    </row>
    <row r="18" spans="1:20" x14ac:dyDescent="0.25">
      <c r="A18" s="4">
        <f>'All Solo Adjustments'!A49</f>
        <v>56</v>
      </c>
      <c r="B18" s="3">
        <f>'All Solo Adjustments'!B49</f>
        <v>8.7962962962962962E-4</v>
      </c>
      <c r="C18" s="3">
        <f>'All Solo Adjustments'!C49</f>
        <v>1.3310185185185185E-3</v>
      </c>
      <c r="D18" s="3">
        <f>'All Solo Adjustments'!D49</f>
        <v>2.2685185185185182E-3</v>
      </c>
      <c r="E18" s="3">
        <f>'All Solo Adjustments'!E49</f>
        <v>2.7546296296296294E-3</v>
      </c>
      <c r="F18" s="3">
        <f>'All Solo Adjustments'!F49</f>
        <v>4.8032407407407407E-3</v>
      </c>
      <c r="G18" s="3">
        <f>'All Solo Adjustments'!G49</f>
        <v>1.0763888888888889E-2</v>
      </c>
      <c r="H18" s="47" t="e">
        <f>'All Solo Adjustments'!#REF!</f>
        <v>#REF!</v>
      </c>
      <c r="I18" s="47" t="e">
        <f>'All Solo Adjustments'!#REF!</f>
        <v>#REF!</v>
      </c>
      <c r="K18" s="4">
        <f>'All Solo Adjustments'!A77</f>
        <v>84</v>
      </c>
      <c r="L18" s="3">
        <f>'All Solo Adjustments'!B77</f>
        <v>5.1736111111111115E-3</v>
      </c>
      <c r="M18" s="3">
        <f>'All Solo Adjustments'!C77</f>
        <v>7.8819444444444449E-3</v>
      </c>
      <c r="N18" s="3">
        <f>'All Solo Adjustments'!D77</f>
        <v>1.3530092592592592E-2</v>
      </c>
      <c r="O18" s="3">
        <f>'All Solo Adjustments'!E77</f>
        <v>1.6493055555555556E-2</v>
      </c>
      <c r="P18" s="3">
        <f>'All Solo Adjustments'!F77</f>
        <v>2.9201388888888891E-2</v>
      </c>
      <c r="Q18" s="3">
        <f>'All Solo Adjustments'!G77</f>
        <v>1.1444830246913581E-3</v>
      </c>
      <c r="R18" s="47" t="e">
        <f>'All Solo Adjustments'!#REF!</f>
        <v>#REF!</v>
      </c>
      <c r="S18" s="47" t="e">
        <f>'All Solo Adjustments'!#REF!</f>
        <v>#REF!</v>
      </c>
    </row>
    <row r="19" spans="1:20" x14ac:dyDescent="0.25">
      <c r="A19" s="4">
        <f>'All Solo Adjustments'!A50</f>
        <v>57</v>
      </c>
      <c r="B19" s="3">
        <f>'All Solo Adjustments'!B50</f>
        <v>9.6064814814814819E-4</v>
      </c>
      <c r="C19" s="3">
        <f>'All Solo Adjustments'!C50</f>
        <v>1.4583333333333332E-3</v>
      </c>
      <c r="D19" s="3">
        <f>'All Solo Adjustments'!D50</f>
        <v>2.488425925925926E-3</v>
      </c>
      <c r="E19" s="3">
        <f>'All Solo Adjustments'!E50</f>
        <v>3.0208333333333333E-3</v>
      </c>
      <c r="F19" s="3">
        <f>'All Solo Adjustments'!F50</f>
        <v>5.2662037037037035E-3</v>
      </c>
      <c r="G19" s="3">
        <f>'All Solo Adjustments'!G50</f>
        <v>1.1828703703703704E-2</v>
      </c>
      <c r="H19" s="47" t="e">
        <f>'All Solo Adjustments'!#REF!</f>
        <v>#REF!</v>
      </c>
      <c r="I19" s="47" t="e">
        <f>'All Solo Adjustments'!#REF!</f>
        <v>#REF!</v>
      </c>
      <c r="K19" s="4">
        <f>'All Solo Adjustments'!A78</f>
        <v>85</v>
      </c>
      <c r="L19" s="3">
        <f>'All Solo Adjustments'!B78</f>
        <v>5.4398148148148149E-3</v>
      </c>
      <c r="M19" s="3">
        <f>'All Solo Adjustments'!C78</f>
        <v>8.2870370370370372E-3</v>
      </c>
      <c r="N19" s="3">
        <f>'All Solo Adjustments'!D78</f>
        <v>1.4236111111111111E-2</v>
      </c>
      <c r="O19" s="3">
        <f>'All Solo Adjustments'!E78</f>
        <v>1.7349537037037035E-2</v>
      </c>
      <c r="P19" s="3">
        <f>'All Solo Adjustments'!F78</f>
        <v>3.0775462962962963E-2</v>
      </c>
      <c r="Q19" s="3">
        <f>'All Solo Adjustments'!G78</f>
        <v>1.2102623456790125E-3</v>
      </c>
      <c r="R19" s="47" t="e">
        <f>'All Solo Adjustments'!#REF!</f>
        <v>#REF!</v>
      </c>
      <c r="S19" s="47" t="e">
        <f>'All Solo Adjustments'!#REF!</f>
        <v>#REF!</v>
      </c>
    </row>
    <row r="20" spans="1:20" x14ac:dyDescent="0.25">
      <c r="A20" s="4">
        <f>'All Solo Adjustments'!A51</f>
        <v>58</v>
      </c>
      <c r="B20" s="3">
        <f>'All Solo Adjustments'!B51</f>
        <v>1.0532407407407407E-3</v>
      </c>
      <c r="C20" s="3">
        <f>'All Solo Adjustments'!C51</f>
        <v>1.5856481481481481E-3</v>
      </c>
      <c r="D20" s="3">
        <f>'All Solo Adjustments'!D51</f>
        <v>2.7199074074074074E-3</v>
      </c>
      <c r="E20" s="3">
        <f>'All Solo Adjustments'!E51</f>
        <v>3.2986111111111111E-3</v>
      </c>
      <c r="F20" s="3">
        <f>'All Solo Adjustments'!F51</f>
        <v>5.7523148148148151E-3</v>
      </c>
      <c r="G20" s="3">
        <f>'All Solo Adjustments'!G51</f>
        <v>1.2939814814814815E-2</v>
      </c>
      <c r="H20" s="47" t="e">
        <f>'All Solo Adjustments'!#REF!</f>
        <v>#REF!</v>
      </c>
      <c r="I20" s="47" t="e">
        <f>'All Solo Adjustments'!#REF!</f>
        <v>#REF!</v>
      </c>
      <c r="K20" s="4">
        <f>'All Solo Adjustments'!A79</f>
        <v>86</v>
      </c>
      <c r="L20" s="3">
        <f>'All Solo Adjustments'!B79</f>
        <v>5.7175925925925927E-3</v>
      </c>
      <c r="M20" s="3">
        <f>'All Solo Adjustments'!C79</f>
        <v>8.7152777777777784E-3</v>
      </c>
      <c r="N20" s="3">
        <f>'All Solo Adjustments'!D79</f>
        <v>1.4988425925925926E-2</v>
      </c>
      <c r="O20" s="3">
        <f>'All Solo Adjustments'!E79</f>
        <v>1.8263888888888892E-2</v>
      </c>
      <c r="P20" s="3">
        <f>'All Solo Adjustments'!F79</f>
        <v>3.2430555555555553E-2</v>
      </c>
      <c r="Q20" s="3">
        <f>'All Solo Adjustments'!G79</f>
        <v>1.2800925925925927E-3</v>
      </c>
      <c r="R20" s="47" t="e">
        <f>'All Solo Adjustments'!#REF!</f>
        <v>#REF!</v>
      </c>
      <c r="S20" s="47" t="e">
        <f>'All Solo Adjustments'!#REF!</f>
        <v>#REF!</v>
      </c>
    </row>
    <row r="21" spans="1:20" x14ac:dyDescent="0.25">
      <c r="A21" s="4">
        <f>'All Solo Adjustments'!A52</f>
        <v>59</v>
      </c>
      <c r="B21" s="45">
        <f>'All Solo Adjustments'!B52</f>
        <v>1.1458333333333333E-3</v>
      </c>
      <c r="C21" s="45">
        <f>'All Solo Adjustments'!C52</f>
        <v>1.7361111111111112E-3</v>
      </c>
      <c r="D21" s="45">
        <f>'All Solo Adjustments'!D52</f>
        <v>2.9629629629629632E-3</v>
      </c>
      <c r="E21" s="45">
        <f>'All Solo Adjustments'!E52</f>
        <v>3.5995370370370374E-3</v>
      </c>
      <c r="F21" s="45">
        <f>'All Solo Adjustments'!F52</f>
        <v>6.2615740740740739E-3</v>
      </c>
      <c r="G21" s="45">
        <f>'All Solo Adjustments'!G52</f>
        <v>1.4097222222222223E-2</v>
      </c>
      <c r="H21" s="49" t="e">
        <f>'All Solo Adjustments'!#REF!</f>
        <v>#REF!</v>
      </c>
      <c r="I21" s="49" t="e">
        <f>'All Solo Adjustments'!#REF!</f>
        <v>#REF!</v>
      </c>
      <c r="K21" s="4">
        <f>'All Solo Adjustments'!A80</f>
        <v>87</v>
      </c>
      <c r="L21" s="3">
        <f>'All Solo Adjustments'!B80</f>
        <v>6.0185185185185185E-3</v>
      </c>
      <c r="M21" s="3">
        <f>'All Solo Adjustments'!C80</f>
        <v>9.1666666666666667E-3</v>
      </c>
      <c r="N21" s="3">
        <f>'All Solo Adjustments'!D80</f>
        <v>1.576388888888889E-2</v>
      </c>
      <c r="O21" s="3">
        <f>'All Solo Adjustments'!E80</f>
        <v>1.9224537037037037E-2</v>
      </c>
      <c r="P21" s="3">
        <f>'All Solo Adjustments'!F80</f>
        <v>3.4178240740740738E-2</v>
      </c>
      <c r="Q21" s="3">
        <f>'All Solo Adjustments'!G80</f>
        <v>1.3545524691358024E-3</v>
      </c>
      <c r="R21" s="47" t="e">
        <f>'All Solo Adjustments'!#REF!</f>
        <v>#REF!</v>
      </c>
      <c r="S21" s="47" t="e">
        <f>'All Solo Adjustments'!#REF!</f>
        <v>#REF!</v>
      </c>
    </row>
    <row r="22" spans="1:20" x14ac:dyDescent="0.25">
      <c r="A22" s="4">
        <f>'All Solo Adjustments'!A53</f>
        <v>60</v>
      </c>
      <c r="B22" s="3">
        <f>'All Solo Adjustments'!B53</f>
        <v>1.238425925925926E-3</v>
      </c>
      <c r="C22" s="3">
        <f>'All Solo Adjustments'!C53</f>
        <v>1.8750000000000001E-3</v>
      </c>
      <c r="D22" s="3">
        <f>'All Solo Adjustments'!D53</f>
        <v>3.2060185185185186E-3</v>
      </c>
      <c r="E22" s="3">
        <f>'All Solo Adjustments'!E53</f>
        <v>3.9004629629629628E-3</v>
      </c>
      <c r="F22" s="3">
        <f>'All Solo Adjustments'!F53</f>
        <v>6.7939814814814816E-3</v>
      </c>
      <c r="G22" s="3">
        <f>'All Solo Adjustments'!G53</f>
        <v>1.53125E-2</v>
      </c>
      <c r="H22" s="47" t="e">
        <f>'All Solo Adjustments'!#REF!</f>
        <v>#REF!</v>
      </c>
      <c r="I22" s="47" t="e">
        <f>'All Solo Adjustments'!#REF!</f>
        <v>#REF!</v>
      </c>
      <c r="K22" s="4">
        <f>'All Solo Adjustments'!A81</f>
        <v>88</v>
      </c>
      <c r="L22" s="3">
        <f>'All Solo Adjustments'!B81</f>
        <v>6.3310185185185179E-3</v>
      </c>
      <c r="M22" s="3">
        <f>'All Solo Adjustments'!C81</f>
        <v>9.6412037037037039E-3</v>
      </c>
      <c r="N22" s="3">
        <f>'All Solo Adjustments'!D81</f>
        <v>1.6597222222222222E-2</v>
      </c>
      <c r="O22" s="3">
        <f>'All Solo Adjustments'!E81</f>
        <v>2.0243055555555556E-2</v>
      </c>
      <c r="P22" s="3">
        <f>'All Solo Adjustments'!F81</f>
        <v>3.6041666666666666E-2</v>
      </c>
      <c r="Q22" s="3">
        <f>'All Solo Adjustments'!G81</f>
        <v>1.4340277777777778E-3</v>
      </c>
      <c r="R22" s="47" t="e">
        <f>'All Solo Adjustments'!#REF!</f>
        <v>#REF!</v>
      </c>
      <c r="S22" s="47" t="e">
        <f>'All Solo Adjustments'!#REF!</f>
        <v>#REF!</v>
      </c>
    </row>
    <row r="23" spans="1:20" x14ac:dyDescent="0.25">
      <c r="A23" s="4">
        <f>'All Solo Adjustments'!A54</f>
        <v>61</v>
      </c>
      <c r="B23" s="3">
        <f>'All Solo Adjustments'!B54</f>
        <v>1.3425925925925927E-3</v>
      </c>
      <c r="C23" s="3">
        <f>'All Solo Adjustments'!C54</f>
        <v>2.0370370370370369E-3</v>
      </c>
      <c r="D23" s="3">
        <f>'All Solo Adjustments'!D54</f>
        <v>3.4722222222222225E-3</v>
      </c>
      <c r="E23" s="3">
        <f>'All Solo Adjustments'!E54</f>
        <v>4.2129629629629626E-3</v>
      </c>
      <c r="F23" s="3">
        <f>'All Solo Adjustments'!F54</f>
        <v>7.3495370370370372E-3</v>
      </c>
      <c r="G23" s="3">
        <f>'All Solo Adjustments'!G54</f>
        <v>1.6574074074074074E-2</v>
      </c>
      <c r="H23" s="47" t="e">
        <f>'All Solo Adjustments'!#REF!</f>
        <v>#REF!</v>
      </c>
      <c r="I23" s="47" t="e">
        <f>'All Solo Adjustments'!#REF!</f>
        <v>#REF!</v>
      </c>
      <c r="K23" s="4">
        <f>'All Solo Adjustments'!A82</f>
        <v>89</v>
      </c>
      <c r="L23" s="45">
        <f>'All Solo Adjustments'!B82</f>
        <v>6.6550925925925927E-3</v>
      </c>
      <c r="M23" s="45">
        <f>'All Solo Adjustments'!C82</f>
        <v>1.0138888888888888E-2</v>
      </c>
      <c r="N23" s="45">
        <f>'All Solo Adjustments'!D82</f>
        <v>1.7465277777777777E-2</v>
      </c>
      <c r="O23" s="45">
        <f>'All Solo Adjustments'!E82</f>
        <v>2.1307870370370369E-2</v>
      </c>
      <c r="P23" s="45">
        <f>'All Solo Adjustments'!F82</f>
        <v>3.7997685185185183E-2</v>
      </c>
      <c r="Q23" s="45">
        <f>'All Solo Adjustments'!G82</f>
        <v>1.5192901234567901E-3</v>
      </c>
      <c r="R23" s="49" t="e">
        <f>'All Solo Adjustments'!#REF!</f>
        <v>#REF!</v>
      </c>
      <c r="S23" s="49" t="e">
        <f>'All Solo Adjustments'!#REF!</f>
        <v>#REF!</v>
      </c>
    </row>
    <row r="24" spans="1:20" x14ac:dyDescent="0.25">
      <c r="A24" s="4">
        <f>'All Solo Adjustments'!A55</f>
        <v>62</v>
      </c>
      <c r="B24" s="3">
        <f>'All Solo Adjustments'!B55</f>
        <v>1.4467592592592592E-3</v>
      </c>
      <c r="C24" s="3">
        <f>'All Solo Adjustments'!C55</f>
        <v>2.1875000000000002E-3</v>
      </c>
      <c r="D24" s="3">
        <f>'All Solo Adjustments'!D55</f>
        <v>3.7384259259259259E-3</v>
      </c>
      <c r="E24" s="3">
        <f>'All Solo Adjustments'!E55</f>
        <v>4.5486111111111109E-3</v>
      </c>
      <c r="F24" s="3">
        <f>'All Solo Adjustments'!F55</f>
        <v>7.9282407407407409E-3</v>
      </c>
      <c r="G24" s="3">
        <f>'All Solo Adjustments'!G55</f>
        <v>1.7905092592592594E-2</v>
      </c>
      <c r="H24" s="47" t="e">
        <f>'All Solo Adjustments'!#REF!</f>
        <v>#REF!</v>
      </c>
      <c r="I24" s="47" t="e">
        <f>'All Solo Adjustments'!#REF!</f>
        <v>#REF!</v>
      </c>
      <c r="K24" s="4">
        <f>'All Solo Adjustments'!A83</f>
        <v>90</v>
      </c>
      <c r="L24" s="3">
        <f>'All Solo Adjustments'!B83</f>
        <v>6.9907407407407409E-3</v>
      </c>
      <c r="M24" s="3">
        <f>'All Solo Adjustments'!C83</f>
        <v>1.0671296296296295E-2</v>
      </c>
      <c r="N24" s="3">
        <f>'All Solo Adjustments'!D83</f>
        <v>1.8391203703703705E-2</v>
      </c>
      <c r="O24" s="3">
        <f>'All Solo Adjustments'!E83</f>
        <v>2.2442129629629628E-2</v>
      </c>
      <c r="P24" s="3">
        <f>'All Solo Adjustments'!F83</f>
        <v>4.0092592592592589E-2</v>
      </c>
      <c r="Q24" s="3">
        <f>'All Solo Adjustments'!G83</f>
        <v>1.6107253086419754E-3</v>
      </c>
      <c r="R24" s="47" t="e">
        <f>'All Solo Adjustments'!#REF!</f>
        <v>#REF!</v>
      </c>
      <c r="S24" s="47" t="e">
        <f>'All Solo Adjustments'!#REF!</f>
        <v>#REF!</v>
      </c>
    </row>
    <row r="25" spans="1:20" x14ac:dyDescent="0.25">
      <c r="A25" s="4">
        <f>'All Solo Adjustments'!A56</f>
        <v>63</v>
      </c>
      <c r="B25" s="3">
        <f>'All Solo Adjustments'!B56</f>
        <v>1.5509259259259259E-3</v>
      </c>
      <c r="C25" s="3">
        <f>'All Solo Adjustments'!C56</f>
        <v>2.3611111111111111E-3</v>
      </c>
      <c r="D25" s="3">
        <f>'All Solo Adjustments'!D56</f>
        <v>4.0277777777777777E-3</v>
      </c>
      <c r="E25" s="3">
        <f>'All Solo Adjustments'!E56</f>
        <v>4.8958333333333336E-3</v>
      </c>
      <c r="F25" s="3">
        <f>'All Solo Adjustments'!F56</f>
        <v>8.5416666666666662E-3</v>
      </c>
      <c r="G25" s="3">
        <f>'All Solo Adjustments'!G56</f>
        <v>1.9282407407407408E-2</v>
      </c>
      <c r="H25" s="47" t="e">
        <f>'All Solo Adjustments'!#REF!</f>
        <v>#REF!</v>
      </c>
      <c r="I25" s="47" t="e">
        <f>'All Solo Adjustments'!#REF!</f>
        <v>#REF!</v>
      </c>
      <c r="K25" s="4">
        <f>'All Solo Adjustments'!A84</f>
        <v>91</v>
      </c>
      <c r="L25" s="3">
        <f>'All Solo Adjustments'!B84</f>
        <v>7.3611111111111108E-3</v>
      </c>
      <c r="M25" s="3">
        <f>'All Solo Adjustments'!C84</f>
        <v>1.1226851851851852E-2</v>
      </c>
      <c r="N25" s="3">
        <f>'All Solo Adjustments'!D84</f>
        <v>1.9363425925925926E-2</v>
      </c>
      <c r="O25" s="3">
        <f>'All Solo Adjustments'!E84</f>
        <v>2.3645833333333331E-2</v>
      </c>
      <c r="P25" s="3">
        <f>'All Solo Adjustments'!F84</f>
        <v>7.0524691358024691E-4</v>
      </c>
      <c r="Q25" s="3">
        <f>'All Solo Adjustments'!G84</f>
        <v>1.7092978395061727E-3</v>
      </c>
      <c r="R25" s="47" t="e">
        <f>'All Solo Adjustments'!#REF!</f>
        <v>#REF!</v>
      </c>
      <c r="S25" s="47" t="e">
        <f>'All Solo Adjustments'!#REF!</f>
        <v>#REF!</v>
      </c>
    </row>
    <row r="26" spans="1:20" x14ac:dyDescent="0.25">
      <c r="A26" s="4">
        <f>'All Solo Adjustments'!A57</f>
        <v>64</v>
      </c>
      <c r="B26" s="3">
        <f>'All Solo Adjustments'!B57</f>
        <v>1.6666666666666668E-3</v>
      </c>
      <c r="C26" s="3">
        <f>'All Solo Adjustments'!C57</f>
        <v>2.5231481481481481E-3</v>
      </c>
      <c r="D26" s="3">
        <f>'All Solo Adjustments'!D57</f>
        <v>4.31712962962963E-3</v>
      </c>
      <c r="E26" s="3">
        <f>'All Solo Adjustments'!E57</f>
        <v>5.2430555555555555E-3</v>
      </c>
      <c r="F26" s="3">
        <f>'All Solo Adjustments'!F57</f>
        <v>9.1666666666666667E-3</v>
      </c>
      <c r="G26" s="3">
        <f>'All Solo Adjustments'!G57</f>
        <v>2.0717592592592593E-2</v>
      </c>
      <c r="H26" s="47" t="e">
        <f>'All Solo Adjustments'!#REF!</f>
        <v>#REF!</v>
      </c>
      <c r="I26" s="47" t="e">
        <f>'All Solo Adjustments'!#REF!</f>
        <v>#REF!</v>
      </c>
      <c r="K26" s="4">
        <f>'All Solo Adjustments'!A85</f>
        <v>92</v>
      </c>
      <c r="L26" s="3">
        <f>'All Solo Adjustments'!B85</f>
        <v>7.743055555555556E-3</v>
      </c>
      <c r="M26" s="3">
        <f>'All Solo Adjustments'!C85</f>
        <v>1.1817129629629631E-2</v>
      </c>
      <c r="N26" s="3">
        <f>'All Solo Adjustments'!D85</f>
        <v>2.0405092592592593E-2</v>
      </c>
      <c r="O26" s="3">
        <f>'All Solo Adjustments'!E85</f>
        <v>2.4930555555555556E-2</v>
      </c>
      <c r="P26" s="3">
        <f>'All Solo Adjustments'!F85</f>
        <v>7.4479166666666661E-4</v>
      </c>
      <c r="Q26" s="3">
        <f>'All Solo Adjustments'!G85</f>
        <v>1.8159722222222223E-3</v>
      </c>
      <c r="R26" s="47" t="e">
        <f>'All Solo Adjustments'!#REF!</f>
        <v>#REF!</v>
      </c>
      <c r="S26" s="47" t="e">
        <f>'All Solo Adjustments'!#REF!</f>
        <v>#REF!</v>
      </c>
    </row>
    <row r="27" spans="1:20" x14ac:dyDescent="0.25">
      <c r="A27" s="4">
        <f>'All Solo Adjustments'!A58</f>
        <v>65</v>
      </c>
      <c r="B27" s="3">
        <f>'All Solo Adjustments'!B58</f>
        <v>1.7824074074074072E-3</v>
      </c>
      <c r="C27" s="3">
        <f>'All Solo Adjustments'!C58</f>
        <v>2.7083333333333334E-3</v>
      </c>
      <c r="D27" s="3">
        <f>'All Solo Adjustments'!D58</f>
        <v>4.6180555555555558E-3</v>
      </c>
      <c r="E27" s="3">
        <f>'All Solo Adjustments'!E58</f>
        <v>5.6134259259259262E-3</v>
      </c>
      <c r="F27" s="3">
        <f>'All Solo Adjustments'!F58</f>
        <v>9.8148148148148144E-3</v>
      </c>
      <c r="G27" s="3">
        <f>'All Solo Adjustments'!G58</f>
        <v>2.222222222222222E-2</v>
      </c>
      <c r="H27" s="47" t="e">
        <f>'All Solo Adjustments'!#REF!</f>
        <v>#REF!</v>
      </c>
      <c r="I27" s="47" t="e">
        <f>'All Solo Adjustments'!#REF!</f>
        <v>#REF!</v>
      </c>
      <c r="K27" s="4">
        <f>'All Solo Adjustments'!A86</f>
        <v>93</v>
      </c>
      <c r="L27" s="3">
        <f>'All Solo Adjustments'!B86</f>
        <v>8.1597222222222227E-3</v>
      </c>
      <c r="M27" s="3">
        <f>'All Solo Adjustments'!C86</f>
        <v>1.2453703703703705E-2</v>
      </c>
      <c r="N27" s="3">
        <f>'All Solo Adjustments'!D86</f>
        <v>2.1516203703703704E-2</v>
      </c>
      <c r="O27" s="3">
        <f>'All Solo Adjustments'!E86</f>
        <v>2.6296296296296297E-2</v>
      </c>
      <c r="P27" s="3">
        <f>'All Solo Adjustments'!F86</f>
        <v>7.8703703703703705E-4</v>
      </c>
      <c r="Q27" s="3">
        <f>'All Solo Adjustments'!G86</f>
        <v>1.9317129629629628E-3</v>
      </c>
      <c r="R27" s="47" t="e">
        <f>'All Solo Adjustments'!#REF!</f>
        <v>#REF!</v>
      </c>
      <c r="S27" s="47" t="e">
        <f>'All Solo Adjustments'!#REF!</f>
        <v>#REF!</v>
      </c>
    </row>
    <row r="28" spans="1:20" x14ac:dyDescent="0.25">
      <c r="A28" s="4">
        <f>'All Solo Adjustments'!A59</f>
        <v>66</v>
      </c>
      <c r="B28" s="3">
        <f>'All Solo Adjustments'!B59</f>
        <v>1.9097222222222222E-3</v>
      </c>
      <c r="C28" s="3">
        <f>'All Solo Adjustments'!C59</f>
        <v>2.8935185185185184E-3</v>
      </c>
      <c r="D28" s="3">
        <f>'All Solo Adjustments'!D59</f>
        <v>4.9421296296296297E-3</v>
      </c>
      <c r="E28" s="3">
        <f>'All Solo Adjustments'!E59</f>
        <v>6.0069444444444441E-3</v>
      </c>
      <c r="F28" s="3">
        <f>'All Solo Adjustments'!F59</f>
        <v>1.0497685185185185E-2</v>
      </c>
      <c r="G28" s="3">
        <f>'All Solo Adjustments'!G59</f>
        <v>2.3796296296296298E-2</v>
      </c>
      <c r="H28" s="47" t="e">
        <f>'All Solo Adjustments'!#REF!</f>
        <v>#REF!</v>
      </c>
      <c r="I28" s="47" t="e">
        <f>'All Solo Adjustments'!#REF!</f>
        <v>#REF!</v>
      </c>
      <c r="K28" s="4">
        <f>'All Solo Adjustments'!A87</f>
        <v>94</v>
      </c>
      <c r="L28" s="3">
        <f>'All Solo Adjustments'!B87</f>
        <v>8.5879629629629622E-3</v>
      </c>
      <c r="M28" s="3">
        <f>'All Solo Adjustments'!C87</f>
        <v>1.3125E-2</v>
      </c>
      <c r="N28" s="3">
        <f>'All Solo Adjustments'!D87</f>
        <v>2.2685185185185187E-2</v>
      </c>
      <c r="O28" s="3">
        <f>'All Solo Adjustments'!E87</f>
        <v>2.7743055555555556E-2</v>
      </c>
      <c r="P28" s="3">
        <f>'All Solo Adjustments'!F87</f>
        <v>8.3256172839506171E-4</v>
      </c>
      <c r="Q28" s="3">
        <f>'All Solo Adjustments'!G87</f>
        <v>2.0578703703703705E-3</v>
      </c>
      <c r="R28" s="47" t="e">
        <f>'All Solo Adjustments'!#REF!</f>
        <v>#REF!</v>
      </c>
      <c r="S28" s="47" t="e">
        <f>'All Solo Adjustments'!#REF!</f>
        <v>#REF!</v>
      </c>
    </row>
    <row r="29" spans="1:20" x14ac:dyDescent="0.25">
      <c r="A29" s="4">
        <f>'All Solo Adjustments'!A60</f>
        <v>67</v>
      </c>
      <c r="B29" s="3">
        <f>'All Solo Adjustments'!B60</f>
        <v>2.0370370370370369E-3</v>
      </c>
      <c r="C29" s="3">
        <f>'All Solo Adjustments'!C60</f>
        <v>3.0787037037037037E-3</v>
      </c>
      <c r="D29" s="3">
        <f>'All Solo Adjustments'!D60</f>
        <v>5.2662037037037035E-3</v>
      </c>
      <c r="E29" s="3">
        <f>'All Solo Adjustments'!E60</f>
        <v>6.4120370370370373E-3</v>
      </c>
      <c r="F29" s="3">
        <f>'All Solo Adjustments'!F60</f>
        <v>1.1203703703703705E-2</v>
      </c>
      <c r="G29" s="3">
        <f>'All Solo Adjustments'!G60</f>
        <v>2.5428240740740741E-2</v>
      </c>
      <c r="H29" s="47" t="e">
        <f>'All Solo Adjustments'!#REF!</f>
        <v>#REF!</v>
      </c>
      <c r="I29" s="47" t="e">
        <f>'All Solo Adjustments'!#REF!</f>
        <v>#REF!</v>
      </c>
      <c r="K29" s="4">
        <f>'All Solo Adjustments'!A88</f>
        <v>95</v>
      </c>
      <c r="L29" s="3">
        <f>'All Solo Adjustments'!B88</f>
        <v>9.0509259259259258E-3</v>
      </c>
      <c r="M29" s="3">
        <f>'All Solo Adjustments'!C88</f>
        <v>1.3831018518518519E-2</v>
      </c>
      <c r="N29" s="3">
        <f>'All Solo Adjustments'!D88</f>
        <v>2.3946759259259258E-2</v>
      </c>
      <c r="O29" s="3">
        <f>'All Solo Adjustments'!E88</f>
        <v>2.9305555555555553E-2</v>
      </c>
      <c r="P29" s="3">
        <f>'All Solo Adjustments'!F88</f>
        <v>8.8136574074074083E-4</v>
      </c>
      <c r="Q29" s="3">
        <f>'All Solo Adjustments'!G88</f>
        <v>2.1961805555555558E-3</v>
      </c>
      <c r="R29" s="47" t="e">
        <f>'All Solo Adjustments'!#REF!</f>
        <v>#REF!</v>
      </c>
      <c r="S29" s="47" t="e">
        <f>'All Solo Adjustments'!#REF!</f>
        <v>#REF!</v>
      </c>
      <c r="T29" s="36">
        <f>Revision</f>
        <v>2024</v>
      </c>
    </row>
    <row r="30" spans="1:20" x14ac:dyDescent="0.25">
      <c r="B30" s="3"/>
    </row>
    <row r="31" spans="1:20" x14ac:dyDescent="0.25">
      <c r="B31" s="3"/>
      <c r="C31" s="3"/>
      <c r="D31" s="3"/>
      <c r="E31" s="3"/>
      <c r="F31" s="3"/>
      <c r="G31" s="3"/>
      <c r="H31" s="47"/>
      <c r="I31" s="47"/>
    </row>
    <row r="32" spans="1:20" x14ac:dyDescent="0.25">
      <c r="B32" s="3"/>
      <c r="C32" s="3"/>
      <c r="D32" s="3"/>
      <c r="E32" s="3"/>
      <c r="F32" s="3"/>
      <c r="G32" s="3"/>
      <c r="H32" s="47"/>
      <c r="I32" s="47"/>
      <c r="J32" s="3"/>
      <c r="K32" s="3"/>
      <c r="L32" s="3"/>
    </row>
  </sheetData>
  <sheetProtection algorithmName="SHA-512" hashValue="aVkw26Uwpf93V1v4YEE2DwolmE9YBx1UefJQOgAnsc0AQ89xp2xwvxMYb1EfVtaQ6WOHI+s/M+nmJAD23ldLOw==" saltValue="DRC4hiFuPrZWIYojV3BXCw=="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&amp;COPEN SOLO BICYCLE AGE ADJUSTMENTS</oddHeader>
    <oddFooter>&amp;L&amp;F&amp;CPage &amp;P of &amp;N&amp;R&amp;D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7DF33-6792-4AE5-9F75-CF7A39B5F217}">
  <sheetPr codeName="Sheet5">
    <pageSetUpPr fitToPage="1"/>
  </sheetPr>
  <dimension ref="A1:T29"/>
  <sheetViews>
    <sheetView zoomScale="75" zoomScaleNormal="75" workbookViewId="0"/>
  </sheetViews>
  <sheetFormatPr defaultRowHeight="15" x14ac:dyDescent="0.25"/>
  <cols>
    <col min="1" max="1" width="4.5703125" customWidth="1"/>
    <col min="2" max="9" width="8.5703125" customWidth="1"/>
    <col min="10" max="11" width="4.5703125" customWidth="1"/>
    <col min="12" max="19" width="8.5703125" customWidth="1"/>
  </cols>
  <sheetData>
    <row r="1" spans="1:19" s="11" customFormat="1" x14ac:dyDescent="0.25">
      <c r="A1" s="9" t="s">
        <v>1</v>
      </c>
      <c r="B1" s="10" t="s">
        <v>13</v>
      </c>
      <c r="C1" s="10" t="s">
        <v>14</v>
      </c>
      <c r="D1" s="10" t="s">
        <v>15</v>
      </c>
      <c r="E1" s="10" t="s">
        <v>16</v>
      </c>
      <c r="F1" s="10" t="s">
        <v>17</v>
      </c>
      <c r="G1" s="10" t="s">
        <v>18</v>
      </c>
      <c r="H1" s="60" t="s">
        <v>19</v>
      </c>
      <c r="I1" s="60" t="s">
        <v>20</v>
      </c>
      <c r="J1" s="12"/>
      <c r="K1" s="9" t="s">
        <v>1</v>
      </c>
      <c r="L1" s="10" t="s">
        <v>13</v>
      </c>
      <c r="M1" s="10" t="s">
        <v>14</v>
      </c>
      <c r="N1" s="10" t="s">
        <v>15</v>
      </c>
      <c r="O1" s="10" t="s">
        <v>16</v>
      </c>
      <c r="P1" s="10" t="s">
        <v>17</v>
      </c>
      <c r="Q1" s="10" t="s">
        <v>18</v>
      </c>
      <c r="R1" s="60" t="s">
        <v>19</v>
      </c>
      <c r="S1" s="60" t="s">
        <v>20</v>
      </c>
    </row>
    <row r="2" spans="1:19" x14ac:dyDescent="0.25">
      <c r="A2" s="4">
        <f>'All Solo Adjustments'!A33</f>
        <v>40</v>
      </c>
      <c r="B2" s="3">
        <f>'All Solo Adjustments'!H33</f>
        <v>1.7476851851851852E-3</v>
      </c>
      <c r="C2" s="3">
        <f>'All Solo Adjustments'!I33</f>
        <v>2.6273148148148145E-3</v>
      </c>
      <c r="D2" s="3">
        <f>'All Solo Adjustments'!J33</f>
        <v>4.4212962962962964E-3</v>
      </c>
      <c r="E2" s="3">
        <f>'All Solo Adjustments'!K33</f>
        <v>5.324074074074074E-3</v>
      </c>
      <c r="F2" s="3">
        <f>'All Solo Adjustments'!L33</f>
        <v>8.9930555555555545E-3</v>
      </c>
      <c r="G2" s="3">
        <f>'All Solo Adjustments'!M33</f>
        <v>1.863425925925926E-2</v>
      </c>
      <c r="H2" s="47" t="e">
        <f>'All Solo Adjustments'!#REF!</f>
        <v>#REF!</v>
      </c>
      <c r="I2" s="47" t="e">
        <f>'All Solo Adjustments'!#REF!</f>
        <v>#REF!</v>
      </c>
      <c r="K2" s="4">
        <f>'All Solo Adjustments'!A61</f>
        <v>68</v>
      </c>
      <c r="L2" s="3">
        <f>'All Solo Adjustments'!H61</f>
        <v>4.178240740740741E-3</v>
      </c>
      <c r="M2" s="3">
        <f>'All Solo Adjustments'!I61</f>
        <v>6.3194444444444444E-3</v>
      </c>
      <c r="N2" s="3">
        <f>'All Solo Adjustments'!J61</f>
        <v>1.0729166666666668E-2</v>
      </c>
      <c r="O2" s="3">
        <f>'All Solo Adjustments'!K61</f>
        <v>1.2986111111111111E-2</v>
      </c>
      <c r="P2" s="3">
        <f>'All Solo Adjustments'!L61</f>
        <v>2.2418981481481481E-2</v>
      </c>
      <c r="Q2" s="3">
        <f>'All Solo Adjustments'!M61</f>
        <v>8.192515432098765E-4</v>
      </c>
      <c r="R2" s="47" t="e">
        <f>'All Solo Adjustments'!#REF!</f>
        <v>#REF!</v>
      </c>
      <c r="S2" s="47" t="e">
        <f>'All Solo Adjustments'!#REF!</f>
        <v>#REF!</v>
      </c>
    </row>
    <row r="3" spans="1:19" x14ac:dyDescent="0.25">
      <c r="A3" s="4">
        <f>'All Solo Adjustments'!A34</f>
        <v>41</v>
      </c>
      <c r="B3" s="3">
        <f>'All Solo Adjustments'!H34</f>
        <v>1.7592592592592592E-3</v>
      </c>
      <c r="C3" s="3">
        <f>'All Solo Adjustments'!I34</f>
        <v>2.650462962962963E-3</v>
      </c>
      <c r="D3" s="3">
        <f>'All Solo Adjustments'!J34</f>
        <v>4.456018518518518E-3</v>
      </c>
      <c r="E3" s="3">
        <f>'All Solo Adjustments'!K34</f>
        <v>5.3703703703703708E-3</v>
      </c>
      <c r="F3" s="3">
        <f>'All Solo Adjustments'!L34</f>
        <v>9.0740740740740729E-3</v>
      </c>
      <c r="G3" s="3">
        <f>'All Solo Adjustments'!M34</f>
        <v>1.8831018518518521E-2</v>
      </c>
      <c r="H3" s="47" t="e">
        <f>'All Solo Adjustments'!#REF!</f>
        <v>#REF!</v>
      </c>
      <c r="I3" s="47" t="e">
        <f>'All Solo Adjustments'!#REF!</f>
        <v>#REF!</v>
      </c>
      <c r="K3" s="4">
        <f>'All Solo Adjustments'!A62</f>
        <v>69</v>
      </c>
      <c r="L3" s="45">
        <f>'All Solo Adjustments'!H62</f>
        <v>4.340277777777778E-3</v>
      </c>
      <c r="M3" s="45">
        <f>'All Solo Adjustments'!I62</f>
        <v>6.5740740740740742E-3</v>
      </c>
      <c r="N3" s="45">
        <f>'All Solo Adjustments'!J62</f>
        <v>1.1145833333333332E-2</v>
      </c>
      <c r="O3" s="45">
        <f>'All Solo Adjustments'!K62</f>
        <v>1.3495370370370371E-2</v>
      </c>
      <c r="P3" s="45">
        <f>'All Solo Adjustments'!L62</f>
        <v>2.3310185185185184E-2</v>
      </c>
      <c r="Q3" s="45">
        <f>'All Solo Adjustments'!M62</f>
        <v>8.5378086419753087E-4</v>
      </c>
      <c r="R3" s="49" t="e">
        <f>'All Solo Adjustments'!#REF!</f>
        <v>#REF!</v>
      </c>
      <c r="S3" s="49" t="e">
        <f>'All Solo Adjustments'!#REF!</f>
        <v>#REF!</v>
      </c>
    </row>
    <row r="4" spans="1:19" x14ac:dyDescent="0.25">
      <c r="A4" s="4">
        <f>'All Solo Adjustments'!A35</f>
        <v>42</v>
      </c>
      <c r="B4" s="3">
        <f>'All Solo Adjustments'!H35</f>
        <v>1.7708333333333332E-3</v>
      </c>
      <c r="C4" s="3">
        <f>'All Solo Adjustments'!I35</f>
        <v>2.6736111111111114E-3</v>
      </c>
      <c r="D4" s="3">
        <f>'All Solo Adjustments'!J35</f>
        <v>4.4907407407407405E-3</v>
      </c>
      <c r="E4" s="3">
        <f>'All Solo Adjustments'!K35</f>
        <v>5.4166666666666669E-3</v>
      </c>
      <c r="F4" s="3">
        <f>'All Solo Adjustments'!L35</f>
        <v>9.1550925925925931E-3</v>
      </c>
      <c r="G4" s="3">
        <f>'All Solo Adjustments'!M35</f>
        <v>1.9039351851851852E-2</v>
      </c>
      <c r="H4" s="47" t="e">
        <f>'All Solo Adjustments'!#REF!</f>
        <v>#REF!</v>
      </c>
      <c r="I4" s="47" t="e">
        <f>'All Solo Adjustments'!#REF!</f>
        <v>#REF!</v>
      </c>
      <c r="K4" s="4">
        <f>'All Solo Adjustments'!A63</f>
        <v>70</v>
      </c>
      <c r="L4" s="3">
        <f>'All Solo Adjustments'!H63</f>
        <v>4.5023148148148149E-3</v>
      </c>
      <c r="M4" s="3">
        <f>'All Solo Adjustments'!I63</f>
        <v>6.8171296296296296E-3</v>
      </c>
      <c r="N4" s="3">
        <f>'All Solo Adjustments'!J63</f>
        <v>1.15625E-2</v>
      </c>
      <c r="O4" s="3">
        <f>'All Solo Adjustments'!K63</f>
        <v>1.4004629629629629E-2</v>
      </c>
      <c r="P4" s="3">
        <f>'All Solo Adjustments'!L63</f>
        <v>2.421296296296296E-2</v>
      </c>
      <c r="Q4" s="3">
        <f>'All Solo Adjustments'!M63</f>
        <v>8.8869598765432096E-4</v>
      </c>
      <c r="R4" s="47" t="e">
        <f>'All Solo Adjustments'!#REF!</f>
        <v>#REF!</v>
      </c>
      <c r="S4" s="47" t="e">
        <f>'All Solo Adjustments'!#REF!</f>
        <v>#REF!</v>
      </c>
    </row>
    <row r="5" spans="1:19" x14ac:dyDescent="0.25">
      <c r="A5" s="4">
        <f>'All Solo Adjustments'!A36</f>
        <v>43</v>
      </c>
      <c r="B5" s="3">
        <f>'All Solo Adjustments'!H36</f>
        <v>1.7939814814814817E-3</v>
      </c>
      <c r="C5" s="3">
        <f>'All Solo Adjustments'!I36</f>
        <v>2.6967592592592594E-3</v>
      </c>
      <c r="D5" s="3">
        <f>'All Solo Adjustments'!J36</f>
        <v>4.5254629629629629E-3</v>
      </c>
      <c r="E5" s="3">
        <f>'All Solo Adjustments'!K36</f>
        <v>5.4629629629629629E-3</v>
      </c>
      <c r="F5" s="3">
        <f>'All Solo Adjustments'!L36</f>
        <v>9.2476851851851852E-3</v>
      </c>
      <c r="G5" s="3">
        <f>'All Solo Adjustments'!M36</f>
        <v>1.9247685185185184E-2</v>
      </c>
      <c r="H5" s="47" t="e">
        <f>'All Solo Adjustments'!#REF!</f>
        <v>#REF!</v>
      </c>
      <c r="I5" s="47" t="e">
        <f>'All Solo Adjustments'!#REF!</f>
        <v>#REF!</v>
      </c>
      <c r="K5" s="4">
        <f>'All Solo Adjustments'!A64</f>
        <v>71</v>
      </c>
      <c r="L5" s="3">
        <f>'All Solo Adjustments'!H64</f>
        <v>4.6643518518518518E-3</v>
      </c>
      <c r="M5" s="3">
        <f>'All Solo Adjustments'!I64</f>
        <v>7.0717592592592594E-3</v>
      </c>
      <c r="N5" s="3">
        <f>'All Solo Adjustments'!J64</f>
        <v>1.2002314814814815E-2</v>
      </c>
      <c r="O5" s="3">
        <f>'All Solo Adjustments'!K64</f>
        <v>1.4537037037037038E-2</v>
      </c>
      <c r="P5" s="3">
        <f>'All Solo Adjustments'!L64</f>
        <v>2.5150462962962965E-2</v>
      </c>
      <c r="Q5" s="3">
        <f>'All Solo Adjustments'!M64</f>
        <v>9.2534722222222215E-4</v>
      </c>
      <c r="R5" s="47" t="e">
        <f>'All Solo Adjustments'!#REF!</f>
        <v>#REF!</v>
      </c>
      <c r="S5" s="47" t="e">
        <f>'All Solo Adjustments'!#REF!</f>
        <v>#REF!</v>
      </c>
    </row>
    <row r="6" spans="1:19" x14ac:dyDescent="0.25">
      <c r="A6" s="4">
        <f>'All Solo Adjustments'!A37</f>
        <v>44</v>
      </c>
      <c r="B6" s="3">
        <f>'All Solo Adjustments'!H37</f>
        <v>1.8055555555555557E-3</v>
      </c>
      <c r="C6" s="3">
        <f>'All Solo Adjustments'!I37</f>
        <v>2.7199074074074074E-3</v>
      </c>
      <c r="D6" s="3">
        <f>'All Solo Adjustments'!J37</f>
        <v>4.5717592592592598E-3</v>
      </c>
      <c r="E6" s="3">
        <f>'All Solo Adjustments'!K37</f>
        <v>5.5208333333333333E-3</v>
      </c>
      <c r="F6" s="3">
        <f>'All Solo Adjustments'!L37</f>
        <v>9.3402777777777772E-3</v>
      </c>
      <c r="G6" s="3">
        <f>'All Solo Adjustments'!M37</f>
        <v>1.9490740740740743E-2</v>
      </c>
      <c r="H6" s="47" t="e">
        <f>'All Solo Adjustments'!#REF!</f>
        <v>#REF!</v>
      </c>
      <c r="I6" s="47" t="e">
        <f>'All Solo Adjustments'!#REF!</f>
        <v>#REF!</v>
      </c>
      <c r="K6" s="4">
        <f>'All Solo Adjustments'!A65</f>
        <v>72</v>
      </c>
      <c r="L6" s="3">
        <f>'All Solo Adjustments'!H65</f>
        <v>4.8379629629629632E-3</v>
      </c>
      <c r="M6" s="3">
        <f>'All Solo Adjustments'!I65</f>
        <v>7.3263888888888884E-3</v>
      </c>
      <c r="N6" s="3">
        <f>'All Solo Adjustments'!J65</f>
        <v>1.2453703703703705E-2</v>
      </c>
      <c r="O6" s="3">
        <f>'All Solo Adjustments'!K65</f>
        <v>1.5092592592592593E-2</v>
      </c>
      <c r="P6" s="3">
        <f>'All Solo Adjustments'!L65</f>
        <v>2.6122685185185186E-2</v>
      </c>
      <c r="Q6" s="3">
        <f>'All Solo Adjustments'!M65</f>
        <v>9.6354166666666669E-4</v>
      </c>
      <c r="R6" s="47" t="e">
        <f>'All Solo Adjustments'!#REF!</f>
        <v>#REF!</v>
      </c>
      <c r="S6" s="47" t="e">
        <f>'All Solo Adjustments'!#REF!</f>
        <v>#REF!</v>
      </c>
    </row>
    <row r="7" spans="1:19" x14ac:dyDescent="0.25">
      <c r="A7" s="4">
        <f>'All Solo Adjustments'!A38</f>
        <v>45</v>
      </c>
      <c r="B7" s="3">
        <f>'All Solo Adjustments'!H38</f>
        <v>1.8171296296296297E-3</v>
      </c>
      <c r="C7" s="3">
        <f>'All Solo Adjustments'!I38</f>
        <v>2.7430555555555554E-3</v>
      </c>
      <c r="D7" s="3">
        <f>'All Solo Adjustments'!J38</f>
        <v>4.6180555555555558E-3</v>
      </c>
      <c r="E7" s="3">
        <f>'All Solo Adjustments'!K38</f>
        <v>5.5787037037037029E-3</v>
      </c>
      <c r="F7" s="3">
        <f>'All Solo Adjustments'!L38</f>
        <v>9.4444444444444445E-3</v>
      </c>
      <c r="G7" s="3">
        <f>'All Solo Adjustments'!M38</f>
        <v>1.9745370370370371E-2</v>
      </c>
      <c r="H7" s="47" t="e">
        <f>'All Solo Adjustments'!#REF!</f>
        <v>#REF!</v>
      </c>
      <c r="I7" s="47" t="e">
        <f>'All Solo Adjustments'!#REF!</f>
        <v>#REF!</v>
      </c>
      <c r="K7" s="4">
        <f>'All Solo Adjustments'!A66</f>
        <v>73</v>
      </c>
      <c r="L7" s="3">
        <f>'All Solo Adjustments'!H66</f>
        <v>5.0231481481481481E-3</v>
      </c>
      <c r="M7" s="3">
        <f>'All Solo Adjustments'!I66</f>
        <v>7.6041666666666662E-3</v>
      </c>
      <c r="N7" s="3">
        <f>'All Solo Adjustments'!J66</f>
        <v>1.2928240740740742E-2</v>
      </c>
      <c r="O7" s="3">
        <f>'All Solo Adjustments'!K66</f>
        <v>1.5659722222222221E-2</v>
      </c>
      <c r="P7" s="3">
        <f>'All Solo Adjustments'!L66</f>
        <v>2.7141203703703706E-2</v>
      </c>
      <c r="Q7" s="3">
        <f>'All Solo Adjustments'!M66</f>
        <v>1.0034722222222222E-3</v>
      </c>
      <c r="R7" s="47" t="e">
        <f>'All Solo Adjustments'!#REF!</f>
        <v>#REF!</v>
      </c>
      <c r="S7" s="47" t="e">
        <f>'All Solo Adjustments'!#REF!</f>
        <v>#REF!</v>
      </c>
    </row>
    <row r="8" spans="1:19" x14ac:dyDescent="0.25">
      <c r="A8" s="4">
        <f>'All Solo Adjustments'!A39</f>
        <v>46</v>
      </c>
      <c r="B8" s="3">
        <f>'All Solo Adjustments'!H39</f>
        <v>1.8402777777777777E-3</v>
      </c>
      <c r="C8" s="3">
        <f>'All Solo Adjustments'!I39</f>
        <v>2.7777777777777775E-3</v>
      </c>
      <c r="D8" s="3">
        <f>'All Solo Adjustments'!J39</f>
        <v>4.6759259259259263E-3</v>
      </c>
      <c r="E8" s="3">
        <f>'All Solo Adjustments'!K39</f>
        <v>5.6365740740740742E-3</v>
      </c>
      <c r="F8" s="3">
        <f>'All Solo Adjustments'!L39</f>
        <v>9.5601851851851837E-3</v>
      </c>
      <c r="G8" s="3">
        <f>'All Solo Adjustments'!M39</f>
        <v>2.0046296296296295E-2</v>
      </c>
      <c r="H8" s="47" t="e">
        <f>'All Solo Adjustments'!#REF!</f>
        <v>#REF!</v>
      </c>
      <c r="I8" s="47" t="e">
        <f>'All Solo Adjustments'!#REF!</f>
        <v>#REF!</v>
      </c>
      <c r="K8" s="4">
        <f>'All Solo Adjustments'!A67</f>
        <v>74</v>
      </c>
      <c r="L8" s="3">
        <f>'All Solo Adjustments'!H67</f>
        <v>5.208333333333333E-3</v>
      </c>
      <c r="M8" s="3">
        <f>'All Solo Adjustments'!I67</f>
        <v>7.8935185185185185E-3</v>
      </c>
      <c r="N8" s="3">
        <f>'All Solo Adjustments'!J67</f>
        <v>1.3414351851851853E-2</v>
      </c>
      <c r="O8" s="3">
        <f>'All Solo Adjustments'!K67</f>
        <v>1.6261574074074074E-2</v>
      </c>
      <c r="P8" s="3">
        <f>'All Solo Adjustments'!L67</f>
        <v>2.8206018518518519E-2</v>
      </c>
      <c r="Q8" s="3">
        <f>'All Solo Adjustments'!M67</f>
        <v>1.0453317901234567E-3</v>
      </c>
      <c r="R8" s="47" t="e">
        <f>'All Solo Adjustments'!#REF!</f>
        <v>#REF!</v>
      </c>
      <c r="S8" s="47" t="e">
        <f>'All Solo Adjustments'!#REF!</f>
        <v>#REF!</v>
      </c>
    </row>
    <row r="9" spans="1:19" x14ac:dyDescent="0.25">
      <c r="A9" s="4">
        <f>'All Solo Adjustments'!A40</f>
        <v>47</v>
      </c>
      <c r="B9" s="3">
        <f>'All Solo Adjustments'!H40</f>
        <v>1.8634259259259259E-3</v>
      </c>
      <c r="C9" s="3">
        <f>'All Solo Adjustments'!I40</f>
        <v>2.8125000000000003E-3</v>
      </c>
      <c r="D9" s="3">
        <f>'All Solo Adjustments'!J40</f>
        <v>4.7337962962962958E-3</v>
      </c>
      <c r="E9" s="3">
        <f>'All Solo Adjustments'!K40</f>
        <v>5.7175925925925927E-3</v>
      </c>
      <c r="F9" s="3">
        <f>'All Solo Adjustments'!L40</f>
        <v>9.6990740740740752E-3</v>
      </c>
      <c r="G9" s="3">
        <f>'All Solo Adjustments'!M40</f>
        <v>2.0370370370370372E-2</v>
      </c>
      <c r="H9" s="47" t="e">
        <f>'All Solo Adjustments'!#REF!</f>
        <v>#REF!</v>
      </c>
      <c r="I9" s="47" t="e">
        <f>'All Solo Adjustments'!#REF!</f>
        <v>#REF!</v>
      </c>
      <c r="K9" s="4">
        <f>'All Solo Adjustments'!A68</f>
        <v>75</v>
      </c>
      <c r="L9" s="3">
        <f>'All Solo Adjustments'!H68</f>
        <v>5.4050925925925924E-3</v>
      </c>
      <c r="M9" s="3">
        <f>'All Solo Adjustments'!I68</f>
        <v>8.1828703703703699E-3</v>
      </c>
      <c r="N9" s="3">
        <f>'All Solo Adjustments'!J68</f>
        <v>1.3923611111111112E-2</v>
      </c>
      <c r="O9" s="3">
        <f>'All Solo Adjustments'!K68</f>
        <v>1.6886574074074075E-2</v>
      </c>
      <c r="P9" s="3">
        <f>'All Solo Adjustments'!L68</f>
        <v>2.931712962962963E-2</v>
      </c>
      <c r="Q9" s="3">
        <f>'All Solo Adjustments'!M68</f>
        <v>1.0891203703703703E-3</v>
      </c>
      <c r="R9" s="47" t="e">
        <f>'All Solo Adjustments'!#REF!</f>
        <v>#REF!</v>
      </c>
      <c r="S9" s="47" t="e">
        <f>'All Solo Adjustments'!#REF!</f>
        <v>#REF!</v>
      </c>
    </row>
    <row r="10" spans="1:19" x14ac:dyDescent="0.25">
      <c r="A10" s="4">
        <f>'All Solo Adjustments'!A41</f>
        <v>48</v>
      </c>
      <c r="B10" s="3">
        <f>'All Solo Adjustments'!H41</f>
        <v>1.8865740740740742E-3</v>
      </c>
      <c r="C10" s="3">
        <f>'All Solo Adjustments'!I41</f>
        <v>2.8472222222222223E-3</v>
      </c>
      <c r="D10" s="3">
        <f>'All Solo Adjustments'!J41</f>
        <v>4.8032407407407407E-3</v>
      </c>
      <c r="E10" s="3">
        <f>'All Solo Adjustments'!K41</f>
        <v>5.7986111111111112E-3</v>
      </c>
      <c r="F10" s="3">
        <f>'All Solo Adjustments'!L41</f>
        <v>9.8495370370370369E-3</v>
      </c>
      <c r="G10" s="3">
        <f>'All Solo Adjustments'!M41</f>
        <v>2.074074074074074E-2</v>
      </c>
      <c r="H10" s="47" t="e">
        <f>'All Solo Adjustments'!#REF!</f>
        <v>#REF!</v>
      </c>
      <c r="I10" s="47" t="e">
        <f>'All Solo Adjustments'!#REF!</f>
        <v>#REF!</v>
      </c>
      <c r="K10" s="4">
        <f>'All Solo Adjustments'!A69</f>
        <v>76</v>
      </c>
      <c r="L10" s="3">
        <f>'All Solo Adjustments'!H69</f>
        <v>5.6018518518518527E-3</v>
      </c>
      <c r="M10" s="3">
        <f>'All Solo Adjustments'!I69</f>
        <v>8.4953703703703701E-3</v>
      </c>
      <c r="N10" s="3">
        <f>'All Solo Adjustments'!J69</f>
        <v>1.4456018518518519E-2</v>
      </c>
      <c r="O10" s="3">
        <f>'All Solo Adjustments'!K69</f>
        <v>1.7534722222222222E-2</v>
      </c>
      <c r="P10" s="3">
        <f>'All Solo Adjustments'!L69</f>
        <v>3.047453703703704E-2</v>
      </c>
      <c r="Q10" s="3">
        <f>'All Solo Adjustments'!M69</f>
        <v>1.1352237654320987E-3</v>
      </c>
      <c r="R10" s="47" t="e">
        <f>'All Solo Adjustments'!#REF!</f>
        <v>#REF!</v>
      </c>
      <c r="S10" s="47" t="e">
        <f>'All Solo Adjustments'!#REF!</f>
        <v>#REF!</v>
      </c>
    </row>
    <row r="11" spans="1:19" x14ac:dyDescent="0.25">
      <c r="A11" s="4">
        <f>'All Solo Adjustments'!A42</f>
        <v>49</v>
      </c>
      <c r="B11" s="45">
        <f>'All Solo Adjustments'!H42</f>
        <v>1.9212962962962964E-3</v>
      </c>
      <c r="C11" s="45">
        <f>'All Solo Adjustments'!I42</f>
        <v>2.8935185185185184E-3</v>
      </c>
      <c r="D11" s="45">
        <f>'All Solo Adjustments'!J42</f>
        <v>4.8842592592592592E-3</v>
      </c>
      <c r="E11" s="45">
        <f>'All Solo Adjustments'!K42</f>
        <v>5.9027777777777785E-3</v>
      </c>
      <c r="F11" s="45">
        <f>'All Solo Adjustments'!L42</f>
        <v>1.0023148148148147E-2</v>
      </c>
      <c r="G11" s="45">
        <f>'All Solo Adjustments'!M42</f>
        <v>2.1157407407407406E-2</v>
      </c>
      <c r="H11" s="49" t="e">
        <f>'All Solo Adjustments'!#REF!</f>
        <v>#REF!</v>
      </c>
      <c r="I11" s="49" t="e">
        <f>'All Solo Adjustments'!#REF!</f>
        <v>#REF!</v>
      </c>
      <c r="K11" s="4">
        <f>'All Solo Adjustments'!A70</f>
        <v>77</v>
      </c>
      <c r="L11" s="3">
        <f>'All Solo Adjustments'!H70</f>
        <v>5.8217592592592592E-3</v>
      </c>
      <c r="M11" s="3">
        <f>'All Solo Adjustments'!I70</f>
        <v>8.819444444444444E-3</v>
      </c>
      <c r="N11" s="3">
        <f>'All Solo Adjustments'!J70</f>
        <v>1.5011574074074075E-2</v>
      </c>
      <c r="O11" s="3">
        <f>'All Solo Adjustments'!K70</f>
        <v>1.8206018518518517E-2</v>
      </c>
      <c r="P11" s="3">
        <f>'All Solo Adjustments'!L70</f>
        <v>3.1678240740740743E-2</v>
      </c>
      <c r="Q11" s="3">
        <f>'All Solo Adjustments'!M70</f>
        <v>1.1832561728395063E-3</v>
      </c>
      <c r="R11" s="47" t="e">
        <f>'All Solo Adjustments'!#REF!</f>
        <v>#REF!</v>
      </c>
      <c r="S11" s="47" t="e">
        <f>'All Solo Adjustments'!#REF!</f>
        <v>#REF!</v>
      </c>
    </row>
    <row r="12" spans="1:19" x14ac:dyDescent="0.25">
      <c r="A12" s="4">
        <f>'All Solo Adjustments'!A43</f>
        <v>50</v>
      </c>
      <c r="B12" s="3">
        <f>'All Solo Adjustments'!H43</f>
        <v>1.9560185185185184E-3</v>
      </c>
      <c r="C12" s="3">
        <f>'All Solo Adjustments'!I43</f>
        <v>2.9513888888888892E-3</v>
      </c>
      <c r="D12" s="3">
        <f>'All Solo Adjustments'!J43</f>
        <v>4.9768518518518521E-3</v>
      </c>
      <c r="E12" s="3">
        <f>'All Solo Adjustments'!K43</f>
        <v>6.0069444444444441E-3</v>
      </c>
      <c r="F12" s="3">
        <f>'All Solo Adjustments'!L43</f>
        <v>1.0231481481481482E-2</v>
      </c>
      <c r="G12" s="3">
        <f>'All Solo Adjustments'!M43</f>
        <v>2.1631944444444443E-2</v>
      </c>
      <c r="H12" s="47" t="e">
        <f>'All Solo Adjustments'!#REF!</f>
        <v>#REF!</v>
      </c>
      <c r="I12" s="47" t="e">
        <f>'All Solo Adjustments'!#REF!</f>
        <v>#REF!</v>
      </c>
      <c r="K12" s="4">
        <f>'All Solo Adjustments'!A71</f>
        <v>78</v>
      </c>
      <c r="L12" s="3">
        <f>'All Solo Adjustments'!H71</f>
        <v>6.0416666666666665E-3</v>
      </c>
      <c r="M12" s="3">
        <f>'All Solo Adjustments'!I71</f>
        <v>9.1550925925925931E-3</v>
      </c>
      <c r="N12" s="3">
        <f>'All Solo Adjustments'!J71</f>
        <v>1.5590277777777778E-2</v>
      </c>
      <c r="O12" s="3">
        <f>'All Solo Adjustments'!K71</f>
        <v>1.8923611111111113E-2</v>
      </c>
      <c r="P12" s="3">
        <f>'All Solo Adjustments'!L71</f>
        <v>3.2939814814814818E-2</v>
      </c>
      <c r="Q12" s="3">
        <f>'All Solo Adjustments'!M71</f>
        <v>1.2339891975308643E-3</v>
      </c>
      <c r="R12" s="47" t="e">
        <f>'All Solo Adjustments'!#REF!</f>
        <v>#REF!</v>
      </c>
      <c r="S12" s="47" t="e">
        <f>'All Solo Adjustments'!#REF!</f>
        <v>#REF!</v>
      </c>
    </row>
    <row r="13" spans="1:19" x14ac:dyDescent="0.25">
      <c r="A13" s="4">
        <f>'All Solo Adjustments'!A44</f>
        <v>51</v>
      </c>
      <c r="B13" s="3">
        <f>'All Solo Adjustments'!H44</f>
        <v>2.0023148148148148E-3</v>
      </c>
      <c r="C13" s="3">
        <f>'All Solo Adjustments'!I44</f>
        <v>3.0092592592592593E-3</v>
      </c>
      <c r="D13" s="3">
        <f>'All Solo Adjustments'!J44</f>
        <v>5.0810185185185186E-3</v>
      </c>
      <c r="E13" s="3">
        <f>'All Solo Adjustments'!K44</f>
        <v>6.1342592592592594E-3</v>
      </c>
      <c r="F13" s="3">
        <f>'All Solo Adjustments'!L44</f>
        <v>1.0451388888888889E-2</v>
      </c>
      <c r="G13" s="3">
        <f>'All Solo Adjustments'!M44</f>
        <v>2.2164351851851852E-2</v>
      </c>
      <c r="H13" s="47" t="e">
        <f>'All Solo Adjustments'!#REF!</f>
        <v>#REF!</v>
      </c>
      <c r="I13" s="47" t="e">
        <f>'All Solo Adjustments'!#REF!</f>
        <v>#REF!</v>
      </c>
      <c r="K13" s="4">
        <f>'All Solo Adjustments'!A72</f>
        <v>79</v>
      </c>
      <c r="L13" s="45">
        <f>'All Solo Adjustments'!H72</f>
        <v>6.2731481481481484E-3</v>
      </c>
      <c r="M13" s="45">
        <f>'All Solo Adjustments'!I72</f>
        <v>9.5023148148148141E-3</v>
      </c>
      <c r="N13" s="45">
        <f>'All Solo Adjustments'!J72</f>
        <v>1.6192129629629629E-2</v>
      </c>
      <c r="O13" s="45">
        <f>'All Solo Adjustments'!K72</f>
        <v>1.9652777777777779E-2</v>
      </c>
      <c r="P13" s="45">
        <f>'All Solo Adjustments'!L72</f>
        <v>3.4259259259259253E-2</v>
      </c>
      <c r="Q13" s="45">
        <f>'All Solo Adjustments'!M72</f>
        <v>1.2872299382716049E-3</v>
      </c>
      <c r="R13" s="49" t="e">
        <f>'All Solo Adjustments'!#REF!</f>
        <v>#REF!</v>
      </c>
      <c r="S13" s="49" t="e">
        <f>'All Solo Adjustments'!#REF!</f>
        <v>#REF!</v>
      </c>
    </row>
    <row r="14" spans="1:19" x14ac:dyDescent="0.25">
      <c r="A14" s="4">
        <f>'All Solo Adjustments'!A45</f>
        <v>52</v>
      </c>
      <c r="B14" s="3">
        <f>'All Solo Adjustments'!H45</f>
        <v>2.0370370370370369E-3</v>
      </c>
      <c r="C14" s="3">
        <f>'All Solo Adjustments'!I45</f>
        <v>3.0787037037037037E-3</v>
      </c>
      <c r="D14" s="3">
        <f>'All Solo Adjustments'!J45</f>
        <v>5.1967592592592595E-3</v>
      </c>
      <c r="E14" s="3">
        <f>'All Solo Adjustments'!K45</f>
        <v>6.2847222222222219E-3</v>
      </c>
      <c r="F14" s="3">
        <f>'All Solo Adjustments'!L45</f>
        <v>1.0717592592592593E-2</v>
      </c>
      <c r="G14" s="3">
        <f>'All Solo Adjustments'!M45</f>
        <v>2.2777777777777779E-2</v>
      </c>
      <c r="H14" s="47" t="e">
        <f>'All Solo Adjustments'!#REF!</f>
        <v>#REF!</v>
      </c>
      <c r="I14" s="47" t="e">
        <f>'All Solo Adjustments'!#REF!</f>
        <v>#REF!</v>
      </c>
      <c r="K14" s="4">
        <f>'All Solo Adjustments'!A73</f>
        <v>80</v>
      </c>
      <c r="L14" s="3">
        <f>'All Solo Adjustments'!H73</f>
        <v>6.5046296296296293E-3</v>
      </c>
      <c r="M14" s="3">
        <f>'All Solo Adjustments'!I73</f>
        <v>9.8726851851851857E-3</v>
      </c>
      <c r="N14" s="3">
        <f>'All Solo Adjustments'!J73</f>
        <v>1.6828703703703703E-2</v>
      </c>
      <c r="O14" s="3">
        <f>'All Solo Adjustments'!K73</f>
        <v>2.042824074074074E-2</v>
      </c>
      <c r="P14" s="3">
        <f>'All Solo Adjustments'!L73</f>
        <v>3.5648148148148144E-2</v>
      </c>
      <c r="Q14" s="3">
        <f>'All Solo Adjustments'!M73</f>
        <v>1.3431712962962963E-3</v>
      </c>
      <c r="R14" s="47" t="e">
        <f>'All Solo Adjustments'!#REF!</f>
        <v>#REF!</v>
      </c>
      <c r="S14" s="47" t="e">
        <f>'All Solo Adjustments'!#REF!</f>
        <v>#REF!</v>
      </c>
    </row>
    <row r="15" spans="1:19" x14ac:dyDescent="0.25">
      <c r="A15" s="4">
        <f>'All Solo Adjustments'!A46</f>
        <v>53</v>
      </c>
      <c r="B15" s="3">
        <f>'All Solo Adjustments'!H46</f>
        <v>2.0949074074074073E-3</v>
      </c>
      <c r="C15" s="3">
        <f>'All Solo Adjustments'!I46</f>
        <v>3.1597222222222222E-3</v>
      </c>
      <c r="D15" s="3">
        <f>'All Solo Adjustments'!J46</f>
        <v>5.3356481481481475E-3</v>
      </c>
      <c r="E15" s="3">
        <f>'All Solo Adjustments'!K46</f>
        <v>6.4467592592592597E-3</v>
      </c>
      <c r="F15" s="3">
        <f>'All Solo Adjustments'!L46</f>
        <v>1.1006944444444444E-2</v>
      </c>
      <c r="G15" s="3">
        <f>'All Solo Adjustments'!M46</f>
        <v>2.3460648148148147E-2</v>
      </c>
      <c r="H15" s="47" t="e">
        <f>'All Solo Adjustments'!#REF!</f>
        <v>#REF!</v>
      </c>
      <c r="I15" s="47" t="e">
        <f>'All Solo Adjustments'!#REF!</f>
        <v>#REF!</v>
      </c>
      <c r="K15" s="4">
        <f>'All Solo Adjustments'!A74</f>
        <v>81</v>
      </c>
      <c r="L15" s="3">
        <f>'All Solo Adjustments'!H74</f>
        <v>6.7592592592592591E-3</v>
      </c>
      <c r="M15" s="3">
        <f>'All Solo Adjustments'!I74</f>
        <v>1.0254629629629631E-2</v>
      </c>
      <c r="N15" s="3">
        <f>'All Solo Adjustments'!J74</f>
        <v>1.7488425925925925E-2</v>
      </c>
      <c r="O15" s="3">
        <f>'All Solo Adjustments'!K74</f>
        <v>2.1238425925925928E-2</v>
      </c>
      <c r="P15" s="3">
        <f>'All Solo Adjustments'!L74</f>
        <v>3.709490740740741E-2</v>
      </c>
      <c r="Q15" s="3">
        <f>'All Solo Adjustments'!M74</f>
        <v>1.4021990740740739E-3</v>
      </c>
      <c r="R15" s="47" t="e">
        <f>'All Solo Adjustments'!#REF!</f>
        <v>#REF!</v>
      </c>
      <c r="S15" s="47" t="e">
        <f>'All Solo Adjustments'!#REF!</f>
        <v>#REF!</v>
      </c>
    </row>
    <row r="16" spans="1:19" x14ac:dyDescent="0.25">
      <c r="A16" s="4">
        <f>'All Solo Adjustments'!A47</f>
        <v>54</v>
      </c>
      <c r="B16" s="3">
        <f>'All Solo Adjustments'!H47</f>
        <v>2.1527777777777782E-3</v>
      </c>
      <c r="C16" s="3">
        <f>'All Solo Adjustments'!I47</f>
        <v>3.2523148148148147E-3</v>
      </c>
      <c r="D16" s="3">
        <f>'All Solo Adjustments'!J47</f>
        <v>5.4861111111111109E-3</v>
      </c>
      <c r="E16" s="3">
        <f>'All Solo Adjustments'!K47</f>
        <v>6.6319444444444438E-3</v>
      </c>
      <c r="F16" s="3">
        <f>'All Solo Adjustments'!L47</f>
        <v>1.133101851851852E-2</v>
      </c>
      <c r="G16" s="3">
        <f>'All Solo Adjustments'!M47</f>
        <v>2.4224537037037037E-2</v>
      </c>
      <c r="H16" s="47" t="e">
        <f>'All Solo Adjustments'!#REF!</f>
        <v>#REF!</v>
      </c>
      <c r="I16" s="47" t="e">
        <f>'All Solo Adjustments'!#REF!</f>
        <v>#REF!</v>
      </c>
      <c r="K16" s="4">
        <f>'All Solo Adjustments'!A75</f>
        <v>82</v>
      </c>
      <c r="L16" s="3">
        <f>'All Solo Adjustments'!H75</f>
        <v>7.0254629629629634E-3</v>
      </c>
      <c r="M16" s="3">
        <f>'All Solo Adjustments'!I75</f>
        <v>1.0648148148148148E-2</v>
      </c>
      <c r="N16" s="3">
        <f>'All Solo Adjustments'!J75</f>
        <v>1.818287037037037E-2</v>
      </c>
      <c r="O16" s="3">
        <f>'All Solo Adjustments'!K75</f>
        <v>2.2083333333333333E-2</v>
      </c>
      <c r="P16" s="3">
        <f>'All Solo Adjustments'!L75</f>
        <v>3.8622685185185184E-2</v>
      </c>
      <c r="Q16" s="3">
        <f>'All Solo Adjustments'!M75</f>
        <v>1.464699074074074E-3</v>
      </c>
      <c r="R16" s="47" t="e">
        <f>'All Solo Adjustments'!#REF!</f>
        <v>#REF!</v>
      </c>
      <c r="S16" s="47" t="e">
        <f>'All Solo Adjustments'!#REF!</f>
        <v>#REF!</v>
      </c>
    </row>
    <row r="17" spans="1:20" x14ac:dyDescent="0.25">
      <c r="A17" s="4">
        <f>'All Solo Adjustments'!A48</f>
        <v>55</v>
      </c>
      <c r="B17" s="3">
        <f>'All Solo Adjustments'!H48</f>
        <v>2.2222222222222222E-3</v>
      </c>
      <c r="C17" s="3">
        <f>'All Solo Adjustments'!I48</f>
        <v>3.3564814814814816E-3</v>
      </c>
      <c r="D17" s="3">
        <f>'All Solo Adjustments'!J48</f>
        <v>5.6597222222222222E-3</v>
      </c>
      <c r="E17" s="3">
        <f>'All Solo Adjustments'!K48</f>
        <v>6.8402777777777776E-3</v>
      </c>
      <c r="F17" s="3">
        <f>'All Solo Adjustments'!L48</f>
        <v>1.1712962962962961E-2</v>
      </c>
      <c r="G17" s="3">
        <f>'All Solo Adjustments'!M48</f>
        <v>2.508101851851852E-2</v>
      </c>
      <c r="H17" s="47" t="e">
        <f>'All Solo Adjustments'!#REF!</f>
        <v>#REF!</v>
      </c>
      <c r="I17" s="47" t="e">
        <f>'All Solo Adjustments'!#REF!</f>
        <v>#REF!</v>
      </c>
      <c r="K17" s="4">
        <f>'All Solo Adjustments'!A76</f>
        <v>83</v>
      </c>
      <c r="L17" s="3">
        <f>'All Solo Adjustments'!H76</f>
        <v>7.2916666666666668E-3</v>
      </c>
      <c r="M17" s="3">
        <f>'All Solo Adjustments'!I76</f>
        <v>1.1076388888888889E-2</v>
      </c>
      <c r="N17" s="3">
        <f>'All Solo Adjustments'!J76</f>
        <v>1.8900462962962963E-2</v>
      </c>
      <c r="O17" s="3">
        <f>'All Solo Adjustments'!K76</f>
        <v>2.2962962962962963E-2</v>
      </c>
      <c r="P17" s="3">
        <f>'All Solo Adjustments'!L76</f>
        <v>4.0219907407407413E-2</v>
      </c>
      <c r="Q17" s="3">
        <f>'All Solo Adjustments'!M76</f>
        <v>1.5304783950617284E-3</v>
      </c>
      <c r="R17" s="47" t="e">
        <f>'All Solo Adjustments'!#REF!</f>
        <v>#REF!</v>
      </c>
      <c r="S17" s="47" t="e">
        <f>'All Solo Adjustments'!#REF!</f>
        <v>#REF!</v>
      </c>
    </row>
    <row r="18" spans="1:20" x14ac:dyDescent="0.25">
      <c r="A18" s="4">
        <f>'All Solo Adjustments'!A49</f>
        <v>56</v>
      </c>
      <c r="B18" s="3">
        <f>'All Solo Adjustments'!H49</f>
        <v>2.2916666666666667E-3</v>
      </c>
      <c r="C18" s="3">
        <f>'All Solo Adjustments'!I49</f>
        <v>3.4606481481481485E-3</v>
      </c>
      <c r="D18" s="3">
        <f>'All Solo Adjustments'!J49</f>
        <v>5.8564814814814807E-3</v>
      </c>
      <c r="E18" s="3">
        <f>'All Solo Adjustments'!K49</f>
        <v>7.083333333333333E-3</v>
      </c>
      <c r="F18" s="3">
        <f>'All Solo Adjustments'!L49</f>
        <v>1.2129629629629629E-2</v>
      </c>
      <c r="G18" s="3">
        <f>'All Solo Adjustments'!M49</f>
        <v>2.6041666666666668E-2</v>
      </c>
      <c r="H18" s="47" t="e">
        <f>'All Solo Adjustments'!#REF!</f>
        <v>#REF!</v>
      </c>
      <c r="I18" s="47" t="e">
        <f>'All Solo Adjustments'!#REF!</f>
        <v>#REF!</v>
      </c>
      <c r="K18" s="4">
        <f>'All Solo Adjustments'!A77</f>
        <v>84</v>
      </c>
      <c r="L18" s="3">
        <f>'All Solo Adjustments'!H77</f>
        <v>7.5810185185185182E-3</v>
      </c>
      <c r="M18" s="3">
        <f>'All Solo Adjustments'!I77</f>
        <v>1.1516203703703704E-2</v>
      </c>
      <c r="N18" s="3">
        <f>'All Solo Adjustments'!J77</f>
        <v>1.966435185185185E-2</v>
      </c>
      <c r="O18" s="3">
        <f>'All Solo Adjustments'!K77</f>
        <v>2.390046296296296E-2</v>
      </c>
      <c r="P18" s="3">
        <f>'All Solo Adjustments'!L77</f>
        <v>6.9830246913580251E-4</v>
      </c>
      <c r="Q18" s="3">
        <f>'All Solo Adjustments'!M77</f>
        <v>1.6003086419753086E-3</v>
      </c>
      <c r="R18" s="47" t="e">
        <f>'All Solo Adjustments'!#REF!</f>
        <v>#REF!</v>
      </c>
      <c r="S18" s="47" t="e">
        <f>'All Solo Adjustments'!#REF!</f>
        <v>#REF!</v>
      </c>
    </row>
    <row r="19" spans="1:20" x14ac:dyDescent="0.25">
      <c r="A19" s="4">
        <f>'All Solo Adjustments'!A50</f>
        <v>57</v>
      </c>
      <c r="B19" s="3">
        <f>'All Solo Adjustments'!H50</f>
        <v>2.3842592592592591E-3</v>
      </c>
      <c r="C19" s="3">
        <f>'All Solo Adjustments'!I50</f>
        <v>3.5879629629629634E-3</v>
      </c>
      <c r="D19" s="3">
        <f>'All Solo Adjustments'!J50</f>
        <v>6.076388888888889E-3</v>
      </c>
      <c r="E19" s="3">
        <f>'All Solo Adjustments'!K50</f>
        <v>7.3495370370370372E-3</v>
      </c>
      <c r="F19" s="3">
        <f>'All Solo Adjustments'!L50</f>
        <v>1.2592592592592593E-2</v>
      </c>
      <c r="G19" s="3">
        <f>'All Solo Adjustments'!M50</f>
        <v>2.7106481481481481E-2</v>
      </c>
      <c r="H19" s="47" t="e">
        <f>'All Solo Adjustments'!#REF!</f>
        <v>#REF!</v>
      </c>
      <c r="I19" s="47" t="e">
        <f>'All Solo Adjustments'!#REF!</f>
        <v>#REF!</v>
      </c>
      <c r="K19" s="4">
        <f>'All Solo Adjustments'!A78</f>
        <v>85</v>
      </c>
      <c r="L19" s="3">
        <f>'All Solo Adjustments'!H78</f>
        <v>7.8819444444444449E-3</v>
      </c>
      <c r="M19" s="3">
        <f>'All Solo Adjustments'!I78</f>
        <v>1.1967592592592592E-2</v>
      </c>
      <c r="N19" s="3">
        <f>'All Solo Adjustments'!J78</f>
        <v>2.0462962962962964E-2</v>
      </c>
      <c r="O19" s="3">
        <f>'All Solo Adjustments'!K78</f>
        <v>2.4872685185185185E-2</v>
      </c>
      <c r="P19" s="3">
        <f>'All Solo Adjustments'!L78</f>
        <v>7.2781635802469133E-4</v>
      </c>
      <c r="Q19" s="3">
        <f>'All Solo Adjustments'!M78</f>
        <v>1.6743827160493826E-3</v>
      </c>
      <c r="R19" s="47" t="e">
        <f>'All Solo Adjustments'!#REF!</f>
        <v>#REF!</v>
      </c>
      <c r="S19" s="47" t="e">
        <f>'All Solo Adjustments'!#REF!</f>
        <v>#REF!</v>
      </c>
    </row>
    <row r="20" spans="1:20" x14ac:dyDescent="0.25">
      <c r="A20" s="4">
        <f>'All Solo Adjustments'!A51</f>
        <v>58</v>
      </c>
      <c r="B20" s="3">
        <f>'All Solo Adjustments'!H51</f>
        <v>2.476851851851852E-3</v>
      </c>
      <c r="C20" s="3">
        <f>'All Solo Adjustments'!I51</f>
        <v>3.7384259259259259E-3</v>
      </c>
      <c r="D20" s="3">
        <f>'All Solo Adjustments'!J51</f>
        <v>6.3194444444444444E-3</v>
      </c>
      <c r="E20" s="3">
        <f>'All Solo Adjustments'!K51</f>
        <v>7.6504629629629622E-3</v>
      </c>
      <c r="F20" s="3">
        <f>'All Solo Adjustments'!L51</f>
        <v>1.3113425925925926E-2</v>
      </c>
      <c r="G20" s="3">
        <f>'All Solo Adjustments'!M51</f>
        <v>2.8287037037037038E-2</v>
      </c>
      <c r="H20" s="47" t="e">
        <f>'All Solo Adjustments'!#REF!</f>
        <v>#REF!</v>
      </c>
      <c r="I20" s="47" t="e">
        <f>'All Solo Adjustments'!#REF!</f>
        <v>#REF!</v>
      </c>
      <c r="K20" s="4">
        <f>'All Solo Adjustments'!A79</f>
        <v>86</v>
      </c>
      <c r="L20" s="3">
        <f>'All Solo Adjustments'!H79</f>
        <v>8.1944444444444434E-3</v>
      </c>
      <c r="M20" s="3">
        <f>'All Solo Adjustments'!I79</f>
        <v>1.2453703703703705E-2</v>
      </c>
      <c r="N20" s="3">
        <f>'All Solo Adjustments'!J79</f>
        <v>2.1307870370370369E-2</v>
      </c>
      <c r="O20" s="3">
        <f>'All Solo Adjustments'!K79</f>
        <v>2.5902777777777778E-2</v>
      </c>
      <c r="P20" s="3">
        <f>'All Solo Adjustments'!L79</f>
        <v>7.5906635802469135E-4</v>
      </c>
      <c r="Q20" s="3">
        <f>'All Solo Adjustments'!M79</f>
        <v>1.7530864197530865E-3</v>
      </c>
      <c r="R20" s="47" t="e">
        <f>'All Solo Adjustments'!#REF!</f>
        <v>#REF!</v>
      </c>
      <c r="S20" s="47" t="e">
        <f>'All Solo Adjustments'!#REF!</f>
        <v>#REF!</v>
      </c>
    </row>
    <row r="21" spans="1:20" x14ac:dyDescent="0.25">
      <c r="A21" s="4">
        <f>'All Solo Adjustments'!A52</f>
        <v>59</v>
      </c>
      <c r="B21" s="45">
        <f>'All Solo Adjustments'!H52</f>
        <v>2.5810185185185185E-3</v>
      </c>
      <c r="C21" s="45">
        <f>'All Solo Adjustments'!I52</f>
        <v>3.9004629629629628E-3</v>
      </c>
      <c r="D21" s="45">
        <f>'All Solo Adjustments'!J52</f>
        <v>6.5972222222222222E-3</v>
      </c>
      <c r="E21" s="45">
        <f>'All Solo Adjustments'!K52</f>
        <v>7.9745370370370369E-3</v>
      </c>
      <c r="F21" s="45">
        <f>'All Solo Adjustments'!L52</f>
        <v>1.3692129629629629E-2</v>
      </c>
      <c r="G21" s="45">
        <f>'All Solo Adjustments'!M52</f>
        <v>2.9594907407407407E-2</v>
      </c>
      <c r="H21" s="49" t="e">
        <f>'All Solo Adjustments'!#REF!</f>
        <v>#REF!</v>
      </c>
      <c r="I21" s="49" t="e">
        <f>'All Solo Adjustments'!#REF!</f>
        <v>#REF!</v>
      </c>
      <c r="K21" s="4">
        <f>'All Solo Adjustments'!A80</f>
        <v>87</v>
      </c>
      <c r="L21" s="3">
        <f>'All Solo Adjustments'!H80</f>
        <v>8.5300925925925926E-3</v>
      </c>
      <c r="M21" s="3">
        <f>'All Solo Adjustments'!I80</f>
        <v>1.2962962962962963E-2</v>
      </c>
      <c r="N21" s="3">
        <f>'All Solo Adjustments'!J80</f>
        <v>2.2187500000000002E-2</v>
      </c>
      <c r="O21" s="3">
        <f>'All Solo Adjustments'!K80</f>
        <v>2.6990740740740742E-2</v>
      </c>
      <c r="P21" s="3">
        <f>'All Solo Adjustments'!L80</f>
        <v>7.9185956790123462E-4</v>
      </c>
      <c r="Q21" s="3">
        <f>'All Solo Adjustments'!M80</f>
        <v>1.8369984567901234E-3</v>
      </c>
      <c r="R21" s="47" t="e">
        <f>'All Solo Adjustments'!#REF!</f>
        <v>#REF!</v>
      </c>
      <c r="S21" s="47" t="e">
        <f>'All Solo Adjustments'!#REF!</f>
        <v>#REF!</v>
      </c>
    </row>
    <row r="22" spans="1:20" x14ac:dyDescent="0.25">
      <c r="A22" s="4">
        <f>'All Solo Adjustments'!A53</f>
        <v>60</v>
      </c>
      <c r="B22" s="3">
        <f>'All Solo Adjustments'!H53</f>
        <v>2.6967592592592594E-3</v>
      </c>
      <c r="C22" s="3">
        <f>'All Solo Adjustments'!I53</f>
        <v>4.0740740740740737E-3</v>
      </c>
      <c r="D22" s="3">
        <f>'All Solo Adjustments'!J53</f>
        <v>6.898148148148148E-3</v>
      </c>
      <c r="E22" s="3">
        <f>'All Solo Adjustments'!K53</f>
        <v>8.3449074074074068E-3</v>
      </c>
      <c r="F22" s="3">
        <f>'All Solo Adjustments'!L53</f>
        <v>1.4328703703703705E-2</v>
      </c>
      <c r="G22" s="3">
        <f>'All Solo Adjustments'!M53</f>
        <v>3.1041666666666669E-2</v>
      </c>
      <c r="H22" s="47" t="e">
        <f>'All Solo Adjustments'!#REF!</f>
        <v>#REF!</v>
      </c>
      <c r="I22" s="47" t="e">
        <f>'All Solo Adjustments'!#REF!</f>
        <v>#REF!</v>
      </c>
      <c r="K22" s="4">
        <f>'All Solo Adjustments'!A81</f>
        <v>88</v>
      </c>
      <c r="L22" s="3">
        <f>'All Solo Adjustments'!H81</f>
        <v>8.8773148148148153E-3</v>
      </c>
      <c r="M22" s="3">
        <f>'All Solo Adjustments'!I81</f>
        <v>1.3495370370370371E-2</v>
      </c>
      <c r="N22" s="3">
        <f>'All Solo Adjustments'!J81</f>
        <v>2.3113425925925926E-2</v>
      </c>
      <c r="O22" s="3">
        <f>'All Solo Adjustments'!K81</f>
        <v>2.8125000000000001E-2</v>
      </c>
      <c r="P22" s="3">
        <f>'All Solo Adjustments'!L81</f>
        <v>8.2677469135802471E-4</v>
      </c>
      <c r="Q22" s="3">
        <f>'All Solo Adjustments'!M81</f>
        <v>1.9266975308641977E-3</v>
      </c>
      <c r="R22" s="47" t="e">
        <f>'All Solo Adjustments'!#REF!</f>
        <v>#REF!</v>
      </c>
      <c r="S22" s="47" t="e">
        <f>'All Solo Adjustments'!#REF!</f>
        <v>#REF!</v>
      </c>
    </row>
    <row r="23" spans="1:20" x14ac:dyDescent="0.25">
      <c r="A23" s="4">
        <f>'All Solo Adjustments'!A54</f>
        <v>61</v>
      </c>
      <c r="B23" s="3">
        <f>'All Solo Adjustments'!H54</f>
        <v>2.8240740740740743E-3</v>
      </c>
      <c r="C23" s="3">
        <f>'All Solo Adjustments'!I54</f>
        <v>4.2708333333333331E-3</v>
      </c>
      <c r="D23" s="3">
        <f>'All Solo Adjustments'!J54</f>
        <v>7.2337962962962963E-3</v>
      </c>
      <c r="E23" s="3">
        <f>'All Solo Adjustments'!K54</f>
        <v>8.7500000000000008E-3</v>
      </c>
      <c r="F23" s="3">
        <f>'All Solo Adjustments'!L54</f>
        <v>1.5034722222222222E-2</v>
      </c>
      <c r="G23" s="3">
        <f>'All Solo Adjustments'!M54</f>
        <v>3.2638888888888891E-2</v>
      </c>
      <c r="H23" s="47" t="e">
        <f>'All Solo Adjustments'!#REF!</f>
        <v>#REF!</v>
      </c>
      <c r="I23" s="47" t="e">
        <f>'All Solo Adjustments'!#REF!</f>
        <v>#REF!</v>
      </c>
      <c r="K23" s="4">
        <f>'All Solo Adjustments'!A82</f>
        <v>89</v>
      </c>
      <c r="L23" s="45">
        <f>'All Solo Adjustments'!H82</f>
        <v>9.2476851851851852E-3</v>
      </c>
      <c r="M23" s="45">
        <f>'All Solo Adjustments'!I82</f>
        <v>1.40625E-2</v>
      </c>
      <c r="N23" s="45">
        <f>'All Solo Adjustments'!J82</f>
        <v>2.4097222222222221E-2</v>
      </c>
      <c r="O23" s="45">
        <f>'All Solo Adjustments'!K82</f>
        <v>2.9340277777777778E-2</v>
      </c>
      <c r="P23" s="45">
        <f>'All Solo Adjustments'!L82</f>
        <v>8.6361882716049388E-4</v>
      </c>
      <c r="Q23" s="45">
        <f>'All Solo Adjustments'!M82</f>
        <v>2.0227623456790123E-3</v>
      </c>
      <c r="R23" s="49" t="e">
        <f>'All Solo Adjustments'!#REF!</f>
        <v>#REF!</v>
      </c>
      <c r="S23" s="49" t="e">
        <f>'All Solo Adjustments'!#REF!</f>
        <v>#REF!</v>
      </c>
    </row>
    <row r="24" spans="1:20" x14ac:dyDescent="0.25">
      <c r="A24" s="4">
        <f>'All Solo Adjustments'!A55</f>
        <v>62</v>
      </c>
      <c r="B24" s="3">
        <f>'All Solo Adjustments'!H55</f>
        <v>2.9629629629629632E-3</v>
      </c>
      <c r="C24" s="3">
        <f>'All Solo Adjustments'!I55</f>
        <v>4.4907407407407405E-3</v>
      </c>
      <c r="D24" s="3">
        <f>'All Solo Adjustments'!J55</f>
        <v>7.6041666666666662E-3</v>
      </c>
      <c r="E24" s="3">
        <f>'All Solo Adjustments'!K55</f>
        <v>9.2013888888888892E-3</v>
      </c>
      <c r="F24" s="3">
        <f>'All Solo Adjustments'!L55</f>
        <v>1.5821759259259258E-2</v>
      </c>
      <c r="G24" s="3">
        <f>'All Solo Adjustments'!M55</f>
        <v>3.4386574074074076E-2</v>
      </c>
      <c r="H24" s="47" t="e">
        <f>'All Solo Adjustments'!#REF!</f>
        <v>#REF!</v>
      </c>
      <c r="I24" s="47" t="e">
        <f>'All Solo Adjustments'!#REF!</f>
        <v>#REF!</v>
      </c>
      <c r="K24" s="4">
        <f>'All Solo Adjustments'!A83</f>
        <v>90</v>
      </c>
      <c r="L24" s="3">
        <f>'All Solo Adjustments'!H83</f>
        <v>9.6296296296296286E-3</v>
      </c>
      <c r="M24" s="3">
        <f>'All Solo Adjustments'!I83</f>
        <v>1.4652777777777777E-2</v>
      </c>
      <c r="N24" s="3">
        <f>'All Solo Adjustments'!J83</f>
        <v>2.5138888888888888E-2</v>
      </c>
      <c r="O24" s="3">
        <f>'All Solo Adjustments'!K83</f>
        <v>3.0613425925925926E-2</v>
      </c>
      <c r="P24" s="3">
        <f>'All Solo Adjustments'!L83</f>
        <v>9.0277777777777784E-4</v>
      </c>
      <c r="Q24" s="3">
        <f>'All Solo Adjustments'!M83</f>
        <v>2.1257716049382716E-3</v>
      </c>
      <c r="R24" s="47" t="e">
        <f>'All Solo Adjustments'!#REF!</f>
        <v>#REF!</v>
      </c>
      <c r="S24" s="47" t="e">
        <f>'All Solo Adjustments'!#REF!</f>
        <v>#REF!</v>
      </c>
    </row>
    <row r="25" spans="1:20" x14ac:dyDescent="0.25">
      <c r="A25" s="4">
        <f>'All Solo Adjustments'!A56</f>
        <v>63</v>
      </c>
      <c r="B25" s="3">
        <f>'All Solo Adjustments'!H56</f>
        <v>3.1250000000000002E-3</v>
      </c>
      <c r="C25" s="3">
        <f>'All Solo Adjustments'!I56</f>
        <v>4.7222222222222223E-3</v>
      </c>
      <c r="D25" s="3">
        <f>'All Solo Adjustments'!J56</f>
        <v>8.0092592592592594E-3</v>
      </c>
      <c r="E25" s="3">
        <f>'All Solo Adjustments'!K56</f>
        <v>9.6874999999999999E-3</v>
      </c>
      <c r="F25" s="3">
        <f>'All Solo Adjustments'!L56</f>
        <v>1.6678240740740743E-2</v>
      </c>
      <c r="G25" s="3">
        <f>'All Solo Adjustments'!M56</f>
        <v>3.6319444444444446E-2</v>
      </c>
      <c r="H25" s="47" t="e">
        <f>'All Solo Adjustments'!#REF!</f>
        <v>#REF!</v>
      </c>
      <c r="I25" s="47" t="e">
        <f>'All Solo Adjustments'!#REF!</f>
        <v>#REF!</v>
      </c>
      <c r="K25" s="4">
        <f>'All Solo Adjustments'!A84</f>
        <v>91</v>
      </c>
      <c r="L25" s="3">
        <f>'All Solo Adjustments'!H84</f>
        <v>1.0046296296296296E-2</v>
      </c>
      <c r="M25" s="3">
        <f>'All Solo Adjustments'!I84</f>
        <v>1.5289351851851851E-2</v>
      </c>
      <c r="N25" s="3">
        <f>'All Solo Adjustments'!J84</f>
        <v>2.6238425925925925E-2</v>
      </c>
      <c r="O25" s="3">
        <f>'All Solo Adjustments'!K84</f>
        <v>3.1967592592592596E-2</v>
      </c>
      <c r="P25" s="3">
        <f>'All Solo Adjustments'!L84</f>
        <v>9.4463734567901234E-4</v>
      </c>
      <c r="Q25" s="3">
        <f>'All Solo Adjustments'!M84</f>
        <v>2.2368827160493825E-3</v>
      </c>
      <c r="R25" s="47" t="e">
        <f>'All Solo Adjustments'!#REF!</f>
        <v>#REF!</v>
      </c>
      <c r="S25" s="47" t="e">
        <f>'All Solo Adjustments'!#REF!</f>
        <v>#REF!</v>
      </c>
    </row>
    <row r="26" spans="1:20" x14ac:dyDescent="0.25">
      <c r="A26" s="4">
        <f>'All Solo Adjustments'!A57</f>
        <v>64</v>
      </c>
      <c r="B26" s="3">
        <f>'All Solo Adjustments'!H57</f>
        <v>3.2986111111111111E-3</v>
      </c>
      <c r="C26" s="3">
        <f>'All Solo Adjustments'!I57</f>
        <v>4.9884259259259257E-3</v>
      </c>
      <c r="D26" s="3">
        <f>'All Solo Adjustments'!J57</f>
        <v>8.4490740740740741E-3</v>
      </c>
      <c r="E26" s="3">
        <f>'All Solo Adjustments'!K57</f>
        <v>1.0231481481481482E-2</v>
      </c>
      <c r="F26" s="3">
        <f>'All Solo Adjustments'!L57</f>
        <v>1.7627314814814814E-2</v>
      </c>
      <c r="G26" s="3">
        <f>'All Solo Adjustments'!M57</f>
        <v>3.8437499999999999E-2</v>
      </c>
      <c r="H26" s="47" t="e">
        <f>'All Solo Adjustments'!#REF!</f>
        <v>#REF!</v>
      </c>
      <c r="I26" s="47" t="e">
        <f>'All Solo Adjustments'!#REF!</f>
        <v>#REF!</v>
      </c>
      <c r="K26" s="4">
        <f>'All Solo Adjustments'!A85</f>
        <v>92</v>
      </c>
      <c r="L26" s="3">
        <f>'All Solo Adjustments'!H85</f>
        <v>1.0474537037037037E-2</v>
      </c>
      <c r="M26" s="3">
        <f>'All Solo Adjustments'!I85</f>
        <v>1.5949074074074074E-2</v>
      </c>
      <c r="N26" s="3">
        <f>'All Solo Adjustments'!J85</f>
        <v>2.7418981481481482E-2</v>
      </c>
      <c r="O26" s="3">
        <f>'All Solo Adjustments'!K85</f>
        <v>3.3414351851851848E-2</v>
      </c>
      <c r="P26" s="3">
        <f>'All Solo Adjustments'!L85</f>
        <v>9.8919753086419747E-4</v>
      </c>
      <c r="Q26" s="3">
        <f>'All Solo Adjustments'!M85</f>
        <v>2.3570601851851856E-3</v>
      </c>
      <c r="R26" s="47" t="e">
        <f>'All Solo Adjustments'!#REF!</f>
        <v>#REF!</v>
      </c>
      <c r="S26" s="47" t="e">
        <f>'All Solo Adjustments'!#REF!</f>
        <v>#REF!</v>
      </c>
    </row>
    <row r="27" spans="1:20" x14ac:dyDescent="0.25">
      <c r="A27" s="4">
        <f>'All Solo Adjustments'!A58</f>
        <v>65</v>
      </c>
      <c r="B27" s="3">
        <f>'All Solo Adjustments'!H58</f>
        <v>3.4837962962962965E-3</v>
      </c>
      <c r="C27" s="3">
        <f>'All Solo Adjustments'!I58</f>
        <v>5.2777777777777779E-3</v>
      </c>
      <c r="D27" s="3">
        <f>'All Solo Adjustments'!J58</f>
        <v>8.9467592592592585E-3</v>
      </c>
      <c r="E27" s="3">
        <f>'All Solo Adjustments'!K58</f>
        <v>1.0833333333333334E-2</v>
      </c>
      <c r="F27" s="3">
        <f>'All Solo Adjustments'!L58</f>
        <v>1.8657407407407407E-2</v>
      </c>
      <c r="G27" s="3">
        <f>'All Solo Adjustments'!M58</f>
        <v>4.0763888888888891E-2</v>
      </c>
      <c r="H27" s="47" t="e">
        <f>'All Solo Adjustments'!#REF!</f>
        <v>#REF!</v>
      </c>
      <c r="I27" s="47" t="e">
        <f>'All Solo Adjustments'!#REF!</f>
        <v>#REF!</v>
      </c>
      <c r="K27" s="4">
        <f>'All Solo Adjustments'!A86</f>
        <v>93</v>
      </c>
      <c r="L27" s="3">
        <f>'All Solo Adjustments'!H86</f>
        <v>1.0937499999999999E-2</v>
      </c>
      <c r="M27" s="3">
        <f>'All Solo Adjustments'!I86</f>
        <v>1.6666666666666666E-2</v>
      </c>
      <c r="N27" s="3">
        <f>'All Solo Adjustments'!J86</f>
        <v>2.8657407407407409E-2</v>
      </c>
      <c r="O27" s="3">
        <f>'All Solo Adjustments'!K86</f>
        <v>3.4953703703703702E-2</v>
      </c>
      <c r="P27" s="3">
        <f>'All Solo Adjustments'!L86</f>
        <v>1.0368441358024692E-3</v>
      </c>
      <c r="Q27" s="3">
        <f>'All Solo Adjustments'!M86</f>
        <v>2.4874614197530867E-3</v>
      </c>
      <c r="R27" s="47" t="e">
        <f>'All Solo Adjustments'!#REF!</f>
        <v>#REF!</v>
      </c>
      <c r="S27" s="47" t="e">
        <f>'All Solo Adjustments'!#REF!</f>
        <v>#REF!</v>
      </c>
    </row>
    <row r="28" spans="1:20" x14ac:dyDescent="0.25">
      <c r="A28" s="4">
        <f>'All Solo Adjustments'!A59</f>
        <v>66</v>
      </c>
      <c r="B28" s="3">
        <f>'All Solo Adjustments'!H59</f>
        <v>3.7037037037037034E-3</v>
      </c>
      <c r="C28" s="3">
        <f>'All Solo Adjustments'!I59</f>
        <v>5.5902777777777773E-3</v>
      </c>
      <c r="D28" s="3">
        <f>'All Solo Adjustments'!J59</f>
        <v>9.4907407407407406E-3</v>
      </c>
      <c r="E28" s="3">
        <f>'All Solo Adjustments'!K59</f>
        <v>1.1481481481481481E-2</v>
      </c>
      <c r="F28" s="3">
        <f>'All Solo Adjustments'!L59</f>
        <v>1.9803240740740743E-2</v>
      </c>
      <c r="G28" s="3">
        <f>'All Solo Adjustments'!M59</f>
        <v>7.2183641975308646E-4</v>
      </c>
      <c r="H28" s="47" t="e">
        <f>'All Solo Adjustments'!#REF!</f>
        <v>#REF!</v>
      </c>
      <c r="I28" s="47" t="e">
        <f>'All Solo Adjustments'!#REF!</f>
        <v>#REF!</v>
      </c>
      <c r="K28" s="4">
        <f>'All Solo Adjustments'!A87</f>
        <v>94</v>
      </c>
      <c r="L28" s="3">
        <f>'All Solo Adjustments'!H87</f>
        <v>1.1423611111111112E-2</v>
      </c>
      <c r="M28" s="3">
        <f>'All Solo Adjustments'!I87</f>
        <v>1.741898148148148E-2</v>
      </c>
      <c r="N28" s="3">
        <f>'All Solo Adjustments'!J87</f>
        <v>2.9988425925925925E-2</v>
      </c>
      <c r="O28" s="3">
        <f>'All Solo Adjustments'!K87</f>
        <v>3.6585648148148145E-2</v>
      </c>
      <c r="P28" s="3">
        <f>'All Solo Adjustments'!L87</f>
        <v>1.0879629629629631E-3</v>
      </c>
      <c r="Q28" s="3">
        <f>'All Solo Adjustments'!M87</f>
        <v>2.6298225308641976E-3</v>
      </c>
      <c r="R28" s="47" t="e">
        <f>'All Solo Adjustments'!#REF!</f>
        <v>#REF!</v>
      </c>
      <c r="S28" s="47" t="e">
        <f>'All Solo Adjustments'!#REF!</f>
        <v>#REF!</v>
      </c>
    </row>
    <row r="29" spans="1:20" x14ac:dyDescent="0.25">
      <c r="A29" s="4">
        <f>'All Solo Adjustments'!A60</f>
        <v>67</v>
      </c>
      <c r="B29" s="3">
        <f>'All Solo Adjustments'!H60</f>
        <v>3.9236111111111112E-3</v>
      </c>
      <c r="C29" s="3">
        <f>'All Solo Adjustments'!I60</f>
        <v>5.9375000000000001E-3</v>
      </c>
      <c r="D29" s="3">
        <f>'All Solo Adjustments'!J60</f>
        <v>1.0081018518518519E-2</v>
      </c>
      <c r="E29" s="3">
        <f>'All Solo Adjustments'!K60</f>
        <v>1.2199074074074074E-2</v>
      </c>
      <c r="F29" s="3">
        <f>'All Solo Adjustments'!L60</f>
        <v>2.105324074074074E-2</v>
      </c>
      <c r="G29" s="3">
        <f>'All Solo Adjustments'!M60</f>
        <v>7.6832561728395056E-4</v>
      </c>
      <c r="H29" s="47" t="e">
        <f>'All Solo Adjustments'!#REF!</f>
        <v>#REF!</v>
      </c>
      <c r="I29" s="47" t="e">
        <f>'All Solo Adjustments'!#REF!</f>
        <v>#REF!</v>
      </c>
      <c r="K29" s="4">
        <f>'All Solo Adjustments'!A88</f>
        <v>95</v>
      </c>
      <c r="L29" s="3">
        <f>'All Solo Adjustments'!H88</f>
        <v>1.1956018518518519E-2</v>
      </c>
      <c r="M29" s="3">
        <f>'All Solo Adjustments'!I88</f>
        <v>1.8229166666666668E-2</v>
      </c>
      <c r="N29" s="3">
        <f>'All Solo Adjustments'!J88</f>
        <v>3.1412037037037037E-2</v>
      </c>
      <c r="O29" s="3">
        <f>'All Solo Adjustments'!K88</f>
        <v>3.8344907407407404E-2</v>
      </c>
      <c r="P29" s="3">
        <f>'All Solo Adjustments'!L88</f>
        <v>1.1431327160493826E-3</v>
      </c>
      <c r="Q29" s="3">
        <f>'All Solo Adjustments'!M88</f>
        <v>2.7856867283950616E-3</v>
      </c>
      <c r="R29" s="47" t="e">
        <f>'All Solo Adjustments'!#REF!</f>
        <v>#REF!</v>
      </c>
      <c r="S29" s="47" t="e">
        <f>'All Solo Adjustments'!#REF!</f>
        <v>#REF!</v>
      </c>
      <c r="T29" s="29">
        <f>Revision</f>
        <v>2024</v>
      </c>
    </row>
  </sheetData>
  <sheetProtection algorithmName="SHA-512" hashValue="QoWahm2KVj9BWx1ApajuiiLnWqxyP77QlL+r8iIkkwO2DOEugO/sKxK26hOdUXS5LR68s47spwJ0BBAbYJ6nzQ==" saltValue="0hCo/x9w2dgJJMvR7zK11g==" spinCount="100000" sheet="1" objects="1" scenarios="1"/>
  <phoneticPr fontId="6" type="noConversion"/>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&amp;CFEMALE SOLO BICYCLE AGE ADJUSTMENTS</oddHeader>
    <oddFooter>&amp;L&amp;F&amp;CPage &amp;P of &amp;N&amp;R&amp;D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A8C2F-DF4C-476D-8293-6FD947A67AAD}">
  <sheetPr codeName="Sheet6">
    <pageSetUpPr fitToPage="1"/>
  </sheetPr>
  <dimension ref="A1:T29"/>
  <sheetViews>
    <sheetView zoomScale="75" zoomScaleNormal="75" workbookViewId="0"/>
  </sheetViews>
  <sheetFormatPr defaultRowHeight="15" x14ac:dyDescent="0.25"/>
  <cols>
    <col min="1" max="1" width="4.5703125" customWidth="1"/>
    <col min="2" max="9" width="8.5703125" customWidth="1"/>
    <col min="10" max="11" width="4.5703125" customWidth="1"/>
    <col min="12" max="19" width="8.5703125" customWidth="1"/>
  </cols>
  <sheetData>
    <row r="1" spans="1:19" s="11" customFormat="1" x14ac:dyDescent="0.25">
      <c r="A1" s="9" t="s">
        <v>1</v>
      </c>
      <c r="B1" s="10" t="s">
        <v>13</v>
      </c>
      <c r="C1" s="10" t="s">
        <v>14</v>
      </c>
      <c r="D1" s="10" t="s">
        <v>15</v>
      </c>
      <c r="E1" s="10" t="s">
        <v>16</v>
      </c>
      <c r="F1" s="10" t="s">
        <v>17</v>
      </c>
      <c r="G1" s="10" t="s">
        <v>18</v>
      </c>
      <c r="H1" s="60" t="s">
        <v>19</v>
      </c>
      <c r="I1" s="60" t="s">
        <v>20</v>
      </c>
      <c r="J1" s="12"/>
      <c r="K1" s="9" t="s">
        <v>1</v>
      </c>
      <c r="L1" s="10" t="s">
        <v>13</v>
      </c>
      <c r="M1" s="10" t="s">
        <v>14</v>
      </c>
      <c r="N1" s="10" t="s">
        <v>15</v>
      </c>
      <c r="O1" s="10" t="s">
        <v>16</v>
      </c>
      <c r="P1" s="10" t="s">
        <v>17</v>
      </c>
      <c r="Q1" s="10" t="s">
        <v>18</v>
      </c>
      <c r="R1" s="60" t="s">
        <v>19</v>
      </c>
      <c r="S1" s="60" t="s">
        <v>20</v>
      </c>
    </row>
    <row r="2" spans="1:19" x14ac:dyDescent="0.25">
      <c r="A2" s="4">
        <f>'All Solo Adjustments'!A33</f>
        <v>40</v>
      </c>
      <c r="B2" s="3" t="e">
        <f>'All Solo Adjustments'!#REF!</f>
        <v>#REF!</v>
      </c>
      <c r="C2" s="3" t="e">
        <f>'All Solo Adjustments'!#REF!</f>
        <v>#REF!</v>
      </c>
      <c r="D2" s="3" t="e">
        <f>'All Solo Adjustments'!#REF!</f>
        <v>#REF!</v>
      </c>
      <c r="E2" s="3" t="e">
        <f>'All Solo Adjustments'!#REF!</f>
        <v>#REF!</v>
      </c>
      <c r="F2" s="3" t="e">
        <f>'All Solo Adjustments'!#REF!</f>
        <v>#REF!</v>
      </c>
      <c r="G2" s="3" t="e">
        <f>'All Solo Adjustments'!#REF!</f>
        <v>#REF!</v>
      </c>
      <c r="H2" s="47" t="e">
        <f>'All Solo Adjustments'!#REF!</f>
        <v>#REF!</v>
      </c>
      <c r="I2" s="47" t="e">
        <f>'All Solo Adjustments'!#REF!</f>
        <v>#REF!</v>
      </c>
      <c r="K2" s="4">
        <f>'All Solo Adjustments'!A61</f>
        <v>68</v>
      </c>
      <c r="L2" s="3" t="e">
        <f>'All Solo Adjustments'!#REF!</f>
        <v>#REF!</v>
      </c>
      <c r="M2" s="3" t="e">
        <f>'All Solo Adjustments'!#REF!</f>
        <v>#REF!</v>
      </c>
      <c r="N2" s="3" t="e">
        <f>'All Solo Adjustments'!#REF!</f>
        <v>#REF!</v>
      </c>
      <c r="O2" s="3" t="e">
        <f>'All Solo Adjustments'!#REF!</f>
        <v>#REF!</v>
      </c>
      <c r="P2" s="3" t="e">
        <f>'All Solo Adjustments'!#REF!</f>
        <v>#REF!</v>
      </c>
      <c r="Q2" s="3" t="e">
        <f>'All Solo Adjustments'!#REF!</f>
        <v>#REF!</v>
      </c>
      <c r="R2" s="47" t="e">
        <f>'All Solo Adjustments'!#REF!</f>
        <v>#REF!</v>
      </c>
      <c r="S2" s="47" t="e">
        <f>'All Solo Adjustments'!#REF!</f>
        <v>#REF!</v>
      </c>
    </row>
    <row r="3" spans="1:19" x14ac:dyDescent="0.25">
      <c r="A3" s="4">
        <f>'All Solo Adjustments'!A34</f>
        <v>41</v>
      </c>
      <c r="B3" s="3" t="e">
        <f>'All Solo Adjustments'!#REF!</f>
        <v>#REF!</v>
      </c>
      <c r="C3" s="3" t="e">
        <f>'All Solo Adjustments'!#REF!</f>
        <v>#REF!</v>
      </c>
      <c r="D3" s="3" t="e">
        <f>'All Solo Adjustments'!#REF!</f>
        <v>#REF!</v>
      </c>
      <c r="E3" s="3" t="e">
        <f>'All Solo Adjustments'!#REF!</f>
        <v>#REF!</v>
      </c>
      <c r="F3" s="3" t="e">
        <f>'All Solo Adjustments'!#REF!</f>
        <v>#REF!</v>
      </c>
      <c r="G3" s="3" t="e">
        <f>'All Solo Adjustments'!#REF!</f>
        <v>#REF!</v>
      </c>
      <c r="H3" s="47" t="e">
        <f>'All Solo Adjustments'!#REF!</f>
        <v>#REF!</v>
      </c>
      <c r="I3" s="47" t="e">
        <f>'All Solo Adjustments'!#REF!</f>
        <v>#REF!</v>
      </c>
      <c r="K3" s="4">
        <f>'All Solo Adjustments'!A62</f>
        <v>69</v>
      </c>
      <c r="L3" s="45" t="e">
        <f>'All Solo Adjustments'!#REF!</f>
        <v>#REF!</v>
      </c>
      <c r="M3" s="45" t="e">
        <f>'All Solo Adjustments'!#REF!</f>
        <v>#REF!</v>
      </c>
      <c r="N3" s="45" t="e">
        <f>'All Solo Adjustments'!#REF!</f>
        <v>#REF!</v>
      </c>
      <c r="O3" s="45" t="e">
        <f>'All Solo Adjustments'!#REF!</f>
        <v>#REF!</v>
      </c>
      <c r="P3" s="45" t="e">
        <f>'All Solo Adjustments'!#REF!</f>
        <v>#REF!</v>
      </c>
      <c r="Q3" s="45" t="e">
        <f>'All Solo Adjustments'!#REF!</f>
        <v>#REF!</v>
      </c>
      <c r="R3" s="49" t="e">
        <f>'All Solo Adjustments'!#REF!</f>
        <v>#REF!</v>
      </c>
      <c r="S3" s="49" t="e">
        <f>'All Solo Adjustments'!#REF!</f>
        <v>#REF!</v>
      </c>
    </row>
    <row r="4" spans="1:19" x14ac:dyDescent="0.25">
      <c r="A4" s="4">
        <f>'All Solo Adjustments'!A35</f>
        <v>42</v>
      </c>
      <c r="B4" s="3" t="e">
        <f>'All Solo Adjustments'!#REF!</f>
        <v>#REF!</v>
      </c>
      <c r="C4" s="3" t="e">
        <f>'All Solo Adjustments'!#REF!</f>
        <v>#REF!</v>
      </c>
      <c r="D4" s="3" t="e">
        <f>'All Solo Adjustments'!#REF!</f>
        <v>#REF!</v>
      </c>
      <c r="E4" s="3" t="e">
        <f>'All Solo Adjustments'!#REF!</f>
        <v>#REF!</v>
      </c>
      <c r="F4" s="3" t="e">
        <f>'All Solo Adjustments'!#REF!</f>
        <v>#REF!</v>
      </c>
      <c r="G4" s="3" t="e">
        <f>'All Solo Adjustments'!#REF!</f>
        <v>#REF!</v>
      </c>
      <c r="H4" s="47" t="e">
        <f>'All Solo Adjustments'!#REF!</f>
        <v>#REF!</v>
      </c>
      <c r="I4" s="47" t="e">
        <f>'All Solo Adjustments'!#REF!</f>
        <v>#REF!</v>
      </c>
      <c r="K4" s="4">
        <f>'All Solo Adjustments'!A63</f>
        <v>70</v>
      </c>
      <c r="L4" s="3" t="e">
        <f>'All Solo Adjustments'!#REF!</f>
        <v>#REF!</v>
      </c>
      <c r="M4" s="3" t="e">
        <f>'All Solo Adjustments'!#REF!</f>
        <v>#REF!</v>
      </c>
      <c r="N4" s="3" t="e">
        <f>'All Solo Adjustments'!#REF!</f>
        <v>#REF!</v>
      </c>
      <c r="O4" s="3" t="e">
        <f>'All Solo Adjustments'!#REF!</f>
        <v>#REF!</v>
      </c>
      <c r="P4" s="3" t="e">
        <f>'All Solo Adjustments'!#REF!</f>
        <v>#REF!</v>
      </c>
      <c r="Q4" s="3" t="e">
        <f>'All Solo Adjustments'!#REF!</f>
        <v>#REF!</v>
      </c>
      <c r="R4" s="47" t="e">
        <f>'All Solo Adjustments'!#REF!</f>
        <v>#REF!</v>
      </c>
      <c r="S4" s="47" t="e">
        <f>'All Solo Adjustments'!#REF!</f>
        <v>#REF!</v>
      </c>
    </row>
    <row r="5" spans="1:19" x14ac:dyDescent="0.25">
      <c r="A5" s="4">
        <f>'All Solo Adjustments'!A36</f>
        <v>43</v>
      </c>
      <c r="B5" s="3" t="e">
        <f>'All Solo Adjustments'!#REF!</f>
        <v>#REF!</v>
      </c>
      <c r="C5" s="3" t="e">
        <f>'All Solo Adjustments'!#REF!</f>
        <v>#REF!</v>
      </c>
      <c r="D5" s="3" t="e">
        <f>'All Solo Adjustments'!#REF!</f>
        <v>#REF!</v>
      </c>
      <c r="E5" s="3" t="e">
        <f>'All Solo Adjustments'!#REF!</f>
        <v>#REF!</v>
      </c>
      <c r="F5" s="3" t="e">
        <f>'All Solo Adjustments'!#REF!</f>
        <v>#REF!</v>
      </c>
      <c r="G5" s="3" t="e">
        <f>'All Solo Adjustments'!#REF!</f>
        <v>#REF!</v>
      </c>
      <c r="H5" s="47" t="e">
        <f>'All Solo Adjustments'!#REF!</f>
        <v>#REF!</v>
      </c>
      <c r="I5" s="47" t="e">
        <f>'All Solo Adjustments'!#REF!</f>
        <v>#REF!</v>
      </c>
      <c r="K5" s="4">
        <f>'All Solo Adjustments'!A64</f>
        <v>71</v>
      </c>
      <c r="L5" s="3" t="e">
        <f>'All Solo Adjustments'!#REF!</f>
        <v>#REF!</v>
      </c>
      <c r="M5" s="3" t="e">
        <f>'All Solo Adjustments'!#REF!</f>
        <v>#REF!</v>
      </c>
      <c r="N5" s="3" t="e">
        <f>'All Solo Adjustments'!#REF!</f>
        <v>#REF!</v>
      </c>
      <c r="O5" s="3" t="e">
        <f>'All Solo Adjustments'!#REF!</f>
        <v>#REF!</v>
      </c>
      <c r="P5" s="3" t="e">
        <f>'All Solo Adjustments'!#REF!</f>
        <v>#REF!</v>
      </c>
      <c r="Q5" s="3" t="e">
        <f>'All Solo Adjustments'!#REF!</f>
        <v>#REF!</v>
      </c>
      <c r="R5" s="47" t="e">
        <f>'All Solo Adjustments'!#REF!</f>
        <v>#REF!</v>
      </c>
      <c r="S5" s="47" t="e">
        <f>'All Solo Adjustments'!#REF!</f>
        <v>#REF!</v>
      </c>
    </row>
    <row r="6" spans="1:19" x14ac:dyDescent="0.25">
      <c r="A6" s="4">
        <f>'All Solo Adjustments'!A37</f>
        <v>44</v>
      </c>
      <c r="B6" s="3" t="e">
        <f>'All Solo Adjustments'!#REF!</f>
        <v>#REF!</v>
      </c>
      <c r="C6" s="3" t="e">
        <f>'All Solo Adjustments'!#REF!</f>
        <v>#REF!</v>
      </c>
      <c r="D6" s="3" t="e">
        <f>'All Solo Adjustments'!#REF!</f>
        <v>#REF!</v>
      </c>
      <c r="E6" s="3" t="e">
        <f>'All Solo Adjustments'!#REF!</f>
        <v>#REF!</v>
      </c>
      <c r="F6" s="3" t="e">
        <f>'All Solo Adjustments'!#REF!</f>
        <v>#REF!</v>
      </c>
      <c r="G6" s="3" t="e">
        <f>'All Solo Adjustments'!#REF!</f>
        <v>#REF!</v>
      </c>
      <c r="H6" s="47" t="e">
        <f>'All Solo Adjustments'!#REF!</f>
        <v>#REF!</v>
      </c>
      <c r="I6" s="47" t="e">
        <f>'All Solo Adjustments'!#REF!</f>
        <v>#REF!</v>
      </c>
      <c r="K6" s="4">
        <f>'All Solo Adjustments'!A65</f>
        <v>72</v>
      </c>
      <c r="L6" s="3" t="e">
        <f>'All Solo Adjustments'!#REF!</f>
        <v>#REF!</v>
      </c>
      <c r="M6" s="3" t="e">
        <f>'All Solo Adjustments'!#REF!</f>
        <v>#REF!</v>
      </c>
      <c r="N6" s="3" t="e">
        <f>'All Solo Adjustments'!#REF!</f>
        <v>#REF!</v>
      </c>
      <c r="O6" s="3" t="e">
        <f>'All Solo Adjustments'!#REF!</f>
        <v>#REF!</v>
      </c>
      <c r="P6" s="3" t="e">
        <f>'All Solo Adjustments'!#REF!</f>
        <v>#REF!</v>
      </c>
      <c r="Q6" s="3" t="e">
        <f>'All Solo Adjustments'!#REF!</f>
        <v>#REF!</v>
      </c>
      <c r="R6" s="47" t="e">
        <f>'All Solo Adjustments'!#REF!</f>
        <v>#REF!</v>
      </c>
      <c r="S6" s="47" t="e">
        <f>'All Solo Adjustments'!#REF!</f>
        <v>#REF!</v>
      </c>
    </row>
    <row r="7" spans="1:19" x14ac:dyDescent="0.25">
      <c r="A7" s="4">
        <f>'All Solo Adjustments'!A38</f>
        <v>45</v>
      </c>
      <c r="B7" s="3" t="e">
        <f>'All Solo Adjustments'!#REF!</f>
        <v>#REF!</v>
      </c>
      <c r="C7" s="3" t="e">
        <f>'All Solo Adjustments'!#REF!</f>
        <v>#REF!</v>
      </c>
      <c r="D7" s="3" t="e">
        <f>'All Solo Adjustments'!#REF!</f>
        <v>#REF!</v>
      </c>
      <c r="E7" s="3" t="e">
        <f>'All Solo Adjustments'!#REF!</f>
        <v>#REF!</v>
      </c>
      <c r="F7" s="3" t="e">
        <f>'All Solo Adjustments'!#REF!</f>
        <v>#REF!</v>
      </c>
      <c r="G7" s="3" t="e">
        <f>'All Solo Adjustments'!#REF!</f>
        <v>#REF!</v>
      </c>
      <c r="H7" s="47" t="e">
        <f>'All Solo Adjustments'!#REF!</f>
        <v>#REF!</v>
      </c>
      <c r="I7" s="47" t="e">
        <f>'All Solo Adjustments'!#REF!</f>
        <v>#REF!</v>
      </c>
      <c r="K7" s="4">
        <f>'All Solo Adjustments'!A66</f>
        <v>73</v>
      </c>
      <c r="L7" s="3" t="e">
        <f>'All Solo Adjustments'!#REF!</f>
        <v>#REF!</v>
      </c>
      <c r="M7" s="3" t="e">
        <f>'All Solo Adjustments'!#REF!</f>
        <v>#REF!</v>
      </c>
      <c r="N7" s="3" t="e">
        <f>'All Solo Adjustments'!#REF!</f>
        <v>#REF!</v>
      </c>
      <c r="O7" s="3" t="e">
        <f>'All Solo Adjustments'!#REF!</f>
        <v>#REF!</v>
      </c>
      <c r="P7" s="3" t="e">
        <f>'All Solo Adjustments'!#REF!</f>
        <v>#REF!</v>
      </c>
      <c r="Q7" s="3" t="e">
        <f>'All Solo Adjustments'!#REF!</f>
        <v>#REF!</v>
      </c>
      <c r="R7" s="47" t="e">
        <f>'All Solo Adjustments'!#REF!</f>
        <v>#REF!</v>
      </c>
      <c r="S7" s="47" t="e">
        <f>'All Solo Adjustments'!#REF!</f>
        <v>#REF!</v>
      </c>
    </row>
    <row r="8" spans="1:19" x14ac:dyDescent="0.25">
      <c r="A8" s="4">
        <f>'All Solo Adjustments'!A39</f>
        <v>46</v>
      </c>
      <c r="B8" s="3" t="e">
        <f>'All Solo Adjustments'!#REF!</f>
        <v>#REF!</v>
      </c>
      <c r="C8" s="3" t="e">
        <f>'All Solo Adjustments'!#REF!</f>
        <v>#REF!</v>
      </c>
      <c r="D8" s="3" t="e">
        <f>'All Solo Adjustments'!#REF!</f>
        <v>#REF!</v>
      </c>
      <c r="E8" s="3" t="e">
        <f>'All Solo Adjustments'!#REF!</f>
        <v>#REF!</v>
      </c>
      <c r="F8" s="3" t="e">
        <f>'All Solo Adjustments'!#REF!</f>
        <v>#REF!</v>
      </c>
      <c r="G8" s="3" t="e">
        <f>'All Solo Adjustments'!#REF!</f>
        <v>#REF!</v>
      </c>
      <c r="H8" s="47" t="e">
        <f>'All Solo Adjustments'!#REF!</f>
        <v>#REF!</v>
      </c>
      <c r="I8" s="47" t="e">
        <f>'All Solo Adjustments'!#REF!</f>
        <v>#REF!</v>
      </c>
      <c r="K8" s="4">
        <f>'All Solo Adjustments'!A67</f>
        <v>74</v>
      </c>
      <c r="L8" s="3" t="e">
        <f>'All Solo Adjustments'!#REF!</f>
        <v>#REF!</v>
      </c>
      <c r="M8" s="3" t="e">
        <f>'All Solo Adjustments'!#REF!</f>
        <v>#REF!</v>
      </c>
      <c r="N8" s="3" t="e">
        <f>'All Solo Adjustments'!#REF!</f>
        <v>#REF!</v>
      </c>
      <c r="O8" s="3" t="e">
        <f>'All Solo Adjustments'!#REF!</f>
        <v>#REF!</v>
      </c>
      <c r="P8" s="3" t="e">
        <f>'All Solo Adjustments'!#REF!</f>
        <v>#REF!</v>
      </c>
      <c r="Q8" s="3" t="e">
        <f>'All Solo Adjustments'!#REF!</f>
        <v>#REF!</v>
      </c>
      <c r="R8" s="47" t="e">
        <f>'All Solo Adjustments'!#REF!</f>
        <v>#REF!</v>
      </c>
      <c r="S8" s="47" t="e">
        <f>'All Solo Adjustments'!#REF!</f>
        <v>#REF!</v>
      </c>
    </row>
    <row r="9" spans="1:19" x14ac:dyDescent="0.25">
      <c r="A9" s="4">
        <f>'All Solo Adjustments'!A40</f>
        <v>47</v>
      </c>
      <c r="B9" s="3" t="e">
        <f>'All Solo Adjustments'!#REF!</f>
        <v>#REF!</v>
      </c>
      <c r="C9" s="3" t="e">
        <f>'All Solo Adjustments'!#REF!</f>
        <v>#REF!</v>
      </c>
      <c r="D9" s="3" t="e">
        <f>'All Solo Adjustments'!#REF!</f>
        <v>#REF!</v>
      </c>
      <c r="E9" s="3" t="e">
        <f>'All Solo Adjustments'!#REF!</f>
        <v>#REF!</v>
      </c>
      <c r="F9" s="3" t="e">
        <f>'All Solo Adjustments'!#REF!</f>
        <v>#REF!</v>
      </c>
      <c r="G9" s="3" t="e">
        <f>'All Solo Adjustments'!#REF!</f>
        <v>#REF!</v>
      </c>
      <c r="H9" s="47" t="e">
        <f>'All Solo Adjustments'!#REF!</f>
        <v>#REF!</v>
      </c>
      <c r="I9" s="47" t="e">
        <f>'All Solo Adjustments'!#REF!</f>
        <v>#REF!</v>
      </c>
      <c r="K9" s="4">
        <f>'All Solo Adjustments'!A68</f>
        <v>75</v>
      </c>
      <c r="L9" s="3" t="e">
        <f>'All Solo Adjustments'!#REF!</f>
        <v>#REF!</v>
      </c>
      <c r="M9" s="3" t="e">
        <f>'All Solo Adjustments'!#REF!</f>
        <v>#REF!</v>
      </c>
      <c r="N9" s="3" t="e">
        <f>'All Solo Adjustments'!#REF!</f>
        <v>#REF!</v>
      </c>
      <c r="O9" s="3" t="e">
        <f>'All Solo Adjustments'!#REF!</f>
        <v>#REF!</v>
      </c>
      <c r="P9" s="3" t="e">
        <f>'All Solo Adjustments'!#REF!</f>
        <v>#REF!</v>
      </c>
      <c r="Q9" s="3" t="e">
        <f>'All Solo Adjustments'!#REF!</f>
        <v>#REF!</v>
      </c>
      <c r="R9" s="47" t="e">
        <f>'All Solo Adjustments'!#REF!</f>
        <v>#REF!</v>
      </c>
      <c r="S9" s="47" t="e">
        <f>'All Solo Adjustments'!#REF!</f>
        <v>#REF!</v>
      </c>
    </row>
    <row r="10" spans="1:19" x14ac:dyDescent="0.25">
      <c r="A10" s="4">
        <f>'All Solo Adjustments'!A41</f>
        <v>48</v>
      </c>
      <c r="B10" s="3" t="e">
        <f>'All Solo Adjustments'!#REF!</f>
        <v>#REF!</v>
      </c>
      <c r="C10" s="3" t="e">
        <f>'All Solo Adjustments'!#REF!</f>
        <v>#REF!</v>
      </c>
      <c r="D10" s="3" t="e">
        <f>'All Solo Adjustments'!#REF!</f>
        <v>#REF!</v>
      </c>
      <c r="E10" s="3" t="e">
        <f>'All Solo Adjustments'!#REF!</f>
        <v>#REF!</v>
      </c>
      <c r="F10" s="3" t="e">
        <f>'All Solo Adjustments'!#REF!</f>
        <v>#REF!</v>
      </c>
      <c r="G10" s="3" t="e">
        <f>'All Solo Adjustments'!#REF!</f>
        <v>#REF!</v>
      </c>
      <c r="H10" s="47" t="e">
        <f>'All Solo Adjustments'!#REF!</f>
        <v>#REF!</v>
      </c>
      <c r="I10" s="47" t="e">
        <f>'All Solo Adjustments'!#REF!</f>
        <v>#REF!</v>
      </c>
      <c r="K10" s="4">
        <f>'All Solo Adjustments'!A69</f>
        <v>76</v>
      </c>
      <c r="L10" s="3" t="e">
        <f>'All Solo Adjustments'!#REF!</f>
        <v>#REF!</v>
      </c>
      <c r="M10" s="3" t="e">
        <f>'All Solo Adjustments'!#REF!</f>
        <v>#REF!</v>
      </c>
      <c r="N10" s="3" t="e">
        <f>'All Solo Adjustments'!#REF!</f>
        <v>#REF!</v>
      </c>
      <c r="O10" s="3" t="e">
        <f>'All Solo Adjustments'!#REF!</f>
        <v>#REF!</v>
      </c>
      <c r="P10" s="3" t="e">
        <f>'All Solo Adjustments'!#REF!</f>
        <v>#REF!</v>
      </c>
      <c r="Q10" s="3" t="e">
        <f>'All Solo Adjustments'!#REF!</f>
        <v>#REF!</v>
      </c>
      <c r="R10" s="47" t="e">
        <f>'All Solo Adjustments'!#REF!</f>
        <v>#REF!</v>
      </c>
      <c r="S10" s="47" t="e">
        <f>'All Solo Adjustments'!#REF!</f>
        <v>#REF!</v>
      </c>
    </row>
    <row r="11" spans="1:19" x14ac:dyDescent="0.25">
      <c r="A11" s="4">
        <f>'All Solo Adjustments'!A42</f>
        <v>49</v>
      </c>
      <c r="B11" s="45" t="e">
        <f>'All Solo Adjustments'!#REF!</f>
        <v>#REF!</v>
      </c>
      <c r="C11" s="45" t="e">
        <f>'All Solo Adjustments'!#REF!</f>
        <v>#REF!</v>
      </c>
      <c r="D11" s="45" t="e">
        <f>'All Solo Adjustments'!#REF!</f>
        <v>#REF!</v>
      </c>
      <c r="E11" s="45" t="e">
        <f>'All Solo Adjustments'!#REF!</f>
        <v>#REF!</v>
      </c>
      <c r="F11" s="45" t="e">
        <f>'All Solo Adjustments'!#REF!</f>
        <v>#REF!</v>
      </c>
      <c r="G11" s="45" t="e">
        <f>'All Solo Adjustments'!#REF!</f>
        <v>#REF!</v>
      </c>
      <c r="H11" s="49" t="e">
        <f>'All Solo Adjustments'!#REF!</f>
        <v>#REF!</v>
      </c>
      <c r="I11" s="49" t="e">
        <f>'All Solo Adjustments'!#REF!</f>
        <v>#REF!</v>
      </c>
      <c r="K11" s="4">
        <f>'All Solo Adjustments'!A70</f>
        <v>77</v>
      </c>
      <c r="L11" s="3" t="e">
        <f>'All Solo Adjustments'!#REF!</f>
        <v>#REF!</v>
      </c>
      <c r="M11" s="3" t="e">
        <f>'All Solo Adjustments'!#REF!</f>
        <v>#REF!</v>
      </c>
      <c r="N11" s="3" t="e">
        <f>'All Solo Adjustments'!#REF!</f>
        <v>#REF!</v>
      </c>
      <c r="O11" s="3" t="e">
        <f>'All Solo Adjustments'!#REF!</f>
        <v>#REF!</v>
      </c>
      <c r="P11" s="3" t="e">
        <f>'All Solo Adjustments'!#REF!</f>
        <v>#REF!</v>
      </c>
      <c r="Q11" s="3" t="e">
        <f>'All Solo Adjustments'!#REF!</f>
        <v>#REF!</v>
      </c>
      <c r="R11" s="47" t="e">
        <f>'All Solo Adjustments'!#REF!</f>
        <v>#REF!</v>
      </c>
      <c r="S11" s="47" t="e">
        <f>'All Solo Adjustments'!#REF!</f>
        <v>#REF!</v>
      </c>
    </row>
    <row r="12" spans="1:19" x14ac:dyDescent="0.25">
      <c r="A12" s="4">
        <f>'All Solo Adjustments'!A43</f>
        <v>50</v>
      </c>
      <c r="B12" s="3" t="e">
        <f>'All Solo Adjustments'!#REF!</f>
        <v>#REF!</v>
      </c>
      <c r="C12" s="3" t="e">
        <f>'All Solo Adjustments'!#REF!</f>
        <v>#REF!</v>
      </c>
      <c r="D12" s="3" t="e">
        <f>'All Solo Adjustments'!#REF!</f>
        <v>#REF!</v>
      </c>
      <c r="E12" s="3" t="e">
        <f>'All Solo Adjustments'!#REF!</f>
        <v>#REF!</v>
      </c>
      <c r="F12" s="3" t="e">
        <f>'All Solo Adjustments'!#REF!</f>
        <v>#REF!</v>
      </c>
      <c r="G12" s="3" t="e">
        <f>'All Solo Adjustments'!#REF!</f>
        <v>#REF!</v>
      </c>
      <c r="H12" s="47" t="e">
        <f>'All Solo Adjustments'!#REF!</f>
        <v>#REF!</v>
      </c>
      <c r="I12" s="47" t="e">
        <f>'All Solo Adjustments'!#REF!</f>
        <v>#REF!</v>
      </c>
      <c r="K12" s="4">
        <f>'All Solo Adjustments'!A71</f>
        <v>78</v>
      </c>
      <c r="L12" s="3" t="e">
        <f>'All Solo Adjustments'!#REF!</f>
        <v>#REF!</v>
      </c>
      <c r="M12" s="3" t="e">
        <f>'All Solo Adjustments'!#REF!</f>
        <v>#REF!</v>
      </c>
      <c r="N12" s="3" t="e">
        <f>'All Solo Adjustments'!#REF!</f>
        <v>#REF!</v>
      </c>
      <c r="O12" s="3" t="e">
        <f>'All Solo Adjustments'!#REF!</f>
        <v>#REF!</v>
      </c>
      <c r="P12" s="3" t="e">
        <f>'All Solo Adjustments'!#REF!</f>
        <v>#REF!</v>
      </c>
      <c r="Q12" s="3" t="e">
        <f>'All Solo Adjustments'!#REF!</f>
        <v>#REF!</v>
      </c>
      <c r="R12" s="47" t="e">
        <f>'All Solo Adjustments'!#REF!</f>
        <v>#REF!</v>
      </c>
      <c r="S12" s="47" t="e">
        <f>'All Solo Adjustments'!#REF!</f>
        <v>#REF!</v>
      </c>
    </row>
    <row r="13" spans="1:19" x14ac:dyDescent="0.25">
      <c r="A13" s="4">
        <f>'All Solo Adjustments'!A44</f>
        <v>51</v>
      </c>
      <c r="B13" s="3" t="e">
        <f>'All Solo Adjustments'!#REF!</f>
        <v>#REF!</v>
      </c>
      <c r="C13" s="3" t="e">
        <f>'All Solo Adjustments'!#REF!</f>
        <v>#REF!</v>
      </c>
      <c r="D13" s="3" t="e">
        <f>'All Solo Adjustments'!#REF!</f>
        <v>#REF!</v>
      </c>
      <c r="E13" s="3" t="e">
        <f>'All Solo Adjustments'!#REF!</f>
        <v>#REF!</v>
      </c>
      <c r="F13" s="3" t="e">
        <f>'All Solo Adjustments'!#REF!</f>
        <v>#REF!</v>
      </c>
      <c r="G13" s="3" t="e">
        <f>'All Solo Adjustments'!#REF!</f>
        <v>#REF!</v>
      </c>
      <c r="H13" s="47" t="e">
        <f>'All Solo Adjustments'!#REF!</f>
        <v>#REF!</v>
      </c>
      <c r="I13" s="47" t="e">
        <f>'All Solo Adjustments'!#REF!</f>
        <v>#REF!</v>
      </c>
      <c r="K13" s="4">
        <f>'All Solo Adjustments'!A72</f>
        <v>79</v>
      </c>
      <c r="L13" s="45" t="e">
        <f>'All Solo Adjustments'!#REF!</f>
        <v>#REF!</v>
      </c>
      <c r="M13" s="45" t="e">
        <f>'All Solo Adjustments'!#REF!</f>
        <v>#REF!</v>
      </c>
      <c r="N13" s="45" t="e">
        <f>'All Solo Adjustments'!#REF!</f>
        <v>#REF!</v>
      </c>
      <c r="O13" s="45" t="e">
        <f>'All Solo Adjustments'!#REF!</f>
        <v>#REF!</v>
      </c>
      <c r="P13" s="45" t="e">
        <f>'All Solo Adjustments'!#REF!</f>
        <v>#REF!</v>
      </c>
      <c r="Q13" s="45" t="e">
        <f>'All Solo Adjustments'!#REF!</f>
        <v>#REF!</v>
      </c>
      <c r="R13" s="49" t="e">
        <f>'All Solo Adjustments'!#REF!</f>
        <v>#REF!</v>
      </c>
      <c r="S13" s="49" t="e">
        <f>'All Solo Adjustments'!#REF!</f>
        <v>#REF!</v>
      </c>
    </row>
    <row r="14" spans="1:19" x14ac:dyDescent="0.25">
      <c r="A14" s="4">
        <f>'All Solo Adjustments'!A45</f>
        <v>52</v>
      </c>
      <c r="B14" s="3" t="e">
        <f>'All Solo Adjustments'!#REF!</f>
        <v>#REF!</v>
      </c>
      <c r="C14" s="3" t="e">
        <f>'All Solo Adjustments'!#REF!</f>
        <v>#REF!</v>
      </c>
      <c r="D14" s="3" t="e">
        <f>'All Solo Adjustments'!#REF!</f>
        <v>#REF!</v>
      </c>
      <c r="E14" s="3" t="e">
        <f>'All Solo Adjustments'!#REF!</f>
        <v>#REF!</v>
      </c>
      <c r="F14" s="3" t="e">
        <f>'All Solo Adjustments'!#REF!</f>
        <v>#REF!</v>
      </c>
      <c r="G14" s="3" t="e">
        <f>'All Solo Adjustments'!#REF!</f>
        <v>#REF!</v>
      </c>
      <c r="H14" s="47" t="e">
        <f>'All Solo Adjustments'!#REF!</f>
        <v>#REF!</v>
      </c>
      <c r="I14" s="47" t="e">
        <f>'All Solo Adjustments'!#REF!</f>
        <v>#REF!</v>
      </c>
      <c r="K14" s="4">
        <f>'All Solo Adjustments'!A73</f>
        <v>80</v>
      </c>
      <c r="L14" s="3" t="e">
        <f>'All Solo Adjustments'!#REF!</f>
        <v>#REF!</v>
      </c>
      <c r="M14" s="3" t="e">
        <f>'All Solo Adjustments'!#REF!</f>
        <v>#REF!</v>
      </c>
      <c r="N14" s="3" t="e">
        <f>'All Solo Adjustments'!#REF!</f>
        <v>#REF!</v>
      </c>
      <c r="O14" s="3" t="e">
        <f>'All Solo Adjustments'!#REF!</f>
        <v>#REF!</v>
      </c>
      <c r="P14" s="3" t="e">
        <f>'All Solo Adjustments'!#REF!</f>
        <v>#REF!</v>
      </c>
      <c r="Q14" s="3" t="e">
        <f>'All Solo Adjustments'!#REF!</f>
        <v>#REF!</v>
      </c>
      <c r="R14" s="47" t="e">
        <f>'All Solo Adjustments'!#REF!</f>
        <v>#REF!</v>
      </c>
      <c r="S14" s="47" t="e">
        <f>'All Solo Adjustments'!#REF!</f>
        <v>#REF!</v>
      </c>
    </row>
    <row r="15" spans="1:19" x14ac:dyDescent="0.25">
      <c r="A15" s="4">
        <f>'All Solo Adjustments'!A46</f>
        <v>53</v>
      </c>
      <c r="B15" s="3" t="e">
        <f>'All Solo Adjustments'!#REF!</f>
        <v>#REF!</v>
      </c>
      <c r="C15" s="3" t="e">
        <f>'All Solo Adjustments'!#REF!</f>
        <v>#REF!</v>
      </c>
      <c r="D15" s="3" t="e">
        <f>'All Solo Adjustments'!#REF!</f>
        <v>#REF!</v>
      </c>
      <c r="E15" s="3" t="e">
        <f>'All Solo Adjustments'!#REF!</f>
        <v>#REF!</v>
      </c>
      <c r="F15" s="3" t="e">
        <f>'All Solo Adjustments'!#REF!</f>
        <v>#REF!</v>
      </c>
      <c r="G15" s="3" t="e">
        <f>'All Solo Adjustments'!#REF!</f>
        <v>#REF!</v>
      </c>
      <c r="H15" s="47" t="e">
        <f>'All Solo Adjustments'!#REF!</f>
        <v>#REF!</v>
      </c>
      <c r="I15" s="47" t="e">
        <f>'All Solo Adjustments'!#REF!</f>
        <v>#REF!</v>
      </c>
      <c r="K15" s="4">
        <f>'All Solo Adjustments'!A74</f>
        <v>81</v>
      </c>
      <c r="L15" s="3" t="e">
        <f>'All Solo Adjustments'!#REF!</f>
        <v>#REF!</v>
      </c>
      <c r="M15" s="3" t="e">
        <f>'All Solo Adjustments'!#REF!</f>
        <v>#REF!</v>
      </c>
      <c r="N15" s="3" t="e">
        <f>'All Solo Adjustments'!#REF!</f>
        <v>#REF!</v>
      </c>
      <c r="O15" s="3" t="e">
        <f>'All Solo Adjustments'!#REF!</f>
        <v>#REF!</v>
      </c>
      <c r="P15" s="3" t="e">
        <f>'All Solo Adjustments'!#REF!</f>
        <v>#REF!</v>
      </c>
      <c r="Q15" s="3" t="e">
        <f>'All Solo Adjustments'!#REF!</f>
        <v>#REF!</v>
      </c>
      <c r="R15" s="47" t="e">
        <f>'All Solo Adjustments'!#REF!</f>
        <v>#REF!</v>
      </c>
      <c r="S15" s="47" t="e">
        <f>'All Solo Adjustments'!#REF!</f>
        <v>#REF!</v>
      </c>
    </row>
    <row r="16" spans="1:19" x14ac:dyDescent="0.25">
      <c r="A16" s="4">
        <f>'All Solo Adjustments'!A47</f>
        <v>54</v>
      </c>
      <c r="B16" s="3" t="e">
        <f>'All Solo Adjustments'!#REF!</f>
        <v>#REF!</v>
      </c>
      <c r="C16" s="3" t="e">
        <f>'All Solo Adjustments'!#REF!</f>
        <v>#REF!</v>
      </c>
      <c r="D16" s="3" t="e">
        <f>'All Solo Adjustments'!#REF!</f>
        <v>#REF!</v>
      </c>
      <c r="E16" s="3" t="e">
        <f>'All Solo Adjustments'!#REF!</f>
        <v>#REF!</v>
      </c>
      <c r="F16" s="3" t="e">
        <f>'All Solo Adjustments'!#REF!</f>
        <v>#REF!</v>
      </c>
      <c r="G16" s="3" t="e">
        <f>'All Solo Adjustments'!#REF!</f>
        <v>#REF!</v>
      </c>
      <c r="H16" s="47" t="e">
        <f>'All Solo Adjustments'!#REF!</f>
        <v>#REF!</v>
      </c>
      <c r="I16" s="47" t="e">
        <f>'All Solo Adjustments'!#REF!</f>
        <v>#REF!</v>
      </c>
      <c r="K16" s="4">
        <f>'All Solo Adjustments'!A75</f>
        <v>82</v>
      </c>
      <c r="L16" s="3" t="e">
        <f>'All Solo Adjustments'!#REF!</f>
        <v>#REF!</v>
      </c>
      <c r="M16" s="3" t="e">
        <f>'All Solo Adjustments'!#REF!</f>
        <v>#REF!</v>
      </c>
      <c r="N16" s="3" t="e">
        <f>'All Solo Adjustments'!#REF!</f>
        <v>#REF!</v>
      </c>
      <c r="O16" s="3" t="e">
        <f>'All Solo Adjustments'!#REF!</f>
        <v>#REF!</v>
      </c>
      <c r="P16" s="3" t="e">
        <f>'All Solo Adjustments'!#REF!</f>
        <v>#REF!</v>
      </c>
      <c r="Q16" s="3" t="e">
        <f>'All Solo Adjustments'!#REF!</f>
        <v>#REF!</v>
      </c>
      <c r="R16" s="47" t="e">
        <f>'All Solo Adjustments'!#REF!</f>
        <v>#REF!</v>
      </c>
      <c r="S16" s="47" t="e">
        <f>'All Solo Adjustments'!#REF!</f>
        <v>#REF!</v>
      </c>
    </row>
    <row r="17" spans="1:20" x14ac:dyDescent="0.25">
      <c r="A17" s="4">
        <f>'All Solo Adjustments'!A48</f>
        <v>55</v>
      </c>
      <c r="B17" s="3" t="e">
        <f>'All Solo Adjustments'!#REF!</f>
        <v>#REF!</v>
      </c>
      <c r="C17" s="3" t="e">
        <f>'All Solo Adjustments'!#REF!</f>
        <v>#REF!</v>
      </c>
      <c r="D17" s="3" t="e">
        <f>'All Solo Adjustments'!#REF!</f>
        <v>#REF!</v>
      </c>
      <c r="E17" s="3" t="e">
        <f>'All Solo Adjustments'!#REF!</f>
        <v>#REF!</v>
      </c>
      <c r="F17" s="3" t="e">
        <f>'All Solo Adjustments'!#REF!</f>
        <v>#REF!</v>
      </c>
      <c r="G17" s="3" t="e">
        <f>'All Solo Adjustments'!#REF!</f>
        <v>#REF!</v>
      </c>
      <c r="H17" s="47" t="e">
        <f>'All Solo Adjustments'!#REF!</f>
        <v>#REF!</v>
      </c>
      <c r="I17" s="47" t="e">
        <f>'All Solo Adjustments'!#REF!</f>
        <v>#REF!</v>
      </c>
      <c r="K17" s="4">
        <f>'All Solo Adjustments'!A76</f>
        <v>83</v>
      </c>
      <c r="L17" s="3" t="e">
        <f>'All Solo Adjustments'!#REF!</f>
        <v>#REF!</v>
      </c>
      <c r="M17" s="3" t="e">
        <f>'All Solo Adjustments'!#REF!</f>
        <v>#REF!</v>
      </c>
      <c r="N17" s="3" t="e">
        <f>'All Solo Adjustments'!#REF!</f>
        <v>#REF!</v>
      </c>
      <c r="O17" s="3" t="e">
        <f>'All Solo Adjustments'!#REF!</f>
        <v>#REF!</v>
      </c>
      <c r="P17" s="3" t="e">
        <f>'All Solo Adjustments'!#REF!</f>
        <v>#REF!</v>
      </c>
      <c r="Q17" s="3" t="e">
        <f>'All Solo Adjustments'!#REF!</f>
        <v>#REF!</v>
      </c>
      <c r="R17" s="47" t="e">
        <f>'All Solo Adjustments'!#REF!</f>
        <v>#REF!</v>
      </c>
      <c r="S17" s="47" t="e">
        <f>'All Solo Adjustments'!#REF!</f>
        <v>#REF!</v>
      </c>
    </row>
    <row r="18" spans="1:20" x14ac:dyDescent="0.25">
      <c r="A18" s="4">
        <f>'All Solo Adjustments'!A49</f>
        <v>56</v>
      </c>
      <c r="B18" s="3" t="e">
        <f>'All Solo Adjustments'!#REF!</f>
        <v>#REF!</v>
      </c>
      <c r="C18" s="3" t="e">
        <f>'All Solo Adjustments'!#REF!</f>
        <v>#REF!</v>
      </c>
      <c r="D18" s="3" t="e">
        <f>'All Solo Adjustments'!#REF!</f>
        <v>#REF!</v>
      </c>
      <c r="E18" s="3" t="e">
        <f>'All Solo Adjustments'!#REF!</f>
        <v>#REF!</v>
      </c>
      <c r="F18" s="3" t="e">
        <f>'All Solo Adjustments'!#REF!</f>
        <v>#REF!</v>
      </c>
      <c r="G18" s="3" t="e">
        <f>'All Solo Adjustments'!#REF!</f>
        <v>#REF!</v>
      </c>
      <c r="H18" s="47" t="e">
        <f>'All Solo Adjustments'!#REF!</f>
        <v>#REF!</v>
      </c>
      <c r="I18" s="47" t="e">
        <f>'All Solo Adjustments'!#REF!</f>
        <v>#REF!</v>
      </c>
      <c r="K18" s="4">
        <f>'All Solo Adjustments'!A77</f>
        <v>84</v>
      </c>
      <c r="L18" s="3" t="e">
        <f>'All Solo Adjustments'!#REF!</f>
        <v>#REF!</v>
      </c>
      <c r="M18" s="3" t="e">
        <f>'All Solo Adjustments'!#REF!</f>
        <v>#REF!</v>
      </c>
      <c r="N18" s="3" t="e">
        <f>'All Solo Adjustments'!#REF!</f>
        <v>#REF!</v>
      </c>
      <c r="O18" s="3" t="e">
        <f>'All Solo Adjustments'!#REF!</f>
        <v>#REF!</v>
      </c>
      <c r="P18" s="3" t="e">
        <f>'All Solo Adjustments'!#REF!</f>
        <v>#REF!</v>
      </c>
      <c r="Q18" s="3" t="e">
        <f>'All Solo Adjustments'!#REF!</f>
        <v>#REF!</v>
      </c>
      <c r="R18" s="47" t="e">
        <f>'All Solo Adjustments'!#REF!</f>
        <v>#REF!</v>
      </c>
      <c r="S18" s="47" t="e">
        <f>'All Solo Adjustments'!#REF!</f>
        <v>#REF!</v>
      </c>
    </row>
    <row r="19" spans="1:20" x14ac:dyDescent="0.25">
      <c r="A19" s="4">
        <f>'All Solo Adjustments'!A50</f>
        <v>57</v>
      </c>
      <c r="B19" s="3" t="e">
        <f>'All Solo Adjustments'!#REF!</f>
        <v>#REF!</v>
      </c>
      <c r="C19" s="3" t="e">
        <f>'All Solo Adjustments'!#REF!</f>
        <v>#REF!</v>
      </c>
      <c r="D19" s="3" t="e">
        <f>'All Solo Adjustments'!#REF!</f>
        <v>#REF!</v>
      </c>
      <c r="E19" s="3" t="e">
        <f>'All Solo Adjustments'!#REF!</f>
        <v>#REF!</v>
      </c>
      <c r="F19" s="3" t="e">
        <f>'All Solo Adjustments'!#REF!</f>
        <v>#REF!</v>
      </c>
      <c r="G19" s="3" t="e">
        <f>'All Solo Adjustments'!#REF!</f>
        <v>#REF!</v>
      </c>
      <c r="H19" s="47" t="e">
        <f>'All Solo Adjustments'!#REF!</f>
        <v>#REF!</v>
      </c>
      <c r="I19" s="47" t="e">
        <f>'All Solo Adjustments'!#REF!</f>
        <v>#REF!</v>
      </c>
      <c r="K19" s="4">
        <f>'All Solo Adjustments'!A78</f>
        <v>85</v>
      </c>
      <c r="L19" s="3" t="e">
        <f>'All Solo Adjustments'!#REF!</f>
        <v>#REF!</v>
      </c>
      <c r="M19" s="3" t="e">
        <f>'All Solo Adjustments'!#REF!</f>
        <v>#REF!</v>
      </c>
      <c r="N19" s="3" t="e">
        <f>'All Solo Adjustments'!#REF!</f>
        <v>#REF!</v>
      </c>
      <c r="O19" s="3" t="e">
        <f>'All Solo Adjustments'!#REF!</f>
        <v>#REF!</v>
      </c>
      <c r="P19" s="3" t="e">
        <f>'All Solo Adjustments'!#REF!</f>
        <v>#REF!</v>
      </c>
      <c r="Q19" s="3" t="e">
        <f>'All Solo Adjustments'!#REF!</f>
        <v>#REF!</v>
      </c>
      <c r="R19" s="47" t="e">
        <f>'All Solo Adjustments'!#REF!</f>
        <v>#REF!</v>
      </c>
      <c r="S19" s="47" t="e">
        <f>'All Solo Adjustments'!#REF!</f>
        <v>#REF!</v>
      </c>
    </row>
    <row r="20" spans="1:20" x14ac:dyDescent="0.25">
      <c r="A20" s="4">
        <f>'All Solo Adjustments'!A51</f>
        <v>58</v>
      </c>
      <c r="B20" s="3" t="e">
        <f>'All Solo Adjustments'!#REF!</f>
        <v>#REF!</v>
      </c>
      <c r="C20" s="3" t="e">
        <f>'All Solo Adjustments'!#REF!</f>
        <v>#REF!</v>
      </c>
      <c r="D20" s="3" t="e">
        <f>'All Solo Adjustments'!#REF!</f>
        <v>#REF!</v>
      </c>
      <c r="E20" s="3" t="e">
        <f>'All Solo Adjustments'!#REF!</f>
        <v>#REF!</v>
      </c>
      <c r="F20" s="3" t="e">
        <f>'All Solo Adjustments'!#REF!</f>
        <v>#REF!</v>
      </c>
      <c r="G20" s="3" t="e">
        <f>'All Solo Adjustments'!#REF!</f>
        <v>#REF!</v>
      </c>
      <c r="H20" s="47" t="e">
        <f>'All Solo Adjustments'!#REF!</f>
        <v>#REF!</v>
      </c>
      <c r="I20" s="47" t="e">
        <f>'All Solo Adjustments'!#REF!</f>
        <v>#REF!</v>
      </c>
      <c r="K20" s="4">
        <f>'All Solo Adjustments'!A79</f>
        <v>86</v>
      </c>
      <c r="L20" s="3" t="e">
        <f>'All Solo Adjustments'!#REF!</f>
        <v>#REF!</v>
      </c>
      <c r="M20" s="3" t="e">
        <f>'All Solo Adjustments'!#REF!</f>
        <v>#REF!</v>
      </c>
      <c r="N20" s="3" t="e">
        <f>'All Solo Adjustments'!#REF!</f>
        <v>#REF!</v>
      </c>
      <c r="O20" s="3" t="e">
        <f>'All Solo Adjustments'!#REF!</f>
        <v>#REF!</v>
      </c>
      <c r="P20" s="3" t="e">
        <f>'All Solo Adjustments'!#REF!</f>
        <v>#REF!</v>
      </c>
      <c r="Q20" s="3" t="e">
        <f>'All Solo Adjustments'!#REF!</f>
        <v>#REF!</v>
      </c>
      <c r="R20" s="47" t="e">
        <f>'All Solo Adjustments'!#REF!</f>
        <v>#REF!</v>
      </c>
      <c r="S20" s="47" t="e">
        <f>'All Solo Adjustments'!#REF!</f>
        <v>#REF!</v>
      </c>
    </row>
    <row r="21" spans="1:20" x14ac:dyDescent="0.25">
      <c r="A21" s="4">
        <f>'All Solo Adjustments'!A52</f>
        <v>59</v>
      </c>
      <c r="B21" s="45" t="e">
        <f>'All Solo Adjustments'!#REF!</f>
        <v>#REF!</v>
      </c>
      <c r="C21" s="45" t="e">
        <f>'All Solo Adjustments'!#REF!</f>
        <v>#REF!</v>
      </c>
      <c r="D21" s="45" t="e">
        <f>'All Solo Adjustments'!#REF!</f>
        <v>#REF!</v>
      </c>
      <c r="E21" s="45" t="e">
        <f>'All Solo Adjustments'!#REF!</f>
        <v>#REF!</v>
      </c>
      <c r="F21" s="45" t="e">
        <f>'All Solo Adjustments'!#REF!</f>
        <v>#REF!</v>
      </c>
      <c r="G21" s="45" t="e">
        <f>'All Solo Adjustments'!#REF!</f>
        <v>#REF!</v>
      </c>
      <c r="H21" s="49" t="e">
        <f>'All Solo Adjustments'!#REF!</f>
        <v>#REF!</v>
      </c>
      <c r="I21" s="49" t="e">
        <f>'All Solo Adjustments'!#REF!</f>
        <v>#REF!</v>
      </c>
      <c r="K21" s="4">
        <f>'All Solo Adjustments'!A80</f>
        <v>87</v>
      </c>
      <c r="L21" s="3" t="e">
        <f>'All Solo Adjustments'!#REF!</f>
        <v>#REF!</v>
      </c>
      <c r="M21" s="3" t="e">
        <f>'All Solo Adjustments'!#REF!</f>
        <v>#REF!</v>
      </c>
      <c r="N21" s="3" t="e">
        <f>'All Solo Adjustments'!#REF!</f>
        <v>#REF!</v>
      </c>
      <c r="O21" s="3" t="e">
        <f>'All Solo Adjustments'!#REF!</f>
        <v>#REF!</v>
      </c>
      <c r="P21" s="3" t="e">
        <f>'All Solo Adjustments'!#REF!</f>
        <v>#REF!</v>
      </c>
      <c r="Q21" s="3" t="e">
        <f>'All Solo Adjustments'!#REF!</f>
        <v>#REF!</v>
      </c>
      <c r="R21" s="47" t="e">
        <f>'All Solo Adjustments'!#REF!</f>
        <v>#REF!</v>
      </c>
      <c r="S21" s="47" t="e">
        <f>'All Solo Adjustments'!#REF!</f>
        <v>#REF!</v>
      </c>
    </row>
    <row r="22" spans="1:20" x14ac:dyDescent="0.25">
      <c r="A22" s="4">
        <f>'All Solo Adjustments'!A53</f>
        <v>60</v>
      </c>
      <c r="B22" s="3" t="e">
        <f>'All Solo Adjustments'!#REF!</f>
        <v>#REF!</v>
      </c>
      <c r="C22" s="3" t="e">
        <f>'All Solo Adjustments'!#REF!</f>
        <v>#REF!</v>
      </c>
      <c r="D22" s="3" t="e">
        <f>'All Solo Adjustments'!#REF!</f>
        <v>#REF!</v>
      </c>
      <c r="E22" s="3" t="e">
        <f>'All Solo Adjustments'!#REF!</f>
        <v>#REF!</v>
      </c>
      <c r="F22" s="3" t="e">
        <f>'All Solo Adjustments'!#REF!</f>
        <v>#REF!</v>
      </c>
      <c r="G22" s="3" t="e">
        <f>'All Solo Adjustments'!#REF!</f>
        <v>#REF!</v>
      </c>
      <c r="H22" s="47" t="e">
        <f>'All Solo Adjustments'!#REF!</f>
        <v>#REF!</v>
      </c>
      <c r="I22" s="47" t="e">
        <f>'All Solo Adjustments'!#REF!</f>
        <v>#REF!</v>
      </c>
      <c r="K22" s="4">
        <f>'All Solo Adjustments'!A81</f>
        <v>88</v>
      </c>
      <c r="L22" s="3" t="e">
        <f>'All Solo Adjustments'!#REF!</f>
        <v>#REF!</v>
      </c>
      <c r="M22" s="3" t="e">
        <f>'All Solo Adjustments'!#REF!</f>
        <v>#REF!</v>
      </c>
      <c r="N22" s="3" t="e">
        <f>'All Solo Adjustments'!#REF!</f>
        <v>#REF!</v>
      </c>
      <c r="O22" s="3" t="e">
        <f>'All Solo Adjustments'!#REF!</f>
        <v>#REF!</v>
      </c>
      <c r="P22" s="3" t="e">
        <f>'All Solo Adjustments'!#REF!</f>
        <v>#REF!</v>
      </c>
      <c r="Q22" s="3" t="e">
        <f>'All Solo Adjustments'!#REF!</f>
        <v>#REF!</v>
      </c>
      <c r="R22" s="47" t="e">
        <f>'All Solo Adjustments'!#REF!</f>
        <v>#REF!</v>
      </c>
      <c r="S22" s="47" t="e">
        <f>'All Solo Adjustments'!#REF!</f>
        <v>#REF!</v>
      </c>
    </row>
    <row r="23" spans="1:20" x14ac:dyDescent="0.25">
      <c r="A23" s="4">
        <f>'All Solo Adjustments'!A54</f>
        <v>61</v>
      </c>
      <c r="B23" s="3" t="e">
        <f>'All Solo Adjustments'!#REF!</f>
        <v>#REF!</v>
      </c>
      <c r="C23" s="3" t="e">
        <f>'All Solo Adjustments'!#REF!</f>
        <v>#REF!</v>
      </c>
      <c r="D23" s="3" t="e">
        <f>'All Solo Adjustments'!#REF!</f>
        <v>#REF!</v>
      </c>
      <c r="E23" s="3" t="e">
        <f>'All Solo Adjustments'!#REF!</f>
        <v>#REF!</v>
      </c>
      <c r="F23" s="3" t="e">
        <f>'All Solo Adjustments'!#REF!</f>
        <v>#REF!</v>
      </c>
      <c r="G23" s="3" t="e">
        <f>'All Solo Adjustments'!#REF!</f>
        <v>#REF!</v>
      </c>
      <c r="H23" s="47" t="e">
        <f>'All Solo Adjustments'!#REF!</f>
        <v>#REF!</v>
      </c>
      <c r="I23" s="47" t="e">
        <f>'All Solo Adjustments'!#REF!</f>
        <v>#REF!</v>
      </c>
      <c r="K23" s="4">
        <f>'All Solo Adjustments'!A82</f>
        <v>89</v>
      </c>
      <c r="L23" s="45" t="e">
        <f>'All Solo Adjustments'!#REF!</f>
        <v>#REF!</v>
      </c>
      <c r="M23" s="45" t="e">
        <f>'All Solo Adjustments'!#REF!</f>
        <v>#REF!</v>
      </c>
      <c r="N23" s="45" t="e">
        <f>'All Solo Adjustments'!#REF!</f>
        <v>#REF!</v>
      </c>
      <c r="O23" s="45" t="e">
        <f>'All Solo Adjustments'!#REF!</f>
        <v>#REF!</v>
      </c>
      <c r="P23" s="45" t="e">
        <f>'All Solo Adjustments'!#REF!</f>
        <v>#REF!</v>
      </c>
      <c r="Q23" s="45" t="e">
        <f>'All Solo Adjustments'!#REF!</f>
        <v>#REF!</v>
      </c>
      <c r="R23" s="49" t="e">
        <f>'All Solo Adjustments'!#REF!</f>
        <v>#REF!</v>
      </c>
      <c r="S23" s="49" t="e">
        <f>'All Solo Adjustments'!#REF!</f>
        <v>#REF!</v>
      </c>
    </row>
    <row r="24" spans="1:20" x14ac:dyDescent="0.25">
      <c r="A24" s="4">
        <f>'All Solo Adjustments'!A55</f>
        <v>62</v>
      </c>
      <c r="B24" s="3" t="e">
        <f>'All Solo Adjustments'!#REF!</f>
        <v>#REF!</v>
      </c>
      <c r="C24" s="3" t="e">
        <f>'All Solo Adjustments'!#REF!</f>
        <v>#REF!</v>
      </c>
      <c r="D24" s="3" t="e">
        <f>'All Solo Adjustments'!#REF!</f>
        <v>#REF!</v>
      </c>
      <c r="E24" s="3" t="e">
        <f>'All Solo Adjustments'!#REF!</f>
        <v>#REF!</v>
      </c>
      <c r="F24" s="3" t="e">
        <f>'All Solo Adjustments'!#REF!</f>
        <v>#REF!</v>
      </c>
      <c r="G24" s="3" t="e">
        <f>'All Solo Adjustments'!#REF!</f>
        <v>#REF!</v>
      </c>
      <c r="H24" s="47" t="e">
        <f>'All Solo Adjustments'!#REF!</f>
        <v>#REF!</v>
      </c>
      <c r="I24" s="47" t="e">
        <f>'All Solo Adjustments'!#REF!</f>
        <v>#REF!</v>
      </c>
      <c r="K24" s="4">
        <f>'All Solo Adjustments'!A83</f>
        <v>90</v>
      </c>
      <c r="L24" s="3" t="e">
        <f>'All Solo Adjustments'!#REF!</f>
        <v>#REF!</v>
      </c>
      <c r="M24" s="3" t="e">
        <f>'All Solo Adjustments'!#REF!</f>
        <v>#REF!</v>
      </c>
      <c r="N24" s="3" t="e">
        <f>'All Solo Adjustments'!#REF!</f>
        <v>#REF!</v>
      </c>
      <c r="O24" s="3" t="e">
        <f>'All Solo Adjustments'!#REF!</f>
        <v>#REF!</v>
      </c>
      <c r="P24" s="3" t="e">
        <f>'All Solo Adjustments'!#REF!</f>
        <v>#REF!</v>
      </c>
      <c r="Q24" s="3" t="e">
        <f>'All Solo Adjustments'!#REF!</f>
        <v>#REF!</v>
      </c>
      <c r="R24" s="47" t="e">
        <f>'All Solo Adjustments'!#REF!</f>
        <v>#REF!</v>
      </c>
      <c r="S24" s="47" t="e">
        <f>'All Solo Adjustments'!#REF!</f>
        <v>#REF!</v>
      </c>
    </row>
    <row r="25" spans="1:20" x14ac:dyDescent="0.25">
      <c r="A25" s="4">
        <f>'All Solo Adjustments'!A56</f>
        <v>63</v>
      </c>
      <c r="B25" s="3" t="e">
        <f>'All Solo Adjustments'!#REF!</f>
        <v>#REF!</v>
      </c>
      <c r="C25" s="3" t="e">
        <f>'All Solo Adjustments'!#REF!</f>
        <v>#REF!</v>
      </c>
      <c r="D25" s="3" t="e">
        <f>'All Solo Adjustments'!#REF!</f>
        <v>#REF!</v>
      </c>
      <c r="E25" s="3" t="e">
        <f>'All Solo Adjustments'!#REF!</f>
        <v>#REF!</v>
      </c>
      <c r="F25" s="3" t="e">
        <f>'All Solo Adjustments'!#REF!</f>
        <v>#REF!</v>
      </c>
      <c r="G25" s="3" t="e">
        <f>'All Solo Adjustments'!#REF!</f>
        <v>#REF!</v>
      </c>
      <c r="H25" s="47" t="e">
        <f>'All Solo Adjustments'!#REF!</f>
        <v>#REF!</v>
      </c>
      <c r="I25" s="47" t="e">
        <f>'All Solo Adjustments'!#REF!</f>
        <v>#REF!</v>
      </c>
      <c r="K25" s="4">
        <f>'All Solo Adjustments'!A84</f>
        <v>91</v>
      </c>
      <c r="L25" s="3" t="e">
        <f>'All Solo Adjustments'!#REF!</f>
        <v>#REF!</v>
      </c>
      <c r="M25" s="3" t="e">
        <f>'All Solo Adjustments'!#REF!</f>
        <v>#REF!</v>
      </c>
      <c r="N25" s="3" t="e">
        <f>'All Solo Adjustments'!#REF!</f>
        <v>#REF!</v>
      </c>
      <c r="O25" s="3" t="e">
        <f>'All Solo Adjustments'!#REF!</f>
        <v>#REF!</v>
      </c>
      <c r="P25" s="3" t="e">
        <f>'All Solo Adjustments'!#REF!</f>
        <v>#REF!</v>
      </c>
      <c r="Q25" s="3" t="e">
        <f>'All Solo Adjustments'!#REF!</f>
        <v>#REF!</v>
      </c>
      <c r="R25" s="47" t="e">
        <f>'All Solo Adjustments'!#REF!</f>
        <v>#REF!</v>
      </c>
      <c r="S25" s="47" t="e">
        <f>'All Solo Adjustments'!#REF!</f>
        <v>#REF!</v>
      </c>
    </row>
    <row r="26" spans="1:20" x14ac:dyDescent="0.25">
      <c r="A26" s="4">
        <f>'All Solo Adjustments'!A57</f>
        <v>64</v>
      </c>
      <c r="B26" s="3" t="e">
        <f>'All Solo Adjustments'!#REF!</f>
        <v>#REF!</v>
      </c>
      <c r="C26" s="3" t="e">
        <f>'All Solo Adjustments'!#REF!</f>
        <v>#REF!</v>
      </c>
      <c r="D26" s="3" t="e">
        <f>'All Solo Adjustments'!#REF!</f>
        <v>#REF!</v>
      </c>
      <c r="E26" s="3" t="e">
        <f>'All Solo Adjustments'!#REF!</f>
        <v>#REF!</v>
      </c>
      <c r="F26" s="3" t="e">
        <f>'All Solo Adjustments'!#REF!</f>
        <v>#REF!</v>
      </c>
      <c r="G26" s="3" t="e">
        <f>'All Solo Adjustments'!#REF!</f>
        <v>#REF!</v>
      </c>
      <c r="H26" s="47" t="e">
        <f>'All Solo Adjustments'!#REF!</f>
        <v>#REF!</v>
      </c>
      <c r="I26" s="47" t="e">
        <f>'All Solo Adjustments'!#REF!</f>
        <v>#REF!</v>
      </c>
      <c r="K26" s="4">
        <f>'All Solo Adjustments'!A85</f>
        <v>92</v>
      </c>
      <c r="L26" s="3" t="e">
        <f>'All Solo Adjustments'!#REF!</f>
        <v>#REF!</v>
      </c>
      <c r="M26" s="3" t="e">
        <f>'All Solo Adjustments'!#REF!</f>
        <v>#REF!</v>
      </c>
      <c r="N26" s="3" t="e">
        <f>'All Solo Adjustments'!#REF!</f>
        <v>#REF!</v>
      </c>
      <c r="O26" s="3" t="e">
        <f>'All Solo Adjustments'!#REF!</f>
        <v>#REF!</v>
      </c>
      <c r="P26" s="3" t="e">
        <f>'All Solo Adjustments'!#REF!</f>
        <v>#REF!</v>
      </c>
      <c r="Q26" s="3" t="e">
        <f>'All Solo Adjustments'!#REF!</f>
        <v>#REF!</v>
      </c>
      <c r="R26" s="47" t="e">
        <f>'All Solo Adjustments'!#REF!</f>
        <v>#REF!</v>
      </c>
      <c r="S26" s="47" t="e">
        <f>'All Solo Adjustments'!#REF!</f>
        <v>#REF!</v>
      </c>
    </row>
    <row r="27" spans="1:20" x14ac:dyDescent="0.25">
      <c r="A27" s="4">
        <f>'All Solo Adjustments'!A58</f>
        <v>65</v>
      </c>
      <c r="B27" s="3" t="e">
        <f>'All Solo Adjustments'!#REF!</f>
        <v>#REF!</v>
      </c>
      <c r="C27" s="3" t="e">
        <f>'All Solo Adjustments'!#REF!</f>
        <v>#REF!</v>
      </c>
      <c r="D27" s="3" t="e">
        <f>'All Solo Adjustments'!#REF!</f>
        <v>#REF!</v>
      </c>
      <c r="E27" s="3" t="e">
        <f>'All Solo Adjustments'!#REF!</f>
        <v>#REF!</v>
      </c>
      <c r="F27" s="3" t="e">
        <f>'All Solo Adjustments'!#REF!</f>
        <v>#REF!</v>
      </c>
      <c r="G27" s="3" t="e">
        <f>'All Solo Adjustments'!#REF!</f>
        <v>#REF!</v>
      </c>
      <c r="H27" s="47" t="e">
        <f>'All Solo Adjustments'!#REF!</f>
        <v>#REF!</v>
      </c>
      <c r="I27" s="47" t="e">
        <f>'All Solo Adjustments'!#REF!</f>
        <v>#REF!</v>
      </c>
      <c r="K27" s="4">
        <f>'All Solo Adjustments'!A86</f>
        <v>93</v>
      </c>
      <c r="L27" s="3" t="e">
        <f>'All Solo Adjustments'!#REF!</f>
        <v>#REF!</v>
      </c>
      <c r="M27" s="3" t="e">
        <f>'All Solo Adjustments'!#REF!</f>
        <v>#REF!</v>
      </c>
      <c r="N27" s="3" t="e">
        <f>'All Solo Adjustments'!#REF!</f>
        <v>#REF!</v>
      </c>
      <c r="O27" s="3" t="e">
        <f>'All Solo Adjustments'!#REF!</f>
        <v>#REF!</v>
      </c>
      <c r="P27" s="3" t="e">
        <f>'All Solo Adjustments'!#REF!</f>
        <v>#REF!</v>
      </c>
      <c r="Q27" s="3" t="e">
        <f>'All Solo Adjustments'!#REF!</f>
        <v>#REF!</v>
      </c>
      <c r="R27" s="47" t="e">
        <f>'All Solo Adjustments'!#REF!</f>
        <v>#REF!</v>
      </c>
      <c r="S27" s="47" t="e">
        <f>'All Solo Adjustments'!#REF!</f>
        <v>#REF!</v>
      </c>
    </row>
    <row r="28" spans="1:20" x14ac:dyDescent="0.25">
      <c r="A28" s="4">
        <f>'All Solo Adjustments'!A59</f>
        <v>66</v>
      </c>
      <c r="B28" s="3" t="e">
        <f>'All Solo Adjustments'!#REF!</f>
        <v>#REF!</v>
      </c>
      <c r="C28" s="3" t="e">
        <f>'All Solo Adjustments'!#REF!</f>
        <v>#REF!</v>
      </c>
      <c r="D28" s="3" t="e">
        <f>'All Solo Adjustments'!#REF!</f>
        <v>#REF!</v>
      </c>
      <c r="E28" s="3" t="e">
        <f>'All Solo Adjustments'!#REF!</f>
        <v>#REF!</v>
      </c>
      <c r="F28" s="3" t="e">
        <f>'All Solo Adjustments'!#REF!</f>
        <v>#REF!</v>
      </c>
      <c r="G28" s="3" t="e">
        <f>'All Solo Adjustments'!#REF!</f>
        <v>#REF!</v>
      </c>
      <c r="H28" s="47" t="e">
        <f>'All Solo Adjustments'!#REF!</f>
        <v>#REF!</v>
      </c>
      <c r="I28" s="47" t="e">
        <f>'All Solo Adjustments'!#REF!</f>
        <v>#REF!</v>
      </c>
      <c r="K28" s="4">
        <f>'All Solo Adjustments'!A87</f>
        <v>94</v>
      </c>
      <c r="L28" s="3" t="e">
        <f>'All Solo Adjustments'!#REF!</f>
        <v>#REF!</v>
      </c>
      <c r="M28" s="3" t="e">
        <f>'All Solo Adjustments'!#REF!</f>
        <v>#REF!</v>
      </c>
      <c r="N28" s="3" t="e">
        <f>'All Solo Adjustments'!#REF!</f>
        <v>#REF!</v>
      </c>
      <c r="O28" s="3" t="e">
        <f>'All Solo Adjustments'!#REF!</f>
        <v>#REF!</v>
      </c>
      <c r="P28" s="3" t="e">
        <f>'All Solo Adjustments'!#REF!</f>
        <v>#REF!</v>
      </c>
      <c r="Q28" s="3" t="e">
        <f>'All Solo Adjustments'!#REF!</f>
        <v>#REF!</v>
      </c>
      <c r="R28" s="47" t="e">
        <f>'All Solo Adjustments'!#REF!</f>
        <v>#REF!</v>
      </c>
      <c r="S28" s="47" t="e">
        <f>'All Solo Adjustments'!#REF!</f>
        <v>#REF!</v>
      </c>
    </row>
    <row r="29" spans="1:20" x14ac:dyDescent="0.25">
      <c r="A29" s="4">
        <f>'All Solo Adjustments'!A60</f>
        <v>67</v>
      </c>
      <c r="B29" s="3" t="e">
        <f>'All Solo Adjustments'!#REF!</f>
        <v>#REF!</v>
      </c>
      <c r="C29" s="3" t="e">
        <f>'All Solo Adjustments'!#REF!</f>
        <v>#REF!</v>
      </c>
      <c r="D29" s="3" t="e">
        <f>'All Solo Adjustments'!#REF!</f>
        <v>#REF!</v>
      </c>
      <c r="E29" s="3" t="e">
        <f>'All Solo Adjustments'!#REF!</f>
        <v>#REF!</v>
      </c>
      <c r="F29" s="3" t="e">
        <f>'All Solo Adjustments'!#REF!</f>
        <v>#REF!</v>
      </c>
      <c r="G29" s="3" t="e">
        <f>'All Solo Adjustments'!#REF!</f>
        <v>#REF!</v>
      </c>
      <c r="H29" s="47" t="e">
        <f>'All Solo Adjustments'!#REF!</f>
        <v>#REF!</v>
      </c>
      <c r="I29" s="47" t="e">
        <f>'All Solo Adjustments'!#REF!</f>
        <v>#REF!</v>
      </c>
      <c r="K29" s="4">
        <f>'All Solo Adjustments'!A88</f>
        <v>95</v>
      </c>
      <c r="L29" s="3" t="e">
        <f>'All Solo Adjustments'!#REF!</f>
        <v>#REF!</v>
      </c>
      <c r="M29" s="3" t="e">
        <f>'All Solo Adjustments'!#REF!</f>
        <v>#REF!</v>
      </c>
      <c r="N29" s="3" t="e">
        <f>'All Solo Adjustments'!#REF!</f>
        <v>#REF!</v>
      </c>
      <c r="O29" s="3" t="e">
        <f>'All Solo Adjustments'!#REF!</f>
        <v>#REF!</v>
      </c>
      <c r="P29" s="3" t="e">
        <f>'All Solo Adjustments'!#REF!</f>
        <v>#REF!</v>
      </c>
      <c r="Q29" s="3" t="e">
        <f>'All Solo Adjustments'!#REF!</f>
        <v>#REF!</v>
      </c>
      <c r="R29" s="47" t="e">
        <f>'All Solo Adjustments'!#REF!</f>
        <v>#REF!</v>
      </c>
      <c r="S29" s="47" t="e">
        <f>'All Solo Adjustments'!#REF!</f>
        <v>#REF!</v>
      </c>
      <c r="T29" s="32">
        <f>Revision</f>
        <v>2024</v>
      </c>
    </row>
  </sheetData>
  <sheetProtection algorithmName="SHA-512" hashValue="35KldebH8Qel6B58GY30vpDuxuRB+siO4ACvd1Y6x9UM+RH2Cv6IDaNR41hTXotNxBwkaLW5Ph03aU6eyXYfrQ==" saltValue="wDJj2caL38XhFzj9CBmPgQ=="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&amp;COPEN SOLO TRICYCLE AGE ADJUSTMENTS</oddHeader>
    <oddFooter>&amp;L&amp;F&amp;CPage &amp;P of &amp;N&amp;R&amp;D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08A4F-B75B-42AB-8E87-A2B3A81E82D8}">
  <sheetPr codeName="Sheet7">
    <pageSetUpPr fitToPage="1"/>
  </sheetPr>
  <dimension ref="A1:T29"/>
  <sheetViews>
    <sheetView zoomScale="75" zoomScaleNormal="75" workbookViewId="0"/>
  </sheetViews>
  <sheetFormatPr defaultRowHeight="15" x14ac:dyDescent="0.25"/>
  <cols>
    <col min="1" max="1" width="4.5703125" customWidth="1"/>
    <col min="2" max="9" width="8.5703125" customWidth="1"/>
    <col min="10" max="11" width="4.5703125" customWidth="1"/>
    <col min="12" max="19" width="8.5703125" customWidth="1"/>
  </cols>
  <sheetData>
    <row r="1" spans="1:19" s="11" customFormat="1" x14ac:dyDescent="0.25">
      <c r="A1" s="9" t="s">
        <v>1</v>
      </c>
      <c r="B1" s="10" t="s">
        <v>13</v>
      </c>
      <c r="C1" s="10" t="s">
        <v>14</v>
      </c>
      <c r="D1" s="10" t="s">
        <v>15</v>
      </c>
      <c r="E1" s="10" t="s">
        <v>16</v>
      </c>
      <c r="F1" s="10" t="s">
        <v>17</v>
      </c>
      <c r="G1" s="10" t="s">
        <v>18</v>
      </c>
      <c r="H1" s="60" t="s">
        <v>19</v>
      </c>
      <c r="I1" s="60" t="s">
        <v>20</v>
      </c>
      <c r="J1" s="12"/>
      <c r="K1" s="9" t="s">
        <v>1</v>
      </c>
      <c r="L1" s="10" t="s">
        <v>13</v>
      </c>
      <c r="M1" s="10" t="s">
        <v>14</v>
      </c>
      <c r="N1" s="10" t="s">
        <v>15</v>
      </c>
      <c r="O1" s="10" t="s">
        <v>16</v>
      </c>
      <c r="P1" s="10" t="s">
        <v>17</v>
      </c>
      <c r="Q1" s="10" t="s">
        <v>18</v>
      </c>
      <c r="R1" s="60" t="s">
        <v>19</v>
      </c>
      <c r="S1" s="60" t="s">
        <v>20</v>
      </c>
    </row>
    <row r="2" spans="1:19" x14ac:dyDescent="0.25">
      <c r="A2" s="4">
        <f>'All Solo Adjustments'!A33</f>
        <v>40</v>
      </c>
      <c r="B2" s="3" t="e">
        <f>'All Solo Adjustments'!#REF!</f>
        <v>#REF!</v>
      </c>
      <c r="C2" s="3" t="e">
        <f>'All Solo Adjustments'!#REF!</f>
        <v>#REF!</v>
      </c>
      <c r="D2" s="3" t="e">
        <f>'All Solo Adjustments'!#REF!</f>
        <v>#REF!</v>
      </c>
      <c r="E2" s="3" t="e">
        <f>'All Solo Adjustments'!#REF!</f>
        <v>#REF!</v>
      </c>
      <c r="F2" s="3" t="e">
        <f>'All Solo Adjustments'!#REF!</f>
        <v>#REF!</v>
      </c>
      <c r="G2" s="3" t="e">
        <f>'All Solo Adjustments'!#REF!</f>
        <v>#REF!</v>
      </c>
      <c r="H2" s="47" t="e">
        <f>'All Solo Adjustments'!#REF!</f>
        <v>#REF!</v>
      </c>
      <c r="I2" s="47" t="e">
        <f>'All Solo Adjustments'!#REF!</f>
        <v>#REF!</v>
      </c>
      <c r="K2" s="4">
        <f>'All Solo Adjustments'!A61</f>
        <v>68</v>
      </c>
      <c r="L2" s="3" t="e">
        <f>'All Solo Adjustments'!#REF!</f>
        <v>#REF!</v>
      </c>
      <c r="M2" s="3" t="e">
        <f>'All Solo Adjustments'!#REF!</f>
        <v>#REF!</v>
      </c>
      <c r="N2" s="3" t="e">
        <f>'All Solo Adjustments'!#REF!</f>
        <v>#REF!</v>
      </c>
      <c r="O2" s="3" t="e">
        <f>'All Solo Adjustments'!#REF!</f>
        <v>#REF!</v>
      </c>
      <c r="P2" s="3" t="e">
        <f>'All Solo Adjustments'!#REF!</f>
        <v>#REF!</v>
      </c>
      <c r="Q2" s="3" t="e">
        <f>'All Solo Adjustments'!#REF!</f>
        <v>#REF!</v>
      </c>
      <c r="R2" s="47" t="e">
        <f>'All Solo Adjustments'!#REF!</f>
        <v>#REF!</v>
      </c>
      <c r="S2" s="47" t="e">
        <f>'All Solo Adjustments'!#REF!</f>
        <v>#REF!</v>
      </c>
    </row>
    <row r="3" spans="1:19" x14ac:dyDescent="0.25">
      <c r="A3" s="4">
        <f>'All Solo Adjustments'!A34</f>
        <v>41</v>
      </c>
      <c r="B3" s="3" t="e">
        <f>'All Solo Adjustments'!#REF!</f>
        <v>#REF!</v>
      </c>
      <c r="C3" s="3" t="e">
        <f>'All Solo Adjustments'!#REF!</f>
        <v>#REF!</v>
      </c>
      <c r="D3" s="3" t="e">
        <f>'All Solo Adjustments'!#REF!</f>
        <v>#REF!</v>
      </c>
      <c r="E3" s="3" t="e">
        <f>'All Solo Adjustments'!#REF!</f>
        <v>#REF!</v>
      </c>
      <c r="F3" s="3" t="e">
        <f>'All Solo Adjustments'!#REF!</f>
        <v>#REF!</v>
      </c>
      <c r="G3" s="3" t="e">
        <f>'All Solo Adjustments'!#REF!</f>
        <v>#REF!</v>
      </c>
      <c r="H3" s="47" t="e">
        <f>'All Solo Adjustments'!#REF!</f>
        <v>#REF!</v>
      </c>
      <c r="I3" s="47" t="e">
        <f>'All Solo Adjustments'!#REF!</f>
        <v>#REF!</v>
      </c>
      <c r="K3" s="4">
        <f>'All Solo Adjustments'!A62</f>
        <v>69</v>
      </c>
      <c r="L3" s="45" t="e">
        <f>'All Solo Adjustments'!#REF!</f>
        <v>#REF!</v>
      </c>
      <c r="M3" s="45" t="e">
        <f>'All Solo Adjustments'!#REF!</f>
        <v>#REF!</v>
      </c>
      <c r="N3" s="45" t="e">
        <f>'All Solo Adjustments'!#REF!</f>
        <v>#REF!</v>
      </c>
      <c r="O3" s="45" t="e">
        <f>'All Solo Adjustments'!#REF!</f>
        <v>#REF!</v>
      </c>
      <c r="P3" s="45" t="e">
        <f>'All Solo Adjustments'!#REF!</f>
        <v>#REF!</v>
      </c>
      <c r="Q3" s="45" t="e">
        <f>'All Solo Adjustments'!#REF!</f>
        <v>#REF!</v>
      </c>
      <c r="R3" s="49" t="e">
        <f>'All Solo Adjustments'!#REF!</f>
        <v>#REF!</v>
      </c>
      <c r="S3" s="49" t="e">
        <f>'All Solo Adjustments'!#REF!</f>
        <v>#REF!</v>
      </c>
    </row>
    <row r="4" spans="1:19" x14ac:dyDescent="0.25">
      <c r="A4" s="4">
        <f>'All Solo Adjustments'!A35</f>
        <v>42</v>
      </c>
      <c r="B4" s="3" t="e">
        <f>'All Solo Adjustments'!#REF!</f>
        <v>#REF!</v>
      </c>
      <c r="C4" s="3" t="e">
        <f>'All Solo Adjustments'!#REF!</f>
        <v>#REF!</v>
      </c>
      <c r="D4" s="3" t="e">
        <f>'All Solo Adjustments'!#REF!</f>
        <v>#REF!</v>
      </c>
      <c r="E4" s="3" t="e">
        <f>'All Solo Adjustments'!#REF!</f>
        <v>#REF!</v>
      </c>
      <c r="F4" s="3" t="e">
        <f>'All Solo Adjustments'!#REF!</f>
        <v>#REF!</v>
      </c>
      <c r="G4" s="3" t="e">
        <f>'All Solo Adjustments'!#REF!</f>
        <v>#REF!</v>
      </c>
      <c r="H4" s="47" t="e">
        <f>'All Solo Adjustments'!#REF!</f>
        <v>#REF!</v>
      </c>
      <c r="I4" s="47" t="e">
        <f>'All Solo Adjustments'!#REF!</f>
        <v>#REF!</v>
      </c>
      <c r="K4" s="4">
        <f>'All Solo Adjustments'!A63</f>
        <v>70</v>
      </c>
      <c r="L4" s="3" t="e">
        <f>'All Solo Adjustments'!#REF!</f>
        <v>#REF!</v>
      </c>
      <c r="M4" s="3" t="e">
        <f>'All Solo Adjustments'!#REF!</f>
        <v>#REF!</v>
      </c>
      <c r="N4" s="3" t="e">
        <f>'All Solo Adjustments'!#REF!</f>
        <v>#REF!</v>
      </c>
      <c r="O4" s="3" t="e">
        <f>'All Solo Adjustments'!#REF!</f>
        <v>#REF!</v>
      </c>
      <c r="P4" s="3" t="e">
        <f>'All Solo Adjustments'!#REF!</f>
        <v>#REF!</v>
      </c>
      <c r="Q4" s="3" t="e">
        <f>'All Solo Adjustments'!#REF!</f>
        <v>#REF!</v>
      </c>
      <c r="R4" s="47" t="e">
        <f>'All Solo Adjustments'!#REF!</f>
        <v>#REF!</v>
      </c>
      <c r="S4" s="47" t="e">
        <f>'All Solo Adjustments'!#REF!</f>
        <v>#REF!</v>
      </c>
    </row>
    <row r="5" spans="1:19" x14ac:dyDescent="0.25">
      <c r="A5" s="4">
        <f>'All Solo Adjustments'!A36</f>
        <v>43</v>
      </c>
      <c r="B5" s="3" t="e">
        <f>'All Solo Adjustments'!#REF!</f>
        <v>#REF!</v>
      </c>
      <c r="C5" s="3" t="e">
        <f>'All Solo Adjustments'!#REF!</f>
        <v>#REF!</v>
      </c>
      <c r="D5" s="3" t="e">
        <f>'All Solo Adjustments'!#REF!</f>
        <v>#REF!</v>
      </c>
      <c r="E5" s="3" t="e">
        <f>'All Solo Adjustments'!#REF!</f>
        <v>#REF!</v>
      </c>
      <c r="F5" s="3" t="e">
        <f>'All Solo Adjustments'!#REF!</f>
        <v>#REF!</v>
      </c>
      <c r="G5" s="3" t="e">
        <f>'All Solo Adjustments'!#REF!</f>
        <v>#REF!</v>
      </c>
      <c r="H5" s="47" t="e">
        <f>'All Solo Adjustments'!#REF!</f>
        <v>#REF!</v>
      </c>
      <c r="I5" s="47" t="e">
        <f>'All Solo Adjustments'!#REF!</f>
        <v>#REF!</v>
      </c>
      <c r="K5" s="4">
        <f>'All Solo Adjustments'!A64</f>
        <v>71</v>
      </c>
      <c r="L5" s="3" t="e">
        <f>'All Solo Adjustments'!#REF!</f>
        <v>#REF!</v>
      </c>
      <c r="M5" s="3" t="e">
        <f>'All Solo Adjustments'!#REF!</f>
        <v>#REF!</v>
      </c>
      <c r="N5" s="3" t="e">
        <f>'All Solo Adjustments'!#REF!</f>
        <v>#REF!</v>
      </c>
      <c r="O5" s="3" t="e">
        <f>'All Solo Adjustments'!#REF!</f>
        <v>#REF!</v>
      </c>
      <c r="P5" s="3" t="e">
        <f>'All Solo Adjustments'!#REF!</f>
        <v>#REF!</v>
      </c>
      <c r="Q5" s="3" t="e">
        <f>'All Solo Adjustments'!#REF!</f>
        <v>#REF!</v>
      </c>
      <c r="R5" s="47" t="e">
        <f>'All Solo Adjustments'!#REF!</f>
        <v>#REF!</v>
      </c>
      <c r="S5" s="47" t="e">
        <f>'All Solo Adjustments'!#REF!</f>
        <v>#REF!</v>
      </c>
    </row>
    <row r="6" spans="1:19" x14ac:dyDescent="0.25">
      <c r="A6" s="4">
        <f>'All Solo Adjustments'!A37</f>
        <v>44</v>
      </c>
      <c r="B6" s="3" t="e">
        <f>'All Solo Adjustments'!#REF!</f>
        <v>#REF!</v>
      </c>
      <c r="C6" s="3" t="e">
        <f>'All Solo Adjustments'!#REF!</f>
        <v>#REF!</v>
      </c>
      <c r="D6" s="3" t="e">
        <f>'All Solo Adjustments'!#REF!</f>
        <v>#REF!</v>
      </c>
      <c r="E6" s="3" t="e">
        <f>'All Solo Adjustments'!#REF!</f>
        <v>#REF!</v>
      </c>
      <c r="F6" s="3" t="e">
        <f>'All Solo Adjustments'!#REF!</f>
        <v>#REF!</v>
      </c>
      <c r="G6" s="3" t="e">
        <f>'All Solo Adjustments'!#REF!</f>
        <v>#REF!</v>
      </c>
      <c r="H6" s="47" t="e">
        <f>'All Solo Adjustments'!#REF!</f>
        <v>#REF!</v>
      </c>
      <c r="I6" s="47" t="e">
        <f>'All Solo Adjustments'!#REF!</f>
        <v>#REF!</v>
      </c>
      <c r="K6" s="4">
        <f>'All Solo Adjustments'!A65</f>
        <v>72</v>
      </c>
      <c r="L6" s="3" t="e">
        <f>'All Solo Adjustments'!#REF!</f>
        <v>#REF!</v>
      </c>
      <c r="M6" s="3" t="e">
        <f>'All Solo Adjustments'!#REF!</f>
        <v>#REF!</v>
      </c>
      <c r="N6" s="3" t="e">
        <f>'All Solo Adjustments'!#REF!</f>
        <v>#REF!</v>
      </c>
      <c r="O6" s="3" t="e">
        <f>'All Solo Adjustments'!#REF!</f>
        <v>#REF!</v>
      </c>
      <c r="P6" s="3" t="e">
        <f>'All Solo Adjustments'!#REF!</f>
        <v>#REF!</v>
      </c>
      <c r="Q6" s="3" t="e">
        <f>'All Solo Adjustments'!#REF!</f>
        <v>#REF!</v>
      </c>
      <c r="R6" s="47" t="e">
        <f>'All Solo Adjustments'!#REF!</f>
        <v>#REF!</v>
      </c>
      <c r="S6" s="47" t="e">
        <f>'All Solo Adjustments'!#REF!</f>
        <v>#REF!</v>
      </c>
    </row>
    <row r="7" spans="1:19" x14ac:dyDescent="0.25">
      <c r="A7" s="4">
        <f>'All Solo Adjustments'!A38</f>
        <v>45</v>
      </c>
      <c r="B7" s="3" t="e">
        <f>'All Solo Adjustments'!#REF!</f>
        <v>#REF!</v>
      </c>
      <c r="C7" s="3" t="e">
        <f>'All Solo Adjustments'!#REF!</f>
        <v>#REF!</v>
      </c>
      <c r="D7" s="3" t="e">
        <f>'All Solo Adjustments'!#REF!</f>
        <v>#REF!</v>
      </c>
      <c r="E7" s="3" t="e">
        <f>'All Solo Adjustments'!#REF!</f>
        <v>#REF!</v>
      </c>
      <c r="F7" s="3" t="e">
        <f>'All Solo Adjustments'!#REF!</f>
        <v>#REF!</v>
      </c>
      <c r="G7" s="3" t="e">
        <f>'All Solo Adjustments'!#REF!</f>
        <v>#REF!</v>
      </c>
      <c r="H7" s="47" t="e">
        <f>'All Solo Adjustments'!#REF!</f>
        <v>#REF!</v>
      </c>
      <c r="I7" s="47" t="e">
        <f>'All Solo Adjustments'!#REF!</f>
        <v>#REF!</v>
      </c>
      <c r="K7" s="4">
        <f>'All Solo Adjustments'!A66</f>
        <v>73</v>
      </c>
      <c r="L7" s="3" t="e">
        <f>'All Solo Adjustments'!#REF!</f>
        <v>#REF!</v>
      </c>
      <c r="M7" s="3" t="e">
        <f>'All Solo Adjustments'!#REF!</f>
        <v>#REF!</v>
      </c>
      <c r="N7" s="3" t="e">
        <f>'All Solo Adjustments'!#REF!</f>
        <v>#REF!</v>
      </c>
      <c r="O7" s="3" t="e">
        <f>'All Solo Adjustments'!#REF!</f>
        <v>#REF!</v>
      </c>
      <c r="P7" s="3" t="e">
        <f>'All Solo Adjustments'!#REF!</f>
        <v>#REF!</v>
      </c>
      <c r="Q7" s="3" t="e">
        <f>'All Solo Adjustments'!#REF!</f>
        <v>#REF!</v>
      </c>
      <c r="R7" s="47" t="e">
        <f>'All Solo Adjustments'!#REF!</f>
        <v>#REF!</v>
      </c>
      <c r="S7" s="47" t="e">
        <f>'All Solo Adjustments'!#REF!</f>
        <v>#REF!</v>
      </c>
    </row>
    <row r="8" spans="1:19" x14ac:dyDescent="0.25">
      <c r="A8" s="4">
        <f>'All Solo Adjustments'!A39</f>
        <v>46</v>
      </c>
      <c r="B8" s="3" t="e">
        <f>'All Solo Adjustments'!#REF!</f>
        <v>#REF!</v>
      </c>
      <c r="C8" s="3" t="e">
        <f>'All Solo Adjustments'!#REF!</f>
        <v>#REF!</v>
      </c>
      <c r="D8" s="3" t="e">
        <f>'All Solo Adjustments'!#REF!</f>
        <v>#REF!</v>
      </c>
      <c r="E8" s="3" t="e">
        <f>'All Solo Adjustments'!#REF!</f>
        <v>#REF!</v>
      </c>
      <c r="F8" s="3" t="e">
        <f>'All Solo Adjustments'!#REF!</f>
        <v>#REF!</v>
      </c>
      <c r="G8" s="3" t="e">
        <f>'All Solo Adjustments'!#REF!</f>
        <v>#REF!</v>
      </c>
      <c r="H8" s="47" t="e">
        <f>'All Solo Adjustments'!#REF!</f>
        <v>#REF!</v>
      </c>
      <c r="I8" s="47" t="e">
        <f>'All Solo Adjustments'!#REF!</f>
        <v>#REF!</v>
      </c>
      <c r="K8" s="4">
        <f>'All Solo Adjustments'!A67</f>
        <v>74</v>
      </c>
      <c r="L8" s="3" t="e">
        <f>'All Solo Adjustments'!#REF!</f>
        <v>#REF!</v>
      </c>
      <c r="M8" s="3" t="e">
        <f>'All Solo Adjustments'!#REF!</f>
        <v>#REF!</v>
      </c>
      <c r="N8" s="3" t="e">
        <f>'All Solo Adjustments'!#REF!</f>
        <v>#REF!</v>
      </c>
      <c r="O8" s="3" t="e">
        <f>'All Solo Adjustments'!#REF!</f>
        <v>#REF!</v>
      </c>
      <c r="P8" s="3" t="e">
        <f>'All Solo Adjustments'!#REF!</f>
        <v>#REF!</v>
      </c>
      <c r="Q8" s="3" t="e">
        <f>'All Solo Adjustments'!#REF!</f>
        <v>#REF!</v>
      </c>
      <c r="R8" s="47" t="e">
        <f>'All Solo Adjustments'!#REF!</f>
        <v>#REF!</v>
      </c>
      <c r="S8" s="47" t="e">
        <f>'All Solo Adjustments'!#REF!</f>
        <v>#REF!</v>
      </c>
    </row>
    <row r="9" spans="1:19" x14ac:dyDescent="0.25">
      <c r="A9" s="4">
        <f>'All Solo Adjustments'!A40</f>
        <v>47</v>
      </c>
      <c r="B9" s="3" t="e">
        <f>'All Solo Adjustments'!#REF!</f>
        <v>#REF!</v>
      </c>
      <c r="C9" s="3" t="e">
        <f>'All Solo Adjustments'!#REF!</f>
        <v>#REF!</v>
      </c>
      <c r="D9" s="3" t="e">
        <f>'All Solo Adjustments'!#REF!</f>
        <v>#REF!</v>
      </c>
      <c r="E9" s="3" t="e">
        <f>'All Solo Adjustments'!#REF!</f>
        <v>#REF!</v>
      </c>
      <c r="F9" s="3" t="e">
        <f>'All Solo Adjustments'!#REF!</f>
        <v>#REF!</v>
      </c>
      <c r="G9" s="3" t="e">
        <f>'All Solo Adjustments'!#REF!</f>
        <v>#REF!</v>
      </c>
      <c r="H9" s="47" t="e">
        <f>'All Solo Adjustments'!#REF!</f>
        <v>#REF!</v>
      </c>
      <c r="I9" s="47" t="e">
        <f>'All Solo Adjustments'!#REF!</f>
        <v>#REF!</v>
      </c>
      <c r="K9" s="4">
        <f>'All Solo Adjustments'!A68</f>
        <v>75</v>
      </c>
      <c r="L9" s="3" t="e">
        <f>'All Solo Adjustments'!#REF!</f>
        <v>#REF!</v>
      </c>
      <c r="M9" s="3" t="e">
        <f>'All Solo Adjustments'!#REF!</f>
        <v>#REF!</v>
      </c>
      <c r="N9" s="3" t="e">
        <f>'All Solo Adjustments'!#REF!</f>
        <v>#REF!</v>
      </c>
      <c r="O9" s="3" t="e">
        <f>'All Solo Adjustments'!#REF!</f>
        <v>#REF!</v>
      </c>
      <c r="P9" s="3" t="e">
        <f>'All Solo Adjustments'!#REF!</f>
        <v>#REF!</v>
      </c>
      <c r="Q9" s="3" t="e">
        <f>'All Solo Adjustments'!#REF!</f>
        <v>#REF!</v>
      </c>
      <c r="R9" s="47" t="e">
        <f>'All Solo Adjustments'!#REF!</f>
        <v>#REF!</v>
      </c>
      <c r="S9" s="47" t="e">
        <f>'All Solo Adjustments'!#REF!</f>
        <v>#REF!</v>
      </c>
    </row>
    <row r="10" spans="1:19" x14ac:dyDescent="0.25">
      <c r="A10" s="4">
        <f>'All Solo Adjustments'!A41</f>
        <v>48</v>
      </c>
      <c r="B10" s="3" t="e">
        <f>'All Solo Adjustments'!#REF!</f>
        <v>#REF!</v>
      </c>
      <c r="C10" s="3" t="e">
        <f>'All Solo Adjustments'!#REF!</f>
        <v>#REF!</v>
      </c>
      <c r="D10" s="3" t="e">
        <f>'All Solo Adjustments'!#REF!</f>
        <v>#REF!</v>
      </c>
      <c r="E10" s="3" t="e">
        <f>'All Solo Adjustments'!#REF!</f>
        <v>#REF!</v>
      </c>
      <c r="F10" s="3" t="e">
        <f>'All Solo Adjustments'!#REF!</f>
        <v>#REF!</v>
      </c>
      <c r="G10" s="3" t="e">
        <f>'All Solo Adjustments'!#REF!</f>
        <v>#REF!</v>
      </c>
      <c r="H10" s="47" t="e">
        <f>'All Solo Adjustments'!#REF!</f>
        <v>#REF!</v>
      </c>
      <c r="I10" s="47" t="e">
        <f>'All Solo Adjustments'!#REF!</f>
        <v>#REF!</v>
      </c>
      <c r="K10" s="4">
        <f>'All Solo Adjustments'!A69</f>
        <v>76</v>
      </c>
      <c r="L10" s="3" t="e">
        <f>'All Solo Adjustments'!#REF!</f>
        <v>#REF!</v>
      </c>
      <c r="M10" s="3" t="e">
        <f>'All Solo Adjustments'!#REF!</f>
        <v>#REF!</v>
      </c>
      <c r="N10" s="3" t="e">
        <f>'All Solo Adjustments'!#REF!</f>
        <v>#REF!</v>
      </c>
      <c r="O10" s="3" t="e">
        <f>'All Solo Adjustments'!#REF!</f>
        <v>#REF!</v>
      </c>
      <c r="P10" s="3" t="e">
        <f>'All Solo Adjustments'!#REF!</f>
        <v>#REF!</v>
      </c>
      <c r="Q10" s="3" t="e">
        <f>'All Solo Adjustments'!#REF!</f>
        <v>#REF!</v>
      </c>
      <c r="R10" s="47" t="e">
        <f>'All Solo Adjustments'!#REF!</f>
        <v>#REF!</v>
      </c>
      <c r="S10" s="47" t="e">
        <f>'All Solo Adjustments'!#REF!</f>
        <v>#REF!</v>
      </c>
    </row>
    <row r="11" spans="1:19" x14ac:dyDescent="0.25">
      <c r="A11" s="4">
        <f>'All Solo Adjustments'!A42</f>
        <v>49</v>
      </c>
      <c r="B11" s="45" t="e">
        <f>'All Solo Adjustments'!#REF!</f>
        <v>#REF!</v>
      </c>
      <c r="C11" s="45" t="e">
        <f>'All Solo Adjustments'!#REF!</f>
        <v>#REF!</v>
      </c>
      <c r="D11" s="45" t="e">
        <f>'All Solo Adjustments'!#REF!</f>
        <v>#REF!</v>
      </c>
      <c r="E11" s="45" t="e">
        <f>'All Solo Adjustments'!#REF!</f>
        <v>#REF!</v>
      </c>
      <c r="F11" s="45" t="e">
        <f>'All Solo Adjustments'!#REF!</f>
        <v>#REF!</v>
      </c>
      <c r="G11" s="45" t="e">
        <f>'All Solo Adjustments'!#REF!</f>
        <v>#REF!</v>
      </c>
      <c r="H11" s="49" t="e">
        <f>'All Solo Adjustments'!#REF!</f>
        <v>#REF!</v>
      </c>
      <c r="I11" s="49" t="e">
        <f>'All Solo Adjustments'!#REF!</f>
        <v>#REF!</v>
      </c>
      <c r="K11" s="4">
        <f>'All Solo Adjustments'!A70</f>
        <v>77</v>
      </c>
      <c r="L11" s="3" t="e">
        <f>'All Solo Adjustments'!#REF!</f>
        <v>#REF!</v>
      </c>
      <c r="M11" s="3" t="e">
        <f>'All Solo Adjustments'!#REF!</f>
        <v>#REF!</v>
      </c>
      <c r="N11" s="3" t="e">
        <f>'All Solo Adjustments'!#REF!</f>
        <v>#REF!</v>
      </c>
      <c r="O11" s="3" t="e">
        <f>'All Solo Adjustments'!#REF!</f>
        <v>#REF!</v>
      </c>
      <c r="P11" s="3" t="e">
        <f>'All Solo Adjustments'!#REF!</f>
        <v>#REF!</v>
      </c>
      <c r="Q11" s="3" t="e">
        <f>'All Solo Adjustments'!#REF!</f>
        <v>#REF!</v>
      </c>
      <c r="R11" s="47" t="e">
        <f>'All Solo Adjustments'!#REF!</f>
        <v>#REF!</v>
      </c>
      <c r="S11" s="47" t="e">
        <f>'All Solo Adjustments'!#REF!</f>
        <v>#REF!</v>
      </c>
    </row>
    <row r="12" spans="1:19" x14ac:dyDescent="0.25">
      <c r="A12" s="4">
        <f>'All Solo Adjustments'!A43</f>
        <v>50</v>
      </c>
      <c r="B12" s="3" t="e">
        <f>'All Solo Adjustments'!#REF!</f>
        <v>#REF!</v>
      </c>
      <c r="C12" s="3" t="e">
        <f>'All Solo Adjustments'!#REF!</f>
        <v>#REF!</v>
      </c>
      <c r="D12" s="3" t="e">
        <f>'All Solo Adjustments'!#REF!</f>
        <v>#REF!</v>
      </c>
      <c r="E12" s="3" t="e">
        <f>'All Solo Adjustments'!#REF!</f>
        <v>#REF!</v>
      </c>
      <c r="F12" s="3" t="e">
        <f>'All Solo Adjustments'!#REF!</f>
        <v>#REF!</v>
      </c>
      <c r="G12" s="3" t="e">
        <f>'All Solo Adjustments'!#REF!</f>
        <v>#REF!</v>
      </c>
      <c r="H12" s="47" t="e">
        <f>'All Solo Adjustments'!#REF!</f>
        <v>#REF!</v>
      </c>
      <c r="I12" s="47" t="e">
        <f>'All Solo Adjustments'!#REF!</f>
        <v>#REF!</v>
      </c>
      <c r="K12" s="4">
        <f>'All Solo Adjustments'!A71</f>
        <v>78</v>
      </c>
      <c r="L12" s="3" t="e">
        <f>'All Solo Adjustments'!#REF!</f>
        <v>#REF!</v>
      </c>
      <c r="M12" s="3" t="e">
        <f>'All Solo Adjustments'!#REF!</f>
        <v>#REF!</v>
      </c>
      <c r="N12" s="3" t="e">
        <f>'All Solo Adjustments'!#REF!</f>
        <v>#REF!</v>
      </c>
      <c r="O12" s="3" t="e">
        <f>'All Solo Adjustments'!#REF!</f>
        <v>#REF!</v>
      </c>
      <c r="P12" s="3" t="e">
        <f>'All Solo Adjustments'!#REF!</f>
        <v>#REF!</v>
      </c>
      <c r="Q12" s="3" t="e">
        <f>'All Solo Adjustments'!#REF!</f>
        <v>#REF!</v>
      </c>
      <c r="R12" s="47" t="e">
        <f>'All Solo Adjustments'!#REF!</f>
        <v>#REF!</v>
      </c>
      <c r="S12" s="47" t="e">
        <f>'All Solo Adjustments'!#REF!</f>
        <v>#REF!</v>
      </c>
    </row>
    <row r="13" spans="1:19" x14ac:dyDescent="0.25">
      <c r="A13" s="4">
        <f>'All Solo Adjustments'!A44</f>
        <v>51</v>
      </c>
      <c r="B13" s="3" t="e">
        <f>'All Solo Adjustments'!#REF!</f>
        <v>#REF!</v>
      </c>
      <c r="C13" s="3" t="e">
        <f>'All Solo Adjustments'!#REF!</f>
        <v>#REF!</v>
      </c>
      <c r="D13" s="3" t="e">
        <f>'All Solo Adjustments'!#REF!</f>
        <v>#REF!</v>
      </c>
      <c r="E13" s="3" t="e">
        <f>'All Solo Adjustments'!#REF!</f>
        <v>#REF!</v>
      </c>
      <c r="F13" s="3" t="e">
        <f>'All Solo Adjustments'!#REF!</f>
        <v>#REF!</v>
      </c>
      <c r="G13" s="3" t="e">
        <f>'All Solo Adjustments'!#REF!</f>
        <v>#REF!</v>
      </c>
      <c r="H13" s="47" t="e">
        <f>'All Solo Adjustments'!#REF!</f>
        <v>#REF!</v>
      </c>
      <c r="I13" s="47" t="e">
        <f>'All Solo Adjustments'!#REF!</f>
        <v>#REF!</v>
      </c>
      <c r="K13" s="4">
        <f>'All Solo Adjustments'!A72</f>
        <v>79</v>
      </c>
      <c r="L13" s="45" t="e">
        <f>'All Solo Adjustments'!#REF!</f>
        <v>#REF!</v>
      </c>
      <c r="M13" s="45" t="e">
        <f>'All Solo Adjustments'!#REF!</f>
        <v>#REF!</v>
      </c>
      <c r="N13" s="45" t="e">
        <f>'All Solo Adjustments'!#REF!</f>
        <v>#REF!</v>
      </c>
      <c r="O13" s="45" t="e">
        <f>'All Solo Adjustments'!#REF!</f>
        <v>#REF!</v>
      </c>
      <c r="P13" s="45" t="e">
        <f>'All Solo Adjustments'!#REF!</f>
        <v>#REF!</v>
      </c>
      <c r="Q13" s="45" t="e">
        <f>'All Solo Adjustments'!#REF!</f>
        <v>#REF!</v>
      </c>
      <c r="R13" s="49" t="e">
        <f>'All Solo Adjustments'!#REF!</f>
        <v>#REF!</v>
      </c>
      <c r="S13" s="49" t="e">
        <f>'All Solo Adjustments'!#REF!</f>
        <v>#REF!</v>
      </c>
    </row>
    <row r="14" spans="1:19" x14ac:dyDescent="0.25">
      <c r="A14" s="4">
        <f>'All Solo Adjustments'!A45</f>
        <v>52</v>
      </c>
      <c r="B14" s="3" t="e">
        <f>'All Solo Adjustments'!#REF!</f>
        <v>#REF!</v>
      </c>
      <c r="C14" s="3" t="e">
        <f>'All Solo Adjustments'!#REF!</f>
        <v>#REF!</v>
      </c>
      <c r="D14" s="3" t="e">
        <f>'All Solo Adjustments'!#REF!</f>
        <v>#REF!</v>
      </c>
      <c r="E14" s="3" t="e">
        <f>'All Solo Adjustments'!#REF!</f>
        <v>#REF!</v>
      </c>
      <c r="F14" s="3" t="e">
        <f>'All Solo Adjustments'!#REF!</f>
        <v>#REF!</v>
      </c>
      <c r="G14" s="3" t="e">
        <f>'All Solo Adjustments'!#REF!</f>
        <v>#REF!</v>
      </c>
      <c r="H14" s="47" t="e">
        <f>'All Solo Adjustments'!#REF!</f>
        <v>#REF!</v>
      </c>
      <c r="I14" s="47" t="e">
        <f>'All Solo Adjustments'!#REF!</f>
        <v>#REF!</v>
      </c>
      <c r="K14" s="4">
        <f>'All Solo Adjustments'!A73</f>
        <v>80</v>
      </c>
      <c r="L14" s="3" t="e">
        <f>'All Solo Adjustments'!#REF!</f>
        <v>#REF!</v>
      </c>
      <c r="M14" s="3" t="e">
        <f>'All Solo Adjustments'!#REF!</f>
        <v>#REF!</v>
      </c>
      <c r="N14" s="3" t="e">
        <f>'All Solo Adjustments'!#REF!</f>
        <v>#REF!</v>
      </c>
      <c r="O14" s="3" t="e">
        <f>'All Solo Adjustments'!#REF!</f>
        <v>#REF!</v>
      </c>
      <c r="P14" s="3" t="e">
        <f>'All Solo Adjustments'!#REF!</f>
        <v>#REF!</v>
      </c>
      <c r="Q14" s="3" t="e">
        <f>'All Solo Adjustments'!#REF!</f>
        <v>#REF!</v>
      </c>
      <c r="R14" s="47" t="e">
        <f>'All Solo Adjustments'!#REF!</f>
        <v>#REF!</v>
      </c>
      <c r="S14" s="47" t="e">
        <f>'All Solo Adjustments'!#REF!</f>
        <v>#REF!</v>
      </c>
    </row>
    <row r="15" spans="1:19" x14ac:dyDescent="0.25">
      <c r="A15" s="4">
        <f>'All Solo Adjustments'!A46</f>
        <v>53</v>
      </c>
      <c r="B15" s="3" t="e">
        <f>'All Solo Adjustments'!#REF!</f>
        <v>#REF!</v>
      </c>
      <c r="C15" s="3" t="e">
        <f>'All Solo Adjustments'!#REF!</f>
        <v>#REF!</v>
      </c>
      <c r="D15" s="3" t="e">
        <f>'All Solo Adjustments'!#REF!</f>
        <v>#REF!</v>
      </c>
      <c r="E15" s="3" t="e">
        <f>'All Solo Adjustments'!#REF!</f>
        <v>#REF!</v>
      </c>
      <c r="F15" s="3" t="e">
        <f>'All Solo Adjustments'!#REF!</f>
        <v>#REF!</v>
      </c>
      <c r="G15" s="3" t="e">
        <f>'All Solo Adjustments'!#REF!</f>
        <v>#REF!</v>
      </c>
      <c r="H15" s="47" t="e">
        <f>'All Solo Adjustments'!#REF!</f>
        <v>#REF!</v>
      </c>
      <c r="I15" s="47" t="e">
        <f>'All Solo Adjustments'!#REF!</f>
        <v>#REF!</v>
      </c>
      <c r="K15" s="4">
        <f>'All Solo Adjustments'!A74</f>
        <v>81</v>
      </c>
      <c r="L15" s="3" t="e">
        <f>'All Solo Adjustments'!#REF!</f>
        <v>#REF!</v>
      </c>
      <c r="M15" s="3" t="e">
        <f>'All Solo Adjustments'!#REF!</f>
        <v>#REF!</v>
      </c>
      <c r="N15" s="3" t="e">
        <f>'All Solo Adjustments'!#REF!</f>
        <v>#REF!</v>
      </c>
      <c r="O15" s="3" t="e">
        <f>'All Solo Adjustments'!#REF!</f>
        <v>#REF!</v>
      </c>
      <c r="P15" s="3" t="e">
        <f>'All Solo Adjustments'!#REF!</f>
        <v>#REF!</v>
      </c>
      <c r="Q15" s="3" t="e">
        <f>'All Solo Adjustments'!#REF!</f>
        <v>#REF!</v>
      </c>
      <c r="R15" s="47" t="e">
        <f>'All Solo Adjustments'!#REF!</f>
        <v>#REF!</v>
      </c>
      <c r="S15" s="47" t="e">
        <f>'All Solo Adjustments'!#REF!</f>
        <v>#REF!</v>
      </c>
    </row>
    <row r="16" spans="1:19" x14ac:dyDescent="0.25">
      <c r="A16" s="4">
        <f>'All Solo Adjustments'!A47</f>
        <v>54</v>
      </c>
      <c r="B16" s="3" t="e">
        <f>'All Solo Adjustments'!#REF!</f>
        <v>#REF!</v>
      </c>
      <c r="C16" s="3" t="e">
        <f>'All Solo Adjustments'!#REF!</f>
        <v>#REF!</v>
      </c>
      <c r="D16" s="3" t="e">
        <f>'All Solo Adjustments'!#REF!</f>
        <v>#REF!</v>
      </c>
      <c r="E16" s="3" t="e">
        <f>'All Solo Adjustments'!#REF!</f>
        <v>#REF!</v>
      </c>
      <c r="F16" s="3" t="e">
        <f>'All Solo Adjustments'!#REF!</f>
        <v>#REF!</v>
      </c>
      <c r="G16" s="3" t="e">
        <f>'All Solo Adjustments'!#REF!</f>
        <v>#REF!</v>
      </c>
      <c r="H16" s="47" t="e">
        <f>'All Solo Adjustments'!#REF!</f>
        <v>#REF!</v>
      </c>
      <c r="I16" s="47" t="e">
        <f>'All Solo Adjustments'!#REF!</f>
        <v>#REF!</v>
      </c>
      <c r="K16" s="4">
        <f>'All Solo Adjustments'!A75</f>
        <v>82</v>
      </c>
      <c r="L16" s="3" t="e">
        <f>'All Solo Adjustments'!#REF!</f>
        <v>#REF!</v>
      </c>
      <c r="M16" s="3" t="e">
        <f>'All Solo Adjustments'!#REF!</f>
        <v>#REF!</v>
      </c>
      <c r="N16" s="3" t="e">
        <f>'All Solo Adjustments'!#REF!</f>
        <v>#REF!</v>
      </c>
      <c r="O16" s="3" t="e">
        <f>'All Solo Adjustments'!#REF!</f>
        <v>#REF!</v>
      </c>
      <c r="P16" s="3" t="e">
        <f>'All Solo Adjustments'!#REF!</f>
        <v>#REF!</v>
      </c>
      <c r="Q16" s="3" t="e">
        <f>'All Solo Adjustments'!#REF!</f>
        <v>#REF!</v>
      </c>
      <c r="R16" s="47" t="e">
        <f>'All Solo Adjustments'!#REF!</f>
        <v>#REF!</v>
      </c>
      <c r="S16" s="47" t="e">
        <f>'All Solo Adjustments'!#REF!</f>
        <v>#REF!</v>
      </c>
    </row>
    <row r="17" spans="1:20" x14ac:dyDescent="0.25">
      <c r="A17" s="4">
        <f>'All Solo Adjustments'!A48</f>
        <v>55</v>
      </c>
      <c r="B17" s="3" t="e">
        <f>'All Solo Adjustments'!#REF!</f>
        <v>#REF!</v>
      </c>
      <c r="C17" s="3" t="e">
        <f>'All Solo Adjustments'!#REF!</f>
        <v>#REF!</v>
      </c>
      <c r="D17" s="3" t="e">
        <f>'All Solo Adjustments'!#REF!</f>
        <v>#REF!</v>
      </c>
      <c r="E17" s="3" t="e">
        <f>'All Solo Adjustments'!#REF!</f>
        <v>#REF!</v>
      </c>
      <c r="F17" s="3" t="e">
        <f>'All Solo Adjustments'!#REF!</f>
        <v>#REF!</v>
      </c>
      <c r="G17" s="3" t="e">
        <f>'All Solo Adjustments'!#REF!</f>
        <v>#REF!</v>
      </c>
      <c r="H17" s="47" t="e">
        <f>'All Solo Adjustments'!#REF!</f>
        <v>#REF!</v>
      </c>
      <c r="I17" s="47" t="e">
        <f>'All Solo Adjustments'!#REF!</f>
        <v>#REF!</v>
      </c>
      <c r="K17" s="4">
        <f>'All Solo Adjustments'!A76</f>
        <v>83</v>
      </c>
      <c r="L17" s="3" t="e">
        <f>'All Solo Adjustments'!#REF!</f>
        <v>#REF!</v>
      </c>
      <c r="M17" s="3" t="e">
        <f>'All Solo Adjustments'!#REF!</f>
        <v>#REF!</v>
      </c>
      <c r="N17" s="3" t="e">
        <f>'All Solo Adjustments'!#REF!</f>
        <v>#REF!</v>
      </c>
      <c r="O17" s="3" t="e">
        <f>'All Solo Adjustments'!#REF!</f>
        <v>#REF!</v>
      </c>
      <c r="P17" s="3" t="e">
        <f>'All Solo Adjustments'!#REF!</f>
        <v>#REF!</v>
      </c>
      <c r="Q17" s="3" t="e">
        <f>'All Solo Adjustments'!#REF!</f>
        <v>#REF!</v>
      </c>
      <c r="R17" s="47" t="e">
        <f>'All Solo Adjustments'!#REF!</f>
        <v>#REF!</v>
      </c>
      <c r="S17" s="47" t="e">
        <f>'All Solo Adjustments'!#REF!</f>
        <v>#REF!</v>
      </c>
    </row>
    <row r="18" spans="1:20" x14ac:dyDescent="0.25">
      <c r="A18" s="4">
        <f>'All Solo Adjustments'!A49</f>
        <v>56</v>
      </c>
      <c r="B18" s="3" t="e">
        <f>'All Solo Adjustments'!#REF!</f>
        <v>#REF!</v>
      </c>
      <c r="C18" s="3" t="e">
        <f>'All Solo Adjustments'!#REF!</f>
        <v>#REF!</v>
      </c>
      <c r="D18" s="3" t="e">
        <f>'All Solo Adjustments'!#REF!</f>
        <v>#REF!</v>
      </c>
      <c r="E18" s="3" t="e">
        <f>'All Solo Adjustments'!#REF!</f>
        <v>#REF!</v>
      </c>
      <c r="F18" s="3" t="e">
        <f>'All Solo Adjustments'!#REF!</f>
        <v>#REF!</v>
      </c>
      <c r="G18" s="3" t="e">
        <f>'All Solo Adjustments'!#REF!</f>
        <v>#REF!</v>
      </c>
      <c r="H18" s="47" t="e">
        <f>'All Solo Adjustments'!#REF!</f>
        <v>#REF!</v>
      </c>
      <c r="I18" s="47" t="e">
        <f>'All Solo Adjustments'!#REF!</f>
        <v>#REF!</v>
      </c>
      <c r="K18" s="4">
        <f>'All Solo Adjustments'!A77</f>
        <v>84</v>
      </c>
      <c r="L18" s="3" t="e">
        <f>'All Solo Adjustments'!#REF!</f>
        <v>#REF!</v>
      </c>
      <c r="M18" s="3" t="e">
        <f>'All Solo Adjustments'!#REF!</f>
        <v>#REF!</v>
      </c>
      <c r="N18" s="3" t="e">
        <f>'All Solo Adjustments'!#REF!</f>
        <v>#REF!</v>
      </c>
      <c r="O18" s="3" t="e">
        <f>'All Solo Adjustments'!#REF!</f>
        <v>#REF!</v>
      </c>
      <c r="P18" s="3" t="e">
        <f>'All Solo Adjustments'!#REF!</f>
        <v>#REF!</v>
      </c>
      <c r="Q18" s="3" t="e">
        <f>'All Solo Adjustments'!#REF!</f>
        <v>#REF!</v>
      </c>
      <c r="R18" s="47" t="e">
        <f>'All Solo Adjustments'!#REF!</f>
        <v>#REF!</v>
      </c>
      <c r="S18" s="47" t="e">
        <f>'All Solo Adjustments'!#REF!</f>
        <v>#REF!</v>
      </c>
    </row>
    <row r="19" spans="1:20" x14ac:dyDescent="0.25">
      <c r="A19" s="4">
        <f>'All Solo Adjustments'!A50</f>
        <v>57</v>
      </c>
      <c r="B19" s="3" t="e">
        <f>'All Solo Adjustments'!#REF!</f>
        <v>#REF!</v>
      </c>
      <c r="C19" s="3" t="e">
        <f>'All Solo Adjustments'!#REF!</f>
        <v>#REF!</v>
      </c>
      <c r="D19" s="3" t="e">
        <f>'All Solo Adjustments'!#REF!</f>
        <v>#REF!</v>
      </c>
      <c r="E19" s="3" t="e">
        <f>'All Solo Adjustments'!#REF!</f>
        <v>#REF!</v>
      </c>
      <c r="F19" s="3" t="e">
        <f>'All Solo Adjustments'!#REF!</f>
        <v>#REF!</v>
      </c>
      <c r="G19" s="3" t="e">
        <f>'All Solo Adjustments'!#REF!</f>
        <v>#REF!</v>
      </c>
      <c r="H19" s="47" t="e">
        <f>'All Solo Adjustments'!#REF!</f>
        <v>#REF!</v>
      </c>
      <c r="I19" s="47" t="e">
        <f>'All Solo Adjustments'!#REF!</f>
        <v>#REF!</v>
      </c>
      <c r="K19" s="4">
        <f>'All Solo Adjustments'!A78</f>
        <v>85</v>
      </c>
      <c r="L19" s="3" t="e">
        <f>'All Solo Adjustments'!#REF!</f>
        <v>#REF!</v>
      </c>
      <c r="M19" s="3" t="e">
        <f>'All Solo Adjustments'!#REF!</f>
        <v>#REF!</v>
      </c>
      <c r="N19" s="3" t="e">
        <f>'All Solo Adjustments'!#REF!</f>
        <v>#REF!</v>
      </c>
      <c r="O19" s="3" t="e">
        <f>'All Solo Adjustments'!#REF!</f>
        <v>#REF!</v>
      </c>
      <c r="P19" s="3" t="e">
        <f>'All Solo Adjustments'!#REF!</f>
        <v>#REF!</v>
      </c>
      <c r="Q19" s="3" t="e">
        <f>'All Solo Adjustments'!#REF!</f>
        <v>#REF!</v>
      </c>
      <c r="R19" s="47" t="e">
        <f>'All Solo Adjustments'!#REF!</f>
        <v>#REF!</v>
      </c>
      <c r="S19" s="47" t="e">
        <f>'All Solo Adjustments'!#REF!</f>
        <v>#REF!</v>
      </c>
    </row>
    <row r="20" spans="1:20" x14ac:dyDescent="0.25">
      <c r="A20" s="4">
        <f>'All Solo Adjustments'!A51</f>
        <v>58</v>
      </c>
      <c r="B20" s="3" t="e">
        <f>'All Solo Adjustments'!#REF!</f>
        <v>#REF!</v>
      </c>
      <c r="C20" s="3" t="e">
        <f>'All Solo Adjustments'!#REF!</f>
        <v>#REF!</v>
      </c>
      <c r="D20" s="3" t="e">
        <f>'All Solo Adjustments'!#REF!</f>
        <v>#REF!</v>
      </c>
      <c r="E20" s="3" t="e">
        <f>'All Solo Adjustments'!#REF!</f>
        <v>#REF!</v>
      </c>
      <c r="F20" s="3" t="e">
        <f>'All Solo Adjustments'!#REF!</f>
        <v>#REF!</v>
      </c>
      <c r="G20" s="3" t="e">
        <f>'All Solo Adjustments'!#REF!</f>
        <v>#REF!</v>
      </c>
      <c r="H20" s="47" t="e">
        <f>'All Solo Adjustments'!#REF!</f>
        <v>#REF!</v>
      </c>
      <c r="I20" s="47" t="e">
        <f>'All Solo Adjustments'!#REF!</f>
        <v>#REF!</v>
      </c>
      <c r="K20" s="4">
        <f>'All Solo Adjustments'!A79</f>
        <v>86</v>
      </c>
      <c r="L20" s="3" t="e">
        <f>'All Solo Adjustments'!#REF!</f>
        <v>#REF!</v>
      </c>
      <c r="M20" s="3" t="e">
        <f>'All Solo Adjustments'!#REF!</f>
        <v>#REF!</v>
      </c>
      <c r="N20" s="3" t="e">
        <f>'All Solo Adjustments'!#REF!</f>
        <v>#REF!</v>
      </c>
      <c r="O20" s="3" t="e">
        <f>'All Solo Adjustments'!#REF!</f>
        <v>#REF!</v>
      </c>
      <c r="P20" s="3" t="e">
        <f>'All Solo Adjustments'!#REF!</f>
        <v>#REF!</v>
      </c>
      <c r="Q20" s="3" t="e">
        <f>'All Solo Adjustments'!#REF!</f>
        <v>#REF!</v>
      </c>
      <c r="R20" s="47" t="e">
        <f>'All Solo Adjustments'!#REF!</f>
        <v>#REF!</v>
      </c>
      <c r="S20" s="47" t="e">
        <f>'All Solo Adjustments'!#REF!</f>
        <v>#REF!</v>
      </c>
    </row>
    <row r="21" spans="1:20" x14ac:dyDescent="0.25">
      <c r="A21" s="4">
        <f>'All Solo Adjustments'!A52</f>
        <v>59</v>
      </c>
      <c r="B21" s="45" t="e">
        <f>'All Solo Adjustments'!#REF!</f>
        <v>#REF!</v>
      </c>
      <c r="C21" s="45" t="e">
        <f>'All Solo Adjustments'!#REF!</f>
        <v>#REF!</v>
      </c>
      <c r="D21" s="45" t="e">
        <f>'All Solo Adjustments'!#REF!</f>
        <v>#REF!</v>
      </c>
      <c r="E21" s="45" t="e">
        <f>'All Solo Adjustments'!#REF!</f>
        <v>#REF!</v>
      </c>
      <c r="F21" s="45" t="e">
        <f>'All Solo Adjustments'!#REF!</f>
        <v>#REF!</v>
      </c>
      <c r="G21" s="45" t="e">
        <f>'All Solo Adjustments'!#REF!</f>
        <v>#REF!</v>
      </c>
      <c r="H21" s="49" t="e">
        <f>'All Solo Adjustments'!#REF!</f>
        <v>#REF!</v>
      </c>
      <c r="I21" s="49" t="e">
        <f>'All Solo Adjustments'!#REF!</f>
        <v>#REF!</v>
      </c>
      <c r="K21" s="4">
        <f>'All Solo Adjustments'!A80</f>
        <v>87</v>
      </c>
      <c r="L21" s="3" t="e">
        <f>'All Solo Adjustments'!#REF!</f>
        <v>#REF!</v>
      </c>
      <c r="M21" s="3" t="e">
        <f>'All Solo Adjustments'!#REF!</f>
        <v>#REF!</v>
      </c>
      <c r="N21" s="3" t="e">
        <f>'All Solo Adjustments'!#REF!</f>
        <v>#REF!</v>
      </c>
      <c r="O21" s="3" t="e">
        <f>'All Solo Adjustments'!#REF!</f>
        <v>#REF!</v>
      </c>
      <c r="P21" s="3" t="e">
        <f>'All Solo Adjustments'!#REF!</f>
        <v>#REF!</v>
      </c>
      <c r="Q21" s="3" t="e">
        <f>'All Solo Adjustments'!#REF!</f>
        <v>#REF!</v>
      </c>
      <c r="R21" s="47" t="e">
        <f>'All Solo Adjustments'!#REF!</f>
        <v>#REF!</v>
      </c>
      <c r="S21" s="47" t="e">
        <f>'All Solo Adjustments'!#REF!</f>
        <v>#REF!</v>
      </c>
    </row>
    <row r="22" spans="1:20" x14ac:dyDescent="0.25">
      <c r="A22" s="4">
        <f>'All Solo Adjustments'!A53</f>
        <v>60</v>
      </c>
      <c r="B22" s="3" t="e">
        <f>'All Solo Adjustments'!#REF!</f>
        <v>#REF!</v>
      </c>
      <c r="C22" s="3" t="e">
        <f>'All Solo Adjustments'!#REF!</f>
        <v>#REF!</v>
      </c>
      <c r="D22" s="3" t="e">
        <f>'All Solo Adjustments'!#REF!</f>
        <v>#REF!</v>
      </c>
      <c r="E22" s="3" t="e">
        <f>'All Solo Adjustments'!#REF!</f>
        <v>#REF!</v>
      </c>
      <c r="F22" s="3" t="e">
        <f>'All Solo Adjustments'!#REF!</f>
        <v>#REF!</v>
      </c>
      <c r="G22" s="3" t="e">
        <f>'All Solo Adjustments'!#REF!</f>
        <v>#REF!</v>
      </c>
      <c r="H22" s="47" t="e">
        <f>'All Solo Adjustments'!#REF!</f>
        <v>#REF!</v>
      </c>
      <c r="I22" s="47" t="e">
        <f>'All Solo Adjustments'!#REF!</f>
        <v>#REF!</v>
      </c>
      <c r="K22" s="4">
        <f>'All Solo Adjustments'!A81</f>
        <v>88</v>
      </c>
      <c r="L22" s="3" t="e">
        <f>'All Solo Adjustments'!#REF!</f>
        <v>#REF!</v>
      </c>
      <c r="M22" s="3" t="e">
        <f>'All Solo Adjustments'!#REF!</f>
        <v>#REF!</v>
      </c>
      <c r="N22" s="3" t="e">
        <f>'All Solo Adjustments'!#REF!</f>
        <v>#REF!</v>
      </c>
      <c r="O22" s="3" t="e">
        <f>'All Solo Adjustments'!#REF!</f>
        <v>#REF!</v>
      </c>
      <c r="P22" s="3" t="e">
        <f>'All Solo Adjustments'!#REF!</f>
        <v>#REF!</v>
      </c>
      <c r="Q22" s="3" t="e">
        <f>'All Solo Adjustments'!#REF!</f>
        <v>#REF!</v>
      </c>
      <c r="R22" s="47" t="e">
        <f>'All Solo Adjustments'!#REF!</f>
        <v>#REF!</v>
      </c>
      <c r="S22" s="47" t="e">
        <f>'All Solo Adjustments'!#REF!</f>
        <v>#REF!</v>
      </c>
    </row>
    <row r="23" spans="1:20" x14ac:dyDescent="0.25">
      <c r="A23" s="4">
        <f>'All Solo Adjustments'!A54</f>
        <v>61</v>
      </c>
      <c r="B23" s="3" t="e">
        <f>'All Solo Adjustments'!#REF!</f>
        <v>#REF!</v>
      </c>
      <c r="C23" s="3" t="e">
        <f>'All Solo Adjustments'!#REF!</f>
        <v>#REF!</v>
      </c>
      <c r="D23" s="3" t="e">
        <f>'All Solo Adjustments'!#REF!</f>
        <v>#REF!</v>
      </c>
      <c r="E23" s="3" t="e">
        <f>'All Solo Adjustments'!#REF!</f>
        <v>#REF!</v>
      </c>
      <c r="F23" s="3" t="e">
        <f>'All Solo Adjustments'!#REF!</f>
        <v>#REF!</v>
      </c>
      <c r="G23" s="3" t="e">
        <f>'All Solo Adjustments'!#REF!</f>
        <v>#REF!</v>
      </c>
      <c r="H23" s="47" t="e">
        <f>'All Solo Adjustments'!#REF!</f>
        <v>#REF!</v>
      </c>
      <c r="I23" s="47" t="e">
        <f>'All Solo Adjustments'!#REF!</f>
        <v>#REF!</v>
      </c>
      <c r="K23" s="4">
        <f>'All Solo Adjustments'!A82</f>
        <v>89</v>
      </c>
      <c r="L23" s="45" t="e">
        <f>'All Solo Adjustments'!#REF!</f>
        <v>#REF!</v>
      </c>
      <c r="M23" s="45" t="e">
        <f>'All Solo Adjustments'!#REF!</f>
        <v>#REF!</v>
      </c>
      <c r="N23" s="45" t="e">
        <f>'All Solo Adjustments'!#REF!</f>
        <v>#REF!</v>
      </c>
      <c r="O23" s="45" t="e">
        <f>'All Solo Adjustments'!#REF!</f>
        <v>#REF!</v>
      </c>
      <c r="P23" s="45" t="e">
        <f>'All Solo Adjustments'!#REF!</f>
        <v>#REF!</v>
      </c>
      <c r="Q23" s="45" t="e">
        <f>'All Solo Adjustments'!#REF!</f>
        <v>#REF!</v>
      </c>
      <c r="R23" s="49" t="e">
        <f>'All Solo Adjustments'!#REF!</f>
        <v>#REF!</v>
      </c>
      <c r="S23" s="49" t="e">
        <f>'All Solo Adjustments'!#REF!</f>
        <v>#REF!</v>
      </c>
    </row>
    <row r="24" spans="1:20" x14ac:dyDescent="0.25">
      <c r="A24" s="4">
        <f>'All Solo Adjustments'!A55</f>
        <v>62</v>
      </c>
      <c r="B24" s="3" t="e">
        <f>'All Solo Adjustments'!#REF!</f>
        <v>#REF!</v>
      </c>
      <c r="C24" s="3" t="e">
        <f>'All Solo Adjustments'!#REF!</f>
        <v>#REF!</v>
      </c>
      <c r="D24" s="3" t="e">
        <f>'All Solo Adjustments'!#REF!</f>
        <v>#REF!</v>
      </c>
      <c r="E24" s="3" t="e">
        <f>'All Solo Adjustments'!#REF!</f>
        <v>#REF!</v>
      </c>
      <c r="F24" s="3" t="e">
        <f>'All Solo Adjustments'!#REF!</f>
        <v>#REF!</v>
      </c>
      <c r="G24" s="3" t="e">
        <f>'All Solo Adjustments'!#REF!</f>
        <v>#REF!</v>
      </c>
      <c r="H24" s="47" t="e">
        <f>'All Solo Adjustments'!#REF!</f>
        <v>#REF!</v>
      </c>
      <c r="I24" s="47" t="e">
        <f>'All Solo Adjustments'!#REF!</f>
        <v>#REF!</v>
      </c>
      <c r="K24" s="4">
        <f>'All Solo Adjustments'!A83</f>
        <v>90</v>
      </c>
      <c r="L24" s="3" t="e">
        <f>'All Solo Adjustments'!#REF!</f>
        <v>#REF!</v>
      </c>
      <c r="M24" s="3" t="e">
        <f>'All Solo Adjustments'!#REF!</f>
        <v>#REF!</v>
      </c>
      <c r="N24" s="3" t="e">
        <f>'All Solo Adjustments'!#REF!</f>
        <v>#REF!</v>
      </c>
      <c r="O24" s="3" t="e">
        <f>'All Solo Adjustments'!#REF!</f>
        <v>#REF!</v>
      </c>
      <c r="P24" s="3" t="e">
        <f>'All Solo Adjustments'!#REF!</f>
        <v>#REF!</v>
      </c>
      <c r="Q24" s="3" t="e">
        <f>'All Solo Adjustments'!#REF!</f>
        <v>#REF!</v>
      </c>
      <c r="R24" s="47" t="e">
        <f>'All Solo Adjustments'!#REF!</f>
        <v>#REF!</v>
      </c>
      <c r="S24" s="47" t="e">
        <f>'All Solo Adjustments'!#REF!</f>
        <v>#REF!</v>
      </c>
    </row>
    <row r="25" spans="1:20" x14ac:dyDescent="0.25">
      <c r="A25" s="4">
        <f>'All Solo Adjustments'!A56</f>
        <v>63</v>
      </c>
      <c r="B25" s="3" t="e">
        <f>'All Solo Adjustments'!#REF!</f>
        <v>#REF!</v>
      </c>
      <c r="C25" s="3" t="e">
        <f>'All Solo Adjustments'!#REF!</f>
        <v>#REF!</v>
      </c>
      <c r="D25" s="3" t="e">
        <f>'All Solo Adjustments'!#REF!</f>
        <v>#REF!</v>
      </c>
      <c r="E25" s="3" t="e">
        <f>'All Solo Adjustments'!#REF!</f>
        <v>#REF!</v>
      </c>
      <c r="F25" s="3" t="e">
        <f>'All Solo Adjustments'!#REF!</f>
        <v>#REF!</v>
      </c>
      <c r="G25" s="3" t="e">
        <f>'All Solo Adjustments'!#REF!</f>
        <v>#REF!</v>
      </c>
      <c r="H25" s="47" t="e">
        <f>'All Solo Adjustments'!#REF!</f>
        <v>#REF!</v>
      </c>
      <c r="I25" s="47" t="e">
        <f>'All Solo Adjustments'!#REF!</f>
        <v>#REF!</v>
      </c>
      <c r="K25" s="4">
        <f>'All Solo Adjustments'!A84</f>
        <v>91</v>
      </c>
      <c r="L25" s="3" t="e">
        <f>'All Solo Adjustments'!#REF!</f>
        <v>#REF!</v>
      </c>
      <c r="M25" s="3" t="e">
        <f>'All Solo Adjustments'!#REF!</f>
        <v>#REF!</v>
      </c>
      <c r="N25" s="3" t="e">
        <f>'All Solo Adjustments'!#REF!</f>
        <v>#REF!</v>
      </c>
      <c r="O25" s="3" t="e">
        <f>'All Solo Adjustments'!#REF!</f>
        <v>#REF!</v>
      </c>
      <c r="P25" s="3" t="e">
        <f>'All Solo Adjustments'!#REF!</f>
        <v>#REF!</v>
      </c>
      <c r="Q25" s="3" t="e">
        <f>'All Solo Adjustments'!#REF!</f>
        <v>#REF!</v>
      </c>
      <c r="R25" s="47" t="e">
        <f>'All Solo Adjustments'!#REF!</f>
        <v>#REF!</v>
      </c>
      <c r="S25" s="47" t="e">
        <f>'All Solo Adjustments'!#REF!</f>
        <v>#REF!</v>
      </c>
    </row>
    <row r="26" spans="1:20" x14ac:dyDescent="0.25">
      <c r="A26" s="4">
        <f>'All Solo Adjustments'!A57</f>
        <v>64</v>
      </c>
      <c r="B26" s="3" t="e">
        <f>'All Solo Adjustments'!#REF!</f>
        <v>#REF!</v>
      </c>
      <c r="C26" s="3" t="e">
        <f>'All Solo Adjustments'!#REF!</f>
        <v>#REF!</v>
      </c>
      <c r="D26" s="3" t="e">
        <f>'All Solo Adjustments'!#REF!</f>
        <v>#REF!</v>
      </c>
      <c r="E26" s="3" t="e">
        <f>'All Solo Adjustments'!#REF!</f>
        <v>#REF!</v>
      </c>
      <c r="F26" s="3" t="e">
        <f>'All Solo Adjustments'!#REF!</f>
        <v>#REF!</v>
      </c>
      <c r="G26" s="3" t="e">
        <f>'All Solo Adjustments'!#REF!</f>
        <v>#REF!</v>
      </c>
      <c r="H26" s="47" t="e">
        <f>'All Solo Adjustments'!#REF!</f>
        <v>#REF!</v>
      </c>
      <c r="I26" s="47" t="e">
        <f>'All Solo Adjustments'!#REF!</f>
        <v>#REF!</v>
      </c>
      <c r="K26" s="4">
        <f>'All Solo Adjustments'!A85</f>
        <v>92</v>
      </c>
      <c r="L26" s="3" t="e">
        <f>'All Solo Adjustments'!#REF!</f>
        <v>#REF!</v>
      </c>
      <c r="M26" s="3" t="e">
        <f>'All Solo Adjustments'!#REF!</f>
        <v>#REF!</v>
      </c>
      <c r="N26" s="3" t="e">
        <f>'All Solo Adjustments'!#REF!</f>
        <v>#REF!</v>
      </c>
      <c r="O26" s="3" t="e">
        <f>'All Solo Adjustments'!#REF!</f>
        <v>#REF!</v>
      </c>
      <c r="P26" s="3" t="e">
        <f>'All Solo Adjustments'!#REF!</f>
        <v>#REF!</v>
      </c>
      <c r="Q26" s="3" t="e">
        <f>'All Solo Adjustments'!#REF!</f>
        <v>#REF!</v>
      </c>
      <c r="R26" s="47" t="e">
        <f>'All Solo Adjustments'!#REF!</f>
        <v>#REF!</v>
      </c>
      <c r="S26" s="47" t="e">
        <f>'All Solo Adjustments'!#REF!</f>
        <v>#REF!</v>
      </c>
    </row>
    <row r="27" spans="1:20" x14ac:dyDescent="0.25">
      <c r="A27" s="4">
        <f>'All Solo Adjustments'!A58</f>
        <v>65</v>
      </c>
      <c r="B27" s="3" t="e">
        <f>'All Solo Adjustments'!#REF!</f>
        <v>#REF!</v>
      </c>
      <c r="C27" s="3" t="e">
        <f>'All Solo Adjustments'!#REF!</f>
        <v>#REF!</v>
      </c>
      <c r="D27" s="3" t="e">
        <f>'All Solo Adjustments'!#REF!</f>
        <v>#REF!</v>
      </c>
      <c r="E27" s="3" t="e">
        <f>'All Solo Adjustments'!#REF!</f>
        <v>#REF!</v>
      </c>
      <c r="F27" s="3" t="e">
        <f>'All Solo Adjustments'!#REF!</f>
        <v>#REF!</v>
      </c>
      <c r="G27" s="3" t="e">
        <f>'All Solo Adjustments'!#REF!</f>
        <v>#REF!</v>
      </c>
      <c r="H27" s="47" t="e">
        <f>'All Solo Adjustments'!#REF!</f>
        <v>#REF!</v>
      </c>
      <c r="I27" s="47" t="e">
        <f>'All Solo Adjustments'!#REF!</f>
        <v>#REF!</v>
      </c>
      <c r="K27" s="4">
        <f>'All Solo Adjustments'!A86</f>
        <v>93</v>
      </c>
      <c r="L27" s="3" t="e">
        <f>'All Solo Adjustments'!#REF!</f>
        <v>#REF!</v>
      </c>
      <c r="M27" s="3" t="e">
        <f>'All Solo Adjustments'!#REF!</f>
        <v>#REF!</v>
      </c>
      <c r="N27" s="3" t="e">
        <f>'All Solo Adjustments'!#REF!</f>
        <v>#REF!</v>
      </c>
      <c r="O27" s="3" t="e">
        <f>'All Solo Adjustments'!#REF!</f>
        <v>#REF!</v>
      </c>
      <c r="P27" s="3" t="e">
        <f>'All Solo Adjustments'!#REF!</f>
        <v>#REF!</v>
      </c>
      <c r="Q27" s="3" t="e">
        <f>'All Solo Adjustments'!#REF!</f>
        <v>#REF!</v>
      </c>
      <c r="R27" s="47" t="e">
        <f>'All Solo Adjustments'!#REF!</f>
        <v>#REF!</v>
      </c>
      <c r="S27" s="47" t="e">
        <f>'All Solo Adjustments'!#REF!</f>
        <v>#REF!</v>
      </c>
    </row>
    <row r="28" spans="1:20" x14ac:dyDescent="0.25">
      <c r="A28" s="4">
        <f>'All Solo Adjustments'!A59</f>
        <v>66</v>
      </c>
      <c r="B28" s="3" t="e">
        <f>'All Solo Adjustments'!#REF!</f>
        <v>#REF!</v>
      </c>
      <c r="C28" s="3" t="e">
        <f>'All Solo Adjustments'!#REF!</f>
        <v>#REF!</v>
      </c>
      <c r="D28" s="3" t="e">
        <f>'All Solo Adjustments'!#REF!</f>
        <v>#REF!</v>
      </c>
      <c r="E28" s="3" t="e">
        <f>'All Solo Adjustments'!#REF!</f>
        <v>#REF!</v>
      </c>
      <c r="F28" s="3" t="e">
        <f>'All Solo Adjustments'!#REF!</f>
        <v>#REF!</v>
      </c>
      <c r="G28" s="3" t="e">
        <f>'All Solo Adjustments'!#REF!</f>
        <v>#REF!</v>
      </c>
      <c r="H28" s="47" t="e">
        <f>'All Solo Adjustments'!#REF!</f>
        <v>#REF!</v>
      </c>
      <c r="I28" s="47" t="e">
        <f>'All Solo Adjustments'!#REF!</f>
        <v>#REF!</v>
      </c>
      <c r="K28" s="4">
        <f>'All Solo Adjustments'!A87</f>
        <v>94</v>
      </c>
      <c r="L28" s="3" t="e">
        <f>'All Solo Adjustments'!#REF!</f>
        <v>#REF!</v>
      </c>
      <c r="M28" s="3" t="e">
        <f>'All Solo Adjustments'!#REF!</f>
        <v>#REF!</v>
      </c>
      <c r="N28" s="3" t="e">
        <f>'All Solo Adjustments'!#REF!</f>
        <v>#REF!</v>
      </c>
      <c r="O28" s="3" t="e">
        <f>'All Solo Adjustments'!#REF!</f>
        <v>#REF!</v>
      </c>
      <c r="P28" s="3" t="e">
        <f>'All Solo Adjustments'!#REF!</f>
        <v>#REF!</v>
      </c>
      <c r="Q28" s="3" t="e">
        <f>'All Solo Adjustments'!#REF!</f>
        <v>#REF!</v>
      </c>
      <c r="R28" s="47" t="e">
        <f>'All Solo Adjustments'!#REF!</f>
        <v>#REF!</v>
      </c>
      <c r="S28" s="47" t="e">
        <f>'All Solo Adjustments'!#REF!</f>
        <v>#REF!</v>
      </c>
    </row>
    <row r="29" spans="1:20" x14ac:dyDescent="0.25">
      <c r="A29" s="4">
        <f>'All Solo Adjustments'!A60</f>
        <v>67</v>
      </c>
      <c r="B29" s="3" t="e">
        <f>'All Solo Adjustments'!#REF!</f>
        <v>#REF!</v>
      </c>
      <c r="C29" s="3" t="e">
        <f>'All Solo Adjustments'!#REF!</f>
        <v>#REF!</v>
      </c>
      <c r="D29" s="3" t="e">
        <f>'All Solo Adjustments'!#REF!</f>
        <v>#REF!</v>
      </c>
      <c r="E29" s="3" t="e">
        <f>'All Solo Adjustments'!#REF!</f>
        <v>#REF!</v>
      </c>
      <c r="F29" s="3" t="e">
        <f>'All Solo Adjustments'!#REF!</f>
        <v>#REF!</v>
      </c>
      <c r="G29" s="3" t="e">
        <f>'All Solo Adjustments'!#REF!</f>
        <v>#REF!</v>
      </c>
      <c r="H29" s="47" t="e">
        <f>'All Solo Adjustments'!#REF!</f>
        <v>#REF!</v>
      </c>
      <c r="I29" s="47" t="e">
        <f>'All Solo Adjustments'!#REF!</f>
        <v>#REF!</v>
      </c>
      <c r="K29" s="4">
        <f>'All Solo Adjustments'!A88</f>
        <v>95</v>
      </c>
      <c r="L29" s="3" t="e">
        <f>'All Solo Adjustments'!#REF!</f>
        <v>#REF!</v>
      </c>
      <c r="M29" s="3" t="e">
        <f>'All Solo Adjustments'!#REF!</f>
        <v>#REF!</v>
      </c>
      <c r="N29" s="3" t="e">
        <f>'All Solo Adjustments'!#REF!</f>
        <v>#REF!</v>
      </c>
      <c r="O29" s="3" t="e">
        <f>'All Solo Adjustments'!#REF!</f>
        <v>#REF!</v>
      </c>
      <c r="P29" s="3" t="e">
        <f>'All Solo Adjustments'!#REF!</f>
        <v>#REF!</v>
      </c>
      <c r="Q29" s="3" t="e">
        <f>'All Solo Adjustments'!#REF!</f>
        <v>#REF!</v>
      </c>
      <c r="R29" s="47" t="e">
        <f>'All Solo Adjustments'!#REF!</f>
        <v>#REF!</v>
      </c>
      <c r="S29" s="47" t="e">
        <f>'All Solo Adjustments'!#REF!</f>
        <v>#REF!</v>
      </c>
      <c r="T29" s="29">
        <f>Revision</f>
        <v>2024</v>
      </c>
    </row>
  </sheetData>
  <sheetProtection algorithmName="SHA-512" hashValue="r1V7Cp7V2WCT/SvA9zkG5L0e2czr8Q8gVn8nM3f2hWgOHqQxlu3dCwQwRXNsz4mAYStQr4PMSV3r8eYdqHOKTw==" saltValue="19RttsUckzJc0qa6jAjesQ=="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&amp;CFEMALE SOLO TRICYCLE AGE ADJUSTMENTS</oddHeader>
    <oddFooter>&amp;L&amp;F&amp;CPage &amp;P of &amp;N&amp;R&amp;D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712A6-AD45-46E2-8328-2A3F254DE1BA}">
  <sheetPr codeName="Sheet8">
    <pageSetUpPr fitToPage="1"/>
  </sheetPr>
  <dimension ref="A1:T29"/>
  <sheetViews>
    <sheetView zoomScale="75" zoomScaleNormal="75" workbookViewId="0"/>
  </sheetViews>
  <sheetFormatPr defaultRowHeight="15" x14ac:dyDescent="0.25"/>
  <cols>
    <col min="1" max="1" width="4.5703125" customWidth="1"/>
    <col min="2" max="9" width="8.5703125" customWidth="1"/>
    <col min="10" max="11" width="4.5703125" customWidth="1"/>
    <col min="12" max="19" width="8.5703125" customWidth="1"/>
  </cols>
  <sheetData>
    <row r="1" spans="1:19" s="11" customFormat="1" x14ac:dyDescent="0.25">
      <c r="A1" s="9" t="s">
        <v>1</v>
      </c>
      <c r="B1" s="10" t="s">
        <v>13</v>
      </c>
      <c r="C1" s="10" t="s">
        <v>14</v>
      </c>
      <c r="D1" s="10" t="s">
        <v>15</v>
      </c>
      <c r="E1" s="10" t="s">
        <v>16</v>
      </c>
      <c r="F1" s="10" t="s">
        <v>17</v>
      </c>
      <c r="G1" s="10" t="s">
        <v>18</v>
      </c>
      <c r="H1" s="60" t="s">
        <v>19</v>
      </c>
      <c r="I1" s="60" t="s">
        <v>20</v>
      </c>
      <c r="J1" s="12"/>
      <c r="K1" s="9" t="s">
        <v>1</v>
      </c>
      <c r="L1" s="10" t="s">
        <v>13</v>
      </c>
      <c r="M1" s="10" t="s">
        <v>14</v>
      </c>
      <c r="N1" s="10" t="s">
        <v>15</v>
      </c>
      <c r="O1" s="10" t="s">
        <v>16</v>
      </c>
      <c r="P1" s="10" t="s">
        <v>17</v>
      </c>
      <c r="Q1" s="10" t="s">
        <v>18</v>
      </c>
      <c r="R1" s="60" t="s">
        <v>19</v>
      </c>
      <c r="S1" s="60" t="s">
        <v>20</v>
      </c>
    </row>
    <row r="2" spans="1:19" x14ac:dyDescent="0.25">
      <c r="A2" s="4">
        <f>'All Tandem Adjustments'!A33</f>
        <v>40</v>
      </c>
      <c r="B2" s="3" t="str">
        <f>'All Tandem Adjustments'!B33</f>
        <v>0:00</v>
      </c>
      <c r="C2" s="3" t="str">
        <f>'All Tandem Adjustments'!C33</f>
        <v>0:00</v>
      </c>
      <c r="D2" s="3" t="str">
        <f>'All Tandem Adjustments'!D33</f>
        <v>0:00</v>
      </c>
      <c r="E2" s="3" t="str">
        <f>'All Tandem Adjustments'!E33</f>
        <v>0:00</v>
      </c>
      <c r="F2" s="3" t="str">
        <f>'All Tandem Adjustments'!F33</f>
        <v>0:00</v>
      </c>
      <c r="G2" s="3" t="str">
        <f>'All Tandem Adjustments'!G33</f>
        <v>0:00</v>
      </c>
      <c r="H2" s="47">
        <f>'All Tandem Adjustments'!H33</f>
        <v>0</v>
      </c>
      <c r="I2" s="47">
        <f>'All Tandem Adjustments'!I33</f>
        <v>0</v>
      </c>
      <c r="K2" s="4">
        <f>'All Tandem Adjustments'!A61</f>
        <v>68</v>
      </c>
      <c r="L2" s="3" t="str">
        <f>'All Tandem Adjustments'!B61</f>
        <v>1:30</v>
      </c>
      <c r="M2" s="3" t="str">
        <f>'All Tandem Adjustments'!C61</f>
        <v>2:16</v>
      </c>
      <c r="N2" s="3" t="str">
        <f>'All Tandem Adjustments'!D61</f>
        <v>3:53</v>
      </c>
      <c r="O2" s="3" t="str">
        <f>'All Tandem Adjustments'!E61</f>
        <v>4:43</v>
      </c>
      <c r="P2" s="3" t="str">
        <f>'All Tandem Adjustments'!F61</f>
        <v>8:15</v>
      </c>
      <c r="Q2" s="3" t="str">
        <f>'All Tandem Adjustments'!G61</f>
        <v>18:46</v>
      </c>
      <c r="R2" s="47">
        <f>'All Tandem Adjustments'!H61</f>
        <v>25.308402777777779</v>
      </c>
      <c r="S2" s="47">
        <f>'All Tandem Adjustments'!I61</f>
        <v>49.607997685185182</v>
      </c>
    </row>
    <row r="3" spans="1:19" x14ac:dyDescent="0.25">
      <c r="A3" s="4">
        <f>'All Tandem Adjustments'!A34</f>
        <v>41</v>
      </c>
      <c r="B3" s="3" t="str">
        <f>'All Tandem Adjustments'!B34</f>
        <v>0:01</v>
      </c>
      <c r="C3" s="3" t="str">
        <f>'All Tandem Adjustments'!C34</f>
        <v>0:01</v>
      </c>
      <c r="D3" s="3" t="str">
        <f>'All Tandem Adjustments'!D34</f>
        <v>0:03</v>
      </c>
      <c r="E3" s="3" t="str">
        <f>'All Tandem Adjustments'!E34</f>
        <v>0:04</v>
      </c>
      <c r="F3" s="3" t="str">
        <f>'All Tandem Adjustments'!F34</f>
        <v>0:06</v>
      </c>
      <c r="G3" s="3" t="str">
        <f>'All Tandem Adjustments'!G34</f>
        <v>0:14</v>
      </c>
      <c r="H3" s="47">
        <f>'All Tandem Adjustments'!H34</f>
        <v>0.36920138888888887</v>
      </c>
      <c r="I3" s="47">
        <f>'All Tandem Adjustments'!I34</f>
        <v>0.73319444444444448</v>
      </c>
      <c r="K3" s="4">
        <f>'All Tandem Adjustments'!A62</f>
        <v>69</v>
      </c>
      <c r="L3" s="45" t="str">
        <f>'All Tandem Adjustments'!B62</f>
        <v>1:36</v>
      </c>
      <c r="M3" s="45" t="str">
        <f>'All Tandem Adjustments'!C62</f>
        <v>2:25</v>
      </c>
      <c r="N3" s="45" t="str">
        <f>'All Tandem Adjustments'!D62</f>
        <v>4:08</v>
      </c>
      <c r="O3" s="45" t="str">
        <f>'All Tandem Adjustments'!E62</f>
        <v>5:01</v>
      </c>
      <c r="P3" s="45" t="str">
        <f>'All Tandem Adjustments'!F62</f>
        <v>8:47</v>
      </c>
      <c r="Q3" s="45" t="str">
        <f>'All Tandem Adjustments'!G62</f>
        <v>20:00</v>
      </c>
      <c r="R3" s="49">
        <f>'All Tandem Adjustments'!H62</f>
        <v>26.67079861111111</v>
      </c>
      <c r="S3" s="49">
        <f>'All Tandem Adjustments'!I62</f>
        <v>52.234004629629631</v>
      </c>
    </row>
    <row r="4" spans="1:19" x14ac:dyDescent="0.25">
      <c r="A4" s="4">
        <f>'All Tandem Adjustments'!A35</f>
        <v>42</v>
      </c>
      <c r="B4" s="3" t="str">
        <f>'All Tandem Adjustments'!B35</f>
        <v>0:02</v>
      </c>
      <c r="C4" s="3" t="str">
        <f>'All Tandem Adjustments'!C35</f>
        <v>0:03</v>
      </c>
      <c r="D4" s="3" t="str">
        <f>'All Tandem Adjustments'!D35</f>
        <v>0:06</v>
      </c>
      <c r="E4" s="3" t="str">
        <f>'All Tandem Adjustments'!E35</f>
        <v>0:08</v>
      </c>
      <c r="F4" s="3" t="str">
        <f>'All Tandem Adjustments'!F35</f>
        <v>0:13</v>
      </c>
      <c r="G4" s="3" t="str">
        <f>'All Tandem Adjustments'!G35</f>
        <v>0:29</v>
      </c>
      <c r="H4" s="47">
        <f>'All Tandem Adjustments'!H35</f>
        <v>0.79040509259259262</v>
      </c>
      <c r="I4" s="47">
        <f>'All Tandem Adjustments'!I35</f>
        <v>1.5704050925925925</v>
      </c>
      <c r="K4" s="4">
        <f>'All Tandem Adjustments'!A63</f>
        <v>70</v>
      </c>
      <c r="L4" s="3" t="str">
        <f>'All Tandem Adjustments'!B63</f>
        <v>1:41</v>
      </c>
      <c r="M4" s="3" t="str">
        <f>'All Tandem Adjustments'!C63</f>
        <v>2:34</v>
      </c>
      <c r="N4" s="3" t="str">
        <f>'All Tandem Adjustments'!D63</f>
        <v>4:23</v>
      </c>
      <c r="O4" s="3" t="str">
        <f>'All Tandem Adjustments'!E63</f>
        <v>5:20</v>
      </c>
      <c r="P4" s="3" t="str">
        <f>'All Tandem Adjustments'!F63</f>
        <v>9:20</v>
      </c>
      <c r="Q4" s="3" t="str">
        <f>'All Tandem Adjustments'!G63</f>
        <v>21:17</v>
      </c>
      <c r="R4" s="47">
        <f>'All Tandem Adjustments'!H63</f>
        <v>28.059201388888887</v>
      </c>
      <c r="S4" s="47">
        <f>'All Tandem Adjustments'!I63</f>
        <v>54.912002314814814</v>
      </c>
    </row>
    <row r="5" spans="1:19" x14ac:dyDescent="0.25">
      <c r="A5" s="4">
        <f>'All Tandem Adjustments'!A36</f>
        <v>43</v>
      </c>
      <c r="B5" s="3" t="str">
        <f>'All Tandem Adjustments'!B36</f>
        <v>0:04</v>
      </c>
      <c r="C5" s="3" t="str">
        <f>'All Tandem Adjustments'!C36</f>
        <v>0:06</v>
      </c>
      <c r="D5" s="3" t="str">
        <f>'All Tandem Adjustments'!D36</f>
        <v>0:10</v>
      </c>
      <c r="E5" s="3" t="str">
        <f>'All Tandem Adjustments'!E36</f>
        <v>0:12</v>
      </c>
      <c r="F5" s="3" t="str">
        <f>'All Tandem Adjustments'!F36</f>
        <v>0:21</v>
      </c>
      <c r="G5" s="3" t="str">
        <f>'All Tandem Adjustments'!G36</f>
        <v>0:47</v>
      </c>
      <c r="H5" s="47">
        <f>'All Tandem Adjustments'!H36</f>
        <v>1.263599537037037</v>
      </c>
      <c r="I5" s="47">
        <f>'All Tandem Adjustments'!I36</f>
        <v>2.5064004629629628</v>
      </c>
      <c r="K5" s="4">
        <f>'All Tandem Adjustments'!A64</f>
        <v>71</v>
      </c>
      <c r="L5" s="3" t="str">
        <f>'All Tandem Adjustments'!B64</f>
        <v>1:48</v>
      </c>
      <c r="M5" s="3" t="str">
        <f>'All Tandem Adjustments'!C64</f>
        <v>2:43</v>
      </c>
      <c r="N5" s="3" t="str">
        <f>'All Tandem Adjustments'!D64</f>
        <v>4:39</v>
      </c>
      <c r="O5" s="3" t="str">
        <f>'All Tandem Adjustments'!E64</f>
        <v>5:39</v>
      </c>
      <c r="P5" s="3" t="str">
        <f>'All Tandem Adjustments'!F64</f>
        <v>9:55</v>
      </c>
      <c r="Q5" s="3" t="str">
        <f>'All Tandem Adjustments'!G64</f>
        <v>22:37</v>
      </c>
      <c r="R5" s="47">
        <f>'All Tandem Adjustments'!H64</f>
        <v>29.473599537037035</v>
      </c>
      <c r="S5" s="47">
        <f>'All Tandem Adjustments'!I64</f>
        <v>57.631597222222226</v>
      </c>
    </row>
    <row r="6" spans="1:19" x14ac:dyDescent="0.25">
      <c r="A6" s="4">
        <f>'All Tandem Adjustments'!A37</f>
        <v>44</v>
      </c>
      <c r="B6" s="3" t="str">
        <f>'All Tandem Adjustments'!B37</f>
        <v>0:05</v>
      </c>
      <c r="C6" s="3" t="str">
        <f>'All Tandem Adjustments'!C37</f>
        <v>0:08</v>
      </c>
      <c r="D6" s="3" t="str">
        <f>'All Tandem Adjustments'!D37</f>
        <v>0:14</v>
      </c>
      <c r="E6" s="3" t="str">
        <f>'All Tandem Adjustments'!E37</f>
        <v>0:17</v>
      </c>
      <c r="F6" s="3" t="str">
        <f>'All Tandem Adjustments'!F37</f>
        <v>0:30</v>
      </c>
      <c r="G6" s="3" t="str">
        <f>'All Tandem Adjustments'!G37</f>
        <v>1:07</v>
      </c>
      <c r="H6" s="47">
        <f>'All Tandem Adjustments'!H37</f>
        <v>1.783599537037037</v>
      </c>
      <c r="I6" s="47">
        <f>'All Tandem Adjustments'!I37</f>
        <v>3.5359953703703701</v>
      </c>
      <c r="K6" s="4">
        <f>'All Tandem Adjustments'!A65</f>
        <v>72</v>
      </c>
      <c r="L6" s="3" t="str">
        <f>'All Tandem Adjustments'!B65</f>
        <v>1:54</v>
      </c>
      <c r="M6" s="3" t="str">
        <f>'All Tandem Adjustments'!C65</f>
        <v>2:53</v>
      </c>
      <c r="N6" s="3" t="str">
        <f>'All Tandem Adjustments'!D65</f>
        <v>4:56</v>
      </c>
      <c r="O6" s="3" t="str">
        <f>'All Tandem Adjustments'!E65</f>
        <v>6:00</v>
      </c>
      <c r="P6" s="3" t="str">
        <f>'All Tandem Adjustments'!F65</f>
        <v>10:31</v>
      </c>
      <c r="Q6" s="3" t="str">
        <f>'All Tandem Adjustments'!G65</f>
        <v>24:02</v>
      </c>
      <c r="R6" s="47">
        <f>'All Tandem Adjustments'!H65</f>
        <v>30.91920138888889</v>
      </c>
      <c r="S6" s="47">
        <f>'All Tandem Adjustments'!I65</f>
        <v>60.403194444444445</v>
      </c>
    </row>
    <row r="7" spans="1:19" x14ac:dyDescent="0.25">
      <c r="A7" s="4">
        <f>'All Tandem Adjustments'!A38</f>
        <v>45</v>
      </c>
      <c r="B7" s="3" t="str">
        <f>'All Tandem Adjustments'!B38</f>
        <v>0:07</v>
      </c>
      <c r="C7" s="3" t="str">
        <f>'All Tandem Adjustments'!C38</f>
        <v>0:11</v>
      </c>
      <c r="D7" s="3" t="str">
        <f>'All Tandem Adjustments'!D38</f>
        <v>0:19</v>
      </c>
      <c r="E7" s="3" t="str">
        <f>'All Tandem Adjustments'!E38</f>
        <v>0:23</v>
      </c>
      <c r="F7" s="3" t="str">
        <f>'All Tandem Adjustments'!F38</f>
        <v>0:39</v>
      </c>
      <c r="G7" s="3" t="str">
        <f>'All Tandem Adjustments'!G38</f>
        <v>1:28</v>
      </c>
      <c r="H7" s="47">
        <f>'All Tandem Adjustments'!H38</f>
        <v>2.3504050925925926</v>
      </c>
      <c r="I7" s="47">
        <f>'All Tandem Adjustments'!I38</f>
        <v>4.6592013888888886</v>
      </c>
      <c r="K7" s="4">
        <f>'All Tandem Adjustments'!A66</f>
        <v>73</v>
      </c>
      <c r="L7" s="3" t="str">
        <f>'All Tandem Adjustments'!B66</f>
        <v>2:00</v>
      </c>
      <c r="M7" s="3" t="str">
        <f>'All Tandem Adjustments'!C66</f>
        <v>3:03</v>
      </c>
      <c r="N7" s="3" t="str">
        <f>'All Tandem Adjustments'!D66</f>
        <v>5:13</v>
      </c>
      <c r="O7" s="3" t="str">
        <f>'All Tandem Adjustments'!E66</f>
        <v>6:21</v>
      </c>
      <c r="P7" s="3" t="str">
        <f>'All Tandem Adjustments'!F66</f>
        <v>11:08</v>
      </c>
      <c r="Q7" s="3" t="str">
        <f>'All Tandem Adjustments'!G66</f>
        <v>25:30</v>
      </c>
      <c r="R7" s="47">
        <f>'All Tandem Adjustments'!H66</f>
        <v>32.390798611111109</v>
      </c>
      <c r="S7" s="47">
        <f>'All Tandem Adjustments'!I66</f>
        <v>63.216400462962966</v>
      </c>
    </row>
    <row r="8" spans="1:19" x14ac:dyDescent="0.25">
      <c r="A8" s="4">
        <f>'All Tandem Adjustments'!A39</f>
        <v>46</v>
      </c>
      <c r="B8" s="3" t="str">
        <f>'All Tandem Adjustments'!B39</f>
        <v>0:09</v>
      </c>
      <c r="C8" s="3" t="str">
        <f>'All Tandem Adjustments'!C39</f>
        <v>0:14</v>
      </c>
      <c r="D8" s="3" t="str">
        <f>'All Tandem Adjustments'!D39</f>
        <v>0:24</v>
      </c>
      <c r="E8" s="3" t="str">
        <f>'All Tandem Adjustments'!E39</f>
        <v>0:29</v>
      </c>
      <c r="F8" s="3" t="str">
        <f>'All Tandem Adjustments'!F39</f>
        <v>0:50</v>
      </c>
      <c r="G8" s="3" t="str">
        <f>'All Tandem Adjustments'!G39</f>
        <v>1:51</v>
      </c>
      <c r="H8" s="47">
        <f>'All Tandem Adjustments'!H39</f>
        <v>2.9587962962962964</v>
      </c>
      <c r="I8" s="47">
        <f>'All Tandem Adjustments'!I39</f>
        <v>5.865601851851852</v>
      </c>
      <c r="K8" s="4">
        <f>'All Tandem Adjustments'!A67</f>
        <v>74</v>
      </c>
      <c r="L8" s="3" t="str">
        <f>'All Tandem Adjustments'!B67</f>
        <v>2:07</v>
      </c>
      <c r="M8" s="3" t="str">
        <f>'All Tandem Adjustments'!C67</f>
        <v>3:13</v>
      </c>
      <c r="N8" s="3" t="str">
        <f>'All Tandem Adjustments'!D67</f>
        <v>5:31</v>
      </c>
      <c r="O8" s="3" t="str">
        <f>'All Tandem Adjustments'!E67</f>
        <v>6:43</v>
      </c>
      <c r="P8" s="3" t="str">
        <f>'All Tandem Adjustments'!F67</f>
        <v>11:47</v>
      </c>
      <c r="Q8" s="3" t="str">
        <f>'All Tandem Adjustments'!G67</f>
        <v>27:02</v>
      </c>
      <c r="R8" s="47">
        <f>'All Tandem Adjustments'!H67</f>
        <v>33.893599537037034</v>
      </c>
      <c r="S8" s="47">
        <f>'All Tandem Adjustments'!I67</f>
        <v>66.081597222222229</v>
      </c>
    </row>
    <row r="9" spans="1:19" x14ac:dyDescent="0.25">
      <c r="A9" s="4">
        <f>'All Tandem Adjustments'!A40</f>
        <v>47</v>
      </c>
      <c r="B9" s="3" t="str">
        <f>'All Tandem Adjustments'!B40</f>
        <v>0:11</v>
      </c>
      <c r="C9" s="3" t="str">
        <f>'All Tandem Adjustments'!C40</f>
        <v>0:17</v>
      </c>
      <c r="D9" s="3" t="str">
        <f>'All Tandem Adjustments'!D40</f>
        <v>0:29</v>
      </c>
      <c r="E9" s="3" t="str">
        <f>'All Tandem Adjustments'!E40</f>
        <v>0:36</v>
      </c>
      <c r="F9" s="3" t="str">
        <f>'All Tandem Adjustments'!F40</f>
        <v>1:01</v>
      </c>
      <c r="G9" s="3" t="str">
        <f>'All Tandem Adjustments'!G40</f>
        <v>2:17</v>
      </c>
      <c r="H9" s="47">
        <f>'All Tandem Adjustments'!H40</f>
        <v>3.6140046296296298</v>
      </c>
      <c r="I9" s="47">
        <f>'All Tandem Adjustments'!I40</f>
        <v>7.1604050925925922</v>
      </c>
      <c r="K9" s="4">
        <f>'All Tandem Adjustments'!A68</f>
        <v>75</v>
      </c>
      <c r="L9" s="3" t="str">
        <f>'All Tandem Adjustments'!B68</f>
        <v>2:14</v>
      </c>
      <c r="M9" s="3" t="str">
        <f>'All Tandem Adjustments'!C68</f>
        <v>3:24</v>
      </c>
      <c r="N9" s="3" t="str">
        <f>'All Tandem Adjustments'!D68</f>
        <v>5:50</v>
      </c>
      <c r="O9" s="3" t="str">
        <f>'All Tandem Adjustments'!E68</f>
        <v>7:06</v>
      </c>
      <c r="P9" s="3" t="str">
        <f>'All Tandem Adjustments'!F68</f>
        <v>12:28</v>
      </c>
      <c r="Q9" s="3" t="str">
        <f>'All Tandem Adjustments'!G68</f>
        <v>28:39</v>
      </c>
      <c r="R9" s="47">
        <f>'All Tandem Adjustments'!H68</f>
        <v>35.417199074074077</v>
      </c>
      <c r="S9" s="47">
        <f>'All Tandem Adjustments'!I68</f>
        <v>68.993599537037042</v>
      </c>
    </row>
    <row r="10" spans="1:19" x14ac:dyDescent="0.25">
      <c r="A10" s="4">
        <f>'All Tandem Adjustments'!A41</f>
        <v>48</v>
      </c>
      <c r="B10" s="3" t="str">
        <f>'All Tandem Adjustments'!B41</f>
        <v>0:13</v>
      </c>
      <c r="C10" s="3" t="str">
        <f>'All Tandem Adjustments'!C41</f>
        <v>0:20</v>
      </c>
      <c r="D10" s="3" t="str">
        <f>'All Tandem Adjustments'!D41</f>
        <v>0:35</v>
      </c>
      <c r="E10" s="3" t="str">
        <f>'All Tandem Adjustments'!E41</f>
        <v>0:42</v>
      </c>
      <c r="F10" s="3" t="str">
        <f>'All Tandem Adjustments'!F41</f>
        <v>1:13</v>
      </c>
      <c r="G10" s="3" t="str">
        <f>'All Tandem Adjustments'!G41</f>
        <v>2:44</v>
      </c>
      <c r="H10" s="47">
        <f>'All Tandem Adjustments'!H41</f>
        <v>4.3056018518518515</v>
      </c>
      <c r="I10" s="47">
        <f>'All Tandem Adjustments'!I41</f>
        <v>8.5331944444444439</v>
      </c>
      <c r="K10" s="4">
        <f>'All Tandem Adjustments'!A69</f>
        <v>76</v>
      </c>
      <c r="L10" s="3" t="str">
        <f>'All Tandem Adjustments'!B69</f>
        <v>2:22</v>
      </c>
      <c r="M10" s="3" t="str">
        <f>'All Tandem Adjustments'!C69</f>
        <v>3:36</v>
      </c>
      <c r="N10" s="3" t="str">
        <f>'All Tandem Adjustments'!D69</f>
        <v>6:10</v>
      </c>
      <c r="O10" s="3" t="str">
        <f>'All Tandem Adjustments'!E69</f>
        <v>7:30</v>
      </c>
      <c r="P10" s="3" t="str">
        <f>'All Tandem Adjustments'!F69</f>
        <v>13:11</v>
      </c>
      <c r="Q10" s="3" t="str">
        <f>'All Tandem Adjustments'!G69</f>
        <v>30:21</v>
      </c>
      <c r="R10" s="47">
        <f>'All Tandem Adjustments'!H69</f>
        <v>36.977199074074072</v>
      </c>
      <c r="S10" s="47">
        <f>'All Tandem Adjustments'!I69</f>
        <v>71.947199074074078</v>
      </c>
    </row>
    <row r="11" spans="1:19" x14ac:dyDescent="0.25">
      <c r="A11" s="4">
        <f>'All Tandem Adjustments'!A42</f>
        <v>49</v>
      </c>
      <c r="B11" s="45" t="str">
        <f>'All Tandem Adjustments'!B42</f>
        <v>0:16</v>
      </c>
      <c r="C11" s="45" t="str">
        <f>'All Tandem Adjustments'!C42</f>
        <v>0:24</v>
      </c>
      <c r="D11" s="45" t="str">
        <f>'All Tandem Adjustments'!D42</f>
        <v>0:41</v>
      </c>
      <c r="E11" s="45" t="str">
        <f>'All Tandem Adjustments'!E42</f>
        <v>0:50</v>
      </c>
      <c r="F11" s="45" t="str">
        <f>'All Tandem Adjustments'!F42</f>
        <v>1:26</v>
      </c>
      <c r="G11" s="45" t="str">
        <f>'All Tandem Adjustments'!G42</f>
        <v>3:12</v>
      </c>
      <c r="H11" s="49">
        <f>'All Tandem Adjustments'!H42</f>
        <v>5.0387962962962964</v>
      </c>
      <c r="I11" s="49">
        <f>'All Tandem Adjustments'!I42</f>
        <v>9.9892013888888886</v>
      </c>
      <c r="K11" s="4">
        <f>'All Tandem Adjustments'!A70</f>
        <v>77</v>
      </c>
      <c r="L11" s="3" t="str">
        <f>'All Tandem Adjustments'!B70</f>
        <v>2:30</v>
      </c>
      <c r="M11" s="3" t="str">
        <f>'All Tandem Adjustments'!C70</f>
        <v>3:48</v>
      </c>
      <c r="N11" s="3" t="str">
        <f>'All Tandem Adjustments'!D70</f>
        <v>6:30</v>
      </c>
      <c r="O11" s="3" t="str">
        <f>'All Tandem Adjustments'!E70</f>
        <v>7:55</v>
      </c>
      <c r="P11" s="3" t="str">
        <f>'All Tandem Adjustments'!F70</f>
        <v>13:55</v>
      </c>
      <c r="Q11" s="3" t="str">
        <f>'All Tandem Adjustments'!G70</f>
        <v>32:07</v>
      </c>
      <c r="R11" s="47">
        <f>'All Tandem Adjustments'!H70</f>
        <v>38.557997685185185</v>
      </c>
      <c r="S11" s="47">
        <f>'All Tandem Adjustments'!I70</f>
        <v>74.952800925925928</v>
      </c>
    </row>
    <row r="12" spans="1:19" x14ac:dyDescent="0.25">
      <c r="A12" s="4">
        <f>'All Tandem Adjustments'!A43</f>
        <v>50</v>
      </c>
      <c r="B12" s="3" t="str">
        <f>'All Tandem Adjustments'!B43</f>
        <v>0:18</v>
      </c>
      <c r="C12" s="3" t="str">
        <f>'All Tandem Adjustments'!C43</f>
        <v>0:28</v>
      </c>
      <c r="D12" s="3" t="str">
        <f>'All Tandem Adjustments'!D43</f>
        <v>0:47</v>
      </c>
      <c r="E12" s="3" t="str">
        <f>'All Tandem Adjustments'!E43</f>
        <v>0:58</v>
      </c>
      <c r="F12" s="3" t="str">
        <f>'All Tandem Adjustments'!F43</f>
        <v>1:40</v>
      </c>
      <c r="G12" s="3" t="str">
        <f>'All Tandem Adjustments'!G43</f>
        <v>3:43</v>
      </c>
      <c r="H12" s="47">
        <f>'All Tandem Adjustments'!H43</f>
        <v>5.813599537037037</v>
      </c>
      <c r="I12" s="47">
        <f>'All Tandem Adjustments'!I43</f>
        <v>11.512800925925927</v>
      </c>
      <c r="K12" s="4">
        <f>'All Tandem Adjustments'!A71</f>
        <v>78</v>
      </c>
      <c r="L12" s="3" t="str">
        <f>'All Tandem Adjustments'!B71</f>
        <v>2:38</v>
      </c>
      <c r="M12" s="3" t="str">
        <f>'All Tandem Adjustments'!C71</f>
        <v>4:00</v>
      </c>
      <c r="N12" s="3" t="str">
        <f>'All Tandem Adjustments'!D71</f>
        <v>6:51</v>
      </c>
      <c r="O12" s="3" t="str">
        <f>'All Tandem Adjustments'!E71</f>
        <v>8:21</v>
      </c>
      <c r="P12" s="3" t="str">
        <f>'All Tandem Adjustments'!F71</f>
        <v>14:41</v>
      </c>
      <c r="Q12" s="3" t="str">
        <f>'All Tandem Adjustments'!G71</f>
        <v>33:59</v>
      </c>
      <c r="R12" s="47">
        <f>'All Tandem Adjustments'!H71</f>
        <v>40.175196759259258</v>
      </c>
      <c r="S12" s="47">
        <f>'All Tandem Adjustments'!I71</f>
        <v>78.005196759259263</v>
      </c>
    </row>
    <row r="13" spans="1:19" x14ac:dyDescent="0.25">
      <c r="A13" s="4">
        <f>'All Tandem Adjustments'!A44</f>
        <v>51</v>
      </c>
      <c r="B13" s="3" t="str">
        <f>'All Tandem Adjustments'!B44</f>
        <v>0:21</v>
      </c>
      <c r="C13" s="3" t="str">
        <f>'All Tandem Adjustments'!C44</f>
        <v>0:32</v>
      </c>
      <c r="D13" s="3" t="str">
        <f>'All Tandem Adjustments'!D44</f>
        <v>0:54</v>
      </c>
      <c r="E13" s="3" t="str">
        <f>'All Tandem Adjustments'!E44</f>
        <v>1:06</v>
      </c>
      <c r="F13" s="3" t="str">
        <f>'All Tandem Adjustments'!F44</f>
        <v>1:54</v>
      </c>
      <c r="G13" s="3" t="str">
        <f>'All Tandem Adjustments'!G44</f>
        <v>4:16</v>
      </c>
      <c r="H13" s="47">
        <f>'All Tandem Adjustments'!H44</f>
        <v>6.6195949074074072</v>
      </c>
      <c r="I13" s="47">
        <f>'All Tandem Adjustments'!I44</f>
        <v>13.10920138888889</v>
      </c>
      <c r="K13" s="4">
        <f>'All Tandem Adjustments'!A72</f>
        <v>79</v>
      </c>
      <c r="L13" s="45" t="str">
        <f>'All Tandem Adjustments'!B72</f>
        <v>2:47</v>
      </c>
      <c r="M13" s="45" t="str">
        <f>'All Tandem Adjustments'!C72</f>
        <v>4:13</v>
      </c>
      <c r="N13" s="45" t="str">
        <f>'All Tandem Adjustments'!D72</f>
        <v>7:13</v>
      </c>
      <c r="O13" s="45" t="str">
        <f>'All Tandem Adjustments'!E72</f>
        <v>8:48</v>
      </c>
      <c r="P13" s="45" t="str">
        <f>'All Tandem Adjustments'!F72</f>
        <v>15:30</v>
      </c>
      <c r="Q13" s="45" t="str">
        <f>'All Tandem Adjustments'!G72</f>
        <v>35:56</v>
      </c>
      <c r="R13" s="49">
        <f>'All Tandem Adjustments'!H72</f>
        <v>41.818402777777777</v>
      </c>
      <c r="S13" s="49">
        <f>'All Tandem Adjustments'!I72</f>
        <v>81.099201388888886</v>
      </c>
    </row>
    <row r="14" spans="1:19" x14ac:dyDescent="0.25">
      <c r="A14" s="4">
        <f>'All Tandem Adjustments'!A45</f>
        <v>52</v>
      </c>
      <c r="B14" s="3" t="str">
        <f>'All Tandem Adjustments'!B45</f>
        <v>0:24</v>
      </c>
      <c r="C14" s="3" t="str">
        <f>'All Tandem Adjustments'!C45</f>
        <v>0:36</v>
      </c>
      <c r="D14" s="3" t="str">
        <f>'All Tandem Adjustments'!D45</f>
        <v>1:01</v>
      </c>
      <c r="E14" s="3" t="str">
        <f>'All Tandem Adjustments'!E45</f>
        <v>1:14</v>
      </c>
      <c r="F14" s="3" t="str">
        <f>'All Tandem Adjustments'!F45</f>
        <v>2:10</v>
      </c>
      <c r="G14" s="3" t="str">
        <f>'All Tandem Adjustments'!G45</f>
        <v>4:50</v>
      </c>
      <c r="H14" s="47">
        <f>'All Tandem Adjustments'!H45</f>
        <v>7.4671990740740739</v>
      </c>
      <c r="I14" s="47">
        <f>'All Tandem Adjustments'!I45</f>
        <v>14.778402777777778</v>
      </c>
      <c r="K14" s="4">
        <f>'All Tandem Adjustments'!A73</f>
        <v>80</v>
      </c>
      <c r="L14" s="3" t="str">
        <f>'All Tandem Adjustments'!B73</f>
        <v>2:55</v>
      </c>
      <c r="M14" s="3" t="str">
        <f>'All Tandem Adjustments'!C73</f>
        <v>4:26</v>
      </c>
      <c r="N14" s="3" t="str">
        <f>'All Tandem Adjustments'!D73</f>
        <v>7:37</v>
      </c>
      <c r="O14" s="3" t="str">
        <f>'All Tandem Adjustments'!E73</f>
        <v>9:16</v>
      </c>
      <c r="P14" s="3" t="str">
        <f>'All Tandem Adjustments'!F73</f>
        <v>16:21</v>
      </c>
      <c r="Q14" s="3" t="str">
        <f>'All Tandem Adjustments'!G73</f>
        <v>38:00</v>
      </c>
      <c r="R14" s="47">
        <f>'All Tandem Adjustments'!H73</f>
        <v>43.487604166666664</v>
      </c>
      <c r="S14" s="47">
        <f>'All Tandem Adjustments'!I73</f>
        <v>84.245196759259258</v>
      </c>
    </row>
    <row r="15" spans="1:19" x14ac:dyDescent="0.25">
      <c r="A15" s="4">
        <f>'All Tandem Adjustments'!A46</f>
        <v>53</v>
      </c>
      <c r="B15" s="3" t="str">
        <f>'All Tandem Adjustments'!B46</f>
        <v>0:26</v>
      </c>
      <c r="C15" s="3" t="str">
        <f>'All Tandem Adjustments'!C46</f>
        <v>0:40</v>
      </c>
      <c r="D15" s="3" t="str">
        <f>'All Tandem Adjustments'!D46</f>
        <v>1:09</v>
      </c>
      <c r="E15" s="3" t="str">
        <f>'All Tandem Adjustments'!E46</f>
        <v>1:24</v>
      </c>
      <c r="F15" s="3" t="str">
        <f>'All Tandem Adjustments'!F46</f>
        <v>2:26</v>
      </c>
      <c r="G15" s="3" t="str">
        <f>'All Tandem Adjustments'!G46</f>
        <v>5:26</v>
      </c>
      <c r="H15" s="47">
        <f>'All Tandem Adjustments'!H46</f>
        <v>8.3459953703703711</v>
      </c>
      <c r="I15" s="47">
        <f>'All Tandem Adjustments'!I46</f>
        <v>16.515196759259258</v>
      </c>
      <c r="K15" s="4">
        <f>'All Tandem Adjustments'!A74</f>
        <v>81</v>
      </c>
      <c r="L15" s="3" t="str">
        <f>'All Tandem Adjustments'!B74</f>
        <v>3:04</v>
      </c>
      <c r="M15" s="3" t="str">
        <f>'All Tandem Adjustments'!C74</f>
        <v>4:40</v>
      </c>
      <c r="N15" s="3" t="str">
        <f>'All Tandem Adjustments'!D74</f>
        <v>8:01</v>
      </c>
      <c r="O15" s="3" t="str">
        <f>'All Tandem Adjustments'!E74</f>
        <v>9:46</v>
      </c>
      <c r="P15" s="3" t="str">
        <f>'All Tandem Adjustments'!F74</f>
        <v>17:14</v>
      </c>
      <c r="Q15" s="3" t="str">
        <f>'All Tandem Adjustments'!G74</f>
        <v>40:11</v>
      </c>
      <c r="R15" s="47">
        <f>'All Tandem Adjustments'!H74</f>
        <v>45.187997685185188</v>
      </c>
      <c r="S15" s="47">
        <f>'All Tandem Adjustments'!I74</f>
        <v>87.437997685185181</v>
      </c>
    </row>
    <row r="16" spans="1:19" x14ac:dyDescent="0.25">
      <c r="A16" s="4">
        <f>'All Tandem Adjustments'!A47</f>
        <v>54</v>
      </c>
      <c r="B16" s="3" t="str">
        <f>'All Tandem Adjustments'!B47</f>
        <v>0:30</v>
      </c>
      <c r="C16" s="3" t="str">
        <f>'All Tandem Adjustments'!C47</f>
        <v>0:45</v>
      </c>
      <c r="D16" s="3" t="str">
        <f>'All Tandem Adjustments'!D47</f>
        <v>1:17</v>
      </c>
      <c r="E16" s="3" t="str">
        <f>'All Tandem Adjustments'!E47</f>
        <v>1:34</v>
      </c>
      <c r="F16" s="3" t="str">
        <f>'All Tandem Adjustments'!F47</f>
        <v>2:43</v>
      </c>
      <c r="G16" s="3" t="str">
        <f>'All Tandem Adjustments'!G47</f>
        <v>6:04</v>
      </c>
      <c r="H16" s="47">
        <f>'All Tandem Adjustments'!H47</f>
        <v>9.2612037037037034</v>
      </c>
      <c r="I16" s="47">
        <f>'All Tandem Adjustments'!I47</f>
        <v>18.319594907407406</v>
      </c>
      <c r="K16" s="4">
        <f>'All Tandem Adjustments'!A75</f>
        <v>82</v>
      </c>
      <c r="L16" s="3" t="str">
        <f>'All Tandem Adjustments'!B75</f>
        <v>3:14</v>
      </c>
      <c r="M16" s="3" t="str">
        <f>'All Tandem Adjustments'!C75</f>
        <v>4:55</v>
      </c>
      <c r="N16" s="3" t="str">
        <f>'All Tandem Adjustments'!D75</f>
        <v>8:26</v>
      </c>
      <c r="O16" s="3" t="str">
        <f>'All Tandem Adjustments'!E75</f>
        <v>10:17</v>
      </c>
      <c r="P16" s="3" t="str">
        <f>'All Tandem Adjustments'!F75</f>
        <v>18:11</v>
      </c>
      <c r="Q16" s="3" t="str">
        <f>'All Tandem Adjustments'!G75</f>
        <v>42:28</v>
      </c>
      <c r="R16" s="47">
        <f>'All Tandem Adjustments'!H75</f>
        <v>46.924803240740744</v>
      </c>
      <c r="S16" s="47">
        <f>'All Tandem Adjustments'!I75</f>
        <v>90.67239583333334</v>
      </c>
    </row>
    <row r="17" spans="1:20" x14ac:dyDescent="0.25">
      <c r="A17" s="4">
        <f>'All Tandem Adjustments'!A48</f>
        <v>55</v>
      </c>
      <c r="B17" s="3" t="str">
        <f>'All Tandem Adjustments'!B48</f>
        <v>0:33</v>
      </c>
      <c r="C17" s="3" t="str">
        <f>'All Tandem Adjustments'!C48</f>
        <v>0:50</v>
      </c>
      <c r="D17" s="3" t="str">
        <f>'All Tandem Adjustments'!D48</f>
        <v>1:25</v>
      </c>
      <c r="E17" s="3" t="str">
        <f>'All Tandem Adjustments'!E48</f>
        <v>1:44</v>
      </c>
      <c r="F17" s="3" t="str">
        <f>'All Tandem Adjustments'!F48</f>
        <v>3:00</v>
      </c>
      <c r="G17" s="3" t="str">
        <f>'All Tandem Adjustments'!G48</f>
        <v>6:45</v>
      </c>
      <c r="H17" s="47">
        <f>'All Tandem Adjustments'!H48</f>
        <v>10.212800925925926</v>
      </c>
      <c r="I17" s="47">
        <f>'All Tandem Adjustments'!I48</f>
        <v>20.186400462962961</v>
      </c>
      <c r="K17" s="4">
        <f>'All Tandem Adjustments'!A76</f>
        <v>83</v>
      </c>
      <c r="L17" s="3" t="str">
        <f>'All Tandem Adjustments'!B76</f>
        <v>3:24</v>
      </c>
      <c r="M17" s="3" t="str">
        <f>'All Tandem Adjustments'!C76</f>
        <v>5:11</v>
      </c>
      <c r="N17" s="3" t="str">
        <f>'All Tandem Adjustments'!D76</f>
        <v>8:53</v>
      </c>
      <c r="O17" s="3" t="str">
        <f>'All Tandem Adjustments'!E76</f>
        <v>10:49</v>
      </c>
      <c r="P17" s="3" t="str">
        <f>'All Tandem Adjustments'!F76</f>
        <v>19:09</v>
      </c>
      <c r="Q17" s="3" t="str">
        <f>'All Tandem Adjustments'!G76</f>
        <v>44:54</v>
      </c>
      <c r="R17" s="47">
        <f>'All Tandem Adjustments'!H76</f>
        <v>48.687604166666667</v>
      </c>
      <c r="S17" s="47">
        <f>'All Tandem Adjustments'!I76</f>
        <v>93.958796296296299</v>
      </c>
    </row>
    <row r="18" spans="1:20" x14ac:dyDescent="0.25">
      <c r="A18" s="4">
        <f>'All Tandem Adjustments'!A49</f>
        <v>56</v>
      </c>
      <c r="B18" s="3" t="str">
        <f>'All Tandem Adjustments'!B49</f>
        <v>0:36</v>
      </c>
      <c r="C18" s="3" t="str">
        <f>'All Tandem Adjustments'!C49</f>
        <v>0:55</v>
      </c>
      <c r="D18" s="3" t="str">
        <f>'All Tandem Adjustments'!D49</f>
        <v>1:34</v>
      </c>
      <c r="E18" s="3" t="str">
        <f>'All Tandem Adjustments'!E49</f>
        <v>1:54</v>
      </c>
      <c r="F18" s="3" t="str">
        <f>'All Tandem Adjustments'!F49</f>
        <v>3:19</v>
      </c>
      <c r="G18" s="3" t="str">
        <f>'All Tandem Adjustments'!G49</f>
        <v>7:26</v>
      </c>
      <c r="H18" s="47">
        <f>'All Tandem Adjustments'!H49</f>
        <v>11.190405092592593</v>
      </c>
      <c r="I18" s="47">
        <f>'All Tandem Adjustments'!I49</f>
        <v>22.110405092592593</v>
      </c>
      <c r="K18" s="4">
        <f>'All Tandem Adjustments'!A77</f>
        <v>84</v>
      </c>
      <c r="L18" s="3" t="str">
        <f>'All Tandem Adjustments'!B77</f>
        <v>3:35</v>
      </c>
      <c r="M18" s="3" t="str">
        <f>'All Tandem Adjustments'!C77</f>
        <v>5:27</v>
      </c>
      <c r="N18" s="3" t="str">
        <f>'All Tandem Adjustments'!D77</f>
        <v>9:21</v>
      </c>
      <c r="O18" s="3" t="str">
        <f>'All Tandem Adjustments'!E77</f>
        <v>11:24</v>
      </c>
      <c r="P18" s="3" t="str">
        <f>'All Tandem Adjustments'!F77</f>
        <v>20:11</v>
      </c>
      <c r="Q18" s="3" t="str">
        <f>'All Tandem Adjustments'!G77</f>
        <v>47:28</v>
      </c>
      <c r="R18" s="47">
        <f>'All Tandem Adjustments'!H77</f>
        <v>50.48159722222222</v>
      </c>
      <c r="S18" s="47">
        <f>'All Tandem Adjustments'!I77</f>
        <v>97.292002314814809</v>
      </c>
    </row>
    <row r="19" spans="1:20" x14ac:dyDescent="0.25">
      <c r="A19" s="4">
        <f>'All Tandem Adjustments'!A50</f>
        <v>57</v>
      </c>
      <c r="B19" s="3" t="str">
        <f>'All Tandem Adjustments'!B50</f>
        <v>0:40</v>
      </c>
      <c r="C19" s="3" t="str">
        <f>'All Tandem Adjustments'!C50</f>
        <v>1:00</v>
      </c>
      <c r="D19" s="3" t="str">
        <f>'All Tandem Adjustments'!D50</f>
        <v>1:43</v>
      </c>
      <c r="E19" s="3" t="str">
        <f>'All Tandem Adjustments'!E50</f>
        <v>2:05</v>
      </c>
      <c r="F19" s="3" t="str">
        <f>'All Tandem Adjustments'!F50</f>
        <v>3:38</v>
      </c>
      <c r="G19" s="3" t="str">
        <f>'All Tandem Adjustments'!G50</f>
        <v>8:11</v>
      </c>
      <c r="H19" s="47">
        <f>'All Tandem Adjustments'!H50</f>
        <v>12.204398148148147</v>
      </c>
      <c r="I19" s="47">
        <f>'All Tandem Adjustments'!I50</f>
        <v>24.102002314814815</v>
      </c>
      <c r="K19" s="4">
        <f>'All Tandem Adjustments'!A78</f>
        <v>85</v>
      </c>
      <c r="L19" s="3" t="str">
        <f>'All Tandem Adjustments'!B78</f>
        <v>3:46</v>
      </c>
      <c r="M19" s="3" t="str">
        <f>'All Tandem Adjustments'!C78</f>
        <v>5:44</v>
      </c>
      <c r="N19" s="3" t="str">
        <f>'All Tandem Adjustments'!D78</f>
        <v>9:50</v>
      </c>
      <c r="O19" s="3" t="str">
        <f>'All Tandem Adjustments'!E78</f>
        <v>12:00</v>
      </c>
      <c r="P19" s="3" t="str">
        <f>'All Tandem Adjustments'!F78</f>
        <v>21:16</v>
      </c>
      <c r="Q19" s="3" t="str">
        <f>'All Tandem Adjustments'!G78</f>
        <v>50:12</v>
      </c>
      <c r="R19" s="47">
        <f>'All Tandem Adjustments'!H78</f>
        <v>52.306805555555556</v>
      </c>
      <c r="S19" s="47">
        <f>'All Tandem Adjustments'!I78</f>
        <v>100.67200231481482</v>
      </c>
    </row>
    <row r="20" spans="1:20" x14ac:dyDescent="0.25">
      <c r="A20" s="4">
        <f>'All Tandem Adjustments'!A51</f>
        <v>58</v>
      </c>
      <c r="B20" s="3" t="str">
        <f>'All Tandem Adjustments'!B51</f>
        <v>0:44</v>
      </c>
      <c r="C20" s="3" t="str">
        <f>'All Tandem Adjustments'!C51</f>
        <v>1:06</v>
      </c>
      <c r="D20" s="3" t="str">
        <f>'All Tandem Adjustments'!D51</f>
        <v>1:53</v>
      </c>
      <c r="E20" s="3" t="str">
        <f>'All Tandem Adjustments'!E51</f>
        <v>2:17</v>
      </c>
      <c r="F20" s="3" t="str">
        <f>'All Tandem Adjustments'!F51</f>
        <v>3:59</v>
      </c>
      <c r="G20" s="3" t="str">
        <f>'All Tandem Adjustments'!G51</f>
        <v>8:57</v>
      </c>
      <c r="H20" s="47">
        <f>'All Tandem Adjustments'!H51</f>
        <v>13.249594907407408</v>
      </c>
      <c r="I20" s="47">
        <f>'All Tandem Adjustments'!I51</f>
        <v>26.14560185185185</v>
      </c>
      <c r="K20" s="4">
        <f>'All Tandem Adjustments'!A79</f>
        <v>86</v>
      </c>
      <c r="L20" s="3" t="str">
        <f>'All Tandem Adjustments'!B79</f>
        <v>3:57</v>
      </c>
      <c r="M20" s="3" t="str">
        <f>'All Tandem Adjustments'!C79</f>
        <v>6:01</v>
      </c>
      <c r="N20" s="3" t="str">
        <f>'All Tandem Adjustments'!D79</f>
        <v>10:22</v>
      </c>
      <c r="O20" s="3" t="str">
        <f>'All Tandem Adjustments'!E79</f>
        <v>12:37</v>
      </c>
      <c r="P20" s="3" t="str">
        <f>'All Tandem Adjustments'!F79</f>
        <v>22:25</v>
      </c>
      <c r="Q20" s="3" t="str">
        <f>'All Tandem Adjustments'!G79</f>
        <v>53:05</v>
      </c>
      <c r="R20" s="47">
        <f>'All Tandem Adjustments'!H79</f>
        <v>54.168402777777779</v>
      </c>
      <c r="S20" s="47">
        <f>'All Tandem Adjustments'!I79</f>
        <v>104.10400462962963</v>
      </c>
    </row>
    <row r="21" spans="1:20" x14ac:dyDescent="0.25">
      <c r="A21" s="4">
        <f>'All Tandem Adjustments'!A52</f>
        <v>59</v>
      </c>
      <c r="B21" s="45" t="str">
        <f>'All Tandem Adjustments'!B52</f>
        <v>0:48</v>
      </c>
      <c r="C21" s="45" t="str">
        <f>'All Tandem Adjustments'!C52</f>
        <v>1:12</v>
      </c>
      <c r="D21" s="45" t="str">
        <f>'All Tandem Adjustments'!D52</f>
        <v>2:03</v>
      </c>
      <c r="E21" s="45" t="str">
        <f>'All Tandem Adjustments'!E52</f>
        <v>2:29</v>
      </c>
      <c r="F21" s="45" t="str">
        <f>'All Tandem Adjustments'!F52</f>
        <v>4:20</v>
      </c>
      <c r="G21" s="45" t="str">
        <f>'All Tandem Adjustments'!G52</f>
        <v>9:45</v>
      </c>
      <c r="H21" s="49">
        <f>'All Tandem Adjustments'!H52</f>
        <v>14.32599537037037</v>
      </c>
      <c r="I21" s="49">
        <f>'All Tandem Adjustments'!I52</f>
        <v>28.251597222222223</v>
      </c>
      <c r="K21" s="4">
        <f>'All Tandem Adjustments'!A80</f>
        <v>87</v>
      </c>
      <c r="L21" s="3" t="str">
        <f>'All Tandem Adjustments'!B80</f>
        <v>4:10</v>
      </c>
      <c r="M21" s="3" t="str">
        <f>'All Tandem Adjustments'!C80</f>
        <v>6:20</v>
      </c>
      <c r="N21" s="3" t="str">
        <f>'All Tandem Adjustments'!D80</f>
        <v>10:54</v>
      </c>
      <c r="O21" s="3" t="str">
        <f>'All Tandem Adjustments'!E80</f>
        <v>13:17</v>
      </c>
      <c r="P21" s="3" t="str">
        <f>'All Tandem Adjustments'!F80</f>
        <v>23:37</v>
      </c>
      <c r="Q21" s="3" t="str">
        <f>'All Tandem Adjustments'!G80</f>
        <v>56:11</v>
      </c>
      <c r="R21" s="47">
        <f>'All Tandem Adjustments'!H80</f>
        <v>56.06640046296296</v>
      </c>
      <c r="S21" s="47">
        <f>'All Tandem Adjustments'!I80</f>
        <v>107.57760416666666</v>
      </c>
    </row>
    <row r="22" spans="1:20" x14ac:dyDescent="0.25">
      <c r="A22" s="4">
        <f>'All Tandem Adjustments'!A53</f>
        <v>60</v>
      </c>
      <c r="B22" s="3" t="str">
        <f>'All Tandem Adjustments'!B53</f>
        <v>0:51</v>
      </c>
      <c r="C22" s="3" t="str">
        <f>'All Tandem Adjustments'!C53</f>
        <v>1:18</v>
      </c>
      <c r="D22" s="3" t="str">
        <f>'All Tandem Adjustments'!D53</f>
        <v>2:13</v>
      </c>
      <c r="E22" s="3" t="str">
        <f>'All Tandem Adjustments'!E53</f>
        <v>2:42</v>
      </c>
      <c r="F22" s="3" t="str">
        <f>'All Tandem Adjustments'!F53</f>
        <v>4:42</v>
      </c>
      <c r="G22" s="3" t="str">
        <f>'All Tandem Adjustments'!G53</f>
        <v>10:35</v>
      </c>
      <c r="H22" s="47">
        <f>'All Tandem Adjustments'!H53</f>
        <v>15.428402777777778</v>
      </c>
      <c r="I22" s="47">
        <f>'All Tandem Adjustments'!I53</f>
        <v>30.414803240740742</v>
      </c>
      <c r="K22" s="4">
        <f>'All Tandem Adjustments'!A81</f>
        <v>88</v>
      </c>
      <c r="L22" s="3" t="str">
        <f>'All Tandem Adjustments'!B81</f>
        <v>4:23</v>
      </c>
      <c r="M22" s="3" t="str">
        <f>'All Tandem Adjustments'!C81</f>
        <v>6:40</v>
      </c>
      <c r="N22" s="3" t="str">
        <f>'All Tandem Adjustments'!D81</f>
        <v>11:28</v>
      </c>
      <c r="O22" s="3" t="str">
        <f>'All Tandem Adjustments'!E81</f>
        <v>14:00</v>
      </c>
      <c r="P22" s="3" t="str">
        <f>'All Tandem Adjustments'!F81</f>
        <v>24:55</v>
      </c>
      <c r="Q22" s="3" t="str">
        <f>'All Tandem Adjustments'!G81</f>
        <v>59:28</v>
      </c>
      <c r="R22" s="47">
        <f>'All Tandem Adjustments'!H81</f>
        <v>57.995601851851852</v>
      </c>
      <c r="S22" s="47">
        <f>'All Tandem Adjustments'!I81</f>
        <v>111.10840277777778</v>
      </c>
    </row>
    <row r="23" spans="1:20" x14ac:dyDescent="0.25">
      <c r="A23" s="4">
        <f>'All Tandem Adjustments'!A54</f>
        <v>61</v>
      </c>
      <c r="B23" s="3" t="str">
        <f>'All Tandem Adjustments'!B54</f>
        <v>0:56</v>
      </c>
      <c r="C23" s="3" t="str">
        <f>'All Tandem Adjustments'!C54</f>
        <v>1:24</v>
      </c>
      <c r="D23" s="3" t="str">
        <f>'All Tandem Adjustments'!D54</f>
        <v>2:24</v>
      </c>
      <c r="E23" s="3" t="str">
        <f>'All Tandem Adjustments'!E54</f>
        <v>2:55</v>
      </c>
      <c r="F23" s="3" t="str">
        <f>'All Tandem Adjustments'!F54</f>
        <v>5:05</v>
      </c>
      <c r="G23" s="3" t="str">
        <f>'All Tandem Adjustments'!G54</f>
        <v>11:27</v>
      </c>
      <c r="H23" s="47">
        <f>'All Tandem Adjustments'!H54</f>
        <v>16.562002314814816</v>
      </c>
      <c r="I23" s="47">
        <f>'All Tandem Adjustments'!I54</f>
        <v>32.630000000000003</v>
      </c>
      <c r="K23" s="4">
        <f>'All Tandem Adjustments'!A82</f>
        <v>89</v>
      </c>
      <c r="L23" s="45" t="str">
        <f>'All Tandem Adjustments'!B82</f>
        <v>4:36</v>
      </c>
      <c r="M23" s="45" t="str">
        <f>'All Tandem Adjustments'!C82</f>
        <v>7:00</v>
      </c>
      <c r="N23" s="45" t="str">
        <f>'All Tandem Adjustments'!D82</f>
        <v>12:04</v>
      </c>
      <c r="O23" s="45" t="str">
        <f>'All Tandem Adjustments'!E82</f>
        <v>14:44</v>
      </c>
      <c r="P23" s="45" t="str">
        <f>'All Tandem Adjustments'!F82</f>
        <v>26:16</v>
      </c>
      <c r="Q23" s="45" t="str">
        <f>'All Tandem Adjustments'!G82</f>
        <v>1:03:00</v>
      </c>
      <c r="R23" s="49">
        <f>'All Tandem Adjustments'!H82</f>
        <v>59.961203703703703</v>
      </c>
      <c r="S23" s="49">
        <f>'All Tandem Adjustments'!I82</f>
        <v>114.68599537037036</v>
      </c>
    </row>
    <row r="24" spans="1:20" x14ac:dyDescent="0.25">
      <c r="A24" s="4">
        <f>'All Tandem Adjustments'!A55</f>
        <v>62</v>
      </c>
      <c r="B24" s="3" t="str">
        <f>'All Tandem Adjustments'!B55</f>
        <v>1:00</v>
      </c>
      <c r="C24" s="3" t="str">
        <f>'All Tandem Adjustments'!C55</f>
        <v>1:31</v>
      </c>
      <c r="D24" s="3" t="str">
        <f>'All Tandem Adjustments'!D55</f>
        <v>2:35</v>
      </c>
      <c r="E24" s="3" t="str">
        <f>'All Tandem Adjustments'!E55</f>
        <v>3:09</v>
      </c>
      <c r="F24" s="3" t="str">
        <f>'All Tandem Adjustments'!F55</f>
        <v>5:29</v>
      </c>
      <c r="G24" s="3" t="str">
        <f>'All Tandem Adjustments'!G55</f>
        <v>12:23</v>
      </c>
      <c r="H24" s="47">
        <f>'All Tandem Adjustments'!H55</f>
        <v>17.726805555555554</v>
      </c>
      <c r="I24" s="47">
        <f>'All Tandem Adjustments'!I55</f>
        <v>34.902395833333337</v>
      </c>
      <c r="K24" s="4">
        <f>'All Tandem Adjustments'!A83</f>
        <v>90</v>
      </c>
      <c r="L24" s="3" t="str">
        <f>'All Tandem Adjustments'!B83</f>
        <v>4:50</v>
      </c>
      <c r="M24" s="3" t="str">
        <f>'All Tandem Adjustments'!C83</f>
        <v>7:23</v>
      </c>
      <c r="N24" s="3" t="str">
        <f>'All Tandem Adjustments'!D83</f>
        <v>12:43</v>
      </c>
      <c r="O24" s="3" t="str">
        <f>'All Tandem Adjustments'!E83</f>
        <v>15:31</v>
      </c>
      <c r="P24" s="3" t="str">
        <f>'All Tandem Adjustments'!F83</f>
        <v>27:43</v>
      </c>
      <c r="Q24" s="3" t="str">
        <f>'All Tandem Adjustments'!G83</f>
        <v>1:06:48</v>
      </c>
      <c r="R24" s="47">
        <f>'All Tandem Adjustments'!H83</f>
        <v>61.963194444444447</v>
      </c>
      <c r="S24" s="47">
        <f>'All Tandem Adjustments'!I83</f>
        <v>118.31560185185185</v>
      </c>
    </row>
    <row r="25" spans="1:20" x14ac:dyDescent="0.25">
      <c r="A25" s="4">
        <f>'All Tandem Adjustments'!A56</f>
        <v>63</v>
      </c>
      <c r="B25" s="3" t="str">
        <f>'All Tandem Adjustments'!B56</f>
        <v>1:04</v>
      </c>
      <c r="C25" s="3" t="str">
        <f>'All Tandem Adjustments'!C56</f>
        <v>1:38</v>
      </c>
      <c r="D25" s="3" t="str">
        <f>'All Tandem Adjustments'!D56</f>
        <v>2:47</v>
      </c>
      <c r="E25" s="3" t="str">
        <f>'All Tandem Adjustments'!E56</f>
        <v>3:23</v>
      </c>
      <c r="F25" s="3" t="str">
        <f>'All Tandem Adjustments'!F56</f>
        <v>5:54</v>
      </c>
      <c r="G25" s="3" t="str">
        <f>'All Tandem Adjustments'!G56</f>
        <v>13:20</v>
      </c>
      <c r="H25" s="47">
        <f>'All Tandem Adjustments'!H56</f>
        <v>18.922800925925927</v>
      </c>
      <c r="I25" s="47">
        <f>'All Tandem Adjustments'!I56</f>
        <v>37.226805555555558</v>
      </c>
      <c r="K25" s="4">
        <f>'All Tandem Adjustments'!A84</f>
        <v>91</v>
      </c>
      <c r="L25" s="3" t="str">
        <f>'All Tandem Adjustments'!B84</f>
        <v>5:05</v>
      </c>
      <c r="M25" s="3" t="str">
        <f>'All Tandem Adjustments'!C84</f>
        <v>7:46</v>
      </c>
      <c r="N25" s="3" t="str">
        <f>'All Tandem Adjustments'!D84</f>
        <v>13:23</v>
      </c>
      <c r="O25" s="3" t="str">
        <f>'All Tandem Adjustments'!E84</f>
        <v>16:21</v>
      </c>
      <c r="P25" s="3" t="str">
        <f>'All Tandem Adjustments'!F84</f>
        <v>29:15</v>
      </c>
      <c r="Q25" s="3" t="str">
        <f>'All Tandem Adjustments'!G84</f>
        <v>1:10:53</v>
      </c>
      <c r="R25" s="47">
        <f>'All Tandem Adjustments'!H84</f>
        <v>64.001597222222216</v>
      </c>
      <c r="S25" s="47">
        <f>'All Tandem Adjustments'!I84</f>
        <v>121.99200231481481</v>
      </c>
    </row>
    <row r="26" spans="1:20" x14ac:dyDescent="0.25">
      <c r="A26" s="4">
        <f>'All Tandem Adjustments'!A57</f>
        <v>64</v>
      </c>
      <c r="B26" s="3" t="str">
        <f>'All Tandem Adjustments'!B57</f>
        <v>1:09</v>
      </c>
      <c r="C26" s="3" t="str">
        <f>'All Tandem Adjustments'!C57</f>
        <v>1:45</v>
      </c>
      <c r="D26" s="3" t="str">
        <f>'All Tandem Adjustments'!D57</f>
        <v>2:59</v>
      </c>
      <c r="E26" s="3" t="str">
        <f>'All Tandem Adjustments'!E57</f>
        <v>3:37</v>
      </c>
      <c r="F26" s="3" t="str">
        <f>'All Tandem Adjustments'!F57</f>
        <v>6:20</v>
      </c>
      <c r="G26" s="3" t="str">
        <f>'All Tandem Adjustments'!G57</f>
        <v>14:19</v>
      </c>
      <c r="H26" s="47">
        <f>'All Tandem Adjustments'!H57</f>
        <v>20.139594907407407</v>
      </c>
      <c r="I26" s="47">
        <f>'All Tandem Adjustments'!I57</f>
        <v>39.597997685185184</v>
      </c>
      <c r="K26" s="4">
        <f>'All Tandem Adjustments'!A85</f>
        <v>92</v>
      </c>
      <c r="L26" s="3" t="str">
        <f>'All Tandem Adjustments'!B85</f>
        <v>5:21</v>
      </c>
      <c r="M26" s="3" t="str">
        <f>'All Tandem Adjustments'!C85</f>
        <v>8:10</v>
      </c>
      <c r="N26" s="3" t="str">
        <f>'All Tandem Adjustments'!D85</f>
        <v>14:06</v>
      </c>
      <c r="O26" s="3" t="str">
        <f>'All Tandem Adjustments'!E85</f>
        <v>17:14</v>
      </c>
      <c r="P26" s="3" t="str">
        <f>'All Tandem Adjustments'!F85</f>
        <v>30:53</v>
      </c>
      <c r="Q26" s="3" t="str">
        <f>'All Tandem Adjustments'!G85</f>
        <v>1:15:19</v>
      </c>
      <c r="R26" s="47">
        <f>'All Tandem Adjustments'!H85</f>
        <v>66.081597222222229</v>
      </c>
      <c r="S26" s="47">
        <f>'All Tandem Adjustments'!I85</f>
        <v>125.72560185185185</v>
      </c>
    </row>
    <row r="27" spans="1:20" x14ac:dyDescent="0.25">
      <c r="A27" s="4">
        <f>'All Tandem Adjustments'!A58</f>
        <v>65</v>
      </c>
      <c r="B27" s="3" t="str">
        <f>'All Tandem Adjustments'!B58</f>
        <v>1:14</v>
      </c>
      <c r="C27" s="3" t="str">
        <f>'All Tandem Adjustments'!C58</f>
        <v>1:52</v>
      </c>
      <c r="D27" s="3" t="str">
        <f>'All Tandem Adjustments'!D58</f>
        <v>3:12</v>
      </c>
      <c r="E27" s="3" t="str">
        <f>'All Tandem Adjustments'!E58</f>
        <v>3:53</v>
      </c>
      <c r="F27" s="3" t="str">
        <f>'All Tandem Adjustments'!F58</f>
        <v>6:47</v>
      </c>
      <c r="G27" s="3" t="str">
        <f>'All Tandem Adjustments'!G58</f>
        <v>15:22</v>
      </c>
      <c r="H27" s="47">
        <f>'All Tandem Adjustments'!H58</f>
        <v>21.392800925925926</v>
      </c>
      <c r="I27" s="47">
        <f>'All Tandem Adjustments'!I58</f>
        <v>42.026400462962961</v>
      </c>
      <c r="K27" s="4">
        <f>'All Tandem Adjustments'!A86</f>
        <v>93</v>
      </c>
      <c r="L27" s="3" t="str">
        <f>'All Tandem Adjustments'!B86</f>
        <v>5:38</v>
      </c>
      <c r="M27" s="3" t="str">
        <f>'All Tandem Adjustments'!C86</f>
        <v>8:36</v>
      </c>
      <c r="N27" s="3" t="str">
        <f>'All Tandem Adjustments'!D86</f>
        <v>14:52</v>
      </c>
      <c r="O27" s="3" t="str">
        <f>'All Tandem Adjustments'!E86</f>
        <v>18:11</v>
      </c>
      <c r="P27" s="3" t="str">
        <f>'All Tandem Adjustments'!F86</f>
        <v>32:38</v>
      </c>
      <c r="Q27" s="3" t="str">
        <f>'All Tandem Adjustments'!G86</f>
        <v>1:20:07</v>
      </c>
      <c r="R27" s="47">
        <f>'All Tandem Adjustments'!H86</f>
        <v>68.203194444444449</v>
      </c>
      <c r="S27" s="47">
        <f>'All Tandem Adjustments'!I86</f>
        <v>129.5112037037037</v>
      </c>
    </row>
    <row r="28" spans="1:20" x14ac:dyDescent="0.25">
      <c r="A28" s="4">
        <f>'All Tandem Adjustments'!A59</f>
        <v>66</v>
      </c>
      <c r="B28" s="3" t="str">
        <f>'All Tandem Adjustments'!B59</f>
        <v>1:19</v>
      </c>
      <c r="C28" s="3" t="str">
        <f>'All Tandem Adjustments'!C59</f>
        <v>2:00</v>
      </c>
      <c r="D28" s="3" t="str">
        <f>'All Tandem Adjustments'!D59</f>
        <v>3:25</v>
      </c>
      <c r="E28" s="3" t="str">
        <f>'All Tandem Adjustments'!E59</f>
        <v>4:09</v>
      </c>
      <c r="F28" s="3" t="str">
        <f>'All Tandem Adjustments'!F59</f>
        <v>7:15</v>
      </c>
      <c r="G28" s="3" t="str">
        <f>'All Tandem Adjustments'!G59</f>
        <v>16:27</v>
      </c>
      <c r="H28" s="47">
        <f>'All Tandem Adjustments'!H59</f>
        <v>22.666805555555555</v>
      </c>
      <c r="I28" s="47">
        <f>'All Tandem Adjustments'!I59</f>
        <v>44.506805555555559</v>
      </c>
      <c r="K28" s="4">
        <f>'All Tandem Adjustments'!A87</f>
        <v>94</v>
      </c>
      <c r="L28" s="3" t="str">
        <f>'All Tandem Adjustments'!B87</f>
        <v>5:56</v>
      </c>
      <c r="M28" s="3" t="str">
        <f>'All Tandem Adjustments'!C87</f>
        <v>9:04</v>
      </c>
      <c r="N28" s="3" t="str">
        <f>'All Tandem Adjustments'!D87</f>
        <v>15:41</v>
      </c>
      <c r="O28" s="3" t="str">
        <f>'All Tandem Adjustments'!E87</f>
        <v>19:11</v>
      </c>
      <c r="P28" s="3" t="str">
        <f>'All Tandem Adjustments'!F87</f>
        <v>34:32</v>
      </c>
      <c r="Q28" s="3" t="str">
        <f>'All Tandem Adjustments'!G87</f>
        <v>1:25:21</v>
      </c>
      <c r="R28" s="47">
        <f>'All Tandem Adjustments'!H87</f>
        <v>70.366400462962957</v>
      </c>
      <c r="S28" s="47">
        <f>'All Tandem Adjustments'!I87</f>
        <v>133.35400462962963</v>
      </c>
    </row>
    <row r="29" spans="1:20" x14ac:dyDescent="0.25">
      <c r="A29" s="4">
        <f>'All Tandem Adjustments'!A60</f>
        <v>67</v>
      </c>
      <c r="B29" s="3" t="str">
        <f>'All Tandem Adjustments'!B60</f>
        <v>1:24</v>
      </c>
      <c r="C29" s="3" t="str">
        <f>'All Tandem Adjustments'!C60</f>
        <v>2:08</v>
      </c>
      <c r="D29" s="3" t="str">
        <f>'All Tandem Adjustments'!D60</f>
        <v>3:38</v>
      </c>
      <c r="E29" s="3" t="str">
        <f>'All Tandem Adjustments'!E60</f>
        <v>4:26</v>
      </c>
      <c r="F29" s="3" t="str">
        <f>'All Tandem Adjustments'!F60</f>
        <v>7:45</v>
      </c>
      <c r="G29" s="3" t="str">
        <f>'All Tandem Adjustments'!G60</f>
        <v>17:35</v>
      </c>
      <c r="H29" s="47">
        <f>'All Tandem Adjustments'!H60</f>
        <v>23.977199074074075</v>
      </c>
      <c r="I29" s="47">
        <f>'All Tandem Adjustments'!I60</f>
        <v>47.034004629629628</v>
      </c>
      <c r="K29" s="4">
        <f>'All Tandem Adjustments'!A88</f>
        <v>95</v>
      </c>
      <c r="L29" s="3" t="str">
        <f>'All Tandem Adjustments'!B88</f>
        <v>6:15</v>
      </c>
      <c r="M29" s="3" t="str">
        <f>'All Tandem Adjustments'!C88</f>
        <v>9:34</v>
      </c>
      <c r="N29" s="3" t="str">
        <f>'All Tandem Adjustments'!D88</f>
        <v>16:33</v>
      </c>
      <c r="O29" s="3" t="str">
        <f>'All Tandem Adjustments'!E88</f>
        <v>20:15</v>
      </c>
      <c r="P29" s="3" t="str">
        <f>'All Tandem Adjustments'!F88</f>
        <v>36:33</v>
      </c>
      <c r="Q29" s="3" t="str">
        <f>'All Tandem Adjustments'!G88</f>
        <v>1:31:05</v>
      </c>
      <c r="R29" s="47">
        <f>'All Tandem Adjustments'!H88</f>
        <v>72.576400462962965</v>
      </c>
      <c r="S29" s="47">
        <f>'All Tandem Adjustments'!I88</f>
        <v>137.24879629629629</v>
      </c>
      <c r="T29" s="28">
        <f>Revision</f>
        <v>2024</v>
      </c>
    </row>
  </sheetData>
  <sheetProtection algorithmName="SHA-512" hashValue="LRkswTaHCLUyJ2mXu692yHQ1wKDO0iKLFYgMw2PD7wzdfsvQGnlnkSZC17s8tCWBvg3u6sK0mKd2WJvJ1iQLRw==" saltValue="GOX2uJlnKjKOOYasTeEajQ=="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ADJUSTMENTS (PER RIDER) OPEN TANDEM BICYCLE</oddHeader>
    <oddFooter>&amp;L&amp;F&amp;CA tandem combined handicap is derived by adding the two individual handicap from this and/or facing table
Page &amp;P of &amp;N&amp;R&amp;D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E4E00-1314-4F0B-8E04-ACC808FB86BF}">
  <sheetPr codeName="Sheet9">
    <pageSetUpPr fitToPage="1"/>
  </sheetPr>
  <dimension ref="A1:T29"/>
  <sheetViews>
    <sheetView zoomScale="75" zoomScaleNormal="75" workbookViewId="0"/>
  </sheetViews>
  <sheetFormatPr defaultRowHeight="15" x14ac:dyDescent="0.25"/>
  <cols>
    <col min="1" max="1" width="4.5703125" customWidth="1"/>
    <col min="2" max="9" width="8.5703125" customWidth="1"/>
    <col min="10" max="11" width="4.5703125" customWidth="1"/>
    <col min="12" max="19" width="8.5703125" customWidth="1"/>
  </cols>
  <sheetData>
    <row r="1" spans="1:19" s="11" customFormat="1" x14ac:dyDescent="0.25">
      <c r="A1" s="9" t="s">
        <v>1</v>
      </c>
      <c r="B1" s="10" t="s">
        <v>13</v>
      </c>
      <c r="C1" s="10" t="s">
        <v>14</v>
      </c>
      <c r="D1" s="10" t="s">
        <v>15</v>
      </c>
      <c r="E1" s="10" t="s">
        <v>16</v>
      </c>
      <c r="F1" s="10" t="s">
        <v>17</v>
      </c>
      <c r="G1" s="10" t="s">
        <v>18</v>
      </c>
      <c r="H1" s="60" t="s">
        <v>19</v>
      </c>
      <c r="I1" s="60" t="s">
        <v>20</v>
      </c>
      <c r="J1" s="12"/>
      <c r="K1" s="9" t="s">
        <v>1</v>
      </c>
      <c r="L1" s="10" t="s">
        <v>13</v>
      </c>
      <c r="M1" s="10" t="s">
        <v>14</v>
      </c>
      <c r="N1" s="10" t="s">
        <v>15</v>
      </c>
      <c r="O1" s="10" t="s">
        <v>16</v>
      </c>
      <c r="P1" s="10" t="s">
        <v>17</v>
      </c>
      <c r="Q1" s="10" t="s">
        <v>18</v>
      </c>
      <c r="R1" s="60" t="s">
        <v>19</v>
      </c>
      <c r="S1" s="60" t="s">
        <v>20</v>
      </c>
    </row>
    <row r="2" spans="1:19" x14ac:dyDescent="0.25">
      <c r="A2" s="4">
        <f>'All Tandem Adjustments'!A33</f>
        <v>40</v>
      </c>
      <c r="B2" s="3" t="str">
        <f>'All Tandem Adjustments'!J33</f>
        <v>1:12</v>
      </c>
      <c r="C2" s="3" t="str">
        <f>'All Tandem Adjustments'!K33</f>
        <v>1:49</v>
      </c>
      <c r="D2" s="3" t="str">
        <f>'All Tandem Adjustments'!L33</f>
        <v>3:03</v>
      </c>
      <c r="E2" s="3" t="str">
        <f>'All Tandem Adjustments'!M33</f>
        <v>3:41</v>
      </c>
      <c r="F2" s="3" t="str">
        <f>'All Tandem Adjustments'!N33</f>
        <v>6:13</v>
      </c>
      <c r="G2" s="3" t="str">
        <f>'All Tandem Adjustments'!O33</f>
        <v>12:53</v>
      </c>
      <c r="H2" s="47">
        <f>'All Tandem Adjustments'!P33</f>
        <v>14.003599537037037</v>
      </c>
      <c r="I2" s="47">
        <f>'All Tandem Adjustments'!Q33</f>
        <v>19.531203703703703</v>
      </c>
      <c r="K2" s="4">
        <f>'All Tandem Adjustments'!A61</f>
        <v>68</v>
      </c>
      <c r="L2" s="3" t="str">
        <f>'All Tandem Adjustments'!J61</f>
        <v>2:53</v>
      </c>
      <c r="M2" s="3" t="str">
        <f>'All Tandem Adjustments'!K61</f>
        <v>4:22</v>
      </c>
      <c r="N2" s="3" t="str">
        <f>'All Tandem Adjustments'!L61</f>
        <v>7:25</v>
      </c>
      <c r="O2" s="3" t="str">
        <f>'All Tandem Adjustments'!M61</f>
        <v>8:59</v>
      </c>
      <c r="P2" s="3" t="str">
        <f>'All Tandem Adjustments'!N61</f>
        <v>15:30</v>
      </c>
      <c r="Q2" s="3" t="str">
        <f>'All Tandem Adjustments'!O61</f>
        <v>33:59</v>
      </c>
      <c r="R2" s="47">
        <f>'All Tandem Adjustments'!P61</f>
        <v>36.462395833333332</v>
      </c>
      <c r="S2" s="47">
        <f>'All Tandem Adjustments'!Q61</f>
        <v>63.752002314814817</v>
      </c>
    </row>
    <row r="3" spans="1:19" x14ac:dyDescent="0.25">
      <c r="A3" s="4">
        <f>'All Tandem Adjustments'!A34</f>
        <v>41</v>
      </c>
      <c r="B3" s="3" t="str">
        <f>'All Tandem Adjustments'!J34</f>
        <v>1:13</v>
      </c>
      <c r="C3" s="3" t="str">
        <f>'All Tandem Adjustments'!K34</f>
        <v>1:50</v>
      </c>
      <c r="D3" s="3" t="str">
        <f>'All Tandem Adjustments'!L34</f>
        <v>3:05</v>
      </c>
      <c r="E3" s="3" t="str">
        <f>'All Tandem Adjustments'!M34</f>
        <v>3:43</v>
      </c>
      <c r="F3" s="3" t="str">
        <f>'All Tandem Adjustments'!N34</f>
        <v>6:16</v>
      </c>
      <c r="G3" s="3" t="str">
        <f>'All Tandem Adjustments'!O34</f>
        <v>13:01</v>
      </c>
      <c r="H3" s="47">
        <f>'All Tandem Adjustments'!P34</f>
        <v>14.211597222222222</v>
      </c>
      <c r="I3" s="47">
        <f>'All Tandem Adjustments'!Q34</f>
        <v>20.009594907407408</v>
      </c>
      <c r="K3" s="4">
        <f>'All Tandem Adjustments'!A62</f>
        <v>69</v>
      </c>
      <c r="L3" s="45" t="str">
        <f>'All Tandem Adjustments'!J62</f>
        <v>3:00</v>
      </c>
      <c r="M3" s="45" t="str">
        <f>'All Tandem Adjustments'!K62</f>
        <v>4:33</v>
      </c>
      <c r="N3" s="45" t="str">
        <f>'All Tandem Adjustments'!L62</f>
        <v>7:42</v>
      </c>
      <c r="O3" s="45" t="str">
        <f>'All Tandem Adjustments'!M62</f>
        <v>9:20</v>
      </c>
      <c r="P3" s="45" t="str">
        <f>'All Tandem Adjustments'!N62</f>
        <v>16:07</v>
      </c>
      <c r="Q3" s="45" t="str">
        <f>'All Tandem Adjustments'!O62</f>
        <v>35:24</v>
      </c>
      <c r="R3" s="49">
        <f>'All Tandem Adjustments'!P62</f>
        <v>37.705196759259259</v>
      </c>
      <c r="S3" s="49">
        <f>'All Tandem Adjustments'!Q62</f>
        <v>66.149201388888883</v>
      </c>
    </row>
    <row r="4" spans="1:19" x14ac:dyDescent="0.25">
      <c r="A4" s="4">
        <f>'All Tandem Adjustments'!A35</f>
        <v>42</v>
      </c>
      <c r="B4" s="3" t="str">
        <f>'All Tandem Adjustments'!J35</f>
        <v>1:13</v>
      </c>
      <c r="C4" s="3" t="str">
        <f>'All Tandem Adjustments'!K35</f>
        <v>1:51</v>
      </c>
      <c r="D4" s="3" t="str">
        <f>'All Tandem Adjustments'!L35</f>
        <v>3:06</v>
      </c>
      <c r="E4" s="3" t="str">
        <f>'All Tandem Adjustments'!M35</f>
        <v>3:45</v>
      </c>
      <c r="F4" s="3" t="str">
        <f>'All Tandem Adjustments'!N35</f>
        <v>6:20</v>
      </c>
      <c r="G4" s="3" t="str">
        <f>'All Tandem Adjustments'!O35</f>
        <v>13:10</v>
      </c>
      <c r="H4" s="47">
        <f>'All Tandem Adjustments'!P35</f>
        <v>14.435196759259259</v>
      </c>
      <c r="I4" s="47">
        <f>'All Tandem Adjustments'!Q35</f>
        <v>20.545196759259259</v>
      </c>
      <c r="K4" s="4">
        <f>'All Tandem Adjustments'!A63</f>
        <v>70</v>
      </c>
      <c r="L4" s="3" t="str">
        <f>'All Tandem Adjustments'!J63</f>
        <v>3:07</v>
      </c>
      <c r="M4" s="3" t="str">
        <f>'All Tandem Adjustments'!K63</f>
        <v>4:43</v>
      </c>
      <c r="N4" s="3" t="str">
        <f>'All Tandem Adjustments'!L63</f>
        <v>8:00</v>
      </c>
      <c r="O4" s="3" t="str">
        <f>'All Tandem Adjustments'!M63</f>
        <v>9:41</v>
      </c>
      <c r="P4" s="3" t="str">
        <f>'All Tandem Adjustments'!N63</f>
        <v>16:44</v>
      </c>
      <c r="Q4" s="3" t="str">
        <f>'All Tandem Adjustments'!O63</f>
        <v>36:51</v>
      </c>
      <c r="R4" s="47">
        <f>'All Tandem Adjustments'!P63</f>
        <v>38.937604166666667</v>
      </c>
      <c r="S4" s="47">
        <f>'All Tandem Adjustments'!Q63</f>
        <v>68.546400462962964</v>
      </c>
    </row>
    <row r="5" spans="1:19" x14ac:dyDescent="0.25">
      <c r="A5" s="4">
        <f>'All Tandem Adjustments'!A36</f>
        <v>43</v>
      </c>
      <c r="B5" s="3" t="str">
        <f>'All Tandem Adjustments'!J36</f>
        <v>1:14</v>
      </c>
      <c r="C5" s="3" t="str">
        <f>'All Tandem Adjustments'!K36</f>
        <v>1:52</v>
      </c>
      <c r="D5" s="3" t="str">
        <f>'All Tandem Adjustments'!L36</f>
        <v>3:08</v>
      </c>
      <c r="E5" s="3" t="str">
        <f>'All Tandem Adjustments'!M36</f>
        <v>3:47</v>
      </c>
      <c r="F5" s="3" t="str">
        <f>'All Tandem Adjustments'!N36</f>
        <v>6:24</v>
      </c>
      <c r="G5" s="3" t="str">
        <f>'All Tandem Adjustments'!O36</f>
        <v>13:18</v>
      </c>
      <c r="H5" s="47">
        <f>'All Tandem Adjustments'!P36</f>
        <v>14.679594907407408</v>
      </c>
      <c r="I5" s="47">
        <f>'All Tandem Adjustments'!Q36</f>
        <v>21.127604166666668</v>
      </c>
      <c r="K5" s="4">
        <f>'All Tandem Adjustments'!A64</f>
        <v>71</v>
      </c>
      <c r="L5" s="3" t="str">
        <f>'All Tandem Adjustments'!J64</f>
        <v>3:13</v>
      </c>
      <c r="M5" s="3" t="str">
        <f>'All Tandem Adjustments'!K64</f>
        <v>4:53</v>
      </c>
      <c r="N5" s="3" t="str">
        <f>'All Tandem Adjustments'!L64</f>
        <v>8:18</v>
      </c>
      <c r="O5" s="3" t="str">
        <f>'All Tandem Adjustments'!M64</f>
        <v>10:03</v>
      </c>
      <c r="P5" s="3" t="str">
        <f>'All Tandem Adjustments'!N64</f>
        <v>17:23</v>
      </c>
      <c r="Q5" s="3" t="str">
        <f>'All Tandem Adjustments'!O64</f>
        <v>38:23</v>
      </c>
      <c r="R5" s="47">
        <f>'All Tandem Adjustments'!P64</f>
        <v>40.201203703703705</v>
      </c>
      <c r="S5" s="47">
        <f>'All Tandem Adjustments'!Q64</f>
        <v>70.985196759259253</v>
      </c>
    </row>
    <row r="6" spans="1:19" x14ac:dyDescent="0.25">
      <c r="A6" s="4">
        <f>'All Tandem Adjustments'!A37</f>
        <v>44</v>
      </c>
      <c r="B6" s="3" t="str">
        <f>'All Tandem Adjustments'!J37</f>
        <v>1:15</v>
      </c>
      <c r="C6" s="3" t="str">
        <f>'All Tandem Adjustments'!K37</f>
        <v>1:53</v>
      </c>
      <c r="D6" s="3" t="str">
        <f>'All Tandem Adjustments'!L37</f>
        <v>3:10</v>
      </c>
      <c r="E6" s="3" t="str">
        <f>'All Tandem Adjustments'!M37</f>
        <v>3:49</v>
      </c>
      <c r="F6" s="3" t="str">
        <f>'All Tandem Adjustments'!N37</f>
        <v>6:27</v>
      </c>
      <c r="G6" s="3" t="str">
        <f>'All Tandem Adjustments'!O37</f>
        <v>13:28</v>
      </c>
      <c r="H6" s="47">
        <f>'All Tandem Adjustments'!P37</f>
        <v>14.944803240740741</v>
      </c>
      <c r="I6" s="47">
        <f>'All Tandem Adjustments'!Q37</f>
        <v>21.772395833333334</v>
      </c>
      <c r="K6" s="4">
        <f>'All Tandem Adjustments'!A65</f>
        <v>72</v>
      </c>
      <c r="L6" s="3" t="str">
        <f>'All Tandem Adjustments'!J65</f>
        <v>3:21</v>
      </c>
      <c r="M6" s="3" t="str">
        <f>'All Tandem Adjustments'!K65</f>
        <v>5:04</v>
      </c>
      <c r="N6" s="3" t="str">
        <f>'All Tandem Adjustments'!L65</f>
        <v>8:36</v>
      </c>
      <c r="O6" s="3" t="str">
        <f>'All Tandem Adjustments'!M65</f>
        <v>10:26</v>
      </c>
      <c r="P6" s="3" t="str">
        <f>'All Tandem Adjustments'!N65</f>
        <v>18:03</v>
      </c>
      <c r="Q6" s="3" t="str">
        <f>'All Tandem Adjustments'!O65</f>
        <v>39:58</v>
      </c>
      <c r="R6" s="47">
        <f>'All Tandem Adjustments'!P65</f>
        <v>41.485601851851854</v>
      </c>
      <c r="S6" s="47">
        <f>'All Tandem Adjustments'!Q65</f>
        <v>73.47599537037037</v>
      </c>
    </row>
    <row r="7" spans="1:19" x14ac:dyDescent="0.25">
      <c r="A7" s="4">
        <f>'All Tandem Adjustments'!A38</f>
        <v>45</v>
      </c>
      <c r="B7" s="3" t="str">
        <f>'All Tandem Adjustments'!J38</f>
        <v>1:15</v>
      </c>
      <c r="C7" s="3" t="str">
        <f>'All Tandem Adjustments'!K38</f>
        <v>1:54</v>
      </c>
      <c r="D7" s="3" t="str">
        <f>'All Tandem Adjustments'!L38</f>
        <v>3:12</v>
      </c>
      <c r="E7" s="3" t="str">
        <f>'All Tandem Adjustments'!M38</f>
        <v>3:51</v>
      </c>
      <c r="F7" s="3" t="str">
        <f>'All Tandem Adjustments'!N38</f>
        <v>6:32</v>
      </c>
      <c r="G7" s="3" t="str">
        <f>'All Tandem Adjustments'!O38</f>
        <v>13:39</v>
      </c>
      <c r="H7" s="47">
        <f>'All Tandem Adjustments'!P38</f>
        <v>15.23599537037037</v>
      </c>
      <c r="I7" s="47">
        <f>'All Tandem Adjustments'!Q38</f>
        <v>22.474398148148147</v>
      </c>
      <c r="K7" s="4">
        <f>'All Tandem Adjustments'!A66</f>
        <v>73</v>
      </c>
      <c r="L7" s="3" t="str">
        <f>'All Tandem Adjustments'!J66</f>
        <v>3:28</v>
      </c>
      <c r="M7" s="3" t="str">
        <f>'All Tandem Adjustments'!K66</f>
        <v>5:15</v>
      </c>
      <c r="N7" s="3" t="str">
        <f>'All Tandem Adjustments'!L66</f>
        <v>8:56</v>
      </c>
      <c r="O7" s="3" t="str">
        <f>'All Tandem Adjustments'!M66</f>
        <v>10:49</v>
      </c>
      <c r="P7" s="3" t="str">
        <f>'All Tandem Adjustments'!N66</f>
        <v>18:46</v>
      </c>
      <c r="Q7" s="3" t="str">
        <f>'All Tandem Adjustments'!O66</f>
        <v>41:37</v>
      </c>
      <c r="R7" s="47">
        <f>'All Tandem Adjustments'!P66</f>
        <v>42.79599537037037</v>
      </c>
      <c r="S7" s="47">
        <f>'All Tandem Adjustments'!Q66</f>
        <v>76.003194444444446</v>
      </c>
    </row>
    <row r="8" spans="1:19" x14ac:dyDescent="0.25">
      <c r="A8" s="4">
        <f>'All Tandem Adjustments'!A39</f>
        <v>46</v>
      </c>
      <c r="B8" s="3" t="str">
        <f>'All Tandem Adjustments'!J39</f>
        <v>1:16</v>
      </c>
      <c r="C8" s="3" t="str">
        <f>'All Tandem Adjustments'!K39</f>
        <v>1:55</v>
      </c>
      <c r="D8" s="3" t="str">
        <f>'All Tandem Adjustments'!L39</f>
        <v>3:14</v>
      </c>
      <c r="E8" s="3" t="str">
        <f>'All Tandem Adjustments'!M39</f>
        <v>3:54</v>
      </c>
      <c r="F8" s="3" t="str">
        <f>'All Tandem Adjustments'!N39</f>
        <v>6:36</v>
      </c>
      <c r="G8" s="3" t="str">
        <f>'All Tandem Adjustments'!O39</f>
        <v>13:51</v>
      </c>
      <c r="H8" s="47">
        <f>'All Tandem Adjustments'!P39</f>
        <v>15.558402777777777</v>
      </c>
      <c r="I8" s="47">
        <f>'All Tandem Adjustments'!Q39</f>
        <v>23.244004629629629</v>
      </c>
      <c r="K8" s="4">
        <f>'All Tandem Adjustments'!A67</f>
        <v>74</v>
      </c>
      <c r="L8" s="3" t="str">
        <f>'All Tandem Adjustments'!J67</f>
        <v>3:36</v>
      </c>
      <c r="M8" s="3" t="str">
        <f>'All Tandem Adjustments'!K67</f>
        <v>5:27</v>
      </c>
      <c r="N8" s="3" t="str">
        <f>'All Tandem Adjustments'!L67</f>
        <v>9:16</v>
      </c>
      <c r="O8" s="3" t="str">
        <f>'All Tandem Adjustments'!M67</f>
        <v>11:14</v>
      </c>
      <c r="P8" s="3" t="str">
        <f>'All Tandem Adjustments'!N67</f>
        <v>19:30</v>
      </c>
      <c r="Q8" s="3" t="str">
        <f>'All Tandem Adjustments'!O67</f>
        <v>43:21</v>
      </c>
      <c r="R8" s="47">
        <f>'All Tandem Adjustments'!P67</f>
        <v>44.132395833333334</v>
      </c>
      <c r="S8" s="47">
        <f>'All Tandem Adjustments'!Q67</f>
        <v>78.577199074074073</v>
      </c>
    </row>
    <row r="9" spans="1:19" x14ac:dyDescent="0.25">
      <c r="A9" s="4">
        <f>'All Tandem Adjustments'!A40</f>
        <v>47</v>
      </c>
      <c r="B9" s="3" t="str">
        <f>'All Tandem Adjustments'!J40</f>
        <v>1:17</v>
      </c>
      <c r="C9" s="3" t="str">
        <f>'All Tandem Adjustments'!K40</f>
        <v>1:57</v>
      </c>
      <c r="D9" s="3" t="str">
        <f>'All Tandem Adjustments'!L40</f>
        <v>3:16</v>
      </c>
      <c r="E9" s="3" t="str">
        <f>'All Tandem Adjustments'!M40</f>
        <v>3:57</v>
      </c>
      <c r="F9" s="3" t="str">
        <f>'All Tandem Adjustments'!N40</f>
        <v>6:42</v>
      </c>
      <c r="G9" s="3" t="str">
        <f>'All Tandem Adjustments'!O40</f>
        <v>14:05</v>
      </c>
      <c r="H9" s="47">
        <f>'All Tandem Adjustments'!P40</f>
        <v>15.917199074074073</v>
      </c>
      <c r="I9" s="47">
        <f>'All Tandem Adjustments'!Q40</f>
        <v>24.086400462962963</v>
      </c>
      <c r="K9" s="4">
        <f>'All Tandem Adjustments'!A68</f>
        <v>75</v>
      </c>
      <c r="L9" s="3" t="str">
        <f>'All Tandem Adjustments'!J68</f>
        <v>3:44</v>
      </c>
      <c r="M9" s="3" t="str">
        <f>'All Tandem Adjustments'!K68</f>
        <v>5:39</v>
      </c>
      <c r="N9" s="3" t="str">
        <f>'All Tandem Adjustments'!L68</f>
        <v>9:37</v>
      </c>
      <c r="O9" s="3" t="str">
        <f>'All Tandem Adjustments'!M68</f>
        <v>11:40</v>
      </c>
      <c r="P9" s="3" t="str">
        <f>'All Tandem Adjustments'!N68</f>
        <v>20:16</v>
      </c>
      <c r="Q9" s="3" t="str">
        <f>'All Tandem Adjustments'!O68</f>
        <v>45:10</v>
      </c>
      <c r="R9" s="47">
        <f>'All Tandem Adjustments'!P68</f>
        <v>45.489594907407408</v>
      </c>
      <c r="S9" s="47">
        <f>'All Tandem Adjustments'!Q68</f>
        <v>81.192800925925923</v>
      </c>
    </row>
    <row r="10" spans="1:19" x14ac:dyDescent="0.25">
      <c r="A10" s="4">
        <f>'All Tandem Adjustments'!A41</f>
        <v>48</v>
      </c>
      <c r="B10" s="3" t="str">
        <f>'All Tandem Adjustments'!J41</f>
        <v>1:18</v>
      </c>
      <c r="C10" s="3" t="str">
        <f>'All Tandem Adjustments'!K41</f>
        <v>1:58</v>
      </c>
      <c r="D10" s="3" t="str">
        <f>'All Tandem Adjustments'!L41</f>
        <v>3:19</v>
      </c>
      <c r="E10" s="3" t="str">
        <f>'All Tandem Adjustments'!M41</f>
        <v>4:00</v>
      </c>
      <c r="F10" s="3" t="str">
        <f>'All Tandem Adjustments'!N41</f>
        <v>6:48</v>
      </c>
      <c r="G10" s="3" t="str">
        <f>'All Tandem Adjustments'!O41</f>
        <v>14:20</v>
      </c>
      <c r="H10" s="47">
        <f>'All Tandem Adjustments'!P41</f>
        <v>16.307199074074074</v>
      </c>
      <c r="I10" s="47">
        <f>'All Tandem Adjustments'!Q41</f>
        <v>24.996400462962963</v>
      </c>
      <c r="K10" s="4">
        <f>'All Tandem Adjustments'!A69</f>
        <v>76</v>
      </c>
      <c r="L10" s="3" t="str">
        <f>'All Tandem Adjustments'!J69</f>
        <v>3:52</v>
      </c>
      <c r="M10" s="3" t="str">
        <f>'All Tandem Adjustments'!K69</f>
        <v>5:52</v>
      </c>
      <c r="N10" s="3" t="str">
        <f>'All Tandem Adjustments'!L69</f>
        <v>10:00</v>
      </c>
      <c r="O10" s="3" t="str">
        <f>'All Tandem Adjustments'!M69</f>
        <v>12:07</v>
      </c>
      <c r="P10" s="3" t="str">
        <f>'All Tandem Adjustments'!N69</f>
        <v>21:04</v>
      </c>
      <c r="Q10" s="3" t="str">
        <f>'All Tandem Adjustments'!O69</f>
        <v>47:05</v>
      </c>
      <c r="R10" s="47">
        <f>'All Tandem Adjustments'!P69</f>
        <v>46.877997685185186</v>
      </c>
      <c r="S10" s="47">
        <f>'All Tandem Adjustments'!Q69</f>
        <v>83.855196759259258</v>
      </c>
    </row>
    <row r="11" spans="1:19" x14ac:dyDescent="0.25">
      <c r="A11" s="4">
        <f>'All Tandem Adjustments'!A42</f>
        <v>49</v>
      </c>
      <c r="B11" s="45" t="str">
        <f>'All Tandem Adjustments'!J42</f>
        <v>1:20</v>
      </c>
      <c r="C11" s="45" t="str">
        <f>'All Tandem Adjustments'!K42</f>
        <v>2:00</v>
      </c>
      <c r="D11" s="45" t="str">
        <f>'All Tandem Adjustments'!L42</f>
        <v>3:23</v>
      </c>
      <c r="E11" s="45" t="str">
        <f>'All Tandem Adjustments'!M42</f>
        <v>4:05</v>
      </c>
      <c r="F11" s="45" t="str">
        <f>'All Tandem Adjustments'!N42</f>
        <v>6:56</v>
      </c>
      <c r="G11" s="45" t="str">
        <f>'All Tandem Adjustments'!O42</f>
        <v>14:37</v>
      </c>
      <c r="H11" s="49">
        <f>'All Tandem Adjustments'!P42</f>
        <v>16.733599537037037</v>
      </c>
      <c r="I11" s="49">
        <f>'All Tandem Adjustments'!Q42</f>
        <v>25.984398148148149</v>
      </c>
      <c r="K11" s="4">
        <f>'All Tandem Adjustments'!A70</f>
        <v>77</v>
      </c>
      <c r="L11" s="3" t="str">
        <f>'All Tandem Adjustments'!J70</f>
        <v>4:01</v>
      </c>
      <c r="M11" s="3" t="str">
        <f>'All Tandem Adjustments'!K70</f>
        <v>6:06</v>
      </c>
      <c r="N11" s="3" t="str">
        <f>'All Tandem Adjustments'!L70</f>
        <v>10:23</v>
      </c>
      <c r="O11" s="3" t="str">
        <f>'All Tandem Adjustments'!M70</f>
        <v>12:35</v>
      </c>
      <c r="P11" s="3" t="str">
        <f>'All Tandem Adjustments'!N70</f>
        <v>21:54</v>
      </c>
      <c r="Q11" s="3" t="str">
        <f>'All Tandem Adjustments'!O70</f>
        <v>49:04</v>
      </c>
      <c r="R11" s="47">
        <f>'All Tandem Adjustments'!P70</f>
        <v>48.29239583333333</v>
      </c>
      <c r="S11" s="47">
        <f>'All Tandem Adjustments'!Q70</f>
        <v>86.559201388888894</v>
      </c>
    </row>
    <row r="12" spans="1:19" x14ac:dyDescent="0.25">
      <c r="A12" s="4">
        <f>'All Tandem Adjustments'!A43</f>
        <v>50</v>
      </c>
      <c r="B12" s="3" t="str">
        <f>'All Tandem Adjustments'!J43</f>
        <v>1:21</v>
      </c>
      <c r="C12" s="3" t="str">
        <f>'All Tandem Adjustments'!K43</f>
        <v>2:02</v>
      </c>
      <c r="D12" s="3" t="str">
        <f>'All Tandem Adjustments'!L43</f>
        <v>3:26</v>
      </c>
      <c r="E12" s="3" t="str">
        <f>'All Tandem Adjustments'!M43</f>
        <v>4:09</v>
      </c>
      <c r="F12" s="3" t="str">
        <f>'All Tandem Adjustments'!N43</f>
        <v>7:04</v>
      </c>
      <c r="G12" s="3" t="str">
        <f>'All Tandem Adjustments'!O43</f>
        <v>14:57</v>
      </c>
      <c r="H12" s="47">
        <f>'All Tandem Adjustments'!P43</f>
        <v>17.212002314814814</v>
      </c>
      <c r="I12" s="47">
        <f>'All Tandem Adjustments'!Q43</f>
        <v>27.055601851851851</v>
      </c>
      <c r="K12" s="4">
        <f>'All Tandem Adjustments'!A71</f>
        <v>78</v>
      </c>
      <c r="L12" s="3" t="str">
        <f>'All Tandem Adjustments'!J71</f>
        <v>4:11</v>
      </c>
      <c r="M12" s="3" t="str">
        <f>'All Tandem Adjustments'!K71</f>
        <v>6:20</v>
      </c>
      <c r="N12" s="3" t="str">
        <f>'All Tandem Adjustments'!L71</f>
        <v>10:47</v>
      </c>
      <c r="O12" s="3" t="str">
        <f>'All Tandem Adjustments'!M71</f>
        <v>13:05</v>
      </c>
      <c r="P12" s="3" t="str">
        <f>'All Tandem Adjustments'!N71</f>
        <v>22:46</v>
      </c>
      <c r="Q12" s="3" t="str">
        <f>'All Tandem Adjustments'!O71</f>
        <v>51:11</v>
      </c>
      <c r="R12" s="47">
        <f>'All Tandem Adjustments'!P71</f>
        <v>49.727604166666666</v>
      </c>
      <c r="S12" s="47">
        <f>'All Tandem Adjustments'!Q71</f>
        <v>89.31</v>
      </c>
    </row>
    <row r="13" spans="1:19" x14ac:dyDescent="0.25">
      <c r="A13" s="4">
        <f>'All Tandem Adjustments'!A44</f>
        <v>51</v>
      </c>
      <c r="B13" s="3" t="str">
        <f>'All Tandem Adjustments'!J44</f>
        <v>1:23</v>
      </c>
      <c r="C13" s="3" t="str">
        <f>'All Tandem Adjustments'!K44</f>
        <v>2:05</v>
      </c>
      <c r="D13" s="3" t="str">
        <f>'All Tandem Adjustments'!L44</f>
        <v>3:31</v>
      </c>
      <c r="E13" s="3" t="str">
        <f>'All Tandem Adjustments'!M44</f>
        <v>4:14</v>
      </c>
      <c r="F13" s="3" t="str">
        <f>'All Tandem Adjustments'!N44</f>
        <v>7:13</v>
      </c>
      <c r="G13" s="3" t="str">
        <f>'All Tandem Adjustments'!O44</f>
        <v>15:19</v>
      </c>
      <c r="H13" s="47">
        <f>'All Tandem Adjustments'!P44</f>
        <v>17.732002314814814</v>
      </c>
      <c r="I13" s="47">
        <f>'All Tandem Adjustments'!Q44</f>
        <v>28.215196759259261</v>
      </c>
      <c r="K13" s="4">
        <f>'All Tandem Adjustments'!A72</f>
        <v>79</v>
      </c>
      <c r="L13" s="45" t="str">
        <f>'All Tandem Adjustments'!J72</f>
        <v>4:20</v>
      </c>
      <c r="M13" s="45" t="str">
        <f>'All Tandem Adjustments'!K72</f>
        <v>6:34</v>
      </c>
      <c r="N13" s="45" t="str">
        <f>'All Tandem Adjustments'!L72</f>
        <v>11:12</v>
      </c>
      <c r="O13" s="45" t="str">
        <f>'All Tandem Adjustments'!M72</f>
        <v>13:35</v>
      </c>
      <c r="P13" s="45" t="str">
        <f>'All Tandem Adjustments'!N72</f>
        <v>23:41</v>
      </c>
      <c r="Q13" s="45" t="str">
        <f>'All Tandem Adjustments'!O72</f>
        <v>53:23</v>
      </c>
      <c r="R13" s="49">
        <f>'All Tandem Adjustments'!P72</f>
        <v>51.194004629629632</v>
      </c>
      <c r="S13" s="49">
        <f>'All Tandem Adjustments'!Q72</f>
        <v>92.102395833333333</v>
      </c>
    </row>
    <row r="14" spans="1:19" x14ac:dyDescent="0.25">
      <c r="A14" s="4">
        <f>'All Tandem Adjustments'!A45</f>
        <v>52</v>
      </c>
      <c r="B14" s="3" t="str">
        <f>'All Tandem Adjustments'!J45</f>
        <v>1:24</v>
      </c>
      <c r="C14" s="3" t="str">
        <f>'All Tandem Adjustments'!K45</f>
        <v>2:08</v>
      </c>
      <c r="D14" s="3" t="str">
        <f>'All Tandem Adjustments'!L45</f>
        <v>3:36</v>
      </c>
      <c r="E14" s="3" t="str">
        <f>'All Tandem Adjustments'!M45</f>
        <v>4:21</v>
      </c>
      <c r="F14" s="3" t="str">
        <f>'All Tandem Adjustments'!N45</f>
        <v>7:24</v>
      </c>
      <c r="G14" s="3" t="str">
        <f>'All Tandem Adjustments'!O45</f>
        <v>15:45</v>
      </c>
      <c r="H14" s="47">
        <f>'All Tandem Adjustments'!P45</f>
        <v>18.298796296296295</v>
      </c>
      <c r="I14" s="47">
        <f>'All Tandem Adjustments'!Q45</f>
        <v>29.457997685185184</v>
      </c>
      <c r="K14" s="4">
        <f>'All Tandem Adjustments'!A73</f>
        <v>80</v>
      </c>
      <c r="L14" s="3" t="str">
        <f>'All Tandem Adjustments'!J73</f>
        <v>4:30</v>
      </c>
      <c r="M14" s="3" t="str">
        <f>'All Tandem Adjustments'!K73</f>
        <v>6:49</v>
      </c>
      <c r="N14" s="3" t="str">
        <f>'All Tandem Adjustments'!L73</f>
        <v>11:38</v>
      </c>
      <c r="O14" s="3" t="str">
        <f>'All Tandem Adjustments'!M73</f>
        <v>14:07</v>
      </c>
      <c r="P14" s="3" t="str">
        <f>'All Tandem Adjustments'!N73</f>
        <v>24:38</v>
      </c>
      <c r="Q14" s="3" t="str">
        <f>'All Tandem Adjustments'!O73</f>
        <v>55:42</v>
      </c>
      <c r="R14" s="47">
        <f>'All Tandem Adjustments'!P73</f>
        <v>52.681203703703702</v>
      </c>
      <c r="S14" s="47">
        <f>'All Tandem Adjustments'!Q73</f>
        <v>94.936400462962965</v>
      </c>
    </row>
    <row r="15" spans="1:19" x14ac:dyDescent="0.25">
      <c r="A15" s="4">
        <f>'All Tandem Adjustments'!A46</f>
        <v>53</v>
      </c>
      <c r="B15" s="3" t="str">
        <f>'All Tandem Adjustments'!J46</f>
        <v>1:27</v>
      </c>
      <c r="C15" s="3" t="str">
        <f>'All Tandem Adjustments'!K46</f>
        <v>2:11</v>
      </c>
      <c r="D15" s="3" t="str">
        <f>'All Tandem Adjustments'!L46</f>
        <v>3:41</v>
      </c>
      <c r="E15" s="3" t="str">
        <f>'All Tandem Adjustments'!M46</f>
        <v>4:27</v>
      </c>
      <c r="F15" s="3" t="str">
        <f>'All Tandem Adjustments'!N46</f>
        <v>7:36</v>
      </c>
      <c r="G15" s="3" t="str">
        <f>'All Tandem Adjustments'!O46</f>
        <v>16:13</v>
      </c>
      <c r="H15" s="47">
        <f>'All Tandem Adjustments'!P46</f>
        <v>18.922800925925927</v>
      </c>
      <c r="I15" s="47">
        <f>'All Tandem Adjustments'!Q46</f>
        <v>30.794398148148147</v>
      </c>
      <c r="K15" s="4">
        <f>'All Tandem Adjustments'!A74</f>
        <v>81</v>
      </c>
      <c r="L15" s="3" t="str">
        <f>'All Tandem Adjustments'!J74</f>
        <v>4:40</v>
      </c>
      <c r="M15" s="3" t="str">
        <f>'All Tandem Adjustments'!K74</f>
        <v>7:05</v>
      </c>
      <c r="N15" s="3" t="str">
        <f>'All Tandem Adjustments'!L74</f>
        <v>12:05</v>
      </c>
      <c r="O15" s="3" t="str">
        <f>'All Tandem Adjustments'!M74</f>
        <v>14:41</v>
      </c>
      <c r="P15" s="3" t="str">
        <f>'All Tandem Adjustments'!N74</f>
        <v>25:38</v>
      </c>
      <c r="Q15" s="3" t="str">
        <f>'All Tandem Adjustments'!O74</f>
        <v>58:09</v>
      </c>
      <c r="R15" s="47">
        <f>'All Tandem Adjustments'!P74</f>
        <v>54.199594907407409</v>
      </c>
      <c r="S15" s="47">
        <f>'All Tandem Adjustments'!Q74</f>
        <v>97.817199074074068</v>
      </c>
    </row>
    <row r="16" spans="1:19" x14ac:dyDescent="0.25">
      <c r="A16" s="4">
        <f>'All Tandem Adjustments'!A47</f>
        <v>54</v>
      </c>
      <c r="B16" s="3" t="str">
        <f>'All Tandem Adjustments'!J47</f>
        <v>1:29</v>
      </c>
      <c r="C16" s="3" t="str">
        <f>'All Tandem Adjustments'!K47</f>
        <v>2:15</v>
      </c>
      <c r="D16" s="3" t="str">
        <f>'All Tandem Adjustments'!L47</f>
        <v>3:48</v>
      </c>
      <c r="E16" s="3" t="str">
        <f>'All Tandem Adjustments'!M47</f>
        <v>4:35</v>
      </c>
      <c r="F16" s="3" t="str">
        <f>'All Tandem Adjustments'!N47</f>
        <v>7:50</v>
      </c>
      <c r="G16" s="3" t="str">
        <f>'All Tandem Adjustments'!O47</f>
        <v>16:45</v>
      </c>
      <c r="H16" s="47">
        <f>'All Tandem Adjustments'!P47</f>
        <v>19.598796296296296</v>
      </c>
      <c r="I16" s="47">
        <f>'All Tandem Adjustments'!Q47</f>
        <v>32.22959490740741</v>
      </c>
      <c r="K16" s="4">
        <f>'All Tandem Adjustments'!A75</f>
        <v>82</v>
      </c>
      <c r="L16" s="3" t="str">
        <f>'All Tandem Adjustments'!J75</f>
        <v>4:51</v>
      </c>
      <c r="M16" s="3" t="str">
        <f>'All Tandem Adjustments'!K75</f>
        <v>7:22</v>
      </c>
      <c r="N16" s="3" t="str">
        <f>'All Tandem Adjustments'!L75</f>
        <v>12:34</v>
      </c>
      <c r="O16" s="3" t="str">
        <f>'All Tandem Adjustments'!M75</f>
        <v>15:16</v>
      </c>
      <c r="P16" s="3" t="str">
        <f>'All Tandem Adjustments'!N75</f>
        <v>26:42</v>
      </c>
      <c r="Q16" s="3" t="str">
        <f>'All Tandem Adjustments'!O75</f>
        <v>1:00:45</v>
      </c>
      <c r="R16" s="47">
        <f>'All Tandem Adjustments'!P75</f>
        <v>55.744004629629629</v>
      </c>
      <c r="S16" s="47">
        <f>'All Tandem Adjustments'!Q75</f>
        <v>100.74480324074074</v>
      </c>
    </row>
    <row r="17" spans="1:20" x14ac:dyDescent="0.25">
      <c r="A17" s="4">
        <f>'All Tandem Adjustments'!A48</f>
        <v>55</v>
      </c>
      <c r="B17" s="3" t="str">
        <f>'All Tandem Adjustments'!J48</f>
        <v>1:32</v>
      </c>
      <c r="C17" s="3" t="str">
        <f>'All Tandem Adjustments'!K48</f>
        <v>2:19</v>
      </c>
      <c r="D17" s="3" t="str">
        <f>'All Tandem Adjustments'!L48</f>
        <v>3:55</v>
      </c>
      <c r="E17" s="3" t="str">
        <f>'All Tandem Adjustments'!M48</f>
        <v>4:44</v>
      </c>
      <c r="F17" s="3" t="str">
        <f>'All Tandem Adjustments'!N48</f>
        <v>8:06</v>
      </c>
      <c r="G17" s="3" t="str">
        <f>'All Tandem Adjustments'!O48</f>
        <v>17:20</v>
      </c>
      <c r="H17" s="47">
        <f>'All Tandem Adjustments'!P48</f>
        <v>20.337199074074075</v>
      </c>
      <c r="I17" s="47">
        <f>'All Tandem Adjustments'!Q48</f>
        <v>33.763599537037038</v>
      </c>
      <c r="K17" s="4">
        <f>'All Tandem Adjustments'!A76</f>
        <v>83</v>
      </c>
      <c r="L17" s="3" t="str">
        <f>'All Tandem Adjustments'!J76</f>
        <v>5:02</v>
      </c>
      <c r="M17" s="3" t="str">
        <f>'All Tandem Adjustments'!K76</f>
        <v>7:39</v>
      </c>
      <c r="N17" s="3" t="str">
        <f>'All Tandem Adjustments'!L76</f>
        <v>13:04</v>
      </c>
      <c r="O17" s="3" t="str">
        <f>'All Tandem Adjustments'!M76</f>
        <v>15:52</v>
      </c>
      <c r="P17" s="3" t="str">
        <f>'All Tandem Adjustments'!N76</f>
        <v>27:48</v>
      </c>
      <c r="Q17" s="3" t="str">
        <f>'All Tandem Adjustments'!O76</f>
        <v>1:03:28</v>
      </c>
      <c r="R17" s="47">
        <f>'All Tandem Adjustments'!P76</f>
        <v>57.319594907407406</v>
      </c>
      <c r="S17" s="47">
        <f>'All Tandem Adjustments'!Q76</f>
        <v>103.71400462962963</v>
      </c>
    </row>
    <row r="18" spans="1:20" x14ac:dyDescent="0.25">
      <c r="A18" s="4">
        <f>'All Tandem Adjustments'!A49</f>
        <v>56</v>
      </c>
      <c r="B18" s="3" t="str">
        <f>'All Tandem Adjustments'!J49</f>
        <v>1:35</v>
      </c>
      <c r="C18" s="3" t="str">
        <f>'All Tandem Adjustments'!K49</f>
        <v>2:24</v>
      </c>
      <c r="D18" s="3" t="str">
        <f>'All Tandem Adjustments'!L49</f>
        <v>4:03</v>
      </c>
      <c r="E18" s="3" t="str">
        <f>'All Tandem Adjustments'!M49</f>
        <v>4:54</v>
      </c>
      <c r="F18" s="3" t="str">
        <f>'All Tandem Adjustments'!N49</f>
        <v>8:23</v>
      </c>
      <c r="G18" s="3" t="str">
        <f>'All Tandem Adjustments'!O49</f>
        <v>18:00</v>
      </c>
      <c r="H18" s="47">
        <f>'All Tandem Adjustments'!P49</f>
        <v>21.137997685185184</v>
      </c>
      <c r="I18" s="47">
        <f>'All Tandem Adjustments'!Q49</f>
        <v>35.396400462962966</v>
      </c>
      <c r="K18" s="4">
        <f>'All Tandem Adjustments'!A77</f>
        <v>84</v>
      </c>
      <c r="L18" s="3" t="str">
        <f>'All Tandem Adjustments'!J77</f>
        <v>5:14</v>
      </c>
      <c r="M18" s="3" t="str">
        <f>'All Tandem Adjustments'!K77</f>
        <v>7:58</v>
      </c>
      <c r="N18" s="3" t="str">
        <f>'All Tandem Adjustments'!L77</f>
        <v>13:36</v>
      </c>
      <c r="O18" s="3" t="str">
        <f>'All Tandem Adjustments'!M77</f>
        <v>16:31</v>
      </c>
      <c r="P18" s="3" t="str">
        <f>'All Tandem Adjustments'!N77</f>
        <v>28:58</v>
      </c>
      <c r="Q18" s="3" t="str">
        <f>'All Tandem Adjustments'!O77</f>
        <v>1:06:22</v>
      </c>
      <c r="R18" s="47">
        <f>'All Tandem Adjustments'!P77</f>
        <v>58.921203703703704</v>
      </c>
      <c r="S18" s="47">
        <f>'All Tandem Adjustments'!Q77</f>
        <v>106.73</v>
      </c>
    </row>
    <row r="19" spans="1:20" x14ac:dyDescent="0.25">
      <c r="A19" s="4">
        <f>'All Tandem Adjustments'!A50</f>
        <v>57</v>
      </c>
      <c r="B19" s="3" t="str">
        <f>'All Tandem Adjustments'!J50</f>
        <v>1:39</v>
      </c>
      <c r="C19" s="3" t="str">
        <f>'All Tandem Adjustments'!K50</f>
        <v>2:29</v>
      </c>
      <c r="D19" s="3" t="str">
        <f>'All Tandem Adjustments'!L50</f>
        <v>4:12</v>
      </c>
      <c r="E19" s="3" t="str">
        <f>'All Tandem Adjustments'!M50</f>
        <v>5:05</v>
      </c>
      <c r="F19" s="3" t="str">
        <f>'All Tandem Adjustments'!N50</f>
        <v>8:42</v>
      </c>
      <c r="G19" s="3" t="str">
        <f>'All Tandem Adjustments'!O50</f>
        <v>18:44</v>
      </c>
      <c r="H19" s="47">
        <f>'All Tandem Adjustments'!P50</f>
        <v>22.006400462962961</v>
      </c>
      <c r="I19" s="47">
        <f>'All Tandem Adjustments'!Q50</f>
        <v>37.138402777777777</v>
      </c>
      <c r="K19" s="4">
        <f>'All Tandem Adjustments'!A78</f>
        <v>85</v>
      </c>
      <c r="L19" s="3" t="str">
        <f>'All Tandem Adjustments'!J78</f>
        <v>5:27</v>
      </c>
      <c r="M19" s="3" t="str">
        <f>'All Tandem Adjustments'!K78</f>
        <v>8:16</v>
      </c>
      <c r="N19" s="3" t="str">
        <f>'All Tandem Adjustments'!L78</f>
        <v>14:09</v>
      </c>
      <c r="O19" s="3" t="str">
        <f>'All Tandem Adjustments'!M78</f>
        <v>17:12</v>
      </c>
      <c r="P19" s="3" t="str">
        <f>'All Tandem Adjustments'!N78</f>
        <v>30:11</v>
      </c>
      <c r="Q19" s="3" t="str">
        <f>'All Tandem Adjustments'!O78</f>
        <v>1:09:26</v>
      </c>
      <c r="R19" s="47">
        <f>'All Tandem Adjustments'!P78</f>
        <v>60.554004629629631</v>
      </c>
      <c r="S19" s="47">
        <f>'All Tandem Adjustments'!Q78</f>
        <v>109.79799768518518</v>
      </c>
    </row>
    <row r="20" spans="1:20" x14ac:dyDescent="0.25">
      <c r="A20" s="4">
        <f>'All Tandem Adjustments'!A51</f>
        <v>58</v>
      </c>
      <c r="B20" s="3" t="str">
        <f>'All Tandem Adjustments'!J51</f>
        <v>1:43</v>
      </c>
      <c r="C20" s="3" t="str">
        <f>'All Tandem Adjustments'!K51</f>
        <v>2:35</v>
      </c>
      <c r="D20" s="3" t="str">
        <f>'All Tandem Adjustments'!L51</f>
        <v>4:22</v>
      </c>
      <c r="E20" s="3" t="str">
        <f>'All Tandem Adjustments'!M51</f>
        <v>5:17</v>
      </c>
      <c r="F20" s="3" t="str">
        <f>'All Tandem Adjustments'!N51</f>
        <v>9:04</v>
      </c>
      <c r="G20" s="3" t="str">
        <f>'All Tandem Adjustments'!O51</f>
        <v>19:33</v>
      </c>
      <c r="H20" s="47">
        <f>'All Tandem Adjustments'!P51</f>
        <v>22.937199074074073</v>
      </c>
      <c r="I20" s="47">
        <f>'All Tandem Adjustments'!Q51</f>
        <v>38.984398148148145</v>
      </c>
      <c r="K20" s="4">
        <f>'All Tandem Adjustments'!A79</f>
        <v>86</v>
      </c>
      <c r="L20" s="3" t="str">
        <f>'All Tandem Adjustments'!J79</f>
        <v>5:40</v>
      </c>
      <c r="M20" s="3" t="str">
        <f>'All Tandem Adjustments'!K79</f>
        <v>8:36</v>
      </c>
      <c r="N20" s="3" t="str">
        <f>'All Tandem Adjustments'!L79</f>
        <v>14:44</v>
      </c>
      <c r="O20" s="3" t="str">
        <f>'All Tandem Adjustments'!M79</f>
        <v>17:54</v>
      </c>
      <c r="P20" s="3" t="str">
        <f>'All Tandem Adjustments'!N79</f>
        <v>31:29</v>
      </c>
      <c r="Q20" s="3" t="str">
        <f>'All Tandem Adjustments'!O79</f>
        <v>1:12:42</v>
      </c>
      <c r="R20" s="47">
        <f>'All Tandem Adjustments'!P79</f>
        <v>62.212800925925926</v>
      </c>
      <c r="S20" s="47">
        <f>'All Tandem Adjustments'!Q79</f>
        <v>112.90760416666667</v>
      </c>
    </row>
    <row r="21" spans="1:20" x14ac:dyDescent="0.25">
      <c r="A21" s="4">
        <f>'All Tandem Adjustments'!A52</f>
        <v>59</v>
      </c>
      <c r="B21" s="45" t="str">
        <f>'All Tandem Adjustments'!J52</f>
        <v>1:47</v>
      </c>
      <c r="C21" s="45" t="str">
        <f>'All Tandem Adjustments'!K52</f>
        <v>2:42</v>
      </c>
      <c r="D21" s="45" t="str">
        <f>'All Tandem Adjustments'!L52</f>
        <v>4:34</v>
      </c>
      <c r="E21" s="45" t="str">
        <f>'All Tandem Adjustments'!M52</f>
        <v>5:31</v>
      </c>
      <c r="F21" s="45" t="str">
        <f>'All Tandem Adjustments'!N52</f>
        <v>9:28</v>
      </c>
      <c r="G21" s="45" t="str">
        <f>'All Tandem Adjustments'!O52</f>
        <v>20:27</v>
      </c>
      <c r="H21" s="49">
        <f>'All Tandem Adjustments'!P52</f>
        <v>23.940798611111113</v>
      </c>
      <c r="I21" s="49">
        <f>'All Tandem Adjustments'!Q52</f>
        <v>40.94480324074074</v>
      </c>
      <c r="K21" s="4">
        <f>'All Tandem Adjustments'!A80</f>
        <v>87</v>
      </c>
      <c r="L21" s="3" t="str">
        <f>'All Tandem Adjustments'!J80</f>
        <v>5:54</v>
      </c>
      <c r="M21" s="3" t="str">
        <f>'All Tandem Adjustments'!K80</f>
        <v>8:58</v>
      </c>
      <c r="N21" s="3" t="str">
        <f>'All Tandem Adjustments'!L80</f>
        <v>15:20</v>
      </c>
      <c r="O21" s="3" t="str">
        <f>'All Tandem Adjustments'!M80</f>
        <v>18:39</v>
      </c>
      <c r="P21" s="3" t="str">
        <f>'All Tandem Adjustments'!N80</f>
        <v>32:50</v>
      </c>
      <c r="Q21" s="3" t="str">
        <f>'All Tandem Adjustments'!O80</f>
        <v>1:16:11</v>
      </c>
      <c r="R21" s="47">
        <f>'All Tandem Adjustments'!P80</f>
        <v>63.907997685185187</v>
      </c>
      <c r="S21" s="47">
        <f>'All Tandem Adjustments'!Q80</f>
        <v>116.06400462962964</v>
      </c>
    </row>
    <row r="22" spans="1:20" x14ac:dyDescent="0.25">
      <c r="A22" s="4">
        <f>'All Tandem Adjustments'!A53</f>
        <v>60</v>
      </c>
      <c r="B22" s="3" t="str">
        <f>'All Tandem Adjustments'!J53</f>
        <v>1:52</v>
      </c>
      <c r="C22" s="3" t="str">
        <f>'All Tandem Adjustments'!K53</f>
        <v>2:49</v>
      </c>
      <c r="D22" s="3" t="str">
        <f>'All Tandem Adjustments'!L53</f>
        <v>4:46</v>
      </c>
      <c r="E22" s="3" t="str">
        <f>'All Tandem Adjustments'!M53</f>
        <v>5:46</v>
      </c>
      <c r="F22" s="3" t="str">
        <f>'All Tandem Adjustments'!N53</f>
        <v>9:54</v>
      </c>
      <c r="G22" s="3" t="str">
        <f>'All Tandem Adjustments'!O53</f>
        <v>21:27</v>
      </c>
      <c r="H22" s="47">
        <f>'All Tandem Adjustments'!P53</f>
        <v>25.017199074074075</v>
      </c>
      <c r="I22" s="47">
        <f>'All Tandem Adjustments'!Q53</f>
        <v>43.014398148148146</v>
      </c>
      <c r="K22" s="4">
        <f>'All Tandem Adjustments'!A81</f>
        <v>88</v>
      </c>
      <c r="L22" s="3" t="str">
        <f>'All Tandem Adjustments'!J81</f>
        <v>6:08</v>
      </c>
      <c r="M22" s="3" t="str">
        <f>'All Tandem Adjustments'!K81</f>
        <v>9:20</v>
      </c>
      <c r="N22" s="3" t="str">
        <f>'All Tandem Adjustments'!L81</f>
        <v>15:59</v>
      </c>
      <c r="O22" s="3" t="str">
        <f>'All Tandem Adjustments'!M81</f>
        <v>19:26</v>
      </c>
      <c r="P22" s="3" t="str">
        <f>'All Tandem Adjustments'!N81</f>
        <v>34:17</v>
      </c>
      <c r="Q22" s="3" t="str">
        <f>'All Tandem Adjustments'!O81</f>
        <v>1:19:54</v>
      </c>
      <c r="R22" s="47">
        <f>'All Tandem Adjustments'!P81</f>
        <v>65.629201388888887</v>
      </c>
      <c r="S22" s="47">
        <f>'All Tandem Adjustments'!Q81</f>
        <v>119.26719907407407</v>
      </c>
    </row>
    <row r="23" spans="1:20" x14ac:dyDescent="0.25">
      <c r="A23" s="4">
        <f>'All Tandem Adjustments'!A54</f>
        <v>61</v>
      </c>
      <c r="B23" s="3" t="str">
        <f>'All Tandem Adjustments'!J54</f>
        <v>1:57</v>
      </c>
      <c r="C23" s="3" t="str">
        <f>'All Tandem Adjustments'!K54</f>
        <v>2:57</v>
      </c>
      <c r="D23" s="3" t="str">
        <f>'All Tandem Adjustments'!L54</f>
        <v>5:00</v>
      </c>
      <c r="E23" s="3" t="str">
        <f>'All Tandem Adjustments'!M54</f>
        <v>6:03</v>
      </c>
      <c r="F23" s="3" t="str">
        <f>'All Tandem Adjustments'!N54</f>
        <v>10:24</v>
      </c>
      <c r="G23" s="3" t="str">
        <f>'All Tandem Adjustments'!O54</f>
        <v>22:34</v>
      </c>
      <c r="H23" s="47">
        <f>'All Tandem Adjustments'!P54</f>
        <v>26.166400462962962</v>
      </c>
      <c r="I23" s="47">
        <f>'All Tandem Adjustments'!Q54</f>
        <v>45.19840277777778</v>
      </c>
      <c r="K23" s="4">
        <f>'All Tandem Adjustments'!A82</f>
        <v>89</v>
      </c>
      <c r="L23" s="45" t="str">
        <f>'All Tandem Adjustments'!J82</f>
        <v>6:24</v>
      </c>
      <c r="M23" s="45" t="str">
        <f>'All Tandem Adjustments'!K82</f>
        <v>9:43</v>
      </c>
      <c r="N23" s="45" t="str">
        <f>'All Tandem Adjustments'!L82</f>
        <v>16:39</v>
      </c>
      <c r="O23" s="45" t="str">
        <f>'All Tandem Adjustments'!M82</f>
        <v>20:17</v>
      </c>
      <c r="P23" s="45" t="str">
        <f>'All Tandem Adjustments'!N82</f>
        <v>35:49</v>
      </c>
      <c r="Q23" s="45" t="str">
        <f>'All Tandem Adjustments'!O82</f>
        <v>1:23:53</v>
      </c>
      <c r="R23" s="49">
        <f>'All Tandem Adjustments'!P82</f>
        <v>67.386805555555554</v>
      </c>
      <c r="S23" s="49">
        <f>'All Tandem Adjustments'!Q82</f>
        <v>122.52239583333333</v>
      </c>
    </row>
    <row r="24" spans="1:20" x14ac:dyDescent="0.25">
      <c r="A24" s="4">
        <f>'All Tandem Adjustments'!A55</f>
        <v>62</v>
      </c>
      <c r="B24" s="3" t="str">
        <f>'All Tandem Adjustments'!J55</f>
        <v>2:03</v>
      </c>
      <c r="C24" s="3" t="str">
        <f>'All Tandem Adjustments'!K55</f>
        <v>3:06</v>
      </c>
      <c r="D24" s="3" t="str">
        <f>'All Tandem Adjustments'!L55</f>
        <v>5:15</v>
      </c>
      <c r="E24" s="3" t="str">
        <f>'All Tandem Adjustments'!M55</f>
        <v>6:22</v>
      </c>
      <c r="F24" s="3" t="str">
        <f>'All Tandem Adjustments'!N55</f>
        <v>10:56</v>
      </c>
      <c r="G24" s="3" t="str">
        <f>'All Tandem Adjustments'!O55</f>
        <v>23:46</v>
      </c>
      <c r="H24" s="47">
        <f>'All Tandem Adjustments'!P55</f>
        <v>27.393599537037037</v>
      </c>
      <c r="I24" s="47">
        <f>'All Tandem Adjustments'!Q55</f>
        <v>47.491597222222225</v>
      </c>
      <c r="K24" s="4">
        <f>'All Tandem Adjustments'!A83</f>
        <v>90</v>
      </c>
      <c r="L24" s="3" t="str">
        <f>'All Tandem Adjustments'!J83</f>
        <v>6:39</v>
      </c>
      <c r="M24" s="3" t="str">
        <f>'All Tandem Adjustments'!K83</f>
        <v>10:08</v>
      </c>
      <c r="N24" s="3" t="str">
        <f>'All Tandem Adjustments'!L83</f>
        <v>17:23</v>
      </c>
      <c r="O24" s="3" t="str">
        <f>'All Tandem Adjustments'!M83</f>
        <v>21:10</v>
      </c>
      <c r="P24" s="3" t="str">
        <f>'All Tandem Adjustments'!N83</f>
        <v>37:26</v>
      </c>
      <c r="Q24" s="3" t="str">
        <f>'All Tandem Adjustments'!O83</f>
        <v>1:28:10</v>
      </c>
      <c r="R24" s="47">
        <f>'All Tandem Adjustments'!P83</f>
        <v>69.175601851851852</v>
      </c>
      <c r="S24" s="47">
        <f>'All Tandem Adjustments'!Q83</f>
        <v>125.82959490740741</v>
      </c>
    </row>
    <row r="25" spans="1:20" x14ac:dyDescent="0.25">
      <c r="A25" s="4">
        <f>'All Tandem Adjustments'!A56</f>
        <v>63</v>
      </c>
      <c r="B25" s="3" t="str">
        <f>'All Tandem Adjustments'!J56</f>
        <v>2:10</v>
      </c>
      <c r="C25" s="3" t="str">
        <f>'All Tandem Adjustments'!K56</f>
        <v>3:16</v>
      </c>
      <c r="D25" s="3" t="str">
        <f>'All Tandem Adjustments'!L56</f>
        <v>5:32</v>
      </c>
      <c r="E25" s="3" t="str">
        <f>'All Tandem Adjustments'!M56</f>
        <v>6:42</v>
      </c>
      <c r="F25" s="3" t="str">
        <f>'All Tandem Adjustments'!N56</f>
        <v>11:32</v>
      </c>
      <c r="G25" s="3" t="str">
        <f>'All Tandem Adjustments'!O56</f>
        <v>25:06</v>
      </c>
      <c r="H25" s="47">
        <f>'All Tandem Adjustments'!P56</f>
        <v>28.698796296296297</v>
      </c>
      <c r="I25" s="47">
        <f>'All Tandem Adjustments'!Q56</f>
        <v>49.90959490740741</v>
      </c>
      <c r="K25" s="4">
        <f>'All Tandem Adjustments'!A84</f>
        <v>91</v>
      </c>
      <c r="L25" s="3" t="str">
        <f>'All Tandem Adjustments'!J84</f>
        <v>6:57</v>
      </c>
      <c r="M25" s="3" t="str">
        <f>'All Tandem Adjustments'!K84</f>
        <v>10:34</v>
      </c>
      <c r="N25" s="3" t="str">
        <f>'All Tandem Adjustments'!L84</f>
        <v>18:08</v>
      </c>
      <c r="O25" s="3" t="str">
        <f>'All Tandem Adjustments'!M84</f>
        <v>22:06</v>
      </c>
      <c r="P25" s="3" t="str">
        <f>'All Tandem Adjustments'!N84</f>
        <v>39:11</v>
      </c>
      <c r="Q25" s="3" t="str">
        <f>'All Tandem Adjustments'!O84</f>
        <v>1:32:46</v>
      </c>
      <c r="R25" s="47">
        <f>'All Tandem Adjustments'!P84</f>
        <v>71.000798611111108</v>
      </c>
      <c r="S25" s="47">
        <f>'All Tandem Adjustments'!Q84</f>
        <v>129.18359953703703</v>
      </c>
    </row>
    <row r="26" spans="1:20" x14ac:dyDescent="0.25">
      <c r="A26" s="4">
        <f>'All Tandem Adjustments'!A57</f>
        <v>64</v>
      </c>
      <c r="B26" s="3" t="str">
        <f>'All Tandem Adjustments'!J57</f>
        <v>2:17</v>
      </c>
      <c r="C26" s="3" t="str">
        <f>'All Tandem Adjustments'!K57</f>
        <v>3:27</v>
      </c>
      <c r="D26" s="3" t="str">
        <f>'All Tandem Adjustments'!L57</f>
        <v>5:50</v>
      </c>
      <c r="E26" s="3" t="str">
        <f>'All Tandem Adjustments'!M57</f>
        <v>7:04</v>
      </c>
      <c r="F26" s="3" t="str">
        <f>'All Tandem Adjustments'!N57</f>
        <v>12:11</v>
      </c>
      <c r="G26" s="3" t="str">
        <f>'All Tandem Adjustments'!O57</f>
        <v>26:34</v>
      </c>
      <c r="H26" s="47">
        <f>'All Tandem Adjustments'!P57</f>
        <v>30.082002314814815</v>
      </c>
      <c r="I26" s="47">
        <f>'All Tandem Adjustments'!Q57</f>
        <v>52.442002314814815</v>
      </c>
      <c r="K26" s="4">
        <f>'All Tandem Adjustments'!A85</f>
        <v>92</v>
      </c>
      <c r="L26" s="3" t="str">
        <f>'All Tandem Adjustments'!J85</f>
        <v>7:14</v>
      </c>
      <c r="M26" s="3" t="str">
        <f>'All Tandem Adjustments'!K85</f>
        <v>11:01</v>
      </c>
      <c r="N26" s="3" t="str">
        <f>'All Tandem Adjustments'!L85</f>
        <v>18:57</v>
      </c>
      <c r="O26" s="3" t="str">
        <f>'All Tandem Adjustments'!M85</f>
        <v>23:06</v>
      </c>
      <c r="P26" s="3" t="str">
        <f>'All Tandem Adjustments'!N85</f>
        <v>41:01</v>
      </c>
      <c r="Q26" s="3" t="str">
        <f>'All Tandem Adjustments'!O85</f>
        <v>1:37:45</v>
      </c>
      <c r="R26" s="47">
        <f>'All Tandem Adjustments'!P85</f>
        <v>72.862395833333338</v>
      </c>
      <c r="S26" s="47">
        <f>'All Tandem Adjustments'!Q85</f>
        <v>132.58959490740742</v>
      </c>
    </row>
    <row r="27" spans="1:20" x14ac:dyDescent="0.25">
      <c r="A27" s="4">
        <f>'All Tandem Adjustments'!A58</f>
        <v>65</v>
      </c>
      <c r="B27" s="3" t="str">
        <f>'All Tandem Adjustments'!J58</f>
        <v>2:24</v>
      </c>
      <c r="C27" s="3" t="str">
        <f>'All Tandem Adjustments'!K58</f>
        <v>3:39</v>
      </c>
      <c r="D27" s="3" t="str">
        <f>'All Tandem Adjustments'!L58</f>
        <v>6:11</v>
      </c>
      <c r="E27" s="3" t="str">
        <f>'All Tandem Adjustments'!M58</f>
        <v>7:29</v>
      </c>
      <c r="F27" s="3" t="str">
        <f>'All Tandem Adjustments'!N58</f>
        <v>12:54</v>
      </c>
      <c r="G27" s="3" t="str">
        <f>'All Tandem Adjustments'!O58</f>
        <v>28:11</v>
      </c>
      <c r="H27" s="47">
        <f>'All Tandem Adjustments'!P58</f>
        <v>31.553599537037037</v>
      </c>
      <c r="I27" s="47">
        <f>'All Tandem Adjustments'!Q58</f>
        <v>55.088796296296294</v>
      </c>
      <c r="K27" s="4">
        <f>'All Tandem Adjustments'!A86</f>
        <v>93</v>
      </c>
      <c r="L27" s="3" t="str">
        <f>'All Tandem Adjustments'!J86</f>
        <v>7:34</v>
      </c>
      <c r="M27" s="3" t="str">
        <f>'All Tandem Adjustments'!K86</f>
        <v>11:31</v>
      </c>
      <c r="N27" s="3" t="str">
        <f>'All Tandem Adjustments'!L86</f>
        <v>19:48</v>
      </c>
      <c r="O27" s="3" t="str">
        <f>'All Tandem Adjustments'!M86</f>
        <v>24:10</v>
      </c>
      <c r="P27" s="3" t="str">
        <f>'All Tandem Adjustments'!N86</f>
        <v>43:00</v>
      </c>
      <c r="Q27" s="3" t="str">
        <f>'All Tandem Adjustments'!O86</f>
        <v>1:43:10</v>
      </c>
      <c r="R27" s="47">
        <f>'All Tandem Adjustments'!P86</f>
        <v>74.760405092592592</v>
      </c>
      <c r="S27" s="47">
        <f>'All Tandem Adjustments'!Q86</f>
        <v>136.05280092592594</v>
      </c>
    </row>
    <row r="28" spans="1:20" x14ac:dyDescent="0.25">
      <c r="A28" s="4">
        <f>'All Tandem Adjustments'!A59</f>
        <v>66</v>
      </c>
      <c r="B28" s="3" t="str">
        <f>'All Tandem Adjustments'!J59</f>
        <v>2:34</v>
      </c>
      <c r="C28" s="3" t="str">
        <f>'All Tandem Adjustments'!K59</f>
        <v>3:52</v>
      </c>
      <c r="D28" s="3" t="str">
        <f>'All Tandem Adjustments'!L59</f>
        <v>6:34</v>
      </c>
      <c r="E28" s="3" t="str">
        <f>'All Tandem Adjustments'!M59</f>
        <v>7:56</v>
      </c>
      <c r="F28" s="3" t="str">
        <f>'All Tandem Adjustments'!N59</f>
        <v>13:41</v>
      </c>
      <c r="G28" s="3" t="str">
        <f>'All Tandem Adjustments'!O59</f>
        <v>29:56</v>
      </c>
      <c r="H28" s="47">
        <f>'All Tandem Adjustments'!P59</f>
        <v>33.103194444444448</v>
      </c>
      <c r="I28" s="47">
        <f>'All Tandem Adjustments'!Q59</f>
        <v>57.860405092592593</v>
      </c>
      <c r="K28" s="4">
        <f>'All Tandem Adjustments'!A87</f>
        <v>94</v>
      </c>
      <c r="L28" s="3" t="str">
        <f>'All Tandem Adjustments'!J87</f>
        <v>7:54</v>
      </c>
      <c r="M28" s="3" t="str">
        <f>'All Tandem Adjustments'!K87</f>
        <v>12:02</v>
      </c>
      <c r="N28" s="3" t="str">
        <f>'All Tandem Adjustments'!L87</f>
        <v>20:44</v>
      </c>
      <c r="O28" s="3" t="str">
        <f>'All Tandem Adjustments'!M87</f>
        <v>25:17</v>
      </c>
      <c r="P28" s="3" t="str">
        <f>'All Tandem Adjustments'!N87</f>
        <v>45:07</v>
      </c>
      <c r="Q28" s="3" t="str">
        <f>'All Tandem Adjustments'!O87</f>
        <v>1:49:04</v>
      </c>
      <c r="R28" s="47">
        <f>'All Tandem Adjustments'!P87</f>
        <v>76.7</v>
      </c>
      <c r="S28" s="47">
        <f>'All Tandem Adjustments'!Q87</f>
        <v>139.56799768518519</v>
      </c>
    </row>
    <row r="29" spans="1:20" x14ac:dyDescent="0.25">
      <c r="A29" s="4">
        <f>'All Tandem Adjustments'!A60</f>
        <v>67</v>
      </c>
      <c r="B29" s="3" t="str">
        <f>'All Tandem Adjustments'!J60</f>
        <v>2:43</v>
      </c>
      <c r="C29" s="3" t="str">
        <f>'All Tandem Adjustments'!K60</f>
        <v>4:06</v>
      </c>
      <c r="D29" s="3" t="str">
        <f>'All Tandem Adjustments'!L60</f>
        <v>6:58</v>
      </c>
      <c r="E29" s="3" t="str">
        <f>'All Tandem Adjustments'!M60</f>
        <v>8:26</v>
      </c>
      <c r="F29" s="3" t="str">
        <f>'All Tandem Adjustments'!N60</f>
        <v>14:33</v>
      </c>
      <c r="G29" s="3" t="str">
        <f>'All Tandem Adjustments'!O60</f>
        <v>31:52</v>
      </c>
      <c r="H29" s="47">
        <f>'All Tandem Adjustments'!P60</f>
        <v>34.741203703703704</v>
      </c>
      <c r="I29" s="47">
        <f>'All Tandem Adjustments'!Q60</f>
        <v>60.74640046296296</v>
      </c>
      <c r="K29" s="4">
        <f>'All Tandem Adjustments'!A88</f>
        <v>95</v>
      </c>
      <c r="L29" s="3" t="str">
        <f>'All Tandem Adjustments'!J88</f>
        <v>8:16</v>
      </c>
      <c r="M29" s="3" t="str">
        <f>'All Tandem Adjustments'!K88</f>
        <v>12:36</v>
      </c>
      <c r="N29" s="3" t="str">
        <f>'All Tandem Adjustments'!L88</f>
        <v>21:43</v>
      </c>
      <c r="O29" s="3" t="str">
        <f>'All Tandem Adjustments'!M88</f>
        <v>26:30</v>
      </c>
      <c r="P29" s="3" t="str">
        <f>'All Tandem Adjustments'!N88</f>
        <v>47:24</v>
      </c>
      <c r="Q29" s="3" t="str">
        <f>'All Tandem Adjustments'!O88</f>
        <v>1:55:32</v>
      </c>
      <c r="R29" s="47">
        <f>'All Tandem Adjustments'!P88</f>
        <v>78.681203703703702</v>
      </c>
      <c r="S29" s="47">
        <f>'All Tandem Adjustments'!Q88</f>
        <v>143.13519675925926</v>
      </c>
      <c r="T29" s="36">
        <f>Revision</f>
        <v>2024</v>
      </c>
    </row>
  </sheetData>
  <sheetProtection algorithmName="SHA-512" hashValue="XAwJk4K3arMp75BkXSDZ+VKef9DjJkwQFkzbwWL2Qs9sL627xrDmVSOqqfU+DkkyURy4qpiog8sk9hMu3sVWPw==" saltValue="zS79jqw+H+cPUktwiEZFGw=="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ADJUSTMENTS (PER RIDER)  FEMALE TANDEM BICYCLE</oddHeader>
    <oddFooter>&amp;L&amp;F&amp;CA tandem combined handicap is derived by adding the two individual handicaps from this and/or facing table
Page &amp;P of &amp;N&amp;R&amp;D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vt:i4>
      </vt:variant>
    </vt:vector>
  </HeadingPairs>
  <TitlesOfParts>
    <vt:vector size="32" baseType="lpstr">
      <vt:lpstr>Title</vt:lpstr>
      <vt:lpstr>Introduction</vt:lpstr>
      <vt:lpstr>Ratios</vt:lpstr>
      <vt:lpstr>Open Solo Bike Adjustment</vt:lpstr>
      <vt:lpstr>Female Solo Bike Adjustment</vt:lpstr>
      <vt:lpstr>Open Solo Trike Adjustment</vt:lpstr>
      <vt:lpstr>Female Solo Trike Adjustment</vt:lpstr>
      <vt:lpstr>Open Tandem Bike Adjustment</vt:lpstr>
      <vt:lpstr>Female Tandem Bike Adjustment</vt:lpstr>
      <vt:lpstr>Open Tandem Trike Adjustment</vt:lpstr>
      <vt:lpstr>Female Tandem Trike Adjustment</vt:lpstr>
      <vt:lpstr>Zwift25</vt:lpstr>
      <vt:lpstr>Zwift50</vt:lpstr>
      <vt:lpstr>Zwift100</vt:lpstr>
      <vt:lpstr>All Solo Adjustments</vt:lpstr>
      <vt:lpstr>Stds</vt:lpstr>
      <vt:lpstr>All Solo Standards</vt:lpstr>
      <vt:lpstr>All Tandem Adjustments</vt:lpstr>
      <vt:lpstr>All Tandem Standards</vt:lpstr>
      <vt:lpstr>All Solo Adjustments Source</vt:lpstr>
      <vt:lpstr>All Tandem Adjustments Source</vt:lpstr>
      <vt:lpstr>Open Solo Bicycle Standards</vt:lpstr>
      <vt:lpstr>Female Solo Bicycle Standards</vt:lpstr>
      <vt:lpstr>Open Solo Tricycle Standards</vt:lpstr>
      <vt:lpstr>Female Solo Tricycle Standards</vt:lpstr>
      <vt:lpstr>Open Tandem Bicycle Standards</vt:lpstr>
      <vt:lpstr>Female Tandem Bicycle Standards</vt:lpstr>
      <vt:lpstr>Open Tandem Tricycle Standards</vt:lpstr>
      <vt:lpstr>Female Tandem Tricycle Standard</vt:lpstr>
      <vt:lpstr>All Solo Standards Source</vt:lpstr>
      <vt:lpstr>All Tandem Standards Source</vt:lpstr>
      <vt:lpstr>Revision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Fairclough</dc:creator>
  <cp:lastModifiedBy>Mark Bradley</cp:lastModifiedBy>
  <cp:lastPrinted>2024-02-21T10:39:47Z</cp:lastPrinted>
  <dcterms:created xsi:type="dcterms:W3CDTF">2020-04-28T08:10:43Z</dcterms:created>
  <dcterms:modified xsi:type="dcterms:W3CDTF">2024-10-15T13:48:11Z</dcterms:modified>
</cp:coreProperties>
</file>